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hidden" name="Sheet12" sheetId="2" r:id="rId5"/>
    <sheet state="hidden" name="Meta" sheetId="3" r:id="rId6"/>
    <sheet state="hidden" name="Github" sheetId="4" r:id="rId7"/>
    <sheet state="hidden" name="GIthub7" sheetId="5" r:id="rId8"/>
    <sheet state="hidden" name="extra" sheetId="6" r:id="rId9"/>
  </sheets>
  <definedNames>
    <definedName hidden="1" localSheetId="1" name="_xlnm._FilterDatabase">Sheet12!$F$1:$F$2847</definedName>
    <definedName hidden="1" localSheetId="0" name="Z_4ECE8F50_D40B_4B41_A0CA_E25C712C29D2_.wvu.FilterData">Main!$A$3:$O$2348</definedName>
    <definedName hidden="1" localSheetId="0" name="Z_6CB4BCFC_15AA_4669_BA25_D0764D1D666E_.wvu.FilterData">Main!$A$3:$O$2348</definedName>
    <definedName hidden="1" localSheetId="0" name="Z_949C247F_0934_46EF_8FAF_305720E6A123_.wvu.FilterData">Main!$A$3:$O$2348</definedName>
    <definedName hidden="1" localSheetId="0" name="Z_B4D74AB0_1E30_4DD9_9760_C6E331006D82_.wvu.FilterData">Main!$A$3:$O$2348</definedName>
    <definedName hidden="1" localSheetId="1" name="Z_2410355E_E128_4F99_BD13_6547AADD0923_.wvu.FilterData">Sheet12!$D$1:$D$2846</definedName>
    <definedName hidden="1" localSheetId="0" name="Z_D5478672_260F_4A42_9DB1_1DF70E840DEB_.wvu.FilterData">Main!$A$3:$O$2348</definedName>
    <definedName hidden="1" localSheetId="0" name="Z_5C826FFC_C106_4DE5_9F86_D2FADE793785_.wvu.FilterData">Main!$A$3:$O$2348</definedName>
    <definedName hidden="1" localSheetId="0" name="Z_7C36F5CD_F989_47DE_B3CD_D32786A5B514_.wvu.FilterData">Main!$A$3:$O$2348</definedName>
    <definedName hidden="1" localSheetId="0" name="Z_0D1597B3_31AB_4C50_8D18_0C5539998495_.wvu.FilterData">Main!$A$3:$O$2348</definedName>
    <definedName hidden="1" localSheetId="0" name="Z_37F9EE25_F6FC_4512_A0D9_337265C971B7_.wvu.FilterData">Main!$A$3:$O$2348</definedName>
    <definedName hidden="1" localSheetId="0" name="Z_4CA61298_C8FC_413F_AF89_9AE1C342C202_.wvu.FilterData">Main!$A$3:$O$2348</definedName>
    <definedName hidden="1" localSheetId="0" name="Z_A1818582_2922_4D95_9A2D_23C18E136ADB_.wvu.FilterData">Main!$A$3:$O$2348</definedName>
    <definedName hidden="1" localSheetId="0" name="Z_38900675_8F14_4DC7_A6E1_CBB798CB5326_.wvu.FilterData">Main!$A$3:$O$2348</definedName>
    <definedName hidden="1" localSheetId="0" name="Z_0118F1B5_0641_4C15_A376_8DA0097A42D2_.wvu.FilterData">Main!$A$3:$O$2348</definedName>
    <definedName hidden="1" localSheetId="0" name="Z_C1BDB6B9_93AE_4A9B_81F7_61C46E94C041_.wvu.FilterData">Main!$A$3:$O$2348</definedName>
    <definedName hidden="1" localSheetId="0" name="Z_19C99435_BB4A_40BD_AF7A_AFF50A0DD72F_.wvu.FilterData">Main!$A$3:$O$2348</definedName>
    <definedName hidden="1" localSheetId="0" name="Z_908302CB_6BCD_41DB_A120_B1E78216FC7E_.wvu.FilterData">Main!$A$3:$O$2348</definedName>
    <definedName hidden="1" localSheetId="0" name="Z_48CD4723_015A_47AC_AD06_846CA38B948C_.wvu.FilterData">Main!$A$3:$O$2348</definedName>
  </definedNames>
  <calcPr/>
  <customWorkbookViews>
    <customWorkbookView activeSheetId="0" maximized="1" windowHeight="0" windowWidth="0" guid="{38900675-8F14-4DC7-A6E1-CBB798CB5326}" name="String"/>
    <customWorkbookView activeSheetId="0" maximized="1" windowHeight="0" windowWidth="0" guid="{4ECE8F50-D40B-4B41-A0CA-E25C712C29D2}" name="DP"/>
    <customWorkbookView activeSheetId="0" maximized="1" windowHeight="0" windowWidth="0" guid="{C1BDB6B9-93AE-4A9B-81F7-61C46E94C041}" name="Recursion"/>
    <customWorkbookView activeSheetId="0" maximized="1" windowHeight="0" windowWidth="0" guid="{D5478672-260F-4A42-9DB1-1DF70E840DEB}" name="Default"/>
    <customWorkbookView activeSheetId="0" maximized="1" windowHeight="0" windowWidth="0" guid="{4CA61298-C8FC-413F-AF89-9AE1C342C202}" name="BFS"/>
    <customWorkbookView activeSheetId="0" maximized="1" windowHeight="0" windowWidth="0" guid="{6CB4BCFC-15AA-4669-BA25-D0764D1D666E}" name="Linked List"/>
    <customWorkbookView activeSheetId="0" maximized="1" windowHeight="0" windowWidth="0" guid="{B4D74AB0-1E30-4DD9-9760-C6E331006D82}" name="Stack"/>
    <customWorkbookView activeSheetId="0" maximized="1" windowHeight="0" windowWidth="0" guid="{5C826FFC-C106-4DE5-9F86-D2FADE793785}" name="Sorting"/>
    <customWorkbookView activeSheetId="0" maximized="1" windowHeight="0" windowWidth="0" guid="{0D1597B3-31AB-4C50-8D18-0C5539998495}" name="Array"/>
    <customWorkbookView activeSheetId="0" maximized="1" windowHeight="0" windowWidth="0" guid="{A1818582-2922-4D95-9A2D-23C18E136ADB}" name="DFS"/>
    <customWorkbookView activeSheetId="0" maximized="1" windowHeight="0" windowWidth="0" guid="{19C99435-BB4A-40BD-AF7A-AFF50A0DD72F}" name="Backtracking"/>
    <customWorkbookView activeSheetId="0" maximized="1" windowHeight="0" windowWidth="0" guid="{37F9EE25-F6FC-4512-A0D9-337265C971B7}" name="Graph"/>
    <customWorkbookView activeSheetId="0" maximized="1" windowHeight="0" windowWidth="0" guid="{2410355E-E128-4F99-BD13-6547AADD0923}" name="Filter 1"/>
    <customWorkbookView activeSheetId="0" maximized="1" windowHeight="0" windowWidth="0" guid="{7C36F5CD-F989-47DE-B3CD-D32786A5B514}" name="Hashing"/>
    <customWorkbookView activeSheetId="0" maximized="1" windowHeight="0" windowWidth="0" guid="{0118F1B5-0641-4C15-A376-8DA0097A42D2}" name="Tree"/>
    <customWorkbookView activeSheetId="0" maximized="1" windowHeight="0" windowWidth="0" guid="{949C247F-0934-46EF-8FAF-305720E6A123}" name="Binary"/>
    <customWorkbookView activeSheetId="0" maximized="1" windowHeight="0" windowWidth="0" guid="{908302CB-6BCD-41DB-A120-B1E78216FC7E}" name="Greedy"/>
    <customWorkbookView activeSheetId="0" maximized="1" windowHeight="0" windowWidth="0" guid="{48CD4723-015A-47AC-AD06-846CA38B948C}" name="Queue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58">
      <text>
        <t xml:space="preserve">Todo
	-Naman Kumar</t>
      </text>
    </comment>
    <comment authorId="0" ref="A118">
      <text>
        <t xml:space="preserve">Easies till here attempted or added to the relevant LC list
	-Naman Kumar</t>
      </text>
    </comment>
    <comment authorId="0" ref="C33">
      <text>
        <t xml:space="preserve">Done
	-Anonymous</t>
      </text>
    </comment>
    <comment authorId="0" ref="A373">
      <text>
        <t xml:space="preserve">Done
	-Anonymous</t>
      </text>
    </comment>
    <comment authorId="0" ref="C411">
      <text>
        <t xml:space="preserve">todo
	-Vikas Panwar</t>
      </text>
    </comment>
    <comment authorId="0" ref="A27">
      <text>
        <t xml:space="preserve">done
	-Nimesh Sinha</t>
      </text>
    </comment>
    <comment authorId="0" ref="C375">
      <text>
        <t xml:space="preserve">till here
	-Vikas Panwar</t>
      </text>
    </comment>
    <comment authorId="0" ref="C60">
      <text>
        <t xml:space="preserve">Done
	-Vidhi Angrish</t>
      </text>
    </comment>
    <comment authorId="0" ref="C66">
      <text>
        <t xml:space="preserve">Done
	-Vidhi Angrish
wtf happened to this sheet
	-Ayushman Sharma
it has been fixed now
	-Aditya Rajput</t>
      </text>
    </comment>
    <comment authorId="0" ref="C73">
      <text>
        <t xml:space="preserve">Done
	-Vidhi Angrish</t>
      </text>
    </comment>
    <comment authorId="0" ref="C67">
      <text>
        <t xml:space="preserve">Done
	-Vidhi Angrish</t>
      </text>
    </comment>
    <comment authorId="0" ref="C36">
      <text>
        <t xml:space="preserve">done
	-Vikas Panwar</t>
      </text>
    </comment>
    <comment authorId="0" ref="C166">
      <text>
        <t xml:space="preserve">26/04/2022 9:11pm
	-Vikas Panwar
@Vikas are you following any sheet
	-Anonymous</t>
      </text>
    </comment>
  </commentList>
</comments>
</file>

<file path=xl/sharedStrings.xml><?xml version="1.0" encoding="utf-8"?>
<sst xmlns="http://schemas.openxmlformats.org/spreadsheetml/2006/main" count="1263" uniqueCount="493">
  <si>
    <r>
      <rPr>
        <b/>
        <sz val="14.0"/>
      </rPr>
      <t xml:space="preserve">Filter by Topics:  </t>
    </r>
    <r>
      <rPr>
        <b/>
        <sz val="11.0"/>
      </rPr>
      <t xml:space="preserve">        </t>
    </r>
    <r>
      <rPr>
        <b/>
        <color rgb="FF1155CC"/>
        <sz val="11.0"/>
        <u/>
      </rPr>
      <t>Sorting</t>
    </r>
  </si>
  <si>
    <t>Last updated:</t>
  </si>
  <si>
    <t>Q. No.</t>
  </si>
  <si>
    <t>Name / Link</t>
  </si>
  <si>
    <t>Likes
(L)</t>
  </si>
  <si>
    <t>Dislikes
(D)</t>
  </si>
  <si>
    <t>Reactions
(L+D)</t>
  </si>
  <si>
    <t>L/D
Ratio</t>
  </si>
  <si>
    <t>Acceptance
Rate</t>
  </si>
  <si>
    <t>Category</t>
  </si>
  <si>
    <t xml:space="preserve">  Topic Tags</t>
  </si>
  <si>
    <t>Difficulty</t>
  </si>
  <si>
    <t>Free?</t>
  </si>
  <si>
    <t>Has
Solution?</t>
  </si>
  <si>
    <t>Has Video
Solution?</t>
  </si>
  <si>
    <t>Total
Accepted</t>
  </si>
  <si>
    <t>Total
Submitted</t>
  </si>
  <si>
    <t>String</t>
  </si>
  <si>
    <t xml:space="preserve">Array, Hash Table, </t>
  </si>
  <si>
    <t xml:space="preserve">Array, Divide and Conquer, Dynamic Programming, </t>
  </si>
  <si>
    <t xml:space="preserve">Array, Two Pointers, Dynamic Programming, Stack, Monotonic Stack, </t>
  </si>
  <si>
    <t xml:space="preserve">Array, Two Pointers, Sorting, </t>
  </si>
  <si>
    <t xml:space="preserve">Array, Two Pointers, Greedy, </t>
  </si>
  <si>
    <t xml:space="preserve">Array, Dynamic Programming, </t>
  </si>
  <si>
    <t xml:space="preserve">Array, Binary Search, Divide and Conquer, </t>
  </si>
  <si>
    <t xml:space="preserve">Array, Binary Search, </t>
  </si>
  <si>
    <t xml:space="preserve">Array, Two Pointers, Binary Search, Bit Manipulation, </t>
  </si>
  <si>
    <t>ABCD</t>
  </si>
  <si>
    <t xml:space="preserve">Array, Depth-First Search, Breadth-First Search, Union Find, Matrix, </t>
  </si>
  <si>
    <t xml:space="preserve">Array, Sorting, </t>
  </si>
  <si>
    <t xml:space="preserve">Array, Hash Table, Prefix Sum, </t>
  </si>
  <si>
    <t xml:space="preserve">Array, Prefix Sum, </t>
  </si>
  <si>
    <t xml:space="preserve">Array, Binary Search, Dynamic Programming, </t>
  </si>
  <si>
    <t xml:space="preserve">Array, Dynamic Programming, Breadth-First Search, </t>
  </si>
  <si>
    <t xml:space="preserve">Array, Backtracking, </t>
  </si>
  <si>
    <t xml:space="preserve">Array, Hash Table, Union Find, </t>
  </si>
  <si>
    <t xml:space="preserve">Array, Dynamic Programming, Greedy, </t>
  </si>
  <si>
    <t xml:space="preserve">Array, Two Pointers, </t>
  </si>
  <si>
    <t xml:space="preserve">Array, Stack, Monotonic Stack, </t>
  </si>
  <si>
    <t xml:space="preserve">Array, Backtracking, Bit Manipulation, </t>
  </si>
  <si>
    <t xml:space="preserve">Array, Queue, Sliding Window, Heap (Priority Queue), Monotonic Queue, </t>
  </si>
  <si>
    <t xml:space="preserve">Array, Divide and Conquer, Sorting, Heap (Priority Queue), Quickselect, </t>
  </si>
  <si>
    <t xml:space="preserve">Array, Hash Table, Divide and Conquer, Sorting, Counting, </t>
  </si>
  <si>
    <t xml:space="preserve">Array, Bit Manipulation, </t>
  </si>
  <si>
    <t xml:space="preserve">Array, Hash Table, String, Sorting, </t>
  </si>
  <si>
    <t xml:space="preserve">Array, Math, Matrix, </t>
  </si>
  <si>
    <t xml:space="preserve">Array, Math, Two Pointers, </t>
  </si>
  <si>
    <t xml:space="preserve">Array, Hash Table, Divide and Conquer, Tree, Binary Tree, </t>
  </si>
  <si>
    <t xml:space="preserve">Array, Hash Table, Divide and Conquer, Sorting, Heap (Priority Queue), Bucket Sort, Counting, Quickselect, </t>
  </si>
  <si>
    <t xml:space="preserve">Array, Backtracking, Matrix, </t>
  </si>
  <si>
    <t xml:space="preserve">Array, Binary Search, Divide and Conquer, Matrix, </t>
  </si>
  <si>
    <t xml:space="preserve">Array, Binary Search, Matrix, </t>
  </si>
  <si>
    <t xml:space="preserve">Array, Hash Table, Matrix, </t>
  </si>
  <si>
    <t xml:space="preserve">Array, Matrix, Simulation, </t>
  </si>
  <si>
    <t xml:space="preserve">Array, Dynamic Programming, Matrix, </t>
  </si>
  <si>
    <t xml:space="preserve">Array, Dynamic Programming, Backtracking, </t>
  </si>
  <si>
    <t xml:space="preserve">Array, Breadth-First Search, Matrix, </t>
  </si>
  <si>
    <t xml:space="preserve">Array, Binary Search, Sliding Window, Prefix Sum, </t>
  </si>
  <si>
    <t xml:space="preserve">Array, Dynamic Programming, Stack, Matrix, Monotonic Stack, </t>
  </si>
  <si>
    <t xml:space="preserve">Array, Binary Search, Divide and Conquer, Binary Indexed Tree, Segment Tree, Merge Sort, Ordered Set, </t>
  </si>
  <si>
    <t xml:space="preserve">Array, Two Pointers, Binary Search, </t>
  </si>
  <si>
    <t xml:space="preserve">Array, Divide and Conquer, Tree, Binary Search Tree, Binary Tree, </t>
  </si>
  <si>
    <t xml:space="preserve">Array, Hash Table, Greedy, Sorting, Heap (Priority Queue), Counting, </t>
  </si>
  <si>
    <t xml:space="preserve">Array, Dynamic Programming, Depth-First Search, Breadth-First Search, Graph, Topological Sort, Memoization, Matrix, </t>
  </si>
  <si>
    <t xml:space="preserve">Array, Hash Table, Math, Binary Search, Bit Manipulation, Sorting, </t>
  </si>
  <si>
    <t xml:space="preserve">Array, Two Pointers, Stack, Greedy, Sorting, Monotonic Stack, </t>
  </si>
  <si>
    <t xml:space="preserve">Array, Greedy, </t>
  </si>
  <si>
    <t xml:space="preserve">Array, String, Backtracking, Trie, Matrix, </t>
  </si>
  <si>
    <t xml:space="preserve">Array, Binary Search, Dynamic Programming, Greedy, </t>
  </si>
  <si>
    <t xml:space="preserve">Array, Binary Search, Sorting, Heap (Priority Queue), Matrix, </t>
  </si>
  <si>
    <t xml:space="preserve">Array, Greedy, Binary Indexed Tree, Segment Tree, Sorting, </t>
  </si>
  <si>
    <t xml:space="preserve">Array, Depth-First Search, Breadth-First Search, Union Find, Graph, Shortest Path, </t>
  </si>
  <si>
    <t xml:space="preserve">Array, Math, Divide and Conquer, Geometry, Sorting, Heap (Priority Queue), Quickselect, </t>
  </si>
  <si>
    <t xml:space="preserve">Array, Two Pointers, Greedy, Sorting, Heap (Priority Queue), </t>
  </si>
  <si>
    <t xml:space="preserve">Array, Hash Table, Sorting, </t>
  </si>
  <si>
    <t xml:space="preserve">Array, Hash Table, Math, Design, Randomized, </t>
  </si>
  <si>
    <t xml:space="preserve">Array, Hash Table, Sorting, Counting, </t>
  </si>
  <si>
    <t xml:space="preserve">Array, </t>
  </si>
  <si>
    <t xml:space="preserve">Array, Dynamic Programming, Backtracking, Bit Manipulation, Memoization, Bitmask, </t>
  </si>
  <si>
    <t xml:space="preserve">Array, Hash Table, Dynamic Programming, </t>
  </si>
  <si>
    <t xml:space="preserve">Array, Math, Enumeration, Number Theory, </t>
  </si>
  <si>
    <t xml:space="preserve">Array, Dynamic Programming, Breadth-First Search, Matrix, </t>
  </si>
  <si>
    <t xml:space="preserve">Array, Hash Table, Two Pointers, String, Dynamic Programming, </t>
  </si>
  <si>
    <t xml:space="preserve">Array, Hash Table, Two Pointers, Binary Search, Sorting, </t>
  </si>
  <si>
    <t xml:space="preserve">Array, Depth-First Search, Breadth-First Search, Matrix, </t>
  </si>
  <si>
    <t xml:space="preserve">Array, Binary Search, Stack, Monotonic Stack, Ordered Set, </t>
  </si>
  <si>
    <t xml:space="preserve">Array, Math, </t>
  </si>
  <si>
    <t xml:space="preserve">Array, Two Pointers, Binary Search, Sorting, Heap (Priority Queue), </t>
  </si>
  <si>
    <t xml:space="preserve">Array, String, Depth-First Search, Breadth-First Search, Union Find, </t>
  </si>
  <si>
    <t xml:space="preserve">Array, Sliding Window, Prefix Sum, </t>
  </si>
  <si>
    <t xml:space="preserve">Array, Dynamic Programming, Greedy, Sorting, </t>
  </si>
  <si>
    <t xml:space="preserve">Array, Binary Search, Dynamic Programming, Sorting, </t>
  </si>
  <si>
    <t xml:space="preserve">Array, Sliding Window, </t>
  </si>
  <si>
    <t xml:space="preserve">Array, Hash Table, Bit Manipulation, Trie, </t>
  </si>
  <si>
    <t xml:space="preserve">Array, String, Dynamic Programming, </t>
  </si>
  <si>
    <t xml:space="preserve">Array, Binary Search, Dynamic Programming, Sliding Window, Rolling Hash, Hash Function, </t>
  </si>
  <si>
    <t xml:space="preserve">Array, Stack, Tree, Binary Search Tree, Monotonic Stack, Binary Tree, </t>
  </si>
  <si>
    <t xml:space="preserve">Array, Divide and Conquer, Binary Indexed Tree, Segment Tree, Line Sweep, Heap (Priority Queue), Ordered Set, </t>
  </si>
  <si>
    <t xml:space="preserve">Array, Divide and Conquer, Stack, Tree, Monotonic Stack, Binary Tree, </t>
  </si>
  <si>
    <t xml:space="preserve">Array, Dynamic Programming, Stack, Monotonic Stack, </t>
  </si>
  <si>
    <t xml:space="preserve">Array, Dynamic Programming, Binary Indexed Tree, Segment Tree, </t>
  </si>
  <si>
    <t xml:space="preserve">Array, Design, Matrix, Prefix Sum, </t>
  </si>
  <si>
    <t xml:space="preserve">Array, Stack, </t>
  </si>
  <si>
    <t xml:space="preserve">Array, Greedy, Sorting, </t>
  </si>
  <si>
    <t xml:space="preserve">Array, String, Depth-First Search, Breadth-First Search, Graph, Topological Sort, </t>
  </si>
  <si>
    <t xml:space="preserve">Array, Greedy, Heap (Priority Queue), </t>
  </si>
  <si>
    <t xml:space="preserve">Array, Hash Table, Graph, </t>
  </si>
  <si>
    <t xml:space="preserve">Array, Stack, Simulation, </t>
  </si>
  <si>
    <t xml:space="preserve">Array, Hash Table, Stack, Monotonic Stack, </t>
  </si>
  <si>
    <t xml:space="preserve">Array, Math, Stack, </t>
  </si>
  <si>
    <t xml:space="preserve">Array, String, Trie, </t>
  </si>
  <si>
    <t xml:space="preserve">Array, Hash Table, Binary Search, Sliding Window, Prefix Sum, </t>
  </si>
  <si>
    <t xml:space="preserve">Array, Math, Dynamic Programming, Sorting, </t>
  </si>
  <si>
    <t xml:space="preserve">Array, Divide and Conquer, Dynamic Programming, Queue, Monotonic Queue, </t>
  </si>
  <si>
    <t xml:space="preserve">Array, Heap (Priority Queue), </t>
  </si>
  <si>
    <t xml:space="preserve">Array, Sorting, Heap (Priority Queue), Simulation, Prefix Sum, </t>
  </si>
  <si>
    <t xml:space="preserve">Array, Hash Table, Linked List, Design, Hash Function, </t>
  </si>
  <si>
    <t xml:space="preserve">Array, Binary Search, Depth-First Search, Breadth-First Search, Union Find, Heap (Priority Queue), Matrix, </t>
  </si>
  <si>
    <t xml:space="preserve">Array, Hash Table, Sliding Window, Counting, </t>
  </si>
  <si>
    <t xml:space="preserve">Array, Hash Table, Counting, </t>
  </si>
  <si>
    <t xml:space="preserve">Array, Two Pointers, Greedy, Sorting, </t>
  </si>
  <si>
    <t xml:space="preserve">Array, Math, Dynamic Programming, Recursion, Game Theory, </t>
  </si>
  <si>
    <t xml:space="preserve">Array, Dynamic Programming, Backtracking, Bit Manipulation, Bitmask, </t>
  </si>
  <si>
    <t xml:space="preserve">Array, Binary Search, Queue, Sliding Window, Heap (Priority Queue), Prefix Sum, Monotonic Queue, </t>
  </si>
  <si>
    <t xml:space="preserve">Array, Backtracking, Bit Manipulation, Matrix, </t>
  </si>
  <si>
    <t xml:space="preserve">Array, Hash Table, String, Breadth-First Search, </t>
  </si>
  <si>
    <t xml:space="preserve">Array, Design, Binary Indexed Tree, Segment Tree, </t>
  </si>
  <si>
    <t xml:space="preserve">Array, Depth-First Search, Breadth-First Search, </t>
  </si>
  <si>
    <t xml:space="preserve">Array, Hash Table, String, </t>
  </si>
  <si>
    <t xml:space="preserve">Array, String, Bit Manipulation, </t>
  </si>
  <si>
    <t xml:space="preserve">Array, Math, Sorting, </t>
  </si>
  <si>
    <t xml:space="preserve">Array, Breadth-First Search, Heap (Priority Queue), Matrix, </t>
  </si>
  <si>
    <t xml:space="preserve">Array, Hash Table, Sliding Window, </t>
  </si>
  <si>
    <t xml:space="preserve">Array, Hash Table, String, Trie, </t>
  </si>
  <si>
    <t xml:space="preserve">Array, Two Pointers, Binary Search, Greedy, Sorting, </t>
  </si>
  <si>
    <t xml:space="preserve">Array, Dynamic Programming, Queue, Sliding Window, Heap (Priority Queue), Monotonic Queue, </t>
  </si>
  <si>
    <t xml:space="preserve">Array, Hash Table, Math, Counting, </t>
  </si>
  <si>
    <t xml:space="preserve">Array, Union Find, Minimum Spanning Tree, </t>
  </si>
  <si>
    <t xml:space="preserve">Array, Hash Table, Matrix, Prefix Sum, </t>
  </si>
  <si>
    <t xml:space="preserve">Array, Dynamic Programming, Greedy, Heap (Priority Queue), </t>
  </si>
  <si>
    <t xml:space="preserve">Array, Sliding Window, Sorting, Bucket Sort, Ordered Set, </t>
  </si>
  <si>
    <t xml:space="preserve">Array, Divide and Conquer, Sorting, Heap (Priority Queue), Merge Sort, Bucket Sort, Radix Sort, Counting Sort, </t>
  </si>
  <si>
    <t xml:space="preserve">Array, Queue, Sliding Window, Heap (Priority Queue), Ordered Set, Monotonic Queue, </t>
  </si>
  <si>
    <t xml:space="preserve">Array, Hash Table, Breadth-First Search, </t>
  </si>
  <si>
    <t xml:space="preserve">Array, Hash Table, Greedy, Sliding Window, Sorting, Heap (Priority Queue), </t>
  </si>
  <si>
    <t xml:space="preserve">Array, Hash Table, Sliding Window, Heap (Priority Queue), </t>
  </si>
  <si>
    <t xml:space="preserve">Array, Two Pointers, Matrix, Simulation, </t>
  </si>
  <si>
    <t xml:space="preserve">Array, Two Pointers, String, </t>
  </si>
  <si>
    <t xml:space="preserve">Array, Linked List, Stack, Monotonic Stack, </t>
  </si>
  <si>
    <t xml:space="preserve">Array, Hash Table, Two Pointers, Sorting, Counting, </t>
  </si>
  <si>
    <t xml:space="preserve">Array, Math, Prefix Sum, </t>
  </si>
  <si>
    <t xml:space="preserve">Array, Hash Table, Binary Search, Dynamic Programming, </t>
  </si>
  <si>
    <t xml:space="preserve">Array, Hash Table, Greedy, Heap (Priority Queue), </t>
  </si>
  <si>
    <t xml:space="preserve">Array, Sorting, Bucket Sort, Radix Sort, </t>
  </si>
  <si>
    <t xml:space="preserve">Array, Divide and Conquer, Sorting, Quickselect, </t>
  </si>
  <si>
    <t xml:space="preserve">Array, Hash Table, Math, Prefix Sum, </t>
  </si>
  <si>
    <t xml:space="preserve">Array, Design, Prefix Sum, </t>
  </si>
  <si>
    <t xml:space="preserve">Array, Matrix, </t>
  </si>
  <si>
    <t xml:space="preserve">Array, Math, Dynamic Programming, Game Theory, </t>
  </si>
  <si>
    <t xml:space="preserve">Array, Two Pointers, Binary Search, Sorting, </t>
  </si>
  <si>
    <t xml:space="preserve">Array, Hash Table, Bit Manipulation, Sorting, </t>
  </si>
  <si>
    <t xml:space="preserve">Array, String, Dynamic Programming, Depth-First Search, Trie, </t>
  </si>
  <si>
    <t xml:space="preserve">Array, Two Pointers, Dynamic Programming, Enumeration, </t>
  </si>
  <si>
    <t xml:space="preserve">Array, Dynamic Programming, Binary Indexed Tree, </t>
  </si>
  <si>
    <t xml:space="preserve">Array, Stack, Greedy, Sorting, Monotonic Stack, </t>
  </si>
  <si>
    <t xml:space="preserve">Array, Binary Search, Dynamic Programming, Matrix, Ordered Set, </t>
  </si>
  <si>
    <t xml:space="preserve">Array, Queue, Sorting, Simulation, </t>
  </si>
  <si>
    <t xml:space="preserve">Array, Hash Table, Math, Sliding Window, </t>
  </si>
  <si>
    <t xml:space="preserve">Array, String, Simulation, </t>
  </si>
  <si>
    <t xml:space="preserve">Array, Depth-First Search, </t>
  </si>
  <si>
    <t xml:space="preserve">Array, String, Backtracking, Bit Manipulation, </t>
  </si>
  <si>
    <t xml:space="preserve">Array, Hash Table, Two Pointers, Sorting, </t>
  </si>
  <si>
    <t xml:space="preserve">Array, Dynamic Programming, Sliding Window, </t>
  </si>
  <si>
    <t xml:space="preserve">Array, Greedy, Matrix, </t>
  </si>
  <si>
    <t xml:space="preserve">Array, Hash Table, Binary Search, Design, </t>
  </si>
  <si>
    <t xml:space="preserve">Array, Linked List, Design, Queue, </t>
  </si>
  <si>
    <t xml:space="preserve">Array, Matrix, Prefix Sum, </t>
  </si>
  <si>
    <t xml:space="preserve">String, Binary Search, Sliding Window, Rolling Hash, Suffix Array, Hash Function, </t>
  </si>
  <si>
    <t xml:space="preserve">Array, Math, Two Pointers, String, Greedy, </t>
  </si>
  <si>
    <t xml:space="preserve">Array, Hash Table, Sorting, Counting Sort, </t>
  </si>
  <si>
    <t xml:space="preserve">Array, String, Sorting, </t>
  </si>
  <si>
    <t xml:space="preserve">Array, Sorting, Matrix, </t>
  </si>
  <si>
    <t xml:space="preserve">Array, Hash Table, Design, Matrix, </t>
  </si>
  <si>
    <t xml:space="preserve">Array, Math, Bit Manipulation, </t>
  </si>
  <si>
    <t xml:space="preserve">Array, String, Union Find, Graph, </t>
  </si>
  <si>
    <t xml:space="preserve">Array, Greedy, Sorting, Heap (Priority Queue), </t>
  </si>
  <si>
    <t xml:space="preserve">Array, Stack, Sorting, Monotonic Stack, </t>
  </si>
  <si>
    <t xml:space="preserve">Array, Depth-First Search, Matrix, </t>
  </si>
  <si>
    <t xml:space="preserve">Array, Greedy, Heap (Priority Queue), Ordered Set, </t>
  </si>
  <si>
    <t xml:space="preserve">Array, Math, Greedy, </t>
  </si>
  <si>
    <t xml:space="preserve">Array, Dynamic Programming, Memoization, </t>
  </si>
  <si>
    <t xml:space="preserve">Array, Design, Iterator, </t>
  </si>
  <si>
    <t xml:space="preserve">Array, Math, Dynamic Programming, </t>
  </si>
  <si>
    <t xml:space="preserve">Array, Hash Table, Binary Search, Design, Queue, </t>
  </si>
  <si>
    <t xml:space="preserve">Array, String, </t>
  </si>
  <si>
    <t xml:space="preserve">Array, Hash Table, Backtracking, Bit Manipulation, </t>
  </si>
  <si>
    <t xml:space="preserve">Array, String, Design, Trie, Data Stream, </t>
  </si>
  <si>
    <t xml:space="preserve">Array, Hash Table, Math, Geometry, Sorting, </t>
  </si>
  <si>
    <t xml:space="preserve">Array, Sorting, Heap (Priority Queue), </t>
  </si>
  <si>
    <t xml:space="preserve">Array, Simulation, </t>
  </si>
  <si>
    <t xml:space="preserve">Array, Dynamic Programming, Stack, Monotonic Stack, Ordered Set, </t>
  </si>
  <si>
    <t xml:space="preserve">Array, Math, Recursion, Queue, Simulation, </t>
  </si>
  <si>
    <t xml:space="preserve">Array, Union Find, </t>
  </si>
  <si>
    <t xml:space="preserve">Array, Hash Table, String, Trie, Sorting, </t>
  </si>
  <si>
    <t xml:space="preserve">Array, Hash Table, Sliding Window, Prefix Sum, </t>
  </si>
  <si>
    <t xml:space="preserve">Array, Linked List, Stack, Design, Doubly-Linked List, Data Stream, </t>
  </si>
  <si>
    <t xml:space="preserve">Array, Hash Table, Greedy, Sorting, </t>
  </si>
  <si>
    <t xml:space="preserve">Array, Binary Search, Greedy, Sliding Window, Sorting, Prefix Sum, </t>
  </si>
  <si>
    <t xml:space="preserve">Array, Two Pointers, String, Sorting, </t>
  </si>
  <si>
    <t xml:space="preserve">Array, Stack, Greedy, Monotonic Stack, </t>
  </si>
  <si>
    <t xml:space="preserve">Array, Hash Table, Binary Search, Sorting, </t>
  </si>
  <si>
    <t xml:space="preserve">Array, Hash Table, Greedy, Sorting, Heap (Priority Queue), </t>
  </si>
  <si>
    <t xml:space="preserve">Array, Binary Search, Interactive, </t>
  </si>
  <si>
    <t xml:space="preserve">Array, Design, Queue, Data Stream, </t>
  </si>
  <si>
    <t xml:space="preserve">Array, Hash Table, Math, Counting, Number Theory, </t>
  </si>
  <si>
    <t xml:space="preserve">Array, Binary Search, Sorting, </t>
  </si>
  <si>
    <t xml:space="preserve">Array, Math, Union Find, </t>
  </si>
  <si>
    <t xml:space="preserve">Array, Hash Table, Binary Search, Dynamic Programming, Sliding Window, </t>
  </si>
  <si>
    <t xml:space="preserve">Array, Hash Table, Math, Geometry, </t>
  </si>
  <si>
    <t xml:space="preserve">Array, Sorting, Counting Sort, </t>
  </si>
  <si>
    <t xml:space="preserve">Array, Hash Table, Math, Bit Manipulation, </t>
  </si>
  <si>
    <t xml:space="preserve">Array, Math, String, Interactive, Game Theory, </t>
  </si>
  <si>
    <t xml:space="preserve">Array, Math, Geometry, </t>
  </si>
  <si>
    <t xml:space="preserve">Array, Stack, Design, </t>
  </si>
  <si>
    <t xml:space="preserve">Array, Math, Greedy, Sorting, </t>
  </si>
  <si>
    <t xml:space="preserve">Array, Math, Backtracking, </t>
  </si>
  <si>
    <t xml:space="preserve">Array, Breadth-First Search, Graph, Heap (Priority Queue), Matrix, Shortest Path, </t>
  </si>
  <si>
    <t xml:space="preserve">Array, Math, String, Sorting, </t>
  </si>
  <si>
    <t xml:space="preserve">Array, Greedy, Sorting, Counting, </t>
  </si>
  <si>
    <t xml:space="preserve">Array, String, Dynamic Programming, Greedy, </t>
  </si>
  <si>
    <t xml:space="preserve">Array, Hash Table, String, Counting, </t>
  </si>
  <si>
    <t xml:space="preserve">Array, Bit Manipulation, Sorting, Counting, </t>
  </si>
  <si>
    <t xml:space="preserve">Array, Greedy, Bit Manipulation, Matrix, </t>
  </si>
  <si>
    <t xml:space="preserve">Array, Two Pointers, Binary Search, Stack, Monotonic Stack, </t>
  </si>
  <si>
    <t xml:space="preserve">Array, Hash Table, String, Bit Manipulation, Trie, </t>
  </si>
  <si>
    <t xml:space="preserve">Array, Hash Table, Binary Search, Greedy, Heap (Priority Queue), </t>
  </si>
  <si>
    <t xml:space="preserve">Array, String, Dynamic Programming, Bit Manipulation, Bitmask, </t>
  </si>
  <si>
    <t xml:space="preserve">Array, Math, Binary Search, Dynamic Programming, </t>
  </si>
  <si>
    <t xml:space="preserve">Array, Depth-First Search, Breadth-First Search, Union Find, Heap (Priority Queue), Matrix, </t>
  </si>
  <si>
    <t xml:space="preserve">Array, Two Pointers, Binary Search, Dynamic Programming, Bit Manipulation, Ordered Set, Bitmask, </t>
  </si>
  <si>
    <t xml:space="preserve">Array, Hash Table, Stack, Monotonic Stack, Prefix Sum, </t>
  </si>
  <si>
    <t xml:space="preserve">Array, Dynamic Programming, Bit Manipulation, </t>
  </si>
  <si>
    <t xml:space="preserve">Array, Hash Table, String, Bit Manipulation, </t>
  </si>
  <si>
    <t xml:space="preserve">Array, Bit Manipulation, Prefix Sum, </t>
  </si>
  <si>
    <t xml:space="preserve">Array, Math, Design, Queue, Data Stream, </t>
  </si>
  <si>
    <t xml:space="preserve">Array, Hash Table, Math, Bit Manipulation, Prefix Sum, </t>
  </si>
  <si>
    <t xml:space="preserve">Array, Dynamic Programming, Depth-First Search, Matrix, Simulation, </t>
  </si>
  <si>
    <t xml:space="preserve">Array, Binary Search, Matrix, Interactive, </t>
  </si>
  <si>
    <t xml:space="preserve">Array, Hash Table, Greedy, Sorting, Counting, </t>
  </si>
  <si>
    <t xml:space="preserve">Array, Greedy, Sorting, Counting Sort, </t>
  </si>
  <si>
    <t xml:space="preserve">Array, Dynamic Programming, Stack, Greedy, Monotonic Stack, </t>
  </si>
  <si>
    <t xml:space="preserve">Array, Depth-First Search, Breadth-First Search, Union Find, Matrix, Counting, </t>
  </si>
  <si>
    <t xml:space="preserve">Array, String, Backtracking, Trie, </t>
  </si>
  <si>
    <t xml:space="preserve">Array, Hash Table, Matrix, Simulation, </t>
  </si>
  <si>
    <t xml:space="preserve">Array, Hash Table, String, Graph, Topological Sort, </t>
  </si>
  <si>
    <t xml:space="preserve">Array, Hash Table, Tree, Depth-First Search, Breadth-First Search, </t>
  </si>
  <si>
    <t xml:space="preserve">Array, Two Pointers, Binary Search, Prefix Sum, </t>
  </si>
  <si>
    <t xml:space="preserve">Array, String, Design, </t>
  </si>
  <si>
    <t xml:space="preserve">Array, Hash Table, String, Trie, String Matching, </t>
  </si>
  <si>
    <t xml:space="preserve">Array, Stack, Monotonic Stack, Prefix Sum, </t>
  </si>
  <si>
    <t xml:space="preserve">Array, Math, Sorting, Matrix, </t>
  </si>
  <si>
    <t xml:space="preserve">Array, Hash Table, Two Pointers, String, Design, </t>
  </si>
  <si>
    <t xml:space="preserve">Array, Math, Dynamic Programming, Bit Manipulation, Bitmask, </t>
  </si>
  <si>
    <t xml:space="preserve">Array, Binary Search, Heap (Priority Queue), Matrix, </t>
  </si>
  <si>
    <t xml:space="preserve">Array, Stack, Queue, Simulation, </t>
  </si>
  <si>
    <t xml:space="preserve">Array, Hash Table, String, Sorting, Counting, </t>
  </si>
  <si>
    <t xml:space="preserve">Array, Dynamic Programming, Sorting, </t>
  </si>
  <si>
    <t xml:space="preserve">Array, Math, Backtracking, Bit Manipulation, Combinatorics, </t>
  </si>
  <si>
    <t xml:space="preserve">Array, Hash Table, Two Pointers, Design, </t>
  </si>
  <si>
    <t xml:space="preserve">Array, Bit Manipulation, Sliding Window, Prefix Sum, </t>
  </si>
  <si>
    <t xml:space="preserve">Array, Union Find, Matrix, </t>
  </si>
  <si>
    <t xml:space="preserve">Array, Math, Randomized, </t>
  </si>
  <si>
    <t xml:space="preserve">Array, Binary Search, Matrix, Prefix Sum, </t>
  </si>
  <si>
    <t xml:space="preserve">Array, Math, Dynamic Programming, Prefix Sum, </t>
  </si>
  <si>
    <t xml:space="preserve">Array, Math, Divide and Conquer, </t>
  </si>
  <si>
    <t xml:space="preserve">Array, Math, Binary Search, Greedy, Sorting, Heap (Priority Queue), </t>
  </si>
  <si>
    <t xml:space="preserve">Array, Hash Table, Greedy, Prefix Sum, </t>
  </si>
  <si>
    <t xml:space="preserve">Array, Binary Search, Sorting, Heap (Priority Queue), </t>
  </si>
  <si>
    <t xml:space="preserve">Array, Segment Tree, Line Sweep, Ordered Set, </t>
  </si>
  <si>
    <t xml:space="preserve">Array, Hash Table, Math, Greedy, </t>
  </si>
  <si>
    <t xml:space="preserve">Array, Math, Simulation, </t>
  </si>
  <si>
    <t xml:space="preserve">Array, String, Recursion, </t>
  </si>
  <si>
    <t xml:space="preserve">Array, String, Dynamic Programming, Backtracking, Bit Manipulation, Bitmask, </t>
  </si>
  <si>
    <t xml:space="preserve">Array, Greedy, Sorting, Matrix, </t>
  </si>
  <si>
    <t xml:space="preserve">Array, Dynamic Programming, Bit Manipulation, Bitmask, </t>
  </si>
  <si>
    <t xml:space="preserve">Array, Two Pointers, Binary Search, Greedy, </t>
  </si>
  <si>
    <t xml:space="preserve">Array, Design, Queue, Matrix, </t>
  </si>
  <si>
    <t xml:space="preserve">Array, Binary Indexed Tree, Sliding Window, Ordered Set, </t>
  </si>
  <si>
    <t xml:space="preserve">Array, Hash Table, String, Depth-First Search, Breadth-First Search, Union Find, </t>
  </si>
  <si>
    <t xml:space="preserve">Array, Depth-First Search, Graph, Topological Sort, </t>
  </si>
  <si>
    <t xml:space="preserve">Array, Math, Greedy, Sorting, Game Theory, </t>
  </si>
  <si>
    <t xml:space="preserve">Array, Math, Dynamic Programming, Backtracking, Bit Manipulation, Bitmask, </t>
  </si>
  <si>
    <t xml:space="preserve">Array, Bit Manipulation, Breadth-First Search, Matrix, </t>
  </si>
  <si>
    <t xml:space="preserve">Array, Design, Binary Indexed Tree, Segment Tree, Matrix, </t>
  </si>
  <si>
    <t xml:space="preserve">Array, Binary Search, Sorting, Ordered Set, </t>
  </si>
  <si>
    <t xml:space="preserve">Array, Bit Manipulation, Trie, </t>
  </si>
  <si>
    <t xml:space="preserve">Array, Two Pointers, Dynamic Programming, Greedy, </t>
  </si>
  <si>
    <t xml:space="preserve">Array, Counting, </t>
  </si>
  <si>
    <t xml:space="preserve">Array, String, Binary Search, </t>
  </si>
  <si>
    <t xml:space="preserve">Array, Greedy, Union Find, Graph, Topological Sort, Matrix, </t>
  </si>
  <si>
    <t xml:space="preserve">Array, Hash Table, Math, </t>
  </si>
  <si>
    <t xml:space="preserve">Array, Math, Stack, Heap (Priority Queue), Monotonic Stack, </t>
  </si>
  <si>
    <t xml:space="preserve">Array, Depth-First Search, Union Find, </t>
  </si>
  <si>
    <t xml:space="preserve">Array, String, Backtracking, </t>
  </si>
  <si>
    <t xml:space="preserve">Array, Two Pointers, Matrix, </t>
  </si>
  <si>
    <t xml:space="preserve">Array, Line Sweep, </t>
  </si>
  <si>
    <t xml:space="preserve">Array, Dynamic Programming, Bit Manipulation, Matrix, Bitmask, </t>
  </si>
  <si>
    <t xml:space="preserve">Array, Math, Depth-First Search, Breadth-First Search, Graph, Geometry, </t>
  </si>
  <si>
    <t xml:space="preserve">Array, String, Divide and Conquer, Sorting, Heap (Priority Queue), Quickselect, </t>
  </si>
  <si>
    <t xml:space="preserve">Array, Two Pointers, Simulation, </t>
  </si>
  <si>
    <t xml:space="preserve">Array, Stack, Greedy, </t>
  </si>
  <si>
    <t xml:space="preserve">Array, Math, Two Pointers, Sorting, </t>
  </si>
  <si>
    <t xml:space="preserve">Array, Two Pointers, Design, Iterator, </t>
  </si>
  <si>
    <t xml:space="preserve">Array, Design, Queue, Iterator, </t>
  </si>
  <si>
    <t xml:space="preserve">Array, Math, Dynamic Programming, Matrix, </t>
  </si>
  <si>
    <t xml:space="preserve">Array, String, Stack, </t>
  </si>
  <si>
    <t xml:space="preserve">Array, Hash Table, Greedy, Counting, </t>
  </si>
  <si>
    <t xml:space="preserve">Array, Hash Table, Sorting, Heap (Priority Queue), </t>
  </si>
  <si>
    <t xml:space="preserve">Array, Design, Counting, Iterator, </t>
  </si>
  <si>
    <t xml:space="preserve">Array, Sorting, Prefix Sum, </t>
  </si>
  <si>
    <t xml:space="preserve">Array, String, String Matching, </t>
  </si>
  <si>
    <t xml:space="preserve">Array, Hash Table, Greedy, Bit Manipulation, </t>
  </si>
  <si>
    <t xml:space="preserve">Array, Hash Table, Two Pointers, Design, Data Stream, </t>
  </si>
  <si>
    <t xml:space="preserve">Array, String, Binary Search, Prefix Sum, </t>
  </si>
  <si>
    <t xml:space="preserve">Array, Dynamic Programming, Prefix Sum, </t>
  </si>
  <si>
    <t xml:space="preserve">Array, Hash Table, String, Greedy, Counting, </t>
  </si>
  <si>
    <t xml:space="preserve">String, Binary Search, Dynamic Programming, Rolling Hash, Suffix Array, Hash Function, </t>
  </si>
  <si>
    <t xml:space="preserve">Array, Math, Greedy, Sorting, Heap (Priority Queue), Game Theory, </t>
  </si>
  <si>
    <t xml:space="preserve">Array, Greedy, Sorting, Prefix Sum, </t>
  </si>
  <si>
    <t xml:space="preserve">Array, Divide and Conquer, Tree, Matrix, </t>
  </si>
  <si>
    <t xml:space="preserve">Array, Hash Table, String, Binary Search, Sorting, </t>
  </si>
  <si>
    <t xml:space="preserve">Array, Tree, Depth-First Search, Binary Tree, </t>
  </si>
  <si>
    <t xml:space="preserve">Array, Union Find, Graph, Sorting, </t>
  </si>
  <si>
    <t xml:space="preserve">Array, Math, Geometry, Sorting, Matrix, </t>
  </si>
  <si>
    <t xml:space="preserve">Array, Two Pointers, Dynamic Programming, Bit Manipulation, Bitmask, </t>
  </si>
  <si>
    <t xml:space="preserve">Array, Binary Search, Simulation, </t>
  </si>
  <si>
    <t xml:space="preserve">Array, Binary Search, Greedy, Sorting, </t>
  </si>
  <si>
    <t xml:space="preserve">Array, Dynamic Programming, Memoization, Matrix, </t>
  </si>
  <si>
    <t xml:space="preserve">Array, Enumeration, </t>
  </si>
  <si>
    <t xml:space="preserve">Array, Hash Table, Depth-First Search, Breadth-First Search, </t>
  </si>
  <si>
    <t xml:space="preserve">Array, Graph, Topological Sort, </t>
  </si>
  <si>
    <t xml:space="preserve">Array, String, Greedy, </t>
  </si>
  <si>
    <t xml:space="preserve">Array, Linked List, Design, Queue, Data Stream, </t>
  </si>
  <si>
    <t xml:space="preserve">Array, Binary Search, Depth-First Search, Breadth-First Search, Union Find, Matrix, </t>
  </si>
  <si>
    <t xml:space="preserve">Array, Greedy, Sliding Window, Prefix Sum, </t>
  </si>
  <si>
    <t xml:space="preserve">Array, Binary Search, Greedy, Sorting, Prefix Sum, </t>
  </si>
  <si>
    <t xml:space="preserve">Array, Binary Search, Dynamic Programming, Sorting, Heap (Priority Queue), </t>
  </si>
  <si>
    <t xml:space="preserve">Array, Hash Table, Tree, Depth-First Search, Breadth-First Search, Binary Tree, </t>
  </si>
  <si>
    <t xml:space="preserve">Array, Binary Search, Design, Binary Indexed Tree, Segment Tree, </t>
  </si>
  <si>
    <t xml:space="preserve">Array, Segment Tree, Ordered Set, </t>
  </si>
  <si>
    <t xml:space="preserve">Array, Hash Table, Binary Search, Counting, </t>
  </si>
  <si>
    <t xml:space="preserve">Array, Math, Number Theory, </t>
  </si>
  <si>
    <t xml:space="preserve">Array, Hash Table, Binary Search, Greedy, </t>
  </si>
  <si>
    <t xml:space="preserve">Array, Binary Search, Depth-First Search, Breadth-First Search, Matrix, </t>
  </si>
  <si>
    <t xml:space="preserve">Array, Hash Table, String, Bit Manipulation, Sorting, </t>
  </si>
  <si>
    <t xml:space="preserve">Array, Math, Divide and Conquer, Dynamic Programming, Tree, Union Find, Binary Search Tree, Memoization, Combinatorics, Binary Tree, </t>
  </si>
  <si>
    <t xml:space="preserve">Array, Depth-First Search, Breadth-First Search, Matrix, Strongly Connected Component, </t>
  </si>
  <si>
    <t xml:space="preserve">Array, Hash Table, Design, Queue, Data Stream, </t>
  </si>
  <si>
    <t xml:space="preserve">Array, Dynamic Programming, Simulation, </t>
  </si>
  <si>
    <t xml:space="preserve">Array, Binary Search, Line Sweep, Sorting, Heap (Priority Queue), </t>
  </si>
  <si>
    <t xml:space="preserve">Array, Math, Geometry, Matrix, </t>
  </si>
  <si>
    <t xml:space="preserve">Array, Queue, Simulation, </t>
  </si>
  <si>
    <t xml:space="preserve">Array, Breadth-First Search, </t>
  </si>
  <si>
    <t xml:space="preserve">Array, Math, String, Matrix, </t>
  </si>
  <si>
    <t xml:space="preserve">Array, Math, Dynamic Programming, Backtracking, Bit Manipulation, Number Theory, Bitmask, </t>
  </si>
  <si>
    <t xml:space="preserve">Array, Math, Geometry, Sliding Window, Sorting, </t>
  </si>
  <si>
    <t xml:space="preserve">Array, Hash Table, Design, Counting, </t>
  </si>
  <si>
    <t xml:space="preserve">Array, Dynamic Programming, Heap (Priority Queue), </t>
  </si>
  <si>
    <t xml:space="preserve">Array, Hash Table, Design, </t>
  </si>
  <si>
    <t xml:space="preserve">Array, Design, Matrix, </t>
  </si>
  <si>
    <t xml:space="preserve">Array, String, Tree, Depth-First Search, Graph, Topological Sort, </t>
  </si>
  <si>
    <t xml:space="preserve">Array, Heap (Priority Queue), Ordered Set, </t>
  </si>
  <si>
    <t xml:space="preserve">Array, Hash Table, Two Pointers, </t>
  </si>
  <si>
    <t xml:space="preserve">Array, Hash Table, Two Pointers, String, Sorting, </t>
  </si>
  <si>
    <t xml:space="preserve">Array, Divide and Conquer, Interactive, </t>
  </si>
  <si>
    <t xml:space="preserve">Array, Sliding Window, Sorting, </t>
  </si>
  <si>
    <t xml:space="preserve">Array, Binary Search, Binary Indexed Tree, </t>
  </si>
  <si>
    <t xml:space="preserve">Array, Math, Simulation, Combinatorics, </t>
  </si>
  <si>
    <t xml:space="preserve">Array, Graph, Topological Sort, Matrix, </t>
  </si>
  <si>
    <t xml:space="preserve">Array, Hash Table, Binary Search, Matrix, Counting, </t>
  </si>
  <si>
    <t xml:space="preserve">Array, Hash Table, Binary Search, Design, Segment Tree, </t>
  </si>
  <si>
    <t xml:space="preserve">Array, Math, Dynamic Programming, Combinatorics, </t>
  </si>
  <si>
    <t xml:space="preserve">Array, Math, Bit Manipulation, Matrix, </t>
  </si>
  <si>
    <t xml:space="preserve">Array, Hash Table, String, Design, Iterator, </t>
  </si>
  <si>
    <t xml:space="preserve">Array, Brainteaser, Simulation, </t>
  </si>
  <si>
    <t xml:space="preserve">Array, Binary Search, Breadth-First Search, Matrix, </t>
  </si>
  <si>
    <t xml:space="preserve">Array, String, Greedy, Trie, Sorting, </t>
  </si>
  <si>
    <t xml:space="preserve">Array, Breadth-First Search, Graph, </t>
  </si>
  <si>
    <t xml:space="preserve">Array, Binary Indexed Tree, Simulation, </t>
  </si>
  <si>
    <t xml:space="preserve">Array, Hash Table, Binary Search, Sorting, Prefix Sum, Ordered Set, </t>
  </si>
  <si>
    <t xml:space="preserve">Array, Binary Search, Simulation, Prefix Sum, </t>
  </si>
  <si>
    <t xml:space="preserve">Array, Divide and Conquer, Bit Manipulation, Heap (Priority Queue), Matrix, Prefix Sum, Quickselect, </t>
  </si>
  <si>
    <t xml:space="preserve">Array, Backtracking, Graph, </t>
  </si>
  <si>
    <t xml:space="preserve">Array, Hash Table, String, Tree, Depth-First Search, Breadth-First Search, </t>
  </si>
  <si>
    <t xml:space="preserve">Array, Backtracking, Bit Manipulation, Enumeration, </t>
  </si>
  <si>
    <t xml:space="preserve">Array, Hash Table, Simulation, </t>
  </si>
  <si>
    <t xml:space="preserve">Array, Math, Sorting, Heap (Priority Queue), </t>
  </si>
  <si>
    <t xml:space="preserve">Array, Hash Table, Sorting, Simulation, </t>
  </si>
  <si>
    <t xml:space="preserve">Array, Math, String, Backtracking, </t>
  </si>
  <si>
    <t xml:space="preserve">Array, Graph, Sorting, Enumeration, </t>
  </si>
  <si>
    <t xml:space="preserve">Array, Binary Search, Binary Indexed Tree, Sorting, </t>
  </si>
  <si>
    <t xml:space="preserve">Array, Divide and Conquer, </t>
  </si>
  <si>
    <t xml:space="preserve">Array, Binary Search, Rolling Hash, Suffix Array, Hash Function, </t>
  </si>
  <si>
    <t xml:space="preserve">Array, Math, Binary Search, Prefix Sum, </t>
  </si>
  <si>
    <t xml:space="preserve">Array, Hash Table, Bit Manipulation, Counting, </t>
  </si>
  <si>
    <t xml:space="preserve">Array, Hash Table, Counting, Enumeration, Prefix Sum, </t>
  </si>
  <si>
    <t xml:space="preserve">Array, Math, Dynamic Programming, Prefix Sum, Game Theory, </t>
  </si>
  <si>
    <t xml:space="preserve">Array, Breadth-First Search, Sorting, Heap (Priority Queue), Matrix, </t>
  </si>
  <si>
    <t xml:space="preserve">Array, Bit Manipulation, Recursion, Enumeration, </t>
  </si>
  <si>
    <t xml:space="preserve">Array, Math, Union Find, Sorting, </t>
  </si>
  <si>
    <t xml:space="preserve">Array, Hash Table, String, Bit Manipulation, Enumeration, </t>
  </si>
  <si>
    <t xml:space="preserve">Array, Hash Table, Linked List, Design, Queue, </t>
  </si>
  <si>
    <t xml:space="preserve">Array, Binary Search, Bit Manipulation, Segment Tree, </t>
  </si>
  <si>
    <t xml:space="preserve">Array, Binary Search, Greedy, Queue, Sorting, Monotonic Queue, </t>
  </si>
  <si>
    <t xml:space="preserve">Array, Hash Table, Bit Manipulation, </t>
  </si>
  <si>
    <t xml:space="preserve">Array, Hash Table, Trie, Rolling Hash, Hash Function, Enumeration, </t>
  </si>
  <si>
    <t xml:space="preserve">String, Dynamic Programming, Suffix Array, </t>
  </si>
  <si>
    <t xml:space="preserve">Array, Math, Counting, Number Theory, </t>
  </si>
  <si>
    <t xml:space="preserve">Array, Math, Stack, Number Theory, </t>
  </si>
  <si>
    <t xml:space="preserve">Array, Dynamic Programming, Segment Tree, Queue, Heap (Priority Queue), Monotonic Queue, </t>
  </si>
  <si>
    <t xml:space="preserve">Array, Math, Sorting, Heap (Priority Queue), Number Theory, </t>
  </si>
  <si>
    <t xml:space="preserve">Array, Stack, Union Find, Monotonic Stack, </t>
  </si>
  <si>
    <t xml:space="preserve">Array, Hash Table, Sorting, Enumeration, </t>
  </si>
  <si>
    <t xml:space="preserve">Array, Hash Table, String, Backtracking, Union Find, </t>
  </si>
  <si>
    <t xml:space="preserve">Array, Binary Search, Sorting, Prefix Sum, </t>
  </si>
  <si>
    <t xml:space="preserve">Array, Hash Table, String, String Matching, </t>
  </si>
  <si>
    <t xml:space="preserve">Array, Depth-First Search, Breadth-First Search, Matrix, Simulation, </t>
  </si>
  <si>
    <t xml:space="preserve">Array, Bit Manipulation, Tree, Depth-First Search, </t>
  </si>
  <si>
    <t xml:space="preserve">Array, Hash Table, Design, Data Stream, </t>
  </si>
  <si>
    <t xml:space="preserve">Array, Greedy, Matrix, Prefix Sum, </t>
  </si>
  <si>
    <t xml:space="preserve">Array, Hash Table, Math, Two Pointers, </t>
  </si>
  <si>
    <t xml:space="preserve">Array, Dynamic Programming, Bit Manipulation, Memoization, Bitmask, </t>
  </si>
  <si>
    <t xml:space="preserve">Array, String, Trie, Sorting, </t>
  </si>
  <si>
    <t xml:space="preserve">Array, Hash Table, Breadth-First Search, Sorting, </t>
  </si>
  <si>
    <t xml:space="preserve">Array, Greedy, String Matching, </t>
  </si>
  <si>
    <t xml:space="preserve">Array, Math, Geometry, Sorting, Number Theory, </t>
  </si>
  <si>
    <t xml:space="preserve">Array, Hash Table, String, Design, Trie, </t>
  </si>
  <si>
    <t xml:space="preserve">Array, Hash Table, String, Sorting, Ordered Set, </t>
  </si>
  <si>
    <t xml:space="preserve">Array, Linked List, Matrix, Simulation, </t>
  </si>
  <si>
    <t xml:space="preserve">Array, Hash Table, String, Trie, Hash Function, </t>
  </si>
  <si>
    <t xml:space="preserve">Array, Matrix, Enumeration, </t>
  </si>
  <si>
    <t xml:space="preserve">Array, Heap (Priority Queue), Simulation, </t>
  </si>
  <si>
    <t xml:space="preserve">Array, Hash Table, Stack, Design, Binary Indexed Tree, Ordered Set, </t>
  </si>
  <si>
    <t xml:space="preserve">Array, Math, Dynamic Programming, Graph, Topological Sort, Memoization, Matrix, Game Theory, </t>
  </si>
  <si>
    <t xml:space="preserve">Array, Math, Dynamic Programming, Combinatorics, Number Theory, </t>
  </si>
  <si>
    <t xml:space="preserve">Array, Hash Table, String, Design, </t>
  </si>
  <si>
    <t xml:space="preserve">Array, Math, String, </t>
  </si>
  <si>
    <t xml:space="preserve">Array, Math, Greedy, Counting, Game Theory, </t>
  </si>
  <si>
    <t xml:space="preserve">Array, Math, String, Dynamic Programming, Stack, Memoization, </t>
  </si>
  <si>
    <t xml:space="preserve">Array, Hash Table, Design, Heap (Priority Queue), Ordered Set, </t>
  </si>
  <si>
    <t xml:space="preserve">Array, String, Segment Tree, Ordered Set, </t>
  </si>
  <si>
    <t xml:space="preserve">Array, Math, Bit Manipulation, Brainteaser, Game Theory, </t>
  </si>
  <si>
    <t xml:space="preserve">Array, Hash Table, Math, Geometry, Enumeration, </t>
  </si>
  <si>
    <t xml:space="preserve">Array, String, Divide and Conquer, Sorting, Heap (Priority Queue), Radix Sort, Quickselect, </t>
  </si>
  <si>
    <t xml:space="preserve">Array, Math, Sorting, Heap (Priority Queue), Matrix, Prefix Sum, </t>
  </si>
  <si>
    <t xml:space="preserve">String, Binary Search, Rolling Hash, Suffix Array, String Matching, Hash Function, </t>
  </si>
  <si>
    <t xml:space="preserve">Array, Math, String, Greedy, </t>
  </si>
  <si>
    <t xml:space="preserve">Array, Binary Search, Sliding Window, </t>
  </si>
  <si>
    <t xml:space="preserve">Array, Greedy, Design, </t>
  </si>
  <si>
    <t xml:space="preserve">Array, Hash Table, Design, Simulation, </t>
  </si>
  <si>
    <t xml:space="preserve">String, Trie, Rolling Hash, Suffix Array, Hash Function, </t>
  </si>
  <si>
    <t xml:space="preserve">Array, Greedy, Prefix Sum, </t>
  </si>
  <si>
    <t xml:space="preserve">Array, Prefix Sum, Ordered Set, </t>
  </si>
  <si>
    <t xml:space="preserve">Array, String, Binary Search, Interactive, </t>
  </si>
  <si>
    <t xml:space="preserve">Array, Math, Interactive, </t>
  </si>
  <si>
    <t xml:space="preserve">Array, String, Greedy, Sorting, Counting, </t>
  </si>
  <si>
    <t xml:space="preserve">Array, Tree, Depth-First Search, Breadth-First Search, </t>
  </si>
  <si>
    <t xml:space="preserve">Array, String, Backtracking, Simulation, </t>
  </si>
  <si>
    <t xml:space="preserve">Array, Dynamic Programming, Stack, Graph, Monotonic Stack, Shortest Path, </t>
  </si>
  <si>
    <t xml:space="preserve">Array, Hash Table, Math, Dynamic Programming, Backtracking, Bit Manipulation, Geometry, Bitmask, </t>
  </si>
  <si>
    <t xml:space="preserve">Array, Graph, Matrix, </t>
  </si>
  <si>
    <t xml:space="preserve">Array, Math, Dynamic Programming, Bit Manipulation, Brainteaser, Game Theory, </t>
  </si>
  <si>
    <t xml:space="preserve">Array, Stack, Matrix, Monotonic Stack, </t>
  </si>
  <si>
    <t xml:space="preserve">Array, Math, Binary Search, Geometry, Enumeration, </t>
  </si>
  <si>
    <t xml:space="preserve">Array, Depth-First Search, Union Find, Graph, </t>
  </si>
  <si>
    <t>SHA 7 days ago:</t>
  </si>
  <si>
    <t>SHA 28 days ago:</t>
  </si>
  <si>
    <t>!J2</t>
  </si>
  <si>
    <t>!J$2</t>
  </si>
  <si>
    <t>b</t>
  </si>
  <si>
    <t>c</t>
  </si>
  <si>
    <t>d</t>
  </si>
  <si>
    <t>e</t>
  </si>
  <si>
    <t>f</t>
  </si>
  <si>
    <t>g</t>
  </si>
  <si>
    <t>h</t>
  </si>
  <si>
    <t>l</t>
  </si>
  <si>
    <t>m</t>
  </si>
  <si>
    <t>n</t>
  </si>
  <si>
    <t>o</t>
  </si>
  <si>
    <t>p</t>
  </si>
  <si>
    <t>q</t>
  </si>
  <si>
    <t>Done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</si>
</sst>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color theme="1"/>
      <name val="Arial"/>
      <scheme val="minor"/>
    </font>
    <font>
      <b/>
      <u/>
      <sz val="11.0"/>
      <color rgb="FF0000FF"/>
    </font>
    <font>
      <b/>
      <u/>
      <sz val="11.0"/>
      <color rgb="FF0000FF"/>
    </font>
    <font>
      <b/>
      <u/>
      <sz val="11.0"/>
      <color rgb="FF1155CC"/>
    </font>
    <font>
      <b/>
      <sz val="11.0"/>
      <color rgb="FF34A853"/>
      <name val="Arial"/>
      <scheme val="minor"/>
    </font>
    <font>
      <b/>
      <sz val="11.0"/>
      <color theme="7"/>
      <name val="Arial"/>
      <scheme val="minor"/>
    </font>
    <font>
      <b/>
      <sz val="15.0"/>
      <color theme="1"/>
      <name val="Arial"/>
      <scheme val="minor"/>
    </font>
    <font>
      <b/>
      <u/>
      <sz val="11.0"/>
      <color rgb="FF1155CC"/>
    </font>
    <font>
      <b/>
      <i/>
      <u/>
      <sz val="18.0"/>
      <color rgb="FF4A86E8"/>
    </font>
    <font>
      <b/>
      <sz val="15.0"/>
      <color rgb="FF000000"/>
      <name val="Arial"/>
      <scheme val="minor"/>
    </font>
    <font>
      <b/>
      <i/>
      <u/>
      <sz val="18.0"/>
      <color theme="4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u/>
      <sz val="10.0"/>
      <color rgb="FF0000FF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right"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horizontal="right" readingOrder="0"/>
    </xf>
    <xf borderId="0" fillId="0" fontId="6" numFmtId="0" xfId="0" applyAlignment="1" applyFont="1">
      <alignment horizontal="left" readingOrder="0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horizontal="center" readingOrder="0"/>
    </xf>
    <xf borderId="0" fillId="0" fontId="9" numFmtId="0" xfId="0" applyAlignment="1" applyFont="1">
      <alignment horizontal="right"/>
    </xf>
    <xf borderId="0" fillId="0" fontId="10" numFmtId="0" xfId="0" applyAlignment="1" applyFont="1">
      <alignment horizontal="center" readingOrder="0"/>
    </xf>
    <xf borderId="0" fillId="0" fontId="11" numFmtId="0" xfId="0" applyAlignment="1" applyFont="1">
      <alignment horizontal="center" readingOrder="0"/>
    </xf>
    <xf borderId="0" fillId="0" fontId="12" numFmtId="0" xfId="0" applyAlignment="1" applyFont="1">
      <alignment horizontal="center" readingOrder="0" vertical="center"/>
    </xf>
    <xf borderId="0" fillId="0" fontId="13" numFmtId="0" xfId="0" applyAlignment="1" applyFont="1">
      <alignment horizontal="center"/>
    </xf>
    <xf borderId="0" fillId="0" fontId="14" numFmtId="0" xfId="0" applyAlignment="1" applyFont="1">
      <alignment horizontal="left"/>
    </xf>
    <xf borderId="0" fillId="2" fontId="0" numFmtId="0" xfId="0" applyAlignment="1" applyFill="1" applyFont="1">
      <alignment horizontal="center"/>
    </xf>
    <xf borderId="0" fillId="2" fontId="13" numFmtId="0" xfId="0" applyFont="1"/>
    <xf borderId="0" fillId="0" fontId="13" numFmtId="0" xfId="0" applyAlignment="1" applyFont="1">
      <alignment horizontal="left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15" numFmtId="0" xfId="0" applyFont="1"/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about:blank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8.13"/>
    <col customWidth="1" min="2" max="2" width="24.38"/>
    <col customWidth="1" min="3" max="3" width="10.63"/>
    <col customWidth="1" min="4" max="4" width="9.13"/>
    <col customWidth="1" min="5" max="5" width="10.5"/>
    <col customWidth="1" min="6" max="6" width="8.5"/>
    <col customWidth="1" min="7" max="7" width="11.38"/>
    <col customWidth="1" min="8" max="8" width="10.0"/>
    <col customWidth="1" min="9" max="9" width="29.38"/>
    <col customWidth="1" min="10" max="10" width="10.13"/>
    <col customWidth="1" min="11" max="11" width="9.13"/>
    <col customWidth="1" min="12" max="12" width="8.75"/>
    <col customWidth="1" min="13" max="13" width="13.5"/>
    <col customWidth="1" min="14" max="14" width="14.63"/>
    <col customWidth="1" min="15" max="15" width="13.25"/>
  </cols>
  <sheetData>
    <row r="1" ht="24.0" customHeight="1">
      <c r="A1" s="1"/>
      <c r="B1" s="2" t="s">
        <v>0</v>
      </c>
      <c r="C1" s="3" t="str">
        <f>HYPERLINK("https://docs.google.com/spreadsheets/d/1-tziPYyuh2UmI9P4yrW3I4qhLjxqHduMsPPAE8n-F1A/edit#gid=1802294438&amp;fvid=1540177086", "Array")</f>
        <v>Array</v>
      </c>
      <c r="D1" s="3" t="str">
        <f>HYPERLINK("https://docs.google.com/spreadsheets/d/1-tziPYyuh2UmI9P4yrW3I4qhLjxqHduMsPPAE8n-F1A/edit#gid=1802294438&amp;fvid=1570683074", "DP")</f>
        <v>DP</v>
      </c>
      <c r="E1" s="3" t="str">
        <f>HYPERLINK("https://docs.google.com/spreadsheets/d/1-tziPYyuh2UmI9P4yrW3I4qhLjxqHduMsPPAE8n-F1A/edit#gid=1802294438&amp;fvid=1982608403", "LinkedList")</f>
        <v>LinkedList</v>
      </c>
      <c r="F1" s="3" t="str">
        <f>HYPERLINK("https://docs.google.com/spreadsheets/d/1-tziPYyuh2UmI9P4yrW3I4qhLjxqHduMsPPAE8n-F1A/edit#gid=1802294438&amp;fvid=523655143", "Greedy")</f>
        <v>Greedy</v>
      </c>
      <c r="G1" s="3" t="str">
        <f>HYPERLINK("https://docs.google.com/spreadsheets/d/1-tziPYyuh2UmI9P4yrW3I4qhLjxqHduMsPPAE8n-F1A/edit#gid=1802294438&amp;fvid=176708213", "Hashing")</f>
        <v>Hashing</v>
      </c>
      <c r="H1" s="3" t="str">
        <f>HYPERLINK("https://docs.google.com/spreadsheets/d/1-tziPYyuh2UmI9P4yrW3I4qhLjxqHduMsPPAE8n-F1A/edit#gid=1802294438&amp;fvid=878747501", "String")</f>
        <v>String</v>
      </c>
      <c r="I1" s="3" t="str">
        <f>HYPERLINK("https://docs.google.com/spreadsheets/d/1-tziPYyuh2UmI9P4yrW3I4qhLjxqHduMsPPAE8n-F1A/edit#gid=1802294438&amp;fvid=1541645129", "BackTracking")</f>
        <v>BackTracking</v>
      </c>
      <c r="J1" s="3" t="str">
        <f>HYPERLINK("https://docs.google.com/spreadsheets/d/1-tziPYyuh2UmI9P4yrW3I4qhLjxqHduMsPPAE8n-F1A/edit#gid=1802294438&amp;fvid=684527208", "Stack")</f>
        <v>Stack</v>
      </c>
      <c r="K1" s="4" t="str">
        <f>HYPERLINK("https://docs.google.com/spreadsheets/d/1-tziPYyuh2UmI9P4yrW3I4qhLjxqHduMsPPAE8n-F1A/edit#gid=1802294438&amp;fvid=1643025266", "Queue")</f>
        <v>Queue</v>
      </c>
      <c r="M1" s="5" t="s">
        <v>1</v>
      </c>
      <c r="N1" s="6" t="str">
        <f>SUBSTITUTE(MID(Meta!BQ$1, 12, 16), "T", " ") &amp; " (GMT)"</f>
        <v>2023-01-02 12:30 (GMT)</v>
      </c>
    </row>
    <row r="2" ht="42.0" customHeight="1">
      <c r="A2" s="7"/>
      <c r="B2" s="4" t="str">
        <f>HYPERLINK("https://docs.google.com/spreadsheets/d/1-tziPYyuh2UmI9P4yrW3I4qhLjxqHduMsPPAE8n-F1A/edit#gid=1802294438&amp;fvid=672494755", "Recursion")</f>
        <v>Recursion</v>
      </c>
      <c r="C2" s="8" t="str">
        <f>HYPERLINK("https://docs.google.com/spreadsheets/d/1-tziPYyuh2UmI9P4yrW3I4qhLjxqHduMsPPAE8n-F1A/edit#gid=1802294438&amp;fvid=839924769", "DFS")</f>
        <v>DFS</v>
      </c>
      <c r="D2" s="4" t="str">
        <f>HYPERLINK("https://docs.google.com/spreadsheets/d/1-tziPYyuh2UmI9P4yrW3I4qhLjxqHduMsPPAE8n-F1A/edit#gid=1802294438&amp;fvid=1219492175", "BFS")</f>
        <v>BFS</v>
      </c>
      <c r="E2" s="4" t="str">
        <f>HYPERLINK("https://docs.google.com/spreadsheets/d/1-tziPYyuh2UmI9P4yrW3I4qhLjxqHduMsPPAE8n-F1A/edit#gid=1802294438&amp;fvid=1469252296", "Graph")</f>
        <v>Graph</v>
      </c>
      <c r="F2" s="4" t="str">
        <f>HYPERLINK("https://docs.google.com/spreadsheets/d/1-tziPYyuh2UmI9P4yrW3I4qhLjxqHduMsPPAE8n-F1A/edit#gid=1802294438&amp;fvid=683840274", "Binary")</f>
        <v>Binary</v>
      </c>
      <c r="G2" s="4" t="str">
        <f>HYPERLINK("https://docs.google.com/spreadsheets/d/1-tziPYyuh2UmI9P4yrW3I4qhLjxqHduMsPPAE8n-F1A/edit#gid=1802294438&amp;fvid=1503041642", "Tree")</f>
        <v>Tree</v>
      </c>
      <c r="H2" s="9" t="str">
        <f>HYPERLINK("https://www.linkedin.com/in/aditya-kumar-rajput/","Connect/Follow on LinkedIn")</f>
        <v>Connect/Follow on LinkedIn</v>
      </c>
      <c r="K2" s="10"/>
      <c r="L2" s="11" t="str">
        <f>HYPERLINK("https://github.com/adixmr/leetcode","Click to star the Github Repo")</f>
        <v>Click to star the Github Repo</v>
      </c>
    </row>
    <row r="3" ht="30.75" customHeight="1">
      <c r="A3" s="12" t="s">
        <v>2</v>
      </c>
      <c r="B3" s="12" t="s">
        <v>3</v>
      </c>
      <c r="C3" s="12" t="s">
        <v>4</v>
      </c>
      <c r="D3" s="12" t="s">
        <v>5</v>
      </c>
      <c r="E3" s="12" t="s">
        <v>6</v>
      </c>
      <c r="F3" s="12" t="s">
        <v>7</v>
      </c>
      <c r="G3" s="12" t="s">
        <v>8</v>
      </c>
      <c r="H3" s="12" t="s">
        <v>9</v>
      </c>
      <c r="I3" s="12" t="s">
        <v>10</v>
      </c>
      <c r="J3" s="12" t="s">
        <v>11</v>
      </c>
      <c r="K3" s="12" t="s">
        <v>12</v>
      </c>
      <c r="L3" s="12" t="s">
        <v>13</v>
      </c>
      <c r="M3" s="12" t="s">
        <v>14</v>
      </c>
      <c r="N3" s="12" t="s">
        <v>15</v>
      </c>
      <c r="O3" s="12" t="s">
        <v>16</v>
      </c>
    </row>
    <row r="4">
      <c r="A4" s="13">
        <f>Github!J$2</f>
        <v>1</v>
      </c>
      <c r="B4" s="14" t="str">
        <f>HYPERLINK(CONCAT("http://leetcode.com/problems/",Github!C$2), Github!B$2)</f>
        <v>Two Sum</v>
      </c>
      <c r="C4" s="13">
        <f>Github!F$2</f>
        <v>41717</v>
      </c>
      <c r="D4" s="13">
        <f>Github!G$2</f>
        <v>1361</v>
      </c>
      <c r="E4" s="13">
        <f>Github!F$2+Github!G$2</f>
        <v>43078</v>
      </c>
      <c r="F4" s="15">
        <f t="shared" ref="F4:F2348" si="1">IFERROR(ROUND(C4/D4, 2), C4)</f>
        <v>30.65</v>
      </c>
      <c r="G4" s="13" t="str">
        <f>ROUND(Github!O$2, 2)&amp;"%"</f>
        <v>49.2%</v>
      </c>
      <c r="H4" s="13" t="str">
        <f>Github!H$2</f>
        <v>Algorithms</v>
      </c>
      <c r="I4" s="16" t="str">
        <f>SUBSTITUTE(Github!L$2, ";", ", ")</f>
        <v>Array, Hash Table, </v>
      </c>
      <c r="J4" s="13" t="str">
        <f>Github!E$2</f>
        <v>Easy</v>
      </c>
      <c r="K4" s="13" t="str">
        <f>IF(TRIM(Github!D$2)="TRUE","FALSE","TRUE")</f>
        <v>TRUE</v>
      </c>
      <c r="L4" s="13" t="b">
        <f>Github!M$2</f>
        <v>1</v>
      </c>
      <c r="M4" s="13" t="b">
        <f>Github!N$2</f>
        <v>1</v>
      </c>
      <c r="N4" s="13">
        <f>Github!P$2</f>
        <v>8599309</v>
      </c>
      <c r="O4" s="13">
        <f>Github!Q$2</f>
        <v>17478135</v>
      </c>
    </row>
    <row r="5">
      <c r="A5" s="13">
        <f>Github!J$4</f>
        <v>3</v>
      </c>
      <c r="B5" s="14" t="str">
        <f>HYPERLINK(CONCAT("http://leetcode.com/problems/",Github!C$4), Github!B$4)</f>
        <v>Longest Substring Without Repeating Characters</v>
      </c>
      <c r="C5" s="13">
        <f>Github!F$4</f>
        <v>31121</v>
      </c>
      <c r="D5" s="13">
        <f>Github!G$4</f>
        <v>1354</v>
      </c>
      <c r="E5" s="13">
        <f>Github!F$4+Github!G$4</f>
        <v>32475</v>
      </c>
      <c r="F5" s="15">
        <f t="shared" si="1"/>
        <v>22.98</v>
      </c>
      <c r="G5" s="13" t="str">
        <f>ROUND(Github!O$4, 2)&amp;"%"</f>
        <v>33.8%</v>
      </c>
      <c r="H5" s="13" t="str">
        <f>Github!H$4</f>
        <v>Algorithms</v>
      </c>
      <c r="I5" s="16" t="str">
        <f>SUBSTITUTE(Github!L$4, ";", ", ")</f>
        <v>Hash Table, String, Sliding Window, </v>
      </c>
      <c r="J5" s="13" t="str">
        <f>Github!E$4</f>
        <v>Medium</v>
      </c>
      <c r="K5" s="13" t="str">
        <f>IF(TRIM(Github!D$4)="TRUE","FALSE","TRUE")</f>
        <v>TRUE</v>
      </c>
      <c r="L5" s="13" t="b">
        <f>Github!M$4</f>
        <v>1</v>
      </c>
      <c r="M5" s="13" t="b">
        <f>Github!N$4</f>
        <v>1</v>
      </c>
      <c r="N5" s="13">
        <f>Github!P$4</f>
        <v>4138047</v>
      </c>
      <c r="O5" s="13">
        <f>Github!Q$4</f>
        <v>12241359</v>
      </c>
    </row>
    <row r="6">
      <c r="A6" s="13">
        <f>Github!J$54</f>
        <v>53</v>
      </c>
      <c r="B6" s="14" t="str">
        <f>HYPERLINK(CONCAT("http://leetcode.com/problems/",Github!C$54), Github!B$54)</f>
        <v>Maximum Subarray</v>
      </c>
      <c r="C6" s="13">
        <f>Github!F$54</f>
        <v>27160</v>
      </c>
      <c r="D6" s="13">
        <f>Github!G$54</f>
        <v>1214</v>
      </c>
      <c r="E6" s="13">
        <f>Github!F$54+Github!G$54</f>
        <v>28374</v>
      </c>
      <c r="F6" s="15">
        <f t="shared" si="1"/>
        <v>22.37</v>
      </c>
      <c r="G6" s="13" t="str">
        <f>ROUND(Github!O$54, 2)&amp;"%"</f>
        <v>50.1%</v>
      </c>
      <c r="H6" s="13" t="str">
        <f>Github!H$54</f>
        <v>Algorithms</v>
      </c>
      <c r="I6" s="16" t="str">
        <f>SUBSTITUTE(Github!L$54, ";", ", ")</f>
        <v>Array, Divide and Conquer, Dynamic Programming, </v>
      </c>
      <c r="J6" s="13" t="str">
        <f>Github!E$54</f>
        <v>Medium</v>
      </c>
      <c r="K6" s="13" t="str">
        <f>IF(TRIM(Github!D$54)="TRUE","FALSE","TRUE")</f>
        <v>TRUE</v>
      </c>
      <c r="L6" s="13" t="b">
        <f>Github!M$54</f>
        <v>1</v>
      </c>
      <c r="M6" s="13" t="b">
        <f>Github!N$54</f>
        <v>0</v>
      </c>
      <c r="N6" s="13">
        <f>Github!P$54</f>
        <v>2923171</v>
      </c>
      <c r="O6" s="13">
        <f>Github!Q$54</f>
        <v>5834614</v>
      </c>
    </row>
    <row r="7">
      <c r="A7" s="13">
        <f>Github!J$43</f>
        <v>42</v>
      </c>
      <c r="B7" s="14" t="str">
        <f>HYPERLINK(CONCAT("http://leetcode.com/problems/",Github!C$43), Github!B$43)</f>
        <v>Trapping Rain Water</v>
      </c>
      <c r="C7" s="13">
        <f>Github!F$43</f>
        <v>24410</v>
      </c>
      <c r="D7" s="13">
        <f>Github!G$43</f>
        <v>341</v>
      </c>
      <c r="E7" s="13">
        <f>Github!F$43+Github!G$43</f>
        <v>24751</v>
      </c>
      <c r="F7" s="15">
        <f t="shared" si="1"/>
        <v>71.58</v>
      </c>
      <c r="G7" s="13" t="str">
        <f>ROUND(Github!O$43, 2)&amp;"%"</f>
        <v>58.96%</v>
      </c>
      <c r="H7" s="13" t="str">
        <f>Github!H$43</f>
        <v>Algorithms</v>
      </c>
      <c r="I7" s="16" t="str">
        <f>SUBSTITUTE(Github!L$43, ";", ", ")</f>
        <v>Array, Two Pointers, Dynamic Programming, Stack, Monotonic Stack, </v>
      </c>
      <c r="J7" s="13" t="str">
        <f>Github!E$43</f>
        <v>Hard</v>
      </c>
      <c r="K7" s="13" t="str">
        <f>IF(TRIM(Github!D$43)="TRUE","FALSE","TRUE")</f>
        <v>TRUE</v>
      </c>
      <c r="L7" s="13" t="b">
        <f>Github!M$43</f>
        <v>1</v>
      </c>
      <c r="M7" s="13" t="b">
        <f>Github!N$43</f>
        <v>0</v>
      </c>
      <c r="N7" s="13">
        <f>Github!P$43</f>
        <v>1419668</v>
      </c>
      <c r="O7" s="13">
        <f>Github!Q$43</f>
        <v>2407730</v>
      </c>
    </row>
    <row r="8">
      <c r="A8" s="13">
        <f>Github!J$3</f>
        <v>2</v>
      </c>
      <c r="B8" s="14" t="str">
        <f>HYPERLINK(CONCAT("http://leetcode.com/problems/",Github!C$3), Github!B$3)</f>
        <v>Add Two Numbers</v>
      </c>
      <c r="C8" s="13">
        <f>Github!F$3</f>
        <v>23520</v>
      </c>
      <c r="D8" s="13">
        <f>Github!G$3</f>
        <v>4537</v>
      </c>
      <c r="E8" s="13">
        <f>Github!F$3+Github!G$3</f>
        <v>28057</v>
      </c>
      <c r="F8" s="15">
        <f t="shared" si="1"/>
        <v>5.18</v>
      </c>
      <c r="G8" s="13" t="str">
        <f>ROUND(Github!O$3, 2)&amp;"%"</f>
        <v>39.97%</v>
      </c>
      <c r="H8" s="13" t="str">
        <f>Github!H$3</f>
        <v>Algorithms</v>
      </c>
      <c r="I8" s="16" t="str">
        <f>SUBSTITUTE(Github!L$3, ";", ", ")</f>
        <v>Linked List, Math, Recursion, </v>
      </c>
      <c r="J8" s="13" t="str">
        <f>Github!E$3</f>
        <v>Medium</v>
      </c>
      <c r="K8" s="13" t="str">
        <f>IF(TRIM(Github!D$3)="TRUE","FALSE","TRUE")</f>
        <v>TRUE</v>
      </c>
      <c r="L8" s="13" t="b">
        <f>Github!M$3</f>
        <v>1</v>
      </c>
      <c r="M8" s="13" t="b">
        <f>Github!N$3</f>
        <v>0</v>
      </c>
      <c r="N8" s="13">
        <f>Github!P$3</f>
        <v>3333882</v>
      </c>
      <c r="O8" s="13">
        <f>Github!Q$3</f>
        <v>8340017</v>
      </c>
    </row>
    <row r="9">
      <c r="A9" s="13">
        <f>Github!J$16</f>
        <v>15</v>
      </c>
      <c r="B9" s="14" t="str">
        <f>HYPERLINK(CONCAT("http://leetcode.com/problems/",Github!C$16), Github!B$16)</f>
        <v>3Sum</v>
      </c>
      <c r="C9" s="13">
        <f>Github!F$16</f>
        <v>23248</v>
      </c>
      <c r="D9" s="13">
        <f>Github!G$16</f>
        <v>2129</v>
      </c>
      <c r="E9" s="13">
        <f>Github!F$16+Github!G$16</f>
        <v>25377</v>
      </c>
      <c r="F9" s="15">
        <f t="shared" si="1"/>
        <v>10.92</v>
      </c>
      <c r="G9" s="13" t="str">
        <f>ROUND(Github!O$16, 2)&amp;"%"</f>
        <v>32.37%</v>
      </c>
      <c r="H9" s="13" t="str">
        <f>Github!H$16</f>
        <v>Algorithms</v>
      </c>
      <c r="I9" s="16" t="str">
        <f>SUBSTITUTE(Github!L$16, ";", ", ")</f>
        <v>Array, Two Pointers, Sorting, </v>
      </c>
      <c r="J9" s="13" t="str">
        <f>Github!E$16</f>
        <v>Medium</v>
      </c>
      <c r="K9" s="13" t="str">
        <f>IF(TRIM(Github!D$16)="TRUE","FALSE","TRUE")</f>
        <v>TRUE</v>
      </c>
      <c r="L9" s="13" t="b">
        <f>Github!M$16</f>
        <v>1</v>
      </c>
      <c r="M9" s="13" t="b">
        <f>Github!N$16</f>
        <v>0</v>
      </c>
      <c r="N9" s="13">
        <f>Github!P$16</f>
        <v>2432311</v>
      </c>
      <c r="O9" s="13">
        <f>Github!Q$16</f>
        <v>7514169</v>
      </c>
    </row>
    <row r="10">
      <c r="A10" s="13">
        <f>Github!J$6</f>
        <v>5</v>
      </c>
      <c r="B10" s="14" t="str">
        <f>HYPERLINK(CONCAT("http://leetcode.com/problems/",Github!C$6), Github!B$6)</f>
        <v>Longest Palindromic Substring</v>
      </c>
      <c r="C10" s="13">
        <f>Github!F$6</f>
        <v>23229</v>
      </c>
      <c r="D10" s="13">
        <f>Github!G$6</f>
        <v>1353</v>
      </c>
      <c r="E10" s="13">
        <f>Github!F$6+Github!G$6</f>
        <v>24582</v>
      </c>
      <c r="F10" s="15">
        <f t="shared" si="1"/>
        <v>17.17</v>
      </c>
      <c r="G10" s="13" t="str">
        <f>ROUND(Github!O$6, 2)&amp;"%"</f>
        <v>32.41%</v>
      </c>
      <c r="H10" s="13" t="str">
        <f>Github!H$6</f>
        <v>Algorithms</v>
      </c>
      <c r="I10" s="16" t="str">
        <f>SUBSTITUTE(Github!L$6, ";", ", ")</f>
        <v>String, Dynamic Programming, </v>
      </c>
      <c r="J10" s="13" t="str">
        <f>Github!E$6</f>
        <v>Medium</v>
      </c>
      <c r="K10" s="13" t="str">
        <f>IF(TRIM(Github!D$6)="TRUE","FALSE","TRUE")</f>
        <v>TRUE</v>
      </c>
      <c r="L10" s="13" t="b">
        <f>Github!M$6</f>
        <v>1</v>
      </c>
      <c r="M10" s="13" t="b">
        <f>Github!N$6</f>
        <v>0</v>
      </c>
      <c r="N10" s="13">
        <f>Github!P$6</f>
        <v>2239072</v>
      </c>
      <c r="O10" s="13">
        <f>Github!Q$6</f>
        <v>6908019</v>
      </c>
    </row>
    <row r="11">
      <c r="A11" s="13">
        <f>Github!J$122</f>
        <v>121</v>
      </c>
      <c r="B11" s="14" t="str">
        <f>HYPERLINK(CONCAT("http://leetcode.com/problems/",Github!C$122), Github!B$122)</f>
        <v>Best Time to Buy and Sell Stock</v>
      </c>
      <c r="C11" s="13">
        <f>Github!F$122</f>
        <v>22219</v>
      </c>
      <c r="D11" s="13">
        <f>Github!G$122</f>
        <v>701</v>
      </c>
      <c r="E11" s="13">
        <f>Github!F$122+Github!G$122</f>
        <v>22920</v>
      </c>
      <c r="F11" s="15">
        <f t="shared" si="1"/>
        <v>31.7</v>
      </c>
      <c r="G11" s="13" t="str">
        <f>ROUND(Github!O$122, 2)&amp;"%"</f>
        <v>54.36%</v>
      </c>
      <c r="H11" s="13" t="str">
        <f>Github!H$122</f>
        <v>Algorithms</v>
      </c>
      <c r="I11" s="16" t="str">
        <f>SUBSTITUTE(Github!L$122, ";", ", ")</f>
        <v>Array, Dynamic Programming, </v>
      </c>
      <c r="J11" s="13" t="str">
        <f>Github!E$122</f>
        <v>Easy</v>
      </c>
      <c r="K11" s="13" t="str">
        <f>IF(TRIM(Github!D$122)="TRUE","FALSE","TRUE")</f>
        <v>TRUE</v>
      </c>
      <c r="L11" s="13" t="b">
        <f>Github!M$122</f>
        <v>1</v>
      </c>
      <c r="M11" s="13" t="b">
        <f>Github!N$122</f>
        <v>1</v>
      </c>
      <c r="N11" s="13">
        <f>Github!P$122</f>
        <v>2932445</v>
      </c>
      <c r="O11" s="13">
        <f>Github!Q$122</f>
        <v>5394533</v>
      </c>
    </row>
    <row r="12">
      <c r="A12" s="13">
        <f>Github!J$12</f>
        <v>11</v>
      </c>
      <c r="B12" s="14" t="str">
        <f>HYPERLINK(CONCAT("http://leetcode.com/problems/",Github!C$12), Github!B$12)</f>
        <v>Container With Most Water</v>
      </c>
      <c r="C12" s="13">
        <f>Github!F$12</f>
        <v>21986</v>
      </c>
      <c r="D12" s="13">
        <f>Github!G$12</f>
        <v>1170</v>
      </c>
      <c r="E12" s="13">
        <f>Github!F$12+Github!G$12</f>
        <v>23156</v>
      </c>
      <c r="F12" s="15">
        <f t="shared" si="1"/>
        <v>18.79</v>
      </c>
      <c r="G12" s="13" t="str">
        <f>ROUND(Github!O$12, 2)&amp;"%"</f>
        <v>54.23%</v>
      </c>
      <c r="H12" s="13" t="str">
        <f>Github!H$12</f>
        <v>Algorithms</v>
      </c>
      <c r="I12" s="16" t="str">
        <f>SUBSTITUTE(Github!L$12, ";", ", ")</f>
        <v>Array, Two Pointers, Greedy, </v>
      </c>
      <c r="J12" s="13" t="str">
        <f>Github!E$12</f>
        <v>Medium</v>
      </c>
      <c r="K12" s="13" t="str">
        <f>IF(TRIM(Github!D$12)="TRUE","FALSE","TRUE")</f>
        <v>TRUE</v>
      </c>
      <c r="L12" s="13" t="b">
        <f>Github!M$12</f>
        <v>1</v>
      </c>
      <c r="M12" s="13" t="b">
        <f>Github!N$12</f>
        <v>1</v>
      </c>
      <c r="N12" s="13">
        <f>Github!P$12</f>
        <v>1906344</v>
      </c>
      <c r="O12" s="13">
        <f>Github!Q$12</f>
        <v>3515083</v>
      </c>
    </row>
    <row r="13">
      <c r="A13" s="13">
        <f>Github!J$5</f>
        <v>4</v>
      </c>
      <c r="B13" s="14" t="str">
        <f>HYPERLINK(CONCAT("http://leetcode.com/problems/",Github!C$5), Github!B$5)</f>
        <v>Median of Two Sorted Arrays</v>
      </c>
      <c r="C13" s="13">
        <f>Github!F$5</f>
        <v>21352</v>
      </c>
      <c r="D13" s="13">
        <f>Github!G$5</f>
        <v>2406</v>
      </c>
      <c r="E13" s="13">
        <f>Github!F$5+Github!G$5</f>
        <v>23758</v>
      </c>
      <c r="F13" s="15">
        <f t="shared" si="1"/>
        <v>8.87</v>
      </c>
      <c r="G13" s="13" t="str">
        <f>ROUND(Github!O$5, 2)&amp;"%"</f>
        <v>35.55%</v>
      </c>
      <c r="H13" s="13" t="str">
        <f>Github!H$5</f>
        <v>Algorithms</v>
      </c>
      <c r="I13" s="16" t="str">
        <f>SUBSTITUTE(Github!L$5, ";", ", ")</f>
        <v>Array, Binary Search, Divide and Conquer, </v>
      </c>
      <c r="J13" s="13" t="str">
        <f>Github!E$5</f>
        <v>Hard</v>
      </c>
      <c r="K13" s="13" t="str">
        <f>IF(TRIM(Github!D$5)="TRUE","FALSE","TRUE")</f>
        <v>TRUE</v>
      </c>
      <c r="L13" s="13" t="b">
        <f>Github!M$5</f>
        <v>0</v>
      </c>
      <c r="M13" s="13" t="b">
        <f>Github!N$5</f>
        <v>0</v>
      </c>
      <c r="N13" s="13">
        <f>Github!P$5</f>
        <v>1727160</v>
      </c>
      <c r="O13" s="13">
        <f>Github!Q$5</f>
        <v>4858448</v>
      </c>
    </row>
    <row r="14">
      <c r="A14" s="13">
        <f>Github!J$34</f>
        <v>33</v>
      </c>
      <c r="B14" s="14" t="str">
        <f>HYPERLINK(CONCAT("http://leetcode.com/problems/",Github!C$34), Github!B$34)</f>
        <v>Search in Rotated Sorted Array</v>
      </c>
      <c r="C14" s="13">
        <f>Github!F$34</f>
        <v>19178</v>
      </c>
      <c r="D14" s="13">
        <f>Github!G$34</f>
        <v>1148</v>
      </c>
      <c r="E14" s="13">
        <f>Github!F$34+Github!G$34</f>
        <v>20326</v>
      </c>
      <c r="F14" s="15">
        <f t="shared" si="1"/>
        <v>16.71</v>
      </c>
      <c r="G14" s="13" t="str">
        <f>ROUND(Github!O$34, 2)&amp;"%"</f>
        <v>38.8%</v>
      </c>
      <c r="H14" s="13" t="str">
        <f>Github!H$34</f>
        <v>Algorithms</v>
      </c>
      <c r="I14" s="16" t="str">
        <f>SUBSTITUTE(Github!L$34, ";", ", ")</f>
        <v>Array, Binary Search, </v>
      </c>
      <c r="J14" s="13" t="str">
        <f>Github!E$34</f>
        <v>Medium</v>
      </c>
      <c r="K14" s="13" t="str">
        <f>IF(TRIM(Github!D$34)="TRUE","FALSE","TRUE")</f>
        <v>TRUE</v>
      </c>
      <c r="L14" s="13" t="b">
        <f>Github!M$34</f>
        <v>1</v>
      </c>
      <c r="M14" s="13" t="b">
        <f>Github!N$34</f>
        <v>0</v>
      </c>
      <c r="N14" s="13">
        <f>Github!P$34</f>
        <v>1862648</v>
      </c>
      <c r="O14" s="13">
        <f>Github!Q$34</f>
        <v>4801220</v>
      </c>
    </row>
    <row r="15">
      <c r="A15" s="13">
        <f>Github!J$201</f>
        <v>200</v>
      </c>
      <c r="B15" s="14" t="str">
        <f>HYPERLINK(CONCAT("http://leetcode.com/problems/",Github!C$201), Github!B$201)</f>
        <v>Number of Islands</v>
      </c>
      <c r="C15" s="13">
        <f>Github!F$201</f>
        <v>18369</v>
      </c>
      <c r="D15" s="13">
        <f>Github!G$201</f>
        <v>408</v>
      </c>
      <c r="E15" s="13">
        <f>Github!F$201+Github!G$201</f>
        <v>18777</v>
      </c>
      <c r="F15" s="15">
        <f t="shared" si="1"/>
        <v>45.02</v>
      </c>
      <c r="G15" s="13" t="str">
        <f>ROUND(Github!O$201, 2)&amp;"%"</f>
        <v>56.56%</v>
      </c>
      <c r="H15" s="13" t="str">
        <f>Github!H$201</f>
        <v>Algorithms</v>
      </c>
      <c r="I15" s="16" t="str">
        <f>SUBSTITUTE(Github!L$201, ";", ", ")</f>
        <v>Array, Depth-First Search, Breadth-First Search, Union Find, Matrix, </v>
      </c>
      <c r="J15" s="13" t="str">
        <f>Github!E$201</f>
        <v>Medium</v>
      </c>
      <c r="K15" s="13" t="str">
        <f>IF(TRIM(Github!D$201)="TRUE","FALSE","TRUE")</f>
        <v>TRUE</v>
      </c>
      <c r="L15" s="13" t="b">
        <f>Github!M$201</f>
        <v>1</v>
      </c>
      <c r="M15" s="13" t="b">
        <f>Github!N$201</f>
        <v>0</v>
      </c>
      <c r="N15" s="13">
        <f>Github!P$201</f>
        <v>2010179</v>
      </c>
      <c r="O15" s="13">
        <f>Github!Q$201</f>
        <v>3554285</v>
      </c>
    </row>
    <row r="16">
      <c r="A16" s="13">
        <f>Github!J$288</f>
        <v>287</v>
      </c>
      <c r="B16" s="14" t="str">
        <f>HYPERLINK(CONCAT("http://leetcode.com/problems/",Github!C$288), Github!B$288)</f>
        <v>Find the Duplicate Number</v>
      </c>
      <c r="C16" s="13">
        <f>Github!F$288</f>
        <v>17623</v>
      </c>
      <c r="D16" s="13">
        <f>Github!G$288</f>
        <v>2437</v>
      </c>
      <c r="E16" s="13">
        <f>Github!F$288+Github!G$288</f>
        <v>20060</v>
      </c>
      <c r="F16" s="15">
        <f t="shared" si="1"/>
        <v>7.23</v>
      </c>
      <c r="G16" s="13" t="str">
        <f>ROUND(Github!O$288, 2)&amp;"%"</f>
        <v>59.12%</v>
      </c>
      <c r="H16" s="13" t="str">
        <f>Github!H$288</f>
        <v>Algorithms</v>
      </c>
      <c r="I16" s="16" t="str">
        <f>SUBSTITUTE(Github!L$288, ";", ", ")</f>
        <v>Array, Two Pointers, Binary Search, Bit Manipulation, </v>
      </c>
      <c r="J16" s="13" t="str">
        <f>Github!E$288</f>
        <v>Medium</v>
      </c>
      <c r="K16" s="13" t="str">
        <f>IF(TRIM(Github!D$288)="TRUE","FALSE","TRUE")</f>
        <v>TRUE</v>
      </c>
      <c r="L16" s="13" t="b">
        <f>Github!M$288</f>
        <v>1</v>
      </c>
      <c r="M16" s="13" t="b">
        <f>Github!N$288</f>
        <v>0</v>
      </c>
      <c r="N16" s="13">
        <f>Github!P$288</f>
        <v>1075538</v>
      </c>
      <c r="O16" s="13">
        <f>Github!Q$288</f>
        <v>1819153</v>
      </c>
    </row>
    <row r="17">
      <c r="A17" s="13">
        <f>Github!J$57</f>
        <v>56</v>
      </c>
      <c r="B17" s="14" t="str">
        <f>HYPERLINK(CONCAT("http://leetcode.com/problems/",Github!C$57), Github!B$57)</f>
        <v>Merge Intervals</v>
      </c>
      <c r="C17" s="13">
        <f>Github!F$57</f>
        <v>17465</v>
      </c>
      <c r="D17" s="13">
        <f>Github!G$57</f>
        <v>610</v>
      </c>
      <c r="E17" s="13">
        <f>Github!F$57+Github!G$57</f>
        <v>18075</v>
      </c>
      <c r="F17" s="15">
        <f t="shared" si="1"/>
        <v>28.63</v>
      </c>
      <c r="G17" s="13" t="str">
        <f>ROUND(Github!O$57, 2)&amp;"%"</f>
        <v>46.04%</v>
      </c>
      <c r="H17" s="13" t="str">
        <f>Github!H$57</f>
        <v>Algorithms</v>
      </c>
      <c r="I17" s="16" t="str">
        <f>SUBSTITUTE(Github!L$57, ";", ", ")</f>
        <v>Array, Sorting, </v>
      </c>
      <c r="J17" s="13" t="str">
        <f>Github!E$57</f>
        <v>Medium</v>
      </c>
      <c r="K17" s="13" t="str">
        <f>IF(TRIM(Github!D$57)="TRUE","FALSE","TRUE")</f>
        <v>TRUE</v>
      </c>
      <c r="L17" s="13" t="b">
        <f>Github!M$57</f>
        <v>1</v>
      </c>
      <c r="M17" s="13" t="b">
        <f>Github!N$57</f>
        <v>1</v>
      </c>
      <c r="N17" s="13">
        <f>Github!P$57</f>
        <v>1754299</v>
      </c>
      <c r="O17" s="13">
        <f>Github!Q$57</f>
        <v>3810481</v>
      </c>
    </row>
    <row r="18">
      <c r="A18" s="13">
        <f>Github!J$21</f>
        <v>20</v>
      </c>
      <c r="B18" s="14" t="str">
        <f>HYPERLINK(CONCAT("http://leetcode.com/problems/",Github!C$21), Github!B$21)</f>
        <v>Valid Parentheses</v>
      </c>
      <c r="C18" s="13">
        <f>Github!F$21</f>
        <v>17384</v>
      </c>
      <c r="D18" s="13">
        <f>Github!G$21</f>
        <v>938</v>
      </c>
      <c r="E18" s="13">
        <f>Github!F$21+Github!G$21</f>
        <v>18322</v>
      </c>
      <c r="F18" s="15">
        <f t="shared" si="1"/>
        <v>18.53</v>
      </c>
      <c r="G18" s="13" t="str">
        <f>ROUND(Github!O$21, 2)&amp;"%"</f>
        <v>40.5%</v>
      </c>
      <c r="H18" s="13" t="str">
        <f>Github!H$21</f>
        <v>Algorithms</v>
      </c>
      <c r="I18" s="16" t="str">
        <f>SUBSTITUTE(Github!L$21, ";", ", ")</f>
        <v>String, Stack, </v>
      </c>
      <c r="J18" s="13" t="str">
        <f>Github!E$21</f>
        <v>Easy</v>
      </c>
      <c r="K18" s="13" t="str">
        <f>IF(TRIM(Github!D$21)="TRUE","FALSE","TRUE")</f>
        <v>TRUE</v>
      </c>
      <c r="L18" s="13" t="b">
        <f>Github!M$21</f>
        <v>1</v>
      </c>
      <c r="M18" s="13" t="b">
        <f>Github!N$21</f>
        <v>1</v>
      </c>
      <c r="N18" s="13">
        <f>Github!P$21</f>
        <v>2926543</v>
      </c>
      <c r="O18" s="13">
        <f>Github!Q$21</f>
        <v>7226164</v>
      </c>
    </row>
    <row r="19">
      <c r="A19" s="13">
        <f>Github!J$561</f>
        <v>560</v>
      </c>
      <c r="B19" s="14" t="str">
        <f>HYPERLINK(CONCAT("http://leetcode.com/problems/",Github!C$561), Github!B$561)</f>
        <v>Subarray Sum Equals K</v>
      </c>
      <c r="C19" s="13">
        <f>Github!F$561</f>
        <v>16649</v>
      </c>
      <c r="D19" s="13">
        <f>Github!G$561</f>
        <v>492</v>
      </c>
      <c r="E19" s="13">
        <f>Github!F$561+Github!G$561</f>
        <v>17141</v>
      </c>
      <c r="F19" s="15">
        <f t="shared" si="1"/>
        <v>33.84</v>
      </c>
      <c r="G19" s="13" t="str">
        <f>ROUND(Github!O$561, 2)&amp;"%"</f>
        <v>43.89%</v>
      </c>
      <c r="H19" s="13" t="str">
        <f>Github!H$561</f>
        <v>Algorithms</v>
      </c>
      <c r="I19" s="16" t="str">
        <f>SUBSTITUTE(Github!L$561, ";", ", ")</f>
        <v>Array, Hash Table, Prefix Sum, </v>
      </c>
      <c r="J19" s="13" t="str">
        <f>Github!E$561</f>
        <v>Medium</v>
      </c>
      <c r="K19" s="13" t="str">
        <f>IF(TRIM(Github!D$561)="TRUE","FALSE","TRUE")</f>
        <v>TRUE</v>
      </c>
      <c r="L19" s="13" t="b">
        <f>Github!M$561</f>
        <v>1</v>
      </c>
      <c r="M19" s="13" t="b">
        <f>Github!N$561</f>
        <v>1</v>
      </c>
      <c r="N19" s="13">
        <f>Github!P$561</f>
        <v>911047</v>
      </c>
      <c r="O19" s="13">
        <f>Github!Q$561</f>
        <v>2075533</v>
      </c>
    </row>
    <row r="20">
      <c r="A20" s="13">
        <f>Github!J$22</f>
        <v>21</v>
      </c>
      <c r="B20" s="14" t="str">
        <f>HYPERLINK(CONCAT("http://leetcode.com/problems/",Github!C$22), Github!B$22)</f>
        <v>Merge Two Sorted Lists</v>
      </c>
      <c r="C20" s="13">
        <f>Github!F$22</f>
        <v>16530</v>
      </c>
      <c r="D20" s="13">
        <f>Github!G$22</f>
        <v>1460</v>
      </c>
      <c r="E20" s="13">
        <f>Github!F$22+Github!G$22</f>
        <v>17990</v>
      </c>
      <c r="F20" s="15">
        <f t="shared" si="1"/>
        <v>11.32</v>
      </c>
      <c r="G20" s="13" t="str">
        <f>ROUND(Github!O$22, 2)&amp;"%"</f>
        <v>62.07%</v>
      </c>
      <c r="H20" s="13" t="str">
        <f>Github!H$22</f>
        <v>Algorithms</v>
      </c>
      <c r="I20" s="16" t="str">
        <f>SUBSTITUTE(Github!L$22, ";", ", ")</f>
        <v>Linked List, Recursion, </v>
      </c>
      <c r="J20" s="13" t="str">
        <f>Github!E$22</f>
        <v>Easy</v>
      </c>
      <c r="K20" s="13" t="str">
        <f>IF(TRIM(Github!D$22)="TRUE","FALSE","TRUE")</f>
        <v>TRUE</v>
      </c>
      <c r="L20" s="13" t="b">
        <f>Github!M$22</f>
        <v>1</v>
      </c>
      <c r="M20" s="13" t="b">
        <f>Github!N$22</f>
        <v>1</v>
      </c>
      <c r="N20" s="13">
        <f>Github!P$22</f>
        <v>2884442</v>
      </c>
      <c r="O20" s="13">
        <f>Github!Q$22</f>
        <v>4647354</v>
      </c>
    </row>
    <row r="21">
      <c r="A21" s="13">
        <f>Github!J$199</f>
        <v>198</v>
      </c>
      <c r="B21" s="14" t="str">
        <f>HYPERLINK(CONCAT("http://leetcode.com/problems/",Github!C$199), Github!B$199)</f>
        <v>House Robber</v>
      </c>
      <c r="C21" s="13">
        <f>Github!F$199</f>
        <v>16421</v>
      </c>
      <c r="D21" s="13">
        <f>Github!G$199</f>
        <v>324</v>
      </c>
      <c r="E21" s="13">
        <f>Github!F$199+Github!G$199</f>
        <v>16745</v>
      </c>
      <c r="F21" s="15">
        <f t="shared" si="1"/>
        <v>50.68</v>
      </c>
      <c r="G21" s="13" t="str">
        <f>ROUND(Github!O$199, 2)&amp;"%"</f>
        <v>49.18%</v>
      </c>
      <c r="H21" s="13" t="str">
        <f>Github!H$199</f>
        <v>Algorithms</v>
      </c>
      <c r="I21" s="16" t="str">
        <f>SUBSTITUTE(Github!L$199, ";", ", ")</f>
        <v>Array, Dynamic Programming, </v>
      </c>
      <c r="J21" s="13" t="str">
        <f>Github!E$199</f>
        <v>Medium</v>
      </c>
      <c r="K21" s="13" t="str">
        <f>IF(TRIM(Github!D$199)="TRUE","FALSE","TRUE")</f>
        <v>TRUE</v>
      </c>
      <c r="L21" s="13" t="b">
        <f>Github!M$199</f>
        <v>1</v>
      </c>
      <c r="M21" s="13" t="b">
        <f>Github!N$199</f>
        <v>0</v>
      </c>
      <c r="N21" s="13">
        <f>Github!P$199</f>
        <v>1486705</v>
      </c>
      <c r="O21" s="13">
        <f>Github!Q$199</f>
        <v>3023291</v>
      </c>
    </row>
    <row r="22">
      <c r="A22" s="13">
        <f>Github!J$71</f>
        <v>70</v>
      </c>
      <c r="B22" s="14" t="str">
        <f>HYPERLINK(CONCAT("http://leetcode.com/problems/",Github!C$71), Github!B$71)</f>
        <v>Climbing Stairs</v>
      </c>
      <c r="C22" s="13">
        <f>Github!F$71</f>
        <v>16459</v>
      </c>
      <c r="D22" s="13">
        <f>Github!G$71</f>
        <v>500</v>
      </c>
      <c r="E22" s="13">
        <f>Github!F$71+Github!G$71</f>
        <v>16959</v>
      </c>
      <c r="F22" s="15">
        <f t="shared" si="1"/>
        <v>32.92</v>
      </c>
      <c r="G22" s="13" t="str">
        <f>ROUND(Github!O$71, 2)&amp;"%"</f>
        <v>52.11%</v>
      </c>
      <c r="H22" s="13" t="str">
        <f>Github!H$71</f>
        <v>Algorithms</v>
      </c>
      <c r="I22" s="16" t="str">
        <f>SUBSTITUTE(Github!L$71, ";", ", ")</f>
        <v>Math, Dynamic Programming, Memoization, </v>
      </c>
      <c r="J22" s="13" t="str">
        <f>Github!E$71</f>
        <v>Easy</v>
      </c>
      <c r="K22" s="13" t="str">
        <f>IF(TRIM(Github!D$71)="TRUE","FALSE","TRUE")</f>
        <v>TRUE</v>
      </c>
      <c r="L22" s="13" t="b">
        <f>Github!M$71</f>
        <v>1</v>
      </c>
      <c r="M22" s="13" t="b">
        <f>Github!N$71</f>
        <v>0</v>
      </c>
      <c r="N22" s="13">
        <f>Github!P$71</f>
        <v>2121671</v>
      </c>
      <c r="O22" s="13">
        <f>Github!Q$71</f>
        <v>4071244</v>
      </c>
    </row>
    <row r="23">
      <c r="A23" s="13">
        <f>Github!J$23</f>
        <v>22</v>
      </c>
      <c r="B23" s="14" t="str">
        <f>HYPERLINK(CONCAT("http://leetcode.com/problems/",Github!C$23), Github!B$23)</f>
        <v>Generate Parentheses</v>
      </c>
      <c r="C23" s="13">
        <f>Github!F$23</f>
        <v>16415</v>
      </c>
      <c r="D23" s="13">
        <f>Github!G$23</f>
        <v>640</v>
      </c>
      <c r="E23" s="13">
        <f>Github!F$23+Github!G$23</f>
        <v>17055</v>
      </c>
      <c r="F23" s="15">
        <f t="shared" si="1"/>
        <v>25.65</v>
      </c>
      <c r="G23" s="13" t="str">
        <f>ROUND(Github!O$23, 2)&amp;"%"</f>
        <v>72.11%</v>
      </c>
      <c r="H23" s="13" t="str">
        <f>Github!H$23</f>
        <v>Algorithms</v>
      </c>
      <c r="I23" s="16" t="str">
        <f>SUBSTITUTE(Github!L$23, ";", ", ")</f>
        <v>String, Dynamic Programming, Backtracking, </v>
      </c>
      <c r="J23" s="13" t="str">
        <f>Github!E$23</f>
        <v>Medium</v>
      </c>
      <c r="K23" s="13" t="str">
        <f>IF(TRIM(Github!D$23)="TRUE","FALSE","TRUE")</f>
        <v>TRUE</v>
      </c>
      <c r="L23" s="13" t="b">
        <f>Github!M$23</f>
        <v>1</v>
      </c>
      <c r="M23" s="13" t="b">
        <f>Github!N$23</f>
        <v>0</v>
      </c>
      <c r="N23" s="13">
        <f>Github!P$23</f>
        <v>1291663</v>
      </c>
      <c r="O23" s="13">
        <f>Github!Q$23</f>
        <v>1791253</v>
      </c>
    </row>
    <row r="24">
      <c r="A24" s="13">
        <f>Github!J$147</f>
        <v>146</v>
      </c>
      <c r="B24" s="14" t="str">
        <f>HYPERLINK(CONCAT("http://leetcode.com/problems/",Github!C$147), Github!B$147)</f>
        <v>LRU Cache</v>
      </c>
      <c r="C24" s="13">
        <f>Github!F$147</f>
        <v>16130</v>
      </c>
      <c r="D24" s="13">
        <f>Github!G$147</f>
        <v>698</v>
      </c>
      <c r="E24" s="13">
        <f>Github!F$147+Github!G$147</f>
        <v>16828</v>
      </c>
      <c r="F24" s="15">
        <f t="shared" si="1"/>
        <v>23.11</v>
      </c>
      <c r="G24" s="13" t="str">
        <f>ROUND(Github!O$147, 2)&amp;"%"</f>
        <v>40.49%</v>
      </c>
      <c r="H24" s="13" t="str">
        <f>Github!H$147</f>
        <v>Algorithms</v>
      </c>
      <c r="I24" s="16" t="str">
        <f>SUBSTITUTE(Github!L$147, ";", ", ")</f>
        <v>Hash Table, Linked List, Design, Doubly-Linked List, </v>
      </c>
      <c r="J24" s="13" t="str">
        <f>Github!E$147</f>
        <v>Medium</v>
      </c>
      <c r="K24" s="13" t="str">
        <f>IF(TRIM(Github!D$147)="TRUE","FALSE","TRUE")</f>
        <v>TRUE</v>
      </c>
      <c r="L24" s="13" t="b">
        <f>Github!M$147</f>
        <v>1</v>
      </c>
      <c r="M24" s="13" t="b">
        <f>Github!N$147</f>
        <v>0</v>
      </c>
      <c r="N24" s="13">
        <f>Github!P$147</f>
        <v>1240235</v>
      </c>
      <c r="O24" s="13">
        <f>Github!Q$147</f>
        <v>3062761</v>
      </c>
    </row>
    <row r="25">
      <c r="A25" s="13">
        <f>Github!J$301</f>
        <v>300</v>
      </c>
      <c r="B25" s="14" t="str">
        <f>HYPERLINK(CONCAT("http://leetcode.com/problems/",Github!C$301), Github!B$301)</f>
        <v>Longest Increasing Subsequence</v>
      </c>
      <c r="C25" s="13">
        <f>Github!F$301</f>
        <v>15982</v>
      </c>
      <c r="D25" s="13">
        <f>Github!G$301</f>
        <v>294</v>
      </c>
      <c r="E25" s="13">
        <f>Github!F$301+Github!G$301</f>
        <v>16276</v>
      </c>
      <c r="F25" s="15">
        <f t="shared" si="1"/>
        <v>54.36</v>
      </c>
      <c r="G25" s="13" t="str">
        <f>ROUND(Github!O$301, 2)&amp;"%"</f>
        <v>51.72%</v>
      </c>
      <c r="H25" s="13" t="str">
        <f>Github!H$301</f>
        <v>Algorithms</v>
      </c>
      <c r="I25" s="16" t="str">
        <f>SUBSTITUTE(Github!L$301, ";", ", ")</f>
        <v>Array, Binary Search, Dynamic Programming, </v>
      </c>
      <c r="J25" s="13" t="str">
        <f>Github!E$301</f>
        <v>Medium</v>
      </c>
      <c r="K25" s="13" t="str">
        <f>IF(TRIM(Github!D$301)="TRUE","FALSE","TRUE")</f>
        <v>TRUE</v>
      </c>
      <c r="L25" s="13" t="b">
        <f>Github!M$301</f>
        <v>1</v>
      </c>
      <c r="M25" s="13" t="b">
        <f>Github!N$301</f>
        <v>0</v>
      </c>
      <c r="N25" s="13">
        <f>Github!P$301</f>
        <v>1122241</v>
      </c>
      <c r="O25" s="13">
        <f>Github!Q$301</f>
        <v>2169978</v>
      </c>
    </row>
    <row r="26">
      <c r="A26" s="13">
        <f>Github!J$207</f>
        <v>206</v>
      </c>
      <c r="B26" s="14" t="str">
        <f>HYPERLINK(CONCAT("http://leetcode.com/problems/",Github!C$207), Github!B$207)</f>
        <v>Reverse Linked List</v>
      </c>
      <c r="C26" s="13">
        <f>Github!F$207</f>
        <v>16084</v>
      </c>
      <c r="D26" s="13">
        <f>Github!G$207</f>
        <v>272</v>
      </c>
      <c r="E26" s="13">
        <f>Github!F$207+Github!G$207</f>
        <v>16356</v>
      </c>
      <c r="F26" s="15">
        <f t="shared" si="1"/>
        <v>59.13</v>
      </c>
      <c r="G26" s="13" t="str">
        <f>ROUND(Github!O$207, 2)&amp;"%"</f>
        <v>72.83%</v>
      </c>
      <c r="H26" s="13" t="str">
        <f>Github!H$207</f>
        <v>Algorithms</v>
      </c>
      <c r="I26" s="16" t="str">
        <f>SUBSTITUTE(Github!L$207, ";", ", ")</f>
        <v>Linked List, Recursion, </v>
      </c>
      <c r="J26" s="13" t="str">
        <f>Github!E$207</f>
        <v>Easy</v>
      </c>
      <c r="K26" s="13" t="str">
        <f>IF(TRIM(Github!D$207)="TRUE","FALSE","TRUE")</f>
        <v>TRUE</v>
      </c>
      <c r="L26" s="13" t="b">
        <f>Github!M$207</f>
        <v>1</v>
      </c>
      <c r="M26" s="13" t="b">
        <f>Github!N$207</f>
        <v>1</v>
      </c>
      <c r="N26" s="13">
        <f>Github!P$207</f>
        <v>2781690</v>
      </c>
      <c r="O26" s="13">
        <f>Github!Q$207</f>
        <v>3819494</v>
      </c>
    </row>
    <row r="27">
      <c r="A27" s="13">
        <f>Github!J$239</f>
        <v>238</v>
      </c>
      <c r="B27" s="14" t="str">
        <f>HYPERLINK(CONCAT("http://leetcode.com/problems/",Github!C$239), Github!B$239)</f>
        <v>Product of Array Except Self</v>
      </c>
      <c r="C27" s="13">
        <f>Github!F$239</f>
        <v>15858</v>
      </c>
      <c r="D27" s="13">
        <f>Github!G$239</f>
        <v>882</v>
      </c>
      <c r="E27" s="13">
        <f>Github!F$239+Github!G$239</f>
        <v>16740</v>
      </c>
      <c r="F27" s="15">
        <f t="shared" si="1"/>
        <v>17.98</v>
      </c>
      <c r="G27" s="13" t="str">
        <f>ROUND(Github!O$239, 2)&amp;"%"</f>
        <v>64.85%</v>
      </c>
      <c r="H27" s="13" t="str">
        <f>Github!H$239</f>
        <v>Algorithms</v>
      </c>
      <c r="I27" s="16" t="str">
        <f>SUBSTITUTE(Github!L$239, ";", ", ")</f>
        <v>Array, Prefix Sum, </v>
      </c>
      <c r="J27" s="13" t="str">
        <f>Github!E$239</f>
        <v>Medium</v>
      </c>
      <c r="K27" s="13" t="str">
        <f>IF(TRIM(Github!D$239)="TRUE","FALSE","TRUE")</f>
        <v>TRUE</v>
      </c>
      <c r="L27" s="13" t="b">
        <f>Github!M$239</f>
        <v>1</v>
      </c>
      <c r="M27" s="13" t="b">
        <f>Github!N$239</f>
        <v>1</v>
      </c>
      <c r="N27" s="13">
        <f>Github!P$239</f>
        <v>1481667</v>
      </c>
      <c r="O27" s="13">
        <f>Github!Q$239</f>
        <v>2284643</v>
      </c>
    </row>
    <row r="28">
      <c r="A28" s="13">
        <f>Github!J$35</f>
        <v>34</v>
      </c>
      <c r="B28" s="14" t="str">
        <f>HYPERLINK(CONCAT("http://leetcode.com/problems/",Github!C$35), Github!B$35)</f>
        <v>Find First and Last Position of Element in Sorted Array</v>
      </c>
      <c r="C28" s="13">
        <f>Github!F$35</f>
        <v>15230</v>
      </c>
      <c r="D28" s="13">
        <f>Github!G$35</f>
        <v>364</v>
      </c>
      <c r="E28" s="13">
        <f>Github!F$35+Github!G$35</f>
        <v>15594</v>
      </c>
      <c r="F28" s="15">
        <f t="shared" si="1"/>
        <v>41.84</v>
      </c>
      <c r="G28" s="13" t="str">
        <f>ROUND(Github!O$35, 2)&amp;"%"</f>
        <v>41.65%</v>
      </c>
      <c r="H28" s="13" t="str">
        <f>Github!H$35</f>
        <v>Algorithms</v>
      </c>
      <c r="I28" s="16" t="str">
        <f>SUBSTITUTE(Github!L$35, ";", ", ")</f>
        <v>Array, Binary Search, </v>
      </c>
      <c r="J28" s="13" t="str">
        <f>Github!E$35</f>
        <v>Medium</v>
      </c>
      <c r="K28" s="13" t="str">
        <f>IF(TRIM(Github!D$35)="TRUE","FALSE","TRUE")</f>
        <v>TRUE</v>
      </c>
      <c r="L28" s="13" t="b">
        <f>Github!M$35</f>
        <v>1</v>
      </c>
      <c r="M28" s="13" t="b">
        <f>Github!N$35</f>
        <v>0</v>
      </c>
      <c r="N28" s="13">
        <f>Github!P$35</f>
        <v>1410583</v>
      </c>
      <c r="O28" s="13">
        <f>Github!Q$35</f>
        <v>3386599</v>
      </c>
    </row>
    <row r="29">
      <c r="A29" s="13">
        <f>Github!J$24</f>
        <v>23</v>
      </c>
      <c r="B29" s="14" t="str">
        <f>HYPERLINK(CONCAT("http://leetcode.com/problems/",Github!C$24), Github!B$24)</f>
        <v>Merge k Sorted Lists</v>
      </c>
      <c r="C29" s="13">
        <f>Github!F$24</f>
        <v>15125</v>
      </c>
      <c r="D29" s="13">
        <f>Github!G$24</f>
        <v>571</v>
      </c>
      <c r="E29" s="13">
        <f>Github!F$24+Github!G$24</f>
        <v>15696</v>
      </c>
      <c r="F29" s="15">
        <f t="shared" si="1"/>
        <v>26.49</v>
      </c>
      <c r="G29" s="13" t="str">
        <f>ROUND(Github!O$24, 2)&amp;"%"</f>
        <v>48.64%</v>
      </c>
      <c r="H29" s="13" t="str">
        <f>Github!H$24</f>
        <v>Algorithms</v>
      </c>
      <c r="I29" s="16" t="str">
        <f>SUBSTITUTE(Github!L$24, ";", ", ")</f>
        <v>Linked List, Divide and Conquer, Heap (Priority Queue), Merge Sort, </v>
      </c>
      <c r="J29" s="13" t="str">
        <f>Github!E$24</f>
        <v>Hard</v>
      </c>
      <c r="K29" s="13" t="str">
        <f>IF(TRIM(Github!D$24)="TRUE","FALSE","TRUE")</f>
        <v>TRUE</v>
      </c>
      <c r="L29" s="13" t="b">
        <f>Github!M$24</f>
        <v>1</v>
      </c>
      <c r="M29" s="13" t="b">
        <f>Github!N$24</f>
        <v>0</v>
      </c>
      <c r="N29" s="13">
        <f>Github!P$24</f>
        <v>1494182</v>
      </c>
      <c r="O29" s="13">
        <f>Github!Q$24</f>
        <v>3072126</v>
      </c>
    </row>
    <row r="30">
      <c r="A30" s="13">
        <f>Github!J$323</f>
        <v>322</v>
      </c>
      <c r="B30" s="14" t="str">
        <f>HYPERLINK(CONCAT("http://leetcode.com/problems/",Github!C$323), Github!B$323)</f>
        <v>Coin Change</v>
      </c>
      <c r="C30" s="13">
        <f>Github!F$323</f>
        <v>14917</v>
      </c>
      <c r="D30" s="13">
        <f>Github!G$323</f>
        <v>345</v>
      </c>
      <c r="E30" s="13">
        <f>Github!F$323+Github!G$323</f>
        <v>15262</v>
      </c>
      <c r="F30" s="15">
        <f t="shared" si="1"/>
        <v>43.24</v>
      </c>
      <c r="G30" s="13" t="str">
        <f>ROUND(Github!O$323, 2)&amp;"%"</f>
        <v>41.71%</v>
      </c>
      <c r="H30" s="13" t="str">
        <f>Github!H$323</f>
        <v>Algorithms</v>
      </c>
      <c r="I30" s="16" t="str">
        <f>SUBSTITUTE(Github!L$323, ";", ", ")</f>
        <v>Array, Dynamic Programming, Breadth-First Search, </v>
      </c>
      <c r="J30" s="13" t="str">
        <f>Github!E$323</f>
        <v>Medium</v>
      </c>
      <c r="K30" s="13" t="str">
        <f>IF(TRIM(Github!D$323)="TRUE","FALSE","TRUE")</f>
        <v>TRUE</v>
      </c>
      <c r="L30" s="13" t="b">
        <f>Github!M$323</f>
        <v>1</v>
      </c>
      <c r="M30" s="13" t="b">
        <f>Github!N$323</f>
        <v>1</v>
      </c>
      <c r="N30" s="13">
        <f>Github!P$323</f>
        <v>1285843</v>
      </c>
      <c r="O30" s="13">
        <f>Github!Q$323</f>
        <v>3082646</v>
      </c>
    </row>
    <row r="31">
      <c r="A31" s="13">
        <f>Github!J$153</f>
        <v>152</v>
      </c>
      <c r="B31" s="14" t="str">
        <f>HYPERLINK(CONCAT("http://leetcode.com/problems/",Github!C$153), Github!B$153)</f>
        <v>Maximum Product Subarray</v>
      </c>
      <c r="C31" s="13">
        <f>Github!F$153</f>
        <v>14713</v>
      </c>
      <c r="D31" s="13">
        <f>Github!G$153</f>
        <v>438</v>
      </c>
      <c r="E31" s="13">
        <f>Github!F$153+Github!G$153</f>
        <v>15151</v>
      </c>
      <c r="F31" s="15">
        <f t="shared" si="1"/>
        <v>33.59</v>
      </c>
      <c r="G31" s="13" t="str">
        <f>ROUND(Github!O$153, 2)&amp;"%"</f>
        <v>34.91%</v>
      </c>
      <c r="H31" s="13" t="str">
        <f>Github!H$153</f>
        <v>Algorithms</v>
      </c>
      <c r="I31" s="16" t="str">
        <f>SUBSTITUTE(Github!L$153, ";", ", ")</f>
        <v>Array, Dynamic Programming, </v>
      </c>
      <c r="J31" s="13" t="str">
        <f>Github!E$153</f>
        <v>Medium</v>
      </c>
      <c r="K31" s="13" t="str">
        <f>IF(TRIM(Github!D$153)="TRUE","FALSE","TRUE")</f>
        <v>TRUE</v>
      </c>
      <c r="L31" s="13" t="b">
        <f>Github!M$153</f>
        <v>1</v>
      </c>
      <c r="M31" s="13" t="b">
        <f>Github!N$153</f>
        <v>0</v>
      </c>
      <c r="N31" s="13">
        <f>Github!P$153</f>
        <v>926340</v>
      </c>
      <c r="O31" s="13">
        <f>Github!Q$153</f>
        <v>2653538</v>
      </c>
    </row>
    <row r="32">
      <c r="A32" s="13">
        <f>Github!J$40</f>
        <v>39</v>
      </c>
      <c r="B32" s="14" t="str">
        <f>HYPERLINK(CONCAT("http://leetcode.com/problems/",Github!C$40), Github!B$40)</f>
        <v>Combination Sum</v>
      </c>
      <c r="C32" s="13">
        <f>Github!F$40</f>
        <v>14538</v>
      </c>
      <c r="D32" s="13">
        <f>Github!G$40</f>
        <v>290</v>
      </c>
      <c r="E32" s="13">
        <f>Github!F$40+Github!G$40</f>
        <v>14828</v>
      </c>
      <c r="F32" s="15">
        <f t="shared" si="1"/>
        <v>50.13</v>
      </c>
      <c r="G32" s="13" t="str">
        <f>ROUND(Github!O$40, 2)&amp;"%"</f>
        <v>68.05%</v>
      </c>
      <c r="H32" s="13" t="str">
        <f>Github!H$40</f>
        <v>Algorithms</v>
      </c>
      <c r="I32" s="16" t="str">
        <f>SUBSTITUTE(Github!L$40, ";", ", ")</f>
        <v>Array, Backtracking, </v>
      </c>
      <c r="J32" s="13" t="str">
        <f>Github!E$40</f>
        <v>Medium</v>
      </c>
      <c r="K32" s="13" t="str">
        <f>IF(TRIM(Github!D$40)="TRUE","FALSE","TRUE")</f>
        <v>TRUE</v>
      </c>
      <c r="L32" s="13" t="b">
        <f>Github!M$40</f>
        <v>1</v>
      </c>
      <c r="M32" s="13" t="b">
        <f>Github!N$40</f>
        <v>0</v>
      </c>
      <c r="N32" s="13">
        <f>Github!P$40</f>
        <v>1354882</v>
      </c>
      <c r="O32" s="13">
        <f>Github!Q$40</f>
        <v>1991137</v>
      </c>
    </row>
    <row r="33">
      <c r="A33" s="13">
        <f>Github!J$129</f>
        <v>128</v>
      </c>
      <c r="B33" s="14" t="str">
        <f>HYPERLINK(CONCAT("http://leetcode.com/problems/",Github!C$129), Github!B$129)</f>
        <v>Longest Consecutive Sequence</v>
      </c>
      <c r="C33" s="13">
        <f>Github!F$129</f>
        <v>14435</v>
      </c>
      <c r="D33" s="13">
        <f>Github!G$129</f>
        <v>596</v>
      </c>
      <c r="E33" s="13">
        <f>Github!F$129+Github!G$129</f>
        <v>15031</v>
      </c>
      <c r="F33" s="15">
        <f t="shared" si="1"/>
        <v>24.22</v>
      </c>
      <c r="G33" s="13" t="str">
        <f>ROUND(Github!O$129, 2)&amp;"%"</f>
        <v>48.81%</v>
      </c>
      <c r="H33" s="13" t="str">
        <f>Github!H$129</f>
        <v>Algorithms</v>
      </c>
      <c r="I33" s="16" t="str">
        <f>SUBSTITUTE(Github!L$129, ";", ", ")</f>
        <v>Array, Hash Table, Union Find, </v>
      </c>
      <c r="J33" s="13" t="str">
        <f>Github!E$129</f>
        <v>Medium</v>
      </c>
      <c r="K33" s="13" t="str">
        <f>IF(TRIM(Github!D$129)="TRUE","FALSE","TRUE")</f>
        <v>TRUE</v>
      </c>
      <c r="L33" s="13" t="b">
        <f>Github!M$129</f>
        <v>1</v>
      </c>
      <c r="M33" s="13" t="b">
        <f>Github!N$129</f>
        <v>0</v>
      </c>
      <c r="N33" s="13">
        <f>Github!P$129</f>
        <v>997930</v>
      </c>
      <c r="O33" s="13">
        <f>Github!Q$129</f>
        <v>2044570</v>
      </c>
    </row>
    <row r="34">
      <c r="A34" s="13">
        <f>Github!J$20</f>
        <v>19</v>
      </c>
      <c r="B34" s="14" t="str">
        <f>HYPERLINK(CONCAT("http://leetcode.com/problems/",Github!C$20), Github!B$20)</f>
        <v>Remove Nth Node From End of List</v>
      </c>
      <c r="C34" s="13">
        <f>Github!F$20</f>
        <v>14262</v>
      </c>
      <c r="D34" s="13">
        <f>Github!G$20</f>
        <v>593</v>
      </c>
      <c r="E34" s="13">
        <f>Github!F$20+Github!G$20</f>
        <v>14855</v>
      </c>
      <c r="F34" s="15">
        <f t="shared" si="1"/>
        <v>24.05</v>
      </c>
      <c r="G34" s="13" t="str">
        <f>ROUND(Github!O$20, 2)&amp;"%"</f>
        <v>40.3%</v>
      </c>
      <c r="H34" s="13" t="str">
        <f>Github!H$20</f>
        <v>Algorithms</v>
      </c>
      <c r="I34" s="16" t="str">
        <f>SUBSTITUTE(Github!L$20, ";", ", ")</f>
        <v>Linked List, Two Pointers, </v>
      </c>
      <c r="J34" s="13" t="str">
        <f>Github!E$20</f>
        <v>Medium</v>
      </c>
      <c r="K34" s="13" t="str">
        <f>IF(TRIM(Github!D$20)="TRUE","FALSE","TRUE")</f>
        <v>TRUE</v>
      </c>
      <c r="L34" s="13" t="b">
        <f>Github!M$20</f>
        <v>1</v>
      </c>
      <c r="M34" s="13" t="b">
        <f>Github!N$20</f>
        <v>1</v>
      </c>
      <c r="N34" s="13">
        <f>Github!P$20</f>
        <v>1839139</v>
      </c>
      <c r="O34" s="13">
        <f>Github!Q$20</f>
        <v>4563943</v>
      </c>
    </row>
    <row r="35">
      <c r="A35" s="13">
        <f>Github!J$47</f>
        <v>46</v>
      </c>
      <c r="B35" s="14" t="str">
        <f>HYPERLINK(CONCAT("http://leetcode.com/problems/",Github!C$47), Github!B$47)</f>
        <v>Permutations</v>
      </c>
      <c r="C35" s="13">
        <f>Github!F$47</f>
        <v>14155</v>
      </c>
      <c r="D35" s="13">
        <f>Github!G$47</f>
        <v>241</v>
      </c>
      <c r="E35" s="13">
        <f>Github!F$47+Github!G$47</f>
        <v>14396</v>
      </c>
      <c r="F35" s="15">
        <f t="shared" si="1"/>
        <v>58.73</v>
      </c>
      <c r="G35" s="13" t="str">
        <f>ROUND(Github!O$47, 2)&amp;"%"</f>
        <v>75.1%</v>
      </c>
      <c r="H35" s="13" t="str">
        <f>Github!H$47</f>
        <v>Algorithms</v>
      </c>
      <c r="I35" s="16" t="str">
        <f>SUBSTITUTE(Github!L$47, ";", ", ")</f>
        <v>Array, Backtracking, </v>
      </c>
      <c r="J35" s="13" t="str">
        <f>Github!E$47</f>
        <v>Medium</v>
      </c>
      <c r="K35" s="13" t="str">
        <f>IF(TRIM(Github!D$47)="TRUE","FALSE","TRUE")</f>
        <v>TRUE</v>
      </c>
      <c r="L35" s="13" t="b">
        <f>Github!M$47</f>
        <v>1</v>
      </c>
      <c r="M35" s="13" t="b">
        <f>Github!N$47</f>
        <v>0</v>
      </c>
      <c r="N35" s="13">
        <f>Github!P$47</f>
        <v>1453820</v>
      </c>
      <c r="O35" s="13">
        <f>Github!Q$47</f>
        <v>1935774</v>
      </c>
    </row>
    <row r="36">
      <c r="A36" s="13">
        <f>Github!J$56</f>
        <v>55</v>
      </c>
      <c r="B36" s="14" t="str">
        <f>HYPERLINK(CONCAT("http://leetcode.com/problems/",Github!C$56), Github!B$56)</f>
        <v>Jump Game</v>
      </c>
      <c r="C36" s="13">
        <f>Github!F$56</f>
        <v>14909</v>
      </c>
      <c r="D36" s="13">
        <f>Github!G$56</f>
        <v>763</v>
      </c>
      <c r="E36" s="13">
        <f>Github!F$56+Github!G$56</f>
        <v>15672</v>
      </c>
      <c r="F36" s="15">
        <f t="shared" si="1"/>
        <v>19.54</v>
      </c>
      <c r="G36" s="13" t="str">
        <f>ROUND(Github!O$56, 2)&amp;"%"</f>
        <v>38.85%</v>
      </c>
      <c r="H36" s="13" t="str">
        <f>Github!H$56</f>
        <v>Algorithms</v>
      </c>
      <c r="I36" s="16" t="str">
        <f>SUBSTITUTE(Github!L$56, ";", ", ")</f>
        <v>Array, Dynamic Programming, Greedy, </v>
      </c>
      <c r="J36" s="13" t="str">
        <f>Github!E$56</f>
        <v>Medium</v>
      </c>
      <c r="K36" s="13" t="str">
        <f>IF(TRIM(Github!D$56)="TRUE","FALSE","TRUE")</f>
        <v>TRUE</v>
      </c>
      <c r="L36" s="13" t="b">
        <f>Github!M$56</f>
        <v>1</v>
      </c>
      <c r="M36" s="13" t="b">
        <f>Github!N$56</f>
        <v>0</v>
      </c>
      <c r="N36" s="13">
        <f>Github!P$56</f>
        <v>1285643</v>
      </c>
      <c r="O36" s="13">
        <f>Github!Q$56</f>
        <v>3309530</v>
      </c>
    </row>
    <row r="37">
      <c r="A37" s="13">
        <f>Github!J$77</f>
        <v>76</v>
      </c>
      <c r="B37" s="14" t="str">
        <f>HYPERLINK(CONCAT("http://leetcode.com/problems/",Github!C$77), Github!B$77)</f>
        <v>Minimum Window Substring</v>
      </c>
      <c r="C37" s="13">
        <f>Github!F$77</f>
        <v>13961</v>
      </c>
      <c r="D37" s="13">
        <f>Github!G$77</f>
        <v>606</v>
      </c>
      <c r="E37" s="13">
        <f>Github!F$77+Github!G$77</f>
        <v>14567</v>
      </c>
      <c r="F37" s="15">
        <f t="shared" si="1"/>
        <v>23.04</v>
      </c>
      <c r="G37" s="13" t="str">
        <f>ROUND(Github!O$77, 2)&amp;"%"</f>
        <v>40.77%</v>
      </c>
      <c r="H37" s="13" t="str">
        <f>Github!H$77</f>
        <v>Algorithms</v>
      </c>
      <c r="I37" s="16" t="str">
        <f>SUBSTITUTE(Github!L$77, ";", ", ")</f>
        <v>Hash Table, String, Sliding Window, </v>
      </c>
      <c r="J37" s="13" t="str">
        <f>Github!E$77</f>
        <v>Hard</v>
      </c>
      <c r="K37" s="13" t="str">
        <f>IF(TRIM(Github!D$77)="TRUE","FALSE","TRUE")</f>
        <v>TRUE</v>
      </c>
      <c r="L37" s="13" t="b">
        <f>Github!M$77</f>
        <v>1</v>
      </c>
      <c r="M37" s="13" t="b">
        <f>Github!N$77</f>
        <v>0</v>
      </c>
      <c r="N37" s="13">
        <f>Github!P$77</f>
        <v>948158</v>
      </c>
      <c r="O37" s="13">
        <f>Github!Q$77</f>
        <v>2325444</v>
      </c>
    </row>
    <row r="38">
      <c r="A38" s="13">
        <f>Github!J$32</f>
        <v>31</v>
      </c>
      <c r="B38" s="14" t="str">
        <f>HYPERLINK(CONCAT("http://leetcode.com/problems/",Github!C$32), Github!B$32)</f>
        <v>Next Permutation</v>
      </c>
      <c r="C38" s="13">
        <f>Github!F$32</f>
        <v>13919</v>
      </c>
      <c r="D38" s="13">
        <f>Github!G$32</f>
        <v>3947</v>
      </c>
      <c r="E38" s="13">
        <f>Github!F$32+Github!G$32</f>
        <v>17866</v>
      </c>
      <c r="F38" s="15">
        <f t="shared" si="1"/>
        <v>3.53</v>
      </c>
      <c r="G38" s="13" t="str">
        <f>ROUND(Github!O$32, 2)&amp;"%"</f>
        <v>37.25%</v>
      </c>
      <c r="H38" s="13" t="str">
        <f>Github!H$32</f>
        <v>Algorithms</v>
      </c>
      <c r="I38" s="16" t="str">
        <f>SUBSTITUTE(Github!L$32, ";", ", ")</f>
        <v>Array, Two Pointers, </v>
      </c>
      <c r="J38" s="13" t="str">
        <f>Github!E$32</f>
        <v>Medium</v>
      </c>
      <c r="K38" s="13" t="str">
        <f>IF(TRIM(Github!D$32)="TRUE","FALSE","TRUE")</f>
        <v>TRUE</v>
      </c>
      <c r="L38" s="13" t="b">
        <f>Github!M$32</f>
        <v>1</v>
      </c>
      <c r="M38" s="13" t="b">
        <f>Github!N$32</f>
        <v>0</v>
      </c>
      <c r="N38" s="13">
        <f>Github!P$32</f>
        <v>968686</v>
      </c>
      <c r="O38" s="13">
        <f>Github!Q$32</f>
        <v>2600725</v>
      </c>
    </row>
    <row r="39">
      <c r="A39" s="13">
        <f>Github!J$50</f>
        <v>49</v>
      </c>
      <c r="B39" s="14" t="str">
        <f>HYPERLINK(CONCAT("http://leetcode.com/problems/",Github!C$50), Github!B$50)</f>
        <v>Group Anagrams</v>
      </c>
      <c r="C39" s="13">
        <f>Github!F$50</f>
        <v>13719</v>
      </c>
      <c r="D39" s="13">
        <f>Github!G$50</f>
        <v>405</v>
      </c>
      <c r="E39" s="13">
        <f>Github!F$50+Github!G$50</f>
        <v>14124</v>
      </c>
      <c r="F39" s="15">
        <f t="shared" si="1"/>
        <v>33.87</v>
      </c>
      <c r="G39" s="13" t="str">
        <f>ROUND(Github!O$50, 2)&amp;"%"</f>
        <v>66.58%</v>
      </c>
      <c r="H39" s="13" t="str">
        <f>Github!H$50</f>
        <v>Algorithms</v>
      </c>
      <c r="I39" s="16" t="str">
        <f>SUBSTITUTE(Github!L$50, ";", ", ")</f>
        <v>Array, Hash Table, String, Sorting, </v>
      </c>
      <c r="J39" s="13" t="str">
        <f>Github!E$50</f>
        <v>Medium</v>
      </c>
      <c r="K39" s="13" t="str">
        <f>IF(TRIM(Github!D$50)="TRUE","FALSE","TRUE")</f>
        <v>TRUE</v>
      </c>
      <c r="L39" s="13" t="b">
        <f>Github!M$50</f>
        <v>1</v>
      </c>
      <c r="M39" s="13" t="b">
        <f>Github!N$50</f>
        <v>1</v>
      </c>
      <c r="N39" s="13">
        <f>Github!P$50</f>
        <v>1786082</v>
      </c>
      <c r="O39" s="13">
        <f>Github!Q$50</f>
        <v>2682545</v>
      </c>
    </row>
    <row r="40">
      <c r="A40" s="13">
        <f>Github!J$18</f>
        <v>17</v>
      </c>
      <c r="B40" s="14" t="str">
        <f>HYPERLINK(CONCAT("http://leetcode.com/problems/",Github!C$18), Github!B$18)</f>
        <v>Letter Combinations of a Phone Number</v>
      </c>
      <c r="C40" s="13">
        <f>Github!F$18</f>
        <v>13635</v>
      </c>
      <c r="D40" s="13">
        <f>Github!G$18</f>
        <v>794</v>
      </c>
      <c r="E40" s="13">
        <f>Github!F$18+Github!G$18</f>
        <v>14429</v>
      </c>
      <c r="F40" s="15">
        <f t="shared" si="1"/>
        <v>17.17</v>
      </c>
      <c r="G40" s="13" t="str">
        <f>ROUND(Github!O$18, 2)&amp;"%"</f>
        <v>55.93%</v>
      </c>
      <c r="H40" s="13" t="str">
        <f>Github!H$18</f>
        <v>Algorithms</v>
      </c>
      <c r="I40" s="16" t="str">
        <f>SUBSTITUTE(Github!L$18, ";", ", ")</f>
        <v>Hash Table, String, Backtracking, </v>
      </c>
      <c r="J40" s="13" t="str">
        <f>Github!E$18</f>
        <v>Medium</v>
      </c>
      <c r="K40" s="13" t="str">
        <f>IF(TRIM(Github!D$18)="TRUE","FALSE","TRUE")</f>
        <v>TRUE</v>
      </c>
      <c r="L40" s="13" t="b">
        <f>Github!M$18</f>
        <v>1</v>
      </c>
      <c r="M40" s="13" t="b">
        <f>Github!N$18</f>
        <v>0</v>
      </c>
      <c r="N40" s="13">
        <f>Github!P$18</f>
        <v>1446505</v>
      </c>
      <c r="O40" s="13">
        <f>Github!Q$18</f>
        <v>2586483</v>
      </c>
    </row>
    <row r="41">
      <c r="A41" s="13">
        <f>Github!J$99</f>
        <v>98</v>
      </c>
      <c r="B41" s="14" t="str">
        <f>HYPERLINK(CONCAT("http://leetcode.com/problems/",Github!C$99), Github!B$99)</f>
        <v>Validate Binary Search Tree</v>
      </c>
      <c r="C41" s="13">
        <f>Github!F$99</f>
        <v>13473</v>
      </c>
      <c r="D41" s="13">
        <f>Github!G$99</f>
        <v>1099</v>
      </c>
      <c r="E41" s="13">
        <f>Github!F$99+Github!G$99</f>
        <v>14572</v>
      </c>
      <c r="F41" s="15">
        <f t="shared" si="1"/>
        <v>12.26</v>
      </c>
      <c r="G41" s="13" t="str">
        <f>ROUND(Github!O$99, 2)&amp;"%"</f>
        <v>31.83%</v>
      </c>
      <c r="H41" s="13" t="str">
        <f>Github!H$99</f>
        <v>Algorithms</v>
      </c>
      <c r="I41" s="16" t="str">
        <f>SUBSTITUTE(Github!L$99, ";", ", ")</f>
        <v>Tree, Depth-First Search, Binary Search Tree, Binary Tree, </v>
      </c>
      <c r="J41" s="13" t="str">
        <f>Github!E$99</f>
        <v>Medium</v>
      </c>
      <c r="K41" s="13" t="str">
        <f>IF(TRIM(Github!D$99)="TRUE","FALSE","TRUE")</f>
        <v>TRUE</v>
      </c>
      <c r="L41" s="13" t="b">
        <f>Github!M$99</f>
        <v>1</v>
      </c>
      <c r="M41" s="13" t="b">
        <f>Github!N$99</f>
        <v>1</v>
      </c>
      <c r="N41" s="13">
        <f>Github!P$99</f>
        <v>1789364</v>
      </c>
      <c r="O41" s="13">
        <f>Github!Q$99</f>
        <v>5622209</v>
      </c>
    </row>
    <row r="42">
      <c r="A42" s="13">
        <f>Github!J$76</f>
        <v>75</v>
      </c>
      <c r="B42" s="14" t="str">
        <f>HYPERLINK(CONCAT("http://leetcode.com/problems/",Github!C$76), Github!B$76)</f>
        <v>Sort Colors</v>
      </c>
      <c r="C42" s="13">
        <f>Github!F$76</f>
        <v>13421</v>
      </c>
      <c r="D42" s="13">
        <f>Github!G$76</f>
        <v>485</v>
      </c>
      <c r="E42" s="13">
        <f>Github!F$76+Github!G$76</f>
        <v>13906</v>
      </c>
      <c r="F42" s="15">
        <f t="shared" si="1"/>
        <v>27.67</v>
      </c>
      <c r="G42" s="13" t="str">
        <f>ROUND(Github!O$76, 2)&amp;"%"</f>
        <v>57.7%</v>
      </c>
      <c r="H42" s="13" t="str">
        <f>Github!H$76</f>
        <v>Algorithms</v>
      </c>
      <c r="I42" s="16" t="str">
        <f>SUBSTITUTE(Github!L$76, ";", ", ")</f>
        <v>Array, Two Pointers, Sorting, </v>
      </c>
      <c r="J42" s="13" t="str">
        <f>Github!E$76</f>
        <v>Medium</v>
      </c>
      <c r="K42" s="13" t="str">
        <f>IF(TRIM(Github!D$76)="TRUE","FALSE","TRUE")</f>
        <v>TRUE</v>
      </c>
      <c r="L42" s="13" t="b">
        <f>Github!M$76</f>
        <v>1</v>
      </c>
      <c r="M42" s="13" t="b">
        <f>Github!N$76</f>
        <v>0</v>
      </c>
      <c r="N42" s="13">
        <f>Github!P$76</f>
        <v>1289914</v>
      </c>
      <c r="O42" s="13">
        <f>Github!Q$76</f>
        <v>2235566</v>
      </c>
    </row>
    <row r="43">
      <c r="A43" s="13">
        <f>Github!J$49</f>
        <v>48</v>
      </c>
      <c r="B43" s="14" t="str">
        <f>HYPERLINK(CONCAT("http://leetcode.com/problems/",Github!C$49), Github!B$49)</f>
        <v>Rotate Image</v>
      </c>
      <c r="C43" s="13">
        <f>Github!F$49</f>
        <v>13305</v>
      </c>
      <c r="D43" s="13">
        <f>Github!G$49</f>
        <v>613</v>
      </c>
      <c r="E43" s="13">
        <f>Github!F$49+Github!G$49</f>
        <v>13918</v>
      </c>
      <c r="F43" s="15">
        <f t="shared" si="1"/>
        <v>21.7</v>
      </c>
      <c r="G43" s="13" t="str">
        <f>ROUND(Github!O$49, 2)&amp;"%"</f>
        <v>70.35%</v>
      </c>
      <c r="H43" s="13" t="str">
        <f>Github!H$49</f>
        <v>Algorithms</v>
      </c>
      <c r="I43" s="16" t="str">
        <f>SUBSTITUTE(Github!L$49, ";", ", ")</f>
        <v>Array, Math, Matrix, </v>
      </c>
      <c r="J43" s="13" t="str">
        <f>Github!E$49</f>
        <v>Medium</v>
      </c>
      <c r="K43" s="13" t="str">
        <f>IF(TRIM(Github!D$49)="TRUE","FALSE","TRUE")</f>
        <v>TRUE</v>
      </c>
      <c r="L43" s="13" t="b">
        <f>Github!M$49</f>
        <v>1</v>
      </c>
      <c r="M43" s="13" t="b">
        <f>Github!N$49</f>
        <v>0</v>
      </c>
      <c r="N43" s="13">
        <f>Github!P$49</f>
        <v>1174569</v>
      </c>
      <c r="O43" s="13">
        <f>Github!Q$49</f>
        <v>1669578</v>
      </c>
    </row>
    <row r="44">
      <c r="A44" s="13">
        <f>Github!J$125</f>
        <v>124</v>
      </c>
      <c r="B44" s="14" t="str">
        <f>HYPERLINK(CONCAT("http://leetcode.com/problems/",Github!C$125), Github!B$125)</f>
        <v>Binary Tree Maximum Path Sum</v>
      </c>
      <c r="C44" s="13">
        <f>Github!F$125</f>
        <v>13210</v>
      </c>
      <c r="D44" s="13">
        <f>Github!G$125</f>
        <v>620</v>
      </c>
      <c r="E44" s="13">
        <f>Github!F$125+Github!G$125</f>
        <v>13830</v>
      </c>
      <c r="F44" s="15">
        <f t="shared" si="1"/>
        <v>21.31</v>
      </c>
      <c r="G44" s="13" t="str">
        <f>ROUND(Github!O$125, 2)&amp;"%"</f>
        <v>39.1%</v>
      </c>
      <c r="H44" s="13" t="str">
        <f>Github!H$125</f>
        <v>Algorithms</v>
      </c>
      <c r="I44" s="16" t="str">
        <f>SUBSTITUTE(Github!L$125, ";", ", ")</f>
        <v>Dynamic Programming, Tree, Depth-First Search, Binary Tree, </v>
      </c>
      <c r="J44" s="13" t="str">
        <f>Github!E$125</f>
        <v>Hard</v>
      </c>
      <c r="K44" s="13" t="str">
        <f>IF(TRIM(Github!D$125)="TRUE","FALSE","TRUE")</f>
        <v>TRUE</v>
      </c>
      <c r="L44" s="13" t="b">
        <f>Github!M$125</f>
        <v>1</v>
      </c>
      <c r="M44" s="13" t="b">
        <f>Github!N$125</f>
        <v>0</v>
      </c>
      <c r="N44" s="13">
        <f>Github!P$125</f>
        <v>921804</v>
      </c>
      <c r="O44" s="13">
        <f>Github!Q$125</f>
        <v>2357514</v>
      </c>
    </row>
    <row r="45">
      <c r="A45" s="13">
        <f>Github!J$237</f>
        <v>236</v>
      </c>
      <c r="B45" s="14" t="str">
        <f>HYPERLINK(CONCAT("http://leetcode.com/problems/",Github!C$237), Github!B$237)</f>
        <v>Lowest Common Ancestor of a Binary Tree</v>
      </c>
      <c r="C45" s="13">
        <f>Github!F$237</f>
        <v>13192</v>
      </c>
      <c r="D45" s="13">
        <f>Github!G$237</f>
        <v>316</v>
      </c>
      <c r="E45" s="13">
        <f>Github!F$237+Github!G$237</f>
        <v>13508</v>
      </c>
      <c r="F45" s="15">
        <f t="shared" si="1"/>
        <v>41.75</v>
      </c>
      <c r="G45" s="13" t="str">
        <f>ROUND(Github!O$237, 2)&amp;"%"</f>
        <v>58.28%</v>
      </c>
      <c r="H45" s="13" t="str">
        <f>Github!H$237</f>
        <v>Algorithms</v>
      </c>
      <c r="I45" s="16" t="str">
        <f>SUBSTITUTE(Github!L$237, ";", ", ")</f>
        <v>Tree, Depth-First Search, Binary Tree, </v>
      </c>
      <c r="J45" s="13" t="str">
        <f>Github!E$237</f>
        <v>Medium</v>
      </c>
      <c r="K45" s="13" t="str">
        <f>IF(TRIM(Github!D$237)="TRUE","FALSE","TRUE")</f>
        <v>TRUE</v>
      </c>
      <c r="L45" s="13" t="b">
        <f>Github!M$237</f>
        <v>1</v>
      </c>
      <c r="M45" s="13" t="b">
        <f>Github!N$237</f>
        <v>0</v>
      </c>
      <c r="N45" s="13">
        <f>Github!P$237</f>
        <v>1230912</v>
      </c>
      <c r="O45" s="13">
        <f>Github!Q$237</f>
        <v>2112008</v>
      </c>
    </row>
    <row r="46">
      <c r="A46" s="13">
        <f>Github!J$240</f>
        <v>239</v>
      </c>
      <c r="B46" s="14" t="str">
        <f>HYPERLINK(CONCAT("http://leetcode.com/problems/",Github!C$240), Github!B$240)</f>
        <v>Sliding Window Maximum</v>
      </c>
      <c r="C46" s="13">
        <f>Github!F$240</f>
        <v>13201</v>
      </c>
      <c r="D46" s="13">
        <f>Github!G$240</f>
        <v>427</v>
      </c>
      <c r="E46" s="13">
        <f>Github!F$240+Github!G$240</f>
        <v>13628</v>
      </c>
      <c r="F46" s="15">
        <f t="shared" si="1"/>
        <v>30.92</v>
      </c>
      <c r="G46" s="13" t="str">
        <f>ROUND(Github!O$240, 2)&amp;"%"</f>
        <v>46.53%</v>
      </c>
      <c r="H46" s="13" t="str">
        <f>Github!H$240</f>
        <v>Algorithms</v>
      </c>
      <c r="I46" s="16" t="str">
        <f>SUBSTITUTE(Github!L$240, ";", ", ")</f>
        <v>Array, Queue, Sliding Window, Heap (Priority Queue), Monotonic Queue, </v>
      </c>
      <c r="J46" s="13" t="str">
        <f>Github!E$240</f>
        <v>Hard</v>
      </c>
      <c r="K46" s="13" t="str">
        <f>IF(TRIM(Github!D$240)="TRUE","FALSE","TRUE")</f>
        <v>TRUE</v>
      </c>
      <c r="L46" s="13" t="b">
        <f>Github!M$240</f>
        <v>1</v>
      </c>
      <c r="M46" s="13" t="b">
        <f>Github!N$240</f>
        <v>0</v>
      </c>
      <c r="N46" s="13">
        <f>Github!P$240</f>
        <v>705987</v>
      </c>
      <c r="O46" s="13">
        <f>Github!Q$240</f>
        <v>1517397</v>
      </c>
    </row>
    <row r="47">
      <c r="A47" s="13">
        <f>Github!J$170</f>
        <v>169</v>
      </c>
      <c r="B47" s="14" t="str">
        <f>HYPERLINK(CONCAT("http://leetcode.com/problems/",Github!C$170), Github!B$170)</f>
        <v>Majority Element</v>
      </c>
      <c r="C47" s="13">
        <f>Github!F$170</f>
        <v>13193</v>
      </c>
      <c r="D47" s="13">
        <f>Github!G$170</f>
        <v>421</v>
      </c>
      <c r="E47" s="13">
        <f>Github!F$170+Github!G$170</f>
        <v>13614</v>
      </c>
      <c r="F47" s="15">
        <f t="shared" si="1"/>
        <v>31.34</v>
      </c>
      <c r="G47" s="13" t="str">
        <f>ROUND(Github!O$170, 2)&amp;"%"</f>
        <v>63.91%</v>
      </c>
      <c r="H47" s="13" t="str">
        <f>Github!H$170</f>
        <v>Algorithms</v>
      </c>
      <c r="I47" s="16" t="str">
        <f>SUBSTITUTE(Github!L$170, ";", ", ")</f>
        <v>Array, Hash Table, Divide and Conquer, Sorting, Counting, </v>
      </c>
      <c r="J47" s="13" t="str">
        <f>Github!E$170</f>
        <v>Easy</v>
      </c>
      <c r="K47" s="13" t="str">
        <f>IF(TRIM(Github!D$170)="TRUE","FALSE","TRUE")</f>
        <v>TRUE</v>
      </c>
      <c r="L47" s="13" t="b">
        <f>Github!M$170</f>
        <v>1</v>
      </c>
      <c r="M47" s="13" t="b">
        <f>Github!N$170</f>
        <v>0</v>
      </c>
      <c r="N47" s="13">
        <f>Github!P$170</f>
        <v>1555557</v>
      </c>
      <c r="O47" s="13">
        <f>Github!Q$170</f>
        <v>2433814</v>
      </c>
    </row>
    <row r="48">
      <c r="A48" s="13">
        <f>Github!J$140</f>
        <v>139</v>
      </c>
      <c r="B48" s="14" t="str">
        <f>HYPERLINK(CONCAT("http://leetcode.com/problems/",Github!C$140), Github!B$140)</f>
        <v>Word Break</v>
      </c>
      <c r="C48" s="13">
        <f>Github!F$140</f>
        <v>13065</v>
      </c>
      <c r="D48" s="13">
        <f>Github!G$140</f>
        <v>555</v>
      </c>
      <c r="E48" s="13">
        <f>Github!F$140+Github!G$140</f>
        <v>13620</v>
      </c>
      <c r="F48" s="15">
        <f t="shared" si="1"/>
        <v>23.54</v>
      </c>
      <c r="G48" s="13" t="str">
        <f>ROUND(Github!O$140, 2)&amp;"%"</f>
        <v>45.5%</v>
      </c>
      <c r="H48" s="13" t="str">
        <f>Github!H$140</f>
        <v>Algorithms</v>
      </c>
      <c r="I48" s="16" t="str">
        <f>SUBSTITUTE(Github!L$140, ";", ", ")</f>
        <v>Hash Table, String, Dynamic Programming, Trie, Memoization, </v>
      </c>
      <c r="J48" s="13" t="str">
        <f>Github!E$140</f>
        <v>Medium</v>
      </c>
      <c r="K48" s="13" t="str">
        <f>IF(TRIM(Github!D$140)="TRUE","FALSE","TRUE")</f>
        <v>TRUE</v>
      </c>
      <c r="L48" s="13" t="b">
        <f>Github!M$140</f>
        <v>1</v>
      </c>
      <c r="M48" s="13" t="b">
        <f>Github!N$140</f>
        <v>1</v>
      </c>
      <c r="N48" s="13">
        <f>Github!P$140</f>
        <v>1264995</v>
      </c>
      <c r="O48" s="13">
        <f>Github!Q$140</f>
        <v>2779941</v>
      </c>
    </row>
    <row r="49">
      <c r="A49" s="13">
        <f>Github!J$79</f>
        <v>78</v>
      </c>
      <c r="B49" s="14" t="str">
        <f>HYPERLINK(CONCAT("http://leetcode.com/problems/",Github!C$79), Github!B$79)</f>
        <v>Subsets</v>
      </c>
      <c r="C49" s="13">
        <f>Github!F$79</f>
        <v>13122</v>
      </c>
      <c r="D49" s="13">
        <f>Github!G$79</f>
        <v>185</v>
      </c>
      <c r="E49" s="13">
        <f>Github!F$79+Github!G$79</f>
        <v>13307</v>
      </c>
      <c r="F49" s="15">
        <f t="shared" si="1"/>
        <v>70.93</v>
      </c>
      <c r="G49" s="13" t="str">
        <f>ROUND(Github!O$79, 2)&amp;"%"</f>
        <v>74.27%</v>
      </c>
      <c r="H49" s="13" t="str">
        <f>Github!H$79</f>
        <v>Algorithms</v>
      </c>
      <c r="I49" s="16" t="str">
        <f>SUBSTITUTE(Github!L$79, ";", ", ")</f>
        <v>Array, Backtracking, Bit Manipulation, </v>
      </c>
      <c r="J49" s="13" t="str">
        <f>Github!E$79</f>
        <v>Medium</v>
      </c>
      <c r="K49" s="13" t="str">
        <f>IF(TRIM(Github!D$79)="TRUE","FALSE","TRUE")</f>
        <v>TRUE</v>
      </c>
      <c r="L49" s="13" t="b">
        <f>Github!M$79</f>
        <v>1</v>
      </c>
      <c r="M49" s="13" t="b">
        <f>Github!N$79</f>
        <v>0</v>
      </c>
      <c r="N49" s="13">
        <f>Github!P$79</f>
        <v>1333871</v>
      </c>
      <c r="O49" s="13">
        <f>Github!Q$79</f>
        <v>1795948</v>
      </c>
    </row>
    <row r="50">
      <c r="A50" s="13">
        <f>Github!J$85</f>
        <v>84</v>
      </c>
      <c r="B50" s="14" t="str">
        <f>HYPERLINK(CONCAT("http://leetcode.com/problems/",Github!C$85), Github!B$85)</f>
        <v>Largest Rectangle in Histogram</v>
      </c>
      <c r="C50" s="13">
        <f>Github!F$85</f>
        <v>12998</v>
      </c>
      <c r="D50" s="13">
        <f>Github!G$85</f>
        <v>184</v>
      </c>
      <c r="E50" s="13">
        <f>Github!F$85+Github!G$85</f>
        <v>13182</v>
      </c>
      <c r="F50" s="15">
        <f t="shared" si="1"/>
        <v>70.64</v>
      </c>
      <c r="G50" s="13" t="str">
        <f>ROUND(Github!O$85, 2)&amp;"%"</f>
        <v>42.32%</v>
      </c>
      <c r="H50" s="13" t="str">
        <f>Github!H$85</f>
        <v>Algorithms</v>
      </c>
      <c r="I50" s="16" t="str">
        <f>SUBSTITUTE(Github!L$85, ";", ", ")</f>
        <v>Array, Stack, Monotonic Stack, </v>
      </c>
      <c r="J50" s="13" t="str">
        <f>Github!E$85</f>
        <v>Hard</v>
      </c>
      <c r="K50" s="13" t="str">
        <f>IF(TRIM(Github!D$85)="TRUE","FALSE","TRUE")</f>
        <v>TRUE</v>
      </c>
      <c r="L50" s="13" t="b">
        <f>Github!M$85</f>
        <v>1</v>
      </c>
      <c r="M50" s="13" t="b">
        <f>Github!N$85</f>
        <v>1</v>
      </c>
      <c r="N50" s="13">
        <f>Github!P$85</f>
        <v>619888</v>
      </c>
      <c r="O50" s="13">
        <f>Github!Q$85</f>
        <v>1464925</v>
      </c>
    </row>
    <row r="51">
      <c r="A51" s="13">
        <f>Github!J$216</f>
        <v>215</v>
      </c>
      <c r="B51" s="14" t="str">
        <f>HYPERLINK(CONCAT("http://leetcode.com/problems/",Github!C$216), Github!B$216)</f>
        <v>Kth Largest Element in an Array</v>
      </c>
      <c r="C51" s="13">
        <f>Github!F$216</f>
        <v>12817</v>
      </c>
      <c r="D51" s="13">
        <f>Github!G$216</f>
        <v>644</v>
      </c>
      <c r="E51" s="13">
        <f>Github!F$216+Github!G$216</f>
        <v>13461</v>
      </c>
      <c r="F51" s="15">
        <f t="shared" si="1"/>
        <v>19.9</v>
      </c>
      <c r="G51" s="13" t="str">
        <f>ROUND(Github!O$216, 2)&amp;"%"</f>
        <v>65.87%</v>
      </c>
      <c r="H51" s="13" t="str">
        <f>Github!H$216</f>
        <v>Algorithms</v>
      </c>
      <c r="I51" s="16" t="str">
        <f>SUBSTITUTE(Github!L$216, ";", ", ")</f>
        <v>Array, Divide and Conquer, Sorting, Heap (Priority Queue), Quickselect, </v>
      </c>
      <c r="J51" s="13" t="str">
        <f>Github!E$216</f>
        <v>Medium</v>
      </c>
      <c r="K51" s="13" t="str">
        <f>IF(TRIM(Github!D$216)="TRUE","FALSE","TRUE")</f>
        <v>TRUE</v>
      </c>
      <c r="L51" s="13" t="b">
        <f>Github!M$216</f>
        <v>1</v>
      </c>
      <c r="M51" s="13" t="b">
        <f>Github!N$216</f>
        <v>0</v>
      </c>
      <c r="N51" s="13">
        <f>Github!P$216</f>
        <v>1641196</v>
      </c>
      <c r="O51" s="13">
        <f>Github!Q$216</f>
        <v>2491580</v>
      </c>
    </row>
    <row r="52">
      <c r="A52" s="13">
        <f>Github!J$235</f>
        <v>234</v>
      </c>
      <c r="B52" s="14" t="str">
        <f>HYPERLINK(CONCAT("http://leetcode.com/problems/",Github!C$235), Github!B$235)</f>
        <v>Palindrome Linked List</v>
      </c>
      <c r="C52" s="13">
        <f>Github!F$235</f>
        <v>12793</v>
      </c>
      <c r="D52" s="13">
        <f>Github!G$235</f>
        <v>711</v>
      </c>
      <c r="E52" s="13">
        <f>Github!F$235+Github!G$235</f>
        <v>13504</v>
      </c>
      <c r="F52" s="15">
        <f t="shared" si="1"/>
        <v>17.99</v>
      </c>
      <c r="G52" s="13" t="str">
        <f>ROUND(Github!O$235, 2)&amp;"%"</f>
        <v>49.77%</v>
      </c>
      <c r="H52" s="13" t="str">
        <f>Github!H$235</f>
        <v>Algorithms</v>
      </c>
      <c r="I52" s="16" t="str">
        <f>SUBSTITUTE(Github!L$235, ";", ", ")</f>
        <v>Linked List, Two Pointers, Stack, Recursion, </v>
      </c>
      <c r="J52" s="13" t="str">
        <f>Github!E$235</f>
        <v>Easy</v>
      </c>
      <c r="K52" s="13" t="str">
        <f>IF(TRIM(Github!D$235)="TRUE","FALSE","TRUE")</f>
        <v>TRUE</v>
      </c>
      <c r="L52" s="13" t="b">
        <f>Github!M$235</f>
        <v>1</v>
      </c>
      <c r="M52" s="13" t="b">
        <f>Github!N$235</f>
        <v>1</v>
      </c>
      <c r="N52" s="13">
        <f>Github!P$235</f>
        <v>1322631</v>
      </c>
      <c r="O52" s="13">
        <f>Github!Q$235</f>
        <v>2657238</v>
      </c>
    </row>
    <row r="53">
      <c r="A53" s="13">
        <f>Github!J$42</f>
        <v>41</v>
      </c>
      <c r="B53" s="14" t="str">
        <f>HYPERLINK(CONCAT("http://leetcode.com/problems/",Github!C$42), Github!B$42)</f>
        <v>First Missing Positive</v>
      </c>
      <c r="C53" s="13">
        <f>Github!F$42</f>
        <v>12759</v>
      </c>
      <c r="D53" s="13">
        <f>Github!G$42</f>
        <v>1518</v>
      </c>
      <c r="E53" s="13">
        <f>Github!F$42+Github!G$42</f>
        <v>14277</v>
      </c>
      <c r="F53" s="15">
        <f t="shared" si="1"/>
        <v>8.41</v>
      </c>
      <c r="G53" s="13" t="str">
        <f>ROUND(Github!O$42, 2)&amp;"%"</f>
        <v>36.59%</v>
      </c>
      <c r="H53" s="13" t="str">
        <f>Github!H$42</f>
        <v>Algorithms</v>
      </c>
      <c r="I53" s="16" t="str">
        <f>SUBSTITUTE(Github!L$42, ";", ", ")</f>
        <v>Array, Hash Table, </v>
      </c>
      <c r="J53" s="13" t="str">
        <f>Github!E$42</f>
        <v>Hard</v>
      </c>
      <c r="K53" s="13" t="str">
        <f>IF(TRIM(Github!D$42)="TRUE","FALSE","TRUE")</f>
        <v>TRUE</v>
      </c>
      <c r="L53" s="13" t="b">
        <f>Github!M$42</f>
        <v>1</v>
      </c>
      <c r="M53" s="13" t="b">
        <f>Github!N$42</f>
        <v>0</v>
      </c>
      <c r="N53" s="13">
        <f>Github!P$42</f>
        <v>815797</v>
      </c>
      <c r="O53" s="13">
        <f>Github!Q$42</f>
        <v>2229271</v>
      </c>
    </row>
    <row r="54">
      <c r="A54" s="13">
        <f>Github!J$63</f>
        <v>62</v>
      </c>
      <c r="B54" s="14" t="str">
        <f>HYPERLINK(CONCAT("http://leetcode.com/problems/",Github!C$63), Github!B$63)</f>
        <v>Unique Paths</v>
      </c>
      <c r="C54" s="13">
        <f>Github!F$63</f>
        <v>12630</v>
      </c>
      <c r="D54" s="13">
        <f>Github!G$63</f>
        <v>366</v>
      </c>
      <c r="E54" s="13">
        <f>Github!F$63+Github!G$63</f>
        <v>12996</v>
      </c>
      <c r="F54" s="15">
        <f t="shared" si="1"/>
        <v>34.51</v>
      </c>
      <c r="G54" s="13" t="str">
        <f>ROUND(Github!O$63, 2)&amp;"%"</f>
        <v>62.46%</v>
      </c>
      <c r="H54" s="13" t="str">
        <f>Github!H$63</f>
        <v>Algorithms</v>
      </c>
      <c r="I54" s="16" t="str">
        <f>SUBSTITUTE(Github!L$63, ";", ", ")</f>
        <v>Math, Dynamic Programming, Combinatorics, </v>
      </c>
      <c r="J54" s="13" t="str">
        <f>Github!E$63</f>
        <v>Medium</v>
      </c>
      <c r="K54" s="13" t="str">
        <f>IF(TRIM(Github!D$63)="TRUE","FALSE","TRUE")</f>
        <v>TRUE</v>
      </c>
      <c r="L54" s="13" t="b">
        <f>Github!M$63</f>
        <v>1</v>
      </c>
      <c r="M54" s="13" t="b">
        <f>Github!N$63</f>
        <v>0</v>
      </c>
      <c r="N54" s="13">
        <f>Github!P$63</f>
        <v>1264568</v>
      </c>
      <c r="O54" s="13">
        <f>Github!Q$63</f>
        <v>2024584</v>
      </c>
    </row>
    <row r="55">
      <c r="A55" s="13">
        <f>Github!J$190</f>
        <v>189</v>
      </c>
      <c r="B55" s="14" t="str">
        <f>HYPERLINK(CONCAT("http://leetcode.com/problems/",Github!C$190), Github!B$190)</f>
        <v>Rotate Array</v>
      </c>
      <c r="C55" s="13">
        <f>Github!F$190</f>
        <v>12562</v>
      </c>
      <c r="D55" s="13">
        <f>Github!G$190</f>
        <v>1486</v>
      </c>
      <c r="E55" s="13">
        <f>Github!F$190+Github!G$190</f>
        <v>14048</v>
      </c>
      <c r="F55" s="15">
        <f t="shared" si="1"/>
        <v>8.45</v>
      </c>
      <c r="G55" s="13" t="str">
        <f>ROUND(Github!O$190, 2)&amp;"%"</f>
        <v>39.26%</v>
      </c>
      <c r="H55" s="13" t="str">
        <f>Github!H$190</f>
        <v>Algorithms</v>
      </c>
      <c r="I55" s="16" t="str">
        <f>SUBSTITUTE(Github!L$190, ";", ", ")</f>
        <v>Array, Math, Two Pointers, </v>
      </c>
      <c r="J55" s="13" t="str">
        <f>Github!E$190</f>
        <v>Medium</v>
      </c>
      <c r="K55" s="13" t="str">
        <f>IF(TRIM(Github!D$190)="TRUE","FALSE","TRUE")</f>
        <v>TRUE</v>
      </c>
      <c r="L55" s="13" t="b">
        <f>Github!M$190</f>
        <v>1</v>
      </c>
      <c r="M55" s="13" t="b">
        <f>Github!N$190</f>
        <v>0</v>
      </c>
      <c r="N55" s="13">
        <f>Github!P$190</f>
        <v>1363633</v>
      </c>
      <c r="O55" s="13">
        <f>Github!Q$190</f>
        <v>3473673</v>
      </c>
    </row>
    <row r="56">
      <c r="A56" s="13">
        <f>Github!J$137</f>
        <v>136</v>
      </c>
      <c r="B56" s="14" t="str">
        <f>HYPERLINK(CONCAT("http://leetcode.com/problems/",Github!C$137), Github!B$137)</f>
        <v>Single Number</v>
      </c>
      <c r="C56" s="13">
        <f>Github!F$137</f>
        <v>12500</v>
      </c>
      <c r="D56" s="13">
        <f>Github!G$137</f>
        <v>475</v>
      </c>
      <c r="E56" s="13">
        <f>Github!F$137+Github!G$137</f>
        <v>12975</v>
      </c>
      <c r="F56" s="15">
        <f t="shared" si="1"/>
        <v>26.32</v>
      </c>
      <c r="G56" s="13" t="str">
        <f>ROUND(Github!O$137, 2)&amp;"%"</f>
        <v>70.26%</v>
      </c>
      <c r="H56" s="13" t="str">
        <f>Github!H$137</f>
        <v>Algorithms</v>
      </c>
      <c r="I56" s="16" t="str">
        <f>SUBSTITUTE(Github!L$137, ";", ", ")</f>
        <v>Array, Bit Manipulation, </v>
      </c>
      <c r="J56" s="13" t="str">
        <f>Github!E$137</f>
        <v>Easy</v>
      </c>
      <c r="K56" s="13" t="str">
        <f>IF(TRIM(Github!D$137)="TRUE","FALSE","TRUE")</f>
        <v>TRUE</v>
      </c>
      <c r="L56" s="13" t="b">
        <f>Github!M$137</f>
        <v>1</v>
      </c>
      <c r="M56" s="13" t="b">
        <f>Github!N$137</f>
        <v>0</v>
      </c>
      <c r="N56" s="13">
        <f>Github!P$137</f>
        <v>1990136</v>
      </c>
      <c r="O56" s="13">
        <f>Github!Q$137</f>
        <v>2832693</v>
      </c>
    </row>
    <row r="57">
      <c r="A57" s="13">
        <f>Github!J$80</f>
        <v>79</v>
      </c>
      <c r="B57" s="14" t="str">
        <f>HYPERLINK(CONCAT("http://leetcode.com/problems/",Github!C$80), Github!B$80)</f>
        <v>Word Search</v>
      </c>
      <c r="C57" s="13">
        <f>Github!F$80</f>
        <v>12450</v>
      </c>
      <c r="D57" s="13">
        <f>Github!G$80</f>
        <v>502</v>
      </c>
      <c r="E57" s="13">
        <f>Github!F$80+Github!G$80</f>
        <v>12952</v>
      </c>
      <c r="F57" s="15">
        <f t="shared" si="1"/>
        <v>24.8</v>
      </c>
      <c r="G57" s="13" t="str">
        <f>ROUND(Github!O$80, 2)&amp;"%"</f>
        <v>40.13%</v>
      </c>
      <c r="H57" s="13" t="str">
        <f>Github!H$80</f>
        <v>Algorithms</v>
      </c>
      <c r="I57" s="16" t="str">
        <f>SUBSTITUTE(Github!L$80, ";", ", ")</f>
        <v>Array, Backtracking, Matrix, </v>
      </c>
      <c r="J57" s="13" t="str">
        <f>Github!E$80</f>
        <v>Medium</v>
      </c>
      <c r="K57" s="13" t="str">
        <f>IF(TRIM(Github!D$80)="TRUE","FALSE","TRUE")</f>
        <v>TRUE</v>
      </c>
      <c r="L57" s="13" t="b">
        <f>Github!M$80</f>
        <v>1</v>
      </c>
      <c r="M57" s="13" t="b">
        <f>Github!N$80</f>
        <v>0</v>
      </c>
      <c r="N57" s="13">
        <f>Github!P$80</f>
        <v>1202496</v>
      </c>
      <c r="O57" s="13">
        <f>Github!Q$80</f>
        <v>2996260</v>
      </c>
    </row>
    <row r="58">
      <c r="A58" s="13">
        <f>Github!J$208</f>
        <v>207</v>
      </c>
      <c r="B58" s="14" t="str">
        <f>HYPERLINK(CONCAT("http://leetcode.com/problems/",Github!C$208), Github!B$208)</f>
        <v>Course Schedule</v>
      </c>
      <c r="C58" s="13">
        <f>Github!F$208</f>
        <v>12277</v>
      </c>
      <c r="D58" s="13">
        <f>Github!G$208</f>
        <v>480</v>
      </c>
      <c r="E58" s="13">
        <f>Github!F$208+Github!G$208</f>
        <v>12757</v>
      </c>
      <c r="F58" s="15">
        <f t="shared" si="1"/>
        <v>25.58</v>
      </c>
      <c r="G58" s="13" t="str">
        <f>ROUND(Github!O$208, 2)&amp;"%"</f>
        <v>45.36%</v>
      </c>
      <c r="H58" s="13" t="str">
        <f>Github!H$208</f>
        <v>Algorithms</v>
      </c>
      <c r="I58" s="16" t="str">
        <f>SUBSTITUTE(Github!L$208, ";", ", ")</f>
        <v>Depth-First Search, Breadth-First Search, Graph, Topological Sort, </v>
      </c>
      <c r="J58" s="13" t="str">
        <f>Github!E$208</f>
        <v>Medium</v>
      </c>
      <c r="K58" s="13" t="str">
        <f>IF(TRIM(Github!D$208)="TRUE","FALSE","TRUE")</f>
        <v>TRUE</v>
      </c>
      <c r="L58" s="13" t="b">
        <f>Github!M$208</f>
        <v>1</v>
      </c>
      <c r="M58" s="13" t="b">
        <f>Github!N$208</f>
        <v>0</v>
      </c>
      <c r="N58" s="13">
        <f>Github!P$208</f>
        <v>1089488</v>
      </c>
      <c r="O58" s="13">
        <f>Github!Q$208</f>
        <v>2401661</v>
      </c>
    </row>
    <row r="59">
      <c r="A59" s="13">
        <f>Github!J$348</f>
        <v>347</v>
      </c>
      <c r="B59" s="14" t="str">
        <f>HYPERLINK(CONCAT("http://leetcode.com/problems/",Github!C$348), Github!B$348)</f>
        <v>Top K Frequent Elements</v>
      </c>
      <c r="C59" s="13">
        <f>Github!F$348</f>
        <v>12243</v>
      </c>
      <c r="D59" s="13">
        <f>Github!G$348</f>
        <v>449</v>
      </c>
      <c r="E59" s="13">
        <f>Github!F$348+Github!G$348</f>
        <v>12692</v>
      </c>
      <c r="F59" s="15">
        <f t="shared" si="1"/>
        <v>27.27</v>
      </c>
      <c r="G59" s="13" t="str">
        <f>ROUND(Github!O$348, 2)&amp;"%"</f>
        <v>64.62%</v>
      </c>
      <c r="H59" s="13" t="str">
        <f>Github!H$348</f>
        <v>Algorithms</v>
      </c>
      <c r="I59" s="16" t="str">
        <f>SUBSTITUTE(Github!L$348, ";", ", ")</f>
        <v>Array, Hash Table, Divide and Conquer, Sorting, Heap (Priority Queue), Bucket Sort, Counting, Quickselect, </v>
      </c>
      <c r="J59" s="13" t="str">
        <f>Github!E$348</f>
        <v>Medium</v>
      </c>
      <c r="K59" s="13" t="str">
        <f>IF(TRIM(Github!D$348)="TRUE","FALSE","TRUE")</f>
        <v>TRUE</v>
      </c>
      <c r="L59" s="13" t="b">
        <f>Github!M$348</f>
        <v>1</v>
      </c>
      <c r="M59" s="13" t="b">
        <f>Github!N$348</f>
        <v>1</v>
      </c>
      <c r="N59" s="13">
        <f>Github!P$348</f>
        <v>1269857</v>
      </c>
      <c r="O59" s="13">
        <f>Github!Q$348</f>
        <v>1965227</v>
      </c>
    </row>
    <row r="60">
      <c r="A60" s="13">
        <f>Github!J$284</f>
        <v>283</v>
      </c>
      <c r="B60" s="14" t="str">
        <f>HYPERLINK(CONCAT("http://leetcode.com/problems/",Github!C$284), Github!B$284)</f>
        <v>Move Zeroes</v>
      </c>
      <c r="C60" s="13">
        <f>Github!F$284</f>
        <v>12201</v>
      </c>
      <c r="D60" s="13">
        <f>Github!G$284</f>
        <v>303</v>
      </c>
      <c r="E60" s="13">
        <f>Github!F$284+Github!G$284</f>
        <v>12504</v>
      </c>
      <c r="F60" s="15">
        <f t="shared" si="1"/>
        <v>40.27</v>
      </c>
      <c r="G60" s="13" t="str">
        <f>ROUND(Github!O$284, 2)&amp;"%"</f>
        <v>61.37%</v>
      </c>
      <c r="H60" s="13" t="str">
        <f>Github!H$284</f>
        <v>Algorithms</v>
      </c>
      <c r="I60" s="16" t="str">
        <f>SUBSTITUTE(Github!L$284, ";", ", ")</f>
        <v>Array, Two Pointers, </v>
      </c>
      <c r="J60" s="13" t="str">
        <f>Github!E$284</f>
        <v>Easy</v>
      </c>
      <c r="K60" s="13" t="str">
        <f>IF(TRIM(Github!D$284)="TRUE","FALSE","TRUE")</f>
        <v>TRUE</v>
      </c>
      <c r="L60" s="13" t="b">
        <f>Github!M$284</f>
        <v>1</v>
      </c>
      <c r="M60" s="13" t="b">
        <f>Github!N$284</f>
        <v>0</v>
      </c>
      <c r="N60" s="13">
        <f>Github!P$284</f>
        <v>2041324</v>
      </c>
      <c r="O60" s="13">
        <f>Github!Q$284</f>
        <v>3326037</v>
      </c>
    </row>
    <row r="61">
      <c r="A61" s="13">
        <f>Github!J$161</f>
        <v>160</v>
      </c>
      <c r="B61" s="14" t="str">
        <f>HYPERLINK(CONCAT("http://leetcode.com/problems/",Github!C$161), Github!B$161)</f>
        <v>Intersection of Two Linked Lists</v>
      </c>
      <c r="C61" s="13">
        <f>Github!F$161</f>
        <v>11967</v>
      </c>
      <c r="D61" s="13">
        <f>Github!G$161</f>
        <v>1081</v>
      </c>
      <c r="E61" s="13">
        <f>Github!F$161+Github!G$161</f>
        <v>13048</v>
      </c>
      <c r="F61" s="15">
        <f t="shared" si="1"/>
        <v>11.07</v>
      </c>
      <c r="G61" s="13" t="str">
        <f>ROUND(Github!O$161, 2)&amp;"%"</f>
        <v>53.64%</v>
      </c>
      <c r="H61" s="13" t="str">
        <f>Github!H$161</f>
        <v>Algorithms</v>
      </c>
      <c r="I61" s="16" t="str">
        <f>SUBSTITUTE(Github!L$161, ";", ", ")</f>
        <v>Hash Table, Linked List, Two Pointers, </v>
      </c>
      <c r="J61" s="13" t="str">
        <f>Github!E$161</f>
        <v>Easy</v>
      </c>
      <c r="K61" s="13" t="str">
        <f>IF(TRIM(Github!D$161)="TRUE","FALSE","TRUE")</f>
        <v>TRUE</v>
      </c>
      <c r="L61" s="13" t="b">
        <f>Github!M$161</f>
        <v>1</v>
      </c>
      <c r="M61" s="13" t="b">
        <f>Github!N$161</f>
        <v>1</v>
      </c>
      <c r="N61" s="13">
        <f>Github!P$161</f>
        <v>1183871</v>
      </c>
      <c r="O61" s="13">
        <f>Github!Q$161</f>
        <v>2206977</v>
      </c>
    </row>
    <row r="62">
      <c r="A62" s="13">
        <f>Github!J$103</f>
        <v>102</v>
      </c>
      <c r="B62" s="14" t="str">
        <f>HYPERLINK(CONCAT("http://leetcode.com/problems/",Github!C$103), Github!B$103)</f>
        <v>Binary Tree Level Order Traversal</v>
      </c>
      <c r="C62" s="13">
        <f>Github!F$103</f>
        <v>11908</v>
      </c>
      <c r="D62" s="13">
        <f>Github!G$103</f>
        <v>233</v>
      </c>
      <c r="E62" s="13">
        <f>Github!F$103+Github!G$103</f>
        <v>12141</v>
      </c>
      <c r="F62" s="15">
        <f t="shared" si="1"/>
        <v>51.11</v>
      </c>
      <c r="G62" s="13" t="str">
        <f>ROUND(Github!O$103, 2)&amp;"%"</f>
        <v>63.62%</v>
      </c>
      <c r="H62" s="13" t="str">
        <f>Github!H$103</f>
        <v>Algorithms</v>
      </c>
      <c r="I62" s="16" t="str">
        <f>SUBSTITUTE(Github!L$103, ";", ", ")</f>
        <v>Tree, Breadth-First Search, Binary Tree, </v>
      </c>
      <c r="J62" s="13" t="str">
        <f>Github!E$103</f>
        <v>Medium</v>
      </c>
      <c r="K62" s="13" t="str">
        <f>IF(TRIM(Github!D$103)="TRUE","FALSE","TRUE")</f>
        <v>TRUE</v>
      </c>
      <c r="L62" s="13" t="b">
        <f>Github!M$103</f>
        <v>1</v>
      </c>
      <c r="M62" s="13" t="b">
        <f>Github!N$103</f>
        <v>0</v>
      </c>
      <c r="N62" s="13">
        <f>Github!P$103</f>
        <v>1634800</v>
      </c>
      <c r="O62" s="13">
        <f>Github!Q$103</f>
        <v>2569496</v>
      </c>
    </row>
    <row r="63">
      <c r="A63" s="13">
        <f>Github!J$102</f>
        <v>101</v>
      </c>
      <c r="B63" s="14" t="str">
        <f>HYPERLINK(CONCAT("http://leetcode.com/problems/",Github!C$102), Github!B$102)</f>
        <v>Symmetric Tree</v>
      </c>
      <c r="C63" s="13">
        <f>Github!F$102</f>
        <v>11846</v>
      </c>
      <c r="D63" s="13">
        <f>Github!G$102</f>
        <v>266</v>
      </c>
      <c r="E63" s="13">
        <f>Github!F$102+Github!G$102</f>
        <v>12112</v>
      </c>
      <c r="F63" s="15">
        <f t="shared" si="1"/>
        <v>44.53</v>
      </c>
      <c r="G63" s="13" t="str">
        <f>ROUND(Github!O$102, 2)&amp;"%"</f>
        <v>53.17%</v>
      </c>
      <c r="H63" s="13" t="str">
        <f>Github!H$102</f>
        <v>Algorithms</v>
      </c>
      <c r="I63" s="16" t="str">
        <f>SUBSTITUTE(Github!L$102, ";", ", ")</f>
        <v>Tree, Depth-First Search, Breadth-First Search, Binary Tree, </v>
      </c>
      <c r="J63" s="13" t="str">
        <f>Github!E$102</f>
        <v>Easy</v>
      </c>
      <c r="K63" s="13" t="str">
        <f>IF(TRIM(Github!D$102)="TRUE","FALSE","TRUE")</f>
        <v>TRUE</v>
      </c>
      <c r="L63" s="13" t="b">
        <f>Github!M$102</f>
        <v>1</v>
      </c>
      <c r="M63" s="13" t="b">
        <f>Github!N$102</f>
        <v>1</v>
      </c>
      <c r="N63" s="13">
        <f>Github!P$102</f>
        <v>1473399</v>
      </c>
      <c r="O63" s="13">
        <f>Github!Q$102</f>
        <v>2771274</v>
      </c>
    </row>
    <row r="64">
      <c r="A64" s="13">
        <f>Github!J$15</f>
        <v>14</v>
      </c>
      <c r="B64" s="14" t="str">
        <f>HYPERLINK(CONCAT("http://leetcode.com/problems/",Github!C$15), Github!B$15)</f>
        <v>Longest Common Prefix</v>
      </c>
      <c r="C64" s="13">
        <f>Github!F$15</f>
        <v>11959</v>
      </c>
      <c r="D64" s="13">
        <f>Github!G$15</f>
        <v>3621</v>
      </c>
      <c r="E64" s="13">
        <f>Github!F$15+Github!G$15</f>
        <v>15580</v>
      </c>
      <c r="F64" s="15">
        <f t="shared" si="1"/>
        <v>3.3</v>
      </c>
      <c r="G64" s="13" t="str">
        <f>ROUND(Github!O$15, 2)&amp;"%"</f>
        <v>40.81%</v>
      </c>
      <c r="H64" s="13" t="str">
        <f>Github!H$15</f>
        <v>Algorithms</v>
      </c>
      <c r="I64" s="16" t="str">
        <f>SUBSTITUTE(Github!L$15, ";", ", ")</f>
        <v>String, </v>
      </c>
      <c r="J64" s="13" t="str">
        <f>Github!E$15</f>
        <v>Easy</v>
      </c>
      <c r="K64" s="13" t="str">
        <f>IF(TRIM(Github!D$15)="TRUE","FALSE","TRUE")</f>
        <v>TRUE</v>
      </c>
      <c r="L64" s="13" t="b">
        <f>Github!M$15</f>
        <v>1</v>
      </c>
      <c r="M64" s="13" t="b">
        <f>Github!N$15</f>
        <v>0</v>
      </c>
      <c r="N64" s="13">
        <f>Github!P$15</f>
        <v>2087469</v>
      </c>
      <c r="O64" s="13">
        <f>Github!Q$15</f>
        <v>5114762</v>
      </c>
    </row>
    <row r="65">
      <c r="A65" s="13">
        <f>Github!J$106</f>
        <v>105</v>
      </c>
      <c r="B65" s="14" t="str">
        <f>HYPERLINK(CONCAT("http://leetcode.com/problems/",Github!C$106), Github!B$106)</f>
        <v>Construct Binary Tree from Preorder and Inorder Traversal</v>
      </c>
      <c r="C65" s="13">
        <f>Github!F$106</f>
        <v>11805</v>
      </c>
      <c r="D65" s="13">
        <f>Github!G$106</f>
        <v>341</v>
      </c>
      <c r="E65" s="13">
        <f>Github!F$106+Github!G$106</f>
        <v>12146</v>
      </c>
      <c r="F65" s="15">
        <f t="shared" si="1"/>
        <v>34.62</v>
      </c>
      <c r="G65" s="13" t="str">
        <f>ROUND(Github!O$106, 2)&amp;"%"</f>
        <v>61.05%</v>
      </c>
      <c r="H65" s="13" t="str">
        <f>Github!H$106</f>
        <v>Algorithms</v>
      </c>
      <c r="I65" s="16" t="str">
        <f>SUBSTITUTE(Github!L$106, ";", ", ")</f>
        <v>Array, Hash Table, Divide and Conquer, Tree, Binary Tree, </v>
      </c>
      <c r="J65" s="13" t="str">
        <f>Github!E$106</f>
        <v>Medium</v>
      </c>
      <c r="K65" s="13" t="str">
        <f>IF(TRIM(Github!D$106)="TRUE","FALSE","TRUE")</f>
        <v>TRUE</v>
      </c>
      <c r="L65" s="13" t="b">
        <f>Github!M$106</f>
        <v>1</v>
      </c>
      <c r="M65" s="13" t="b">
        <f>Github!N$106</f>
        <v>0</v>
      </c>
      <c r="N65" s="13">
        <f>Github!P$106</f>
        <v>903366</v>
      </c>
      <c r="O65" s="13">
        <f>Github!Q$106</f>
        <v>1479617</v>
      </c>
    </row>
    <row r="66">
      <c r="A66" s="13">
        <f>Github!J$142</f>
        <v>141</v>
      </c>
      <c r="B66" s="14" t="str">
        <f>HYPERLINK(CONCAT("http://leetcode.com/problems/",Github!C$142), Github!B$142)</f>
        <v>Linked List Cycle</v>
      </c>
      <c r="C66" s="13">
        <f>Github!F$142</f>
        <v>11005</v>
      </c>
      <c r="D66" s="13">
        <f>Github!G$142</f>
        <v>938</v>
      </c>
      <c r="E66" s="13">
        <f>Github!F$142+Github!G$142</f>
        <v>11943</v>
      </c>
      <c r="F66" s="15">
        <f t="shared" si="1"/>
        <v>11.73</v>
      </c>
      <c r="G66" s="13" t="str">
        <f>ROUND(Github!O$142, 2)&amp;"%"</f>
        <v>47.09%</v>
      </c>
      <c r="H66" s="13" t="str">
        <f>Github!H$142</f>
        <v>Algorithms</v>
      </c>
      <c r="I66" s="16" t="str">
        <f>SUBSTITUTE(Github!L$142, ";", ", ")</f>
        <v>Hash Table, Linked List, Two Pointers, </v>
      </c>
      <c r="J66" s="13" t="str">
        <f>Github!E$142</f>
        <v>Easy</v>
      </c>
      <c r="K66" s="13" t="str">
        <f>IF(TRIM(Github!D$142)="TRUE","FALSE","TRUE")</f>
        <v>TRUE</v>
      </c>
      <c r="L66" s="13" t="b">
        <f>Github!M$142</f>
        <v>1</v>
      </c>
      <c r="M66" s="13" t="b">
        <f>Github!N$142</f>
        <v>1</v>
      </c>
      <c r="N66" s="13">
        <f>Github!P$142</f>
        <v>1861225</v>
      </c>
      <c r="O66" s="13">
        <f>Github!Q$142</f>
        <v>3952088</v>
      </c>
    </row>
    <row r="67">
      <c r="A67" s="13">
        <f>Github!J$36</f>
        <v>35</v>
      </c>
      <c r="B67" s="14" t="str">
        <f>HYPERLINK(CONCAT("http://leetcode.com/problems/",Github!C$36), Github!B$36)</f>
        <v>Search Insert Position</v>
      </c>
      <c r="C67" s="13">
        <f>Github!F$36</f>
        <v>11059</v>
      </c>
      <c r="D67" s="13">
        <f>Github!G$36</f>
        <v>515</v>
      </c>
      <c r="E67" s="13">
        <f>Github!F$36+Github!G$36</f>
        <v>11574</v>
      </c>
      <c r="F67" s="15">
        <f t="shared" si="1"/>
        <v>21.47</v>
      </c>
      <c r="G67" s="13" t="str">
        <f>ROUND(Github!O$36, 2)&amp;"%"</f>
        <v>42.21%</v>
      </c>
      <c r="H67" s="13" t="str">
        <f>Github!H$36</f>
        <v>Algorithms</v>
      </c>
      <c r="I67" s="16" t="str">
        <f>SUBSTITUTE(Github!L$36, ";", ", ")</f>
        <v>Array, Binary Search, </v>
      </c>
      <c r="J67" s="13" t="str">
        <f>Github!E$36</f>
        <v>Easy</v>
      </c>
      <c r="K67" s="13" t="str">
        <f>IF(TRIM(Github!D$36)="TRUE","FALSE","TRUE")</f>
        <v>TRUE</v>
      </c>
      <c r="L67" s="13" t="b">
        <f>Github!M$36</f>
        <v>1</v>
      </c>
      <c r="M67" s="13" t="b">
        <f>Github!N$36</f>
        <v>0</v>
      </c>
      <c r="N67" s="13">
        <f>Github!P$36</f>
        <v>1887051</v>
      </c>
      <c r="O67" s="13">
        <f>Github!Q$36</f>
        <v>4471073</v>
      </c>
    </row>
    <row r="68">
      <c r="A68" s="13">
        <f>Github!J$75</f>
        <v>74</v>
      </c>
      <c r="B68" s="14" t="str">
        <f>HYPERLINK(CONCAT("http://leetcode.com/problems/",Github!C$75), Github!B$75)</f>
        <v>Search a 2D Matrix</v>
      </c>
      <c r="C68" s="13">
        <f>Github!F$75</f>
        <v>10903</v>
      </c>
      <c r="D68" s="13">
        <f>Github!G$75</f>
        <v>323</v>
      </c>
      <c r="E68" s="13">
        <f>Github!F$75+Github!G$75</f>
        <v>11226</v>
      </c>
      <c r="F68" s="15">
        <f t="shared" si="1"/>
        <v>33.76</v>
      </c>
      <c r="G68" s="13" t="str">
        <f>ROUND(Github!O$75, 2)&amp;"%"</f>
        <v>47.21%</v>
      </c>
      <c r="H68" s="13" t="str">
        <f>Github!H$75</f>
        <v>Algorithms</v>
      </c>
      <c r="I68" s="16" t="str">
        <f>SUBSTITUTE(Github!L$75, ";", ", ")</f>
        <v>Array, Binary Search, Matrix, </v>
      </c>
      <c r="J68" s="13" t="str">
        <f>Github!E$75</f>
        <v>Medium</v>
      </c>
      <c r="K68" s="13" t="str">
        <f>IF(TRIM(Github!D$75)="TRUE","FALSE","TRUE")</f>
        <v>TRUE</v>
      </c>
      <c r="L68" s="13" t="b">
        <f>Github!M$75</f>
        <v>1</v>
      </c>
      <c r="M68" s="13" t="b">
        <f>Github!N$75</f>
        <v>0</v>
      </c>
      <c r="N68" s="13">
        <f>Github!P$75</f>
        <v>1086115</v>
      </c>
      <c r="O68" s="13">
        <f>Github!Q$75</f>
        <v>2300692</v>
      </c>
    </row>
    <row r="69">
      <c r="A69" s="13">
        <f>Github!J$73</f>
        <v>72</v>
      </c>
      <c r="B69" s="14" t="str">
        <f>HYPERLINK(CONCAT("http://leetcode.com/problems/",Github!C$73), Github!B$73)</f>
        <v>Edit Distance</v>
      </c>
      <c r="C69" s="13">
        <f>Github!F$73</f>
        <v>10758</v>
      </c>
      <c r="D69" s="13">
        <f>Github!G$73</f>
        <v>125</v>
      </c>
      <c r="E69" s="13">
        <f>Github!F$73+Github!G$73</f>
        <v>10883</v>
      </c>
      <c r="F69" s="15">
        <f t="shared" si="1"/>
        <v>86.06</v>
      </c>
      <c r="G69" s="13" t="str">
        <f>ROUND(Github!O$73, 2)&amp;"%"</f>
        <v>52.93%</v>
      </c>
      <c r="H69" s="13" t="str">
        <f>Github!H$73</f>
        <v>Algorithms</v>
      </c>
      <c r="I69" s="16" t="str">
        <f>SUBSTITUTE(Github!L$73, ";", ", ")</f>
        <v>String, Dynamic Programming, </v>
      </c>
      <c r="J69" s="13" t="str">
        <f>Github!E$73</f>
        <v>Hard</v>
      </c>
      <c r="K69" s="13" t="str">
        <f>IF(TRIM(Github!D$73)="TRUE","FALSE","TRUE")</f>
        <v>TRUE</v>
      </c>
      <c r="L69" s="13" t="b">
        <f>Github!M$73</f>
        <v>1</v>
      </c>
      <c r="M69" s="13" t="b">
        <f>Github!N$73</f>
        <v>0</v>
      </c>
      <c r="N69" s="13">
        <f>Github!P$73</f>
        <v>564776</v>
      </c>
      <c r="O69" s="13">
        <f>Github!Q$73</f>
        <v>1067047</v>
      </c>
    </row>
    <row r="70">
      <c r="A70" s="13">
        <f>Github!J$227</f>
        <v>226</v>
      </c>
      <c r="B70" s="14" t="str">
        <f>HYPERLINK(CONCAT("http://leetcode.com/problems/",Github!C$227), Github!B$227)</f>
        <v>Invert Binary Tree</v>
      </c>
      <c r="C70" s="13">
        <f>Github!F$227</f>
        <v>10627</v>
      </c>
      <c r="D70" s="13">
        <f>Github!G$227</f>
        <v>152</v>
      </c>
      <c r="E70" s="13">
        <f>Github!F$227+Github!G$227</f>
        <v>10779</v>
      </c>
      <c r="F70" s="15">
        <f t="shared" si="1"/>
        <v>69.91</v>
      </c>
      <c r="G70" s="13" t="str">
        <f>ROUND(Github!O$227, 2)&amp;"%"</f>
        <v>73.57%</v>
      </c>
      <c r="H70" s="13" t="str">
        <f>Github!H$227</f>
        <v>Algorithms</v>
      </c>
      <c r="I70" s="16" t="str">
        <f>SUBSTITUTE(Github!L$227, ";", ", ")</f>
        <v>Tree, Depth-First Search, Breadth-First Search, Binary Tree, </v>
      </c>
      <c r="J70" s="13" t="str">
        <f>Github!E$227</f>
        <v>Easy</v>
      </c>
      <c r="K70" s="13" t="str">
        <f>IF(TRIM(Github!D$227)="TRUE","FALSE","TRUE")</f>
        <v>TRUE</v>
      </c>
      <c r="L70" s="13" t="b">
        <f>Github!M$227</f>
        <v>1</v>
      </c>
      <c r="M70" s="13" t="b">
        <f>Github!N$227</f>
        <v>1</v>
      </c>
      <c r="N70" s="13">
        <f>Github!P$227</f>
        <v>1360097</v>
      </c>
      <c r="O70" s="13">
        <f>Github!Q$227</f>
        <v>1848765</v>
      </c>
    </row>
    <row r="71">
      <c r="A71" s="13">
        <f>Github!J$139</f>
        <v>138</v>
      </c>
      <c r="B71" s="14" t="str">
        <f>HYPERLINK(CONCAT("http://leetcode.com/problems/",Github!C$139), Github!B$139)</f>
        <v>Copy List with Random Pointer</v>
      </c>
      <c r="C71" s="13">
        <f>Github!F$139</f>
        <v>10471</v>
      </c>
      <c r="D71" s="13">
        <f>Github!G$139</f>
        <v>1114</v>
      </c>
      <c r="E71" s="13">
        <f>Github!F$139+Github!G$139</f>
        <v>11585</v>
      </c>
      <c r="F71" s="15">
        <f t="shared" si="1"/>
        <v>9.4</v>
      </c>
      <c r="G71" s="13" t="str">
        <f>ROUND(Github!O$139, 2)&amp;"%"</f>
        <v>50.83%</v>
      </c>
      <c r="H71" s="13" t="str">
        <f>Github!H$139</f>
        <v>Algorithms</v>
      </c>
      <c r="I71" s="16" t="str">
        <f>SUBSTITUTE(Github!L$139, ";", ", ")</f>
        <v>Hash Table, Linked List, </v>
      </c>
      <c r="J71" s="13" t="str">
        <f>Github!E$139</f>
        <v>Medium</v>
      </c>
      <c r="K71" s="13" t="str">
        <f>IF(TRIM(Github!D$139)="TRUE","FALSE","TRUE")</f>
        <v>TRUE</v>
      </c>
      <c r="L71" s="13" t="b">
        <f>Github!M$139</f>
        <v>1</v>
      </c>
      <c r="M71" s="13" t="b">
        <f>Github!N$139</f>
        <v>0</v>
      </c>
      <c r="N71" s="13">
        <f>Github!P$139</f>
        <v>906608</v>
      </c>
      <c r="O71" s="13">
        <f>Github!Q$139</f>
        <v>1783707</v>
      </c>
    </row>
    <row r="72">
      <c r="A72" s="13">
        <f>Github!J$95</f>
        <v>94</v>
      </c>
      <c r="B72" s="14" t="str">
        <f>HYPERLINK(CONCAT("http://leetcode.com/problems/",Github!C$95), Github!B$95)</f>
        <v>Binary Tree Inorder Traversal</v>
      </c>
      <c r="C72" s="13">
        <f>Github!F$95</f>
        <v>10490</v>
      </c>
      <c r="D72" s="13">
        <f>Github!G$95</f>
        <v>498</v>
      </c>
      <c r="E72" s="13">
        <f>Github!F$95+Github!G$95</f>
        <v>10988</v>
      </c>
      <c r="F72" s="15">
        <f t="shared" si="1"/>
        <v>21.06</v>
      </c>
      <c r="G72" s="13" t="str">
        <f>ROUND(Github!O$95, 2)&amp;"%"</f>
        <v>73.28%</v>
      </c>
      <c r="H72" s="13" t="str">
        <f>Github!H$95</f>
        <v>Algorithms</v>
      </c>
      <c r="I72" s="16" t="str">
        <f>SUBSTITUTE(Github!L$95, ";", ", ")</f>
        <v>Stack, Tree, Depth-First Search, Binary Tree, </v>
      </c>
      <c r="J72" s="13" t="str">
        <f>Github!E$95</f>
        <v>Easy</v>
      </c>
      <c r="K72" s="13" t="str">
        <f>IF(TRIM(Github!D$95)="TRUE","FALSE","TRUE")</f>
        <v>TRUE</v>
      </c>
      <c r="L72" s="13" t="b">
        <f>Github!M$95</f>
        <v>1</v>
      </c>
      <c r="M72" s="13" t="b">
        <f>Github!N$95</f>
        <v>0</v>
      </c>
      <c r="N72" s="13">
        <f>Github!P$95</f>
        <v>1853923</v>
      </c>
      <c r="O72" s="13">
        <f>Github!Q$95</f>
        <v>2530094</v>
      </c>
    </row>
    <row r="73">
      <c r="A73" s="13">
        <f>Github!J$156</f>
        <v>155</v>
      </c>
      <c r="B73" s="14" t="str">
        <f>HYPERLINK(CONCAT("http://leetcode.com/problems/",Github!C$156), Github!B$156)</f>
        <v>Min Stack</v>
      </c>
      <c r="C73" s="13">
        <f>Github!F$156</f>
        <v>10467</v>
      </c>
      <c r="D73" s="13">
        <f>Github!G$156</f>
        <v>695</v>
      </c>
      <c r="E73" s="13">
        <f>Github!F$156+Github!G$156</f>
        <v>11162</v>
      </c>
      <c r="F73" s="15">
        <f t="shared" si="1"/>
        <v>15.06</v>
      </c>
      <c r="G73" s="13" t="str">
        <f>ROUND(Github!O$156, 2)&amp;"%"</f>
        <v>52.02%</v>
      </c>
      <c r="H73" s="13" t="str">
        <f>Github!H$156</f>
        <v>Algorithms</v>
      </c>
      <c r="I73" s="16" t="str">
        <f>SUBSTITUTE(Github!L$156, ";", ", ")</f>
        <v>Stack, Design, </v>
      </c>
      <c r="J73" s="13" t="str">
        <f>Github!E$156</f>
        <v>Medium</v>
      </c>
      <c r="K73" s="13" t="str">
        <f>IF(TRIM(Github!D$156)="TRUE","FALSE","TRUE")</f>
        <v>TRUE</v>
      </c>
      <c r="L73" s="13" t="b">
        <f>Github!M$156</f>
        <v>1</v>
      </c>
      <c r="M73" s="13" t="b">
        <f>Github!N$156</f>
        <v>0</v>
      </c>
      <c r="N73" s="13">
        <f>Github!P$156</f>
        <v>1175441</v>
      </c>
      <c r="O73" s="13">
        <f>Github!Q$156</f>
        <v>2259596</v>
      </c>
    </row>
    <row r="74">
      <c r="A74" s="13">
        <f>Github!J$544</f>
        <v>543</v>
      </c>
      <c r="B74" s="14" t="str">
        <f>HYPERLINK(CONCAT("http://leetcode.com/problems/",Github!C$544), Github!B$544)</f>
        <v>Diameter of Binary Tree</v>
      </c>
      <c r="C74" s="13">
        <f>Github!F$544</f>
        <v>10366</v>
      </c>
      <c r="D74" s="13">
        <f>Github!G$544</f>
        <v>655</v>
      </c>
      <c r="E74" s="13">
        <f>Github!F$544+Github!G$544</f>
        <v>11021</v>
      </c>
      <c r="F74" s="15">
        <f t="shared" si="1"/>
        <v>15.83</v>
      </c>
      <c r="G74" s="13" t="str">
        <f>ROUND(Github!O$544, 2)&amp;"%"</f>
        <v>56.26%</v>
      </c>
      <c r="H74" s="13" t="str">
        <f>Github!H$544</f>
        <v>Algorithms</v>
      </c>
      <c r="I74" s="16" t="str">
        <f>SUBSTITUTE(Github!L$544, ";", ", ")</f>
        <v>Tree, Depth-First Search, Binary Tree, </v>
      </c>
      <c r="J74" s="13" t="str">
        <f>Github!E$544</f>
        <v>Easy</v>
      </c>
      <c r="K74" s="13" t="str">
        <f>IF(TRIM(Github!D$544)="TRUE","FALSE","TRUE")</f>
        <v>TRUE</v>
      </c>
      <c r="L74" s="13" t="b">
        <f>Github!M$544</f>
        <v>1</v>
      </c>
      <c r="M74" s="13" t="b">
        <f>Github!N$544</f>
        <v>0</v>
      </c>
      <c r="N74" s="13">
        <f>Github!P$544</f>
        <v>950082</v>
      </c>
      <c r="O74" s="13">
        <f>Github!Q$544</f>
        <v>1688660</v>
      </c>
    </row>
    <row r="75">
      <c r="A75" s="13">
        <f>Github!J$46</f>
        <v>45</v>
      </c>
      <c r="B75" s="14" t="str">
        <f>HYPERLINK(CONCAT("http://leetcode.com/problems/",Github!C$46), Github!B$46)</f>
        <v>Jump Game II</v>
      </c>
      <c r="C75" s="13">
        <f>Github!F$46</f>
        <v>10425</v>
      </c>
      <c r="D75" s="13">
        <f>Github!G$46</f>
        <v>368</v>
      </c>
      <c r="E75" s="13">
        <f>Github!F$46+Github!G$46</f>
        <v>10793</v>
      </c>
      <c r="F75" s="15">
        <f t="shared" si="1"/>
        <v>28.33</v>
      </c>
      <c r="G75" s="13" t="str">
        <f>ROUND(Github!O$46, 2)&amp;"%"</f>
        <v>38.73%</v>
      </c>
      <c r="H75" s="13" t="str">
        <f>Github!H$46</f>
        <v>Algorithms</v>
      </c>
      <c r="I75" s="16" t="str">
        <f>SUBSTITUTE(Github!L$46, ";", ", ")</f>
        <v>Array, Dynamic Programming, Greedy, </v>
      </c>
      <c r="J75" s="13" t="str">
        <f>Github!E$46</f>
        <v>Medium</v>
      </c>
      <c r="K75" s="13" t="str">
        <f>IF(TRIM(Github!D$46)="TRUE","FALSE","TRUE")</f>
        <v>TRUE</v>
      </c>
      <c r="L75" s="13" t="b">
        <f>Github!M$46</f>
        <v>0</v>
      </c>
      <c r="M75" s="13" t="b">
        <f>Github!N$46</f>
        <v>0</v>
      </c>
      <c r="N75" s="13">
        <f>Github!P$46</f>
        <v>761426</v>
      </c>
      <c r="O75" s="13">
        <f>Github!Q$46</f>
        <v>1966039</v>
      </c>
    </row>
    <row r="76">
      <c r="A76" s="13">
        <f>Github!J$33</f>
        <v>32</v>
      </c>
      <c r="B76" s="14" t="str">
        <f>HYPERLINK(CONCAT("http://leetcode.com/problems/",Github!C$33), Github!B$33)</f>
        <v>Longest Valid Parentheses</v>
      </c>
      <c r="C76" s="13">
        <f>Github!F$33</f>
        <v>10292</v>
      </c>
      <c r="D76" s="13">
        <f>Github!G$33</f>
        <v>326</v>
      </c>
      <c r="E76" s="13">
        <f>Github!F$33+Github!G$33</f>
        <v>10618</v>
      </c>
      <c r="F76" s="15">
        <f t="shared" si="1"/>
        <v>31.57</v>
      </c>
      <c r="G76" s="13" t="str">
        <f>ROUND(Github!O$33, 2)&amp;"%"</f>
        <v>32.75%</v>
      </c>
      <c r="H76" s="13" t="str">
        <f>Github!H$33</f>
        <v>Algorithms</v>
      </c>
      <c r="I76" s="16" t="str">
        <f>SUBSTITUTE(Github!L$33, ";", ", ")</f>
        <v>String, Dynamic Programming, Stack, </v>
      </c>
      <c r="J76" s="13" t="str">
        <f>Github!E$33</f>
        <v>Hard</v>
      </c>
      <c r="K76" s="13" t="str">
        <f>IF(TRIM(Github!D$33)="TRUE","FALSE","TRUE")</f>
        <v>TRUE</v>
      </c>
      <c r="L76" s="13" t="b">
        <f>Github!M$33</f>
        <v>1</v>
      </c>
      <c r="M76" s="13" t="b">
        <f>Github!N$33</f>
        <v>0</v>
      </c>
      <c r="N76" s="13">
        <f>Github!P$33</f>
        <v>587015</v>
      </c>
      <c r="O76" s="13">
        <f>Github!Q$33</f>
        <v>1792622</v>
      </c>
    </row>
    <row r="77">
      <c r="A77" s="13">
        <f>Github!J$74</f>
        <v>73</v>
      </c>
      <c r="B77" s="14" t="str">
        <f>HYPERLINK(CONCAT("http://leetcode.com/problems/",Github!C$74), Github!B$74)</f>
        <v>Set Matrix Zeroes</v>
      </c>
      <c r="C77" s="13">
        <f>Github!F$74</f>
        <v>10178</v>
      </c>
      <c r="D77" s="13">
        <f>Github!G$74</f>
        <v>587</v>
      </c>
      <c r="E77" s="13">
        <f>Github!F$74+Github!G$74</f>
        <v>10765</v>
      </c>
      <c r="F77" s="15">
        <f t="shared" si="1"/>
        <v>17.34</v>
      </c>
      <c r="G77" s="13" t="str">
        <f>ROUND(Github!O$74, 2)&amp;"%"</f>
        <v>50.45%</v>
      </c>
      <c r="H77" s="13" t="str">
        <f>Github!H$74</f>
        <v>Algorithms</v>
      </c>
      <c r="I77" s="16" t="str">
        <f>SUBSTITUTE(Github!L$74, ";", ", ")</f>
        <v>Array, Hash Table, Matrix, </v>
      </c>
      <c r="J77" s="13" t="str">
        <f>Github!E$74</f>
        <v>Medium</v>
      </c>
      <c r="K77" s="13" t="str">
        <f>IF(TRIM(Github!D$74)="TRUE","FALSE","TRUE")</f>
        <v>TRUE</v>
      </c>
      <c r="L77" s="13" t="b">
        <f>Github!M$74</f>
        <v>1</v>
      </c>
      <c r="M77" s="13" t="b">
        <f>Github!N$74</f>
        <v>0</v>
      </c>
      <c r="N77" s="13">
        <f>Github!P$74</f>
        <v>898004</v>
      </c>
      <c r="O77" s="13">
        <f>Github!Q$74</f>
        <v>1780140</v>
      </c>
    </row>
    <row r="78">
      <c r="A78" s="13">
        <f>Github!J$395</f>
        <v>394</v>
      </c>
      <c r="B78" s="14" t="str">
        <f>HYPERLINK(CONCAT("http://leetcode.com/problems/",Github!C$395), Github!B$395)</f>
        <v>Decode String</v>
      </c>
      <c r="C78" s="13">
        <f>Github!F$395</f>
        <v>10060</v>
      </c>
      <c r="D78" s="13">
        <f>Github!G$395</f>
        <v>442</v>
      </c>
      <c r="E78" s="13">
        <f>Github!F$395+Github!G$395</f>
        <v>10502</v>
      </c>
      <c r="F78" s="15">
        <f t="shared" si="1"/>
        <v>22.76</v>
      </c>
      <c r="G78" s="13" t="str">
        <f>ROUND(Github!O$395, 2)&amp;"%"</f>
        <v>57.77%</v>
      </c>
      <c r="H78" s="13" t="str">
        <f>Github!H$395</f>
        <v>Algorithms</v>
      </c>
      <c r="I78" s="16" t="str">
        <f>SUBSTITUTE(Github!L$395, ";", ", ")</f>
        <v>String, Stack, Recursion, </v>
      </c>
      <c r="J78" s="13" t="str">
        <f>Github!E$395</f>
        <v>Medium</v>
      </c>
      <c r="K78" s="13" t="str">
        <f>IF(TRIM(Github!D$395)="TRUE","FALSE","TRUE")</f>
        <v>TRUE</v>
      </c>
      <c r="L78" s="13" t="b">
        <f>Github!M$395</f>
        <v>1</v>
      </c>
      <c r="M78" s="13" t="b">
        <f>Github!N$395</f>
        <v>0</v>
      </c>
      <c r="N78" s="13">
        <f>Github!P$395</f>
        <v>600478</v>
      </c>
      <c r="O78" s="13">
        <f>Github!Q$395</f>
        <v>1039345</v>
      </c>
    </row>
    <row r="79">
      <c r="A79" s="13">
        <f>Github!J$123</f>
        <v>122</v>
      </c>
      <c r="B79" s="14" t="str">
        <f>HYPERLINK(CONCAT("http://leetcode.com/problems/",Github!C$123), Github!B$123)</f>
        <v>Best Time to Buy and Sell Stock II</v>
      </c>
      <c r="C79" s="13">
        <f>Github!F$123</f>
        <v>10053</v>
      </c>
      <c r="D79" s="13">
        <f>Github!G$123</f>
        <v>2488</v>
      </c>
      <c r="E79" s="13">
        <f>Github!F$123+Github!G$123</f>
        <v>12541</v>
      </c>
      <c r="F79" s="15">
        <f t="shared" si="1"/>
        <v>4.04</v>
      </c>
      <c r="G79" s="13" t="str">
        <f>ROUND(Github!O$123, 2)&amp;"%"</f>
        <v>63.54%</v>
      </c>
      <c r="H79" s="13" t="str">
        <f>Github!H$123</f>
        <v>Algorithms</v>
      </c>
      <c r="I79" s="16" t="str">
        <f>SUBSTITUTE(Github!L$123, ";", ", ")</f>
        <v>Array, Dynamic Programming, Greedy, </v>
      </c>
      <c r="J79" s="13" t="str">
        <f>Github!E$123</f>
        <v>Medium</v>
      </c>
      <c r="K79" s="13" t="str">
        <f>IF(TRIM(Github!D$123)="TRUE","FALSE","TRUE")</f>
        <v>TRUE</v>
      </c>
      <c r="L79" s="13" t="b">
        <f>Github!M$123</f>
        <v>1</v>
      </c>
      <c r="M79" s="13" t="b">
        <f>Github!N$123</f>
        <v>1</v>
      </c>
      <c r="N79" s="13">
        <f>Github!P$123</f>
        <v>1346170</v>
      </c>
      <c r="O79" s="13">
        <f>Github!Q$123</f>
        <v>2118584</v>
      </c>
    </row>
    <row r="80">
      <c r="A80" s="13">
        <f>Github!J$26</f>
        <v>25</v>
      </c>
      <c r="B80" s="14" t="str">
        <f>HYPERLINK(CONCAT("http://leetcode.com/problems/",Github!C$26), Github!B$26)</f>
        <v>Reverse Nodes in k-Group</v>
      </c>
      <c r="C80" s="13">
        <f>Github!F$26</f>
        <v>10000</v>
      </c>
      <c r="D80" s="13">
        <f>Github!G$26</f>
        <v>558</v>
      </c>
      <c r="E80" s="13">
        <f>Github!F$26+Github!G$26</f>
        <v>10558</v>
      </c>
      <c r="F80" s="15">
        <f t="shared" si="1"/>
        <v>17.92</v>
      </c>
      <c r="G80" s="13" t="str">
        <f>ROUND(Github!O$26, 2)&amp;"%"</f>
        <v>53.97%</v>
      </c>
      <c r="H80" s="13" t="str">
        <f>Github!H$26</f>
        <v>Algorithms</v>
      </c>
      <c r="I80" s="16" t="str">
        <f>SUBSTITUTE(Github!L$26, ";", ", ")</f>
        <v>Linked List, Recursion, </v>
      </c>
      <c r="J80" s="13" t="str">
        <f>Github!E$26</f>
        <v>Hard</v>
      </c>
      <c r="K80" s="13" t="str">
        <f>IF(TRIM(Github!D$26)="TRUE","FALSE","TRUE")</f>
        <v>TRUE</v>
      </c>
      <c r="L80" s="13" t="b">
        <f>Github!M$26</f>
        <v>1</v>
      </c>
      <c r="M80" s="13" t="b">
        <f>Github!N$26</f>
        <v>0</v>
      </c>
      <c r="N80" s="13">
        <f>Github!P$26</f>
        <v>639618</v>
      </c>
      <c r="O80" s="13">
        <f>Github!Q$26</f>
        <v>1185201</v>
      </c>
    </row>
    <row r="81">
      <c r="A81" s="13">
        <f>Github!J$55</f>
        <v>54</v>
      </c>
      <c r="B81" s="14" t="str">
        <f>HYPERLINK(CONCAT("http://leetcode.com/problems/",Github!C$55), Github!B$55)</f>
        <v>Spiral Matrix</v>
      </c>
      <c r="C81" s="13">
        <f>Github!F$55</f>
        <v>9988</v>
      </c>
      <c r="D81" s="13">
        <f>Github!G$55</f>
        <v>977</v>
      </c>
      <c r="E81" s="13">
        <f>Github!F$55+Github!G$55</f>
        <v>10965</v>
      </c>
      <c r="F81" s="15">
        <f t="shared" si="1"/>
        <v>10.22</v>
      </c>
      <c r="G81" s="13" t="str">
        <f>ROUND(Github!O$55, 2)&amp;"%"</f>
        <v>44.16%</v>
      </c>
      <c r="H81" s="13" t="str">
        <f>Github!H$55</f>
        <v>Algorithms</v>
      </c>
      <c r="I81" s="16" t="str">
        <f>SUBSTITUTE(Github!L$55, ";", ", ")</f>
        <v>Array, Matrix, Simulation, </v>
      </c>
      <c r="J81" s="13" t="str">
        <f>Github!E$55</f>
        <v>Medium</v>
      </c>
      <c r="K81" s="13" t="str">
        <f>IF(TRIM(Github!D$55)="TRUE","FALSE","TRUE")</f>
        <v>TRUE</v>
      </c>
      <c r="L81" s="13" t="b">
        <f>Github!M$55</f>
        <v>1</v>
      </c>
      <c r="M81" s="13" t="b">
        <f>Github!N$55</f>
        <v>0</v>
      </c>
      <c r="N81" s="13">
        <f>Github!P$55</f>
        <v>931131</v>
      </c>
      <c r="O81" s="13">
        <f>Github!Q$55</f>
        <v>2108458</v>
      </c>
    </row>
    <row r="82">
      <c r="A82" s="13">
        <f>Github!J$1144</f>
        <v>1143</v>
      </c>
      <c r="B82" s="14" t="str">
        <f>HYPERLINK(CONCAT("http://leetcode.com/problems/",Github!C$1144), Github!B$1144)</f>
        <v>Longest Common Subsequence</v>
      </c>
      <c r="C82" s="13">
        <f>Github!F$1144</f>
        <v>9896</v>
      </c>
      <c r="D82" s="13">
        <f>Github!G$1144</f>
        <v>114</v>
      </c>
      <c r="E82" s="13">
        <f>Github!F$1144+Github!G$1144</f>
        <v>10010</v>
      </c>
      <c r="F82" s="15">
        <f t="shared" si="1"/>
        <v>86.81</v>
      </c>
      <c r="G82" s="13" t="str">
        <f>ROUND(Github!O$1144, 2)&amp;"%"</f>
        <v>58.63%</v>
      </c>
      <c r="H82" s="13" t="str">
        <f>Github!H$1144</f>
        <v>Algorithms</v>
      </c>
      <c r="I82" s="16" t="str">
        <f>SUBSTITUTE(Github!L$1144, ";", ", ")</f>
        <v>String, Dynamic Programming, </v>
      </c>
      <c r="J82" s="13" t="str">
        <f>Github!E$1144</f>
        <v>Medium</v>
      </c>
      <c r="K82" s="13" t="str">
        <f>IF(TRIM(Github!D$1144)="TRUE","FALSE","TRUE")</f>
        <v>TRUE</v>
      </c>
      <c r="L82" s="13" t="b">
        <f>Github!M$1144</f>
        <v>1</v>
      </c>
      <c r="M82" s="13" t="b">
        <f>Github!N$1144</f>
        <v>0</v>
      </c>
      <c r="N82" s="13">
        <f>Github!P$1144</f>
        <v>625848</v>
      </c>
      <c r="O82" s="13">
        <f>Github!Q$1144</f>
        <v>1067450</v>
      </c>
    </row>
    <row r="83">
      <c r="A83" s="13">
        <f>Github!J$115</f>
        <v>114</v>
      </c>
      <c r="B83" s="14" t="str">
        <f>HYPERLINK(CONCAT("http://leetcode.com/problems/",Github!C$115), Github!B$115)</f>
        <v>Flatten Binary Tree to Linked List</v>
      </c>
      <c r="C83" s="13">
        <f>Github!F$115</f>
        <v>9808</v>
      </c>
      <c r="D83" s="13">
        <f>Github!G$115</f>
        <v>498</v>
      </c>
      <c r="E83" s="13">
        <f>Github!F$115+Github!G$115</f>
        <v>10306</v>
      </c>
      <c r="F83" s="15">
        <f t="shared" si="1"/>
        <v>19.69</v>
      </c>
      <c r="G83" s="13" t="str">
        <f>ROUND(Github!O$115, 2)&amp;"%"</f>
        <v>61.38%</v>
      </c>
      <c r="H83" s="13" t="str">
        <f>Github!H$115</f>
        <v>Algorithms</v>
      </c>
      <c r="I83" s="16" t="str">
        <f>SUBSTITUTE(Github!L$115, ";", ", ")</f>
        <v>Linked List, Stack, Tree, Depth-First Search, Binary Tree, </v>
      </c>
      <c r="J83" s="13" t="str">
        <f>Github!E$115</f>
        <v>Medium</v>
      </c>
      <c r="K83" s="13" t="str">
        <f>IF(TRIM(Github!D$115)="TRUE","FALSE","TRUE")</f>
        <v>TRUE</v>
      </c>
      <c r="L83" s="13" t="b">
        <f>Github!M$115</f>
        <v>1</v>
      </c>
      <c r="M83" s="13" t="b">
        <f>Github!N$115</f>
        <v>0</v>
      </c>
      <c r="N83" s="13">
        <f>Github!P$115</f>
        <v>740462</v>
      </c>
      <c r="O83" s="13">
        <f>Github!Q$115</f>
        <v>1206408</v>
      </c>
    </row>
    <row r="84">
      <c r="A84" s="13">
        <f>Github!J$11</f>
        <v>10</v>
      </c>
      <c r="B84" s="14" t="str">
        <f>HYPERLINK(CONCAT("http://leetcode.com/problems/",Github!C$11), Github!B$11)</f>
        <v>Regular Expression Matching</v>
      </c>
      <c r="C84" s="13">
        <f>Github!F$11</f>
        <v>9818</v>
      </c>
      <c r="D84" s="13">
        <f>Github!G$11</f>
        <v>1590</v>
      </c>
      <c r="E84" s="13">
        <f>Github!F$11+Github!G$11</f>
        <v>11408</v>
      </c>
      <c r="F84" s="15">
        <f t="shared" si="1"/>
        <v>6.17</v>
      </c>
      <c r="G84" s="13" t="str">
        <f>ROUND(Github!O$11, 2)&amp;"%"</f>
        <v>28.2%</v>
      </c>
      <c r="H84" s="13" t="str">
        <f>Github!H$11</f>
        <v>Algorithms</v>
      </c>
      <c r="I84" s="16" t="str">
        <f>SUBSTITUTE(Github!L$11, ";", ", ")</f>
        <v>String, Dynamic Programming, Recursion, </v>
      </c>
      <c r="J84" s="13" t="str">
        <f>Github!E$11</f>
        <v>Hard</v>
      </c>
      <c r="K84" s="13" t="str">
        <f>IF(TRIM(Github!D$11)="TRUE","FALSE","TRUE")</f>
        <v>TRUE</v>
      </c>
      <c r="L84" s="13" t="b">
        <f>Github!M$11</f>
        <v>1</v>
      </c>
      <c r="M84" s="13" t="b">
        <f>Github!N$11</f>
        <v>0</v>
      </c>
      <c r="N84" s="13">
        <f>Github!P$11</f>
        <v>772218</v>
      </c>
      <c r="O84" s="13">
        <f>Github!Q$11</f>
        <v>2737997</v>
      </c>
    </row>
    <row r="85">
      <c r="A85" s="13">
        <f>Github!J$241</f>
        <v>240</v>
      </c>
      <c r="B85" s="14" t="str">
        <f>HYPERLINK(CONCAT("http://leetcode.com/problems/",Github!C$241), Github!B$241)</f>
        <v>Search a 2D Matrix II</v>
      </c>
      <c r="C85" s="13">
        <f>Github!F$241</f>
        <v>9763</v>
      </c>
      <c r="D85" s="13">
        <f>Github!G$241</f>
        <v>158</v>
      </c>
      <c r="E85" s="13">
        <f>Github!F$241+Github!G$241</f>
        <v>9921</v>
      </c>
      <c r="F85" s="15">
        <f t="shared" si="1"/>
        <v>61.79</v>
      </c>
      <c r="G85" s="13" t="str">
        <f>ROUND(Github!O$241, 2)&amp;"%"</f>
        <v>50.75%</v>
      </c>
      <c r="H85" s="13" t="str">
        <f>Github!H$241</f>
        <v>Algorithms</v>
      </c>
      <c r="I85" s="16" t="str">
        <f>SUBSTITUTE(Github!L$241, ";", ", ")</f>
        <v>Array, Binary Search, Divide and Conquer, Matrix, </v>
      </c>
      <c r="J85" s="13" t="str">
        <f>Github!E$241</f>
        <v>Medium</v>
      </c>
      <c r="K85" s="13" t="str">
        <f>IF(TRIM(Github!D$241)="TRUE","FALSE","TRUE")</f>
        <v>TRUE</v>
      </c>
      <c r="L85" s="13" t="b">
        <f>Github!M$241</f>
        <v>1</v>
      </c>
      <c r="M85" s="13" t="b">
        <f>Github!N$241</f>
        <v>0</v>
      </c>
      <c r="N85" s="13">
        <f>Github!P$241</f>
        <v>748302</v>
      </c>
      <c r="O85" s="13">
        <f>Github!Q$241</f>
        <v>1474383</v>
      </c>
    </row>
    <row r="86">
      <c r="A86" s="13">
        <f>Github!J$143</f>
        <v>142</v>
      </c>
      <c r="B86" s="14" t="str">
        <f>HYPERLINK(CONCAT("http://leetcode.com/problems/",Github!C$143), Github!B$143)</f>
        <v>Linked List Cycle II</v>
      </c>
      <c r="C86" s="13">
        <f>Github!F$143</f>
        <v>9796</v>
      </c>
      <c r="D86" s="13">
        <f>Github!G$143</f>
        <v>697</v>
      </c>
      <c r="E86" s="13">
        <f>Github!F$143+Github!G$143</f>
        <v>10493</v>
      </c>
      <c r="F86" s="15">
        <f t="shared" si="1"/>
        <v>14.05</v>
      </c>
      <c r="G86" s="13" t="str">
        <f>ROUND(Github!O$143, 2)&amp;"%"</f>
        <v>46.82%</v>
      </c>
      <c r="H86" s="13" t="str">
        <f>Github!H$143</f>
        <v>Algorithms</v>
      </c>
      <c r="I86" s="16" t="str">
        <f>SUBSTITUTE(Github!L$143, ";", ", ")</f>
        <v>Hash Table, Linked List, Two Pointers, </v>
      </c>
      <c r="J86" s="13" t="str">
        <f>Github!E$143</f>
        <v>Medium</v>
      </c>
      <c r="K86" s="13" t="str">
        <f>IF(TRIM(Github!D$143)="TRUE","FALSE","TRUE")</f>
        <v>TRUE</v>
      </c>
      <c r="L86" s="13" t="b">
        <f>Github!M$143</f>
        <v>1</v>
      </c>
      <c r="M86" s="13" t="b">
        <f>Github!N$143</f>
        <v>0</v>
      </c>
      <c r="N86" s="13">
        <f>Github!P$143</f>
        <v>900638</v>
      </c>
      <c r="O86" s="13">
        <f>Github!Q$143</f>
        <v>1923480</v>
      </c>
    </row>
    <row r="87">
      <c r="A87" s="13">
        <f>Github!J$296</f>
        <v>295</v>
      </c>
      <c r="B87" s="14" t="str">
        <f>HYPERLINK(CONCAT("http://leetcode.com/problems/",Github!C$296), Github!B$296)</f>
        <v>Find Median from Data Stream</v>
      </c>
      <c r="C87" s="13">
        <f>Github!F$296</f>
        <v>9666</v>
      </c>
      <c r="D87" s="13">
        <f>Github!G$296</f>
        <v>187</v>
      </c>
      <c r="E87" s="13">
        <f>Github!F$296+Github!G$296</f>
        <v>9853</v>
      </c>
      <c r="F87" s="15">
        <f t="shared" si="1"/>
        <v>51.69</v>
      </c>
      <c r="G87" s="13" t="str">
        <f>ROUND(Github!O$296, 2)&amp;"%"</f>
        <v>51.49%</v>
      </c>
      <c r="H87" s="13" t="str">
        <f>Github!H$296</f>
        <v>Algorithms</v>
      </c>
      <c r="I87" s="16" t="str">
        <f>SUBSTITUTE(Github!L$296, ";", ", ")</f>
        <v>Two Pointers, Design, Sorting, Heap (Priority Queue), Data Stream, </v>
      </c>
      <c r="J87" s="13" t="str">
        <f>Github!E$296</f>
        <v>Hard</v>
      </c>
      <c r="K87" s="13" t="str">
        <f>IF(TRIM(Github!D$296)="TRUE","FALSE","TRUE")</f>
        <v>TRUE</v>
      </c>
      <c r="L87" s="13" t="b">
        <f>Github!M$296</f>
        <v>1</v>
      </c>
      <c r="M87" s="13" t="b">
        <f>Github!N$296</f>
        <v>0</v>
      </c>
      <c r="N87" s="13">
        <f>Github!P$296</f>
        <v>597594</v>
      </c>
      <c r="O87" s="13">
        <f>Github!Q$296</f>
        <v>1160538</v>
      </c>
    </row>
    <row r="88">
      <c r="A88" s="13">
        <f>Github!J$128</f>
        <v>127</v>
      </c>
      <c r="B88" s="14" t="str">
        <f>HYPERLINK(CONCAT("http://leetcode.com/problems/",Github!C$128), Github!B$128)</f>
        <v>Word Ladder</v>
      </c>
      <c r="C88" s="13">
        <f>Github!F$128</f>
        <v>9670</v>
      </c>
      <c r="D88" s="13">
        <f>Github!G$128</f>
        <v>1751</v>
      </c>
      <c r="E88" s="13">
        <f>Github!F$128+Github!G$128</f>
        <v>11421</v>
      </c>
      <c r="F88" s="15">
        <f t="shared" si="1"/>
        <v>5.52</v>
      </c>
      <c r="G88" s="13" t="str">
        <f>ROUND(Github!O$128, 2)&amp;"%"</f>
        <v>36.85%</v>
      </c>
      <c r="H88" s="13" t="str">
        <f>Github!H$128</f>
        <v>Algorithms</v>
      </c>
      <c r="I88" s="16" t="str">
        <f>SUBSTITUTE(Github!L$128, ";", ", ")</f>
        <v>Hash Table, String, Breadth-First Search, </v>
      </c>
      <c r="J88" s="13" t="str">
        <f>Github!E$128</f>
        <v>Hard</v>
      </c>
      <c r="K88" s="13" t="str">
        <f>IF(TRIM(Github!D$128)="TRUE","FALSE","TRUE")</f>
        <v>TRUE</v>
      </c>
      <c r="L88" s="13" t="b">
        <f>Github!M$128</f>
        <v>1</v>
      </c>
      <c r="M88" s="13" t="b">
        <f>Github!N$128</f>
        <v>1</v>
      </c>
      <c r="N88" s="13">
        <f>Github!P$128</f>
        <v>874354</v>
      </c>
      <c r="O88" s="13">
        <f>Github!Q$128</f>
        <v>2372469</v>
      </c>
    </row>
    <row r="89">
      <c r="A89" s="13">
        <f>Github!J$27</f>
        <v>26</v>
      </c>
      <c r="B89" s="14" t="str">
        <f>HYPERLINK(CONCAT("http://leetcode.com/problems/",Github!C$27), Github!B$27)</f>
        <v>Remove Duplicates from Sorted Array</v>
      </c>
      <c r="C89" s="13">
        <f>Github!F$27</f>
        <v>9649</v>
      </c>
      <c r="D89" s="13">
        <f>Github!G$27</f>
        <v>13216</v>
      </c>
      <c r="E89" s="13">
        <f>Github!F$27+Github!G$27</f>
        <v>22865</v>
      </c>
      <c r="F89" s="15">
        <f t="shared" si="1"/>
        <v>0.73</v>
      </c>
      <c r="G89" s="13" t="str">
        <f>ROUND(Github!O$27, 2)&amp;"%"</f>
        <v>51.08%</v>
      </c>
      <c r="H89" s="13" t="str">
        <f>Github!H$27</f>
        <v>Algorithms</v>
      </c>
      <c r="I89" s="16" t="str">
        <f>SUBSTITUTE(Github!L$27, ";", ", ")</f>
        <v>Array, Two Pointers, </v>
      </c>
      <c r="J89" s="13" t="str">
        <f>Github!E$27</f>
        <v>Easy</v>
      </c>
      <c r="K89" s="13" t="str">
        <f>IF(TRIM(Github!D$27)="TRUE","FALSE","TRUE")</f>
        <v>TRUE</v>
      </c>
      <c r="L89" s="13" t="b">
        <f>Github!M$27</f>
        <v>1</v>
      </c>
      <c r="M89" s="13" t="b">
        <f>Github!N$27</f>
        <v>0</v>
      </c>
      <c r="N89" s="13">
        <f>Github!P$27</f>
        <v>2699568</v>
      </c>
      <c r="O89" s="13">
        <f>Github!Q$27</f>
        <v>5285357</v>
      </c>
    </row>
    <row r="90">
      <c r="A90" s="13">
        <f>Github!J$417</f>
        <v>416</v>
      </c>
      <c r="B90" s="14" t="str">
        <f>HYPERLINK(CONCAT("http://leetcode.com/problems/",Github!C$417), Github!B$417)</f>
        <v>Partition Equal Subset Sum</v>
      </c>
      <c r="C90" s="13">
        <f>Github!F$417</f>
        <v>9556</v>
      </c>
      <c r="D90" s="13">
        <f>Github!G$417</f>
        <v>159</v>
      </c>
      <c r="E90" s="13">
        <f>Github!F$417+Github!G$417</f>
        <v>9715</v>
      </c>
      <c r="F90" s="15">
        <f t="shared" si="1"/>
        <v>60.1</v>
      </c>
      <c r="G90" s="13" t="str">
        <f>ROUND(Github!O$417, 2)&amp;"%"</f>
        <v>46.47%</v>
      </c>
      <c r="H90" s="13" t="str">
        <f>Github!H$417</f>
        <v>Algorithms</v>
      </c>
      <c r="I90" s="16" t="str">
        <f>SUBSTITUTE(Github!L$417, ";", ", ")</f>
        <v>Array, Dynamic Programming, </v>
      </c>
      <c r="J90" s="13" t="str">
        <f>Github!E$417</f>
        <v>Medium</v>
      </c>
      <c r="K90" s="13" t="str">
        <f>IF(TRIM(Github!D$417)="TRUE","FALSE","TRUE")</f>
        <v>TRUE</v>
      </c>
      <c r="L90" s="13" t="b">
        <f>Github!M$417</f>
        <v>1</v>
      </c>
      <c r="M90" s="13" t="b">
        <f>Github!N$417</f>
        <v>1</v>
      </c>
      <c r="N90" s="13">
        <f>Github!P$417</f>
        <v>572706</v>
      </c>
      <c r="O90" s="13">
        <f>Github!Q$417</f>
        <v>1232318</v>
      </c>
    </row>
    <row r="91">
      <c r="A91" s="13">
        <f>Github!J$740</f>
        <v>739</v>
      </c>
      <c r="B91" s="14" t="str">
        <f>HYPERLINK(CONCAT("http://leetcode.com/problems/",Github!C$740), Github!B$740)</f>
        <v>Daily Temperatures</v>
      </c>
      <c r="C91" s="13">
        <f>Github!F$740</f>
        <v>9853</v>
      </c>
      <c r="D91" s="13">
        <f>Github!G$740</f>
        <v>227</v>
      </c>
      <c r="E91" s="13">
        <f>Github!F$740+Github!G$740</f>
        <v>10080</v>
      </c>
      <c r="F91" s="15">
        <f t="shared" si="1"/>
        <v>43.41</v>
      </c>
      <c r="G91" s="13" t="str">
        <f>ROUND(Github!O$740, 2)&amp;"%"</f>
        <v>66.39%</v>
      </c>
      <c r="H91" s="13" t="str">
        <f>Github!H$740</f>
        <v>Algorithms</v>
      </c>
      <c r="I91" s="16" t="str">
        <f>SUBSTITUTE(Github!L$740, ";", ", ")</f>
        <v>Array, Stack, Monotonic Stack, </v>
      </c>
      <c r="J91" s="13" t="str">
        <f>Github!E$740</f>
        <v>Medium</v>
      </c>
      <c r="K91" s="13" t="str">
        <f>IF(TRIM(Github!D$740)="TRUE","FALSE","TRUE")</f>
        <v>TRUE</v>
      </c>
      <c r="L91" s="13" t="b">
        <f>Github!M$740</f>
        <v>1</v>
      </c>
      <c r="M91" s="13" t="b">
        <f>Github!N$740</f>
        <v>0</v>
      </c>
      <c r="N91" s="13">
        <f>Github!P$740</f>
        <v>557601</v>
      </c>
      <c r="O91" s="13">
        <f>Github!Q$740</f>
        <v>839879</v>
      </c>
    </row>
    <row r="92">
      <c r="A92" s="13">
        <f>Github!J$439</f>
        <v>438</v>
      </c>
      <c r="B92" s="14" t="str">
        <f>HYPERLINK(CONCAT("http://leetcode.com/problems/",Github!C$439), Github!B$439)</f>
        <v>Find All Anagrams in a String</v>
      </c>
      <c r="C92" s="13">
        <f>Github!F$439</f>
        <v>9375</v>
      </c>
      <c r="D92" s="13">
        <f>Github!G$439</f>
        <v>289</v>
      </c>
      <c r="E92" s="13">
        <f>Github!F$439+Github!G$439</f>
        <v>9664</v>
      </c>
      <c r="F92" s="15">
        <f t="shared" si="1"/>
        <v>32.44</v>
      </c>
      <c r="G92" s="13" t="str">
        <f>ROUND(Github!O$439, 2)&amp;"%"</f>
        <v>49.04%</v>
      </c>
      <c r="H92" s="13" t="str">
        <f>Github!H$439</f>
        <v>Algorithms</v>
      </c>
      <c r="I92" s="16" t="str">
        <f>SUBSTITUTE(Github!L$439, ";", ", ")</f>
        <v>Hash Table, String, Sliding Window, </v>
      </c>
      <c r="J92" s="13" t="str">
        <f>Github!E$439</f>
        <v>Medium</v>
      </c>
      <c r="K92" s="13" t="str">
        <f>IF(TRIM(Github!D$439)="TRUE","FALSE","TRUE")</f>
        <v>TRUE</v>
      </c>
      <c r="L92" s="13" t="b">
        <f>Github!M$439</f>
        <v>1</v>
      </c>
      <c r="M92" s="13" t="b">
        <f>Github!N$439</f>
        <v>0</v>
      </c>
      <c r="N92" s="13">
        <f>Github!P$439</f>
        <v>653232</v>
      </c>
      <c r="O92" s="13">
        <f>Github!Q$439</f>
        <v>1331954</v>
      </c>
    </row>
    <row r="93">
      <c r="A93" s="13">
        <f>Github!J$92</f>
        <v>91</v>
      </c>
      <c r="B93" s="14" t="str">
        <f>HYPERLINK(CONCAT("http://leetcode.com/problems/",Github!C$92), Github!B$92)</f>
        <v>Decode Ways</v>
      </c>
      <c r="C93" s="13">
        <f>Github!F$92</f>
        <v>9333</v>
      </c>
      <c r="D93" s="13">
        <f>Github!G$92</f>
        <v>4166</v>
      </c>
      <c r="E93" s="13">
        <f>Github!F$92+Github!G$92</f>
        <v>13499</v>
      </c>
      <c r="F93" s="15">
        <f t="shared" si="1"/>
        <v>2.24</v>
      </c>
      <c r="G93" s="13" t="str">
        <f>ROUND(Github!O$92, 2)&amp;"%"</f>
        <v>32.44%</v>
      </c>
      <c r="H93" s="13" t="str">
        <f>Github!H$92</f>
        <v>Algorithms</v>
      </c>
      <c r="I93" s="16" t="str">
        <f>SUBSTITUTE(Github!L$92, ";", ", ")</f>
        <v>String, Dynamic Programming, </v>
      </c>
      <c r="J93" s="13" t="str">
        <f>Github!E$92</f>
        <v>Medium</v>
      </c>
      <c r="K93" s="13" t="str">
        <f>IF(TRIM(Github!D$92)="TRUE","FALSE","TRUE")</f>
        <v>TRUE</v>
      </c>
      <c r="L93" s="13" t="b">
        <f>Github!M$92</f>
        <v>1</v>
      </c>
      <c r="M93" s="13" t="b">
        <f>Github!N$92</f>
        <v>1</v>
      </c>
      <c r="N93" s="13">
        <f>Github!P$92</f>
        <v>961895</v>
      </c>
      <c r="O93" s="13">
        <f>Github!Q$92</f>
        <v>2965062</v>
      </c>
    </row>
    <row r="94">
      <c r="A94" s="13">
        <f>Github!J$8</f>
        <v>7</v>
      </c>
      <c r="B94" s="14" t="str">
        <f>HYPERLINK(CONCAT("http://leetcode.com/problems/",Github!C$8), Github!B$8)</f>
        <v>Reverse Integer</v>
      </c>
      <c r="C94" s="13">
        <f>Github!F$8</f>
        <v>9348</v>
      </c>
      <c r="D94" s="13">
        <f>Github!G$8</f>
        <v>11317</v>
      </c>
      <c r="E94" s="13">
        <f>Github!F$8+Github!G$8</f>
        <v>20665</v>
      </c>
      <c r="F94" s="15">
        <f t="shared" si="1"/>
        <v>0.83</v>
      </c>
      <c r="G94" s="13" t="str">
        <f>ROUND(Github!O$8, 2)&amp;"%"</f>
        <v>27.3%</v>
      </c>
      <c r="H94" s="13" t="str">
        <f>Github!H$8</f>
        <v>Algorithms</v>
      </c>
      <c r="I94" s="16" t="str">
        <f>SUBSTITUTE(Github!L$8, ";", ", ")</f>
        <v>Math, </v>
      </c>
      <c r="J94" s="13" t="str">
        <f>Github!E$8</f>
        <v>Medium</v>
      </c>
      <c r="K94" s="13" t="str">
        <f>IF(TRIM(Github!D$8)="TRUE","FALSE","TRUE")</f>
        <v>TRUE</v>
      </c>
      <c r="L94" s="13" t="b">
        <f>Github!M$8</f>
        <v>1</v>
      </c>
      <c r="M94" s="13" t="b">
        <f>Github!N$8</f>
        <v>0</v>
      </c>
      <c r="N94" s="13">
        <f>Github!P$8</f>
        <v>2399751</v>
      </c>
      <c r="O94" s="13">
        <f>Github!Q$8</f>
        <v>8788768</v>
      </c>
    </row>
    <row r="95">
      <c r="A95" s="13">
        <f>Github!J$154</f>
        <v>153</v>
      </c>
      <c r="B95" s="14" t="str">
        <f>HYPERLINK(CONCAT("http://leetcode.com/problems/",Github!C$154), Github!B$154)</f>
        <v>Find Minimum in Rotated Sorted Array</v>
      </c>
      <c r="C95" s="13">
        <f>Github!F$154</f>
        <v>9329</v>
      </c>
      <c r="D95" s="13">
        <f>Github!G$154</f>
        <v>448</v>
      </c>
      <c r="E95" s="13">
        <f>Github!F$154+Github!G$154</f>
        <v>9777</v>
      </c>
      <c r="F95" s="15">
        <f t="shared" si="1"/>
        <v>20.82</v>
      </c>
      <c r="G95" s="13" t="str">
        <f>ROUND(Github!O$154, 2)&amp;"%"</f>
        <v>48.63%</v>
      </c>
      <c r="H95" s="13" t="str">
        <f>Github!H$154</f>
        <v>Algorithms</v>
      </c>
      <c r="I95" s="16" t="str">
        <f>SUBSTITUTE(Github!L$154, ";", ", ")</f>
        <v>Array, Binary Search, </v>
      </c>
      <c r="J95" s="13" t="str">
        <f>Github!E$154</f>
        <v>Medium</v>
      </c>
      <c r="K95" s="13" t="str">
        <f>IF(TRIM(Github!D$154)="TRUE","FALSE","TRUE")</f>
        <v>TRUE</v>
      </c>
      <c r="L95" s="13" t="b">
        <f>Github!M$154</f>
        <v>1</v>
      </c>
      <c r="M95" s="13" t="b">
        <f>Github!N$154</f>
        <v>0</v>
      </c>
      <c r="N95" s="13">
        <f>Github!P$154</f>
        <v>1176815</v>
      </c>
      <c r="O95" s="13">
        <f>Github!Q$154</f>
        <v>2419800</v>
      </c>
    </row>
    <row r="96">
      <c r="A96" s="13">
        <f>Github!J$105</f>
        <v>104</v>
      </c>
      <c r="B96" s="14" t="str">
        <f>HYPERLINK(CONCAT("http://leetcode.com/problems/",Github!C$105), Github!B$105)</f>
        <v>Maximum Depth of Binary Tree</v>
      </c>
      <c r="C96" s="13">
        <f>Github!F$105</f>
        <v>9300</v>
      </c>
      <c r="D96" s="13">
        <f>Github!G$105</f>
        <v>154</v>
      </c>
      <c r="E96" s="13">
        <f>Github!F$105+Github!G$105</f>
        <v>9454</v>
      </c>
      <c r="F96" s="15">
        <f t="shared" si="1"/>
        <v>60.39</v>
      </c>
      <c r="G96" s="13" t="str">
        <f>ROUND(Github!O$105, 2)&amp;"%"</f>
        <v>73.27%</v>
      </c>
      <c r="H96" s="13" t="str">
        <f>Github!H$105</f>
        <v>Algorithms</v>
      </c>
      <c r="I96" s="16" t="str">
        <f>SUBSTITUTE(Github!L$105, ";", ", ")</f>
        <v>Tree, Depth-First Search, Breadth-First Search, Binary Tree, </v>
      </c>
      <c r="J96" s="13" t="str">
        <f>Github!E$105</f>
        <v>Easy</v>
      </c>
      <c r="K96" s="13" t="str">
        <f>IF(TRIM(Github!D$105)="TRUE","FALSE","TRUE")</f>
        <v>TRUE</v>
      </c>
      <c r="L96" s="13" t="b">
        <f>Github!M$105</f>
        <v>1</v>
      </c>
      <c r="M96" s="13" t="b">
        <f>Github!N$105</f>
        <v>0</v>
      </c>
      <c r="N96" s="13">
        <f>Github!P$105</f>
        <v>2086810</v>
      </c>
      <c r="O96" s="13">
        <f>Github!Q$105</f>
        <v>2848103</v>
      </c>
    </row>
    <row r="97">
      <c r="A97" s="13">
        <f>Github!J$995</f>
        <v>994</v>
      </c>
      <c r="B97" s="14" t="str">
        <f>HYPERLINK(CONCAT("http://leetcode.com/problems/",Github!C$995), Github!B$995)</f>
        <v>Rotting Oranges</v>
      </c>
      <c r="C97" s="13">
        <f>Github!F$995</f>
        <v>9318</v>
      </c>
      <c r="D97" s="13">
        <f>Github!G$995</f>
        <v>324</v>
      </c>
      <c r="E97" s="13">
        <f>Github!F$995+Github!G$995</f>
        <v>9642</v>
      </c>
      <c r="F97" s="15">
        <f t="shared" si="1"/>
        <v>28.76</v>
      </c>
      <c r="G97" s="13" t="str">
        <f>ROUND(Github!O$995, 2)&amp;"%"</f>
        <v>52.64%</v>
      </c>
      <c r="H97" s="13" t="str">
        <f>Github!H$995</f>
        <v>Algorithms</v>
      </c>
      <c r="I97" s="16" t="str">
        <f>SUBSTITUTE(Github!L$995, ";", ", ")</f>
        <v>Array, Breadth-First Search, Matrix, </v>
      </c>
      <c r="J97" s="13" t="str">
        <f>Github!E$995</f>
        <v>Medium</v>
      </c>
      <c r="K97" s="13" t="str">
        <f>IF(TRIM(Github!D$995)="TRUE","FALSE","TRUE")</f>
        <v>TRUE</v>
      </c>
      <c r="L97" s="13" t="b">
        <f>Github!M$995</f>
        <v>1</v>
      </c>
      <c r="M97" s="13" t="b">
        <f>Github!N$995</f>
        <v>0</v>
      </c>
      <c r="N97" s="13">
        <f>Github!P$995</f>
        <v>538580</v>
      </c>
      <c r="O97" s="13">
        <f>Github!Q$995</f>
        <v>1023051</v>
      </c>
    </row>
    <row r="98">
      <c r="A98" s="13">
        <f>Github!J$65</f>
        <v>64</v>
      </c>
      <c r="B98" s="14" t="str">
        <f>HYPERLINK(CONCAT("http://leetcode.com/problems/",Github!C$65), Github!B$65)</f>
        <v>Minimum Path Sum</v>
      </c>
      <c r="C98" s="13">
        <f>Github!F$65</f>
        <v>9217</v>
      </c>
      <c r="D98" s="13">
        <f>Github!G$65</f>
        <v>120</v>
      </c>
      <c r="E98" s="13">
        <f>Github!F$65+Github!G$65</f>
        <v>9337</v>
      </c>
      <c r="F98" s="15">
        <f t="shared" si="1"/>
        <v>76.81</v>
      </c>
      <c r="G98" s="13" t="str">
        <f>ROUND(Github!O$65, 2)&amp;"%"</f>
        <v>60.83%</v>
      </c>
      <c r="H98" s="13" t="str">
        <f>Github!H$65</f>
        <v>Algorithms</v>
      </c>
      <c r="I98" s="16" t="str">
        <f>SUBSTITUTE(Github!L$65, ";", ", ")</f>
        <v>Array, Dynamic Programming, Matrix, </v>
      </c>
      <c r="J98" s="13" t="str">
        <f>Github!E$65</f>
        <v>Medium</v>
      </c>
      <c r="K98" s="13" t="str">
        <f>IF(TRIM(Github!D$65)="TRUE","FALSE","TRUE")</f>
        <v>TRUE</v>
      </c>
      <c r="L98" s="13" t="b">
        <f>Github!M$65</f>
        <v>1</v>
      </c>
      <c r="M98" s="13" t="b">
        <f>Github!N$65</f>
        <v>0</v>
      </c>
      <c r="N98" s="13">
        <f>Github!P$65</f>
        <v>830313</v>
      </c>
      <c r="O98" s="13">
        <f>Github!Q$65</f>
        <v>1364876</v>
      </c>
    </row>
    <row r="99">
      <c r="A99" s="13">
        <f>Github!J$200</f>
        <v>199</v>
      </c>
      <c r="B99" s="14" t="str">
        <f>HYPERLINK(CONCAT("http://leetcode.com/problems/",Github!C$200), Github!B$200)</f>
        <v>Binary Tree Right Side View</v>
      </c>
      <c r="C99" s="13">
        <f>Github!F$200</f>
        <v>9183</v>
      </c>
      <c r="D99" s="13">
        <f>Github!G$200</f>
        <v>551</v>
      </c>
      <c r="E99" s="13">
        <f>Github!F$200+Github!G$200</f>
        <v>9734</v>
      </c>
      <c r="F99" s="15">
        <f t="shared" si="1"/>
        <v>16.67</v>
      </c>
      <c r="G99" s="13" t="str">
        <f>ROUND(Github!O$200, 2)&amp;"%"</f>
        <v>61.34%</v>
      </c>
      <c r="H99" s="13" t="str">
        <f>Github!H$200</f>
        <v>Algorithms</v>
      </c>
      <c r="I99" s="16" t="str">
        <f>SUBSTITUTE(Github!L$200, ";", ", ")</f>
        <v>Tree, Depth-First Search, Breadth-First Search, Binary Tree, </v>
      </c>
      <c r="J99" s="13" t="str">
        <f>Github!E$200</f>
        <v>Medium</v>
      </c>
      <c r="K99" s="13" t="str">
        <f>IF(TRIM(Github!D$200)="TRUE","FALSE","TRUE")</f>
        <v>TRUE</v>
      </c>
      <c r="L99" s="13" t="b">
        <f>Github!M$200</f>
        <v>1</v>
      </c>
      <c r="M99" s="13" t="b">
        <f>Github!N$200</f>
        <v>1</v>
      </c>
      <c r="N99" s="13">
        <f>Github!P$200</f>
        <v>883876</v>
      </c>
      <c r="O99" s="13">
        <f>Github!Q$200</f>
        <v>1440833</v>
      </c>
    </row>
    <row r="100">
      <c r="A100" s="13">
        <f>Github!J$438</f>
        <v>437</v>
      </c>
      <c r="B100" s="14" t="str">
        <f>HYPERLINK(CONCAT("http://leetcode.com/problems/",Github!C$438), Github!B$438)</f>
        <v>Path Sum III</v>
      </c>
      <c r="C100" s="13">
        <f>Github!F$438</f>
        <v>9066</v>
      </c>
      <c r="D100" s="13">
        <f>Github!G$438</f>
        <v>432</v>
      </c>
      <c r="E100" s="13">
        <f>Github!F$438+Github!G$438</f>
        <v>9498</v>
      </c>
      <c r="F100" s="15">
        <f t="shared" si="1"/>
        <v>20.99</v>
      </c>
      <c r="G100" s="13" t="str">
        <f>ROUND(Github!O$438, 2)&amp;"%"</f>
        <v>48.42%</v>
      </c>
      <c r="H100" s="13" t="str">
        <f>Github!H$438</f>
        <v>Algorithms</v>
      </c>
      <c r="I100" s="16" t="str">
        <f>SUBSTITUTE(Github!L$438, ";", ", ")</f>
        <v>Tree, Depth-First Search, Binary Tree, </v>
      </c>
      <c r="J100" s="13" t="str">
        <f>Github!E$438</f>
        <v>Medium</v>
      </c>
      <c r="K100" s="13" t="str">
        <f>IF(TRIM(Github!D$438)="TRUE","FALSE","TRUE")</f>
        <v>TRUE</v>
      </c>
      <c r="L100" s="13" t="b">
        <f>Github!M$438</f>
        <v>1</v>
      </c>
      <c r="M100" s="13" t="b">
        <f>Github!N$438</f>
        <v>0</v>
      </c>
      <c r="N100" s="13">
        <f>Github!P$438</f>
        <v>429949</v>
      </c>
      <c r="O100" s="13">
        <f>Github!Q$438</f>
        <v>887995</v>
      </c>
    </row>
    <row r="101">
      <c r="A101" s="13">
        <f>Github!J$52</f>
        <v>51</v>
      </c>
      <c r="B101" s="14" t="str">
        <f>HYPERLINK(CONCAT("http://leetcode.com/problems/",Github!C$52), Github!B$52)</f>
        <v>N-Queens</v>
      </c>
      <c r="C101" s="13">
        <f>Github!F$52</f>
        <v>9073</v>
      </c>
      <c r="D101" s="13">
        <f>Github!G$52</f>
        <v>201</v>
      </c>
      <c r="E101" s="13">
        <f>Github!F$52+Github!G$52</f>
        <v>9274</v>
      </c>
      <c r="F101" s="15">
        <f t="shared" si="1"/>
        <v>45.14</v>
      </c>
      <c r="G101" s="13" t="str">
        <f>ROUND(Github!O$52, 2)&amp;"%"</f>
        <v>63.45%</v>
      </c>
      <c r="H101" s="13" t="str">
        <f>Github!H$52</f>
        <v>Algorithms</v>
      </c>
      <c r="I101" s="16" t="str">
        <f>SUBSTITUTE(Github!L$52, ";", ", ")</f>
        <v>Array, Backtracking, </v>
      </c>
      <c r="J101" s="13" t="str">
        <f>Github!E$52</f>
        <v>Hard</v>
      </c>
      <c r="K101" s="13" t="str">
        <f>IF(TRIM(Github!D$52)="TRUE","FALSE","TRUE")</f>
        <v>TRUE</v>
      </c>
      <c r="L101" s="13" t="b">
        <f>Github!M$52</f>
        <v>1</v>
      </c>
      <c r="M101" s="13" t="b">
        <f>Github!N$52</f>
        <v>0</v>
      </c>
      <c r="N101" s="13">
        <f>Github!P$52</f>
        <v>501771</v>
      </c>
      <c r="O101" s="13">
        <f>Github!Q$52</f>
        <v>790824</v>
      </c>
    </row>
    <row r="102">
      <c r="A102" s="13">
        <f>Github!J$231</f>
        <v>230</v>
      </c>
      <c r="B102" s="14" t="str">
        <f>HYPERLINK(CONCAT("http://leetcode.com/problems/",Github!C$231), Github!B$231)</f>
        <v>Kth Smallest Element in a BST</v>
      </c>
      <c r="C102" s="13">
        <f>Github!F$231</f>
        <v>9002</v>
      </c>
      <c r="D102" s="13">
        <f>Github!G$231</f>
        <v>160</v>
      </c>
      <c r="E102" s="13">
        <f>Github!F$231+Github!G$231</f>
        <v>9162</v>
      </c>
      <c r="F102" s="15">
        <f t="shared" si="1"/>
        <v>56.26</v>
      </c>
      <c r="G102" s="13" t="str">
        <f>ROUND(Github!O$231, 2)&amp;"%"</f>
        <v>69.63%</v>
      </c>
      <c r="H102" s="13" t="str">
        <f>Github!H$231</f>
        <v>Algorithms</v>
      </c>
      <c r="I102" s="16" t="str">
        <f>SUBSTITUTE(Github!L$231, ";", ", ")</f>
        <v>Tree, Depth-First Search, Binary Search Tree, Binary Tree, </v>
      </c>
      <c r="J102" s="13" t="str">
        <f>Github!E$231</f>
        <v>Medium</v>
      </c>
      <c r="K102" s="13" t="str">
        <f>IF(TRIM(Github!D$231)="TRUE","FALSE","TRUE")</f>
        <v>TRUE</v>
      </c>
      <c r="L102" s="13" t="b">
        <f>Github!M$231</f>
        <v>1</v>
      </c>
      <c r="M102" s="13" t="b">
        <f>Github!N$231</f>
        <v>0</v>
      </c>
      <c r="N102" s="13">
        <f>Github!P$231</f>
        <v>1003793</v>
      </c>
      <c r="O102" s="13">
        <f>Github!Q$231</f>
        <v>1441668</v>
      </c>
    </row>
    <row r="103">
      <c r="A103" s="13">
        <f>Github!J$764</f>
        <v>763</v>
      </c>
      <c r="B103" s="14" t="str">
        <f>HYPERLINK(CONCAT("http://leetcode.com/problems/",Github!C$764), Github!B$764)</f>
        <v>Partition Labels</v>
      </c>
      <c r="C103" s="13">
        <f>Github!F$764</f>
        <v>8962</v>
      </c>
      <c r="D103" s="13">
        <f>Github!G$764</f>
        <v>340</v>
      </c>
      <c r="E103" s="13">
        <f>Github!F$764+Github!G$764</f>
        <v>9302</v>
      </c>
      <c r="F103" s="15">
        <f t="shared" si="1"/>
        <v>26.36</v>
      </c>
      <c r="G103" s="13" t="str">
        <f>ROUND(Github!O$764, 2)&amp;"%"</f>
        <v>79.8%</v>
      </c>
      <c r="H103" s="13" t="str">
        <f>Github!H$764</f>
        <v>Algorithms</v>
      </c>
      <c r="I103" s="16" t="str">
        <f>SUBSTITUTE(Github!L$764, ";", ", ")</f>
        <v>Hash Table, Two Pointers, String, Greedy, </v>
      </c>
      <c r="J103" s="13" t="str">
        <f>Github!E$764</f>
        <v>Medium</v>
      </c>
      <c r="K103" s="13" t="str">
        <f>IF(TRIM(Github!D$764)="TRUE","FALSE","TRUE")</f>
        <v>TRUE</v>
      </c>
      <c r="L103" s="13" t="b">
        <f>Github!M$764</f>
        <v>1</v>
      </c>
      <c r="M103" s="13" t="b">
        <f>Github!N$764</f>
        <v>0</v>
      </c>
      <c r="N103" s="13">
        <f>Github!P$764</f>
        <v>443533</v>
      </c>
      <c r="O103" s="13">
        <f>Github!Q$764</f>
        <v>555807</v>
      </c>
    </row>
    <row r="104">
      <c r="A104" s="13">
        <f>Github!J$132</f>
        <v>131</v>
      </c>
      <c r="B104" s="14" t="str">
        <f>HYPERLINK(CONCAT("http://leetcode.com/problems/",Github!C$132), Github!B$132)</f>
        <v>Palindrome Partitioning</v>
      </c>
      <c r="C104" s="13">
        <f>Github!F$132</f>
        <v>8966</v>
      </c>
      <c r="D104" s="13">
        <f>Github!G$132</f>
        <v>284</v>
      </c>
      <c r="E104" s="13">
        <f>Github!F$132+Github!G$132</f>
        <v>9250</v>
      </c>
      <c r="F104" s="15">
        <f t="shared" si="1"/>
        <v>31.57</v>
      </c>
      <c r="G104" s="13" t="str">
        <f>ROUND(Github!O$132, 2)&amp;"%"</f>
        <v>62.82%</v>
      </c>
      <c r="H104" s="13" t="str">
        <f>Github!H$132</f>
        <v>Algorithms</v>
      </c>
      <c r="I104" s="16" t="str">
        <f>SUBSTITUTE(Github!L$132, ";", ", ")</f>
        <v>String, Dynamic Programming, Backtracking, </v>
      </c>
      <c r="J104" s="13" t="str">
        <f>Github!E$132</f>
        <v>Medium</v>
      </c>
      <c r="K104" s="13" t="str">
        <f>IF(TRIM(Github!D$132)="TRUE","FALSE","TRUE")</f>
        <v>TRUE</v>
      </c>
      <c r="L104" s="13" t="b">
        <f>Github!M$132</f>
        <v>1</v>
      </c>
      <c r="M104" s="13" t="b">
        <f>Github!N$132</f>
        <v>0</v>
      </c>
      <c r="N104" s="13">
        <f>Github!P$132</f>
        <v>552544</v>
      </c>
      <c r="O104" s="13">
        <f>Github!Q$132</f>
        <v>879614</v>
      </c>
    </row>
    <row r="105">
      <c r="A105" s="13">
        <f>Github!J$280</f>
        <v>279</v>
      </c>
      <c r="B105" s="14" t="str">
        <f>HYPERLINK(CONCAT("http://leetcode.com/problems/",Github!C$280), Github!B$280)</f>
        <v>Perfect Squares</v>
      </c>
      <c r="C105" s="13">
        <f>Github!F$280</f>
        <v>8898</v>
      </c>
      <c r="D105" s="13">
        <f>Github!G$280</f>
        <v>388</v>
      </c>
      <c r="E105" s="13">
        <f>Github!F$280+Github!G$280</f>
        <v>9286</v>
      </c>
      <c r="F105" s="15">
        <f t="shared" si="1"/>
        <v>22.93</v>
      </c>
      <c r="G105" s="13" t="str">
        <f>ROUND(Github!O$280, 2)&amp;"%"</f>
        <v>52.58%</v>
      </c>
      <c r="H105" s="13" t="str">
        <f>Github!H$280</f>
        <v>Algorithms</v>
      </c>
      <c r="I105" s="16" t="str">
        <f>SUBSTITUTE(Github!L$280, ";", ", ")</f>
        <v>Math, Dynamic Programming, Breadth-First Search, </v>
      </c>
      <c r="J105" s="13" t="str">
        <f>Github!E$280</f>
        <v>Medium</v>
      </c>
      <c r="K105" s="13" t="str">
        <f>IF(TRIM(Github!D$280)="TRUE","FALSE","TRUE")</f>
        <v>TRUE</v>
      </c>
      <c r="L105" s="13" t="b">
        <f>Github!M$280</f>
        <v>1</v>
      </c>
      <c r="M105" s="13" t="b">
        <f>Github!N$280</f>
        <v>0</v>
      </c>
      <c r="N105" s="13">
        <f>Github!P$280</f>
        <v>634068</v>
      </c>
      <c r="O105" s="13">
        <f>Github!Q$280</f>
        <v>1205874</v>
      </c>
    </row>
    <row r="106">
      <c r="A106" s="13">
        <f>Github!J$149</f>
        <v>148</v>
      </c>
      <c r="B106" s="14" t="str">
        <f>HYPERLINK(CONCAT("http://leetcode.com/problems/",Github!C$149), Github!B$149)</f>
        <v>Sort List</v>
      </c>
      <c r="C106" s="13">
        <f>Github!F$149</f>
        <v>8918</v>
      </c>
      <c r="D106" s="13">
        <f>Github!G$149</f>
        <v>273</v>
      </c>
      <c r="E106" s="13">
        <f>Github!F$149+Github!G$149</f>
        <v>9191</v>
      </c>
      <c r="F106" s="15">
        <f t="shared" si="1"/>
        <v>32.67</v>
      </c>
      <c r="G106" s="13" t="str">
        <f>ROUND(Github!O$149, 2)&amp;"%"</f>
        <v>54.5%</v>
      </c>
      <c r="H106" s="13" t="str">
        <f>Github!H$149</f>
        <v>Algorithms</v>
      </c>
      <c r="I106" s="16" t="str">
        <f>SUBSTITUTE(Github!L$149, ";", ", ")</f>
        <v>Linked List, Two Pointers, Divide and Conquer, Sorting, Merge Sort, </v>
      </c>
      <c r="J106" s="13" t="str">
        <f>Github!E$149</f>
        <v>Medium</v>
      </c>
      <c r="K106" s="13" t="str">
        <f>IF(TRIM(Github!D$149)="TRUE","FALSE","TRUE")</f>
        <v>TRUE</v>
      </c>
      <c r="L106" s="13" t="b">
        <f>Github!M$149</f>
        <v>1</v>
      </c>
      <c r="M106" s="13" t="b">
        <f>Github!N$149</f>
        <v>0</v>
      </c>
      <c r="N106" s="13">
        <f>Github!P$149</f>
        <v>585666</v>
      </c>
      <c r="O106" s="13">
        <f>Github!Q$149</f>
        <v>1074711</v>
      </c>
    </row>
    <row r="107">
      <c r="A107" s="13">
        <f>Github!J$109</f>
        <v>108</v>
      </c>
      <c r="B107" s="14" t="str">
        <f>HYPERLINK(CONCAT("http://leetcode.com/problems/",Github!C$109), Github!B$109)</f>
        <v>Convert Sorted Array to Binary Search Tree</v>
      </c>
      <c r="C107" s="13">
        <f>Github!F$109</f>
        <v>8837</v>
      </c>
      <c r="D107" s="13">
        <f>Github!G$109</f>
        <v>445</v>
      </c>
      <c r="E107" s="13">
        <f>Github!F$109+Github!G$109</f>
        <v>9282</v>
      </c>
      <c r="F107" s="15">
        <f t="shared" si="1"/>
        <v>19.86</v>
      </c>
      <c r="G107" s="13" t="str">
        <f>ROUND(Github!O$109, 2)&amp;"%"</f>
        <v>69.34%</v>
      </c>
      <c r="H107" s="13" t="str">
        <f>Github!H$109</f>
        <v>Algorithms</v>
      </c>
      <c r="I107" s="16" t="str">
        <f>SUBSTITUTE(Github!L$109, ";", ", ")</f>
        <v>Array, Divide and Conquer, Tree, Binary Search Tree, Binary Tree, </v>
      </c>
      <c r="J107" s="13" t="str">
        <f>Github!E$109</f>
        <v>Easy</v>
      </c>
      <c r="K107" s="13" t="str">
        <f>IF(TRIM(Github!D$109)="TRUE","FALSE","TRUE")</f>
        <v>TRUE</v>
      </c>
      <c r="L107" s="13" t="b">
        <f>Github!M$109</f>
        <v>1</v>
      </c>
      <c r="M107" s="13" t="b">
        <f>Github!N$109</f>
        <v>0</v>
      </c>
      <c r="N107" s="13">
        <f>Github!P$109</f>
        <v>925105</v>
      </c>
      <c r="O107" s="13">
        <f>Github!Q$109</f>
        <v>1334099</v>
      </c>
    </row>
    <row r="108">
      <c r="A108" s="13">
        <f>Github!J$25</f>
        <v>24</v>
      </c>
      <c r="B108" s="14" t="str">
        <f>HYPERLINK(CONCAT("http://leetcode.com/problems/",Github!C$25), Github!B$25)</f>
        <v>Swap Nodes in Pairs</v>
      </c>
      <c r="C108" s="13">
        <f>Github!F$25</f>
        <v>8820</v>
      </c>
      <c r="D108" s="13">
        <f>Github!G$25</f>
        <v>346</v>
      </c>
      <c r="E108" s="13">
        <f>Github!F$25+Github!G$25</f>
        <v>9166</v>
      </c>
      <c r="F108" s="15">
        <f t="shared" si="1"/>
        <v>25.49</v>
      </c>
      <c r="G108" s="13" t="str">
        <f>ROUND(Github!O$25, 2)&amp;"%"</f>
        <v>60.75%</v>
      </c>
      <c r="H108" s="13" t="str">
        <f>Github!H$25</f>
        <v>Algorithms</v>
      </c>
      <c r="I108" s="16" t="str">
        <f>SUBSTITUTE(Github!L$25, ";", ", ")</f>
        <v>Linked List, Recursion, </v>
      </c>
      <c r="J108" s="13" t="str">
        <f>Github!E$25</f>
        <v>Medium</v>
      </c>
      <c r="K108" s="13" t="str">
        <f>IF(TRIM(Github!D$25)="TRUE","FALSE","TRUE")</f>
        <v>TRUE</v>
      </c>
      <c r="L108" s="13" t="b">
        <f>Github!M$25</f>
        <v>1</v>
      </c>
      <c r="M108" s="13" t="b">
        <f>Github!N$25</f>
        <v>0</v>
      </c>
      <c r="N108" s="13">
        <f>Github!P$25</f>
        <v>1022509</v>
      </c>
      <c r="O108" s="13">
        <f>Github!Q$25</f>
        <v>1683086</v>
      </c>
    </row>
    <row r="109">
      <c r="A109" s="13">
        <f>Github!J$209</f>
        <v>208</v>
      </c>
      <c r="B109" s="14" t="str">
        <f>HYPERLINK(CONCAT("http://leetcode.com/problems/",Github!C$209), Github!B$209)</f>
        <v>Implement Trie (Prefix Tree)</v>
      </c>
      <c r="C109" s="13">
        <f>Github!F$209</f>
        <v>8749</v>
      </c>
      <c r="D109" s="13">
        <f>Github!G$209</f>
        <v>106</v>
      </c>
      <c r="E109" s="13">
        <f>Github!F$209+Github!G$209</f>
        <v>8855</v>
      </c>
      <c r="F109" s="15">
        <f t="shared" si="1"/>
        <v>82.54</v>
      </c>
      <c r="G109" s="13" t="str">
        <f>ROUND(Github!O$209, 2)&amp;"%"</f>
        <v>61.24%</v>
      </c>
      <c r="H109" s="13" t="str">
        <f>Github!H$209</f>
        <v>Algorithms</v>
      </c>
      <c r="I109" s="16" t="str">
        <f>SUBSTITUTE(Github!L$209, ";", ", ")</f>
        <v>Hash Table, String, Design, Trie, </v>
      </c>
      <c r="J109" s="13" t="str">
        <f>Github!E$209</f>
        <v>Medium</v>
      </c>
      <c r="K109" s="13" t="str">
        <f>IF(TRIM(Github!D$209)="TRUE","FALSE","TRUE")</f>
        <v>TRUE</v>
      </c>
      <c r="L109" s="13" t="b">
        <f>Github!M$209</f>
        <v>1</v>
      </c>
      <c r="M109" s="13" t="b">
        <f>Github!N$209</f>
        <v>0</v>
      </c>
      <c r="N109" s="13">
        <f>Github!P$209</f>
        <v>719581</v>
      </c>
      <c r="O109" s="13">
        <f>Github!Q$209</f>
        <v>1174934</v>
      </c>
    </row>
    <row r="110">
      <c r="A110" s="13">
        <f>Github!J$119</f>
        <v>118</v>
      </c>
      <c r="B110" s="14" t="str">
        <f>HYPERLINK(CONCAT("http://leetcode.com/problems/",Github!C$119), Github!B$119)</f>
        <v>Pascal's Triangle</v>
      </c>
      <c r="C110" s="13">
        <f>Github!F$119</f>
        <v>8795</v>
      </c>
      <c r="D110" s="13">
        <f>Github!G$119</f>
        <v>289</v>
      </c>
      <c r="E110" s="13">
        <f>Github!F$119+Github!G$119</f>
        <v>9084</v>
      </c>
      <c r="F110" s="15">
        <f t="shared" si="1"/>
        <v>30.43</v>
      </c>
      <c r="G110" s="13" t="str">
        <f>ROUND(Github!O$119, 2)&amp;"%"</f>
        <v>69.74%</v>
      </c>
      <c r="H110" s="13" t="str">
        <f>Github!H$119</f>
        <v>Algorithms</v>
      </c>
      <c r="I110" s="16" t="str">
        <f>SUBSTITUTE(Github!L$119, ";", ", ")</f>
        <v>Array, Dynamic Programming, </v>
      </c>
      <c r="J110" s="13" t="str">
        <f>Github!E$119</f>
        <v>Easy</v>
      </c>
      <c r="K110" s="13" t="str">
        <f>IF(TRIM(Github!D$119)="TRUE","FALSE","TRUE")</f>
        <v>TRUE</v>
      </c>
      <c r="L110" s="13" t="b">
        <f>Github!M$119</f>
        <v>1</v>
      </c>
      <c r="M110" s="13" t="b">
        <f>Github!N$119</f>
        <v>1</v>
      </c>
      <c r="N110" s="13">
        <f>Github!P$119</f>
        <v>1095072</v>
      </c>
      <c r="O110" s="13">
        <f>Github!Q$119</f>
        <v>1570191</v>
      </c>
    </row>
    <row r="111">
      <c r="A111" s="13">
        <f>Github!J$89</f>
        <v>88</v>
      </c>
      <c r="B111" s="14" t="str">
        <f>HYPERLINK(CONCAT("http://leetcode.com/problems/",Github!C$89), Github!B$89)</f>
        <v>Merge Sorted Array</v>
      </c>
      <c r="C111" s="13">
        <f>Github!F$89</f>
        <v>8801</v>
      </c>
      <c r="D111" s="13">
        <f>Github!G$89</f>
        <v>806</v>
      </c>
      <c r="E111" s="13">
        <f>Github!F$89+Github!G$89</f>
        <v>9607</v>
      </c>
      <c r="F111" s="15">
        <f t="shared" si="1"/>
        <v>10.92</v>
      </c>
      <c r="G111" s="13" t="str">
        <f>ROUND(Github!O$89, 2)&amp;"%"</f>
        <v>46.04%</v>
      </c>
      <c r="H111" s="13" t="str">
        <f>Github!H$89</f>
        <v>Algorithms</v>
      </c>
      <c r="I111" s="16" t="str">
        <f>SUBSTITUTE(Github!L$89, ";", ", ")</f>
        <v>Array, Two Pointers, Sorting, </v>
      </c>
      <c r="J111" s="13" t="str">
        <f>Github!E$89</f>
        <v>Easy</v>
      </c>
      <c r="K111" s="13" t="str">
        <f>IF(TRIM(Github!D$89)="TRUE","FALSE","TRUE")</f>
        <v>TRUE</v>
      </c>
      <c r="L111" s="13" t="b">
        <f>Github!M$89</f>
        <v>1</v>
      </c>
      <c r="M111" s="13" t="b">
        <f>Github!N$89</f>
        <v>1</v>
      </c>
      <c r="N111" s="13">
        <f>Github!P$89</f>
        <v>1820565</v>
      </c>
      <c r="O111" s="13">
        <f>Github!Q$89</f>
        <v>3954740</v>
      </c>
    </row>
    <row r="112">
      <c r="A112" s="13">
        <f>Github!J$97</f>
        <v>96</v>
      </c>
      <c r="B112" s="14" t="str">
        <f>HYPERLINK(CONCAT("http://leetcode.com/problems/",Github!C$97), Github!B$97)</f>
        <v>Unique Binary Search Trees</v>
      </c>
      <c r="C112" s="13">
        <f>Github!F$97</f>
        <v>8582</v>
      </c>
      <c r="D112" s="13">
        <f>Github!G$97</f>
        <v>341</v>
      </c>
      <c r="E112" s="13">
        <f>Github!F$97+Github!G$97</f>
        <v>8923</v>
      </c>
      <c r="F112" s="15">
        <f t="shared" si="1"/>
        <v>25.17</v>
      </c>
      <c r="G112" s="13" t="str">
        <f>ROUND(Github!O$97, 2)&amp;"%"</f>
        <v>59.4%</v>
      </c>
      <c r="H112" s="13" t="str">
        <f>Github!H$97</f>
        <v>Algorithms</v>
      </c>
      <c r="I112" s="16" t="str">
        <f>SUBSTITUTE(Github!L$97, ";", ", ")</f>
        <v>Math, Dynamic Programming, Tree, Binary Search Tree, Binary Tree, </v>
      </c>
      <c r="J112" s="13" t="str">
        <f>Github!E$97</f>
        <v>Medium</v>
      </c>
      <c r="K112" s="13" t="str">
        <f>IF(TRIM(Github!D$97)="TRUE","FALSE","TRUE")</f>
        <v>TRUE</v>
      </c>
      <c r="L112" s="13" t="b">
        <f>Github!M$97</f>
        <v>1</v>
      </c>
      <c r="M112" s="13" t="b">
        <f>Github!N$97</f>
        <v>0</v>
      </c>
      <c r="N112" s="13">
        <f>Github!P$97</f>
        <v>544673</v>
      </c>
      <c r="O112" s="13">
        <f>Github!Q$97</f>
        <v>916966</v>
      </c>
    </row>
    <row r="113">
      <c r="A113" s="13">
        <f>Github!J$495</f>
        <v>494</v>
      </c>
      <c r="B113" s="14" t="str">
        <f>HYPERLINK(CONCAT("http://leetcode.com/problems/",Github!C$495), Github!B$495)</f>
        <v>Target Sum</v>
      </c>
      <c r="C113" s="13">
        <f>Github!F$495</f>
        <v>8570</v>
      </c>
      <c r="D113" s="13">
        <f>Github!G$495</f>
        <v>305</v>
      </c>
      <c r="E113" s="13">
        <f>Github!F$495+Github!G$495</f>
        <v>8875</v>
      </c>
      <c r="F113" s="15">
        <f t="shared" si="1"/>
        <v>28.1</v>
      </c>
      <c r="G113" s="13" t="str">
        <f>ROUND(Github!O$495, 2)&amp;"%"</f>
        <v>45.61%</v>
      </c>
      <c r="H113" s="13" t="str">
        <f>Github!H$495</f>
        <v>Algorithms</v>
      </c>
      <c r="I113" s="16" t="str">
        <f>SUBSTITUTE(Github!L$495, ";", ", ")</f>
        <v>Array, Dynamic Programming, Backtracking, </v>
      </c>
      <c r="J113" s="13" t="str">
        <f>Github!E$495</f>
        <v>Medium</v>
      </c>
      <c r="K113" s="13" t="str">
        <f>IF(TRIM(Github!D$495)="TRUE","FALSE","TRUE")</f>
        <v>TRUE</v>
      </c>
      <c r="L113" s="13" t="b">
        <f>Github!M$495</f>
        <v>1</v>
      </c>
      <c r="M113" s="13" t="b">
        <f>Github!N$495</f>
        <v>0</v>
      </c>
      <c r="N113" s="13">
        <f>Github!P$495</f>
        <v>428943</v>
      </c>
      <c r="O113" s="13">
        <f>Github!Q$495</f>
        <v>940444</v>
      </c>
    </row>
    <row r="114">
      <c r="A114" s="13">
        <f>Github!J$379</f>
        <v>378</v>
      </c>
      <c r="B114" s="14" t="str">
        <f>HYPERLINK(CONCAT("http://leetcode.com/problems/",Github!C$379), Github!B$379)</f>
        <v>Kth Smallest Element in a Sorted Matrix</v>
      </c>
      <c r="C114" s="13">
        <f>Github!F$379</f>
        <v>8522</v>
      </c>
      <c r="D114" s="13">
        <f>Github!G$379</f>
        <v>300</v>
      </c>
      <c r="E114" s="13">
        <f>Github!F$379+Github!G$379</f>
        <v>8822</v>
      </c>
      <c r="F114" s="15">
        <f t="shared" si="1"/>
        <v>28.41</v>
      </c>
      <c r="G114" s="13" t="str">
        <f>ROUND(Github!O$379, 2)&amp;"%"</f>
        <v>61.69%</v>
      </c>
      <c r="H114" s="13" t="str">
        <f>Github!H$379</f>
        <v>Algorithms</v>
      </c>
      <c r="I114" s="16" t="str">
        <f>SUBSTITUTE(Github!L$379, ";", ", ")</f>
        <v>Array, Binary Search, Sorting, Heap (Priority Queue), Matrix, </v>
      </c>
      <c r="J114" s="13" t="str">
        <f>Github!E$379</f>
        <v>Medium</v>
      </c>
      <c r="K114" s="13" t="str">
        <f>IF(TRIM(Github!D$379)="TRUE","FALSE","TRUE")</f>
        <v>TRUE</v>
      </c>
      <c r="L114" s="13" t="b">
        <f>Github!M$379</f>
        <v>1</v>
      </c>
      <c r="M114" s="13" t="b">
        <f>Github!N$379</f>
        <v>0</v>
      </c>
      <c r="N114" s="13">
        <f>Github!P$379</f>
        <v>512457</v>
      </c>
      <c r="O114" s="13">
        <f>Github!Q$379</f>
        <v>830684</v>
      </c>
    </row>
    <row r="115">
      <c r="A115" s="13">
        <f>Github!J$747</f>
        <v>746</v>
      </c>
      <c r="B115" s="14" t="str">
        <f>HYPERLINK(CONCAT("http://leetcode.com/problems/",Github!C$747), Github!B$747)</f>
        <v>Min Cost Climbing Stairs</v>
      </c>
      <c r="C115" s="13">
        <f>Github!F$747</f>
        <v>8560</v>
      </c>
      <c r="D115" s="13">
        <f>Github!G$747</f>
        <v>1341</v>
      </c>
      <c r="E115" s="13">
        <f>Github!F$747+Github!G$747</f>
        <v>9901</v>
      </c>
      <c r="F115" s="15">
        <f t="shared" si="1"/>
        <v>6.38</v>
      </c>
      <c r="G115" s="13" t="str">
        <f>ROUND(Github!O$747, 2)&amp;"%"</f>
        <v>62.72%</v>
      </c>
      <c r="H115" s="13" t="str">
        <f>Github!H$747</f>
        <v>Algorithms</v>
      </c>
      <c r="I115" s="16" t="str">
        <f>SUBSTITUTE(Github!L$747, ";", ", ")</f>
        <v>Array, Dynamic Programming, </v>
      </c>
      <c r="J115" s="13" t="str">
        <f>Github!E$747</f>
        <v>Easy</v>
      </c>
      <c r="K115" s="13" t="str">
        <f>IF(TRIM(Github!D$747)="TRUE","FALSE","TRUE")</f>
        <v>TRUE</v>
      </c>
      <c r="L115" s="13" t="b">
        <f>Github!M$747</f>
        <v>1</v>
      </c>
      <c r="M115" s="13" t="b">
        <f>Github!N$747</f>
        <v>0</v>
      </c>
      <c r="N115" s="13">
        <f>Github!P$747</f>
        <v>724445</v>
      </c>
      <c r="O115" s="13">
        <f>Github!Q$747</f>
        <v>1155114</v>
      </c>
    </row>
    <row r="116">
      <c r="A116" s="13">
        <f>Github!J$236</f>
        <v>235</v>
      </c>
      <c r="B116" s="14" t="str">
        <f>HYPERLINK(CONCAT("http://leetcode.com/problems/",Github!C$236), Github!B$236)</f>
        <v>Lowest Common Ancestor of a Binary Search Tree</v>
      </c>
      <c r="C116" s="13">
        <f>Github!F$236</f>
        <v>8548</v>
      </c>
      <c r="D116" s="13">
        <f>Github!G$236</f>
        <v>245</v>
      </c>
      <c r="E116" s="13">
        <f>Github!F$236+Github!G$236</f>
        <v>8793</v>
      </c>
      <c r="F116" s="15">
        <f t="shared" si="1"/>
        <v>34.89</v>
      </c>
      <c r="G116" s="13" t="str">
        <f>ROUND(Github!O$236, 2)&amp;"%"</f>
        <v>60.66%</v>
      </c>
      <c r="H116" s="13" t="str">
        <f>Github!H$236</f>
        <v>Algorithms</v>
      </c>
      <c r="I116" s="16" t="str">
        <f>SUBSTITUTE(Github!L$236, ";", ", ")</f>
        <v>Tree, Depth-First Search, Binary Search Tree, Binary Tree, </v>
      </c>
      <c r="J116" s="13" t="str">
        <f>Github!E$236</f>
        <v>Medium</v>
      </c>
      <c r="K116" s="13" t="str">
        <f>IF(TRIM(Github!D$236)="TRUE","FALSE","TRUE")</f>
        <v>TRUE</v>
      </c>
      <c r="L116" s="13" t="b">
        <f>Github!M$236</f>
        <v>1</v>
      </c>
      <c r="M116" s="13" t="b">
        <f>Github!N$236</f>
        <v>0</v>
      </c>
      <c r="N116" s="13">
        <f>Github!P$236</f>
        <v>1075920</v>
      </c>
      <c r="O116" s="13">
        <f>Github!Q$236</f>
        <v>1773750</v>
      </c>
    </row>
    <row r="117">
      <c r="A117" s="13">
        <f>Github!J$648</f>
        <v>647</v>
      </c>
      <c r="B117" s="14" t="str">
        <f>HYPERLINK(CONCAT("http://leetcode.com/problems/",Github!C$648), Github!B$648)</f>
        <v>Palindromic Substrings</v>
      </c>
      <c r="C117" s="13">
        <f>Github!F$648</f>
        <v>8491</v>
      </c>
      <c r="D117" s="13">
        <f>Github!G$648</f>
        <v>183</v>
      </c>
      <c r="E117" s="13">
        <f>Github!F$648+Github!G$648</f>
        <v>8674</v>
      </c>
      <c r="F117" s="15">
        <f t="shared" si="1"/>
        <v>46.4</v>
      </c>
      <c r="G117" s="13" t="str">
        <f>ROUND(Github!O$648, 2)&amp;"%"</f>
        <v>66.54%</v>
      </c>
      <c r="H117" s="13" t="str">
        <f>Github!H$648</f>
        <v>Algorithms</v>
      </c>
      <c r="I117" s="16" t="str">
        <f>SUBSTITUTE(Github!L$648, ";", ", ")</f>
        <v>String, Dynamic Programming, </v>
      </c>
      <c r="J117" s="13" t="str">
        <f>Github!E$648</f>
        <v>Medium</v>
      </c>
      <c r="K117" s="13" t="str">
        <f>IF(TRIM(Github!D$648)="TRUE","FALSE","TRUE")</f>
        <v>TRUE</v>
      </c>
      <c r="L117" s="13" t="b">
        <f>Github!M$648</f>
        <v>1</v>
      </c>
      <c r="M117" s="13" t="b">
        <f>Github!N$648</f>
        <v>0</v>
      </c>
      <c r="N117" s="13">
        <f>Github!P$648</f>
        <v>536642</v>
      </c>
      <c r="O117" s="13">
        <f>Github!Q$648</f>
        <v>806439</v>
      </c>
    </row>
    <row r="118">
      <c r="A118" s="13">
        <f>Github!J$14</f>
        <v>13</v>
      </c>
      <c r="B118" s="14" t="str">
        <f>HYPERLINK(CONCAT("http://leetcode.com/problems/",Github!C$14), Github!B$14)</f>
        <v>Roman to Integer</v>
      </c>
      <c r="C118" s="13">
        <f>Github!F$14</f>
        <v>8608</v>
      </c>
      <c r="D118" s="13">
        <f>Github!G$14</f>
        <v>495</v>
      </c>
      <c r="E118" s="13">
        <f>Github!F$14+Github!G$14</f>
        <v>9103</v>
      </c>
      <c r="F118" s="15">
        <f t="shared" si="1"/>
        <v>17.39</v>
      </c>
      <c r="G118" s="13" t="str">
        <f>ROUND(Github!O$14, 2)&amp;"%"</f>
        <v>58.19%</v>
      </c>
      <c r="H118" s="13" t="str">
        <f>Github!H$14</f>
        <v>Algorithms</v>
      </c>
      <c r="I118" s="16" t="str">
        <f>SUBSTITUTE(Github!L$14, ";", ", ")</f>
        <v>Hash Table, Math, String, </v>
      </c>
      <c r="J118" s="13" t="str">
        <f>Github!E$14</f>
        <v>Easy</v>
      </c>
      <c r="K118" s="13" t="str">
        <f>IF(TRIM(Github!D$14)="TRUE","FALSE","TRUE")</f>
        <v>TRUE</v>
      </c>
      <c r="L118" s="13" t="b">
        <f>Github!M$14</f>
        <v>1</v>
      </c>
      <c r="M118" s="13" t="b">
        <f>Github!N$14</f>
        <v>0</v>
      </c>
      <c r="N118" s="13">
        <f>Github!P$14</f>
        <v>2321784</v>
      </c>
      <c r="O118" s="13">
        <f>Github!Q$14</f>
        <v>3990206</v>
      </c>
    </row>
    <row r="119">
      <c r="A119" s="13">
        <f>Github!J$93</f>
        <v>92</v>
      </c>
      <c r="B119" s="14" t="str">
        <f>HYPERLINK(CONCAT("http://leetcode.com/problems/",Github!C$93), Github!B$93)</f>
        <v>Reverse Linked List II</v>
      </c>
      <c r="C119" s="13">
        <f>Github!F$93</f>
        <v>8483</v>
      </c>
      <c r="D119" s="13">
        <f>Github!G$93</f>
        <v>379</v>
      </c>
      <c r="E119" s="13">
        <f>Github!F$93+Github!G$93</f>
        <v>8862</v>
      </c>
      <c r="F119" s="15">
        <f t="shared" si="1"/>
        <v>22.38</v>
      </c>
      <c r="G119" s="13" t="str">
        <f>ROUND(Github!O$93, 2)&amp;"%"</f>
        <v>45.41%</v>
      </c>
      <c r="H119" s="13" t="str">
        <f>Github!H$93</f>
        <v>Algorithms</v>
      </c>
      <c r="I119" s="16" t="str">
        <f>SUBSTITUTE(Github!L$93, ";", ", ")</f>
        <v>Linked List, </v>
      </c>
      <c r="J119" s="13" t="str">
        <f>Github!E$93</f>
        <v>Medium</v>
      </c>
      <c r="K119" s="13" t="str">
        <f>IF(TRIM(Github!D$93)="TRUE","FALSE","TRUE")</f>
        <v>TRUE</v>
      </c>
      <c r="L119" s="13" t="b">
        <f>Github!M$93</f>
        <v>1</v>
      </c>
      <c r="M119" s="13" t="b">
        <f>Github!N$93</f>
        <v>1</v>
      </c>
      <c r="N119" s="13">
        <f>Github!P$93</f>
        <v>599804</v>
      </c>
      <c r="O119" s="13">
        <f>Github!Q$93</f>
        <v>1321010</v>
      </c>
    </row>
    <row r="120">
      <c r="A120" s="13">
        <f>Github!J$210</f>
        <v>209</v>
      </c>
      <c r="B120" s="14" t="str">
        <f>HYPERLINK(CONCAT("http://leetcode.com/problems/",Github!C$210), Github!B$210)</f>
        <v>Minimum Size Subarray Sum</v>
      </c>
      <c r="C120" s="13">
        <f>Github!F$210</f>
        <v>8480</v>
      </c>
      <c r="D120" s="13">
        <f>Github!G$210</f>
        <v>234</v>
      </c>
      <c r="E120" s="13">
        <f>Github!F$210+Github!G$210</f>
        <v>8714</v>
      </c>
      <c r="F120" s="15">
        <f t="shared" si="1"/>
        <v>36.24</v>
      </c>
      <c r="G120" s="13" t="str">
        <f>ROUND(Github!O$210, 2)&amp;"%"</f>
        <v>44.66%</v>
      </c>
      <c r="H120" s="13" t="str">
        <f>Github!H$210</f>
        <v>Algorithms</v>
      </c>
      <c r="I120" s="16" t="str">
        <f>SUBSTITUTE(Github!L$210, ";", ", ")</f>
        <v>Array, Binary Search, Sliding Window, Prefix Sum, </v>
      </c>
      <c r="J120" s="13" t="str">
        <f>Github!E$210</f>
        <v>Medium</v>
      </c>
      <c r="K120" s="13" t="str">
        <f>IF(TRIM(Github!D$210)="TRUE","FALSE","TRUE")</f>
        <v>TRUE</v>
      </c>
      <c r="L120" s="13" t="b">
        <f>Github!M$210</f>
        <v>1</v>
      </c>
      <c r="M120" s="13" t="b">
        <f>Github!N$210</f>
        <v>0</v>
      </c>
      <c r="N120" s="13">
        <f>Github!P$210</f>
        <v>644399</v>
      </c>
      <c r="O120" s="13">
        <f>Github!Q$210</f>
        <v>1442944</v>
      </c>
    </row>
    <row r="121">
      <c r="A121" s="13">
        <f>Github!J$168</f>
        <v>167</v>
      </c>
      <c r="B121" s="14" t="str">
        <f>HYPERLINK(CONCAT("http://leetcode.com/problems/",Github!C$168), Github!B$168)</f>
        <v>Two Sum II - Input Array Is Sorted</v>
      </c>
      <c r="C121" s="13">
        <f>Github!F$168</f>
        <v>8480</v>
      </c>
      <c r="D121" s="13">
        <f>Github!G$168</f>
        <v>1138</v>
      </c>
      <c r="E121" s="13">
        <f>Github!F$168+Github!G$168</f>
        <v>9618</v>
      </c>
      <c r="F121" s="15">
        <f t="shared" si="1"/>
        <v>7.45</v>
      </c>
      <c r="G121" s="13" t="str">
        <f>ROUND(Github!O$168, 2)&amp;"%"</f>
        <v>60.05%</v>
      </c>
      <c r="H121" s="13" t="str">
        <f>Github!H$168</f>
        <v>Algorithms</v>
      </c>
      <c r="I121" s="16" t="str">
        <f>SUBSTITUTE(Github!L$168, ";", ", ")</f>
        <v>Array, Two Pointers, Binary Search, </v>
      </c>
      <c r="J121" s="13" t="str">
        <f>Github!E$168</f>
        <v>Medium</v>
      </c>
      <c r="K121" s="13" t="str">
        <f>IF(TRIM(Github!D$168)="TRUE","FALSE","TRUE")</f>
        <v>TRUE</v>
      </c>
      <c r="L121" s="13" t="b">
        <f>Github!M$168</f>
        <v>1</v>
      </c>
      <c r="M121" s="13" t="b">
        <f>Github!N$168</f>
        <v>0</v>
      </c>
      <c r="N121" s="13">
        <f>Github!P$168</f>
        <v>1323182</v>
      </c>
      <c r="O121" s="13">
        <f>Github!Q$168</f>
        <v>2203573</v>
      </c>
    </row>
    <row r="122">
      <c r="A122" s="13">
        <f>Github!J$211</f>
        <v>210</v>
      </c>
      <c r="B122" s="14" t="str">
        <f>HYPERLINK(CONCAT("http://leetcode.com/problems/",Github!C$211), Github!B$211)</f>
        <v>Course Schedule II</v>
      </c>
      <c r="C122" s="13">
        <f>Github!F$211</f>
        <v>8447</v>
      </c>
      <c r="D122" s="13">
        <f>Github!G$211</f>
        <v>276</v>
      </c>
      <c r="E122" s="13">
        <f>Github!F$211+Github!G$211</f>
        <v>8723</v>
      </c>
      <c r="F122" s="15">
        <f t="shared" si="1"/>
        <v>30.61</v>
      </c>
      <c r="G122" s="13" t="str">
        <f>ROUND(Github!O$211, 2)&amp;"%"</f>
        <v>48.19%</v>
      </c>
      <c r="H122" s="13" t="str">
        <f>Github!H$211</f>
        <v>Algorithms</v>
      </c>
      <c r="I122" s="16" t="str">
        <f>SUBSTITUTE(Github!L$211, ";", ", ")</f>
        <v>Depth-First Search, Breadth-First Search, Graph, Topological Sort, </v>
      </c>
      <c r="J122" s="13" t="str">
        <f>Github!E$211</f>
        <v>Medium</v>
      </c>
      <c r="K122" s="13" t="str">
        <f>IF(TRIM(Github!D$211)="TRUE","FALSE","TRUE")</f>
        <v>TRUE</v>
      </c>
      <c r="L122" s="13" t="b">
        <f>Github!M$211</f>
        <v>1</v>
      </c>
      <c r="M122" s="13" t="b">
        <f>Github!N$211</f>
        <v>0</v>
      </c>
      <c r="N122" s="13">
        <f>Github!P$211</f>
        <v>765098</v>
      </c>
      <c r="O122" s="13">
        <f>Github!Q$211</f>
        <v>1587678</v>
      </c>
    </row>
    <row r="123">
      <c r="A123" s="13">
        <f>Github!J$696</f>
        <v>695</v>
      </c>
      <c r="B123" s="14" t="str">
        <f>HYPERLINK(CONCAT("http://leetcode.com/problems/",Github!C$696), Github!B$696)</f>
        <v>Max Area of Island</v>
      </c>
      <c r="C123" s="13">
        <f>Github!F$696</f>
        <v>8423</v>
      </c>
      <c r="D123" s="13">
        <f>Github!G$696</f>
        <v>185</v>
      </c>
      <c r="E123" s="13">
        <f>Github!F$696+Github!G$696</f>
        <v>8608</v>
      </c>
      <c r="F123" s="15">
        <f t="shared" si="1"/>
        <v>45.53</v>
      </c>
      <c r="G123" s="13" t="str">
        <f>ROUND(Github!O$696, 2)&amp;"%"</f>
        <v>71.72%</v>
      </c>
      <c r="H123" s="13" t="str">
        <f>Github!H$696</f>
        <v>Algorithms</v>
      </c>
      <c r="I123" s="16" t="str">
        <f>SUBSTITUTE(Github!L$696, ";", ", ")</f>
        <v>Array, Depth-First Search, Breadth-First Search, Union Find, Matrix, </v>
      </c>
      <c r="J123" s="13" t="str">
        <f>Github!E$696</f>
        <v>Medium</v>
      </c>
      <c r="K123" s="13" t="str">
        <f>IF(TRIM(Github!D$696)="TRUE","FALSE","TRUE")</f>
        <v>TRUE</v>
      </c>
      <c r="L123" s="13" t="b">
        <f>Github!M$696</f>
        <v>1</v>
      </c>
      <c r="M123" s="13" t="b">
        <f>Github!N$696</f>
        <v>0</v>
      </c>
      <c r="N123" s="13">
        <f>Github!P$696</f>
        <v>659388</v>
      </c>
      <c r="O123" s="13">
        <f>Github!Q$696</f>
        <v>919415</v>
      </c>
    </row>
    <row r="124">
      <c r="A124" s="13">
        <f>Github!J$222</f>
        <v>221</v>
      </c>
      <c r="B124" s="14" t="str">
        <f>HYPERLINK(CONCAT("http://leetcode.com/problems/",Github!C$222), Github!B$222)</f>
        <v>Maximal Square</v>
      </c>
      <c r="C124" s="13">
        <f>Github!F$222</f>
        <v>8385</v>
      </c>
      <c r="D124" s="13">
        <f>Github!G$222</f>
        <v>180</v>
      </c>
      <c r="E124" s="13">
        <f>Github!F$222+Github!G$222</f>
        <v>8565</v>
      </c>
      <c r="F124" s="15">
        <f t="shared" si="1"/>
        <v>46.58</v>
      </c>
      <c r="G124" s="13" t="str">
        <f>ROUND(Github!O$222, 2)&amp;"%"</f>
        <v>44.69%</v>
      </c>
      <c r="H124" s="13" t="str">
        <f>Github!H$222</f>
        <v>Algorithms</v>
      </c>
      <c r="I124" s="16" t="str">
        <f>SUBSTITUTE(Github!L$222, ";", ", ")</f>
        <v>Array, Dynamic Programming, Matrix, </v>
      </c>
      <c r="J124" s="13" t="str">
        <f>Github!E$222</f>
        <v>Medium</v>
      </c>
      <c r="K124" s="13" t="str">
        <f>IF(TRIM(Github!D$222)="TRUE","FALSE","TRUE")</f>
        <v>TRUE</v>
      </c>
      <c r="L124" s="13" t="b">
        <f>Github!M$222</f>
        <v>1</v>
      </c>
      <c r="M124" s="13" t="b">
        <f>Github!N$222</f>
        <v>0</v>
      </c>
      <c r="N124" s="13">
        <f>Github!P$222</f>
        <v>557614</v>
      </c>
      <c r="O124" s="13">
        <f>Github!Q$222</f>
        <v>1247612</v>
      </c>
    </row>
    <row r="125">
      <c r="A125" s="13">
        <f>Github!J$17</f>
        <v>16</v>
      </c>
      <c r="B125" s="14" t="str">
        <f>HYPERLINK(CONCAT("http://leetcode.com/problems/",Github!C$17), Github!B$17)</f>
        <v>3Sum Closest</v>
      </c>
      <c r="C125" s="13">
        <f>Github!F$17</f>
        <v>8389</v>
      </c>
      <c r="D125" s="13">
        <f>Github!G$17</f>
        <v>462</v>
      </c>
      <c r="E125" s="13">
        <f>Github!F$17+Github!G$17</f>
        <v>8851</v>
      </c>
      <c r="F125" s="15">
        <f t="shared" si="1"/>
        <v>18.16</v>
      </c>
      <c r="G125" s="13" t="str">
        <f>ROUND(Github!O$17, 2)&amp;"%"</f>
        <v>46.03%</v>
      </c>
      <c r="H125" s="13" t="str">
        <f>Github!H$17</f>
        <v>Algorithms</v>
      </c>
      <c r="I125" s="16" t="str">
        <f>SUBSTITUTE(Github!L$17, ";", ", ")</f>
        <v>Array, Two Pointers, Sorting, </v>
      </c>
      <c r="J125" s="13" t="str">
        <f>Github!E$17</f>
        <v>Medium</v>
      </c>
      <c r="K125" s="13" t="str">
        <f>IF(TRIM(Github!D$17)="TRUE","FALSE","TRUE")</f>
        <v>TRUE</v>
      </c>
      <c r="L125" s="13" t="b">
        <f>Github!M$17</f>
        <v>1</v>
      </c>
      <c r="M125" s="13" t="b">
        <f>Github!N$17</f>
        <v>0</v>
      </c>
      <c r="N125" s="13">
        <f>Github!P$17</f>
        <v>972224</v>
      </c>
      <c r="O125" s="13">
        <f>Github!Q$17</f>
        <v>2112045</v>
      </c>
    </row>
    <row r="126">
      <c r="A126" s="13">
        <f>Github!J$877</f>
        <v>876</v>
      </c>
      <c r="B126" s="14" t="str">
        <f>HYPERLINK(CONCAT("http://leetcode.com/problems/",Github!C$877), Github!B$877)</f>
        <v>Middle of the Linked List</v>
      </c>
      <c r="C126" s="13">
        <f>Github!F$877</f>
        <v>8399</v>
      </c>
      <c r="D126" s="13">
        <f>Github!G$877</f>
        <v>235</v>
      </c>
      <c r="E126" s="13">
        <f>Github!F$877+Github!G$877</f>
        <v>8634</v>
      </c>
      <c r="F126" s="15">
        <f t="shared" si="1"/>
        <v>35.74</v>
      </c>
      <c r="G126" s="13" t="str">
        <f>ROUND(Github!O$877, 2)&amp;"%"</f>
        <v>74.81%</v>
      </c>
      <c r="H126" s="13" t="str">
        <f>Github!H$877</f>
        <v>Algorithms</v>
      </c>
      <c r="I126" s="16" t="str">
        <f>SUBSTITUTE(Github!L$877, ";", ", ")</f>
        <v>Linked List, Two Pointers, </v>
      </c>
      <c r="J126" s="13" t="str">
        <f>Github!E$877</f>
        <v>Easy</v>
      </c>
      <c r="K126" s="13" t="str">
        <f>IF(TRIM(Github!D$877)="TRUE","FALSE","TRUE")</f>
        <v>TRUE</v>
      </c>
      <c r="L126" s="13" t="b">
        <f>Github!M$877</f>
        <v>1</v>
      </c>
      <c r="M126" s="13" t="b">
        <f>Github!N$877</f>
        <v>1</v>
      </c>
      <c r="N126" s="13">
        <f>Github!P$877</f>
        <v>1128775</v>
      </c>
      <c r="O126" s="13">
        <f>Github!Q$877</f>
        <v>1508883</v>
      </c>
    </row>
    <row r="127">
      <c r="A127" s="13">
        <f>Github!J$19</f>
        <v>18</v>
      </c>
      <c r="B127" s="14" t="str">
        <f>HYPERLINK(CONCAT("http://leetcode.com/problems/",Github!C$19), Github!B$19)</f>
        <v>4Sum</v>
      </c>
      <c r="C127" s="13">
        <f>Github!F$19</f>
        <v>8361</v>
      </c>
      <c r="D127" s="13">
        <f>Github!G$19</f>
        <v>973</v>
      </c>
      <c r="E127" s="13">
        <f>Github!F$19+Github!G$19</f>
        <v>9334</v>
      </c>
      <c r="F127" s="15">
        <f t="shared" si="1"/>
        <v>8.59</v>
      </c>
      <c r="G127" s="13" t="str">
        <f>ROUND(Github!O$19, 2)&amp;"%"</f>
        <v>36.25%</v>
      </c>
      <c r="H127" s="13" t="str">
        <f>Github!H$19</f>
        <v>Algorithms</v>
      </c>
      <c r="I127" s="16" t="str">
        <f>SUBSTITUTE(Github!L$19, ";", ", ")</f>
        <v>Array, Two Pointers, Sorting, </v>
      </c>
      <c r="J127" s="13" t="str">
        <f>Github!E$19</f>
        <v>Medium</v>
      </c>
      <c r="K127" s="13" t="str">
        <f>IF(TRIM(Github!D$19)="TRUE","FALSE","TRUE")</f>
        <v>TRUE</v>
      </c>
      <c r="L127" s="13" t="b">
        <f>Github!M$19</f>
        <v>1</v>
      </c>
      <c r="M127" s="13" t="b">
        <f>Github!N$19</f>
        <v>0</v>
      </c>
      <c r="N127" s="13">
        <f>Github!P$19</f>
        <v>688902</v>
      </c>
      <c r="O127" s="13">
        <f>Github!Q$19</f>
        <v>1900231</v>
      </c>
    </row>
    <row r="128">
      <c r="A128" s="13">
        <f>Github!J$269</f>
        <v>268</v>
      </c>
      <c r="B128" s="14" t="str">
        <f>HYPERLINK(CONCAT("http://leetcode.com/problems/",Github!C$269), Github!B$269)</f>
        <v>Missing Number</v>
      </c>
      <c r="C128" s="13">
        <f>Github!F$269</f>
        <v>8324</v>
      </c>
      <c r="D128" s="13">
        <f>Github!G$269</f>
        <v>3023</v>
      </c>
      <c r="E128" s="13">
        <f>Github!F$269+Github!G$269</f>
        <v>11347</v>
      </c>
      <c r="F128" s="15">
        <f t="shared" si="1"/>
        <v>2.75</v>
      </c>
      <c r="G128" s="13" t="str">
        <f>ROUND(Github!O$269, 2)&amp;"%"</f>
        <v>61.93%</v>
      </c>
      <c r="H128" s="13" t="str">
        <f>Github!H$269</f>
        <v>Algorithms</v>
      </c>
      <c r="I128" s="16" t="str">
        <f>SUBSTITUTE(Github!L$269, ";", ", ")</f>
        <v>Array, Hash Table, Math, Binary Search, Bit Manipulation, Sorting, </v>
      </c>
      <c r="J128" s="13" t="str">
        <f>Github!E$269</f>
        <v>Easy</v>
      </c>
      <c r="K128" s="13" t="str">
        <f>IF(TRIM(Github!D$269)="TRUE","FALSE","TRUE")</f>
        <v>TRUE</v>
      </c>
      <c r="L128" s="13" t="b">
        <f>Github!M$269</f>
        <v>1</v>
      </c>
      <c r="M128" s="13" t="b">
        <f>Github!N$269</f>
        <v>1</v>
      </c>
      <c r="N128" s="13">
        <f>Github!P$269</f>
        <v>1349547</v>
      </c>
      <c r="O128" s="13">
        <f>Github!Q$269</f>
        <v>2179086</v>
      </c>
    </row>
    <row r="129">
      <c r="A129" s="13">
        <f>Github!J$339</f>
        <v>338</v>
      </c>
      <c r="B129" s="14" t="str">
        <f>HYPERLINK(CONCAT("http://leetcode.com/problems/",Github!C$339), Github!B$339)</f>
        <v>Counting Bits</v>
      </c>
      <c r="C129" s="13">
        <f>Github!F$339</f>
        <v>8229</v>
      </c>
      <c r="D129" s="13">
        <f>Github!G$339</f>
        <v>388</v>
      </c>
      <c r="E129" s="13">
        <f>Github!F$339+Github!G$339</f>
        <v>8617</v>
      </c>
      <c r="F129" s="15">
        <f t="shared" si="1"/>
        <v>21.21</v>
      </c>
      <c r="G129" s="13" t="str">
        <f>ROUND(Github!O$339, 2)&amp;"%"</f>
        <v>75.41%</v>
      </c>
      <c r="H129" s="13" t="str">
        <f>Github!H$339</f>
        <v>Algorithms</v>
      </c>
      <c r="I129" s="16" t="str">
        <f>SUBSTITUTE(Github!L$339, ";", ", ")</f>
        <v>Dynamic Programming, Bit Manipulation, </v>
      </c>
      <c r="J129" s="13" t="str">
        <f>Github!E$339</f>
        <v>Easy</v>
      </c>
      <c r="K129" s="13" t="str">
        <f>IF(TRIM(Github!D$339)="TRUE","FALSE","TRUE")</f>
        <v>TRUE</v>
      </c>
      <c r="L129" s="13" t="b">
        <f>Github!M$339</f>
        <v>1</v>
      </c>
      <c r="M129" s="13" t="b">
        <f>Github!N$339</f>
        <v>0</v>
      </c>
      <c r="N129" s="13">
        <f>Github!P$339</f>
        <v>711634</v>
      </c>
      <c r="O129" s="13">
        <f>Github!Q$339</f>
        <v>943628</v>
      </c>
    </row>
    <row r="130">
      <c r="A130" s="13">
        <f>Github!J$298</f>
        <v>297</v>
      </c>
      <c r="B130" s="14" t="str">
        <f>HYPERLINK(CONCAT("http://leetcode.com/problems/",Github!C$298), Github!B$298)</f>
        <v>Serialize and Deserialize Binary Tree</v>
      </c>
      <c r="C130" s="13">
        <f>Github!F$298</f>
        <v>8227</v>
      </c>
      <c r="D130" s="13">
        <f>Github!G$298</f>
        <v>300</v>
      </c>
      <c r="E130" s="13">
        <f>Github!F$298+Github!G$298</f>
        <v>8527</v>
      </c>
      <c r="F130" s="15">
        <f t="shared" si="1"/>
        <v>27.42</v>
      </c>
      <c r="G130" s="13" t="str">
        <f>ROUND(Github!O$298, 2)&amp;"%"</f>
        <v>55.15%</v>
      </c>
      <c r="H130" s="13" t="str">
        <f>Github!H$298</f>
        <v>Algorithms</v>
      </c>
      <c r="I130" s="16" t="str">
        <f>SUBSTITUTE(Github!L$298, ";", ", ")</f>
        <v>String, Tree, Depth-First Search, Breadth-First Search, Design, Binary Tree, </v>
      </c>
      <c r="J130" s="13" t="str">
        <f>Github!E$298</f>
        <v>Hard</v>
      </c>
      <c r="K130" s="13" t="str">
        <f>IF(TRIM(Github!D$298)="TRUE","FALSE","TRUE")</f>
        <v>TRUE</v>
      </c>
      <c r="L130" s="13" t="b">
        <f>Github!M$298</f>
        <v>1</v>
      </c>
      <c r="M130" s="13" t="b">
        <f>Github!N$298</f>
        <v>0</v>
      </c>
      <c r="N130" s="13">
        <f>Github!P$298</f>
        <v>708973</v>
      </c>
      <c r="O130" s="13">
        <f>Github!Q$298</f>
        <v>1285588</v>
      </c>
    </row>
    <row r="131">
      <c r="A131" s="13">
        <f>Github!J$10</f>
        <v>9</v>
      </c>
      <c r="B131" s="14" t="str">
        <f>HYPERLINK(CONCAT("http://leetcode.com/problems/",Github!C$10), Github!B$10)</f>
        <v>Palindrome Number</v>
      </c>
      <c r="C131" s="13">
        <f>Github!F$10</f>
        <v>8263</v>
      </c>
      <c r="D131" s="13">
        <f>Github!G$10</f>
        <v>2391</v>
      </c>
      <c r="E131" s="13">
        <f>Github!F$10+Github!G$10</f>
        <v>10654</v>
      </c>
      <c r="F131" s="15">
        <f t="shared" si="1"/>
        <v>3.46</v>
      </c>
      <c r="G131" s="13" t="str">
        <f>ROUND(Github!O$10, 2)&amp;"%"</f>
        <v>53.1%</v>
      </c>
      <c r="H131" s="13" t="str">
        <f>Github!H$10</f>
        <v>Algorithms</v>
      </c>
      <c r="I131" s="16" t="str">
        <f>SUBSTITUTE(Github!L$10, ";", ", ")</f>
        <v>Math, </v>
      </c>
      <c r="J131" s="13" t="str">
        <f>Github!E$10</f>
        <v>Easy</v>
      </c>
      <c r="K131" s="13" t="str">
        <f>IF(TRIM(Github!D$10)="TRUE","FALSE","TRUE")</f>
        <v>TRUE</v>
      </c>
      <c r="L131" s="13" t="b">
        <f>Github!M$10</f>
        <v>1</v>
      </c>
      <c r="M131" s="13" t="b">
        <f>Github!N$10</f>
        <v>0</v>
      </c>
      <c r="N131" s="13">
        <f>Github!P$10</f>
        <v>2776116</v>
      </c>
      <c r="O131" s="13">
        <f>Github!Q$10</f>
        <v>5227893</v>
      </c>
    </row>
    <row r="132">
      <c r="A132" s="13">
        <f>Github!J$117</f>
        <v>116</v>
      </c>
      <c r="B132" s="14" t="str">
        <f>HYPERLINK(CONCAT("http://leetcode.com/problems/",Github!C$117), Github!B$117)</f>
        <v>Populating Next Right Pointers in Each Node</v>
      </c>
      <c r="C132" s="13">
        <f>Github!F$117</f>
        <v>8115</v>
      </c>
      <c r="D132" s="13">
        <f>Github!G$117</f>
        <v>273</v>
      </c>
      <c r="E132" s="13">
        <f>Github!F$117+Github!G$117</f>
        <v>8388</v>
      </c>
      <c r="F132" s="15">
        <f t="shared" si="1"/>
        <v>29.73</v>
      </c>
      <c r="G132" s="13" t="str">
        <f>ROUND(Github!O$117, 2)&amp;"%"</f>
        <v>59.79%</v>
      </c>
      <c r="H132" s="13" t="str">
        <f>Github!H$117</f>
        <v>Algorithms</v>
      </c>
      <c r="I132" s="16" t="str">
        <f>SUBSTITUTE(Github!L$117, ";", ", ")</f>
        <v>Linked List, Tree, Depth-First Search, Breadth-First Search, Binary Tree, </v>
      </c>
      <c r="J132" s="13" t="str">
        <f>Github!E$117</f>
        <v>Medium</v>
      </c>
      <c r="K132" s="13" t="str">
        <f>IF(TRIM(Github!D$117)="TRUE","FALSE","TRUE")</f>
        <v>TRUE</v>
      </c>
      <c r="L132" s="13" t="b">
        <f>Github!M$117</f>
        <v>1</v>
      </c>
      <c r="M132" s="13" t="b">
        <f>Github!N$117</f>
        <v>0</v>
      </c>
      <c r="N132" s="13">
        <f>Github!P$117</f>
        <v>878053</v>
      </c>
      <c r="O132" s="13">
        <f>Github!Q$117</f>
        <v>1468447</v>
      </c>
    </row>
    <row r="133">
      <c r="A133" s="13">
        <f>Github!J$163</f>
        <v>162</v>
      </c>
      <c r="B133" s="14" t="str">
        <f>HYPERLINK(CONCAT("http://leetcode.com/problems/",Github!C$163), Github!B$163)</f>
        <v>Find Peak Element</v>
      </c>
      <c r="C133" s="13">
        <f>Github!F$163</f>
        <v>8165</v>
      </c>
      <c r="D133" s="13">
        <f>Github!G$163</f>
        <v>4147</v>
      </c>
      <c r="E133" s="13">
        <f>Github!F$163+Github!G$163</f>
        <v>12312</v>
      </c>
      <c r="F133" s="15">
        <f t="shared" si="1"/>
        <v>1.97</v>
      </c>
      <c r="G133" s="13" t="str">
        <f>ROUND(Github!O$163, 2)&amp;"%"</f>
        <v>46.17%</v>
      </c>
      <c r="H133" s="13" t="str">
        <f>Github!H$163</f>
        <v>Algorithms</v>
      </c>
      <c r="I133" s="16" t="str">
        <f>SUBSTITUTE(Github!L$163, ";", ", ")</f>
        <v>Array, Binary Search, </v>
      </c>
      <c r="J133" s="13" t="str">
        <f>Github!E$163</f>
        <v>Medium</v>
      </c>
      <c r="K133" s="13" t="str">
        <f>IF(TRIM(Github!D$163)="TRUE","FALSE","TRUE")</f>
        <v>TRUE</v>
      </c>
      <c r="L133" s="13" t="b">
        <f>Github!M$163</f>
        <v>1</v>
      </c>
      <c r="M133" s="13" t="b">
        <f>Github!N$163</f>
        <v>0</v>
      </c>
      <c r="N133" s="13">
        <f>Github!P$163</f>
        <v>943341</v>
      </c>
      <c r="O133" s="13">
        <f>Github!Q$163</f>
        <v>2043170</v>
      </c>
    </row>
    <row r="134">
      <c r="A134" s="13">
        <f>Github!J$213</f>
        <v>212</v>
      </c>
      <c r="B134" s="14" t="str">
        <f>HYPERLINK(CONCAT("http://leetcode.com/problems/",Github!C$213), Github!B$213)</f>
        <v>Word Search II</v>
      </c>
      <c r="C134" s="13">
        <f>Github!F$213</f>
        <v>8055</v>
      </c>
      <c r="D134" s="13">
        <f>Github!G$213</f>
        <v>373</v>
      </c>
      <c r="E134" s="13">
        <f>Github!F$213+Github!G$213</f>
        <v>8428</v>
      </c>
      <c r="F134" s="15">
        <f t="shared" si="1"/>
        <v>21.6</v>
      </c>
      <c r="G134" s="13" t="str">
        <f>ROUND(Github!O$213, 2)&amp;"%"</f>
        <v>36.72%</v>
      </c>
      <c r="H134" s="13" t="str">
        <f>Github!H$213</f>
        <v>Algorithms</v>
      </c>
      <c r="I134" s="16" t="str">
        <f>SUBSTITUTE(Github!L$213, ";", ", ")</f>
        <v>Array, String, Backtracking, Trie, Matrix, </v>
      </c>
      <c r="J134" s="13" t="str">
        <f>Github!E$213</f>
        <v>Hard</v>
      </c>
      <c r="K134" s="13" t="str">
        <f>IF(TRIM(Github!D$213)="TRUE","FALSE","TRUE")</f>
        <v>TRUE</v>
      </c>
      <c r="L134" s="13" t="b">
        <f>Github!M$213</f>
        <v>1</v>
      </c>
      <c r="M134" s="13" t="b">
        <f>Github!N$213</f>
        <v>0</v>
      </c>
      <c r="N134" s="13">
        <f>Github!P$213</f>
        <v>535832</v>
      </c>
      <c r="O134" s="13">
        <f>Github!Q$213</f>
        <v>1459434</v>
      </c>
    </row>
    <row r="135">
      <c r="A135" s="13">
        <f>Github!J$86</f>
        <v>85</v>
      </c>
      <c r="B135" s="14" t="str">
        <f>HYPERLINK(CONCAT("http://leetcode.com/problems/",Github!C$86), Github!B$86)</f>
        <v>Maximal Rectangle</v>
      </c>
      <c r="C135" s="13">
        <f>Github!F$86</f>
        <v>8060</v>
      </c>
      <c r="D135" s="13">
        <f>Github!G$86</f>
        <v>129</v>
      </c>
      <c r="E135" s="13">
        <f>Github!F$86+Github!G$86</f>
        <v>8189</v>
      </c>
      <c r="F135" s="15">
        <f t="shared" si="1"/>
        <v>62.48</v>
      </c>
      <c r="G135" s="13" t="str">
        <f>ROUND(Github!O$86, 2)&amp;"%"</f>
        <v>44.37%</v>
      </c>
      <c r="H135" s="13" t="str">
        <f>Github!H$86</f>
        <v>Algorithms</v>
      </c>
      <c r="I135" s="16" t="str">
        <f>SUBSTITUTE(Github!L$86, ";", ", ")</f>
        <v>Array, Dynamic Programming, Stack, Matrix, Monotonic Stack, </v>
      </c>
      <c r="J135" s="13" t="str">
        <f>Github!E$86</f>
        <v>Hard</v>
      </c>
      <c r="K135" s="13" t="str">
        <f>IF(TRIM(Github!D$86)="TRUE","FALSE","TRUE")</f>
        <v>TRUE</v>
      </c>
      <c r="L135" s="13" t="b">
        <f>Github!M$86</f>
        <v>1</v>
      </c>
      <c r="M135" s="13" t="b">
        <f>Github!N$86</f>
        <v>0</v>
      </c>
      <c r="N135" s="13">
        <f>Github!P$86</f>
        <v>330115</v>
      </c>
      <c r="O135" s="13">
        <f>Github!Q$86</f>
        <v>744058</v>
      </c>
    </row>
    <row r="136">
      <c r="A136" s="13">
        <f>Github!J$111</f>
        <v>110</v>
      </c>
      <c r="B136" s="14" t="str">
        <f>HYPERLINK(CONCAT("http://leetcode.com/problems/",Github!C$111), Github!B$111)</f>
        <v>Balanced Binary Tree</v>
      </c>
      <c r="C136" s="13">
        <f>Github!F$111</f>
        <v>8026</v>
      </c>
      <c r="D136" s="13">
        <f>Github!G$111</f>
        <v>450</v>
      </c>
      <c r="E136" s="13">
        <f>Github!F$111+Github!G$111</f>
        <v>8476</v>
      </c>
      <c r="F136" s="15">
        <f t="shared" si="1"/>
        <v>17.84</v>
      </c>
      <c r="G136" s="13" t="str">
        <f>ROUND(Github!O$111, 2)&amp;"%"</f>
        <v>48.44%</v>
      </c>
      <c r="H136" s="13" t="str">
        <f>Github!H$111</f>
        <v>Algorithms</v>
      </c>
      <c r="I136" s="16" t="str">
        <f>SUBSTITUTE(Github!L$111, ";", ", ")</f>
        <v>Tree, Depth-First Search, Binary Tree, </v>
      </c>
      <c r="J136" s="13" t="str">
        <f>Github!E$111</f>
        <v>Easy</v>
      </c>
      <c r="K136" s="13" t="str">
        <f>IF(TRIM(Github!D$111)="TRUE","FALSE","TRUE")</f>
        <v>TRUE</v>
      </c>
      <c r="L136" s="13" t="b">
        <f>Github!M$111</f>
        <v>1</v>
      </c>
      <c r="M136" s="13" t="b">
        <f>Github!N$111</f>
        <v>0</v>
      </c>
      <c r="N136" s="13">
        <f>Github!P$111</f>
        <v>1004252</v>
      </c>
      <c r="O136" s="13">
        <f>Github!Q$111</f>
        <v>2073080</v>
      </c>
    </row>
    <row r="137">
      <c r="A137" s="13">
        <f>Github!J$864</f>
        <v>863</v>
      </c>
      <c r="B137" s="14" t="str">
        <f>HYPERLINK(CONCAT("http://leetcode.com/problems/",Github!C$864), Github!B$864)</f>
        <v>All Nodes Distance K in Binary Tree</v>
      </c>
      <c r="C137" s="13">
        <f>Github!F$864</f>
        <v>7890</v>
      </c>
      <c r="D137" s="13">
        <f>Github!G$864</f>
        <v>156</v>
      </c>
      <c r="E137" s="13">
        <f>Github!F$864+Github!G$864</f>
        <v>8046</v>
      </c>
      <c r="F137" s="15">
        <f t="shared" si="1"/>
        <v>50.58</v>
      </c>
      <c r="G137" s="13" t="str">
        <f>ROUND(Github!O$864, 2)&amp;"%"</f>
        <v>62.18%</v>
      </c>
      <c r="H137" s="13" t="str">
        <f>Github!H$864</f>
        <v>Algorithms</v>
      </c>
      <c r="I137" s="16" t="str">
        <f>SUBSTITUTE(Github!L$864, ";", ", ")</f>
        <v>Tree, Depth-First Search, Breadth-First Search, Binary Tree, </v>
      </c>
      <c r="J137" s="13" t="str">
        <f>Github!E$864</f>
        <v>Medium</v>
      </c>
      <c r="K137" s="13" t="str">
        <f>IF(TRIM(Github!D$864)="TRUE","FALSE","TRUE")</f>
        <v>TRUE</v>
      </c>
      <c r="L137" s="13" t="b">
        <f>Github!M$864</f>
        <v>1</v>
      </c>
      <c r="M137" s="13" t="b">
        <f>Github!N$864</f>
        <v>0</v>
      </c>
      <c r="N137" s="13">
        <f>Github!P$864</f>
        <v>286793</v>
      </c>
      <c r="O137" s="13">
        <f>Github!Q$864</f>
        <v>461257</v>
      </c>
    </row>
    <row r="138">
      <c r="A138" s="13">
        <f>Github!J$101</f>
        <v>100</v>
      </c>
      <c r="B138" s="14" t="str">
        <f>HYPERLINK(CONCAT("http://leetcode.com/problems/",Github!C$101), Github!B$101)</f>
        <v>Same Tree</v>
      </c>
      <c r="C138" s="13">
        <f>Github!F$101</f>
        <v>7872</v>
      </c>
      <c r="D138" s="13">
        <f>Github!G$101</f>
        <v>163</v>
      </c>
      <c r="E138" s="13">
        <f>Github!F$101+Github!G$101</f>
        <v>8035</v>
      </c>
      <c r="F138" s="15">
        <f t="shared" si="1"/>
        <v>48.29</v>
      </c>
      <c r="G138" s="13" t="str">
        <f>ROUND(Github!O$101, 2)&amp;"%"</f>
        <v>56.66%</v>
      </c>
      <c r="H138" s="13" t="str">
        <f>Github!H$101</f>
        <v>Algorithms</v>
      </c>
      <c r="I138" s="16" t="str">
        <f>SUBSTITUTE(Github!L$101, ";", ", ")</f>
        <v>Tree, Depth-First Search, Breadth-First Search, Binary Tree, </v>
      </c>
      <c r="J138" s="13" t="str">
        <f>Github!E$101</f>
        <v>Easy</v>
      </c>
      <c r="K138" s="13" t="str">
        <f>IF(TRIM(Github!D$101)="TRUE","FALSE","TRUE")</f>
        <v>TRUE</v>
      </c>
      <c r="L138" s="13" t="b">
        <f>Github!M$101</f>
        <v>1</v>
      </c>
      <c r="M138" s="13" t="b">
        <f>Github!N$101</f>
        <v>0</v>
      </c>
      <c r="N138" s="13">
        <f>Github!P$101</f>
        <v>1325895</v>
      </c>
      <c r="O138" s="13">
        <f>Github!Q$101</f>
        <v>2340264</v>
      </c>
    </row>
    <row r="139">
      <c r="A139" s="13">
        <f>Github!J$144</f>
        <v>143</v>
      </c>
      <c r="B139" s="14" t="str">
        <f>HYPERLINK(CONCAT("http://leetcode.com/problems/",Github!C$144), Github!B$144)</f>
        <v>Reorder List</v>
      </c>
      <c r="C139" s="13">
        <f>Github!F$144</f>
        <v>7869</v>
      </c>
      <c r="D139" s="13">
        <f>Github!G$144</f>
        <v>273</v>
      </c>
      <c r="E139" s="13">
        <f>Github!F$144+Github!G$144</f>
        <v>8142</v>
      </c>
      <c r="F139" s="15">
        <f t="shared" si="1"/>
        <v>28.82</v>
      </c>
      <c r="G139" s="13" t="str">
        <f>ROUND(Github!O$144, 2)&amp;"%"</f>
        <v>51.61%</v>
      </c>
      <c r="H139" s="13" t="str">
        <f>Github!H$144</f>
        <v>Algorithms</v>
      </c>
      <c r="I139" s="16" t="str">
        <f>SUBSTITUTE(Github!L$144, ";", ", ")</f>
        <v>Linked List, Two Pointers, Stack, Recursion, </v>
      </c>
      <c r="J139" s="13" t="str">
        <f>Github!E$144</f>
        <v>Medium</v>
      </c>
      <c r="K139" s="13" t="str">
        <f>IF(TRIM(Github!D$144)="TRUE","FALSE","TRUE")</f>
        <v>TRUE</v>
      </c>
      <c r="L139" s="13" t="b">
        <f>Github!M$144</f>
        <v>1</v>
      </c>
      <c r="M139" s="13" t="b">
        <f>Github!N$144</f>
        <v>0</v>
      </c>
      <c r="N139" s="13">
        <f>Github!P$144</f>
        <v>613955</v>
      </c>
      <c r="O139" s="13">
        <f>Github!Q$144</f>
        <v>1189555</v>
      </c>
    </row>
    <row r="140">
      <c r="A140" s="13">
        <f>Github!J$449</f>
        <v>448</v>
      </c>
      <c r="B140" s="14" t="str">
        <f>HYPERLINK(CONCAT("http://leetcode.com/problems/",Github!C$449), Github!B$449)</f>
        <v>Find All Numbers Disappeared in an Array</v>
      </c>
      <c r="C140" s="13">
        <f>Github!F$449</f>
        <v>7842</v>
      </c>
      <c r="D140" s="13">
        <f>Github!G$449</f>
        <v>421</v>
      </c>
      <c r="E140" s="13">
        <f>Github!F$449+Github!G$449</f>
        <v>8263</v>
      </c>
      <c r="F140" s="15">
        <f t="shared" si="1"/>
        <v>18.63</v>
      </c>
      <c r="G140" s="13" t="str">
        <f>ROUND(Github!O$449, 2)&amp;"%"</f>
        <v>59.79%</v>
      </c>
      <c r="H140" s="13" t="str">
        <f>Github!H$449</f>
        <v>Algorithms</v>
      </c>
      <c r="I140" s="16" t="str">
        <f>SUBSTITUTE(Github!L$449, ";", ", ")</f>
        <v>Array, Hash Table, </v>
      </c>
      <c r="J140" s="13" t="str">
        <f>Github!E$449</f>
        <v>Easy</v>
      </c>
      <c r="K140" s="13" t="str">
        <f>IF(TRIM(Github!D$449)="TRUE","FALSE","TRUE")</f>
        <v>TRUE</v>
      </c>
      <c r="L140" s="13" t="b">
        <f>Github!M$449</f>
        <v>1</v>
      </c>
      <c r="M140" s="13" t="b">
        <f>Github!N$449</f>
        <v>0</v>
      </c>
      <c r="N140" s="13">
        <f>Github!P$449</f>
        <v>677655</v>
      </c>
      <c r="O140" s="13">
        <f>Github!Q$449</f>
        <v>1133448</v>
      </c>
    </row>
    <row r="141">
      <c r="A141" s="13">
        <f>Github!J$104</f>
        <v>103</v>
      </c>
      <c r="B141" s="14" t="str">
        <f>HYPERLINK(CONCAT("http://leetcode.com/problems/",Github!C$104), Github!B$104)</f>
        <v>Binary Tree Zigzag Level Order Traversal</v>
      </c>
      <c r="C141" s="13">
        <f>Github!F$104</f>
        <v>7846</v>
      </c>
      <c r="D141" s="13">
        <f>Github!G$104</f>
        <v>207</v>
      </c>
      <c r="E141" s="13">
        <f>Github!F$104+Github!G$104</f>
        <v>8053</v>
      </c>
      <c r="F141" s="15">
        <f t="shared" si="1"/>
        <v>37.9</v>
      </c>
      <c r="G141" s="13" t="str">
        <f>ROUND(Github!O$104, 2)&amp;"%"</f>
        <v>55.39%</v>
      </c>
      <c r="H141" s="13" t="str">
        <f>Github!H$104</f>
        <v>Algorithms</v>
      </c>
      <c r="I141" s="16" t="str">
        <f>SUBSTITUTE(Github!L$104, ";", ", ")</f>
        <v>Tree, Breadth-First Search, Binary Tree, </v>
      </c>
      <c r="J141" s="13" t="str">
        <f>Github!E$104</f>
        <v>Medium</v>
      </c>
      <c r="K141" s="13" t="str">
        <f>IF(TRIM(Github!D$104)="TRUE","FALSE","TRUE")</f>
        <v>TRUE</v>
      </c>
      <c r="L141" s="13" t="b">
        <f>Github!M$104</f>
        <v>1</v>
      </c>
      <c r="M141" s="13" t="b">
        <f>Github!N$104</f>
        <v>0</v>
      </c>
      <c r="N141" s="13">
        <f>Github!P$104</f>
        <v>849921</v>
      </c>
      <c r="O141" s="13">
        <f>Github!Q$104</f>
        <v>1534546</v>
      </c>
    </row>
    <row r="142">
      <c r="A142" s="13">
        <f>Github!J$443</f>
        <v>442</v>
      </c>
      <c r="B142" s="14" t="str">
        <f>HYPERLINK(CONCAT("http://leetcode.com/problems/",Github!C$443), Github!B$443)</f>
        <v>Find All Duplicates in an Array</v>
      </c>
      <c r="C142" s="13">
        <f>Github!F$443</f>
        <v>7845</v>
      </c>
      <c r="D142" s="13">
        <f>Github!G$443</f>
        <v>298</v>
      </c>
      <c r="E142" s="13">
        <f>Github!F$443+Github!G$443</f>
        <v>8143</v>
      </c>
      <c r="F142" s="15">
        <f t="shared" si="1"/>
        <v>26.33</v>
      </c>
      <c r="G142" s="13" t="str">
        <f>ROUND(Github!O$443, 2)&amp;"%"</f>
        <v>73.41%</v>
      </c>
      <c r="H142" s="13" t="str">
        <f>Github!H$443</f>
        <v>Algorithms</v>
      </c>
      <c r="I142" s="16" t="str">
        <f>SUBSTITUTE(Github!L$443, ";", ", ")</f>
        <v>Array, Hash Table, </v>
      </c>
      <c r="J142" s="13" t="str">
        <f>Github!E$443</f>
        <v>Medium</v>
      </c>
      <c r="K142" s="13" t="str">
        <f>IF(TRIM(Github!D$443)="TRUE","FALSE","TRUE")</f>
        <v>TRUE</v>
      </c>
      <c r="L142" s="13" t="b">
        <f>Github!M$443</f>
        <v>1</v>
      </c>
      <c r="M142" s="13" t="b">
        <f>Github!N$443</f>
        <v>0</v>
      </c>
      <c r="N142" s="13">
        <f>Github!P$443</f>
        <v>481634</v>
      </c>
      <c r="O142" s="13">
        <f>Github!Q$443</f>
        <v>656049</v>
      </c>
    </row>
    <row r="143">
      <c r="A143" s="13">
        <f>Github!J$622</f>
        <v>621</v>
      </c>
      <c r="B143" s="14" t="str">
        <f>HYPERLINK(CONCAT("http://leetcode.com/problems/",Github!C$622), Github!B$622)</f>
        <v>Task Scheduler</v>
      </c>
      <c r="C143" s="13">
        <f>Github!F$622</f>
        <v>7790</v>
      </c>
      <c r="D143" s="13">
        <f>Github!G$622</f>
        <v>1536</v>
      </c>
      <c r="E143" s="13">
        <f>Github!F$622+Github!G$622</f>
        <v>9326</v>
      </c>
      <c r="F143" s="15">
        <f t="shared" si="1"/>
        <v>5.07</v>
      </c>
      <c r="G143" s="13" t="str">
        <f>ROUND(Github!O$622, 2)&amp;"%"</f>
        <v>55.95%</v>
      </c>
      <c r="H143" s="13" t="str">
        <f>Github!H$622</f>
        <v>Algorithms</v>
      </c>
      <c r="I143" s="16" t="str">
        <f>SUBSTITUTE(Github!L$622, ";", ", ")</f>
        <v>Array, Hash Table, Greedy, Sorting, Heap (Priority Queue), Counting, </v>
      </c>
      <c r="J143" s="13" t="str">
        <f>Github!E$622</f>
        <v>Medium</v>
      </c>
      <c r="K143" s="13" t="str">
        <f>IF(TRIM(Github!D$622)="TRUE","FALSE","TRUE")</f>
        <v>TRUE</v>
      </c>
      <c r="L143" s="13" t="b">
        <f>Github!M$622</f>
        <v>1</v>
      </c>
      <c r="M143" s="13" t="b">
        <f>Github!N$622</f>
        <v>0</v>
      </c>
      <c r="N143" s="13">
        <f>Github!P$622</f>
        <v>402460</v>
      </c>
      <c r="O143" s="13">
        <f>Github!Q$622</f>
        <v>719338</v>
      </c>
    </row>
    <row r="144">
      <c r="A144" s="13">
        <f>Github!J$568</f>
        <v>567</v>
      </c>
      <c r="B144" s="14" t="str">
        <f>HYPERLINK(CONCAT("http://leetcode.com/problems/",Github!C$568), Github!B$568)</f>
        <v>Permutation in String</v>
      </c>
      <c r="C144" s="13">
        <f>Github!F$568</f>
        <v>7834</v>
      </c>
      <c r="D144" s="13">
        <f>Github!G$568</f>
        <v>258</v>
      </c>
      <c r="E144" s="13">
        <f>Github!F$568+Github!G$568</f>
        <v>8092</v>
      </c>
      <c r="F144" s="15">
        <f t="shared" si="1"/>
        <v>30.36</v>
      </c>
      <c r="G144" s="13" t="str">
        <f>ROUND(Github!O$568, 2)&amp;"%"</f>
        <v>43.55%</v>
      </c>
      <c r="H144" s="13" t="str">
        <f>Github!H$568</f>
        <v>Algorithms</v>
      </c>
      <c r="I144" s="16" t="str">
        <f>SUBSTITUTE(Github!L$568, ";", ", ")</f>
        <v>Hash Table, Two Pointers, String, Sliding Window, </v>
      </c>
      <c r="J144" s="13" t="str">
        <f>Github!E$568</f>
        <v>Medium</v>
      </c>
      <c r="K144" s="13" t="str">
        <f>IF(TRIM(Github!D$568)="TRUE","FALSE","TRUE")</f>
        <v>TRUE</v>
      </c>
      <c r="L144" s="13" t="b">
        <f>Github!M$568</f>
        <v>1</v>
      </c>
      <c r="M144" s="13" t="b">
        <f>Github!N$568</f>
        <v>0</v>
      </c>
      <c r="N144" s="13">
        <f>Github!P$568</f>
        <v>527678</v>
      </c>
      <c r="O144" s="13">
        <f>Github!Q$568</f>
        <v>1211606</v>
      </c>
    </row>
    <row r="145">
      <c r="A145" s="13">
        <f>Github!J$316</f>
        <v>315</v>
      </c>
      <c r="B145" s="14" t="str">
        <f>HYPERLINK(CONCAT("http://leetcode.com/problems/",Github!C$316), Github!B$316)</f>
        <v>Count of Smaller Numbers After Self</v>
      </c>
      <c r="C145" s="13">
        <f>Github!F$316</f>
        <v>7765</v>
      </c>
      <c r="D145" s="13">
        <f>Github!G$316</f>
        <v>212</v>
      </c>
      <c r="E145" s="13">
        <f>Github!F$316+Github!G$316</f>
        <v>7977</v>
      </c>
      <c r="F145" s="15">
        <f t="shared" si="1"/>
        <v>36.63</v>
      </c>
      <c r="G145" s="13" t="str">
        <f>ROUND(Github!O$316, 2)&amp;"%"</f>
        <v>42.73%</v>
      </c>
      <c r="H145" s="13" t="str">
        <f>Github!H$316</f>
        <v>Algorithms</v>
      </c>
      <c r="I145" s="16" t="str">
        <f>SUBSTITUTE(Github!L$316, ";", ", ")</f>
        <v>Array, Binary Search, Divide and Conquer, Binary Indexed Tree, Segment Tree, Merge Sort, Ordered Set, </v>
      </c>
      <c r="J145" s="13" t="str">
        <f>Github!E$316</f>
        <v>Hard</v>
      </c>
      <c r="K145" s="13" t="str">
        <f>IF(TRIM(Github!D$316)="TRUE","FALSE","TRUE")</f>
        <v>TRUE</v>
      </c>
      <c r="L145" s="13" t="b">
        <f>Github!M$316</f>
        <v>1</v>
      </c>
      <c r="M145" s="13" t="b">
        <f>Github!N$316</f>
        <v>0</v>
      </c>
      <c r="N145" s="13">
        <f>Github!P$316</f>
        <v>284347</v>
      </c>
      <c r="O145" s="13">
        <f>Github!Q$316</f>
        <v>665439</v>
      </c>
    </row>
    <row r="146">
      <c r="A146" s="13">
        <f>Github!J$243</f>
        <v>242</v>
      </c>
      <c r="B146" s="14" t="str">
        <f>HYPERLINK(CONCAT("http://leetcode.com/problems/",Github!C$243), Github!B$243)</f>
        <v>Valid Anagram</v>
      </c>
      <c r="C146" s="13">
        <f>Github!F$243</f>
        <v>7856</v>
      </c>
      <c r="D146" s="13">
        <f>Github!G$243</f>
        <v>252</v>
      </c>
      <c r="E146" s="13">
        <f>Github!F$243+Github!G$243</f>
        <v>8108</v>
      </c>
      <c r="F146" s="15">
        <f t="shared" si="1"/>
        <v>31.17</v>
      </c>
      <c r="G146" s="13" t="str">
        <f>ROUND(Github!O$243, 2)&amp;"%"</f>
        <v>62.85%</v>
      </c>
      <c r="H146" s="13" t="str">
        <f>Github!H$243</f>
        <v>Algorithms</v>
      </c>
      <c r="I146" s="16" t="str">
        <f>SUBSTITUTE(Github!L$243, ";", ", ")</f>
        <v>Hash Table, String, Sorting, </v>
      </c>
      <c r="J146" s="13" t="str">
        <f>Github!E$243</f>
        <v>Easy</v>
      </c>
      <c r="K146" s="13" t="str">
        <f>IF(TRIM(Github!D$243)="TRUE","FALSE","TRUE")</f>
        <v>TRUE</v>
      </c>
      <c r="L146" s="13" t="b">
        <f>Github!M$243</f>
        <v>1</v>
      </c>
      <c r="M146" s="13" t="b">
        <f>Github!N$243</f>
        <v>1</v>
      </c>
      <c r="N146" s="13">
        <f>Github!P$243</f>
        <v>1881320</v>
      </c>
      <c r="O146" s="13">
        <f>Github!Q$243</f>
        <v>2993531</v>
      </c>
    </row>
    <row r="147">
      <c r="A147" s="13">
        <f>Github!J$618</f>
        <v>617</v>
      </c>
      <c r="B147" s="14" t="str">
        <f>HYPERLINK(CONCAT("http://leetcode.com/problems/",Github!C$618), Github!B$618)</f>
        <v>Merge Two Binary Trees</v>
      </c>
      <c r="C147" s="13">
        <f>Github!F$618</f>
        <v>7689</v>
      </c>
      <c r="D147" s="13">
        <f>Github!G$618</f>
        <v>269</v>
      </c>
      <c r="E147" s="13">
        <f>Github!F$618+Github!G$618</f>
        <v>7958</v>
      </c>
      <c r="F147" s="15">
        <f t="shared" si="1"/>
        <v>28.58</v>
      </c>
      <c r="G147" s="13" t="str">
        <f>ROUND(Github!O$618, 2)&amp;"%"</f>
        <v>78.58%</v>
      </c>
      <c r="H147" s="13" t="str">
        <f>Github!H$618</f>
        <v>Algorithms</v>
      </c>
      <c r="I147" s="16" t="str">
        <f>SUBSTITUTE(Github!L$618, ";", ", ")</f>
        <v>Tree, Depth-First Search, Breadth-First Search, Binary Tree, </v>
      </c>
      <c r="J147" s="13" t="str">
        <f>Github!E$618</f>
        <v>Easy</v>
      </c>
      <c r="K147" s="13" t="str">
        <f>IF(TRIM(Github!D$618)="TRUE","FALSE","TRUE")</f>
        <v>TRUE</v>
      </c>
      <c r="L147" s="13" t="b">
        <f>Github!M$618</f>
        <v>1</v>
      </c>
      <c r="M147" s="13" t="b">
        <f>Github!N$618</f>
        <v>0</v>
      </c>
      <c r="N147" s="13">
        <f>Github!P$618</f>
        <v>648849</v>
      </c>
      <c r="O147" s="13">
        <f>Github!Q$618</f>
        <v>825742</v>
      </c>
    </row>
    <row r="148">
      <c r="A148" s="13">
        <f>Github!J$218</f>
        <v>217</v>
      </c>
      <c r="B148" s="14" t="str">
        <f>HYPERLINK(CONCAT("http://leetcode.com/problems/",Github!C$218), Github!B$218)</f>
        <v>Contains Duplicate</v>
      </c>
      <c r="C148" s="13">
        <f>Github!F$218</f>
        <v>7774</v>
      </c>
      <c r="D148" s="13">
        <f>Github!G$218</f>
        <v>1077</v>
      </c>
      <c r="E148" s="13">
        <f>Github!F$218+Github!G$218</f>
        <v>8851</v>
      </c>
      <c r="F148" s="15">
        <f t="shared" si="1"/>
        <v>7.22</v>
      </c>
      <c r="G148" s="13" t="str">
        <f>ROUND(Github!O$218, 2)&amp;"%"</f>
        <v>61.33%</v>
      </c>
      <c r="H148" s="13" t="str">
        <f>Github!H$218</f>
        <v>Algorithms</v>
      </c>
      <c r="I148" s="16" t="str">
        <f>SUBSTITUTE(Github!L$218, ";", ", ")</f>
        <v>Array, Hash Table, Sorting, </v>
      </c>
      <c r="J148" s="13" t="str">
        <f>Github!E$218</f>
        <v>Easy</v>
      </c>
      <c r="K148" s="13" t="str">
        <f>IF(TRIM(Github!D$218)="TRUE","FALSE","TRUE")</f>
        <v>TRUE</v>
      </c>
      <c r="L148" s="13" t="b">
        <f>Github!M$218</f>
        <v>1</v>
      </c>
      <c r="M148" s="13" t="b">
        <f>Github!N$218</f>
        <v>0</v>
      </c>
      <c r="N148" s="13">
        <f>Github!P$218</f>
        <v>2355263</v>
      </c>
      <c r="O148" s="13">
        <f>Github!Q$218</f>
        <v>3840050</v>
      </c>
    </row>
    <row r="149">
      <c r="A149" s="13">
        <f>Github!J$329</f>
        <v>328</v>
      </c>
      <c r="B149" s="14" t="str">
        <f>HYPERLINK(CONCAT("http://leetcode.com/problems/",Github!C$329), Github!B$329)</f>
        <v>Odd Even Linked List</v>
      </c>
      <c r="C149" s="13">
        <f>Github!F$329</f>
        <v>7673</v>
      </c>
      <c r="D149" s="13">
        <f>Github!G$329</f>
        <v>436</v>
      </c>
      <c r="E149" s="13">
        <f>Github!F$329+Github!G$329</f>
        <v>8109</v>
      </c>
      <c r="F149" s="15">
        <f t="shared" si="1"/>
        <v>17.6</v>
      </c>
      <c r="G149" s="13" t="str">
        <f>ROUND(Github!O$329, 2)&amp;"%"</f>
        <v>61.17%</v>
      </c>
      <c r="H149" s="13" t="str">
        <f>Github!H$329</f>
        <v>Algorithms</v>
      </c>
      <c r="I149" s="16" t="str">
        <f>SUBSTITUTE(Github!L$329, ";", ", ")</f>
        <v>Linked List, </v>
      </c>
      <c r="J149" s="13" t="str">
        <f>Github!E$329</f>
        <v>Medium</v>
      </c>
      <c r="K149" s="13" t="str">
        <f>IF(TRIM(Github!D$329)="TRUE","FALSE","TRUE")</f>
        <v>TRUE</v>
      </c>
      <c r="L149" s="13" t="b">
        <f>Github!M$329</f>
        <v>1</v>
      </c>
      <c r="M149" s="13" t="b">
        <f>Github!N$329</f>
        <v>0</v>
      </c>
      <c r="N149" s="13">
        <f>Github!P$329</f>
        <v>678508</v>
      </c>
      <c r="O149" s="13">
        <f>Github!Q$329</f>
        <v>1109233</v>
      </c>
    </row>
    <row r="150">
      <c r="A150" s="13">
        <f>Github!J$113</f>
        <v>112</v>
      </c>
      <c r="B150" s="14" t="str">
        <f>HYPERLINK(CONCAT("http://leetcode.com/problems/",Github!C$113), Github!B$113)</f>
        <v>Path Sum</v>
      </c>
      <c r="C150" s="13">
        <f>Github!F$113</f>
        <v>7658</v>
      </c>
      <c r="D150" s="13">
        <f>Github!G$113</f>
        <v>907</v>
      </c>
      <c r="E150" s="13">
        <f>Github!F$113+Github!G$113</f>
        <v>8565</v>
      </c>
      <c r="F150" s="15">
        <f t="shared" si="1"/>
        <v>8.44</v>
      </c>
      <c r="G150" s="13" t="str">
        <f>ROUND(Github!O$113, 2)&amp;"%"</f>
        <v>47.84%</v>
      </c>
      <c r="H150" s="13" t="str">
        <f>Github!H$113</f>
        <v>Algorithms</v>
      </c>
      <c r="I150" s="16" t="str">
        <f>SUBSTITUTE(Github!L$113, ";", ", ")</f>
        <v>Tree, Depth-First Search, Breadth-First Search, Binary Tree, </v>
      </c>
      <c r="J150" s="13" t="str">
        <f>Github!E$113</f>
        <v>Easy</v>
      </c>
      <c r="K150" s="13" t="str">
        <f>IF(TRIM(Github!D$113)="TRUE","FALSE","TRUE")</f>
        <v>TRUE</v>
      </c>
      <c r="L150" s="13" t="b">
        <f>Github!M$113</f>
        <v>1</v>
      </c>
      <c r="M150" s="13" t="b">
        <f>Github!N$113</f>
        <v>0</v>
      </c>
      <c r="N150" s="13">
        <f>Github!P$113</f>
        <v>1099299</v>
      </c>
      <c r="O150" s="13">
        <f>Github!Q$113</f>
        <v>2297760</v>
      </c>
    </row>
    <row r="151">
      <c r="A151" s="13">
        <f>Github!J$37</f>
        <v>36</v>
      </c>
      <c r="B151" s="14" t="str">
        <f>HYPERLINK(CONCAT("http://leetcode.com/problems/",Github!C$37), Github!B$37)</f>
        <v>Valid Sudoku</v>
      </c>
      <c r="C151" s="13">
        <f>Github!F$37</f>
        <v>7668</v>
      </c>
      <c r="D151" s="13">
        <f>Github!G$37</f>
        <v>856</v>
      </c>
      <c r="E151" s="13">
        <f>Github!F$37+Github!G$37</f>
        <v>8524</v>
      </c>
      <c r="F151" s="15">
        <f t="shared" si="1"/>
        <v>8.96</v>
      </c>
      <c r="G151" s="13" t="str">
        <f>ROUND(Github!O$37, 2)&amp;"%"</f>
        <v>57.8%</v>
      </c>
      <c r="H151" s="13" t="str">
        <f>Github!H$37</f>
        <v>Algorithms</v>
      </c>
      <c r="I151" s="16" t="str">
        <f>SUBSTITUTE(Github!L$37, ";", ", ")</f>
        <v>Array, Hash Table, Matrix, </v>
      </c>
      <c r="J151" s="13" t="str">
        <f>Github!E$37</f>
        <v>Medium</v>
      </c>
      <c r="K151" s="13" t="str">
        <f>IF(TRIM(Github!D$37)="TRUE","FALSE","TRUE")</f>
        <v>TRUE</v>
      </c>
      <c r="L151" s="13" t="b">
        <f>Github!M$37</f>
        <v>1</v>
      </c>
      <c r="M151" s="13" t="b">
        <f>Github!N$37</f>
        <v>0</v>
      </c>
      <c r="N151" s="13">
        <f>Github!P$37</f>
        <v>992214</v>
      </c>
      <c r="O151" s="13">
        <f>Github!Q$37</f>
        <v>1716766</v>
      </c>
    </row>
    <row r="152">
      <c r="A152" s="13">
        <f>Github!J$330</f>
        <v>329</v>
      </c>
      <c r="B152" s="14" t="str">
        <f>HYPERLINK(CONCAT("http://leetcode.com/problems/",Github!C$330), Github!B$330)</f>
        <v>Longest Increasing Path in a Matrix</v>
      </c>
      <c r="C152" s="13">
        <f>Github!F$330</f>
        <v>7589</v>
      </c>
      <c r="D152" s="13">
        <f>Github!G$330</f>
        <v>112</v>
      </c>
      <c r="E152" s="13">
        <f>Github!F$330+Github!G$330</f>
        <v>7701</v>
      </c>
      <c r="F152" s="15">
        <f t="shared" si="1"/>
        <v>67.76</v>
      </c>
      <c r="G152" s="13" t="str">
        <f>ROUND(Github!O$330, 2)&amp;"%"</f>
        <v>52.31%</v>
      </c>
      <c r="H152" s="13" t="str">
        <f>Github!H$330</f>
        <v>Algorithms</v>
      </c>
      <c r="I152" s="16" t="str">
        <f>SUBSTITUTE(Github!L$330, ";", ", ")</f>
        <v>Array, Dynamic Programming, Depth-First Search, Breadth-First Search, Graph, Topological Sort, Memoization, Matrix, </v>
      </c>
      <c r="J152" s="13" t="str">
        <f>Github!E$330</f>
        <v>Hard</v>
      </c>
      <c r="K152" s="13" t="str">
        <f>IF(TRIM(Github!D$330)="TRUE","FALSE","TRUE")</f>
        <v>TRUE</v>
      </c>
      <c r="L152" s="13" t="b">
        <f>Github!M$330</f>
        <v>1</v>
      </c>
      <c r="M152" s="13" t="b">
        <f>Github!N$330</f>
        <v>0</v>
      </c>
      <c r="N152" s="13">
        <f>Github!P$330</f>
        <v>424666</v>
      </c>
      <c r="O152" s="13">
        <f>Github!Q$330</f>
        <v>811862</v>
      </c>
    </row>
    <row r="153">
      <c r="A153" s="13">
        <f>Github!J$203</f>
        <v>202</v>
      </c>
      <c r="B153" s="14" t="str">
        <f>HYPERLINK(CONCAT("http://leetcode.com/problems/",Github!C$203), Github!B$203)</f>
        <v>Happy Number</v>
      </c>
      <c r="C153" s="13">
        <f>Github!F$203</f>
        <v>7643</v>
      </c>
      <c r="D153" s="13">
        <f>Github!G$203</f>
        <v>953</v>
      </c>
      <c r="E153" s="13">
        <f>Github!F$203+Github!G$203</f>
        <v>8596</v>
      </c>
      <c r="F153" s="15">
        <f t="shared" si="1"/>
        <v>8.02</v>
      </c>
      <c r="G153" s="13" t="str">
        <f>ROUND(Github!O$203, 2)&amp;"%"</f>
        <v>54.56%</v>
      </c>
      <c r="H153" s="13" t="str">
        <f>Github!H$203</f>
        <v>Algorithms</v>
      </c>
      <c r="I153" s="16" t="str">
        <f>SUBSTITUTE(Github!L$203, ";", ", ")</f>
        <v>Hash Table, Math, Two Pointers, </v>
      </c>
      <c r="J153" s="13" t="str">
        <f>Github!E$203</f>
        <v>Easy</v>
      </c>
      <c r="K153" s="13" t="str">
        <f>IF(TRIM(Github!D$203)="TRUE","FALSE","TRUE")</f>
        <v>TRUE</v>
      </c>
      <c r="L153" s="13" t="b">
        <f>Github!M$203</f>
        <v>1</v>
      </c>
      <c r="M153" s="13" t="b">
        <f>Github!N$203</f>
        <v>0</v>
      </c>
      <c r="N153" s="13">
        <f>Github!P$203</f>
        <v>1038480</v>
      </c>
      <c r="O153" s="13">
        <f>Github!Q$203</f>
        <v>1903259</v>
      </c>
    </row>
    <row r="154">
      <c r="A154" s="13">
        <f>Github!J$135</f>
        <v>134</v>
      </c>
      <c r="B154" s="14" t="str">
        <f>HYPERLINK(CONCAT("http://leetcode.com/problems/",Github!C$135), Github!B$135)</f>
        <v>Gas Station</v>
      </c>
      <c r="C154" s="13">
        <f>Github!F$135</f>
        <v>7563</v>
      </c>
      <c r="D154" s="13">
        <f>Github!G$135</f>
        <v>700</v>
      </c>
      <c r="E154" s="13">
        <f>Github!F$135+Github!G$135</f>
        <v>8263</v>
      </c>
      <c r="F154" s="15">
        <f t="shared" si="1"/>
        <v>10.8</v>
      </c>
      <c r="G154" s="13" t="str">
        <f>ROUND(Github!O$135, 2)&amp;"%"</f>
        <v>45.14%</v>
      </c>
      <c r="H154" s="13" t="str">
        <f>Github!H$135</f>
        <v>Algorithms</v>
      </c>
      <c r="I154" s="16" t="str">
        <f>SUBSTITUTE(Github!L$135, ";", ", ")</f>
        <v>Array, Greedy, </v>
      </c>
      <c r="J154" s="13" t="str">
        <f>Github!E$135</f>
        <v>Medium</v>
      </c>
      <c r="K154" s="13" t="str">
        <f>IF(TRIM(Github!D$135)="TRUE","FALSE","TRUE")</f>
        <v>TRUE</v>
      </c>
      <c r="L154" s="13" t="b">
        <f>Github!M$135</f>
        <v>1</v>
      </c>
      <c r="M154" s="13" t="b">
        <f>Github!N$135</f>
        <v>0</v>
      </c>
      <c r="N154" s="13">
        <f>Github!P$135</f>
        <v>486018</v>
      </c>
      <c r="O154" s="13">
        <f>Github!Q$135</f>
        <v>1076662</v>
      </c>
    </row>
    <row r="155">
      <c r="A155" s="13">
        <f>Github!J$41</f>
        <v>40</v>
      </c>
      <c r="B155" s="14" t="str">
        <f>HYPERLINK(CONCAT("http://leetcode.com/problems/",Github!C$41), Github!B$41)</f>
        <v>Combination Sum II</v>
      </c>
      <c r="C155" s="13">
        <f>Github!F$41</f>
        <v>7591</v>
      </c>
      <c r="D155" s="13">
        <f>Github!G$41</f>
        <v>185</v>
      </c>
      <c r="E155" s="13">
        <f>Github!F$41+Github!G$41</f>
        <v>7776</v>
      </c>
      <c r="F155" s="15">
        <f t="shared" si="1"/>
        <v>41.03</v>
      </c>
      <c r="G155" s="13" t="str">
        <f>ROUND(Github!O$41, 2)&amp;"%"</f>
        <v>53.35%</v>
      </c>
      <c r="H155" s="13" t="str">
        <f>Github!H$41</f>
        <v>Algorithms</v>
      </c>
      <c r="I155" s="16" t="str">
        <f>SUBSTITUTE(Github!L$41, ";", ", ")</f>
        <v>Array, Backtracking, </v>
      </c>
      <c r="J155" s="13" t="str">
        <f>Github!E$41</f>
        <v>Medium</v>
      </c>
      <c r="K155" s="13" t="str">
        <f>IF(TRIM(Github!D$41)="TRUE","FALSE","TRUE")</f>
        <v>TRUE</v>
      </c>
      <c r="L155" s="13" t="b">
        <f>Github!M$41</f>
        <v>1</v>
      </c>
      <c r="M155" s="13" t="b">
        <f>Github!N$41</f>
        <v>0</v>
      </c>
      <c r="N155" s="13">
        <f>Github!P$41</f>
        <v>687541</v>
      </c>
      <c r="O155" s="13">
        <f>Github!Q$41</f>
        <v>1288676</v>
      </c>
    </row>
    <row r="156">
      <c r="A156" s="13">
        <f>Github!J$705</f>
        <v>704</v>
      </c>
      <c r="B156" s="14" t="str">
        <f>HYPERLINK(CONCAT("http://leetcode.com/problems/",Github!C$705), Github!B$705)</f>
        <v>Binary Search</v>
      </c>
      <c r="C156" s="13">
        <f>Github!F$705</f>
        <v>7609</v>
      </c>
      <c r="D156" s="13">
        <f>Github!G$705</f>
        <v>165</v>
      </c>
      <c r="E156" s="13">
        <f>Github!F$705+Github!G$705</f>
        <v>7774</v>
      </c>
      <c r="F156" s="15">
        <f t="shared" si="1"/>
        <v>46.12</v>
      </c>
      <c r="G156" s="13" t="str">
        <f>ROUND(Github!O$705, 2)&amp;"%"</f>
        <v>55.16%</v>
      </c>
      <c r="H156" s="13" t="str">
        <f>Github!H$705</f>
        <v>Algorithms</v>
      </c>
      <c r="I156" s="16" t="str">
        <f>SUBSTITUTE(Github!L$705, ";", ", ")</f>
        <v>Array, Binary Search, </v>
      </c>
      <c r="J156" s="13" t="str">
        <f>Github!E$705</f>
        <v>Easy</v>
      </c>
      <c r="K156" s="13" t="str">
        <f>IF(TRIM(Github!D$705)="TRUE","FALSE","TRUE")</f>
        <v>TRUE</v>
      </c>
      <c r="L156" s="13" t="b">
        <f>Github!M$705</f>
        <v>1</v>
      </c>
      <c r="M156" s="13" t="b">
        <f>Github!N$705</f>
        <v>0</v>
      </c>
      <c r="N156" s="13">
        <f>Github!P$705</f>
        <v>1455855</v>
      </c>
      <c r="O156" s="13">
        <f>Github!Q$705</f>
        <v>2639293</v>
      </c>
    </row>
    <row r="157">
      <c r="A157" s="13">
        <f>Github!J$214</f>
        <v>213</v>
      </c>
      <c r="B157" s="14" t="str">
        <f>HYPERLINK(CONCAT("http://leetcode.com/problems/",Github!C$214), Github!B$214)</f>
        <v>House Robber II</v>
      </c>
      <c r="C157" s="13">
        <f>Github!F$214</f>
        <v>7499</v>
      </c>
      <c r="D157" s="13">
        <f>Github!G$214</f>
        <v>111</v>
      </c>
      <c r="E157" s="13">
        <f>Github!F$214+Github!G$214</f>
        <v>7610</v>
      </c>
      <c r="F157" s="15">
        <f t="shared" si="1"/>
        <v>67.56</v>
      </c>
      <c r="G157" s="13" t="str">
        <f>ROUND(Github!O$214, 2)&amp;"%"</f>
        <v>40.8%</v>
      </c>
      <c r="H157" s="13" t="str">
        <f>Github!H$214</f>
        <v>Algorithms</v>
      </c>
      <c r="I157" s="16" t="str">
        <f>SUBSTITUTE(Github!L$214, ";", ", ")</f>
        <v>Array, Dynamic Programming, </v>
      </c>
      <c r="J157" s="13" t="str">
        <f>Github!E$214</f>
        <v>Medium</v>
      </c>
      <c r="K157" s="13" t="str">
        <f>IF(TRIM(Github!D$214)="TRUE","FALSE","TRUE")</f>
        <v>TRUE</v>
      </c>
      <c r="L157" s="13" t="b">
        <f>Github!M$214</f>
        <v>1</v>
      </c>
      <c r="M157" s="13" t="b">
        <f>Github!N$214</f>
        <v>0</v>
      </c>
      <c r="N157" s="13">
        <f>Github!P$214</f>
        <v>527610</v>
      </c>
      <c r="O157" s="13">
        <f>Github!Q$214</f>
        <v>1293053</v>
      </c>
    </row>
    <row r="158">
      <c r="A158" s="13">
        <f>Github!J$124</f>
        <v>123</v>
      </c>
      <c r="B158" s="14" t="str">
        <f>HYPERLINK(CONCAT("http://leetcode.com/problems/",Github!C$124), Github!B$124)</f>
        <v>Best Time to Buy and Sell Stock III</v>
      </c>
      <c r="C158" s="13">
        <f>Github!F$124</f>
        <v>7524</v>
      </c>
      <c r="D158" s="13">
        <f>Github!G$124</f>
        <v>143</v>
      </c>
      <c r="E158" s="13">
        <f>Github!F$124+Github!G$124</f>
        <v>7667</v>
      </c>
      <c r="F158" s="15">
        <f t="shared" si="1"/>
        <v>52.62</v>
      </c>
      <c r="G158" s="13" t="str">
        <f>ROUND(Github!O$124, 2)&amp;"%"</f>
        <v>45.1%</v>
      </c>
      <c r="H158" s="13" t="str">
        <f>Github!H$124</f>
        <v>Algorithms</v>
      </c>
      <c r="I158" s="16" t="str">
        <f>SUBSTITUTE(Github!L$124, ";", ", ")</f>
        <v>Array, Dynamic Programming, </v>
      </c>
      <c r="J158" s="13" t="str">
        <f>Github!E$124</f>
        <v>Hard</v>
      </c>
      <c r="K158" s="13" t="str">
        <f>IF(TRIM(Github!D$124)="TRUE","FALSE","TRUE")</f>
        <v>TRUE</v>
      </c>
      <c r="L158" s="13" t="b">
        <f>Github!M$124</f>
        <v>1</v>
      </c>
      <c r="M158" s="13" t="b">
        <f>Github!N$124</f>
        <v>0</v>
      </c>
      <c r="N158" s="13">
        <f>Github!P$124</f>
        <v>451037</v>
      </c>
      <c r="O158" s="13">
        <f>Github!Q$124</f>
        <v>1000169</v>
      </c>
    </row>
    <row r="159">
      <c r="A159" s="13">
        <f>Github!J$121</f>
        <v>120</v>
      </c>
      <c r="B159" s="14" t="str">
        <f>HYPERLINK(CONCAT("http://leetcode.com/problems/",Github!C$121), Github!B$121)</f>
        <v>Triangle</v>
      </c>
      <c r="C159" s="13">
        <f>Github!F$121</f>
        <v>7394</v>
      </c>
      <c r="D159" s="13">
        <f>Github!G$121</f>
        <v>455</v>
      </c>
      <c r="E159" s="13">
        <f>Github!F$121+Github!G$121</f>
        <v>7849</v>
      </c>
      <c r="F159" s="15">
        <f t="shared" si="1"/>
        <v>16.25</v>
      </c>
      <c r="G159" s="13" t="str">
        <f>ROUND(Github!O$121, 2)&amp;"%"</f>
        <v>54.13%</v>
      </c>
      <c r="H159" s="13" t="str">
        <f>Github!H$121</f>
        <v>Algorithms</v>
      </c>
      <c r="I159" s="16" t="str">
        <f>SUBSTITUTE(Github!L$121, ";", ", ")</f>
        <v>Array, Dynamic Programming, </v>
      </c>
      <c r="J159" s="13" t="str">
        <f>Github!E$121</f>
        <v>Medium</v>
      </c>
      <c r="K159" s="13" t="str">
        <f>IF(TRIM(Github!D$121)="TRUE","FALSE","TRUE")</f>
        <v>TRUE</v>
      </c>
      <c r="L159" s="13" t="b">
        <f>Github!M$121</f>
        <v>1</v>
      </c>
      <c r="M159" s="13" t="b">
        <f>Github!N$121</f>
        <v>0</v>
      </c>
      <c r="N159" s="13">
        <f>Github!P$121</f>
        <v>552373</v>
      </c>
      <c r="O159" s="13">
        <f>Github!Q$121</f>
        <v>1020367</v>
      </c>
    </row>
    <row r="160">
      <c r="A160" s="13">
        <f>Github!J$411</f>
        <v>410</v>
      </c>
      <c r="B160" s="14" t="str">
        <f>HYPERLINK(CONCAT("http://leetcode.com/problems/",Github!C$411), Github!B$411)</f>
        <v>Split Array Largest Sum</v>
      </c>
      <c r="C160" s="13">
        <f>Github!F$411</f>
        <v>7356</v>
      </c>
      <c r="D160" s="13">
        <f>Github!G$411</f>
        <v>167</v>
      </c>
      <c r="E160" s="13">
        <f>Github!F$411+Github!G$411</f>
        <v>7523</v>
      </c>
      <c r="F160" s="15">
        <f t="shared" si="1"/>
        <v>44.05</v>
      </c>
      <c r="G160" s="13" t="str">
        <f>ROUND(Github!O$411, 2)&amp;"%"</f>
        <v>53.34%</v>
      </c>
      <c r="H160" s="13" t="str">
        <f>Github!H$411</f>
        <v>Algorithms</v>
      </c>
      <c r="I160" s="16" t="str">
        <f>SUBSTITUTE(Github!L$411, ";", ", ")</f>
        <v>Array, Binary Search, Dynamic Programming, Greedy, </v>
      </c>
      <c r="J160" s="13" t="str">
        <f>Github!E$411</f>
        <v>Hard</v>
      </c>
      <c r="K160" s="13" t="str">
        <f>IF(TRIM(Github!D$411)="TRUE","FALSE","TRUE")</f>
        <v>TRUE</v>
      </c>
      <c r="L160" s="13" t="b">
        <f>Github!M$411</f>
        <v>1</v>
      </c>
      <c r="M160" s="13" t="b">
        <f>Github!N$411</f>
        <v>0</v>
      </c>
      <c r="N160" s="13">
        <f>Github!P$411</f>
        <v>246331</v>
      </c>
      <c r="O160" s="13">
        <f>Github!Q$411</f>
        <v>461847</v>
      </c>
    </row>
    <row r="161">
      <c r="A161" s="13">
        <f>Github!J$338</f>
        <v>337</v>
      </c>
      <c r="B161" s="14" t="str">
        <f>HYPERLINK(CONCAT("http://leetcode.com/problems/",Github!C$338), Github!B$338)</f>
        <v>House Robber III</v>
      </c>
      <c r="C161" s="13">
        <f>Github!F$338</f>
        <v>7298</v>
      </c>
      <c r="D161" s="13">
        <f>Github!G$338</f>
        <v>111</v>
      </c>
      <c r="E161" s="13">
        <f>Github!F$338+Github!G$338</f>
        <v>7409</v>
      </c>
      <c r="F161" s="15">
        <f t="shared" si="1"/>
        <v>65.75</v>
      </c>
      <c r="G161" s="13" t="str">
        <f>ROUND(Github!O$338, 2)&amp;"%"</f>
        <v>53.9%</v>
      </c>
      <c r="H161" s="13" t="str">
        <f>Github!H$338</f>
        <v>Algorithms</v>
      </c>
      <c r="I161" s="16" t="str">
        <f>SUBSTITUTE(Github!L$338, ";", ", ")</f>
        <v>Dynamic Programming, Tree, Depth-First Search, Binary Tree, </v>
      </c>
      <c r="J161" s="13" t="str">
        <f>Github!E$338</f>
        <v>Medium</v>
      </c>
      <c r="K161" s="13" t="str">
        <f>IF(TRIM(Github!D$338)="TRUE","FALSE","TRUE")</f>
        <v>TRUE</v>
      </c>
      <c r="L161" s="13" t="b">
        <f>Github!M$338</f>
        <v>1</v>
      </c>
      <c r="M161" s="13" t="b">
        <f>Github!N$338</f>
        <v>0</v>
      </c>
      <c r="N161" s="13">
        <f>Github!P$338</f>
        <v>321777</v>
      </c>
      <c r="O161" s="13">
        <f>Github!Q$338</f>
        <v>596967</v>
      </c>
    </row>
    <row r="162">
      <c r="A162" s="13">
        <f>Github!J$313</f>
        <v>312</v>
      </c>
      <c r="B162" s="14" t="str">
        <f>HYPERLINK(CONCAT("http://leetcode.com/problems/",Github!C$313), Github!B$313)</f>
        <v>Burst Balloons</v>
      </c>
      <c r="C162" s="13">
        <f>Github!F$313</f>
        <v>7255</v>
      </c>
      <c r="D162" s="13">
        <f>Github!G$313</f>
        <v>186</v>
      </c>
      <c r="E162" s="13">
        <f>Github!F$313+Github!G$313</f>
        <v>7441</v>
      </c>
      <c r="F162" s="15">
        <f t="shared" si="1"/>
        <v>39.01</v>
      </c>
      <c r="G162" s="13" t="str">
        <f>ROUND(Github!O$313, 2)&amp;"%"</f>
        <v>56.83%</v>
      </c>
      <c r="H162" s="13" t="str">
        <f>Github!H$313</f>
        <v>Algorithms</v>
      </c>
      <c r="I162" s="16" t="str">
        <f>SUBSTITUTE(Github!L$313, ";", ", ")</f>
        <v>Array, Dynamic Programming, </v>
      </c>
      <c r="J162" s="13" t="str">
        <f>Github!E$313</f>
        <v>Hard</v>
      </c>
      <c r="K162" s="13" t="str">
        <f>IF(TRIM(Github!D$313)="TRUE","FALSE","TRUE")</f>
        <v>TRUE</v>
      </c>
      <c r="L162" s="13" t="b">
        <f>Github!M$313</f>
        <v>1</v>
      </c>
      <c r="M162" s="13" t="b">
        <f>Github!N$313</f>
        <v>0</v>
      </c>
      <c r="N162" s="13">
        <f>Github!P$313</f>
        <v>215929</v>
      </c>
      <c r="O162" s="13">
        <f>Github!Q$313</f>
        <v>379974</v>
      </c>
    </row>
    <row r="163">
      <c r="A163" s="13">
        <f>Github!J$91</f>
        <v>90</v>
      </c>
      <c r="B163" s="14" t="str">
        <f>HYPERLINK(CONCAT("http://leetcode.com/problems/",Github!C$91), Github!B$91)</f>
        <v>Subsets II</v>
      </c>
      <c r="C163" s="13">
        <f>Github!F$91</f>
        <v>7256</v>
      </c>
      <c r="D163" s="13">
        <f>Github!G$91</f>
        <v>204</v>
      </c>
      <c r="E163" s="13">
        <f>Github!F$91+Github!G$91</f>
        <v>7460</v>
      </c>
      <c r="F163" s="15">
        <f t="shared" si="1"/>
        <v>35.57</v>
      </c>
      <c r="G163" s="13" t="str">
        <f>ROUND(Github!O$91, 2)&amp;"%"</f>
        <v>55.55%</v>
      </c>
      <c r="H163" s="13" t="str">
        <f>Github!H$91</f>
        <v>Algorithms</v>
      </c>
      <c r="I163" s="16" t="str">
        <f>SUBSTITUTE(Github!L$91, ";", ", ")</f>
        <v>Array, Backtracking, Bit Manipulation, </v>
      </c>
      <c r="J163" s="13" t="str">
        <f>Github!E$91</f>
        <v>Medium</v>
      </c>
      <c r="K163" s="13" t="str">
        <f>IF(TRIM(Github!D$91)="TRUE","FALSE","TRUE")</f>
        <v>TRUE</v>
      </c>
      <c r="L163" s="13" t="b">
        <f>Github!M$91</f>
        <v>1</v>
      </c>
      <c r="M163" s="13" t="b">
        <f>Github!N$91</f>
        <v>0</v>
      </c>
      <c r="N163" s="13">
        <f>Github!P$91</f>
        <v>643085</v>
      </c>
      <c r="O163" s="13">
        <f>Github!Q$91</f>
        <v>1157657</v>
      </c>
    </row>
    <row r="164">
      <c r="A164" s="13">
        <f>Github!J$134</f>
        <v>133</v>
      </c>
      <c r="B164" s="14" t="str">
        <f>HYPERLINK(CONCAT("http://leetcode.com/problems/",Github!C$134), Github!B$134)</f>
        <v>Clone Graph</v>
      </c>
      <c r="C164" s="13">
        <f>Github!F$134</f>
        <v>7182</v>
      </c>
      <c r="D164" s="13">
        <f>Github!G$134</f>
        <v>2932</v>
      </c>
      <c r="E164" s="13">
        <f>Github!F$134+Github!G$134</f>
        <v>10114</v>
      </c>
      <c r="F164" s="15">
        <f t="shared" si="1"/>
        <v>2.45</v>
      </c>
      <c r="G164" s="13" t="str">
        <f>ROUND(Github!O$134, 2)&amp;"%"</f>
        <v>51.16%</v>
      </c>
      <c r="H164" s="13" t="str">
        <f>Github!H$134</f>
        <v>Algorithms</v>
      </c>
      <c r="I164" s="16" t="str">
        <f>SUBSTITUTE(Github!L$134, ";", ", ")</f>
        <v>Hash Table, Depth-First Search, Breadth-First Search, Graph, </v>
      </c>
      <c r="J164" s="13" t="str">
        <f>Github!E$134</f>
        <v>Medium</v>
      </c>
      <c r="K164" s="13" t="str">
        <f>IF(TRIM(Github!D$134)="TRUE","FALSE","TRUE")</f>
        <v>TRUE</v>
      </c>
      <c r="L164" s="13" t="b">
        <f>Github!M$134</f>
        <v>1</v>
      </c>
      <c r="M164" s="13" t="b">
        <f>Github!N$134</f>
        <v>0</v>
      </c>
      <c r="N164" s="13">
        <f>Github!P$134</f>
        <v>883075</v>
      </c>
      <c r="O164" s="13">
        <f>Github!Q$134</f>
        <v>1726104</v>
      </c>
    </row>
    <row r="165">
      <c r="A165" s="13">
        <f>Github!J$174</f>
        <v>173</v>
      </c>
      <c r="B165" s="14" t="str">
        <f>HYPERLINK(CONCAT("http://leetcode.com/problems/",Github!C$174), Github!B$174)</f>
        <v>Binary Search Tree Iterator</v>
      </c>
      <c r="C165" s="13">
        <f>Github!F$174</f>
        <v>7154</v>
      </c>
      <c r="D165" s="13">
        <f>Github!G$174</f>
        <v>433</v>
      </c>
      <c r="E165" s="13">
        <f>Github!F$174+Github!G$174</f>
        <v>7587</v>
      </c>
      <c r="F165" s="15">
        <f t="shared" si="1"/>
        <v>16.52</v>
      </c>
      <c r="G165" s="13" t="str">
        <f>ROUND(Github!O$174, 2)&amp;"%"</f>
        <v>69.33%</v>
      </c>
      <c r="H165" s="13" t="str">
        <f>Github!H$174</f>
        <v>Algorithms</v>
      </c>
      <c r="I165" s="16" t="str">
        <f>SUBSTITUTE(Github!L$174, ";", ", ")</f>
        <v>Stack, Tree, Design, Binary Search Tree, Binary Tree, Iterator, </v>
      </c>
      <c r="J165" s="13" t="str">
        <f>Github!E$174</f>
        <v>Medium</v>
      </c>
      <c r="K165" s="13" t="str">
        <f>IF(TRIM(Github!D$174)="TRUE","FALSE","TRUE")</f>
        <v>TRUE</v>
      </c>
      <c r="L165" s="13" t="b">
        <f>Github!M$174</f>
        <v>1</v>
      </c>
      <c r="M165" s="13" t="b">
        <f>Github!N$174</f>
        <v>0</v>
      </c>
      <c r="N165" s="13">
        <f>Github!P$174</f>
        <v>645608</v>
      </c>
      <c r="O165" s="13">
        <f>Github!Q$174</f>
        <v>931171</v>
      </c>
    </row>
    <row r="166">
      <c r="A166" s="13">
        <f>Github!J$381</f>
        <v>380</v>
      </c>
      <c r="B166" s="14" t="str">
        <f>HYPERLINK(CONCAT("http://leetcode.com/problems/",Github!C$381), Github!B$381)</f>
        <v>Insert Delete GetRandom O(1)</v>
      </c>
      <c r="C166" s="13">
        <f>Github!F$381</f>
        <v>7142</v>
      </c>
      <c r="D166" s="13">
        <f>Github!G$381</f>
        <v>363</v>
      </c>
      <c r="E166" s="13">
        <f>Github!F$381+Github!G$381</f>
        <v>7505</v>
      </c>
      <c r="F166" s="15">
        <f t="shared" si="1"/>
        <v>19.67</v>
      </c>
      <c r="G166" s="13" t="str">
        <f>ROUND(Github!O$381, 2)&amp;"%"</f>
        <v>52.85%</v>
      </c>
      <c r="H166" s="13" t="str">
        <f>Github!H$381</f>
        <v>Algorithms</v>
      </c>
      <c r="I166" s="16" t="str">
        <f>SUBSTITUTE(Github!L$381, ";", ", ")</f>
        <v>Array, Hash Table, Math, Design, Randomized, </v>
      </c>
      <c r="J166" s="13" t="str">
        <f>Github!E$381</f>
        <v>Medium</v>
      </c>
      <c r="K166" s="13" t="str">
        <f>IF(TRIM(Github!D$381)="TRUE","FALSE","TRUE")</f>
        <v>TRUE</v>
      </c>
      <c r="L166" s="13" t="b">
        <f>Github!M$381</f>
        <v>1</v>
      </c>
      <c r="M166" s="13" t="b">
        <f>Github!N$381</f>
        <v>0</v>
      </c>
      <c r="N166" s="13">
        <f>Github!P$381</f>
        <v>596044</v>
      </c>
      <c r="O166" s="13">
        <f>Github!Q$381</f>
        <v>1127868</v>
      </c>
    </row>
    <row r="167">
      <c r="A167" s="13">
        <f>Github!J$388</f>
        <v>387</v>
      </c>
      <c r="B167" s="14" t="str">
        <f>HYPERLINK(CONCAT("http://leetcode.com/problems/",Github!C$388), Github!B$388)</f>
        <v>First Unique Character in a String</v>
      </c>
      <c r="C167" s="13">
        <f>Github!F$388</f>
        <v>7148</v>
      </c>
      <c r="D167" s="13">
        <f>Github!G$388</f>
        <v>242</v>
      </c>
      <c r="E167" s="13">
        <f>Github!F$388+Github!G$388</f>
        <v>7390</v>
      </c>
      <c r="F167" s="15">
        <f t="shared" si="1"/>
        <v>29.54</v>
      </c>
      <c r="G167" s="13" t="str">
        <f>ROUND(Github!O$388, 2)&amp;"%"</f>
        <v>59.14%</v>
      </c>
      <c r="H167" s="13" t="str">
        <f>Github!H$388</f>
        <v>Algorithms</v>
      </c>
      <c r="I167" s="16" t="str">
        <f>SUBSTITUTE(Github!L$388, ";", ", ")</f>
        <v>Hash Table, String, Queue, Counting, </v>
      </c>
      <c r="J167" s="13" t="str">
        <f>Github!E$388</f>
        <v>Easy</v>
      </c>
      <c r="K167" s="13" t="str">
        <f>IF(TRIM(Github!D$388)="TRUE","FALSE","TRUE")</f>
        <v>TRUE</v>
      </c>
      <c r="L167" s="13" t="b">
        <f>Github!M$388</f>
        <v>1</v>
      </c>
      <c r="M167" s="13" t="b">
        <f>Github!N$388</f>
        <v>1</v>
      </c>
      <c r="N167" s="13">
        <f>Github!P$388</f>
        <v>1312429</v>
      </c>
      <c r="O167" s="13">
        <f>Github!Q$388</f>
        <v>2219026</v>
      </c>
    </row>
    <row r="168">
      <c r="A168" s="13">
        <f>Github!J$38</f>
        <v>37</v>
      </c>
      <c r="B168" s="14" t="str">
        <f>HYPERLINK(CONCAT("http://leetcode.com/problems/",Github!C$38), Github!B$38)</f>
        <v>Sudoku Solver</v>
      </c>
      <c r="C168" s="13">
        <f>Github!F$38</f>
        <v>7133</v>
      </c>
      <c r="D168" s="13">
        <f>Github!G$38</f>
        <v>190</v>
      </c>
      <c r="E168" s="13">
        <f>Github!F$38+Github!G$38</f>
        <v>7323</v>
      </c>
      <c r="F168" s="15">
        <f t="shared" si="1"/>
        <v>37.54</v>
      </c>
      <c r="G168" s="13" t="str">
        <f>ROUND(Github!O$38, 2)&amp;"%"</f>
        <v>57.11%</v>
      </c>
      <c r="H168" s="13" t="str">
        <f>Github!H$38</f>
        <v>Algorithms</v>
      </c>
      <c r="I168" s="16" t="str">
        <f>SUBSTITUTE(Github!L$38, ";", ", ")</f>
        <v>Array, Backtracking, Matrix, </v>
      </c>
      <c r="J168" s="13" t="str">
        <f>Github!E$38</f>
        <v>Hard</v>
      </c>
      <c r="K168" s="13" t="str">
        <f>IF(TRIM(Github!D$38)="TRUE","FALSE","TRUE")</f>
        <v>TRUE</v>
      </c>
      <c r="L168" s="13" t="b">
        <f>Github!M$38</f>
        <v>1</v>
      </c>
      <c r="M168" s="13" t="b">
        <f>Github!N$38</f>
        <v>0</v>
      </c>
      <c r="N168" s="13">
        <f>Github!P$38</f>
        <v>425861</v>
      </c>
      <c r="O168" s="13">
        <f>Github!Q$38</f>
        <v>745709</v>
      </c>
    </row>
    <row r="169">
      <c r="A169" s="13">
        <f>Github!J$582</f>
        <v>581</v>
      </c>
      <c r="B169" s="14" t="str">
        <f>HYPERLINK(CONCAT("http://leetcode.com/problems/",Github!C$582), Github!B$582)</f>
        <v>Shortest Unsorted Continuous Subarray</v>
      </c>
      <c r="C169" s="13">
        <f>Github!F$582</f>
        <v>7063</v>
      </c>
      <c r="D169" s="13">
        <f>Github!G$582</f>
        <v>245</v>
      </c>
      <c r="E169" s="13">
        <f>Github!F$582+Github!G$582</f>
        <v>7308</v>
      </c>
      <c r="F169" s="15">
        <f t="shared" si="1"/>
        <v>28.83</v>
      </c>
      <c r="G169" s="13" t="str">
        <f>ROUND(Github!O$582, 2)&amp;"%"</f>
        <v>36.29%</v>
      </c>
      <c r="H169" s="13" t="str">
        <f>Github!H$582</f>
        <v>Algorithms</v>
      </c>
      <c r="I169" s="16" t="str">
        <f>SUBSTITUTE(Github!L$582, ";", ", ")</f>
        <v>Array, Two Pointers, Stack, Greedy, Sorting, Monotonic Stack, </v>
      </c>
      <c r="J169" s="13" t="str">
        <f>Github!E$582</f>
        <v>Medium</v>
      </c>
      <c r="K169" s="13" t="str">
        <f>IF(TRIM(Github!D$582)="TRUE","FALSE","TRUE")</f>
        <v>TRUE</v>
      </c>
      <c r="L169" s="13" t="b">
        <f>Github!M$582</f>
        <v>1</v>
      </c>
      <c r="M169" s="13" t="b">
        <f>Github!N$582</f>
        <v>0</v>
      </c>
      <c r="N169" s="13">
        <f>Github!P$582</f>
        <v>292540</v>
      </c>
      <c r="O169" s="13">
        <f>Github!Q$582</f>
        <v>806050</v>
      </c>
    </row>
    <row r="170">
      <c r="A170" s="13">
        <f>Github!J$83</f>
        <v>82</v>
      </c>
      <c r="B170" s="14" t="str">
        <f>HYPERLINK(CONCAT("http://leetcode.com/problems/",Github!C$83), Github!B$83)</f>
        <v>Remove Duplicates from Sorted List II</v>
      </c>
      <c r="C170" s="13">
        <f>Github!F$83</f>
        <v>7078</v>
      </c>
      <c r="D170" s="13">
        <f>Github!G$83</f>
        <v>186</v>
      </c>
      <c r="E170" s="13">
        <f>Github!F$83+Github!G$83</f>
        <v>7264</v>
      </c>
      <c r="F170" s="15">
        <f t="shared" si="1"/>
        <v>38.05</v>
      </c>
      <c r="G170" s="13" t="str">
        <f>ROUND(Github!O$83, 2)&amp;"%"</f>
        <v>45.63%</v>
      </c>
      <c r="H170" s="13" t="str">
        <f>Github!H$83</f>
        <v>Algorithms</v>
      </c>
      <c r="I170" s="16" t="str">
        <f>SUBSTITUTE(Github!L$83, ";", ", ")</f>
        <v>Linked List, Two Pointers, </v>
      </c>
      <c r="J170" s="13" t="str">
        <f>Github!E$83</f>
        <v>Medium</v>
      </c>
      <c r="K170" s="13" t="str">
        <f>IF(TRIM(Github!D$83)="TRUE","FALSE","TRUE")</f>
        <v>TRUE</v>
      </c>
      <c r="L170" s="13" t="b">
        <f>Github!M$83</f>
        <v>1</v>
      </c>
      <c r="M170" s="13" t="b">
        <f>Github!N$83</f>
        <v>0</v>
      </c>
      <c r="N170" s="13">
        <f>Github!P$83</f>
        <v>565946</v>
      </c>
      <c r="O170" s="13">
        <f>Github!Q$83</f>
        <v>1240365</v>
      </c>
    </row>
    <row r="171">
      <c r="A171" s="13">
        <f>Github!J$978</f>
        <v>977</v>
      </c>
      <c r="B171" s="14" t="str">
        <f>HYPERLINK(CONCAT("http://leetcode.com/problems/",Github!C$978), Github!B$978)</f>
        <v>Squares of a Sorted Array</v>
      </c>
      <c r="C171" s="13">
        <f>Github!F$978</f>
        <v>7093</v>
      </c>
      <c r="D171" s="13">
        <f>Github!G$978</f>
        <v>177</v>
      </c>
      <c r="E171" s="13">
        <f>Github!F$978+Github!G$978</f>
        <v>7270</v>
      </c>
      <c r="F171" s="15">
        <f t="shared" si="1"/>
        <v>40.07</v>
      </c>
      <c r="G171" s="13" t="str">
        <f>ROUND(Github!O$978, 2)&amp;"%"</f>
        <v>71.91%</v>
      </c>
      <c r="H171" s="13" t="str">
        <f>Github!H$978</f>
        <v>Algorithms</v>
      </c>
      <c r="I171" s="16" t="str">
        <f>SUBSTITUTE(Github!L$978, ";", ", ")</f>
        <v>Array, Two Pointers, Sorting, </v>
      </c>
      <c r="J171" s="13" t="str">
        <f>Github!E$978</f>
        <v>Easy</v>
      </c>
      <c r="K171" s="13" t="str">
        <f>IF(TRIM(Github!D$978)="TRUE","FALSE","TRUE")</f>
        <v>TRUE</v>
      </c>
      <c r="L171" s="13" t="b">
        <f>Github!M$978</f>
        <v>1</v>
      </c>
      <c r="M171" s="13" t="b">
        <f>Github!N$978</f>
        <v>1</v>
      </c>
      <c r="N171" s="13">
        <f>Github!P$978</f>
        <v>1281042</v>
      </c>
      <c r="O171" s="13">
        <f>Github!Q$978</f>
        <v>1781516</v>
      </c>
    </row>
    <row r="172">
      <c r="A172" s="13">
        <f>Github!J$310</f>
        <v>309</v>
      </c>
      <c r="B172" s="14" t="str">
        <f>HYPERLINK(CONCAT("http://leetcode.com/problems/",Github!C$310), Github!B$310)</f>
        <v>Best Time to Buy and Sell Stock with Cooldown</v>
      </c>
      <c r="C172" s="13">
        <f>Github!F$310</f>
        <v>7843</v>
      </c>
      <c r="D172" s="13">
        <f>Github!G$310</f>
        <v>269</v>
      </c>
      <c r="E172" s="13">
        <f>Github!F$310+Github!G$310</f>
        <v>8112</v>
      </c>
      <c r="F172" s="15">
        <f t="shared" si="1"/>
        <v>29.16</v>
      </c>
      <c r="G172" s="13" t="str">
        <f>ROUND(Github!O$310, 2)&amp;"%"</f>
        <v>55.88%</v>
      </c>
      <c r="H172" s="13" t="str">
        <f>Github!H$310</f>
        <v>Algorithms</v>
      </c>
      <c r="I172" s="16" t="str">
        <f>SUBSTITUTE(Github!L$310, ";", ", ")</f>
        <v>Array, Dynamic Programming, </v>
      </c>
      <c r="J172" s="13" t="str">
        <f>Github!E$310</f>
        <v>Medium</v>
      </c>
      <c r="K172" s="13" t="str">
        <f>IF(TRIM(Github!D$310)="TRUE","FALSE","TRUE")</f>
        <v>TRUE</v>
      </c>
      <c r="L172" s="13" t="b">
        <f>Github!M$310</f>
        <v>1</v>
      </c>
      <c r="M172" s="13" t="b">
        <f>Github!N$310</f>
        <v>0</v>
      </c>
      <c r="N172" s="13">
        <f>Github!P$310</f>
        <v>379063</v>
      </c>
      <c r="O172" s="13">
        <f>Github!Q$310</f>
        <v>678372</v>
      </c>
    </row>
    <row r="173">
      <c r="A173" s="13">
        <f>Github!J$403</f>
        <v>402</v>
      </c>
      <c r="B173" s="14" t="str">
        <f>HYPERLINK(CONCAT("http://leetcode.com/problems/",Github!C$403), Github!B$403)</f>
        <v>Remove K Digits</v>
      </c>
      <c r="C173" s="13">
        <f>Github!F$403</f>
        <v>7031</v>
      </c>
      <c r="D173" s="13">
        <f>Github!G$403</f>
        <v>296</v>
      </c>
      <c r="E173" s="13">
        <f>Github!F$403+Github!G$403</f>
        <v>7327</v>
      </c>
      <c r="F173" s="15">
        <f t="shared" si="1"/>
        <v>23.75</v>
      </c>
      <c r="G173" s="13" t="str">
        <f>ROUND(Github!O$403, 2)&amp;"%"</f>
        <v>30.5%</v>
      </c>
      <c r="H173" s="13" t="str">
        <f>Github!H$403</f>
        <v>Algorithms</v>
      </c>
      <c r="I173" s="16" t="str">
        <f>SUBSTITUTE(Github!L$403, ";", ", ")</f>
        <v>String, Stack, Greedy, Monotonic Stack, </v>
      </c>
      <c r="J173" s="13" t="str">
        <f>Github!E$403</f>
        <v>Medium</v>
      </c>
      <c r="K173" s="13" t="str">
        <f>IF(TRIM(Github!D$403)="TRUE","FALSE","TRUE")</f>
        <v>TRUE</v>
      </c>
      <c r="L173" s="13" t="b">
        <f>Github!M$403</f>
        <v>1</v>
      </c>
      <c r="M173" s="13" t="b">
        <f>Github!N$403</f>
        <v>0</v>
      </c>
      <c r="N173" s="13">
        <f>Github!P$403</f>
        <v>294314</v>
      </c>
      <c r="O173" s="13">
        <f>Github!Q$403</f>
        <v>965119</v>
      </c>
    </row>
    <row r="174">
      <c r="A174" s="13">
        <f>Github!J$974</f>
        <v>973</v>
      </c>
      <c r="B174" s="14" t="str">
        <f>HYPERLINK(CONCAT("http://leetcode.com/problems/",Github!C$974), Github!B$974)</f>
        <v>K Closest Points to Origin</v>
      </c>
      <c r="C174" s="13">
        <f>Github!F$974</f>
        <v>6965</v>
      </c>
      <c r="D174" s="13">
        <f>Github!G$974</f>
        <v>255</v>
      </c>
      <c r="E174" s="13">
        <f>Github!F$974+Github!G$974</f>
        <v>7220</v>
      </c>
      <c r="F174" s="15">
        <f t="shared" si="1"/>
        <v>27.31</v>
      </c>
      <c r="G174" s="13" t="str">
        <f>ROUND(Github!O$974, 2)&amp;"%"</f>
        <v>65.82%</v>
      </c>
      <c r="H174" s="13" t="str">
        <f>Github!H$974</f>
        <v>Algorithms</v>
      </c>
      <c r="I174" s="16" t="str">
        <f>SUBSTITUTE(Github!L$974, ";", ", ")</f>
        <v>Array, Math, Divide and Conquer, Geometry, Sorting, Heap (Priority Queue), Quickselect, </v>
      </c>
      <c r="J174" s="13" t="str">
        <f>Github!E$974</f>
        <v>Medium</v>
      </c>
      <c r="K174" s="13" t="str">
        <f>IF(TRIM(Github!D$974)="TRUE","FALSE","TRUE")</f>
        <v>TRUE</v>
      </c>
      <c r="L174" s="13" t="b">
        <f>Github!M$974</f>
        <v>1</v>
      </c>
      <c r="M174" s="13" t="b">
        <f>Github!N$974</f>
        <v>0</v>
      </c>
      <c r="N174" s="13">
        <f>Github!P$974</f>
        <v>925905</v>
      </c>
      <c r="O174" s="13">
        <f>Github!Q$974</f>
        <v>1406695</v>
      </c>
    </row>
    <row r="175">
      <c r="A175" s="13">
        <f>Github!J$223</f>
        <v>222</v>
      </c>
      <c r="B175" s="14" t="str">
        <f>HYPERLINK(CONCAT("http://leetcode.com/problems/",Github!C$223), Github!B$223)</f>
        <v>Count Complete Tree Nodes</v>
      </c>
      <c r="C175" s="13">
        <f>Github!F$223</f>
        <v>6959</v>
      </c>
      <c r="D175" s="13">
        <f>Github!G$223</f>
        <v>392</v>
      </c>
      <c r="E175" s="13">
        <f>Github!F$223+Github!G$223</f>
        <v>7351</v>
      </c>
      <c r="F175" s="15">
        <f t="shared" si="1"/>
        <v>17.75</v>
      </c>
      <c r="G175" s="13" t="str">
        <f>ROUND(Github!O$223, 2)&amp;"%"</f>
        <v>59.99%</v>
      </c>
      <c r="H175" s="13" t="str">
        <f>Github!H$223</f>
        <v>Algorithms</v>
      </c>
      <c r="I175" s="16" t="str">
        <f>SUBSTITUTE(Github!L$223, ";", ", ")</f>
        <v>Binary Search, Tree, Depth-First Search, Binary Tree, </v>
      </c>
      <c r="J175" s="13" t="str">
        <f>Github!E$223</f>
        <v>Medium</v>
      </c>
      <c r="K175" s="13" t="str">
        <f>IF(TRIM(Github!D$223)="TRUE","FALSE","TRUE")</f>
        <v>TRUE</v>
      </c>
      <c r="L175" s="13" t="b">
        <f>Github!M$223</f>
        <v>1</v>
      </c>
      <c r="M175" s="13" t="b">
        <f>Github!N$223</f>
        <v>0</v>
      </c>
      <c r="N175" s="13">
        <f>Github!P$223</f>
        <v>521488</v>
      </c>
      <c r="O175" s="13">
        <f>Github!Q$223</f>
        <v>869317</v>
      </c>
    </row>
    <row r="176">
      <c r="A176" s="13">
        <f>Github!J$62</f>
        <v>61</v>
      </c>
      <c r="B176" s="14" t="str">
        <f>HYPERLINK(CONCAT("http://leetcode.com/problems/",Github!C$62), Github!B$62)</f>
        <v>Rotate List</v>
      </c>
      <c r="C176" s="13">
        <f>Github!F$62</f>
        <v>6976</v>
      </c>
      <c r="D176" s="13">
        <f>Github!G$62</f>
        <v>1328</v>
      </c>
      <c r="E176" s="13">
        <f>Github!F$62+Github!G$62</f>
        <v>8304</v>
      </c>
      <c r="F176" s="15">
        <f t="shared" si="1"/>
        <v>5.25</v>
      </c>
      <c r="G176" s="13" t="str">
        <f>ROUND(Github!O$62, 2)&amp;"%"</f>
        <v>35.9%</v>
      </c>
      <c r="H176" s="13" t="str">
        <f>Github!H$62</f>
        <v>Algorithms</v>
      </c>
      <c r="I176" s="16" t="str">
        <f>SUBSTITUTE(Github!L$62, ";", ", ")</f>
        <v>Linked List, Two Pointers, </v>
      </c>
      <c r="J176" s="13" t="str">
        <f>Github!E$62</f>
        <v>Medium</v>
      </c>
      <c r="K176" s="13" t="str">
        <f>IF(TRIM(Github!D$62)="TRUE","FALSE","TRUE")</f>
        <v>TRUE</v>
      </c>
      <c r="L176" s="13" t="b">
        <f>Github!M$62</f>
        <v>1</v>
      </c>
      <c r="M176" s="13" t="b">
        <f>Github!N$62</f>
        <v>0</v>
      </c>
      <c r="N176" s="13">
        <f>Github!P$62</f>
        <v>671684</v>
      </c>
      <c r="O176" s="13">
        <f>Github!Q$62</f>
        <v>1870770</v>
      </c>
    </row>
    <row r="177">
      <c r="A177" s="13">
        <f>Github!J$425</f>
        <v>424</v>
      </c>
      <c r="B177" s="14" t="str">
        <f>HYPERLINK(CONCAT("http://leetcode.com/problems/",Github!C$425), Github!B$425)</f>
        <v>Longest Repeating Character Replacement</v>
      </c>
      <c r="C177" s="13">
        <f>Github!F$425</f>
        <v>7004</v>
      </c>
      <c r="D177" s="13">
        <f>Github!G$425</f>
        <v>271</v>
      </c>
      <c r="E177" s="13">
        <f>Github!F$425+Github!G$425</f>
        <v>7275</v>
      </c>
      <c r="F177" s="15">
        <f t="shared" si="1"/>
        <v>25.85</v>
      </c>
      <c r="G177" s="13" t="str">
        <f>ROUND(Github!O$425, 2)&amp;"%"</f>
        <v>51.59%</v>
      </c>
      <c r="H177" s="13" t="str">
        <f>Github!H$425</f>
        <v>Algorithms</v>
      </c>
      <c r="I177" s="16" t="str">
        <f>SUBSTITUTE(Github!L$425, ";", ", ")</f>
        <v>Hash Table, String, Sliding Window, </v>
      </c>
      <c r="J177" s="13" t="str">
        <f>Github!E$425</f>
        <v>Medium</v>
      </c>
      <c r="K177" s="13" t="str">
        <f>IF(TRIM(Github!D$425)="TRUE","FALSE","TRUE")</f>
        <v>TRUE</v>
      </c>
      <c r="L177" s="13" t="b">
        <f>Github!M$425</f>
        <v>1</v>
      </c>
      <c r="M177" s="13" t="b">
        <f>Github!N$425</f>
        <v>0</v>
      </c>
      <c r="N177" s="13">
        <f>Github!P$425</f>
        <v>384509</v>
      </c>
      <c r="O177" s="13">
        <f>Github!Q$425</f>
        <v>745363</v>
      </c>
    </row>
    <row r="178">
      <c r="A178" s="13">
        <f>Github!J$48</f>
        <v>47</v>
      </c>
      <c r="B178" s="14" t="str">
        <f>HYPERLINK(CONCAT("http://leetcode.com/problems/",Github!C$48), Github!B$48)</f>
        <v>Permutations II</v>
      </c>
      <c r="C178" s="13">
        <f>Github!F$48</f>
        <v>6902</v>
      </c>
      <c r="D178" s="13">
        <f>Github!G$48</f>
        <v>123</v>
      </c>
      <c r="E178" s="13">
        <f>Github!F$48+Github!G$48</f>
        <v>7025</v>
      </c>
      <c r="F178" s="15">
        <f t="shared" si="1"/>
        <v>56.11</v>
      </c>
      <c r="G178" s="13" t="str">
        <f>ROUND(Github!O$48, 2)&amp;"%"</f>
        <v>56.97%</v>
      </c>
      <c r="H178" s="13" t="str">
        <f>Github!H$48</f>
        <v>Algorithms</v>
      </c>
      <c r="I178" s="16" t="str">
        <f>SUBSTITUTE(Github!L$48, ";", ", ")</f>
        <v>Array, Backtracking, </v>
      </c>
      <c r="J178" s="13" t="str">
        <f>Github!E$48</f>
        <v>Medium</v>
      </c>
      <c r="K178" s="13" t="str">
        <f>IF(TRIM(Github!D$48)="TRUE","FALSE","TRUE")</f>
        <v>TRUE</v>
      </c>
      <c r="L178" s="13" t="b">
        <f>Github!M$48</f>
        <v>1</v>
      </c>
      <c r="M178" s="13" t="b">
        <f>Github!N$48</f>
        <v>0</v>
      </c>
      <c r="N178" s="13">
        <f>Github!P$48</f>
        <v>743629</v>
      </c>
      <c r="O178" s="13">
        <f>Github!Q$48</f>
        <v>1305340</v>
      </c>
    </row>
    <row r="179">
      <c r="A179" s="13">
        <f>Github!J$451</f>
        <v>450</v>
      </c>
      <c r="B179" s="14" t="str">
        <f>HYPERLINK(CONCAT("http://leetcode.com/problems/",Github!C$451), Github!B$451)</f>
        <v>Delete Node in a BST</v>
      </c>
      <c r="C179" s="13">
        <f>Github!F$451</f>
        <v>6764</v>
      </c>
      <c r="D179" s="13">
        <f>Github!G$451</f>
        <v>173</v>
      </c>
      <c r="E179" s="13">
        <f>Github!F$451+Github!G$451</f>
        <v>6937</v>
      </c>
      <c r="F179" s="15">
        <f t="shared" si="1"/>
        <v>39.1</v>
      </c>
      <c r="G179" s="13" t="str">
        <f>ROUND(Github!O$451, 2)&amp;"%"</f>
        <v>50.06%</v>
      </c>
      <c r="H179" s="13" t="str">
        <f>Github!H$451</f>
        <v>Algorithms</v>
      </c>
      <c r="I179" s="16" t="str">
        <f>SUBSTITUTE(Github!L$451, ";", ", ")</f>
        <v>Tree, Binary Search Tree, Binary Tree, </v>
      </c>
      <c r="J179" s="13" t="str">
        <f>Github!E$451</f>
        <v>Medium</v>
      </c>
      <c r="K179" s="13" t="str">
        <f>IF(TRIM(Github!D$451)="TRUE","FALSE","TRUE")</f>
        <v>TRUE</v>
      </c>
      <c r="L179" s="13" t="b">
        <f>Github!M$451</f>
        <v>1</v>
      </c>
      <c r="M179" s="13" t="b">
        <f>Github!N$451</f>
        <v>0</v>
      </c>
      <c r="N179" s="13">
        <f>Github!P$451</f>
        <v>332396</v>
      </c>
      <c r="O179" s="13">
        <f>Github!Q$451</f>
        <v>664007</v>
      </c>
    </row>
    <row r="180">
      <c r="A180" s="13">
        <f>Github!J$400</f>
        <v>399</v>
      </c>
      <c r="B180" s="14" t="str">
        <f>HYPERLINK(CONCAT("http://leetcode.com/problems/",Github!C$400), Github!B$400)</f>
        <v>Evaluate Division</v>
      </c>
      <c r="C180" s="13">
        <f>Github!F$400</f>
        <v>6725</v>
      </c>
      <c r="D180" s="13">
        <f>Github!G$400</f>
        <v>585</v>
      </c>
      <c r="E180" s="13">
        <f>Github!F$400+Github!G$400</f>
        <v>7310</v>
      </c>
      <c r="F180" s="15">
        <f t="shared" si="1"/>
        <v>11.5</v>
      </c>
      <c r="G180" s="13" t="str">
        <f>ROUND(Github!O$400, 2)&amp;"%"</f>
        <v>59.58%</v>
      </c>
      <c r="H180" s="13" t="str">
        <f>Github!H$400</f>
        <v>Algorithms</v>
      </c>
      <c r="I180" s="16" t="str">
        <f>SUBSTITUTE(Github!L$400, ";", ", ")</f>
        <v>Array, Depth-First Search, Breadth-First Search, Union Find, Graph, Shortest Path, </v>
      </c>
      <c r="J180" s="13" t="str">
        <f>Github!E$400</f>
        <v>Medium</v>
      </c>
      <c r="K180" s="13" t="str">
        <f>IF(TRIM(Github!D$400)="TRUE","FALSE","TRUE")</f>
        <v>TRUE</v>
      </c>
      <c r="L180" s="13" t="b">
        <f>Github!M$400</f>
        <v>1</v>
      </c>
      <c r="M180" s="13" t="b">
        <f>Github!N$400</f>
        <v>0</v>
      </c>
      <c r="N180" s="13">
        <f>Github!P$400</f>
        <v>321230</v>
      </c>
      <c r="O180" s="13">
        <f>Github!Q$400</f>
        <v>539176</v>
      </c>
    </row>
    <row r="181">
      <c r="A181" s="13">
        <f>Github!J$548</f>
        <v>547</v>
      </c>
      <c r="B181" s="14" t="str">
        <f>HYPERLINK(CONCAT("http://leetcode.com/problems/",Github!C$548), Github!B$548)</f>
        <v>Number of Provinces</v>
      </c>
      <c r="C181" s="13">
        <f>Github!F$548</f>
        <v>6772</v>
      </c>
      <c r="D181" s="13">
        <f>Github!G$548</f>
        <v>279</v>
      </c>
      <c r="E181" s="13">
        <f>Github!F$548+Github!G$548</f>
        <v>7051</v>
      </c>
      <c r="F181" s="15">
        <f t="shared" si="1"/>
        <v>24.27</v>
      </c>
      <c r="G181" s="13" t="str">
        <f>ROUND(Github!O$548, 2)&amp;"%"</f>
        <v>63.47%</v>
      </c>
      <c r="H181" s="13" t="str">
        <f>Github!H$548</f>
        <v>Algorithms</v>
      </c>
      <c r="I181" s="16" t="str">
        <f>SUBSTITUTE(Github!L$548, ";", ", ")</f>
        <v>Depth-First Search, Breadth-First Search, Union Find, Graph, </v>
      </c>
      <c r="J181" s="13" t="str">
        <f>Github!E$548</f>
        <v>Medium</v>
      </c>
      <c r="K181" s="13" t="str">
        <f>IF(TRIM(Github!D$548)="TRUE","FALSE","TRUE")</f>
        <v>TRUE</v>
      </c>
      <c r="L181" s="13" t="b">
        <f>Github!M$548</f>
        <v>1</v>
      </c>
      <c r="M181" s="13" t="b">
        <f>Github!N$548</f>
        <v>0</v>
      </c>
      <c r="N181" s="13">
        <f>Github!P$548</f>
        <v>574524</v>
      </c>
      <c r="O181" s="13">
        <f>Github!Q$548</f>
        <v>905149</v>
      </c>
    </row>
    <row r="182">
      <c r="A182" s="13">
        <f>Github!J$541</f>
        <v>540</v>
      </c>
      <c r="B182" s="14" t="str">
        <f>HYPERLINK(CONCAT("http://leetcode.com/problems/",Github!C$541), Github!B$541)</f>
        <v>Single Element in a Sorted Array</v>
      </c>
      <c r="C182" s="13">
        <f>Github!F$541</f>
        <v>6762</v>
      </c>
      <c r="D182" s="13">
        <f>Github!G$541</f>
        <v>117</v>
      </c>
      <c r="E182" s="13">
        <f>Github!F$541+Github!G$541</f>
        <v>6879</v>
      </c>
      <c r="F182" s="15">
        <f t="shared" si="1"/>
        <v>57.79</v>
      </c>
      <c r="G182" s="13" t="str">
        <f>ROUND(Github!O$541, 2)&amp;"%"</f>
        <v>58.44%</v>
      </c>
      <c r="H182" s="13" t="str">
        <f>Github!H$541</f>
        <v>Algorithms</v>
      </c>
      <c r="I182" s="16" t="str">
        <f>SUBSTITUTE(Github!L$541, ";", ", ")</f>
        <v>Array, Binary Search, </v>
      </c>
      <c r="J182" s="13" t="str">
        <f>Github!E$541</f>
        <v>Medium</v>
      </c>
      <c r="K182" s="13" t="str">
        <f>IF(TRIM(Github!D$541)="TRUE","FALSE","TRUE")</f>
        <v>TRUE</v>
      </c>
      <c r="L182" s="13" t="b">
        <f>Github!M$541</f>
        <v>1</v>
      </c>
      <c r="M182" s="13" t="b">
        <f>Github!N$541</f>
        <v>0</v>
      </c>
      <c r="N182" s="13">
        <f>Github!P$541</f>
        <v>353321</v>
      </c>
      <c r="O182" s="13">
        <f>Github!Q$541</f>
        <v>604586</v>
      </c>
    </row>
    <row r="183">
      <c r="A183" s="13">
        <f>Github!J$517</f>
        <v>516</v>
      </c>
      <c r="B183" s="14" t="str">
        <f>HYPERLINK(CONCAT("http://leetcode.com/problems/",Github!C$517), Github!B$517)</f>
        <v>Longest Palindromic Subsequence</v>
      </c>
      <c r="C183" s="13">
        <f>Github!F$517</f>
        <v>6718</v>
      </c>
      <c r="D183" s="13">
        <f>Github!G$517</f>
        <v>271</v>
      </c>
      <c r="E183" s="13">
        <f>Github!F$517+Github!G$517</f>
        <v>6989</v>
      </c>
      <c r="F183" s="15">
        <f t="shared" si="1"/>
        <v>24.79</v>
      </c>
      <c r="G183" s="13" t="str">
        <f>ROUND(Github!O$517, 2)&amp;"%"</f>
        <v>60.79%</v>
      </c>
      <c r="H183" s="13" t="str">
        <f>Github!H$517</f>
        <v>Algorithms</v>
      </c>
      <c r="I183" s="16" t="str">
        <f>SUBSTITUTE(Github!L$517, ";", ", ")</f>
        <v>String, Dynamic Programming, </v>
      </c>
      <c r="J183" s="13" t="str">
        <f>Github!E$517</f>
        <v>Medium</v>
      </c>
      <c r="K183" s="13" t="str">
        <f>IF(TRIM(Github!D$517)="TRUE","FALSE","TRUE")</f>
        <v>TRUE</v>
      </c>
      <c r="L183" s="13" t="b">
        <f>Github!M$517</f>
        <v>0</v>
      </c>
      <c r="M183" s="13" t="b">
        <f>Github!N$517</f>
        <v>0</v>
      </c>
      <c r="N183" s="13">
        <f>Github!P$517</f>
        <v>313361</v>
      </c>
      <c r="O183" s="13">
        <f>Github!Q$517</f>
        <v>515463</v>
      </c>
    </row>
    <row r="184">
      <c r="A184" s="13">
        <f>Github!J$573</f>
        <v>572</v>
      </c>
      <c r="B184" s="14" t="str">
        <f>HYPERLINK(CONCAT("http://leetcode.com/problems/",Github!C$573), Github!B$573)</f>
        <v>Subtree of Another Tree</v>
      </c>
      <c r="C184" s="13">
        <f>Github!F$573</f>
        <v>6692</v>
      </c>
      <c r="D184" s="13">
        <f>Github!G$573</f>
        <v>377</v>
      </c>
      <c r="E184" s="13">
        <f>Github!F$573+Github!G$573</f>
        <v>7069</v>
      </c>
      <c r="F184" s="15">
        <f t="shared" si="1"/>
        <v>17.75</v>
      </c>
      <c r="G184" s="13" t="str">
        <f>ROUND(Github!O$573, 2)&amp;"%"</f>
        <v>46.1%</v>
      </c>
      <c r="H184" s="13" t="str">
        <f>Github!H$573</f>
        <v>Algorithms</v>
      </c>
      <c r="I184" s="16" t="str">
        <f>SUBSTITUTE(Github!L$573, ";", ", ")</f>
        <v>Tree, Depth-First Search, String Matching, Binary Tree, Hash Function, </v>
      </c>
      <c r="J184" s="13" t="str">
        <f>Github!E$573</f>
        <v>Easy</v>
      </c>
      <c r="K184" s="13" t="str">
        <f>IF(TRIM(Github!D$573)="TRUE","FALSE","TRUE")</f>
        <v>TRUE</v>
      </c>
      <c r="L184" s="13" t="b">
        <f>Github!M$573</f>
        <v>1</v>
      </c>
      <c r="M184" s="13" t="b">
        <f>Github!N$573</f>
        <v>0</v>
      </c>
      <c r="N184" s="13">
        <f>Github!P$573</f>
        <v>604735</v>
      </c>
      <c r="O184" s="13">
        <f>Github!Q$573</f>
        <v>1311865</v>
      </c>
    </row>
    <row r="185">
      <c r="A185" s="13">
        <f>Github!J$279</f>
        <v>278</v>
      </c>
      <c r="B185" s="14" t="str">
        <f>HYPERLINK(CONCAT("http://leetcode.com/problems/",Github!C$279), Github!B$279)</f>
        <v>First Bad Version</v>
      </c>
      <c r="C185" s="13">
        <f>Github!F$279</f>
        <v>6718</v>
      </c>
      <c r="D185" s="13">
        <f>Github!G$279</f>
        <v>2602</v>
      </c>
      <c r="E185" s="13">
        <f>Github!F$279+Github!G$279</f>
        <v>9320</v>
      </c>
      <c r="F185" s="15">
        <f t="shared" si="1"/>
        <v>2.58</v>
      </c>
      <c r="G185" s="13" t="str">
        <f>ROUND(Github!O$279, 2)&amp;"%"</f>
        <v>43.05%</v>
      </c>
      <c r="H185" s="13" t="str">
        <f>Github!H$279</f>
        <v>Algorithms</v>
      </c>
      <c r="I185" s="16" t="str">
        <f>SUBSTITUTE(Github!L$279, ";", ", ")</f>
        <v>Binary Search, Interactive, </v>
      </c>
      <c r="J185" s="13" t="str">
        <f>Github!E$279</f>
        <v>Easy</v>
      </c>
      <c r="K185" s="13" t="str">
        <f>IF(TRIM(Github!D$279)="TRUE","FALSE","TRUE")</f>
        <v>TRUE</v>
      </c>
      <c r="L185" s="13" t="b">
        <f>Github!M$279</f>
        <v>1</v>
      </c>
      <c r="M185" s="13" t="b">
        <f>Github!N$279</f>
        <v>1</v>
      </c>
      <c r="N185" s="13">
        <f>Github!P$279</f>
        <v>1337310</v>
      </c>
      <c r="O185" s="13">
        <f>Github!Q$279</f>
        <v>3106516</v>
      </c>
    </row>
    <row r="186">
      <c r="A186" s="13">
        <f>Github!J$681</f>
        <v>680</v>
      </c>
      <c r="B186" s="14" t="str">
        <f>HYPERLINK(CONCAT("http://leetcode.com/problems/",Github!C$681), Github!B$681)</f>
        <v>Valid Palindrome II</v>
      </c>
      <c r="C186" s="13">
        <f>Github!F$681</f>
        <v>6686</v>
      </c>
      <c r="D186" s="13">
        <f>Github!G$681</f>
        <v>342</v>
      </c>
      <c r="E186" s="13">
        <f>Github!F$681+Github!G$681</f>
        <v>7028</v>
      </c>
      <c r="F186" s="15">
        <f t="shared" si="1"/>
        <v>19.55</v>
      </c>
      <c r="G186" s="13" t="str">
        <f>ROUND(Github!O$681, 2)&amp;"%"</f>
        <v>39.31%</v>
      </c>
      <c r="H186" s="13" t="str">
        <f>Github!H$681</f>
        <v>Algorithms</v>
      </c>
      <c r="I186" s="16" t="str">
        <f>SUBSTITUTE(Github!L$681, ";", ", ")</f>
        <v>Two Pointers, String, Greedy, </v>
      </c>
      <c r="J186" s="13" t="str">
        <f>Github!E$681</f>
        <v>Easy</v>
      </c>
      <c r="K186" s="13" t="str">
        <f>IF(TRIM(Github!D$681)="TRUE","FALSE","TRUE")</f>
        <v>TRUE</v>
      </c>
      <c r="L186" s="13" t="b">
        <f>Github!M$681</f>
        <v>1</v>
      </c>
      <c r="M186" s="13" t="b">
        <f>Github!N$681</f>
        <v>0</v>
      </c>
      <c r="N186" s="13">
        <f>Github!P$681</f>
        <v>565528</v>
      </c>
      <c r="O186" s="13">
        <f>Github!Q$681</f>
        <v>1438618</v>
      </c>
    </row>
    <row r="187">
      <c r="A187" s="13">
        <f>Github!J$345</f>
        <v>344</v>
      </c>
      <c r="B187" s="14" t="str">
        <f>HYPERLINK(CONCAT("http://leetcode.com/problems/",Github!C$345), Github!B$345)</f>
        <v>Reverse String</v>
      </c>
      <c r="C187" s="13">
        <f>Github!F$345</f>
        <v>6656</v>
      </c>
      <c r="D187" s="13">
        <f>Github!G$345</f>
        <v>1035</v>
      </c>
      <c r="E187" s="13">
        <f>Github!F$345+Github!G$345</f>
        <v>7691</v>
      </c>
      <c r="F187" s="15">
        <f t="shared" si="1"/>
        <v>6.43</v>
      </c>
      <c r="G187" s="13" t="str">
        <f>ROUND(Github!O$345, 2)&amp;"%"</f>
        <v>76.38%</v>
      </c>
      <c r="H187" s="13" t="str">
        <f>Github!H$345</f>
        <v>Algorithms</v>
      </c>
      <c r="I187" s="16" t="str">
        <f>SUBSTITUTE(Github!L$345, ";", ", ")</f>
        <v>Two Pointers, String, </v>
      </c>
      <c r="J187" s="13" t="str">
        <f>Github!E$345</f>
        <v>Easy</v>
      </c>
      <c r="K187" s="13" t="str">
        <f>IF(TRIM(Github!D$345)="TRUE","FALSE","TRUE")</f>
        <v>TRUE</v>
      </c>
      <c r="L187" s="13" t="b">
        <f>Github!M$345</f>
        <v>1</v>
      </c>
      <c r="M187" s="13" t="b">
        <f>Github!N$345</f>
        <v>1</v>
      </c>
      <c r="N187" s="13">
        <f>Github!P$345</f>
        <v>1928889</v>
      </c>
      <c r="O187" s="13">
        <f>Github!Q$345</f>
        <v>2525505</v>
      </c>
    </row>
    <row r="188">
      <c r="A188" s="13">
        <f>Github!J$519</f>
        <v>518</v>
      </c>
      <c r="B188" s="14" t="str">
        <f>HYPERLINK(CONCAT("http://leetcode.com/problems/",Github!C$519), Github!B$519)</f>
        <v>Coin Change II</v>
      </c>
      <c r="C188" s="13">
        <f>Github!F$519</f>
        <v>6630</v>
      </c>
      <c r="D188" s="13">
        <f>Github!G$519</f>
        <v>120</v>
      </c>
      <c r="E188" s="13">
        <f>Github!F$519+Github!G$519</f>
        <v>6750</v>
      </c>
      <c r="F188" s="15">
        <f t="shared" si="1"/>
        <v>55.25</v>
      </c>
      <c r="G188" s="13" t="str">
        <f>ROUND(Github!O$519, 2)&amp;"%"</f>
        <v>60.09%</v>
      </c>
      <c r="H188" s="13" t="str">
        <f>Github!H$519</f>
        <v>Algorithms</v>
      </c>
      <c r="I188" s="16" t="str">
        <f>SUBSTITUTE(Github!L$519, ";", ", ")</f>
        <v>Array, Dynamic Programming, </v>
      </c>
      <c r="J188" s="13" t="str">
        <f>Github!E$519</f>
        <v>Medium</v>
      </c>
      <c r="K188" s="13" t="str">
        <f>IF(TRIM(Github!D$519)="TRUE","FALSE","TRUE")</f>
        <v>TRUE</v>
      </c>
      <c r="L188" s="13" t="b">
        <f>Github!M$519</f>
        <v>1</v>
      </c>
      <c r="M188" s="13" t="b">
        <f>Github!N$519</f>
        <v>0</v>
      </c>
      <c r="N188" s="13">
        <f>Github!P$519</f>
        <v>378975</v>
      </c>
      <c r="O188" s="13">
        <f>Github!Q$519</f>
        <v>630652</v>
      </c>
    </row>
    <row r="189">
      <c r="A189" s="13">
        <f>Github!J$114</f>
        <v>113</v>
      </c>
      <c r="B189" s="14" t="str">
        <f>HYPERLINK(CONCAT("http://leetcode.com/problems/",Github!C$114), Github!B$114)</f>
        <v>Path Sum II</v>
      </c>
      <c r="C189" s="13">
        <f>Github!F$114</f>
        <v>6586</v>
      </c>
      <c r="D189" s="13">
        <f>Github!G$114</f>
        <v>135</v>
      </c>
      <c r="E189" s="13">
        <f>Github!F$114+Github!G$114</f>
        <v>6721</v>
      </c>
      <c r="F189" s="15">
        <f t="shared" si="1"/>
        <v>48.79</v>
      </c>
      <c r="G189" s="13" t="str">
        <f>ROUND(Github!O$114, 2)&amp;"%"</f>
        <v>56.81%</v>
      </c>
      <c r="H189" s="13" t="str">
        <f>Github!H$114</f>
        <v>Algorithms</v>
      </c>
      <c r="I189" s="16" t="str">
        <f>SUBSTITUTE(Github!L$114, ";", ", ")</f>
        <v>Backtracking, Tree, Depth-First Search, Binary Tree, </v>
      </c>
      <c r="J189" s="13" t="str">
        <f>Github!E$114</f>
        <v>Medium</v>
      </c>
      <c r="K189" s="13" t="str">
        <f>IF(TRIM(Github!D$114)="TRUE","FALSE","TRUE")</f>
        <v>TRUE</v>
      </c>
      <c r="L189" s="13" t="b">
        <f>Github!M$114</f>
        <v>1</v>
      </c>
      <c r="M189" s="13" t="b">
        <f>Github!N$114</f>
        <v>0</v>
      </c>
      <c r="N189" s="13">
        <f>Github!P$114</f>
        <v>712396</v>
      </c>
      <c r="O189" s="13">
        <f>Github!Q$114</f>
        <v>1254105</v>
      </c>
    </row>
    <row r="190">
      <c r="A190" s="13">
        <f>Github!J$693</f>
        <v>692</v>
      </c>
      <c r="B190" s="14" t="str">
        <f>HYPERLINK(CONCAT("http://leetcode.com/problems/",Github!C$693), Github!B$693)</f>
        <v>Top K Frequent Words</v>
      </c>
      <c r="C190" s="13">
        <f>Github!F$693</f>
        <v>6584</v>
      </c>
      <c r="D190" s="13">
        <f>Github!G$693</f>
        <v>310</v>
      </c>
      <c r="E190" s="13">
        <f>Github!F$693+Github!G$693</f>
        <v>6894</v>
      </c>
      <c r="F190" s="15">
        <f t="shared" si="1"/>
        <v>21.24</v>
      </c>
      <c r="G190" s="13" t="str">
        <f>ROUND(Github!O$693, 2)&amp;"%"</f>
        <v>56.93%</v>
      </c>
      <c r="H190" s="13" t="str">
        <f>Github!H$693</f>
        <v>Algorithms</v>
      </c>
      <c r="I190" s="16" t="str">
        <f>SUBSTITUTE(Github!L$693, ";", ", ")</f>
        <v>Hash Table, String, Trie, Sorting, Heap (Priority Queue), Bucket Sort, Counting, </v>
      </c>
      <c r="J190" s="13" t="str">
        <f>Github!E$693</f>
        <v>Medium</v>
      </c>
      <c r="K190" s="13" t="str">
        <f>IF(TRIM(Github!D$693)="TRUE","FALSE","TRUE")</f>
        <v>TRUE</v>
      </c>
      <c r="L190" s="13" t="b">
        <f>Github!M$693</f>
        <v>1</v>
      </c>
      <c r="M190" s="13" t="b">
        <f>Github!N$693</f>
        <v>0</v>
      </c>
      <c r="N190" s="13">
        <f>Github!P$693</f>
        <v>514238</v>
      </c>
      <c r="O190" s="13">
        <f>Github!Q$693</f>
        <v>903264</v>
      </c>
    </row>
    <row r="191">
      <c r="A191" s="13">
        <f>Github!J$407</f>
        <v>406</v>
      </c>
      <c r="B191" s="14" t="str">
        <f>HYPERLINK(CONCAT("http://leetcode.com/problems/",Github!C$407), Github!B$407)</f>
        <v>Queue Reconstruction by Height</v>
      </c>
      <c r="C191" s="13">
        <f>Github!F$407</f>
        <v>6540</v>
      </c>
      <c r="D191" s="13">
        <f>Github!G$407</f>
        <v>655</v>
      </c>
      <c r="E191" s="13">
        <f>Github!F$407+Github!G$407</f>
        <v>7195</v>
      </c>
      <c r="F191" s="15">
        <f t="shared" si="1"/>
        <v>9.98</v>
      </c>
      <c r="G191" s="13" t="str">
        <f>ROUND(Github!O$407, 2)&amp;"%"</f>
        <v>72.85%</v>
      </c>
      <c r="H191" s="13" t="str">
        <f>Github!H$407</f>
        <v>Algorithms</v>
      </c>
      <c r="I191" s="16" t="str">
        <f>SUBSTITUTE(Github!L$407, ";", ", ")</f>
        <v>Array, Greedy, Binary Indexed Tree, Segment Tree, Sorting, </v>
      </c>
      <c r="J191" s="13" t="str">
        <f>Github!E$407</f>
        <v>Medium</v>
      </c>
      <c r="K191" s="13" t="str">
        <f>IF(TRIM(Github!D$407)="TRUE","FALSE","TRUE")</f>
        <v>TRUE</v>
      </c>
      <c r="L191" s="13" t="b">
        <f>Github!M$407</f>
        <v>1</v>
      </c>
      <c r="M191" s="13" t="b">
        <f>Github!N$407</f>
        <v>0</v>
      </c>
      <c r="N191" s="13">
        <f>Github!P$407</f>
        <v>276785</v>
      </c>
      <c r="O191" s="13">
        <f>Github!Q$407</f>
        <v>379922</v>
      </c>
    </row>
    <row r="192">
      <c r="A192" s="13">
        <f>Github!J$230</f>
        <v>229</v>
      </c>
      <c r="B192" s="14" t="str">
        <f>HYPERLINK(CONCAT("http://leetcode.com/problems/",Github!C$230), Github!B$230)</f>
        <v>Majority Element II</v>
      </c>
      <c r="C192" s="13">
        <f>Github!F$230</f>
        <v>6560</v>
      </c>
      <c r="D192" s="13">
        <f>Github!G$230</f>
        <v>324</v>
      </c>
      <c r="E192" s="13">
        <f>Github!F$230+Github!G$230</f>
        <v>6884</v>
      </c>
      <c r="F192" s="15">
        <f t="shared" si="1"/>
        <v>20.25</v>
      </c>
      <c r="G192" s="13" t="str">
        <f>ROUND(Github!O$230, 2)&amp;"%"</f>
        <v>44.46%</v>
      </c>
      <c r="H192" s="13" t="str">
        <f>Github!H$230</f>
        <v>Algorithms</v>
      </c>
      <c r="I192" s="16" t="str">
        <f>SUBSTITUTE(Github!L$230, ";", ", ")</f>
        <v>Array, Hash Table, Sorting, Counting, </v>
      </c>
      <c r="J192" s="13" t="str">
        <f>Github!E$230</f>
        <v>Medium</v>
      </c>
      <c r="K192" s="13" t="str">
        <f>IF(TRIM(Github!D$230)="TRUE","FALSE","TRUE")</f>
        <v>TRUE</v>
      </c>
      <c r="L192" s="13" t="b">
        <f>Github!M$230</f>
        <v>1</v>
      </c>
      <c r="M192" s="13" t="b">
        <f>Github!N$230</f>
        <v>0</v>
      </c>
      <c r="N192" s="13">
        <f>Github!P$230</f>
        <v>366731</v>
      </c>
      <c r="O192" s="13">
        <f>Github!Q$230</f>
        <v>824776</v>
      </c>
    </row>
    <row r="193">
      <c r="A193" s="13">
        <f>Github!J$204</f>
        <v>203</v>
      </c>
      <c r="B193" s="14" t="str">
        <f>HYPERLINK(CONCAT("http://leetcode.com/problems/",Github!C$204), Github!B$204)</f>
        <v>Remove Linked List Elements</v>
      </c>
      <c r="C193" s="13">
        <f>Github!F$204</f>
        <v>6549</v>
      </c>
      <c r="D193" s="13">
        <f>Github!G$204</f>
        <v>195</v>
      </c>
      <c r="E193" s="13">
        <f>Github!F$204+Github!G$204</f>
        <v>6744</v>
      </c>
      <c r="F193" s="15">
        <f t="shared" si="1"/>
        <v>33.58</v>
      </c>
      <c r="G193" s="13" t="str">
        <f>ROUND(Github!O$204, 2)&amp;"%"</f>
        <v>45.19%</v>
      </c>
      <c r="H193" s="13" t="str">
        <f>Github!H$204</f>
        <v>Algorithms</v>
      </c>
      <c r="I193" s="16" t="str">
        <f>SUBSTITUTE(Github!L$204, ";", ", ")</f>
        <v>Linked List, Recursion, </v>
      </c>
      <c r="J193" s="13" t="str">
        <f>Github!E$204</f>
        <v>Easy</v>
      </c>
      <c r="K193" s="13" t="str">
        <f>IF(TRIM(Github!D$204)="TRUE","FALSE","TRUE")</f>
        <v>TRUE</v>
      </c>
      <c r="L193" s="13" t="b">
        <f>Github!M$204</f>
        <v>1</v>
      </c>
      <c r="M193" s="13" t="b">
        <f>Github!N$204</f>
        <v>0</v>
      </c>
      <c r="N193" s="13">
        <f>Github!P$204</f>
        <v>859129</v>
      </c>
      <c r="O193" s="13">
        <f>Github!Q$204</f>
        <v>1901142</v>
      </c>
    </row>
    <row r="194">
      <c r="A194" s="13">
        <f>Github!J$659</f>
        <v>658</v>
      </c>
      <c r="B194" s="14" t="str">
        <f>HYPERLINK(CONCAT("http://leetcode.com/problems/",Github!C$659), Github!B$659)</f>
        <v>Find K Closest Elements</v>
      </c>
      <c r="C194" s="13">
        <f>Github!F$659</f>
        <v>6510</v>
      </c>
      <c r="D194" s="13">
        <f>Github!G$659</f>
        <v>529</v>
      </c>
      <c r="E194" s="13">
        <f>Github!F$659+Github!G$659</f>
        <v>7039</v>
      </c>
      <c r="F194" s="15">
        <f t="shared" si="1"/>
        <v>12.31</v>
      </c>
      <c r="G194" s="13" t="str">
        <f>ROUND(Github!O$659, 2)&amp;"%"</f>
        <v>46.78%</v>
      </c>
      <c r="H194" s="13" t="str">
        <f>Github!H$659</f>
        <v>Algorithms</v>
      </c>
      <c r="I194" s="16" t="str">
        <f>SUBSTITUTE(Github!L$659, ";", ", ")</f>
        <v>Array, Two Pointers, Binary Search, Sliding Window, Sorting, Heap (Priority Queue), </v>
      </c>
      <c r="J194" s="13" t="str">
        <f>Github!E$659</f>
        <v>Medium</v>
      </c>
      <c r="K194" s="13" t="str">
        <f>IF(TRIM(Github!D$659)="TRUE","FALSE","TRUE")</f>
        <v>TRUE</v>
      </c>
      <c r="L194" s="13" t="b">
        <f>Github!M$659</f>
        <v>1</v>
      </c>
      <c r="M194" s="13" t="b">
        <f>Github!N$659</f>
        <v>0</v>
      </c>
      <c r="N194" s="13">
        <f>Github!P$659</f>
        <v>405224</v>
      </c>
      <c r="O194" s="13">
        <f>Github!Q$659</f>
        <v>866313</v>
      </c>
    </row>
    <row r="195">
      <c r="A195" s="13">
        <f>Github!J$100</f>
        <v>99</v>
      </c>
      <c r="B195" s="14" t="str">
        <f>HYPERLINK(CONCAT("http://leetcode.com/problems/",Github!C$100), Github!B$100)</f>
        <v>Recover Binary Search Tree</v>
      </c>
      <c r="C195" s="13">
        <f>Github!F$100</f>
        <v>6492</v>
      </c>
      <c r="D195" s="13">
        <f>Github!G$100</f>
        <v>218</v>
      </c>
      <c r="E195" s="13">
        <f>Github!F$100+Github!G$100</f>
        <v>6710</v>
      </c>
      <c r="F195" s="15">
        <f t="shared" si="1"/>
        <v>29.78</v>
      </c>
      <c r="G195" s="13" t="str">
        <f>ROUND(Github!O$100, 2)&amp;"%"</f>
        <v>50.55%</v>
      </c>
      <c r="H195" s="13" t="str">
        <f>Github!H$100</f>
        <v>Algorithms</v>
      </c>
      <c r="I195" s="16" t="str">
        <f>SUBSTITUTE(Github!L$100, ";", ", ")</f>
        <v>Tree, Depth-First Search, Binary Search Tree, Binary Tree, </v>
      </c>
      <c r="J195" s="13" t="str">
        <f>Github!E$100</f>
        <v>Medium</v>
      </c>
      <c r="K195" s="13" t="str">
        <f>IF(TRIM(Github!D$100)="TRUE","FALSE","TRUE")</f>
        <v>TRUE</v>
      </c>
      <c r="L195" s="13" t="b">
        <f>Github!M$100</f>
        <v>1</v>
      </c>
      <c r="M195" s="13" t="b">
        <f>Github!N$100</f>
        <v>0</v>
      </c>
      <c r="N195" s="13">
        <f>Github!P$100</f>
        <v>375632</v>
      </c>
      <c r="O195" s="13">
        <f>Github!Q$100</f>
        <v>743053</v>
      </c>
    </row>
    <row r="196">
      <c r="A196" s="13">
        <f>Github!J$58</f>
        <v>57</v>
      </c>
      <c r="B196" s="14" t="str">
        <f>HYPERLINK(CONCAT("http://leetcode.com/problems/",Github!C$58), Github!B$58)</f>
        <v>Insert Interval</v>
      </c>
      <c r="C196" s="13">
        <f>Github!F$58</f>
        <v>6501</v>
      </c>
      <c r="D196" s="13">
        <f>Github!G$58</f>
        <v>463</v>
      </c>
      <c r="E196" s="13">
        <f>Github!F$58+Github!G$58</f>
        <v>6964</v>
      </c>
      <c r="F196" s="15">
        <f t="shared" si="1"/>
        <v>14.04</v>
      </c>
      <c r="G196" s="13" t="str">
        <f>ROUND(Github!O$58, 2)&amp;"%"</f>
        <v>38.03%</v>
      </c>
      <c r="H196" s="13" t="str">
        <f>Github!H$58</f>
        <v>Algorithms</v>
      </c>
      <c r="I196" s="16" t="str">
        <f>SUBSTITUTE(Github!L$58, ";", ", ")</f>
        <v>Array, </v>
      </c>
      <c r="J196" s="13" t="str">
        <f>Github!E$58</f>
        <v>Medium</v>
      </c>
      <c r="K196" s="13" t="str">
        <f>IF(TRIM(Github!D$58)="TRUE","FALSE","TRUE")</f>
        <v>TRUE</v>
      </c>
      <c r="L196" s="13" t="b">
        <f>Github!M$58</f>
        <v>1</v>
      </c>
      <c r="M196" s="13" t="b">
        <f>Github!N$58</f>
        <v>0</v>
      </c>
      <c r="N196" s="13">
        <f>Github!P$58</f>
        <v>650565</v>
      </c>
      <c r="O196" s="13">
        <f>Github!Q$58</f>
        <v>1710710</v>
      </c>
    </row>
    <row r="197">
      <c r="A197" s="13">
        <f>Github!J$393</f>
        <v>392</v>
      </c>
      <c r="B197" s="14" t="str">
        <f>HYPERLINK(CONCAT("http://leetcode.com/problems/",Github!C$393), Github!B$393)</f>
        <v>Is Subsequence</v>
      </c>
      <c r="C197" s="13">
        <f>Github!F$393</f>
        <v>6525</v>
      </c>
      <c r="D197" s="13">
        <f>Github!G$393</f>
        <v>366</v>
      </c>
      <c r="E197" s="13">
        <f>Github!F$393+Github!G$393</f>
        <v>6891</v>
      </c>
      <c r="F197" s="15">
        <f t="shared" si="1"/>
        <v>17.83</v>
      </c>
      <c r="G197" s="13" t="str">
        <f>ROUND(Github!O$393, 2)&amp;"%"</f>
        <v>48.56%</v>
      </c>
      <c r="H197" s="13" t="str">
        <f>Github!H$393</f>
        <v>Algorithms</v>
      </c>
      <c r="I197" s="16" t="str">
        <f>SUBSTITUTE(Github!L$393, ";", ", ")</f>
        <v>Two Pointers, String, Dynamic Programming, </v>
      </c>
      <c r="J197" s="13" t="str">
        <f>Github!E$393</f>
        <v>Easy</v>
      </c>
      <c r="K197" s="13" t="str">
        <f>IF(TRIM(Github!D$393)="TRUE","FALSE","TRUE")</f>
        <v>TRUE</v>
      </c>
      <c r="L197" s="13" t="b">
        <f>Github!M$393</f>
        <v>1</v>
      </c>
      <c r="M197" s="13" t="b">
        <f>Github!N$393</f>
        <v>0</v>
      </c>
      <c r="N197" s="13">
        <f>Github!P$393</f>
        <v>711465</v>
      </c>
      <c r="O197" s="13">
        <f>Github!Q$393</f>
        <v>1465164</v>
      </c>
    </row>
    <row r="198">
      <c r="A198" s="13">
        <f>Github!J$68</f>
        <v>67</v>
      </c>
      <c r="B198" s="14" t="str">
        <f>HYPERLINK(CONCAT("http://leetcode.com/problems/",Github!C$68), Github!B$68)</f>
        <v>Add Binary</v>
      </c>
      <c r="C198" s="13">
        <f>Github!F$68</f>
        <v>6497</v>
      </c>
      <c r="D198" s="13">
        <f>Github!G$68</f>
        <v>682</v>
      </c>
      <c r="E198" s="13">
        <f>Github!F$68+Github!G$68</f>
        <v>7179</v>
      </c>
      <c r="F198" s="15">
        <f t="shared" si="1"/>
        <v>9.53</v>
      </c>
      <c r="G198" s="13" t="str">
        <f>ROUND(Github!O$68, 2)&amp;"%"</f>
        <v>51.44%</v>
      </c>
      <c r="H198" s="13" t="str">
        <f>Github!H$68</f>
        <v>Algorithms</v>
      </c>
      <c r="I198" s="16" t="str">
        <f>SUBSTITUTE(Github!L$68, ";", ", ")</f>
        <v>Math, String, Bit Manipulation, Simulation, </v>
      </c>
      <c r="J198" s="13" t="str">
        <f>Github!E$68</f>
        <v>Easy</v>
      </c>
      <c r="K198" s="13" t="str">
        <f>IF(TRIM(Github!D$68)="TRUE","FALSE","TRUE")</f>
        <v>TRUE</v>
      </c>
      <c r="L198" s="13" t="b">
        <f>Github!M$68</f>
        <v>1</v>
      </c>
      <c r="M198" s="13" t="b">
        <f>Github!N$68</f>
        <v>0</v>
      </c>
      <c r="N198" s="13">
        <f>Github!P$68</f>
        <v>998850</v>
      </c>
      <c r="O198" s="13">
        <f>Github!Q$68</f>
        <v>1941775</v>
      </c>
    </row>
    <row r="199">
      <c r="A199" s="13">
        <f>Github!J$84</f>
        <v>83</v>
      </c>
      <c r="B199" s="14" t="str">
        <f>HYPERLINK(CONCAT("http://leetcode.com/problems/",Github!C$84), Github!B$84)</f>
        <v>Remove Duplicates from Sorted List</v>
      </c>
      <c r="C199" s="13">
        <f>Github!F$84</f>
        <v>6484</v>
      </c>
      <c r="D199" s="13">
        <f>Github!G$84</f>
        <v>225</v>
      </c>
      <c r="E199" s="13">
        <f>Github!F$84+Github!G$84</f>
        <v>6709</v>
      </c>
      <c r="F199" s="15">
        <f t="shared" si="1"/>
        <v>28.82</v>
      </c>
      <c r="G199" s="13" t="str">
        <f>ROUND(Github!O$84, 2)&amp;"%"</f>
        <v>50.12%</v>
      </c>
      <c r="H199" s="13" t="str">
        <f>Github!H$84</f>
        <v>Algorithms</v>
      </c>
      <c r="I199" s="16" t="str">
        <f>SUBSTITUTE(Github!L$84, ";", ", ")</f>
        <v>Linked List, </v>
      </c>
      <c r="J199" s="13" t="str">
        <f>Github!E$84</f>
        <v>Easy</v>
      </c>
      <c r="K199" s="13" t="str">
        <f>IF(TRIM(Github!D$84)="TRUE","FALSE","TRUE")</f>
        <v>TRUE</v>
      </c>
      <c r="L199" s="13" t="b">
        <f>Github!M$84</f>
        <v>1</v>
      </c>
      <c r="M199" s="13" t="b">
        <f>Github!N$84</f>
        <v>0</v>
      </c>
      <c r="N199" s="13">
        <f>Github!P$84</f>
        <v>1071101</v>
      </c>
      <c r="O199" s="13">
        <f>Github!Q$84</f>
        <v>2137266</v>
      </c>
    </row>
    <row r="200">
      <c r="A200" s="13">
        <f>Github!J$64</f>
        <v>63</v>
      </c>
      <c r="B200" s="14" t="str">
        <f>HYPERLINK(CONCAT("http://leetcode.com/problems/",Github!C$64), Github!B$64)</f>
        <v>Unique Paths II</v>
      </c>
      <c r="C200" s="13">
        <f>Github!F$64</f>
        <v>6412</v>
      </c>
      <c r="D200" s="13">
        <f>Github!G$64</f>
        <v>423</v>
      </c>
      <c r="E200" s="13">
        <f>Github!F$64+Github!G$64</f>
        <v>6835</v>
      </c>
      <c r="F200" s="15">
        <f t="shared" si="1"/>
        <v>15.16</v>
      </c>
      <c r="G200" s="13" t="str">
        <f>ROUND(Github!O$64, 2)&amp;"%"</f>
        <v>39.23%</v>
      </c>
      <c r="H200" s="13" t="str">
        <f>Github!H$64</f>
        <v>Algorithms</v>
      </c>
      <c r="I200" s="16" t="str">
        <f>SUBSTITUTE(Github!L$64, ";", ", ")</f>
        <v>Array, Dynamic Programming, Matrix, </v>
      </c>
      <c r="J200" s="13" t="str">
        <f>Github!E$64</f>
        <v>Medium</v>
      </c>
      <c r="K200" s="13" t="str">
        <f>IF(TRIM(Github!D$64)="TRUE","FALSE","TRUE")</f>
        <v>TRUE</v>
      </c>
      <c r="L200" s="13" t="b">
        <f>Github!M$64</f>
        <v>1</v>
      </c>
      <c r="M200" s="13" t="b">
        <f>Github!N$64</f>
        <v>0</v>
      </c>
      <c r="N200" s="13">
        <f>Github!P$64</f>
        <v>638294</v>
      </c>
      <c r="O200" s="13">
        <f>Github!Q$64</f>
        <v>1627293</v>
      </c>
    </row>
    <row r="201">
      <c r="A201" s="13">
        <f>Github!J$317</f>
        <v>316</v>
      </c>
      <c r="B201" s="14" t="str">
        <f>HYPERLINK(CONCAT("http://leetcode.com/problems/",Github!C$317), Github!B$317)</f>
        <v>Remove Duplicate Letters</v>
      </c>
      <c r="C201" s="13">
        <f>Github!F$317</f>
        <v>6360</v>
      </c>
      <c r="D201" s="13">
        <f>Github!G$317</f>
        <v>408</v>
      </c>
      <c r="E201" s="13">
        <f>Github!F$317+Github!G$317</f>
        <v>6768</v>
      </c>
      <c r="F201" s="15">
        <f t="shared" si="1"/>
        <v>15.59</v>
      </c>
      <c r="G201" s="13" t="str">
        <f>ROUND(Github!O$317, 2)&amp;"%"</f>
        <v>44.7%</v>
      </c>
      <c r="H201" s="13" t="str">
        <f>Github!H$317</f>
        <v>Algorithms</v>
      </c>
      <c r="I201" s="16" t="str">
        <f>SUBSTITUTE(Github!L$317, ";", ", ")</f>
        <v>String, Stack, Greedy, Monotonic Stack, </v>
      </c>
      <c r="J201" s="13" t="str">
        <f>Github!E$317</f>
        <v>Medium</v>
      </c>
      <c r="K201" s="13" t="str">
        <f>IF(TRIM(Github!D$317)="TRUE","FALSE","TRUE")</f>
        <v>TRUE</v>
      </c>
      <c r="L201" s="13" t="b">
        <f>Github!M$317</f>
        <v>1</v>
      </c>
      <c r="M201" s="13" t="b">
        <f>Github!N$317</f>
        <v>0</v>
      </c>
      <c r="N201" s="13">
        <f>Github!P$317</f>
        <v>218635</v>
      </c>
      <c r="O201" s="13">
        <f>Github!Q$317</f>
        <v>489101</v>
      </c>
    </row>
    <row r="202">
      <c r="A202" s="13">
        <f>Github!J$788</f>
        <v>787</v>
      </c>
      <c r="B202" s="14" t="str">
        <f>HYPERLINK(CONCAT("http://leetcode.com/problems/",Github!C$788), Github!B$788)</f>
        <v>Cheapest Flights Within K Stops</v>
      </c>
      <c r="C202" s="13">
        <f>Github!F$788</f>
        <v>6351</v>
      </c>
      <c r="D202" s="13">
        <f>Github!G$788</f>
        <v>290</v>
      </c>
      <c r="E202" s="13">
        <f>Github!F$788+Github!G$788</f>
        <v>6641</v>
      </c>
      <c r="F202" s="15">
        <f t="shared" si="1"/>
        <v>21.9</v>
      </c>
      <c r="G202" s="13" t="str">
        <f>ROUND(Github!O$788, 2)&amp;"%"</f>
        <v>35.89%</v>
      </c>
      <c r="H202" s="13" t="str">
        <f>Github!H$788</f>
        <v>Algorithms</v>
      </c>
      <c r="I202" s="16" t="str">
        <f>SUBSTITUTE(Github!L$788, ";", ", ")</f>
        <v>Dynamic Programming, Depth-First Search, Breadth-First Search, Graph, Heap (Priority Queue), Shortest Path, </v>
      </c>
      <c r="J202" s="13" t="str">
        <f>Github!E$788</f>
        <v>Medium</v>
      </c>
      <c r="K202" s="13" t="str">
        <f>IF(TRIM(Github!D$788)="TRUE","FALSE","TRUE")</f>
        <v>TRUE</v>
      </c>
      <c r="L202" s="13" t="b">
        <f>Github!M$788</f>
        <v>1</v>
      </c>
      <c r="M202" s="13" t="b">
        <f>Github!N$788</f>
        <v>0</v>
      </c>
      <c r="N202" s="13">
        <f>Github!P$788</f>
        <v>297496</v>
      </c>
      <c r="O202" s="13">
        <f>Github!Q$788</f>
        <v>828866</v>
      </c>
    </row>
    <row r="203">
      <c r="A203" s="13">
        <f>Github!J$51</f>
        <v>50</v>
      </c>
      <c r="B203" s="14" t="str">
        <f>HYPERLINK(CONCAT("http://leetcode.com/problems/",Github!C$51), Github!B$51)</f>
        <v>Pow(x, n)</v>
      </c>
      <c r="C203" s="13">
        <f>Github!F$51</f>
        <v>6378</v>
      </c>
      <c r="D203" s="13">
        <f>Github!G$51</f>
        <v>6773</v>
      </c>
      <c r="E203" s="13">
        <f>Github!F$51+Github!G$51</f>
        <v>13151</v>
      </c>
      <c r="F203" s="15">
        <f t="shared" si="1"/>
        <v>0.94</v>
      </c>
      <c r="G203" s="13" t="str">
        <f>ROUND(Github!O$51, 2)&amp;"%"</f>
        <v>32.86%</v>
      </c>
      <c r="H203" s="13" t="str">
        <f>Github!H$51</f>
        <v>Algorithms</v>
      </c>
      <c r="I203" s="16" t="str">
        <f>SUBSTITUTE(Github!L$51, ";", ", ")</f>
        <v>Math, Recursion, </v>
      </c>
      <c r="J203" s="13" t="str">
        <f>Github!E$51</f>
        <v>Medium</v>
      </c>
      <c r="K203" s="13" t="str">
        <f>IF(TRIM(Github!D$51)="TRUE","FALSE","TRUE")</f>
        <v>TRUE</v>
      </c>
      <c r="L203" s="13" t="b">
        <f>Github!M$51</f>
        <v>1</v>
      </c>
      <c r="M203" s="13" t="b">
        <f>Github!N$51</f>
        <v>0</v>
      </c>
      <c r="N203" s="13">
        <f>Github!P$51</f>
        <v>1107249</v>
      </c>
      <c r="O203" s="13">
        <f>Github!Q$51</f>
        <v>3369211</v>
      </c>
    </row>
    <row r="204">
      <c r="A204" s="13">
        <f>Github!J$131</f>
        <v>130</v>
      </c>
      <c r="B204" s="14" t="str">
        <f>HYPERLINK(CONCAT("http://leetcode.com/problems/",Github!C$131), Github!B$131)</f>
        <v>Surrounded Regions</v>
      </c>
      <c r="C204" s="13">
        <f>Github!F$131</f>
        <v>6368</v>
      </c>
      <c r="D204" s="13">
        <f>Github!G$131</f>
        <v>1409</v>
      </c>
      <c r="E204" s="13">
        <f>Github!F$131+Github!G$131</f>
        <v>7777</v>
      </c>
      <c r="F204" s="15">
        <f t="shared" si="1"/>
        <v>4.52</v>
      </c>
      <c r="G204" s="13" t="str">
        <f>ROUND(Github!O$131, 2)&amp;"%"</f>
        <v>36.29%</v>
      </c>
      <c r="H204" s="13" t="str">
        <f>Github!H$131</f>
        <v>Algorithms</v>
      </c>
      <c r="I204" s="16" t="str">
        <f>SUBSTITUTE(Github!L$131, ";", ", ")</f>
        <v>Array, Depth-First Search, Breadth-First Search, Union Find, Matrix, </v>
      </c>
      <c r="J204" s="13" t="str">
        <f>Github!E$131</f>
        <v>Medium</v>
      </c>
      <c r="K204" s="13" t="str">
        <f>IF(TRIM(Github!D$131)="TRUE","FALSE","TRUE")</f>
        <v>TRUE</v>
      </c>
      <c r="L204" s="13" t="b">
        <f>Github!M$131</f>
        <v>1</v>
      </c>
      <c r="M204" s="13" t="b">
        <f>Github!N$131</f>
        <v>0</v>
      </c>
      <c r="N204" s="13">
        <f>Github!P$131</f>
        <v>497163</v>
      </c>
      <c r="O204" s="13">
        <f>Github!Q$131</f>
        <v>1369913</v>
      </c>
    </row>
    <row r="205">
      <c r="A205" s="13">
        <f>Github!J$254</f>
        <v>253</v>
      </c>
      <c r="B205" s="14" t="str">
        <f>HYPERLINK(CONCAT("http://leetcode.com/problems/",Github!C$254), Github!B$254)</f>
        <v>Meeting Rooms II</v>
      </c>
      <c r="C205" s="13">
        <f>Github!F$254</f>
        <v>6297</v>
      </c>
      <c r="D205" s="13">
        <f>Github!G$254</f>
        <v>136</v>
      </c>
      <c r="E205" s="13">
        <f>Github!F$254+Github!G$254</f>
        <v>6433</v>
      </c>
      <c r="F205" s="15">
        <f t="shared" si="1"/>
        <v>46.3</v>
      </c>
      <c r="G205" s="13" t="str">
        <f>ROUND(Github!O$254, 2)&amp;"%"</f>
        <v>50.53%</v>
      </c>
      <c r="H205" s="13" t="str">
        <f>Github!H$254</f>
        <v>Algorithms</v>
      </c>
      <c r="I205" s="16" t="str">
        <f>SUBSTITUTE(Github!L$254, ";", ", ")</f>
        <v>Array, Two Pointers, Greedy, Sorting, Heap (Priority Queue), Prefix Sum, </v>
      </c>
      <c r="J205" s="13" t="str">
        <f>Github!E$254</f>
        <v>Medium</v>
      </c>
      <c r="K205" s="13" t="str">
        <f>IF(TRIM(Github!D$254)="TRUE","FALSE","TRUE")</f>
        <v>FALSE</v>
      </c>
      <c r="L205" s="13" t="b">
        <f>Github!M$254</f>
        <v>1</v>
      </c>
      <c r="M205" s="13" t="b">
        <f>Github!N$254</f>
        <v>0</v>
      </c>
      <c r="N205" s="13">
        <f>Github!P$254</f>
        <v>749988</v>
      </c>
      <c r="O205" s="13">
        <f>Github!Q$254</f>
        <v>1484368</v>
      </c>
    </row>
    <row r="206">
      <c r="A206" s="13">
        <f>Github!J$311</f>
        <v>310</v>
      </c>
      <c r="B206" s="14" t="str">
        <f>HYPERLINK(CONCAT("http://leetcode.com/problems/",Github!C$311), Github!B$311)</f>
        <v>Minimum Height Trees</v>
      </c>
      <c r="C206" s="13">
        <f>Github!F$311</f>
        <v>6318</v>
      </c>
      <c r="D206" s="13">
        <f>Github!G$311</f>
        <v>272</v>
      </c>
      <c r="E206" s="13">
        <f>Github!F$311+Github!G$311</f>
        <v>6590</v>
      </c>
      <c r="F206" s="15">
        <f t="shared" si="1"/>
        <v>23.23</v>
      </c>
      <c r="G206" s="13" t="str">
        <f>ROUND(Github!O$311, 2)&amp;"%"</f>
        <v>38.52%</v>
      </c>
      <c r="H206" s="13" t="str">
        <f>Github!H$311</f>
        <v>Algorithms</v>
      </c>
      <c r="I206" s="16" t="str">
        <f>SUBSTITUTE(Github!L$311, ";", ", ")</f>
        <v>Depth-First Search, Breadth-First Search, Graph, Topological Sort, </v>
      </c>
      <c r="J206" s="13" t="str">
        <f>Github!E$311</f>
        <v>Medium</v>
      </c>
      <c r="K206" s="13" t="str">
        <f>IF(TRIM(Github!D$311)="TRUE","FALSE","TRUE")</f>
        <v>TRUE</v>
      </c>
      <c r="L206" s="13" t="b">
        <f>Github!M$311</f>
        <v>1</v>
      </c>
      <c r="M206" s="13" t="b">
        <f>Github!N$311</f>
        <v>0</v>
      </c>
      <c r="N206" s="13">
        <f>Github!P$311</f>
        <v>234597</v>
      </c>
      <c r="O206" s="13">
        <f>Github!Q$311</f>
        <v>608977</v>
      </c>
    </row>
    <row r="207">
      <c r="A207" s="13">
        <f>Github!J$45</f>
        <v>44</v>
      </c>
      <c r="B207" s="14" t="str">
        <f>HYPERLINK(CONCAT("http://leetcode.com/problems/",Github!C$45), Github!B$45)</f>
        <v>Wildcard Matching</v>
      </c>
      <c r="C207" s="13">
        <f>Github!F$45</f>
        <v>6296</v>
      </c>
      <c r="D207" s="13">
        <f>Github!G$45</f>
        <v>267</v>
      </c>
      <c r="E207" s="13">
        <f>Github!F$45+Github!G$45</f>
        <v>6563</v>
      </c>
      <c r="F207" s="15">
        <f t="shared" si="1"/>
        <v>23.58</v>
      </c>
      <c r="G207" s="13" t="str">
        <f>ROUND(Github!O$45, 2)&amp;"%"</f>
        <v>26.86%</v>
      </c>
      <c r="H207" s="13" t="str">
        <f>Github!H$45</f>
        <v>Algorithms</v>
      </c>
      <c r="I207" s="16" t="str">
        <f>SUBSTITUTE(Github!L$45, ";", ", ")</f>
        <v>String, Dynamic Programming, Greedy, Recursion, </v>
      </c>
      <c r="J207" s="13" t="str">
        <f>Github!E$45</f>
        <v>Hard</v>
      </c>
      <c r="K207" s="13" t="str">
        <f>IF(TRIM(Github!D$45)="TRUE","FALSE","TRUE")</f>
        <v>TRUE</v>
      </c>
      <c r="L207" s="13" t="b">
        <f>Github!M$45</f>
        <v>1</v>
      </c>
      <c r="M207" s="13" t="b">
        <f>Github!N$45</f>
        <v>0</v>
      </c>
      <c r="N207" s="13">
        <f>Github!P$45</f>
        <v>446120</v>
      </c>
      <c r="O207" s="13">
        <f>Github!Q$45</f>
        <v>1661082</v>
      </c>
    </row>
    <row r="208">
      <c r="A208" s="13">
        <f>Github!J$543</f>
        <v>542</v>
      </c>
      <c r="B208" s="14" t="str">
        <f>HYPERLINK(CONCAT("http://leetcode.com/problems/",Github!C$543), Github!B$543)</f>
        <v>01 Matrix</v>
      </c>
      <c r="C208" s="13">
        <f>Github!F$543</f>
        <v>6297</v>
      </c>
      <c r="D208" s="13">
        <f>Github!G$543</f>
        <v>303</v>
      </c>
      <c r="E208" s="13">
        <f>Github!F$543+Github!G$543</f>
        <v>6600</v>
      </c>
      <c r="F208" s="15">
        <f t="shared" si="1"/>
        <v>20.78</v>
      </c>
      <c r="G208" s="13" t="str">
        <f>ROUND(Github!O$543, 2)&amp;"%"</f>
        <v>44.34%</v>
      </c>
      <c r="H208" s="13" t="str">
        <f>Github!H$543</f>
        <v>Algorithms</v>
      </c>
      <c r="I208" s="16" t="str">
        <f>SUBSTITUTE(Github!L$543, ";", ", ")</f>
        <v>Array, Dynamic Programming, Breadth-First Search, Matrix, </v>
      </c>
      <c r="J208" s="13" t="str">
        <f>Github!E$543</f>
        <v>Medium</v>
      </c>
      <c r="K208" s="13" t="str">
        <f>IF(TRIM(Github!D$543)="TRUE","FALSE","TRUE")</f>
        <v>TRUE</v>
      </c>
      <c r="L208" s="13" t="b">
        <f>Github!M$543</f>
        <v>1</v>
      </c>
      <c r="M208" s="13" t="b">
        <f>Github!N$543</f>
        <v>0</v>
      </c>
      <c r="N208" s="13">
        <f>Github!P$543</f>
        <v>340560</v>
      </c>
      <c r="O208" s="13">
        <f>Github!Q$543</f>
        <v>768153</v>
      </c>
    </row>
    <row r="209">
      <c r="A209" s="13">
        <f>Github!J$180</f>
        <v>179</v>
      </c>
      <c r="B209" s="14" t="str">
        <f>HYPERLINK(CONCAT("http://leetcode.com/problems/",Github!C$180), Github!B$180)</f>
        <v>Largest Number</v>
      </c>
      <c r="C209" s="13">
        <f>Github!F$180</f>
        <v>6234</v>
      </c>
      <c r="D209" s="13">
        <f>Github!G$180</f>
        <v>520</v>
      </c>
      <c r="E209" s="13">
        <f>Github!F$180+Github!G$180</f>
        <v>6754</v>
      </c>
      <c r="F209" s="15">
        <f t="shared" si="1"/>
        <v>11.99</v>
      </c>
      <c r="G209" s="13" t="str">
        <f>ROUND(Github!O$180, 2)&amp;"%"</f>
        <v>34.2%</v>
      </c>
      <c r="H209" s="13" t="str">
        <f>Github!H$180</f>
        <v>Algorithms</v>
      </c>
      <c r="I209" s="16" t="str">
        <f>SUBSTITUTE(Github!L$180, ";", ", ")</f>
        <v>Array, String, Greedy, Sorting, </v>
      </c>
      <c r="J209" s="13" t="str">
        <f>Github!E$180</f>
        <v>Medium</v>
      </c>
      <c r="K209" s="13" t="str">
        <f>IF(TRIM(Github!D$180)="TRUE","FALSE","TRUE")</f>
        <v>TRUE</v>
      </c>
      <c r="L209" s="13" t="b">
        <f>Github!M$180</f>
        <v>1</v>
      </c>
      <c r="M209" s="13" t="b">
        <f>Github!N$180</f>
        <v>0</v>
      </c>
      <c r="N209" s="13">
        <f>Github!P$180</f>
        <v>368819</v>
      </c>
      <c r="O209" s="13">
        <f>Github!Q$180</f>
        <v>1078499</v>
      </c>
    </row>
    <row r="210">
      <c r="A210" s="13">
        <f>Github!J$734</f>
        <v>733</v>
      </c>
      <c r="B210" s="14" t="str">
        <f>HYPERLINK(CONCAT("http://leetcode.com/problems/",Github!C$734), Github!B$734)</f>
        <v>Flood Fill</v>
      </c>
      <c r="C210" s="13">
        <f>Github!F$734</f>
        <v>6274</v>
      </c>
      <c r="D210" s="13">
        <f>Github!G$734</f>
        <v>601</v>
      </c>
      <c r="E210" s="13">
        <f>Github!F$734+Github!G$734</f>
        <v>6875</v>
      </c>
      <c r="F210" s="15">
        <f t="shared" si="1"/>
        <v>10.44</v>
      </c>
      <c r="G210" s="13" t="str">
        <f>ROUND(Github!O$734, 2)&amp;"%"</f>
        <v>61.07%</v>
      </c>
      <c r="H210" s="13" t="str">
        <f>Github!H$734</f>
        <v>Algorithms</v>
      </c>
      <c r="I210" s="16" t="str">
        <f>SUBSTITUTE(Github!L$734, ";", ", ")</f>
        <v>Array, Depth-First Search, Breadth-First Search, Matrix, </v>
      </c>
      <c r="J210" s="13" t="str">
        <f>Github!E$734</f>
        <v>Easy</v>
      </c>
      <c r="K210" s="13" t="str">
        <f>IF(TRIM(Github!D$734)="TRUE","FALSE","TRUE")</f>
        <v>TRUE</v>
      </c>
      <c r="L210" s="13" t="b">
        <f>Github!M$734</f>
        <v>1</v>
      </c>
      <c r="M210" s="13" t="b">
        <f>Github!N$734</f>
        <v>0</v>
      </c>
      <c r="N210" s="13">
        <f>Github!P$734</f>
        <v>629285</v>
      </c>
      <c r="O210" s="13">
        <f>Github!Q$734</f>
        <v>1030465</v>
      </c>
    </row>
    <row r="211">
      <c r="A211" s="13">
        <f>Github!J$452</f>
        <v>451</v>
      </c>
      <c r="B211" s="14" t="str">
        <f>HYPERLINK(CONCAT("http://leetcode.com/problems/",Github!C$452), Github!B$452)</f>
        <v>Sort Characters By Frequency</v>
      </c>
      <c r="C211" s="13">
        <f>Github!F$452</f>
        <v>6181</v>
      </c>
      <c r="D211" s="13">
        <f>Github!G$452</f>
        <v>222</v>
      </c>
      <c r="E211" s="13">
        <f>Github!F$452+Github!G$452</f>
        <v>6403</v>
      </c>
      <c r="F211" s="15">
        <f t="shared" si="1"/>
        <v>27.84</v>
      </c>
      <c r="G211" s="13" t="str">
        <f>ROUND(Github!O$452, 2)&amp;"%"</f>
        <v>69.94%</v>
      </c>
      <c r="H211" s="13" t="str">
        <f>Github!H$452</f>
        <v>Algorithms</v>
      </c>
      <c r="I211" s="16" t="str">
        <f>SUBSTITUTE(Github!L$452, ";", ", ")</f>
        <v>Hash Table, String, Sorting, Heap (Priority Queue), Bucket Sort, Counting, </v>
      </c>
      <c r="J211" s="13" t="str">
        <f>Github!E$452</f>
        <v>Medium</v>
      </c>
      <c r="K211" s="13" t="str">
        <f>IF(TRIM(Github!D$452)="TRUE","FALSE","TRUE")</f>
        <v>TRUE</v>
      </c>
      <c r="L211" s="13" t="b">
        <f>Github!M$452</f>
        <v>1</v>
      </c>
      <c r="M211" s="13" t="b">
        <f>Github!N$452</f>
        <v>0</v>
      </c>
      <c r="N211" s="13">
        <f>Github!P$452</f>
        <v>479555</v>
      </c>
      <c r="O211" s="13">
        <f>Github!Q$452</f>
        <v>685641</v>
      </c>
    </row>
    <row r="212">
      <c r="A212" s="13">
        <f>Github!J$205</f>
        <v>204</v>
      </c>
      <c r="B212" s="14" t="str">
        <f>HYPERLINK(CONCAT("http://leetcode.com/problems/",Github!C$205), Github!B$205)</f>
        <v>Count Primes</v>
      </c>
      <c r="C212" s="13">
        <f>Github!F$205</f>
        <v>6183</v>
      </c>
      <c r="D212" s="13">
        <f>Github!G$205</f>
        <v>1190</v>
      </c>
      <c r="E212" s="13">
        <f>Github!F$205+Github!G$205</f>
        <v>7373</v>
      </c>
      <c r="F212" s="15">
        <f t="shared" si="1"/>
        <v>5.2</v>
      </c>
      <c r="G212" s="13" t="str">
        <f>ROUND(Github!O$205, 2)&amp;"%"</f>
        <v>33.06%</v>
      </c>
      <c r="H212" s="13" t="str">
        <f>Github!H$205</f>
        <v>Algorithms</v>
      </c>
      <c r="I212" s="16" t="str">
        <f>SUBSTITUTE(Github!L$205, ";", ", ")</f>
        <v>Array, Math, Enumeration, Number Theory, </v>
      </c>
      <c r="J212" s="13" t="str">
        <f>Github!E$205</f>
        <v>Medium</v>
      </c>
      <c r="K212" s="13" t="str">
        <f>IF(TRIM(Github!D$205)="TRUE","FALSE","TRUE")</f>
        <v>TRUE</v>
      </c>
      <c r="L212" s="13" t="b">
        <f>Github!M$205</f>
        <v>1</v>
      </c>
      <c r="M212" s="13" t="b">
        <f>Github!N$205</f>
        <v>0</v>
      </c>
      <c r="N212" s="13">
        <f>Github!P$205</f>
        <v>690428</v>
      </c>
      <c r="O212" s="13">
        <f>Github!Q$205</f>
        <v>2088215</v>
      </c>
    </row>
    <row r="213">
      <c r="A213" s="13">
        <f>Github!J$335</f>
        <v>334</v>
      </c>
      <c r="B213" s="14" t="str">
        <f>HYPERLINK(CONCAT("http://leetcode.com/problems/",Github!C$335), Github!B$335)</f>
        <v>Increasing Triplet Subsequence</v>
      </c>
      <c r="C213" s="13">
        <f>Github!F$335</f>
        <v>6102</v>
      </c>
      <c r="D213" s="13">
        <f>Github!G$335</f>
        <v>268</v>
      </c>
      <c r="E213" s="13">
        <f>Github!F$335+Github!G$335</f>
        <v>6370</v>
      </c>
      <c r="F213" s="15">
        <f t="shared" si="1"/>
        <v>22.77</v>
      </c>
      <c r="G213" s="13" t="str">
        <f>ROUND(Github!O$335, 2)&amp;"%"</f>
        <v>42.74%</v>
      </c>
      <c r="H213" s="13" t="str">
        <f>Github!H$335</f>
        <v>Algorithms</v>
      </c>
      <c r="I213" s="16" t="str">
        <f>SUBSTITUTE(Github!L$335, ";", ", ")</f>
        <v>Array, Greedy, </v>
      </c>
      <c r="J213" s="13" t="str">
        <f>Github!E$335</f>
        <v>Medium</v>
      </c>
      <c r="K213" s="13" t="str">
        <f>IF(TRIM(Github!D$335)="TRUE","FALSE","TRUE")</f>
        <v>TRUE</v>
      </c>
      <c r="L213" s="13" t="b">
        <f>Github!M$335</f>
        <v>1</v>
      </c>
      <c r="M213" s="13" t="b">
        <f>Github!N$335</f>
        <v>0</v>
      </c>
      <c r="N213" s="13">
        <f>Github!P$335</f>
        <v>368488</v>
      </c>
      <c r="O213" s="13">
        <f>Github!Q$335</f>
        <v>862212</v>
      </c>
    </row>
    <row r="214">
      <c r="A214" s="13">
        <f>Github!J$98</f>
        <v>97</v>
      </c>
      <c r="B214" s="14" t="str">
        <f>HYPERLINK(CONCAT("http://leetcode.com/problems/",Github!C$98), Github!B$98)</f>
        <v>Interleaving String</v>
      </c>
      <c r="C214" s="13">
        <f>Github!F$98</f>
        <v>6090</v>
      </c>
      <c r="D214" s="13">
        <f>Github!G$98</f>
        <v>373</v>
      </c>
      <c r="E214" s="13">
        <f>Github!F$98+Github!G$98</f>
        <v>6463</v>
      </c>
      <c r="F214" s="15">
        <f t="shared" si="1"/>
        <v>16.33</v>
      </c>
      <c r="G214" s="13" t="str">
        <f>ROUND(Github!O$98, 2)&amp;"%"</f>
        <v>37.19%</v>
      </c>
      <c r="H214" s="13" t="str">
        <f>Github!H$98</f>
        <v>Algorithms</v>
      </c>
      <c r="I214" s="16" t="str">
        <f>SUBSTITUTE(Github!L$98, ";", ", ")</f>
        <v>String, Dynamic Programming, </v>
      </c>
      <c r="J214" s="13" t="str">
        <f>Github!E$98</f>
        <v>Medium</v>
      </c>
      <c r="K214" s="13" t="str">
        <f>IF(TRIM(Github!D$98)="TRUE","FALSE","TRUE")</f>
        <v>TRUE</v>
      </c>
      <c r="L214" s="13" t="b">
        <f>Github!M$98</f>
        <v>1</v>
      </c>
      <c r="M214" s="13" t="b">
        <f>Github!N$98</f>
        <v>0</v>
      </c>
      <c r="N214" s="13">
        <f>Github!P$98</f>
        <v>359609</v>
      </c>
      <c r="O214" s="13">
        <f>Github!Q$98</f>
        <v>966869</v>
      </c>
    </row>
    <row r="215">
      <c r="A215" s="13">
        <f>Github!J$67</f>
        <v>66</v>
      </c>
      <c r="B215" s="14" t="str">
        <f>HYPERLINK(CONCAT("http://leetcode.com/problems/",Github!C$67), Github!B$67)</f>
        <v>Plus One</v>
      </c>
      <c r="C215" s="13">
        <f>Github!F$67</f>
        <v>6159</v>
      </c>
      <c r="D215" s="13">
        <f>Github!G$67</f>
        <v>4652</v>
      </c>
      <c r="E215" s="13">
        <f>Github!F$67+Github!G$67</f>
        <v>10811</v>
      </c>
      <c r="F215" s="15">
        <f t="shared" si="1"/>
        <v>1.32</v>
      </c>
      <c r="G215" s="13" t="str">
        <f>ROUND(Github!O$67, 2)&amp;"%"</f>
        <v>43.48%</v>
      </c>
      <c r="H215" s="13" t="str">
        <f>Github!H$67</f>
        <v>Algorithms</v>
      </c>
      <c r="I215" s="16" t="str">
        <f>SUBSTITUTE(Github!L$67, ";", ", ")</f>
        <v>Array, Math, </v>
      </c>
      <c r="J215" s="13" t="str">
        <f>Github!E$67</f>
        <v>Easy</v>
      </c>
      <c r="K215" s="13" t="str">
        <f>IF(TRIM(Github!D$67)="TRUE","FALSE","TRUE")</f>
        <v>TRUE</v>
      </c>
      <c r="L215" s="13" t="b">
        <f>Github!M$67</f>
        <v>1</v>
      </c>
      <c r="M215" s="13" t="b">
        <f>Github!N$67</f>
        <v>0</v>
      </c>
      <c r="N215" s="13">
        <f>Github!P$67</f>
        <v>1509323</v>
      </c>
      <c r="O215" s="13">
        <f>Github!Q$67</f>
        <v>3471613</v>
      </c>
    </row>
    <row r="216">
      <c r="A216" s="13">
        <f>Github!J$526</f>
        <v>525</v>
      </c>
      <c r="B216" s="14" t="str">
        <f>HYPERLINK(CONCAT("http://leetcode.com/problems/",Github!C$526), Github!B$526)</f>
        <v>Contiguous Array</v>
      </c>
      <c r="C216" s="13">
        <f>Github!F$526</f>
        <v>6070</v>
      </c>
      <c r="D216" s="13">
        <f>Github!G$526</f>
        <v>242</v>
      </c>
      <c r="E216" s="13">
        <f>Github!F$526+Github!G$526</f>
        <v>6312</v>
      </c>
      <c r="F216" s="15">
        <f t="shared" si="1"/>
        <v>25.08</v>
      </c>
      <c r="G216" s="13" t="str">
        <f>ROUND(Github!O$526, 2)&amp;"%"</f>
        <v>46.84%</v>
      </c>
      <c r="H216" s="13" t="str">
        <f>Github!H$526</f>
        <v>Algorithms</v>
      </c>
      <c r="I216" s="16" t="str">
        <f>SUBSTITUTE(Github!L$526, ";", ", ")</f>
        <v>Array, Hash Table, Prefix Sum, </v>
      </c>
      <c r="J216" s="13" t="str">
        <f>Github!E$526</f>
        <v>Medium</v>
      </c>
      <c r="K216" s="13" t="str">
        <f>IF(TRIM(Github!D$526)="TRUE","FALSE","TRUE")</f>
        <v>TRUE</v>
      </c>
      <c r="L216" s="13" t="b">
        <f>Github!M$526</f>
        <v>1</v>
      </c>
      <c r="M216" s="13" t="b">
        <f>Github!N$526</f>
        <v>0</v>
      </c>
      <c r="N216" s="13">
        <f>Github!P$526</f>
        <v>286999</v>
      </c>
      <c r="O216" s="13">
        <f>Github!Q$526</f>
        <v>612774</v>
      </c>
    </row>
    <row r="217">
      <c r="A217" s="13">
        <f>Github!J$663</f>
        <v>662</v>
      </c>
      <c r="B217" s="14" t="str">
        <f>HYPERLINK(CONCAT("http://leetcode.com/problems/",Github!C$663), Github!B$663)</f>
        <v>Maximum Width of Binary Tree</v>
      </c>
      <c r="C217" s="13">
        <f>Github!F$663</f>
        <v>6067</v>
      </c>
      <c r="D217" s="13">
        <f>Github!G$663</f>
        <v>845</v>
      </c>
      <c r="E217" s="13">
        <f>Github!F$663+Github!G$663</f>
        <v>6912</v>
      </c>
      <c r="F217" s="15">
        <f t="shared" si="1"/>
        <v>7.18</v>
      </c>
      <c r="G217" s="13" t="str">
        <f>ROUND(Github!O$663, 2)&amp;"%"</f>
        <v>40.65%</v>
      </c>
      <c r="H217" s="13" t="str">
        <f>Github!H$663</f>
        <v>Algorithms</v>
      </c>
      <c r="I217" s="16" t="str">
        <f>SUBSTITUTE(Github!L$663, ";", ", ")</f>
        <v>Tree, Depth-First Search, Breadth-First Search, Binary Tree, </v>
      </c>
      <c r="J217" s="13" t="str">
        <f>Github!E$663</f>
        <v>Medium</v>
      </c>
      <c r="K217" s="13" t="str">
        <f>IF(TRIM(Github!D$663)="TRUE","FALSE","TRUE")</f>
        <v>TRUE</v>
      </c>
      <c r="L217" s="13" t="b">
        <f>Github!M$663</f>
        <v>1</v>
      </c>
      <c r="M217" s="13" t="b">
        <f>Github!N$663</f>
        <v>0</v>
      </c>
      <c r="N217" s="13">
        <f>Github!P$663</f>
        <v>232259</v>
      </c>
      <c r="O217" s="13">
        <f>Github!Q$663</f>
        <v>571422</v>
      </c>
    </row>
    <row r="218">
      <c r="A218" s="13">
        <f>Github!J$504</f>
        <v>503</v>
      </c>
      <c r="B218" s="14" t="str">
        <f>HYPERLINK(CONCAT("http://leetcode.com/problems/",Github!C$504), Github!B$504)</f>
        <v>Next Greater Element II</v>
      </c>
      <c r="C218" s="13">
        <f>Github!F$504</f>
        <v>6065</v>
      </c>
      <c r="D218" s="13">
        <f>Github!G$504</f>
        <v>167</v>
      </c>
      <c r="E218" s="13">
        <f>Github!F$504+Github!G$504</f>
        <v>6232</v>
      </c>
      <c r="F218" s="15">
        <f t="shared" si="1"/>
        <v>36.32</v>
      </c>
      <c r="G218" s="13" t="str">
        <f>ROUND(Github!O$504, 2)&amp;"%"</f>
        <v>63.14%</v>
      </c>
      <c r="H218" s="13" t="str">
        <f>Github!H$504</f>
        <v>Algorithms</v>
      </c>
      <c r="I218" s="16" t="str">
        <f>SUBSTITUTE(Github!L$504, ";", ", ")</f>
        <v>Array, Stack, Monotonic Stack, </v>
      </c>
      <c r="J218" s="13" t="str">
        <f>Github!E$504</f>
        <v>Medium</v>
      </c>
      <c r="K218" s="13" t="str">
        <f>IF(TRIM(Github!D$504)="TRUE","FALSE","TRUE")</f>
        <v>TRUE</v>
      </c>
      <c r="L218" s="13" t="b">
        <f>Github!M$504</f>
        <v>1</v>
      </c>
      <c r="M218" s="13" t="b">
        <f>Github!N$504</f>
        <v>0</v>
      </c>
      <c r="N218" s="13">
        <f>Github!P$504</f>
        <v>278804</v>
      </c>
      <c r="O218" s="13">
        <f>Github!Q$504</f>
        <v>441581</v>
      </c>
    </row>
    <row r="219">
      <c r="A219" s="13">
        <f>Github!J$699</f>
        <v>698</v>
      </c>
      <c r="B219" s="14" t="str">
        <f>HYPERLINK(CONCAT("http://leetcode.com/problems/",Github!C$699), Github!B$699)</f>
        <v>Partition to K Equal Sum Subsets</v>
      </c>
      <c r="C219" s="13">
        <f>Github!F$699</f>
        <v>5977</v>
      </c>
      <c r="D219" s="13">
        <f>Github!G$699</f>
        <v>413</v>
      </c>
      <c r="E219" s="13">
        <f>Github!F$699+Github!G$699</f>
        <v>6390</v>
      </c>
      <c r="F219" s="15">
        <f t="shared" si="1"/>
        <v>14.47</v>
      </c>
      <c r="G219" s="13" t="str">
        <f>ROUND(Github!O$699, 2)&amp;"%"</f>
        <v>40.55%</v>
      </c>
      <c r="H219" s="13" t="str">
        <f>Github!H$699</f>
        <v>Algorithms</v>
      </c>
      <c r="I219" s="16" t="str">
        <f>SUBSTITUTE(Github!L$699, ";", ", ")</f>
        <v>Array, Dynamic Programming, Backtracking, Bit Manipulation, Memoization, Bitmask, </v>
      </c>
      <c r="J219" s="13" t="str">
        <f>Github!E$699</f>
        <v>Medium</v>
      </c>
      <c r="K219" s="13" t="str">
        <f>IF(TRIM(Github!D$699)="TRUE","FALSE","TRUE")</f>
        <v>TRUE</v>
      </c>
      <c r="L219" s="13" t="b">
        <f>Github!M$699</f>
        <v>1</v>
      </c>
      <c r="M219" s="13" t="b">
        <f>Github!N$699</f>
        <v>0</v>
      </c>
      <c r="N219" s="13">
        <f>Github!P$699</f>
        <v>227057</v>
      </c>
      <c r="O219" s="13">
        <f>Github!Q$699</f>
        <v>559983</v>
      </c>
    </row>
    <row r="220">
      <c r="A220" s="13">
        <f>Github!J$741</f>
        <v>740</v>
      </c>
      <c r="B220" s="14" t="str">
        <f>HYPERLINK(CONCAT("http://leetcode.com/problems/",Github!C$741), Github!B$741)</f>
        <v>Delete and Earn</v>
      </c>
      <c r="C220" s="13">
        <f>Github!F$741</f>
        <v>5988</v>
      </c>
      <c r="D220" s="13">
        <f>Github!G$741</f>
        <v>319</v>
      </c>
      <c r="E220" s="13">
        <f>Github!F$741+Github!G$741</f>
        <v>6307</v>
      </c>
      <c r="F220" s="15">
        <f t="shared" si="1"/>
        <v>18.77</v>
      </c>
      <c r="G220" s="13" t="str">
        <f>ROUND(Github!O$741, 2)&amp;"%"</f>
        <v>57.25%</v>
      </c>
      <c r="H220" s="13" t="str">
        <f>Github!H$741</f>
        <v>Algorithms</v>
      </c>
      <c r="I220" s="16" t="str">
        <f>SUBSTITUTE(Github!L$741, ";", ", ")</f>
        <v>Array, Hash Table, Dynamic Programming, </v>
      </c>
      <c r="J220" s="13" t="str">
        <f>Github!E$741</f>
        <v>Medium</v>
      </c>
      <c r="K220" s="13" t="str">
        <f>IF(TRIM(Github!D$741)="TRUE","FALSE","TRUE")</f>
        <v>TRUE</v>
      </c>
      <c r="L220" s="13" t="b">
        <f>Github!M$741</f>
        <v>1</v>
      </c>
      <c r="M220" s="13" t="b">
        <f>Github!N$741</f>
        <v>0</v>
      </c>
      <c r="N220" s="13">
        <f>Github!P$741</f>
        <v>247407</v>
      </c>
      <c r="O220" s="13">
        <f>Github!Q$741</f>
        <v>432163</v>
      </c>
    </row>
    <row r="221">
      <c r="A221" s="13">
        <f>Github!J$189</f>
        <v>188</v>
      </c>
      <c r="B221" s="14" t="str">
        <f>HYPERLINK(CONCAT("http://leetcode.com/problems/",Github!C$189), Github!B$189)</f>
        <v>Best Time to Buy and Sell Stock IV</v>
      </c>
      <c r="C221" s="13">
        <f>Github!F$189</f>
        <v>5986</v>
      </c>
      <c r="D221" s="13">
        <f>Github!G$189</f>
        <v>194</v>
      </c>
      <c r="E221" s="13">
        <f>Github!F$189+Github!G$189</f>
        <v>6180</v>
      </c>
      <c r="F221" s="15">
        <f t="shared" si="1"/>
        <v>30.86</v>
      </c>
      <c r="G221" s="13" t="str">
        <f>ROUND(Github!O$189, 2)&amp;"%"</f>
        <v>38.35%</v>
      </c>
      <c r="H221" s="13" t="str">
        <f>Github!H$189</f>
        <v>Algorithms</v>
      </c>
      <c r="I221" s="16" t="str">
        <f>SUBSTITUTE(Github!L$189, ";", ", ")</f>
        <v>Array, Dynamic Programming, </v>
      </c>
      <c r="J221" s="13" t="str">
        <f>Github!E$189</f>
        <v>Hard</v>
      </c>
      <c r="K221" s="13" t="str">
        <f>IF(TRIM(Github!D$189)="TRUE","FALSE","TRUE")</f>
        <v>TRUE</v>
      </c>
      <c r="L221" s="13" t="b">
        <f>Github!M$189</f>
        <v>1</v>
      </c>
      <c r="M221" s="13" t="b">
        <f>Github!N$189</f>
        <v>0</v>
      </c>
      <c r="N221" s="13">
        <f>Github!P$189</f>
        <v>337468</v>
      </c>
      <c r="O221" s="13">
        <f>Github!Q$189</f>
        <v>879998</v>
      </c>
    </row>
    <row r="222">
      <c r="A222" s="13">
        <f>Github!J$418</f>
        <v>417</v>
      </c>
      <c r="B222" s="14" t="str">
        <f>HYPERLINK(CONCAT("http://leetcode.com/problems/",Github!C$418), Github!B$418)</f>
        <v>Pacific Atlantic Water Flow</v>
      </c>
      <c r="C222" s="13">
        <f>Github!F$418</f>
        <v>5954</v>
      </c>
      <c r="D222" s="13">
        <f>Github!G$418</f>
        <v>1135</v>
      </c>
      <c r="E222" s="13">
        <f>Github!F$418+Github!G$418</f>
        <v>7089</v>
      </c>
      <c r="F222" s="15">
        <f t="shared" si="1"/>
        <v>5.25</v>
      </c>
      <c r="G222" s="13" t="str">
        <f>ROUND(Github!O$418, 2)&amp;"%"</f>
        <v>54.18%</v>
      </c>
      <c r="H222" s="13" t="str">
        <f>Github!H$418</f>
        <v>Algorithms</v>
      </c>
      <c r="I222" s="16" t="str">
        <f>SUBSTITUTE(Github!L$418, ";", ", ")</f>
        <v>Array, Depth-First Search, Breadth-First Search, Matrix, </v>
      </c>
      <c r="J222" s="13" t="str">
        <f>Github!E$418</f>
        <v>Medium</v>
      </c>
      <c r="K222" s="13" t="str">
        <f>IF(TRIM(Github!D$418)="TRUE","FALSE","TRUE")</f>
        <v>TRUE</v>
      </c>
      <c r="L222" s="13" t="b">
        <f>Github!M$418</f>
        <v>1</v>
      </c>
      <c r="M222" s="13" t="b">
        <f>Github!N$418</f>
        <v>0</v>
      </c>
      <c r="N222" s="13">
        <f>Github!P$418</f>
        <v>327268</v>
      </c>
      <c r="O222" s="13">
        <f>Github!Q$418</f>
        <v>604024</v>
      </c>
    </row>
    <row r="223">
      <c r="A223" s="13">
        <f>Github!J$786</f>
        <v>785</v>
      </c>
      <c r="B223" s="14" t="str">
        <f>HYPERLINK(CONCAT("http://leetcode.com/problems/",Github!C$786), Github!B$786)</f>
        <v>Is Graph Bipartite?</v>
      </c>
      <c r="C223" s="13">
        <f>Github!F$786</f>
        <v>5955</v>
      </c>
      <c r="D223" s="13">
        <f>Github!G$786</f>
        <v>295</v>
      </c>
      <c r="E223" s="13">
        <f>Github!F$786+Github!G$786</f>
        <v>6250</v>
      </c>
      <c r="F223" s="15">
        <f t="shared" si="1"/>
        <v>20.19</v>
      </c>
      <c r="G223" s="13" t="str">
        <f>ROUND(Github!O$786, 2)&amp;"%"</f>
        <v>52.87%</v>
      </c>
      <c r="H223" s="13" t="str">
        <f>Github!H$786</f>
        <v>Algorithms</v>
      </c>
      <c r="I223" s="16" t="str">
        <f>SUBSTITUTE(Github!L$786, ";", ", ")</f>
        <v>Depth-First Search, Breadth-First Search, Union Find, Graph, </v>
      </c>
      <c r="J223" s="13" t="str">
        <f>Github!E$786</f>
        <v>Medium</v>
      </c>
      <c r="K223" s="13" t="str">
        <f>IF(TRIM(Github!D$786)="TRUE","FALSE","TRUE")</f>
        <v>TRUE</v>
      </c>
      <c r="L223" s="13" t="b">
        <f>Github!M$786</f>
        <v>1</v>
      </c>
      <c r="M223" s="13" t="b">
        <f>Github!N$786</f>
        <v>0</v>
      </c>
      <c r="N223" s="13">
        <f>Github!P$786</f>
        <v>377669</v>
      </c>
      <c r="O223" s="13">
        <f>Github!Q$786</f>
        <v>714392</v>
      </c>
    </row>
    <row r="224">
      <c r="A224" s="13">
        <f>Github!J$719</f>
        <v>718</v>
      </c>
      <c r="B224" s="14" t="str">
        <f>HYPERLINK(CONCAT("http://leetcode.com/problems/",Github!C$719), Github!B$719)</f>
        <v>Maximum Length of Repeated Subarray</v>
      </c>
      <c r="C224" s="13">
        <f>Github!F$719</f>
        <v>5892</v>
      </c>
      <c r="D224" s="13">
        <f>Github!G$719</f>
        <v>148</v>
      </c>
      <c r="E224" s="13">
        <f>Github!F$719+Github!G$719</f>
        <v>6040</v>
      </c>
      <c r="F224" s="15">
        <f t="shared" si="1"/>
        <v>39.81</v>
      </c>
      <c r="G224" s="13" t="str">
        <f>ROUND(Github!O$719, 2)&amp;"%"</f>
        <v>51.41%</v>
      </c>
      <c r="H224" s="13" t="str">
        <f>Github!H$719</f>
        <v>Algorithms</v>
      </c>
      <c r="I224" s="16" t="str">
        <f>SUBSTITUTE(Github!L$719, ";", ", ")</f>
        <v>Array, Binary Search, Dynamic Programming, Sliding Window, Rolling Hash, Hash Function, </v>
      </c>
      <c r="J224" s="13" t="str">
        <f>Github!E$719</f>
        <v>Medium</v>
      </c>
      <c r="K224" s="13" t="str">
        <f>IF(TRIM(Github!D$719)="TRUE","FALSE","TRUE")</f>
        <v>TRUE</v>
      </c>
      <c r="L224" s="13" t="b">
        <f>Github!M$719</f>
        <v>1</v>
      </c>
      <c r="M224" s="13" t="b">
        <f>Github!N$719</f>
        <v>0</v>
      </c>
      <c r="N224" s="13">
        <f>Github!P$719</f>
        <v>251712</v>
      </c>
      <c r="O224" s="13">
        <f>Github!Q$719</f>
        <v>489602</v>
      </c>
    </row>
    <row r="225">
      <c r="A225" s="13">
        <f>Github!J$845</f>
        <v>844</v>
      </c>
      <c r="B225" s="14" t="str">
        <f>HYPERLINK(CONCAT("http://leetcode.com/problems/",Github!C$845), Github!B$845)</f>
        <v>Backspace String Compare</v>
      </c>
      <c r="C225" s="13">
        <f>Github!F$845</f>
        <v>5897</v>
      </c>
      <c r="D225" s="13">
        <f>Github!G$845</f>
        <v>270</v>
      </c>
      <c r="E225" s="13">
        <f>Github!F$845+Github!G$845</f>
        <v>6167</v>
      </c>
      <c r="F225" s="15">
        <f t="shared" si="1"/>
        <v>21.84</v>
      </c>
      <c r="G225" s="13" t="str">
        <f>ROUND(Github!O$845, 2)&amp;"%"</f>
        <v>48.01%</v>
      </c>
      <c r="H225" s="13" t="str">
        <f>Github!H$845</f>
        <v>Algorithms</v>
      </c>
      <c r="I225" s="16" t="str">
        <f>SUBSTITUTE(Github!L$845, ";", ", ")</f>
        <v>Two Pointers, String, Stack, Simulation, </v>
      </c>
      <c r="J225" s="13" t="str">
        <f>Github!E$845</f>
        <v>Easy</v>
      </c>
      <c r="K225" s="13" t="str">
        <f>IF(TRIM(Github!D$845)="TRUE","FALSE","TRUE")</f>
        <v>TRUE</v>
      </c>
      <c r="L225" s="13" t="b">
        <f>Github!M$845</f>
        <v>1</v>
      </c>
      <c r="M225" s="13" t="b">
        <f>Github!N$845</f>
        <v>0</v>
      </c>
      <c r="N225" s="13">
        <f>Github!P$845</f>
        <v>585463</v>
      </c>
      <c r="O225" s="13">
        <f>Github!Q$845</f>
        <v>1219420</v>
      </c>
    </row>
    <row r="226">
      <c r="A226" s="13">
        <f>Github!J$744</f>
        <v>743</v>
      </c>
      <c r="B226" s="14" t="str">
        <f>HYPERLINK(CONCAT("http://leetcode.com/problems/",Github!C$744), Github!B$744)</f>
        <v>Network Delay Time</v>
      </c>
      <c r="C226" s="13">
        <f>Github!F$744</f>
        <v>5875</v>
      </c>
      <c r="D226" s="13">
        <f>Github!G$744</f>
        <v>324</v>
      </c>
      <c r="E226" s="13">
        <f>Github!F$744+Github!G$744</f>
        <v>6199</v>
      </c>
      <c r="F226" s="15">
        <f t="shared" si="1"/>
        <v>18.13</v>
      </c>
      <c r="G226" s="13" t="str">
        <f>ROUND(Github!O$744, 2)&amp;"%"</f>
        <v>51.59%</v>
      </c>
      <c r="H226" s="13" t="str">
        <f>Github!H$744</f>
        <v>Algorithms</v>
      </c>
      <c r="I226" s="16" t="str">
        <f>SUBSTITUTE(Github!L$744, ";", ", ")</f>
        <v>Depth-First Search, Breadth-First Search, Graph, Heap (Priority Queue), Shortest Path, </v>
      </c>
      <c r="J226" s="13" t="str">
        <f>Github!E$744</f>
        <v>Medium</v>
      </c>
      <c r="K226" s="13" t="str">
        <f>IF(TRIM(Github!D$744)="TRUE","FALSE","TRUE")</f>
        <v>TRUE</v>
      </c>
      <c r="L226" s="13" t="b">
        <f>Github!M$744</f>
        <v>1</v>
      </c>
      <c r="M226" s="13" t="b">
        <f>Github!N$744</f>
        <v>0</v>
      </c>
      <c r="N226" s="13">
        <f>Github!P$744</f>
        <v>349568</v>
      </c>
      <c r="O226" s="13">
        <f>Github!Q$744</f>
        <v>677562</v>
      </c>
    </row>
    <row r="227">
      <c r="A227" s="13">
        <f>Github!J$351</f>
        <v>350</v>
      </c>
      <c r="B227" s="14" t="str">
        <f>HYPERLINK(CONCAT("http://leetcode.com/problems/",Github!C$351), Github!B$351)</f>
        <v>Intersection of Two Arrays II</v>
      </c>
      <c r="C227" s="13">
        <f>Github!F$351</f>
        <v>5844</v>
      </c>
      <c r="D227" s="13">
        <f>Github!G$351</f>
        <v>813</v>
      </c>
      <c r="E227" s="13">
        <f>Github!F$351+Github!G$351</f>
        <v>6657</v>
      </c>
      <c r="F227" s="15">
        <f t="shared" si="1"/>
        <v>7.19</v>
      </c>
      <c r="G227" s="13" t="str">
        <f>ROUND(Github!O$351, 2)&amp;"%"</f>
        <v>55.72%</v>
      </c>
      <c r="H227" s="13" t="str">
        <f>Github!H$351</f>
        <v>Algorithms</v>
      </c>
      <c r="I227" s="16" t="str">
        <f>SUBSTITUTE(Github!L$351, ";", ", ")</f>
        <v>Array, Hash Table, Two Pointers, Binary Search, Sorting, </v>
      </c>
      <c r="J227" s="13" t="str">
        <f>Github!E$351</f>
        <v>Easy</v>
      </c>
      <c r="K227" s="13" t="str">
        <f>IF(TRIM(Github!D$351)="TRUE","FALSE","TRUE")</f>
        <v>TRUE</v>
      </c>
      <c r="L227" s="13" t="b">
        <f>Github!M$351</f>
        <v>1</v>
      </c>
      <c r="M227" s="13" t="b">
        <f>Github!N$351</f>
        <v>0</v>
      </c>
      <c r="N227" s="13">
        <f>Github!P$351</f>
        <v>976935</v>
      </c>
      <c r="O227" s="13">
        <f>Github!Q$351</f>
        <v>1753381</v>
      </c>
    </row>
    <row r="228">
      <c r="A228" s="13">
        <f>Github!J$510</f>
        <v>509</v>
      </c>
      <c r="B228" s="14" t="str">
        <f>HYPERLINK(CONCAT("http://leetcode.com/problems/",Github!C$510), Github!B$510)</f>
        <v>Fibonacci Number</v>
      </c>
      <c r="C228" s="13">
        <f>Github!F$510</f>
        <v>5857</v>
      </c>
      <c r="D228" s="13">
        <f>Github!G$510</f>
        <v>302</v>
      </c>
      <c r="E228" s="13">
        <f>Github!F$510+Github!G$510</f>
        <v>6159</v>
      </c>
      <c r="F228" s="15">
        <f t="shared" si="1"/>
        <v>19.39</v>
      </c>
      <c r="G228" s="13" t="str">
        <f>ROUND(Github!O$510, 2)&amp;"%"</f>
        <v>69.38%</v>
      </c>
      <c r="H228" s="13" t="str">
        <f>Github!H$510</f>
        <v>Algorithms</v>
      </c>
      <c r="I228" s="16" t="str">
        <f>SUBSTITUTE(Github!L$510, ";", ", ")</f>
        <v>Math, Dynamic Programming, Recursion, Memoization, </v>
      </c>
      <c r="J228" s="13" t="str">
        <f>Github!E$510</f>
        <v>Easy</v>
      </c>
      <c r="K228" s="13" t="str">
        <f>IF(TRIM(Github!D$510)="TRUE","FALSE","TRUE")</f>
        <v>TRUE</v>
      </c>
      <c r="L228" s="13" t="b">
        <f>Github!M$510</f>
        <v>1</v>
      </c>
      <c r="M228" s="13" t="b">
        <f>Github!N$510</f>
        <v>0</v>
      </c>
      <c r="N228" s="13">
        <f>Github!P$510</f>
        <v>1176513</v>
      </c>
      <c r="O228" s="13">
        <f>Github!Q$510</f>
        <v>1695691</v>
      </c>
    </row>
    <row r="229">
      <c r="A229" s="13">
        <f>Github!J$212</f>
        <v>211</v>
      </c>
      <c r="B229" s="14" t="str">
        <f>HYPERLINK(CONCAT("http://leetcode.com/problems/",Github!C$212), Github!B$212)</f>
        <v>Design Add and Search Words Data Structure</v>
      </c>
      <c r="C229" s="13">
        <f>Github!F$212</f>
        <v>5721</v>
      </c>
      <c r="D229" s="13">
        <f>Github!G$212</f>
        <v>335</v>
      </c>
      <c r="E229" s="13">
        <f>Github!F$212+Github!G$212</f>
        <v>6056</v>
      </c>
      <c r="F229" s="15">
        <f t="shared" si="1"/>
        <v>17.08</v>
      </c>
      <c r="G229" s="13" t="str">
        <f>ROUND(Github!O$212, 2)&amp;"%"</f>
        <v>42.95%</v>
      </c>
      <c r="H229" s="13" t="str">
        <f>Github!H$212</f>
        <v>Algorithms</v>
      </c>
      <c r="I229" s="16" t="str">
        <f>SUBSTITUTE(Github!L$212, ";", ", ")</f>
        <v>String, Depth-First Search, Design, Trie, </v>
      </c>
      <c r="J229" s="13" t="str">
        <f>Github!E$212</f>
        <v>Medium</v>
      </c>
      <c r="K229" s="13" t="str">
        <f>IF(TRIM(Github!D$212)="TRUE","FALSE","TRUE")</f>
        <v>TRUE</v>
      </c>
      <c r="L229" s="13" t="b">
        <f>Github!M$212</f>
        <v>1</v>
      </c>
      <c r="M229" s="13" t="b">
        <f>Github!N$212</f>
        <v>0</v>
      </c>
      <c r="N229" s="13">
        <f>Github!P$212</f>
        <v>458604</v>
      </c>
      <c r="O229" s="13">
        <f>Github!Q$212</f>
        <v>1067890</v>
      </c>
    </row>
    <row r="230">
      <c r="A230" s="13">
        <f>Github!J$768</f>
        <v>767</v>
      </c>
      <c r="B230" s="14" t="str">
        <f>HYPERLINK(CONCAT("http://leetcode.com/problems/",Github!C$768), Github!B$768)</f>
        <v>Reorganize String</v>
      </c>
      <c r="C230" s="13">
        <f>Github!F$768</f>
        <v>5720</v>
      </c>
      <c r="D230" s="13">
        <f>Github!G$768</f>
        <v>195</v>
      </c>
      <c r="E230" s="13">
        <f>Github!F$768+Github!G$768</f>
        <v>5915</v>
      </c>
      <c r="F230" s="15">
        <f t="shared" si="1"/>
        <v>29.33</v>
      </c>
      <c r="G230" s="13" t="str">
        <f>ROUND(Github!O$768, 2)&amp;"%"</f>
        <v>52.8%</v>
      </c>
      <c r="H230" s="13" t="str">
        <f>Github!H$768</f>
        <v>Algorithms</v>
      </c>
      <c r="I230" s="16" t="str">
        <f>SUBSTITUTE(Github!L$768, ";", ", ")</f>
        <v>Hash Table, String, Greedy, Sorting, Heap (Priority Queue), Counting, </v>
      </c>
      <c r="J230" s="13" t="str">
        <f>Github!E$768</f>
        <v>Medium</v>
      </c>
      <c r="K230" s="13" t="str">
        <f>IF(TRIM(Github!D$768)="TRUE","FALSE","TRUE")</f>
        <v>TRUE</v>
      </c>
      <c r="L230" s="13" t="b">
        <f>Github!M$768</f>
        <v>0</v>
      </c>
      <c r="M230" s="13" t="b">
        <f>Github!N$768</f>
        <v>0</v>
      </c>
      <c r="N230" s="13">
        <f>Github!P$768</f>
        <v>251538</v>
      </c>
      <c r="O230" s="13">
        <f>Github!Q$768</f>
        <v>476416</v>
      </c>
    </row>
    <row r="231">
      <c r="A231" s="13">
        <f>Github!J$908</f>
        <v>907</v>
      </c>
      <c r="B231" s="14" t="str">
        <f>HYPERLINK(CONCAT("http://leetcode.com/problems/",Github!C$908), Github!B$908)</f>
        <v>Sum of Subarray Minimums</v>
      </c>
      <c r="C231" s="13">
        <f>Github!F$908</f>
        <v>5726</v>
      </c>
      <c r="D231" s="13">
        <f>Github!G$908</f>
        <v>394</v>
      </c>
      <c r="E231" s="13">
        <f>Github!F$908+Github!G$908</f>
        <v>6120</v>
      </c>
      <c r="F231" s="15">
        <f t="shared" si="1"/>
        <v>14.53</v>
      </c>
      <c r="G231" s="13" t="str">
        <f>ROUND(Github!O$908, 2)&amp;"%"</f>
        <v>35.96%</v>
      </c>
      <c r="H231" s="13" t="str">
        <f>Github!H$908</f>
        <v>Algorithms</v>
      </c>
      <c r="I231" s="16" t="str">
        <f>SUBSTITUTE(Github!L$908, ";", ", ")</f>
        <v>Array, Dynamic Programming, Stack, Monotonic Stack, </v>
      </c>
      <c r="J231" s="13" t="str">
        <f>Github!E$908</f>
        <v>Medium</v>
      </c>
      <c r="K231" s="13" t="str">
        <f>IF(TRIM(Github!D$908)="TRUE","FALSE","TRUE")</f>
        <v>TRUE</v>
      </c>
      <c r="L231" s="13" t="b">
        <f>Github!M$908</f>
        <v>1</v>
      </c>
      <c r="M231" s="13" t="b">
        <f>Github!N$908</f>
        <v>0</v>
      </c>
      <c r="N231" s="13">
        <f>Github!P$908</f>
        <v>137989</v>
      </c>
      <c r="O231" s="13">
        <f>Github!Q$908</f>
        <v>383685</v>
      </c>
    </row>
    <row r="232">
      <c r="A232" s="13">
        <f>Github!J$141</f>
        <v>140</v>
      </c>
      <c r="B232" s="14" t="str">
        <f>HYPERLINK(CONCAT("http://leetcode.com/problems/",Github!C$141), Github!B$141)</f>
        <v>Word Break II</v>
      </c>
      <c r="C232" s="13">
        <f>Github!F$141</f>
        <v>5699</v>
      </c>
      <c r="D232" s="13">
        <f>Github!G$141</f>
        <v>495</v>
      </c>
      <c r="E232" s="13">
        <f>Github!F$141+Github!G$141</f>
        <v>6194</v>
      </c>
      <c r="F232" s="15">
        <f t="shared" si="1"/>
        <v>11.51</v>
      </c>
      <c r="G232" s="13" t="str">
        <f>ROUND(Github!O$141, 2)&amp;"%"</f>
        <v>44.79%</v>
      </c>
      <c r="H232" s="13" t="str">
        <f>Github!H$141</f>
        <v>Algorithms</v>
      </c>
      <c r="I232" s="16" t="str">
        <f>SUBSTITUTE(Github!L$141, ";", ", ")</f>
        <v>Hash Table, String, Dynamic Programming, Backtracking, Trie, Memoization, </v>
      </c>
      <c r="J232" s="13" t="str">
        <f>Github!E$141</f>
        <v>Hard</v>
      </c>
      <c r="K232" s="13" t="str">
        <f>IF(TRIM(Github!D$141)="TRUE","FALSE","TRUE")</f>
        <v>TRUE</v>
      </c>
      <c r="L232" s="13" t="b">
        <f>Github!M$141</f>
        <v>1</v>
      </c>
      <c r="M232" s="13" t="b">
        <f>Github!N$141</f>
        <v>0</v>
      </c>
      <c r="N232" s="13">
        <f>Github!P$141</f>
        <v>497442</v>
      </c>
      <c r="O232" s="13">
        <f>Github!Q$141</f>
        <v>1110664</v>
      </c>
    </row>
    <row r="233">
      <c r="A233" s="13">
        <f>Github!J$725</f>
        <v>724</v>
      </c>
      <c r="B233" s="14" t="str">
        <f>HYPERLINK(CONCAT("http://leetcode.com/problems/",Github!C$725), Github!B$725)</f>
        <v>Find Pivot Index</v>
      </c>
      <c r="C233" s="13">
        <f>Github!F$725</f>
        <v>5815</v>
      </c>
      <c r="D233" s="13">
        <f>Github!G$725</f>
        <v>612</v>
      </c>
      <c r="E233" s="13">
        <f>Github!F$725+Github!G$725</f>
        <v>6427</v>
      </c>
      <c r="F233" s="15">
        <f t="shared" si="1"/>
        <v>9.5</v>
      </c>
      <c r="G233" s="13" t="str">
        <f>ROUND(Github!O$725, 2)&amp;"%"</f>
        <v>53.77%</v>
      </c>
      <c r="H233" s="13" t="str">
        <f>Github!H$725</f>
        <v>Algorithms</v>
      </c>
      <c r="I233" s="16" t="str">
        <f>SUBSTITUTE(Github!L$725, ";", ", ")</f>
        <v>Array, Prefix Sum, </v>
      </c>
      <c r="J233" s="13" t="str">
        <f>Github!E$725</f>
        <v>Easy</v>
      </c>
      <c r="K233" s="13" t="str">
        <f>IF(TRIM(Github!D$725)="TRUE","FALSE","TRUE")</f>
        <v>TRUE</v>
      </c>
      <c r="L233" s="13" t="b">
        <f>Github!M$725</f>
        <v>1</v>
      </c>
      <c r="M233" s="13" t="b">
        <f>Github!N$725</f>
        <v>0</v>
      </c>
      <c r="N233" s="13">
        <f>Github!P$725</f>
        <v>660973</v>
      </c>
      <c r="O233" s="13">
        <f>Github!Q$725</f>
        <v>1229346</v>
      </c>
    </row>
    <row r="234">
      <c r="A234" s="13">
        <f>Github!J$1005</f>
        <v>1004</v>
      </c>
      <c r="B234" s="14" t="str">
        <f>HYPERLINK(CONCAT("http://leetcode.com/problems/",Github!C$1005), Github!B$1005)</f>
        <v>Max Consecutive Ones III</v>
      </c>
      <c r="C234" s="13">
        <f>Github!F$1005</f>
        <v>5711</v>
      </c>
      <c r="D234" s="13">
        <f>Github!G$1005</f>
        <v>67</v>
      </c>
      <c r="E234" s="13">
        <f>Github!F$1005+Github!G$1005</f>
        <v>5778</v>
      </c>
      <c r="F234" s="15">
        <f t="shared" si="1"/>
        <v>85.24</v>
      </c>
      <c r="G234" s="13" t="str">
        <f>ROUND(Github!O$1005, 2)&amp;"%"</f>
        <v>63.33%</v>
      </c>
      <c r="H234" s="13" t="str">
        <f>Github!H$1005</f>
        <v>Algorithms</v>
      </c>
      <c r="I234" s="16" t="str">
        <f>SUBSTITUTE(Github!L$1005, ";", ", ")</f>
        <v>Array, Binary Search, Sliding Window, Prefix Sum, </v>
      </c>
      <c r="J234" s="13" t="str">
        <f>Github!E$1005</f>
        <v>Medium</v>
      </c>
      <c r="K234" s="13" t="str">
        <f>IF(TRIM(Github!D$1005)="TRUE","FALSE","TRUE")</f>
        <v>TRUE</v>
      </c>
      <c r="L234" s="13" t="b">
        <f>Github!M$1005</f>
        <v>1</v>
      </c>
      <c r="M234" s="13" t="b">
        <f>Github!N$1005</f>
        <v>0</v>
      </c>
      <c r="N234" s="13">
        <f>Github!P$1005</f>
        <v>268759</v>
      </c>
      <c r="O234" s="13">
        <f>Github!Q$1005</f>
        <v>424399</v>
      </c>
    </row>
    <row r="235">
      <c r="A235" s="13">
        <f>Github!J$876</f>
        <v>875</v>
      </c>
      <c r="B235" s="14" t="str">
        <f>HYPERLINK(CONCAT("http://leetcode.com/problems/",Github!C$876), Github!B$876)</f>
        <v>Koko Eating Bananas</v>
      </c>
      <c r="C235" s="13">
        <f>Github!F$876</f>
        <v>5685</v>
      </c>
      <c r="D235" s="13">
        <f>Github!G$876</f>
        <v>266</v>
      </c>
      <c r="E235" s="13">
        <f>Github!F$876+Github!G$876</f>
        <v>5951</v>
      </c>
      <c r="F235" s="15">
        <f t="shared" si="1"/>
        <v>21.37</v>
      </c>
      <c r="G235" s="13" t="str">
        <f>ROUND(Github!O$876, 2)&amp;"%"</f>
        <v>51.85%</v>
      </c>
      <c r="H235" s="13" t="str">
        <f>Github!H$876</f>
        <v>Algorithms</v>
      </c>
      <c r="I235" s="16" t="str">
        <f>SUBSTITUTE(Github!L$876, ";", ", ")</f>
        <v>Array, Binary Search, </v>
      </c>
      <c r="J235" s="13" t="str">
        <f>Github!E$876</f>
        <v>Medium</v>
      </c>
      <c r="K235" s="13" t="str">
        <f>IF(TRIM(Github!D$876)="TRUE","FALSE","TRUE")</f>
        <v>TRUE</v>
      </c>
      <c r="L235" s="13" t="b">
        <f>Github!M$876</f>
        <v>1</v>
      </c>
      <c r="M235" s="13" t="b">
        <f>Github!N$876</f>
        <v>0</v>
      </c>
      <c r="N235" s="13">
        <f>Github!P$876</f>
        <v>257795</v>
      </c>
      <c r="O235" s="13">
        <f>Github!Q$876</f>
        <v>497166</v>
      </c>
    </row>
    <row r="236">
      <c r="A236" s="13">
        <f>Github!J$206</f>
        <v>205</v>
      </c>
      <c r="B236" s="14" t="str">
        <f>HYPERLINK(CONCAT("http://leetcode.com/problems/",Github!C$206), Github!B$206)</f>
        <v>Isomorphic Strings</v>
      </c>
      <c r="C236" s="13">
        <f>Github!F$206</f>
        <v>5738</v>
      </c>
      <c r="D236" s="13">
        <f>Github!G$206</f>
        <v>1125</v>
      </c>
      <c r="E236" s="13">
        <f>Github!F$206+Github!G$206</f>
        <v>6863</v>
      </c>
      <c r="F236" s="15">
        <f t="shared" si="1"/>
        <v>5.1</v>
      </c>
      <c r="G236" s="13" t="str">
        <f>ROUND(Github!O$206, 2)&amp;"%"</f>
        <v>42.65%</v>
      </c>
      <c r="H236" s="13" t="str">
        <f>Github!H$206</f>
        <v>Algorithms</v>
      </c>
      <c r="I236" s="16" t="str">
        <f>SUBSTITUTE(Github!L$206, ";", ", ")</f>
        <v>Hash Table, String, </v>
      </c>
      <c r="J236" s="13" t="str">
        <f>Github!E$206</f>
        <v>Easy</v>
      </c>
      <c r="K236" s="13" t="str">
        <f>IF(TRIM(Github!D$206)="TRUE","FALSE","TRUE")</f>
        <v>TRUE</v>
      </c>
      <c r="L236" s="13" t="b">
        <f>Github!M$206</f>
        <v>1</v>
      </c>
      <c r="M236" s="13" t="b">
        <f>Github!N$206</f>
        <v>0</v>
      </c>
      <c r="N236" s="13">
        <f>Github!P$206</f>
        <v>751549</v>
      </c>
      <c r="O236" s="13">
        <f>Github!Q$206</f>
        <v>1762115</v>
      </c>
    </row>
    <row r="237">
      <c r="A237" s="13">
        <f>Github!J$107</f>
        <v>106</v>
      </c>
      <c r="B237" s="14" t="str">
        <f>HYPERLINK(CONCAT("http://leetcode.com/problems/",Github!C$107), Github!B$107)</f>
        <v>Construct Binary Tree from Inorder and Postorder Traversal</v>
      </c>
      <c r="C237" s="13">
        <f>Github!F$107</f>
        <v>5614</v>
      </c>
      <c r="D237" s="13">
        <f>Github!G$107</f>
        <v>84</v>
      </c>
      <c r="E237" s="13">
        <f>Github!F$107+Github!G$107</f>
        <v>5698</v>
      </c>
      <c r="F237" s="15">
        <f t="shared" si="1"/>
        <v>66.83</v>
      </c>
      <c r="G237" s="13" t="str">
        <f>ROUND(Github!O$107, 2)&amp;"%"</f>
        <v>57.72%</v>
      </c>
      <c r="H237" s="13" t="str">
        <f>Github!H$107</f>
        <v>Algorithms</v>
      </c>
      <c r="I237" s="16" t="str">
        <f>SUBSTITUTE(Github!L$107, ";", ", ")</f>
        <v>Array, Hash Table, Divide and Conquer, Tree, Binary Tree, </v>
      </c>
      <c r="J237" s="13" t="str">
        <f>Github!E$107</f>
        <v>Medium</v>
      </c>
      <c r="K237" s="13" t="str">
        <f>IF(TRIM(Github!D$107)="TRUE","FALSE","TRUE")</f>
        <v>TRUE</v>
      </c>
      <c r="L237" s="13" t="b">
        <f>Github!M$107</f>
        <v>1</v>
      </c>
      <c r="M237" s="13" t="b">
        <f>Github!N$107</f>
        <v>0</v>
      </c>
      <c r="N237" s="13">
        <f>Github!P$107</f>
        <v>453750</v>
      </c>
      <c r="O237" s="13">
        <f>Github!Q$107</f>
        <v>786076</v>
      </c>
    </row>
    <row r="238">
      <c r="A238" s="13">
        <f>Github!J$96</f>
        <v>95</v>
      </c>
      <c r="B238" s="14" t="str">
        <f>HYPERLINK(CONCAT("http://leetcode.com/problems/",Github!C$96), Github!B$96)</f>
        <v>Unique Binary Search Trees II</v>
      </c>
      <c r="C238" s="13">
        <f>Github!F$96</f>
        <v>5601</v>
      </c>
      <c r="D238" s="13">
        <f>Github!G$96</f>
        <v>364</v>
      </c>
      <c r="E238" s="13">
        <f>Github!F$96+Github!G$96</f>
        <v>5965</v>
      </c>
      <c r="F238" s="15">
        <f t="shared" si="1"/>
        <v>15.39</v>
      </c>
      <c r="G238" s="13" t="str">
        <f>ROUND(Github!O$96, 2)&amp;"%"</f>
        <v>51.89%</v>
      </c>
      <c r="H238" s="13" t="str">
        <f>Github!H$96</f>
        <v>Algorithms</v>
      </c>
      <c r="I238" s="16" t="str">
        <f>SUBSTITUTE(Github!L$96, ";", ", ")</f>
        <v>Dynamic Programming, Backtracking, Tree, Binary Search Tree, Binary Tree, </v>
      </c>
      <c r="J238" s="13" t="str">
        <f>Github!E$96</f>
        <v>Medium</v>
      </c>
      <c r="K238" s="13" t="str">
        <f>IF(TRIM(Github!D$96)="TRUE","FALSE","TRUE")</f>
        <v>TRUE</v>
      </c>
      <c r="L238" s="13" t="b">
        <f>Github!M$96</f>
        <v>1</v>
      </c>
      <c r="M238" s="13" t="b">
        <f>Github!N$96</f>
        <v>0</v>
      </c>
      <c r="N238" s="13">
        <f>Github!P$96</f>
        <v>340999</v>
      </c>
      <c r="O238" s="13">
        <f>Github!Q$96</f>
        <v>657177</v>
      </c>
    </row>
    <row r="239">
      <c r="A239" s="13">
        <f>Github!J$1012</f>
        <v>1011</v>
      </c>
      <c r="B239" s="14" t="str">
        <f>HYPERLINK(CONCAT("http://leetcode.com/problems/",Github!C$1012), Github!B$1012)</f>
        <v>Capacity To Ship Packages Within D Days</v>
      </c>
      <c r="C239" s="13">
        <f>Github!F$1012</f>
        <v>5687</v>
      </c>
      <c r="D239" s="13">
        <f>Github!G$1012</f>
        <v>118</v>
      </c>
      <c r="E239" s="13">
        <f>Github!F$1012+Github!G$1012</f>
        <v>5805</v>
      </c>
      <c r="F239" s="15">
        <f t="shared" si="1"/>
        <v>48.19</v>
      </c>
      <c r="G239" s="13" t="str">
        <f>ROUND(Github!O$1012, 2)&amp;"%"</f>
        <v>64.71%</v>
      </c>
      <c r="H239" s="13" t="str">
        <f>Github!H$1012</f>
        <v>Algorithms</v>
      </c>
      <c r="I239" s="16" t="str">
        <f>SUBSTITUTE(Github!L$1012, ";", ", ")</f>
        <v>Array, Binary Search, </v>
      </c>
      <c r="J239" s="13" t="str">
        <f>Github!E$1012</f>
        <v>Medium</v>
      </c>
      <c r="K239" s="13" t="str">
        <f>IF(TRIM(Github!D$1012)="TRUE","FALSE","TRUE")</f>
        <v>TRUE</v>
      </c>
      <c r="L239" s="13" t="b">
        <f>Github!M$1012</f>
        <v>1</v>
      </c>
      <c r="M239" s="13" t="b">
        <f>Github!N$1012</f>
        <v>0</v>
      </c>
      <c r="N239" s="13">
        <f>Github!P$1012</f>
        <v>188928</v>
      </c>
      <c r="O239" s="13">
        <f>Github!Q$1012</f>
        <v>291950</v>
      </c>
    </row>
    <row r="240">
      <c r="A240" s="13">
        <f>Github!J$126</f>
        <v>125</v>
      </c>
      <c r="B240" s="14" t="str">
        <f>HYPERLINK(CONCAT("http://leetcode.com/problems/",Github!C$126), Github!B$126)</f>
        <v>Valid Palindrome</v>
      </c>
      <c r="C240" s="13">
        <f>Github!F$126</f>
        <v>5686</v>
      </c>
      <c r="D240" s="13">
        <f>Github!G$126</f>
        <v>6444</v>
      </c>
      <c r="E240" s="13">
        <f>Github!F$126+Github!G$126</f>
        <v>12130</v>
      </c>
      <c r="F240" s="15">
        <f t="shared" si="1"/>
        <v>0.88</v>
      </c>
      <c r="G240" s="13" t="str">
        <f>ROUND(Github!O$126, 2)&amp;"%"</f>
        <v>43.9%</v>
      </c>
      <c r="H240" s="13" t="str">
        <f>Github!H$126</f>
        <v>Algorithms</v>
      </c>
      <c r="I240" s="16" t="str">
        <f>SUBSTITUTE(Github!L$126, ";", ", ")</f>
        <v>Two Pointers, String, </v>
      </c>
      <c r="J240" s="13" t="str">
        <f>Github!E$126</f>
        <v>Easy</v>
      </c>
      <c r="K240" s="13" t="str">
        <f>IF(TRIM(Github!D$126)="TRUE","FALSE","TRUE")</f>
        <v>TRUE</v>
      </c>
      <c r="L240" s="13" t="b">
        <f>Github!M$126</f>
        <v>1</v>
      </c>
      <c r="M240" s="13" t="b">
        <f>Github!N$126</f>
        <v>0</v>
      </c>
      <c r="N240" s="13">
        <f>Github!P$126</f>
        <v>1715719</v>
      </c>
      <c r="O240" s="13">
        <f>Github!Q$126</f>
        <v>3908370</v>
      </c>
    </row>
    <row r="241">
      <c r="A241" s="13">
        <f>Github!J$988</f>
        <v>987</v>
      </c>
      <c r="B241" s="14" t="str">
        <f>HYPERLINK(CONCAT("http://leetcode.com/problems/",Github!C$988), Github!B$988)</f>
        <v>Vertical Order Traversal of a Binary Tree</v>
      </c>
      <c r="C241" s="13">
        <f>Github!F$988</f>
        <v>5587</v>
      </c>
      <c r="D241" s="13">
        <f>Github!G$988</f>
        <v>4024</v>
      </c>
      <c r="E241" s="13">
        <f>Github!F$988+Github!G$988</f>
        <v>9611</v>
      </c>
      <c r="F241" s="15">
        <f t="shared" si="1"/>
        <v>1.39</v>
      </c>
      <c r="G241" s="13" t="str">
        <f>ROUND(Github!O$988, 2)&amp;"%"</f>
        <v>44.78%</v>
      </c>
      <c r="H241" s="13" t="str">
        <f>Github!H$988</f>
        <v>Algorithms</v>
      </c>
      <c r="I241" s="16" t="str">
        <f>SUBSTITUTE(Github!L$988, ";", ", ")</f>
        <v>Hash Table, Tree, Depth-First Search, Breadth-First Search, Binary Tree, </v>
      </c>
      <c r="J241" s="13" t="str">
        <f>Github!E$988</f>
        <v>Hard</v>
      </c>
      <c r="K241" s="13" t="str">
        <f>IF(TRIM(Github!D$988)="TRUE","FALSE","TRUE")</f>
        <v>TRUE</v>
      </c>
      <c r="L241" s="13" t="b">
        <f>Github!M$988</f>
        <v>1</v>
      </c>
      <c r="M241" s="13" t="b">
        <f>Github!N$988</f>
        <v>1</v>
      </c>
      <c r="N241" s="13">
        <f>Github!P$988</f>
        <v>315844</v>
      </c>
      <c r="O241" s="13">
        <f>Github!Q$988</f>
        <v>705358</v>
      </c>
    </row>
    <row r="242">
      <c r="A242" s="13">
        <f>Github!J$1049</f>
        <v>1048</v>
      </c>
      <c r="B242" s="14" t="str">
        <f>HYPERLINK(CONCAT("http://leetcode.com/problems/",Github!C$1049), Github!B$1049)</f>
        <v>Longest String Chain</v>
      </c>
      <c r="C242" s="13">
        <f>Github!F$1049</f>
        <v>5573</v>
      </c>
      <c r="D242" s="13">
        <f>Github!G$1049</f>
        <v>216</v>
      </c>
      <c r="E242" s="13">
        <f>Github!F$1049+Github!G$1049</f>
        <v>5789</v>
      </c>
      <c r="F242" s="15">
        <f t="shared" si="1"/>
        <v>25.8</v>
      </c>
      <c r="G242" s="13" t="str">
        <f>ROUND(Github!O$1049, 2)&amp;"%"</f>
        <v>59.16%</v>
      </c>
      <c r="H242" s="13" t="str">
        <f>Github!H$1049</f>
        <v>Algorithms</v>
      </c>
      <c r="I242" s="16" t="str">
        <f>SUBSTITUTE(Github!L$1049, ";", ", ")</f>
        <v>Array, Hash Table, Two Pointers, String, Dynamic Programming, </v>
      </c>
      <c r="J242" s="13" t="str">
        <f>Github!E$1049</f>
        <v>Medium</v>
      </c>
      <c r="K242" s="13" t="str">
        <f>IF(TRIM(Github!D$1049)="TRUE","FALSE","TRUE")</f>
        <v>TRUE</v>
      </c>
      <c r="L242" s="13" t="b">
        <f>Github!M$1049</f>
        <v>1</v>
      </c>
      <c r="M242" s="13" t="b">
        <f>Github!N$1049</f>
        <v>0</v>
      </c>
      <c r="N242" s="13">
        <f>Github!P$1049</f>
        <v>295928</v>
      </c>
      <c r="O242" s="13">
        <f>Github!Q$1049</f>
        <v>500179</v>
      </c>
    </row>
    <row r="243">
      <c r="A243" s="13">
        <f>Github!J$44</f>
        <v>43</v>
      </c>
      <c r="B243" s="14" t="str">
        <f>HYPERLINK(CONCAT("http://leetcode.com/problems/",Github!C$44), Github!B$44)</f>
        <v>Multiply Strings</v>
      </c>
      <c r="C243" s="13">
        <f>Github!F$44</f>
        <v>5596</v>
      </c>
      <c r="D243" s="13">
        <f>Github!G$44</f>
        <v>2443</v>
      </c>
      <c r="E243" s="13">
        <f>Github!F$44+Github!G$44</f>
        <v>8039</v>
      </c>
      <c r="F243" s="15">
        <f t="shared" si="1"/>
        <v>2.29</v>
      </c>
      <c r="G243" s="13" t="str">
        <f>ROUND(Github!O$44, 2)&amp;"%"</f>
        <v>38.92%</v>
      </c>
      <c r="H243" s="13" t="str">
        <f>Github!H$44</f>
        <v>Algorithms</v>
      </c>
      <c r="I243" s="16" t="str">
        <f>SUBSTITUTE(Github!L$44, ";", ", ")</f>
        <v>Math, String, Simulation, </v>
      </c>
      <c r="J243" s="13" t="str">
        <f>Github!E$44</f>
        <v>Medium</v>
      </c>
      <c r="K243" s="13" t="str">
        <f>IF(TRIM(Github!D$44)="TRUE","FALSE","TRUE")</f>
        <v>TRUE</v>
      </c>
      <c r="L243" s="13" t="b">
        <f>Github!M$44</f>
        <v>1</v>
      </c>
      <c r="M243" s="13" t="b">
        <f>Github!N$44</f>
        <v>0</v>
      </c>
      <c r="N243" s="13">
        <f>Github!P$44</f>
        <v>614219</v>
      </c>
      <c r="O243" s="13">
        <f>Github!Q$44</f>
        <v>1578164</v>
      </c>
    </row>
    <row r="244">
      <c r="A244" s="13">
        <f>Github!J$1481</f>
        <v>1480</v>
      </c>
      <c r="B244" s="14" t="str">
        <f>HYPERLINK(CONCAT("http://leetcode.com/problems/",Github!C$1481), Github!B$1481)</f>
        <v>Running Sum of 1d Array</v>
      </c>
      <c r="C244" s="13">
        <f>Github!F$1481</f>
        <v>5642</v>
      </c>
      <c r="D244" s="13">
        <f>Github!G$1481</f>
        <v>281</v>
      </c>
      <c r="E244" s="13">
        <f>Github!F$1481+Github!G$1481</f>
        <v>5923</v>
      </c>
      <c r="F244" s="15">
        <f t="shared" si="1"/>
        <v>20.08</v>
      </c>
      <c r="G244" s="13" t="str">
        <f>ROUND(Github!O$1481, 2)&amp;"%"</f>
        <v>88.74%</v>
      </c>
      <c r="H244" s="13" t="str">
        <f>Github!H$1481</f>
        <v>Algorithms</v>
      </c>
      <c r="I244" s="16" t="str">
        <f>SUBSTITUTE(Github!L$1481, ";", ", ")</f>
        <v>Array, Prefix Sum, </v>
      </c>
      <c r="J244" s="13" t="str">
        <f>Github!E$1481</f>
        <v>Easy</v>
      </c>
      <c r="K244" s="13" t="str">
        <f>IF(TRIM(Github!D$1481)="TRUE","FALSE","TRUE")</f>
        <v>TRUE</v>
      </c>
      <c r="L244" s="13" t="b">
        <f>Github!M$1481</f>
        <v>1</v>
      </c>
      <c r="M244" s="13" t="b">
        <f>Github!N$1481</f>
        <v>1</v>
      </c>
      <c r="N244" s="13">
        <f>Github!P$1481</f>
        <v>1176030</v>
      </c>
      <c r="O244" s="13">
        <f>Github!Q$1481</f>
        <v>1325256</v>
      </c>
    </row>
    <row r="245">
      <c r="A245" s="13">
        <f>Github!J$939</f>
        <v>938</v>
      </c>
      <c r="B245" s="14" t="str">
        <f>HYPERLINK(CONCAT("http://leetcode.com/problems/",Github!C$939), Github!B$939)</f>
        <v>Range Sum of BST</v>
      </c>
      <c r="C245" s="13">
        <f>Github!F$939</f>
        <v>5521</v>
      </c>
      <c r="D245" s="13">
        <f>Github!G$939</f>
        <v>351</v>
      </c>
      <c r="E245" s="13">
        <f>Github!F$939+Github!G$939</f>
        <v>5872</v>
      </c>
      <c r="F245" s="15">
        <f t="shared" si="1"/>
        <v>15.73</v>
      </c>
      <c r="G245" s="13" t="str">
        <f>ROUND(Github!O$939, 2)&amp;"%"</f>
        <v>85.85%</v>
      </c>
      <c r="H245" s="13" t="str">
        <f>Github!H$939</f>
        <v>Algorithms</v>
      </c>
      <c r="I245" s="16" t="str">
        <f>SUBSTITUTE(Github!L$939, ";", ", ")</f>
        <v>Tree, Depth-First Search, Binary Search Tree, Binary Tree, </v>
      </c>
      <c r="J245" s="13" t="str">
        <f>Github!E$939</f>
        <v>Easy</v>
      </c>
      <c r="K245" s="13" t="str">
        <f>IF(TRIM(Github!D$939)="TRUE","FALSE","TRUE")</f>
        <v>TRUE</v>
      </c>
      <c r="L245" s="13" t="b">
        <f>Github!M$939</f>
        <v>1</v>
      </c>
      <c r="M245" s="13" t="b">
        <f>Github!N$939</f>
        <v>1</v>
      </c>
      <c r="N245" s="13">
        <f>Github!P$939</f>
        <v>753168</v>
      </c>
      <c r="O245" s="13">
        <f>Github!Q$939</f>
        <v>877346</v>
      </c>
    </row>
    <row r="246">
      <c r="A246" s="13">
        <f>Github!J$145</f>
        <v>144</v>
      </c>
      <c r="B246" s="14" t="str">
        <f>HYPERLINK(CONCAT("http://leetcode.com/problems/",Github!C$145), Github!B$145)</f>
        <v>Binary Tree Preorder Traversal</v>
      </c>
      <c r="C246" s="13">
        <f>Github!F$145</f>
        <v>5534</v>
      </c>
      <c r="D246" s="13">
        <f>Github!G$145</f>
        <v>150</v>
      </c>
      <c r="E246" s="13">
        <f>Github!F$145+Github!G$145</f>
        <v>5684</v>
      </c>
      <c r="F246" s="15">
        <f t="shared" si="1"/>
        <v>36.89</v>
      </c>
      <c r="G246" s="13" t="str">
        <f>ROUND(Github!O$145, 2)&amp;"%"</f>
        <v>65.1%</v>
      </c>
      <c r="H246" s="13" t="str">
        <f>Github!H$145</f>
        <v>Algorithms</v>
      </c>
      <c r="I246" s="16" t="str">
        <f>SUBSTITUTE(Github!L$145, ";", ", ")</f>
        <v>Stack, Tree, Depth-First Search, Binary Tree, </v>
      </c>
      <c r="J246" s="13" t="str">
        <f>Github!E$145</f>
        <v>Easy</v>
      </c>
      <c r="K246" s="13" t="str">
        <f>IF(TRIM(Github!D$145)="TRUE","FALSE","TRUE")</f>
        <v>TRUE</v>
      </c>
      <c r="L246" s="13" t="b">
        <f>Github!M$145</f>
        <v>1</v>
      </c>
      <c r="M246" s="13" t="b">
        <f>Github!N$145</f>
        <v>0</v>
      </c>
      <c r="N246" s="13">
        <f>Github!P$145</f>
        <v>1154056</v>
      </c>
      <c r="O246" s="13">
        <f>Github!Q$145</f>
        <v>1772863</v>
      </c>
    </row>
    <row r="247">
      <c r="A247" s="13">
        <f>Github!J$1250</f>
        <v>1249</v>
      </c>
      <c r="B247" s="14" t="str">
        <f>HYPERLINK(CONCAT("http://leetcode.com/problems/",Github!C$1250), Github!B$1250)</f>
        <v>Minimum Remove to Make Valid Parentheses</v>
      </c>
      <c r="C247" s="13">
        <f>Github!F$1250</f>
        <v>5487</v>
      </c>
      <c r="D247" s="13">
        <f>Github!G$1250</f>
        <v>103</v>
      </c>
      <c r="E247" s="13">
        <f>Github!F$1250+Github!G$1250</f>
        <v>5590</v>
      </c>
      <c r="F247" s="15">
        <f t="shared" si="1"/>
        <v>53.27</v>
      </c>
      <c r="G247" s="13" t="str">
        <f>ROUND(Github!O$1250, 2)&amp;"%"</f>
        <v>65.73%</v>
      </c>
      <c r="H247" s="13" t="str">
        <f>Github!H$1250</f>
        <v>Algorithms</v>
      </c>
      <c r="I247" s="16" t="str">
        <f>SUBSTITUTE(Github!L$1250, ";", ", ")</f>
        <v>String, Stack, </v>
      </c>
      <c r="J247" s="13" t="str">
        <f>Github!E$1250</f>
        <v>Medium</v>
      </c>
      <c r="K247" s="13" t="str">
        <f>IF(TRIM(Github!D$1250)="TRUE","FALSE","TRUE")</f>
        <v>TRUE</v>
      </c>
      <c r="L247" s="13" t="b">
        <f>Github!M$1250</f>
        <v>1</v>
      </c>
      <c r="M247" s="13" t="b">
        <f>Github!N$1250</f>
        <v>0</v>
      </c>
      <c r="N247" s="13">
        <f>Github!P$1250</f>
        <v>482884</v>
      </c>
      <c r="O247" s="13">
        <f>Github!Q$1250</f>
        <v>734605</v>
      </c>
    </row>
    <row r="248">
      <c r="A248" s="13">
        <f>Github!J$82</f>
        <v>81</v>
      </c>
      <c r="B248" s="14" t="str">
        <f>HYPERLINK(CONCAT("http://leetcode.com/problems/",Github!C$82), Github!B$82)</f>
        <v>Search in Rotated Sorted Array II</v>
      </c>
      <c r="C248" s="13">
        <f>Github!F$82</f>
        <v>5504</v>
      </c>
      <c r="D248" s="13">
        <f>Github!G$82</f>
        <v>813</v>
      </c>
      <c r="E248" s="13">
        <f>Github!F$82+Github!G$82</f>
        <v>6317</v>
      </c>
      <c r="F248" s="15">
        <f t="shared" si="1"/>
        <v>6.77</v>
      </c>
      <c r="G248" s="13" t="str">
        <f>ROUND(Github!O$82, 2)&amp;"%"</f>
        <v>35.75%</v>
      </c>
      <c r="H248" s="13" t="str">
        <f>Github!H$82</f>
        <v>Algorithms</v>
      </c>
      <c r="I248" s="16" t="str">
        <f>SUBSTITUTE(Github!L$82, ";", ", ")</f>
        <v>Array, Binary Search, </v>
      </c>
      <c r="J248" s="13" t="str">
        <f>Github!E$82</f>
        <v>Medium</v>
      </c>
      <c r="K248" s="13" t="str">
        <f>IF(TRIM(Github!D$82)="TRUE","FALSE","TRUE")</f>
        <v>TRUE</v>
      </c>
      <c r="L248" s="13" t="b">
        <f>Github!M$82</f>
        <v>1</v>
      </c>
      <c r="M248" s="13" t="b">
        <f>Github!N$82</f>
        <v>0</v>
      </c>
      <c r="N248" s="13">
        <f>Github!P$82</f>
        <v>482371</v>
      </c>
      <c r="O248" s="13">
        <f>Github!Q$82</f>
        <v>1349116</v>
      </c>
    </row>
    <row r="249">
      <c r="A249" s="13">
        <f>Github!J$110</f>
        <v>109</v>
      </c>
      <c r="B249" s="14" t="str">
        <f>HYPERLINK(CONCAT("http://leetcode.com/problems/",Github!C$110), Github!B$110)</f>
        <v>Convert Sorted List to Binary Search Tree</v>
      </c>
      <c r="C249" s="13">
        <f>Github!F$110</f>
        <v>5482</v>
      </c>
      <c r="D249" s="13">
        <f>Github!G$110</f>
        <v>125</v>
      </c>
      <c r="E249" s="13">
        <f>Github!F$110+Github!G$110</f>
        <v>5607</v>
      </c>
      <c r="F249" s="15">
        <f t="shared" si="1"/>
        <v>43.86</v>
      </c>
      <c r="G249" s="13" t="str">
        <f>ROUND(Github!O$110, 2)&amp;"%"</f>
        <v>57.58%</v>
      </c>
      <c r="H249" s="13" t="str">
        <f>Github!H$110</f>
        <v>Algorithms</v>
      </c>
      <c r="I249" s="16" t="str">
        <f>SUBSTITUTE(Github!L$110, ";", ", ")</f>
        <v>Linked List, Divide and Conquer, Tree, Binary Search Tree, Binary Tree, </v>
      </c>
      <c r="J249" s="13" t="str">
        <f>Github!E$110</f>
        <v>Medium</v>
      </c>
      <c r="K249" s="13" t="str">
        <f>IF(TRIM(Github!D$110)="TRUE","FALSE","TRUE")</f>
        <v>TRUE</v>
      </c>
      <c r="L249" s="13" t="b">
        <f>Github!M$110</f>
        <v>1</v>
      </c>
      <c r="M249" s="13" t="b">
        <f>Github!N$110</f>
        <v>0</v>
      </c>
      <c r="N249" s="13">
        <f>Github!P$110</f>
        <v>412055</v>
      </c>
      <c r="O249" s="13">
        <f>Github!Q$110</f>
        <v>715681</v>
      </c>
    </row>
    <row r="250">
      <c r="A250" s="13">
        <f>Github!J$70</f>
        <v>69</v>
      </c>
      <c r="B250" s="14" t="str">
        <f>HYPERLINK(CONCAT("http://leetcode.com/problems/",Github!C$70), Github!B$70)</f>
        <v>Sqrt(x)</v>
      </c>
      <c r="C250" s="13">
        <f>Github!F$70</f>
        <v>5541</v>
      </c>
      <c r="D250" s="13">
        <f>Github!G$70</f>
        <v>3780</v>
      </c>
      <c r="E250" s="13">
        <f>Github!F$70+Github!G$70</f>
        <v>9321</v>
      </c>
      <c r="F250" s="15">
        <f t="shared" si="1"/>
        <v>1.47</v>
      </c>
      <c r="G250" s="13" t="str">
        <f>ROUND(Github!O$70, 2)&amp;"%"</f>
        <v>37.16%</v>
      </c>
      <c r="H250" s="13" t="str">
        <f>Github!H$70</f>
        <v>Algorithms</v>
      </c>
      <c r="I250" s="16" t="str">
        <f>SUBSTITUTE(Github!L$70, ";", ", ")</f>
        <v>Math, Binary Search, </v>
      </c>
      <c r="J250" s="13" t="str">
        <f>Github!E$70</f>
        <v>Easy</v>
      </c>
      <c r="K250" s="13" t="str">
        <f>IF(TRIM(Github!D$70)="TRUE","FALSE","TRUE")</f>
        <v>TRUE</v>
      </c>
      <c r="L250" s="13" t="b">
        <f>Github!M$70</f>
        <v>1</v>
      </c>
      <c r="M250" s="13" t="b">
        <f>Github!N$70</f>
        <v>0</v>
      </c>
      <c r="N250" s="13">
        <f>Github!P$70</f>
        <v>1317519</v>
      </c>
      <c r="O250" s="13">
        <f>Github!Q$70</f>
        <v>3545434</v>
      </c>
    </row>
    <row r="251">
      <c r="A251" s="13">
        <f>Github!J$78</f>
        <v>77</v>
      </c>
      <c r="B251" s="14" t="str">
        <f>HYPERLINK(CONCAT("http://leetcode.com/problems/",Github!C$78), Github!B$78)</f>
        <v>Combinations</v>
      </c>
      <c r="C251" s="13">
        <f>Github!F$78</f>
        <v>5498</v>
      </c>
      <c r="D251" s="13">
        <f>Github!G$78</f>
        <v>174</v>
      </c>
      <c r="E251" s="13">
        <f>Github!F$78+Github!G$78</f>
        <v>5672</v>
      </c>
      <c r="F251" s="15">
        <f t="shared" si="1"/>
        <v>31.6</v>
      </c>
      <c r="G251" s="13" t="str">
        <f>ROUND(Github!O$78, 2)&amp;"%"</f>
        <v>66.45%</v>
      </c>
      <c r="H251" s="13" t="str">
        <f>Github!H$78</f>
        <v>Algorithms</v>
      </c>
      <c r="I251" s="16" t="str">
        <f>SUBSTITUTE(Github!L$78, ";", ", ")</f>
        <v>Backtracking, </v>
      </c>
      <c r="J251" s="13" t="str">
        <f>Github!E$78</f>
        <v>Medium</v>
      </c>
      <c r="K251" s="13" t="str">
        <f>IF(TRIM(Github!D$78)="TRUE","FALSE","TRUE")</f>
        <v>TRUE</v>
      </c>
      <c r="L251" s="13" t="b">
        <f>Github!M$78</f>
        <v>1</v>
      </c>
      <c r="M251" s="13" t="b">
        <f>Github!N$78</f>
        <v>0</v>
      </c>
      <c r="N251" s="13">
        <f>Github!P$78</f>
        <v>624741</v>
      </c>
      <c r="O251" s="13">
        <f>Github!Q$78</f>
        <v>940198</v>
      </c>
    </row>
    <row r="252">
      <c r="A252" s="13">
        <f>Github!J$654</f>
        <v>653</v>
      </c>
      <c r="B252" s="14" t="str">
        <f>HYPERLINK(CONCAT("http://leetcode.com/problems/",Github!C$654), Github!B$654)</f>
        <v>Two Sum IV - Input is a BST</v>
      </c>
      <c r="C252" s="13">
        <f>Github!F$654</f>
        <v>5456</v>
      </c>
      <c r="D252" s="13">
        <f>Github!G$654</f>
        <v>236</v>
      </c>
      <c r="E252" s="13">
        <f>Github!F$654+Github!G$654</f>
        <v>5692</v>
      </c>
      <c r="F252" s="15">
        <f t="shared" si="1"/>
        <v>23.12</v>
      </c>
      <c r="G252" s="13" t="str">
        <f>ROUND(Github!O$654, 2)&amp;"%"</f>
        <v>61.01%</v>
      </c>
      <c r="H252" s="13" t="str">
        <f>Github!H$654</f>
        <v>Algorithms</v>
      </c>
      <c r="I252" s="16" t="str">
        <f>SUBSTITUTE(Github!L$654, ";", ", ")</f>
        <v>Hash Table, Two Pointers, Tree, Depth-First Search, Breadth-First Search, Binary Search Tree, Binary Tree, </v>
      </c>
      <c r="J252" s="13" t="str">
        <f>Github!E$654</f>
        <v>Easy</v>
      </c>
      <c r="K252" s="13" t="str">
        <f>IF(TRIM(Github!D$654)="TRUE","FALSE","TRUE")</f>
        <v>TRUE</v>
      </c>
      <c r="L252" s="13" t="b">
        <f>Github!M$654</f>
        <v>1</v>
      </c>
      <c r="M252" s="13" t="b">
        <f>Github!N$654</f>
        <v>0</v>
      </c>
      <c r="N252" s="13">
        <f>Github!P$654</f>
        <v>429777</v>
      </c>
      <c r="O252" s="13">
        <f>Github!Q$654</f>
        <v>704406</v>
      </c>
    </row>
    <row r="253">
      <c r="A253" s="13">
        <f>Github!J$984</f>
        <v>983</v>
      </c>
      <c r="B253" s="14" t="str">
        <f>HYPERLINK(CONCAT("http://leetcode.com/problems/",Github!C$984), Github!B$984)</f>
        <v>Minimum Cost For Tickets</v>
      </c>
      <c r="C253" s="13">
        <f>Github!F$984</f>
        <v>5425</v>
      </c>
      <c r="D253" s="13">
        <f>Github!G$984</f>
        <v>93</v>
      </c>
      <c r="E253" s="13">
        <f>Github!F$984+Github!G$984</f>
        <v>5518</v>
      </c>
      <c r="F253" s="15">
        <f t="shared" si="1"/>
        <v>58.33</v>
      </c>
      <c r="G253" s="13" t="str">
        <f>ROUND(Github!O$984, 2)&amp;"%"</f>
        <v>64.34%</v>
      </c>
      <c r="H253" s="13" t="str">
        <f>Github!H$984</f>
        <v>Algorithms</v>
      </c>
      <c r="I253" s="16" t="str">
        <f>SUBSTITUTE(Github!L$984, ";", ", ")</f>
        <v>Array, Dynamic Programming, </v>
      </c>
      <c r="J253" s="13" t="str">
        <f>Github!E$984</f>
        <v>Medium</v>
      </c>
      <c r="K253" s="13" t="str">
        <f>IF(TRIM(Github!D$984)="TRUE","FALSE","TRUE")</f>
        <v>TRUE</v>
      </c>
      <c r="L253" s="13" t="b">
        <f>Github!M$984</f>
        <v>1</v>
      </c>
      <c r="M253" s="13" t="b">
        <f>Github!N$984</f>
        <v>0</v>
      </c>
      <c r="N253" s="13">
        <f>Github!P$984</f>
        <v>181739</v>
      </c>
      <c r="O253" s="13">
        <f>Github!Q$984</f>
        <v>282445</v>
      </c>
    </row>
    <row r="254">
      <c r="A254" s="13">
        <f>Github!J$233</f>
        <v>232</v>
      </c>
      <c r="B254" s="14" t="str">
        <f>HYPERLINK(CONCAT("http://leetcode.com/problems/",Github!C$233), Github!B$233)</f>
        <v>Implement Queue using Stacks</v>
      </c>
      <c r="C254" s="13">
        <f>Github!F$233</f>
        <v>5436</v>
      </c>
      <c r="D254" s="13">
        <f>Github!G$233</f>
        <v>319</v>
      </c>
      <c r="E254" s="13">
        <f>Github!F$233+Github!G$233</f>
        <v>5755</v>
      </c>
      <c r="F254" s="15">
        <f t="shared" si="1"/>
        <v>17.04</v>
      </c>
      <c r="G254" s="13" t="str">
        <f>ROUND(Github!O$233, 2)&amp;"%"</f>
        <v>62.62%</v>
      </c>
      <c r="H254" s="13" t="str">
        <f>Github!H$233</f>
        <v>Algorithms</v>
      </c>
      <c r="I254" s="16" t="str">
        <f>SUBSTITUTE(Github!L$233, ";", ", ")</f>
        <v>Stack, Design, Queue, </v>
      </c>
      <c r="J254" s="13" t="str">
        <f>Github!E$233</f>
        <v>Easy</v>
      </c>
      <c r="K254" s="13" t="str">
        <f>IF(TRIM(Github!D$233)="TRUE","FALSE","TRUE")</f>
        <v>TRUE</v>
      </c>
      <c r="L254" s="13" t="b">
        <f>Github!M$233</f>
        <v>1</v>
      </c>
      <c r="M254" s="13" t="b">
        <f>Github!N$233</f>
        <v>0</v>
      </c>
      <c r="N254" s="13">
        <f>Github!P$233</f>
        <v>595538</v>
      </c>
      <c r="O254" s="13">
        <f>Github!Q$233</f>
        <v>951057</v>
      </c>
    </row>
    <row r="255">
      <c r="A255" s="13">
        <f>Github!J$290</f>
        <v>289</v>
      </c>
      <c r="B255" s="14" t="str">
        <f>HYPERLINK(CONCAT("http://leetcode.com/problems/",Github!C$290), Github!B$290)</f>
        <v>Game of Life</v>
      </c>
      <c r="C255" s="13">
        <f>Github!F$290</f>
        <v>5407</v>
      </c>
      <c r="D255" s="13">
        <f>Github!G$290</f>
        <v>471</v>
      </c>
      <c r="E255" s="13">
        <f>Github!F$290+Github!G$290</f>
        <v>5878</v>
      </c>
      <c r="F255" s="15">
        <f t="shared" si="1"/>
        <v>11.48</v>
      </c>
      <c r="G255" s="13" t="str">
        <f>ROUND(Github!O$290, 2)&amp;"%"</f>
        <v>66.88%</v>
      </c>
      <c r="H255" s="13" t="str">
        <f>Github!H$290</f>
        <v>Algorithms</v>
      </c>
      <c r="I255" s="16" t="str">
        <f>SUBSTITUTE(Github!L$290, ";", ", ")</f>
        <v>Array, Matrix, Simulation, </v>
      </c>
      <c r="J255" s="13" t="str">
        <f>Github!E$290</f>
        <v>Medium</v>
      </c>
      <c r="K255" s="13" t="str">
        <f>IF(TRIM(Github!D$290)="TRUE","FALSE","TRUE")</f>
        <v>TRUE</v>
      </c>
      <c r="L255" s="13" t="b">
        <f>Github!M$290</f>
        <v>1</v>
      </c>
      <c r="M255" s="13" t="b">
        <f>Github!N$290</f>
        <v>1</v>
      </c>
      <c r="N255" s="13">
        <f>Github!P$290</f>
        <v>378422</v>
      </c>
      <c r="O255" s="13">
        <f>Github!Q$290</f>
        <v>565784</v>
      </c>
    </row>
    <row r="256">
      <c r="A256" s="13">
        <f>Github!J$378</f>
        <v>377</v>
      </c>
      <c r="B256" s="14" t="str">
        <f>HYPERLINK(CONCAT("http://leetcode.com/problems/",Github!C$378), Github!B$378)</f>
        <v>Combination Sum IV</v>
      </c>
      <c r="C256" s="13">
        <f>Github!F$378</f>
        <v>5400</v>
      </c>
      <c r="D256" s="13">
        <f>Github!G$378</f>
        <v>556</v>
      </c>
      <c r="E256" s="13">
        <f>Github!F$378+Github!G$378</f>
        <v>5956</v>
      </c>
      <c r="F256" s="15">
        <f t="shared" si="1"/>
        <v>9.71</v>
      </c>
      <c r="G256" s="13" t="str">
        <f>ROUND(Github!O$378, 2)&amp;"%"</f>
        <v>52.16%</v>
      </c>
      <c r="H256" s="13" t="str">
        <f>Github!H$378</f>
        <v>Algorithms</v>
      </c>
      <c r="I256" s="16" t="str">
        <f>SUBSTITUTE(Github!L$378, ";", ", ")</f>
        <v>Array, Dynamic Programming, </v>
      </c>
      <c r="J256" s="13" t="str">
        <f>Github!E$378</f>
        <v>Medium</v>
      </c>
      <c r="K256" s="13" t="str">
        <f>IF(TRIM(Github!D$378)="TRUE","FALSE","TRUE")</f>
        <v>TRUE</v>
      </c>
      <c r="L256" s="13" t="b">
        <f>Github!M$378</f>
        <v>1</v>
      </c>
      <c r="M256" s="13" t="b">
        <f>Github!N$378</f>
        <v>0</v>
      </c>
      <c r="N256" s="13">
        <f>Github!P$378</f>
        <v>341337</v>
      </c>
      <c r="O256" s="13">
        <f>Github!Q$378</f>
        <v>654452</v>
      </c>
    </row>
    <row r="257">
      <c r="A257" s="13">
        <f>Github!J$146</f>
        <v>145</v>
      </c>
      <c r="B257" s="14" t="str">
        <f>HYPERLINK(CONCAT("http://leetcode.com/problems/",Github!C$146), Github!B$146)</f>
        <v>Binary Tree Postorder Traversal</v>
      </c>
      <c r="C257" s="13">
        <f>Github!F$146</f>
        <v>5401</v>
      </c>
      <c r="D257" s="13">
        <f>Github!G$146</f>
        <v>161</v>
      </c>
      <c r="E257" s="13">
        <f>Github!F$146+Github!G$146</f>
        <v>5562</v>
      </c>
      <c r="F257" s="15">
        <f t="shared" si="1"/>
        <v>33.55</v>
      </c>
      <c r="G257" s="13" t="str">
        <f>ROUND(Github!O$146, 2)&amp;"%"</f>
        <v>67.08%</v>
      </c>
      <c r="H257" s="13" t="str">
        <f>Github!H$146</f>
        <v>Algorithms</v>
      </c>
      <c r="I257" s="16" t="str">
        <f>SUBSTITUTE(Github!L$146, ";", ", ")</f>
        <v>Stack, Tree, Depth-First Search, Binary Tree, </v>
      </c>
      <c r="J257" s="13" t="str">
        <f>Github!E$146</f>
        <v>Easy</v>
      </c>
      <c r="K257" s="13" t="str">
        <f>IF(TRIM(Github!D$146)="TRUE","FALSE","TRUE")</f>
        <v>TRUE</v>
      </c>
      <c r="L257" s="13" t="b">
        <f>Github!M$146</f>
        <v>0</v>
      </c>
      <c r="M257" s="13" t="b">
        <f>Github!N$146</f>
        <v>0</v>
      </c>
      <c r="N257" s="13">
        <f>Github!P$146</f>
        <v>880629</v>
      </c>
      <c r="O257" s="13">
        <f>Github!Q$146</f>
        <v>1312757</v>
      </c>
    </row>
    <row r="258">
      <c r="A258" s="13">
        <f>Github!J$798</f>
        <v>797</v>
      </c>
      <c r="B258" s="14" t="str">
        <f>HYPERLINK(CONCAT("http://leetcode.com/problems/",Github!C$798), Github!B$798)</f>
        <v>All Paths From Source to Target</v>
      </c>
      <c r="C258" s="13">
        <f>Github!F$798</f>
        <v>6123</v>
      </c>
      <c r="D258" s="13">
        <f>Github!G$798</f>
        <v>130</v>
      </c>
      <c r="E258" s="13">
        <f>Github!F$798+Github!G$798</f>
        <v>6253</v>
      </c>
      <c r="F258" s="15">
        <f t="shared" si="1"/>
        <v>47.1</v>
      </c>
      <c r="G258" s="13" t="str">
        <f>ROUND(Github!O$798, 2)&amp;"%"</f>
        <v>82.19%</v>
      </c>
      <c r="H258" s="13" t="str">
        <f>Github!H$798</f>
        <v>Algorithms</v>
      </c>
      <c r="I258" s="16" t="str">
        <f>SUBSTITUTE(Github!L$798, ";", ", ")</f>
        <v>Backtracking, Depth-First Search, Breadth-First Search, Graph, </v>
      </c>
      <c r="J258" s="13" t="str">
        <f>Github!E$798</f>
        <v>Medium</v>
      </c>
      <c r="K258" s="13" t="str">
        <f>IF(TRIM(Github!D$798)="TRUE","FALSE","TRUE")</f>
        <v>TRUE</v>
      </c>
      <c r="L258" s="13" t="b">
        <f>Github!M$798</f>
        <v>1</v>
      </c>
      <c r="M258" s="13" t="b">
        <f>Github!N$798</f>
        <v>0</v>
      </c>
      <c r="N258" s="13">
        <f>Github!P$798</f>
        <v>406956</v>
      </c>
      <c r="O258" s="13">
        <f>Github!Q$798</f>
        <v>495155</v>
      </c>
    </row>
    <row r="259">
      <c r="A259" s="13">
        <f>Github!J$457</f>
        <v>456</v>
      </c>
      <c r="B259" s="14" t="str">
        <f>HYPERLINK(CONCAT("http://leetcode.com/problems/",Github!C$457), Github!B$457)</f>
        <v>132 Pattern</v>
      </c>
      <c r="C259" s="13">
        <f>Github!F$457</f>
        <v>5294</v>
      </c>
      <c r="D259" s="13">
        <f>Github!G$457</f>
        <v>303</v>
      </c>
      <c r="E259" s="13">
        <f>Github!F$457+Github!G$457</f>
        <v>5597</v>
      </c>
      <c r="F259" s="15">
        <f t="shared" si="1"/>
        <v>17.47</v>
      </c>
      <c r="G259" s="13" t="str">
        <f>ROUND(Github!O$457, 2)&amp;"%"</f>
        <v>32.43%</v>
      </c>
      <c r="H259" s="13" t="str">
        <f>Github!H$457</f>
        <v>Algorithms</v>
      </c>
      <c r="I259" s="16" t="str">
        <f>SUBSTITUTE(Github!L$457, ";", ", ")</f>
        <v>Array, Binary Search, Stack, Monotonic Stack, Ordered Set, </v>
      </c>
      <c r="J259" s="13" t="str">
        <f>Github!E$457</f>
        <v>Medium</v>
      </c>
      <c r="K259" s="13" t="str">
        <f>IF(TRIM(Github!D$457)="TRUE","FALSE","TRUE")</f>
        <v>TRUE</v>
      </c>
      <c r="L259" s="13" t="b">
        <f>Github!M$457</f>
        <v>1</v>
      </c>
      <c r="M259" s="13" t="b">
        <f>Github!N$457</f>
        <v>1</v>
      </c>
      <c r="N259" s="13">
        <f>Github!P$457</f>
        <v>162097</v>
      </c>
      <c r="O259" s="13">
        <f>Github!Q$457</f>
        <v>499797</v>
      </c>
    </row>
    <row r="260">
      <c r="A260" s="13">
        <f>Github!J$258</f>
        <v>257</v>
      </c>
      <c r="B260" s="14" t="str">
        <f>HYPERLINK(CONCAT("http://leetcode.com/problems/",Github!C$258), Github!B$258)</f>
        <v>Binary Tree Paths</v>
      </c>
      <c r="C260" s="13">
        <f>Github!F$258</f>
        <v>5287</v>
      </c>
      <c r="D260" s="13">
        <f>Github!G$258</f>
        <v>225</v>
      </c>
      <c r="E260" s="13">
        <f>Github!F$258+Github!G$258</f>
        <v>5512</v>
      </c>
      <c r="F260" s="15">
        <f t="shared" si="1"/>
        <v>23.5</v>
      </c>
      <c r="G260" s="13" t="str">
        <f>ROUND(Github!O$258, 2)&amp;"%"</f>
        <v>60.9%</v>
      </c>
      <c r="H260" s="13" t="str">
        <f>Github!H$258</f>
        <v>Algorithms</v>
      </c>
      <c r="I260" s="16" t="str">
        <f>SUBSTITUTE(Github!L$258, ";", ", ")</f>
        <v>String, Backtracking, Tree, Depth-First Search, Binary Tree, </v>
      </c>
      <c r="J260" s="13" t="str">
        <f>Github!E$258</f>
        <v>Easy</v>
      </c>
      <c r="K260" s="13" t="str">
        <f>IF(TRIM(Github!D$258)="TRUE","FALSE","TRUE")</f>
        <v>TRUE</v>
      </c>
      <c r="L260" s="13" t="b">
        <f>Github!M$258</f>
        <v>1</v>
      </c>
      <c r="M260" s="13" t="b">
        <f>Github!N$258</f>
        <v>0</v>
      </c>
      <c r="N260" s="13">
        <f>Github!P$258</f>
        <v>585972</v>
      </c>
      <c r="O260" s="13">
        <f>Github!Q$258</f>
        <v>962163</v>
      </c>
    </row>
    <row r="261">
      <c r="A261" s="13">
        <f>Github!J$302</f>
        <v>301</v>
      </c>
      <c r="B261" s="14" t="str">
        <f>HYPERLINK(CONCAT("http://leetcode.com/problems/",Github!C$302), Github!B$302)</f>
        <v>Remove Invalid Parentheses</v>
      </c>
      <c r="C261" s="13">
        <f>Github!F$302</f>
        <v>5262</v>
      </c>
      <c r="D261" s="13">
        <f>Github!G$302</f>
        <v>259</v>
      </c>
      <c r="E261" s="13">
        <f>Github!F$302+Github!G$302</f>
        <v>5521</v>
      </c>
      <c r="F261" s="15">
        <f t="shared" si="1"/>
        <v>20.32</v>
      </c>
      <c r="G261" s="13" t="str">
        <f>ROUND(Github!O$302, 2)&amp;"%"</f>
        <v>47.17%</v>
      </c>
      <c r="H261" s="13" t="str">
        <f>Github!H$302</f>
        <v>Algorithms</v>
      </c>
      <c r="I261" s="16" t="str">
        <f>SUBSTITUTE(Github!L$302, ";", ", ")</f>
        <v>String, Backtracking, Breadth-First Search, </v>
      </c>
      <c r="J261" s="13" t="str">
        <f>Github!E$302</f>
        <v>Hard</v>
      </c>
      <c r="K261" s="13" t="str">
        <f>IF(TRIM(Github!D$302)="TRUE","FALSE","TRUE")</f>
        <v>TRUE</v>
      </c>
      <c r="L261" s="13" t="b">
        <f>Github!M$302</f>
        <v>1</v>
      </c>
      <c r="M261" s="13" t="b">
        <f>Github!N$302</f>
        <v>0</v>
      </c>
      <c r="N261" s="13">
        <f>Github!P$302</f>
        <v>374357</v>
      </c>
      <c r="O261" s="13">
        <f>Github!Q$302</f>
        <v>793690</v>
      </c>
    </row>
    <row r="262">
      <c r="A262" s="13">
        <f>Github!J$464</f>
        <v>463</v>
      </c>
      <c r="B262" s="14" t="str">
        <f>HYPERLINK(CONCAT("http://leetcode.com/problems/",Github!C$464), Github!B$464)</f>
        <v>Island Perimeter</v>
      </c>
      <c r="C262" s="13">
        <f>Github!F$464</f>
        <v>5271</v>
      </c>
      <c r="D262" s="13">
        <f>Github!G$464</f>
        <v>261</v>
      </c>
      <c r="E262" s="13">
        <f>Github!F$464+Github!G$464</f>
        <v>5532</v>
      </c>
      <c r="F262" s="15">
        <f t="shared" si="1"/>
        <v>20.2</v>
      </c>
      <c r="G262" s="13" t="str">
        <f>ROUND(Github!O$464, 2)&amp;"%"</f>
        <v>69.58%</v>
      </c>
      <c r="H262" s="13" t="str">
        <f>Github!H$464</f>
        <v>Algorithms</v>
      </c>
      <c r="I262" s="16" t="str">
        <f>SUBSTITUTE(Github!L$464, ";", ", ")</f>
        <v>Array, Depth-First Search, Breadth-First Search, Matrix, </v>
      </c>
      <c r="J262" s="13" t="str">
        <f>Github!E$464</f>
        <v>Easy</v>
      </c>
      <c r="K262" s="13" t="str">
        <f>IF(TRIM(Github!D$464)="TRUE","FALSE","TRUE")</f>
        <v>TRUE</v>
      </c>
      <c r="L262" s="13" t="b">
        <f>Github!M$464</f>
        <v>1</v>
      </c>
      <c r="M262" s="13" t="b">
        <f>Github!N$464</f>
        <v>0</v>
      </c>
      <c r="N262" s="13">
        <f>Github!P$464</f>
        <v>412737</v>
      </c>
      <c r="O262" s="13">
        <f>Github!Q$464</f>
        <v>593159</v>
      </c>
    </row>
    <row r="263">
      <c r="A263" s="13">
        <f>Github!J$1048</f>
        <v>1047</v>
      </c>
      <c r="B263" s="14" t="str">
        <f>HYPERLINK(CONCAT("http://leetcode.com/problems/",Github!C$1048), Github!B$1048)</f>
        <v>Remove All Adjacent Duplicates In String</v>
      </c>
      <c r="C263" s="13">
        <f>Github!F$1048</f>
        <v>5278</v>
      </c>
      <c r="D263" s="13">
        <f>Github!G$1048</f>
        <v>206</v>
      </c>
      <c r="E263" s="13">
        <f>Github!F$1048+Github!G$1048</f>
        <v>5484</v>
      </c>
      <c r="F263" s="15">
        <f t="shared" si="1"/>
        <v>25.62</v>
      </c>
      <c r="G263" s="13" t="str">
        <f>ROUND(Github!O$1048, 2)&amp;"%"</f>
        <v>70.15%</v>
      </c>
      <c r="H263" s="13" t="str">
        <f>Github!H$1048</f>
        <v>Algorithms</v>
      </c>
      <c r="I263" s="16" t="str">
        <f>SUBSTITUTE(Github!L$1048, ";", ", ")</f>
        <v>String, Stack, </v>
      </c>
      <c r="J263" s="13" t="str">
        <f>Github!E$1048</f>
        <v>Easy</v>
      </c>
      <c r="K263" s="13" t="str">
        <f>IF(TRIM(Github!D$1048)="TRUE","FALSE","TRUE")</f>
        <v>TRUE</v>
      </c>
      <c r="L263" s="13" t="b">
        <f>Github!M$1048</f>
        <v>1</v>
      </c>
      <c r="M263" s="13" t="b">
        <f>Github!N$1048</f>
        <v>0</v>
      </c>
      <c r="N263" s="13">
        <f>Github!P$1048</f>
        <v>413883</v>
      </c>
      <c r="O263" s="13">
        <f>Github!Q$1048</f>
        <v>589966</v>
      </c>
    </row>
    <row r="264">
      <c r="A264" s="13">
        <f>Github!J$219</f>
        <v>218</v>
      </c>
      <c r="B264" s="14" t="str">
        <f>HYPERLINK(CONCAT("http://leetcode.com/problems/",Github!C$219), Github!B$219)</f>
        <v>The Skyline Problem</v>
      </c>
      <c r="C264" s="13">
        <f>Github!F$219</f>
        <v>5247</v>
      </c>
      <c r="D264" s="13">
        <f>Github!G$219</f>
        <v>241</v>
      </c>
      <c r="E264" s="13">
        <f>Github!F$219+Github!G$219</f>
        <v>5488</v>
      </c>
      <c r="F264" s="15">
        <f t="shared" si="1"/>
        <v>21.77</v>
      </c>
      <c r="G264" s="13" t="str">
        <f>ROUND(Github!O$219, 2)&amp;"%"</f>
        <v>41.68%</v>
      </c>
      <c r="H264" s="13" t="str">
        <f>Github!H$219</f>
        <v>Algorithms</v>
      </c>
      <c r="I264" s="16" t="str">
        <f>SUBSTITUTE(Github!L$219, ";", ", ")</f>
        <v>Array, Divide and Conquer, Binary Indexed Tree, Segment Tree, Line Sweep, Heap (Priority Queue), Ordered Set, </v>
      </c>
      <c r="J264" s="13" t="str">
        <f>Github!E$219</f>
        <v>Hard</v>
      </c>
      <c r="K264" s="13" t="str">
        <f>IF(TRIM(Github!D$219)="TRUE","FALSE","TRUE")</f>
        <v>TRUE</v>
      </c>
      <c r="L264" s="13" t="b">
        <f>Github!M$219</f>
        <v>1</v>
      </c>
      <c r="M264" s="13" t="b">
        <f>Github!N$219</f>
        <v>0</v>
      </c>
      <c r="N264" s="13">
        <f>Github!P$219</f>
        <v>256371</v>
      </c>
      <c r="O264" s="13">
        <f>Github!Q$219</f>
        <v>615065</v>
      </c>
    </row>
    <row r="265">
      <c r="A265" s="13">
        <f>Github!J$130</f>
        <v>129</v>
      </c>
      <c r="B265" s="14" t="str">
        <f>HYPERLINK(CONCAT("http://leetcode.com/problems/",Github!C$130), Github!B$130)</f>
        <v>Sum Root to Leaf Numbers</v>
      </c>
      <c r="C265" s="13">
        <f>Github!F$130</f>
        <v>5237</v>
      </c>
      <c r="D265" s="13">
        <f>Github!G$130</f>
        <v>95</v>
      </c>
      <c r="E265" s="13">
        <f>Github!F$130+Github!G$130</f>
        <v>5332</v>
      </c>
      <c r="F265" s="15">
        <f t="shared" si="1"/>
        <v>55.13</v>
      </c>
      <c r="G265" s="13" t="str">
        <f>ROUND(Github!O$130, 2)&amp;"%"</f>
        <v>58.96%</v>
      </c>
      <c r="H265" s="13" t="str">
        <f>Github!H$130</f>
        <v>Algorithms</v>
      </c>
      <c r="I265" s="16" t="str">
        <f>SUBSTITUTE(Github!L$130, ";", ", ")</f>
        <v>Tree, Depth-First Search, Binary Tree, </v>
      </c>
      <c r="J265" s="13" t="str">
        <f>Github!E$130</f>
        <v>Medium</v>
      </c>
      <c r="K265" s="13" t="str">
        <f>IF(TRIM(Github!D$130)="TRUE","FALSE","TRUE")</f>
        <v>TRUE</v>
      </c>
      <c r="L265" s="13" t="b">
        <f>Github!M$130</f>
        <v>1</v>
      </c>
      <c r="M265" s="13" t="b">
        <f>Github!N$130</f>
        <v>0</v>
      </c>
      <c r="N265" s="13">
        <f>Github!P$130</f>
        <v>523355</v>
      </c>
      <c r="O265" s="13">
        <f>Github!Q$130</f>
        <v>887592</v>
      </c>
    </row>
    <row r="266">
      <c r="A266" s="13">
        <f>Github!J$436</f>
        <v>435</v>
      </c>
      <c r="B266" s="14" t="str">
        <f>HYPERLINK(CONCAT("http://leetcode.com/problems/",Github!C$436), Github!B$436)</f>
        <v>Non-overlapping Intervals</v>
      </c>
      <c r="C266" s="13">
        <f>Github!F$436</f>
        <v>5245</v>
      </c>
      <c r="D266" s="13">
        <f>Github!G$436</f>
        <v>150</v>
      </c>
      <c r="E266" s="13">
        <f>Github!F$436+Github!G$436</f>
        <v>5395</v>
      </c>
      <c r="F266" s="15">
        <f t="shared" si="1"/>
        <v>34.97</v>
      </c>
      <c r="G266" s="13" t="str">
        <f>ROUND(Github!O$436, 2)&amp;"%"</f>
        <v>49.99%</v>
      </c>
      <c r="H266" s="13" t="str">
        <f>Github!H$436</f>
        <v>Algorithms</v>
      </c>
      <c r="I266" s="16" t="str">
        <f>SUBSTITUTE(Github!L$436, ";", ", ")</f>
        <v>Array, Dynamic Programming, Greedy, Sorting, </v>
      </c>
      <c r="J266" s="13" t="str">
        <f>Github!E$436</f>
        <v>Medium</v>
      </c>
      <c r="K266" s="13" t="str">
        <f>IF(TRIM(Github!D$436)="TRUE","FALSE","TRUE")</f>
        <v>TRUE</v>
      </c>
      <c r="L266" s="13" t="b">
        <f>Github!M$436</f>
        <v>1</v>
      </c>
      <c r="M266" s="13" t="b">
        <f>Github!N$436</f>
        <v>0</v>
      </c>
      <c r="N266" s="13">
        <f>Github!P$436</f>
        <v>329678</v>
      </c>
      <c r="O266" s="13">
        <f>Github!Q$436</f>
        <v>659498</v>
      </c>
    </row>
    <row r="267">
      <c r="A267" s="13">
        <f>Github!J$670</f>
        <v>669</v>
      </c>
      <c r="B267" s="14" t="str">
        <f>HYPERLINK(CONCAT("http://leetcode.com/problems/",Github!C$670), Github!B$670)</f>
        <v>Trim a Binary Search Tree</v>
      </c>
      <c r="C267" s="13">
        <f>Github!F$670</f>
        <v>5221</v>
      </c>
      <c r="D267" s="13">
        <f>Github!G$670</f>
        <v>246</v>
      </c>
      <c r="E267" s="13">
        <f>Github!F$670+Github!G$670</f>
        <v>5467</v>
      </c>
      <c r="F267" s="15">
        <f t="shared" si="1"/>
        <v>21.22</v>
      </c>
      <c r="G267" s="13" t="str">
        <f>ROUND(Github!O$670, 2)&amp;"%"</f>
        <v>66.33%</v>
      </c>
      <c r="H267" s="13" t="str">
        <f>Github!H$670</f>
        <v>Algorithms</v>
      </c>
      <c r="I267" s="16" t="str">
        <f>SUBSTITUTE(Github!L$670, ";", ", ")</f>
        <v>Tree, Depth-First Search, Binary Search Tree, Binary Tree, </v>
      </c>
      <c r="J267" s="13" t="str">
        <f>Github!E$670</f>
        <v>Medium</v>
      </c>
      <c r="K267" s="13" t="str">
        <f>IF(TRIM(Github!D$670)="TRUE","FALSE","TRUE")</f>
        <v>TRUE</v>
      </c>
      <c r="L267" s="13" t="b">
        <f>Github!M$670</f>
        <v>1</v>
      </c>
      <c r="M267" s="13" t="b">
        <f>Github!N$670</f>
        <v>1</v>
      </c>
      <c r="N267" s="13">
        <f>Github!P$670</f>
        <v>256805</v>
      </c>
      <c r="O267" s="13">
        <f>Github!Q$670</f>
        <v>387184</v>
      </c>
    </row>
    <row r="268">
      <c r="A268" s="13">
        <f>Github!J$152</f>
        <v>151</v>
      </c>
      <c r="B268" s="14" t="str">
        <f>HYPERLINK(CONCAT("http://leetcode.com/problems/",Github!C$152), Github!B$152)</f>
        <v>Reverse Words in a String</v>
      </c>
      <c r="C268" s="13">
        <f>Github!F$152</f>
        <v>5254</v>
      </c>
      <c r="D268" s="13">
        <f>Github!G$152</f>
        <v>4447</v>
      </c>
      <c r="E268" s="13">
        <f>Github!F$152+Github!G$152</f>
        <v>9701</v>
      </c>
      <c r="F268" s="15">
        <f t="shared" si="1"/>
        <v>1.18</v>
      </c>
      <c r="G268" s="13" t="str">
        <f>ROUND(Github!O$152, 2)&amp;"%"</f>
        <v>32.08%</v>
      </c>
      <c r="H268" s="13" t="str">
        <f>Github!H$152</f>
        <v>Algorithms</v>
      </c>
      <c r="I268" s="16" t="str">
        <f>SUBSTITUTE(Github!L$152, ";", ", ")</f>
        <v>Two Pointers, String, </v>
      </c>
      <c r="J268" s="13" t="str">
        <f>Github!E$152</f>
        <v>Medium</v>
      </c>
      <c r="K268" s="13" t="str">
        <f>IF(TRIM(Github!D$152)="TRUE","FALSE","TRUE")</f>
        <v>TRUE</v>
      </c>
      <c r="L268" s="13" t="b">
        <f>Github!M$152</f>
        <v>1</v>
      </c>
      <c r="M268" s="13" t="b">
        <f>Github!N$152</f>
        <v>0</v>
      </c>
      <c r="N268" s="13">
        <f>Github!P$152</f>
        <v>870561</v>
      </c>
      <c r="O268" s="13">
        <f>Github!Q$152</f>
        <v>2713617</v>
      </c>
    </row>
    <row r="269">
      <c r="A269" s="13">
        <f>Github!J$112</f>
        <v>111</v>
      </c>
      <c r="B269" s="14" t="str">
        <f>HYPERLINK(CONCAT("http://leetcode.com/problems/",Github!C$112), Github!B$112)</f>
        <v>Minimum Depth of Binary Tree</v>
      </c>
      <c r="C269" s="13">
        <f>Github!F$112</f>
        <v>5220</v>
      </c>
      <c r="D269" s="13">
        <f>Github!G$112</f>
        <v>1056</v>
      </c>
      <c r="E269" s="13">
        <f>Github!F$112+Github!G$112</f>
        <v>6276</v>
      </c>
      <c r="F269" s="15">
        <f t="shared" si="1"/>
        <v>4.94</v>
      </c>
      <c r="G269" s="13" t="str">
        <f>ROUND(Github!O$112, 2)&amp;"%"</f>
        <v>43.86%</v>
      </c>
      <c r="H269" s="13" t="str">
        <f>Github!H$112</f>
        <v>Algorithms</v>
      </c>
      <c r="I269" s="16" t="str">
        <f>SUBSTITUTE(Github!L$112, ";", ", ")</f>
        <v>Tree, Depth-First Search, Breadth-First Search, Binary Tree, </v>
      </c>
      <c r="J269" s="13" t="str">
        <f>Github!E$112</f>
        <v>Easy</v>
      </c>
      <c r="K269" s="13" t="str">
        <f>IF(TRIM(Github!D$112)="TRUE","FALSE","TRUE")</f>
        <v>TRUE</v>
      </c>
      <c r="L269" s="13" t="b">
        <f>Github!M$112</f>
        <v>1</v>
      </c>
      <c r="M269" s="13" t="b">
        <f>Github!N$112</f>
        <v>0</v>
      </c>
      <c r="N269" s="13">
        <f>Github!P$112</f>
        <v>881057</v>
      </c>
      <c r="O269" s="13">
        <f>Github!Q$112</f>
        <v>2008921</v>
      </c>
    </row>
    <row r="270">
      <c r="A270" s="13">
        <f>Github!J$666</f>
        <v>665</v>
      </c>
      <c r="B270" s="14" t="str">
        <f>HYPERLINK(CONCAT("http://leetcode.com/problems/",Github!C$666), Github!B$666)</f>
        <v>Non-decreasing Array</v>
      </c>
      <c r="C270" s="13">
        <f>Github!F$666</f>
        <v>5190</v>
      </c>
      <c r="D270" s="13">
        <f>Github!G$666</f>
        <v>746</v>
      </c>
      <c r="E270" s="13">
        <f>Github!F$666+Github!G$666</f>
        <v>5936</v>
      </c>
      <c r="F270" s="15">
        <f t="shared" si="1"/>
        <v>6.96</v>
      </c>
      <c r="G270" s="13" t="str">
        <f>ROUND(Github!O$666, 2)&amp;"%"</f>
        <v>24.21%</v>
      </c>
      <c r="H270" s="13" t="str">
        <f>Github!H$666</f>
        <v>Algorithms</v>
      </c>
      <c r="I270" s="16" t="str">
        <f>SUBSTITUTE(Github!L$666, ";", ", ")</f>
        <v>Array, </v>
      </c>
      <c r="J270" s="13" t="str">
        <f>Github!E$666</f>
        <v>Medium</v>
      </c>
      <c r="K270" s="13" t="str">
        <f>IF(TRIM(Github!D$666)="TRUE","FALSE","TRUE")</f>
        <v>TRUE</v>
      </c>
      <c r="L270" s="13" t="b">
        <f>Github!M$666</f>
        <v>1</v>
      </c>
      <c r="M270" s="13" t="b">
        <f>Github!N$666</f>
        <v>0</v>
      </c>
      <c r="N270" s="13">
        <f>Github!P$666</f>
        <v>234477</v>
      </c>
      <c r="O270" s="13">
        <f>Github!Q$666</f>
        <v>968636</v>
      </c>
    </row>
    <row r="271">
      <c r="A271" s="13">
        <f>Github!J$228</f>
        <v>227</v>
      </c>
      <c r="B271" s="14" t="str">
        <f>HYPERLINK(CONCAT("http://leetcode.com/problems/",Github!C$228), Github!B$228)</f>
        <v>Basic Calculator II</v>
      </c>
      <c r="C271" s="13">
        <f>Github!F$228</f>
        <v>5183</v>
      </c>
      <c r="D271" s="13">
        <f>Github!G$228</f>
        <v>666</v>
      </c>
      <c r="E271" s="13">
        <f>Github!F$228+Github!G$228</f>
        <v>5849</v>
      </c>
      <c r="F271" s="15">
        <f t="shared" si="1"/>
        <v>7.78</v>
      </c>
      <c r="G271" s="13" t="str">
        <f>ROUND(Github!O$228, 2)&amp;"%"</f>
        <v>42.32%</v>
      </c>
      <c r="H271" s="13" t="str">
        <f>Github!H$228</f>
        <v>Algorithms</v>
      </c>
      <c r="I271" s="16" t="str">
        <f>SUBSTITUTE(Github!L$228, ";", ", ")</f>
        <v>Math, String, Stack, </v>
      </c>
      <c r="J271" s="13" t="str">
        <f>Github!E$228</f>
        <v>Medium</v>
      </c>
      <c r="K271" s="13" t="str">
        <f>IF(TRIM(Github!D$228)="TRUE","FALSE","TRUE")</f>
        <v>TRUE</v>
      </c>
      <c r="L271" s="13" t="b">
        <f>Github!M$228</f>
        <v>1</v>
      </c>
      <c r="M271" s="13" t="b">
        <f>Github!N$228</f>
        <v>0</v>
      </c>
      <c r="N271" s="13">
        <f>Github!P$228</f>
        <v>494286</v>
      </c>
      <c r="O271" s="13">
        <f>Github!Q$228</f>
        <v>1168016</v>
      </c>
    </row>
    <row r="272">
      <c r="A272" s="13">
        <f>Github!J$151</f>
        <v>150</v>
      </c>
      <c r="B272" s="14" t="str">
        <f>HYPERLINK(CONCAT("http://leetcode.com/problems/",Github!C$151), Github!B$151)</f>
        <v>Evaluate Reverse Polish Notation</v>
      </c>
      <c r="C272" s="13">
        <f>Github!F$151</f>
        <v>5242</v>
      </c>
      <c r="D272" s="13">
        <f>Github!G$151</f>
        <v>834</v>
      </c>
      <c r="E272" s="13">
        <f>Github!F$151+Github!G$151</f>
        <v>6076</v>
      </c>
      <c r="F272" s="15">
        <f t="shared" si="1"/>
        <v>6.29</v>
      </c>
      <c r="G272" s="13" t="str">
        <f>ROUND(Github!O$151, 2)&amp;"%"</f>
        <v>44.93%</v>
      </c>
      <c r="H272" s="13" t="str">
        <f>Github!H$151</f>
        <v>Algorithms</v>
      </c>
      <c r="I272" s="16" t="str">
        <f>SUBSTITUTE(Github!L$151, ";", ", ")</f>
        <v>Array, Math, Stack, </v>
      </c>
      <c r="J272" s="13" t="str">
        <f>Github!E$151</f>
        <v>Medium</v>
      </c>
      <c r="K272" s="13" t="str">
        <f>IF(TRIM(Github!D$151)="TRUE","FALSE","TRUE")</f>
        <v>TRUE</v>
      </c>
      <c r="L272" s="13" t="b">
        <f>Github!M$151</f>
        <v>1</v>
      </c>
      <c r="M272" s="13" t="b">
        <f>Github!N$151</f>
        <v>0</v>
      </c>
      <c r="N272" s="13">
        <f>Github!P$151</f>
        <v>597049</v>
      </c>
      <c r="O272" s="13">
        <f>Github!Q$151</f>
        <v>1328949</v>
      </c>
    </row>
    <row r="273">
      <c r="A273" s="13">
        <f>Github!J$722</f>
        <v>721</v>
      </c>
      <c r="B273" s="14" t="str">
        <f>HYPERLINK(CONCAT("http://leetcode.com/problems/",Github!C$722), Github!B$722)</f>
        <v>Accounts Merge</v>
      </c>
      <c r="C273" s="13">
        <f>Github!F$722</f>
        <v>5150</v>
      </c>
      <c r="D273" s="13">
        <f>Github!G$722</f>
        <v>885</v>
      </c>
      <c r="E273" s="13">
        <f>Github!F$722+Github!G$722</f>
        <v>6035</v>
      </c>
      <c r="F273" s="15">
        <f t="shared" si="1"/>
        <v>5.82</v>
      </c>
      <c r="G273" s="13" t="str">
        <f>ROUND(Github!O$722, 2)&amp;"%"</f>
        <v>56.35%</v>
      </c>
      <c r="H273" s="13" t="str">
        <f>Github!H$722</f>
        <v>Algorithms</v>
      </c>
      <c r="I273" s="16" t="str">
        <f>SUBSTITUTE(Github!L$722, ";", ", ")</f>
        <v>Array, String, Depth-First Search, Breadth-First Search, Union Find, </v>
      </c>
      <c r="J273" s="13" t="str">
        <f>Github!E$722</f>
        <v>Medium</v>
      </c>
      <c r="K273" s="13" t="str">
        <f>IF(TRIM(Github!D$722)="TRUE","FALSE","TRUE")</f>
        <v>TRUE</v>
      </c>
      <c r="L273" s="13" t="b">
        <f>Github!M$722</f>
        <v>1</v>
      </c>
      <c r="M273" s="13" t="b">
        <f>Github!N$722</f>
        <v>0</v>
      </c>
      <c r="N273" s="13">
        <f>Github!P$722</f>
        <v>292546</v>
      </c>
      <c r="O273" s="13">
        <f>Github!Q$722</f>
        <v>519156</v>
      </c>
    </row>
    <row r="274">
      <c r="A274" s="13">
        <f>Github!J$61</f>
        <v>60</v>
      </c>
      <c r="B274" s="14" t="str">
        <f>HYPERLINK(CONCAT("http://leetcode.com/problems/",Github!C$61), Github!B$61)</f>
        <v>Permutation Sequence</v>
      </c>
      <c r="C274" s="13">
        <f>Github!F$61</f>
        <v>5157</v>
      </c>
      <c r="D274" s="13">
        <f>Github!G$61</f>
        <v>427</v>
      </c>
      <c r="E274" s="13">
        <f>Github!F$61+Github!G$61</f>
        <v>5584</v>
      </c>
      <c r="F274" s="15">
        <f t="shared" si="1"/>
        <v>12.08</v>
      </c>
      <c r="G274" s="13" t="str">
        <f>ROUND(Github!O$61, 2)&amp;"%"</f>
        <v>44%</v>
      </c>
      <c r="H274" s="13" t="str">
        <f>Github!H$61</f>
        <v>Algorithms</v>
      </c>
      <c r="I274" s="16" t="str">
        <f>SUBSTITUTE(Github!L$61, ";", ", ")</f>
        <v>Math, Recursion, </v>
      </c>
      <c r="J274" s="13" t="str">
        <f>Github!E$61</f>
        <v>Hard</v>
      </c>
      <c r="K274" s="13" t="str">
        <f>IF(TRIM(Github!D$61)="TRUE","FALSE","TRUE")</f>
        <v>TRUE</v>
      </c>
      <c r="L274" s="13" t="b">
        <f>Github!M$61</f>
        <v>1</v>
      </c>
      <c r="M274" s="13" t="b">
        <f>Github!N$61</f>
        <v>0</v>
      </c>
      <c r="N274" s="13">
        <f>Github!P$61</f>
        <v>310395</v>
      </c>
      <c r="O274" s="13">
        <f>Github!Q$61</f>
        <v>705476</v>
      </c>
    </row>
    <row r="275">
      <c r="A275" s="13">
        <f>Github!J$497</f>
        <v>496</v>
      </c>
      <c r="B275" s="14" t="str">
        <f>HYPERLINK(CONCAT("http://leetcode.com/problems/",Github!C$497), Github!B$497)</f>
        <v>Next Greater Element I</v>
      </c>
      <c r="C275" s="13">
        <f>Github!F$497</f>
        <v>5213</v>
      </c>
      <c r="D275" s="13">
        <f>Github!G$497</f>
        <v>324</v>
      </c>
      <c r="E275" s="13">
        <f>Github!F$497+Github!G$497</f>
        <v>5537</v>
      </c>
      <c r="F275" s="15">
        <f t="shared" si="1"/>
        <v>16.09</v>
      </c>
      <c r="G275" s="13" t="str">
        <f>ROUND(Github!O$497, 2)&amp;"%"</f>
        <v>71.44%</v>
      </c>
      <c r="H275" s="13" t="str">
        <f>Github!H$497</f>
        <v>Algorithms</v>
      </c>
      <c r="I275" s="16" t="str">
        <f>SUBSTITUTE(Github!L$497, ";", ", ")</f>
        <v>Array, Hash Table, Stack, Monotonic Stack, </v>
      </c>
      <c r="J275" s="13" t="str">
        <f>Github!E$497</f>
        <v>Easy</v>
      </c>
      <c r="K275" s="13" t="str">
        <f>IF(TRIM(Github!D$497)="TRUE","FALSE","TRUE")</f>
        <v>TRUE</v>
      </c>
      <c r="L275" s="13" t="b">
        <f>Github!M$497</f>
        <v>1</v>
      </c>
      <c r="M275" s="13" t="b">
        <f>Github!N$497</f>
        <v>0</v>
      </c>
      <c r="N275" s="13">
        <f>Github!P$497</f>
        <v>473957</v>
      </c>
      <c r="O275" s="13">
        <f>Github!Q$497</f>
        <v>663406</v>
      </c>
    </row>
    <row r="276">
      <c r="A276" s="13">
        <f>Github!J$225</f>
        <v>224</v>
      </c>
      <c r="B276" s="14" t="str">
        <f>HYPERLINK(CONCAT("http://leetcode.com/problems/",Github!C$225), Github!B$225)</f>
        <v>Basic Calculator</v>
      </c>
      <c r="C276" s="13">
        <f>Github!F$225</f>
        <v>5110</v>
      </c>
      <c r="D276" s="13">
        <f>Github!G$225</f>
        <v>382</v>
      </c>
      <c r="E276" s="13">
        <f>Github!F$225+Github!G$225</f>
        <v>5492</v>
      </c>
      <c r="F276" s="15">
        <f t="shared" si="1"/>
        <v>13.38</v>
      </c>
      <c r="G276" s="13" t="str">
        <f>ROUND(Github!O$225, 2)&amp;"%"</f>
        <v>42.32%</v>
      </c>
      <c r="H276" s="13" t="str">
        <f>Github!H$225</f>
        <v>Algorithms</v>
      </c>
      <c r="I276" s="16" t="str">
        <f>SUBSTITUTE(Github!L$225, ";", ", ")</f>
        <v>Math, String, Stack, Recursion, </v>
      </c>
      <c r="J276" s="13" t="str">
        <f>Github!E$225</f>
        <v>Hard</v>
      </c>
      <c r="K276" s="13" t="str">
        <f>IF(TRIM(Github!D$225)="TRUE","FALSE","TRUE")</f>
        <v>TRUE</v>
      </c>
      <c r="L276" s="13" t="b">
        <f>Github!M$225</f>
        <v>1</v>
      </c>
      <c r="M276" s="13" t="b">
        <f>Github!N$225</f>
        <v>0</v>
      </c>
      <c r="N276" s="13">
        <f>Github!P$225</f>
        <v>365406</v>
      </c>
      <c r="O276" s="13">
        <f>Github!Q$225</f>
        <v>863484</v>
      </c>
    </row>
    <row r="277">
      <c r="A277" s="13">
        <f>Github!J$1193</f>
        <v>1192</v>
      </c>
      <c r="B277" s="14" t="str">
        <f>HYPERLINK(CONCAT("http://leetcode.com/problems/",Github!C$1193), Github!B$1193)</f>
        <v>Critical Connections in a Network</v>
      </c>
      <c r="C277" s="13">
        <f>Github!F$1193</f>
        <v>5086</v>
      </c>
      <c r="D277" s="13">
        <f>Github!G$1193</f>
        <v>168</v>
      </c>
      <c r="E277" s="13">
        <f>Github!F$1193+Github!G$1193</f>
        <v>5254</v>
      </c>
      <c r="F277" s="15">
        <f t="shared" si="1"/>
        <v>30.27</v>
      </c>
      <c r="G277" s="13" t="str">
        <f>ROUND(Github!O$1193, 2)&amp;"%"</f>
        <v>54.54%</v>
      </c>
      <c r="H277" s="13" t="str">
        <f>Github!H$1193</f>
        <v>Algorithms</v>
      </c>
      <c r="I277" s="16" t="str">
        <f>SUBSTITUTE(Github!L$1193, ";", ", ")</f>
        <v>Depth-First Search, Graph, Biconnected Component, </v>
      </c>
      <c r="J277" s="13" t="str">
        <f>Github!E$1193</f>
        <v>Hard</v>
      </c>
      <c r="K277" s="13" t="str">
        <f>IF(TRIM(Github!D$1193)="TRUE","FALSE","TRUE")</f>
        <v>TRUE</v>
      </c>
      <c r="L277" s="13" t="b">
        <f>Github!M$1193</f>
        <v>1</v>
      </c>
      <c r="M277" s="13" t="b">
        <f>Github!N$1193</f>
        <v>0</v>
      </c>
      <c r="N277" s="13">
        <f>Github!P$1193</f>
        <v>190647</v>
      </c>
      <c r="O277" s="13">
        <f>Github!Q$1193</f>
        <v>349586</v>
      </c>
    </row>
    <row r="278">
      <c r="A278" s="13">
        <f>Github!J$138</f>
        <v>137</v>
      </c>
      <c r="B278" s="14" t="str">
        <f>HYPERLINK(CONCAT("http://leetcode.com/problems/",Github!C$138), Github!B$138)</f>
        <v>Single Number II</v>
      </c>
      <c r="C278" s="13">
        <f>Github!F$138</f>
        <v>5082</v>
      </c>
      <c r="D278" s="13">
        <f>Github!G$138</f>
        <v>526</v>
      </c>
      <c r="E278" s="13">
        <f>Github!F$138+Github!G$138</f>
        <v>5608</v>
      </c>
      <c r="F278" s="15">
        <f t="shared" si="1"/>
        <v>9.66</v>
      </c>
      <c r="G278" s="13" t="str">
        <f>ROUND(Github!O$138, 2)&amp;"%"</f>
        <v>58.03%</v>
      </c>
      <c r="H278" s="13" t="str">
        <f>Github!H$138</f>
        <v>Algorithms</v>
      </c>
      <c r="I278" s="16" t="str">
        <f>SUBSTITUTE(Github!L$138, ";", ", ")</f>
        <v>Array, Bit Manipulation, </v>
      </c>
      <c r="J278" s="13" t="str">
        <f>Github!E$138</f>
        <v>Medium</v>
      </c>
      <c r="K278" s="13" t="str">
        <f>IF(TRIM(Github!D$138)="TRUE","FALSE","TRUE")</f>
        <v>TRUE</v>
      </c>
      <c r="L278" s="13" t="b">
        <f>Github!M$138</f>
        <v>1</v>
      </c>
      <c r="M278" s="13" t="b">
        <f>Github!N$138</f>
        <v>0</v>
      </c>
      <c r="N278" s="13">
        <f>Github!P$138</f>
        <v>389113</v>
      </c>
      <c r="O278" s="13">
        <f>Github!Q$138</f>
        <v>670590</v>
      </c>
    </row>
    <row r="279">
      <c r="A279" s="13">
        <f>Github!J$87</f>
        <v>86</v>
      </c>
      <c r="B279" s="14" t="str">
        <f>HYPERLINK(CONCAT("http://leetcode.com/problems/",Github!C$87), Github!B$87)</f>
        <v>Partition List</v>
      </c>
      <c r="C279" s="13">
        <f>Github!F$87</f>
        <v>5061</v>
      </c>
      <c r="D279" s="13">
        <f>Github!G$87</f>
        <v>601</v>
      </c>
      <c r="E279" s="13">
        <f>Github!F$87+Github!G$87</f>
        <v>5662</v>
      </c>
      <c r="F279" s="15">
        <f t="shared" si="1"/>
        <v>8.42</v>
      </c>
      <c r="G279" s="13" t="str">
        <f>ROUND(Github!O$87, 2)&amp;"%"</f>
        <v>51.6%</v>
      </c>
      <c r="H279" s="13" t="str">
        <f>Github!H$87</f>
        <v>Algorithms</v>
      </c>
      <c r="I279" s="16" t="str">
        <f>SUBSTITUTE(Github!L$87, ";", ", ")</f>
        <v>Linked List, Two Pointers, </v>
      </c>
      <c r="J279" s="13" t="str">
        <f>Github!E$87</f>
        <v>Medium</v>
      </c>
      <c r="K279" s="13" t="str">
        <f>IF(TRIM(Github!D$87)="TRUE","FALSE","TRUE")</f>
        <v>TRUE</v>
      </c>
      <c r="L279" s="13" t="b">
        <f>Github!M$87</f>
        <v>1</v>
      </c>
      <c r="M279" s="13" t="b">
        <f>Github!N$87</f>
        <v>0</v>
      </c>
      <c r="N279" s="13">
        <f>Github!P$87</f>
        <v>430652</v>
      </c>
      <c r="O279" s="13">
        <f>Github!Q$87</f>
        <v>834576</v>
      </c>
    </row>
    <row r="280">
      <c r="A280" s="13">
        <f>Github!J$118</f>
        <v>117</v>
      </c>
      <c r="B280" s="14" t="str">
        <f>HYPERLINK(CONCAT("http://leetcode.com/problems/",Github!C$118), Github!B$118)</f>
        <v>Populating Next Right Pointers in Each Node II</v>
      </c>
      <c r="C280" s="13">
        <f>Github!F$118</f>
        <v>5036</v>
      </c>
      <c r="D280" s="13">
        <f>Github!G$118</f>
        <v>292</v>
      </c>
      <c r="E280" s="13">
        <f>Github!F$118+Github!G$118</f>
        <v>5328</v>
      </c>
      <c r="F280" s="15">
        <f t="shared" si="1"/>
        <v>17.25</v>
      </c>
      <c r="G280" s="13" t="str">
        <f>ROUND(Github!O$118, 2)&amp;"%"</f>
        <v>49.91%</v>
      </c>
      <c r="H280" s="13" t="str">
        <f>Github!H$118</f>
        <v>Algorithms</v>
      </c>
      <c r="I280" s="16" t="str">
        <f>SUBSTITUTE(Github!L$118, ";", ", ")</f>
        <v>Linked List, Tree, Depth-First Search, Breadth-First Search, Binary Tree, </v>
      </c>
      <c r="J280" s="13" t="str">
        <f>Github!E$118</f>
        <v>Medium</v>
      </c>
      <c r="K280" s="13" t="str">
        <f>IF(TRIM(Github!D$118)="TRUE","FALSE","TRUE")</f>
        <v>TRUE</v>
      </c>
      <c r="L280" s="13" t="b">
        <f>Github!M$118</f>
        <v>1</v>
      </c>
      <c r="M280" s="13" t="b">
        <f>Github!N$118</f>
        <v>0</v>
      </c>
      <c r="N280" s="13">
        <f>Github!P$118</f>
        <v>529193</v>
      </c>
      <c r="O280" s="13">
        <f>Github!Q$118</f>
        <v>1060202</v>
      </c>
    </row>
    <row r="281">
      <c r="A281" s="13">
        <f>Github!J$13</f>
        <v>12</v>
      </c>
      <c r="B281" s="14" t="str">
        <f>HYPERLINK(CONCAT("http://leetcode.com/problems/",Github!C$13), Github!B$13)</f>
        <v>Integer to Roman</v>
      </c>
      <c r="C281" s="13">
        <f>Github!F$13</f>
        <v>5051</v>
      </c>
      <c r="D281" s="13">
        <f>Github!G$13</f>
        <v>4925</v>
      </c>
      <c r="E281" s="13">
        <f>Github!F$13+Github!G$13</f>
        <v>9976</v>
      </c>
      <c r="F281" s="15">
        <f t="shared" si="1"/>
        <v>1.03</v>
      </c>
      <c r="G281" s="13" t="str">
        <f>ROUND(Github!O$13, 2)&amp;"%"</f>
        <v>61.65%</v>
      </c>
      <c r="H281" s="13" t="str">
        <f>Github!H$13</f>
        <v>Algorithms</v>
      </c>
      <c r="I281" s="16" t="str">
        <f>SUBSTITUTE(Github!L$13, ";", ", ")</f>
        <v>Hash Table, Math, String, </v>
      </c>
      <c r="J281" s="13" t="str">
        <f>Github!E$13</f>
        <v>Medium</v>
      </c>
      <c r="K281" s="13" t="str">
        <f>IF(TRIM(Github!D$13)="TRUE","FALSE","TRUE")</f>
        <v>TRUE</v>
      </c>
      <c r="L281" s="13" t="b">
        <f>Github!M$13</f>
        <v>1</v>
      </c>
      <c r="M281" s="13" t="b">
        <f>Github!N$13</f>
        <v>0</v>
      </c>
      <c r="N281" s="13">
        <f>Github!P$13</f>
        <v>915220</v>
      </c>
      <c r="O281" s="13">
        <f>Github!Q$13</f>
        <v>1484453</v>
      </c>
    </row>
    <row r="282">
      <c r="A282" s="13">
        <f>Github!J$265</f>
        <v>264</v>
      </c>
      <c r="B282" s="14" t="str">
        <f>HYPERLINK(CONCAT("http://leetcode.com/problems/",Github!C$265), Github!B$265)</f>
        <v>Ugly Number II</v>
      </c>
      <c r="C282" s="13">
        <f>Github!F$265</f>
        <v>5025</v>
      </c>
      <c r="D282" s="13">
        <f>Github!G$265</f>
        <v>247</v>
      </c>
      <c r="E282" s="13">
        <f>Github!F$265+Github!G$265</f>
        <v>5272</v>
      </c>
      <c r="F282" s="15">
        <f t="shared" si="1"/>
        <v>20.34</v>
      </c>
      <c r="G282" s="13" t="str">
        <f>ROUND(Github!O$265, 2)&amp;"%"</f>
        <v>46.18%</v>
      </c>
      <c r="H282" s="13" t="str">
        <f>Github!H$265</f>
        <v>Algorithms</v>
      </c>
      <c r="I282" s="16" t="str">
        <f>SUBSTITUTE(Github!L$265, ";", ", ")</f>
        <v>Hash Table, Math, Dynamic Programming, Heap (Priority Queue), </v>
      </c>
      <c r="J282" s="13" t="str">
        <f>Github!E$265</f>
        <v>Medium</v>
      </c>
      <c r="K282" s="13" t="str">
        <f>IF(TRIM(Github!D$265)="TRUE","FALSE","TRUE")</f>
        <v>TRUE</v>
      </c>
      <c r="L282" s="13" t="b">
        <f>Github!M$265</f>
        <v>1</v>
      </c>
      <c r="M282" s="13" t="b">
        <f>Github!N$265</f>
        <v>0</v>
      </c>
      <c r="N282" s="13">
        <f>Github!P$265</f>
        <v>293898</v>
      </c>
      <c r="O282" s="13">
        <f>Github!Q$265</f>
        <v>636470</v>
      </c>
    </row>
    <row r="283">
      <c r="A283" s="13">
        <f>Github!J$127</f>
        <v>126</v>
      </c>
      <c r="B283" s="14" t="str">
        <f>HYPERLINK(CONCAT("http://leetcode.com/problems/",Github!C$127), Github!B$127)</f>
        <v>Word Ladder II</v>
      </c>
      <c r="C283" s="13">
        <f>Github!F$127</f>
        <v>5026</v>
      </c>
      <c r="D283" s="13">
        <f>Github!G$127</f>
        <v>643</v>
      </c>
      <c r="E283" s="13">
        <f>Github!F$127+Github!G$127</f>
        <v>5669</v>
      </c>
      <c r="F283" s="15">
        <f t="shared" si="1"/>
        <v>7.82</v>
      </c>
      <c r="G283" s="13" t="str">
        <f>ROUND(Github!O$127, 2)&amp;"%"</f>
        <v>27.56%</v>
      </c>
      <c r="H283" s="13" t="str">
        <f>Github!H$127</f>
        <v>Algorithms</v>
      </c>
      <c r="I283" s="16" t="str">
        <f>SUBSTITUTE(Github!L$127, ";", ", ")</f>
        <v>Hash Table, String, Backtracking, Breadth-First Search, </v>
      </c>
      <c r="J283" s="13" t="str">
        <f>Github!E$127</f>
        <v>Hard</v>
      </c>
      <c r="K283" s="13" t="str">
        <f>IF(TRIM(Github!D$127)="TRUE","FALSE","TRUE")</f>
        <v>TRUE</v>
      </c>
      <c r="L283" s="13" t="b">
        <f>Github!M$127</f>
        <v>1</v>
      </c>
      <c r="M283" s="13" t="b">
        <f>Github!N$127</f>
        <v>0</v>
      </c>
      <c r="N283" s="13">
        <f>Github!P$127</f>
        <v>335604</v>
      </c>
      <c r="O283" s="13">
        <f>Github!Q$127</f>
        <v>1217881</v>
      </c>
    </row>
    <row r="284">
      <c r="A284" s="13">
        <f>Github!J$136</f>
        <v>135</v>
      </c>
      <c r="B284" s="14" t="str">
        <f>HYPERLINK(CONCAT("http://leetcode.com/problems/",Github!C$136), Github!B$136)</f>
        <v>Candy</v>
      </c>
      <c r="C284" s="13">
        <f>Github!F$136</f>
        <v>4997</v>
      </c>
      <c r="D284" s="13">
        <f>Github!G$136</f>
        <v>330</v>
      </c>
      <c r="E284" s="13">
        <f>Github!F$136+Github!G$136</f>
        <v>5327</v>
      </c>
      <c r="F284" s="15">
        <f t="shared" si="1"/>
        <v>15.14</v>
      </c>
      <c r="G284" s="13" t="str">
        <f>ROUND(Github!O$136, 2)&amp;"%"</f>
        <v>40.84%</v>
      </c>
      <c r="H284" s="13" t="str">
        <f>Github!H$136</f>
        <v>Algorithms</v>
      </c>
      <c r="I284" s="16" t="str">
        <f>SUBSTITUTE(Github!L$136, ";", ", ")</f>
        <v>Array, Greedy, </v>
      </c>
      <c r="J284" s="13" t="str">
        <f>Github!E$136</f>
        <v>Hard</v>
      </c>
      <c r="K284" s="13" t="str">
        <f>IF(TRIM(Github!D$136)="TRUE","FALSE","TRUE")</f>
        <v>TRUE</v>
      </c>
      <c r="L284" s="13" t="b">
        <f>Github!M$136</f>
        <v>1</v>
      </c>
      <c r="M284" s="13" t="b">
        <f>Github!N$136</f>
        <v>0</v>
      </c>
      <c r="N284" s="13">
        <f>Github!P$136</f>
        <v>292924</v>
      </c>
      <c r="O284" s="13">
        <f>Github!Q$136</f>
        <v>717271</v>
      </c>
    </row>
    <row r="285">
      <c r="A285" s="13">
        <f>Github!J$1424</f>
        <v>1423</v>
      </c>
      <c r="B285" s="14" t="str">
        <f>HYPERLINK(CONCAT("http://leetcode.com/problems/",Github!C$1424), Github!B$1424)</f>
        <v>Maximum Points You Can Obtain from Cards</v>
      </c>
      <c r="C285" s="13">
        <f>Github!F$1424</f>
        <v>4970</v>
      </c>
      <c r="D285" s="13">
        <f>Github!G$1424</f>
        <v>184</v>
      </c>
      <c r="E285" s="13">
        <f>Github!F$1424+Github!G$1424</f>
        <v>5154</v>
      </c>
      <c r="F285" s="15">
        <f t="shared" si="1"/>
        <v>27.01</v>
      </c>
      <c r="G285" s="13" t="str">
        <f>ROUND(Github!O$1424, 2)&amp;"%"</f>
        <v>52.25%</v>
      </c>
      <c r="H285" s="13" t="str">
        <f>Github!H$1424</f>
        <v>Algorithms</v>
      </c>
      <c r="I285" s="16" t="str">
        <f>SUBSTITUTE(Github!L$1424, ";", ", ")</f>
        <v>Array, Sliding Window, Prefix Sum, </v>
      </c>
      <c r="J285" s="13" t="str">
        <f>Github!E$1424</f>
        <v>Medium</v>
      </c>
      <c r="K285" s="13" t="str">
        <f>IF(TRIM(Github!D$1424)="TRUE","FALSE","TRUE")</f>
        <v>TRUE</v>
      </c>
      <c r="L285" s="13" t="b">
        <f>Github!M$1424</f>
        <v>1</v>
      </c>
      <c r="M285" s="13" t="b">
        <f>Github!N$1424</f>
        <v>0</v>
      </c>
      <c r="N285" s="13">
        <f>Github!P$1424</f>
        <v>211583</v>
      </c>
      <c r="O285" s="13">
        <f>Github!Q$1424</f>
        <v>404949</v>
      </c>
    </row>
    <row r="286">
      <c r="A286" s="13">
        <f>Github!J$28</f>
        <v>27</v>
      </c>
      <c r="B286" s="14" t="str">
        <f>HYPERLINK(CONCAT("http://leetcode.com/problems/",Github!C$28), Github!B$28)</f>
        <v>Remove Element</v>
      </c>
      <c r="C286" s="13">
        <f>Github!F$28</f>
        <v>5000</v>
      </c>
      <c r="D286" s="13">
        <f>Github!G$28</f>
        <v>6699</v>
      </c>
      <c r="E286" s="13">
        <f>Github!F$28+Github!G$28</f>
        <v>11699</v>
      </c>
      <c r="F286" s="15">
        <f t="shared" si="1"/>
        <v>0.75</v>
      </c>
      <c r="G286" s="13" t="str">
        <f>ROUND(Github!O$28, 2)&amp;"%"</f>
        <v>52.42%</v>
      </c>
      <c r="H286" s="13" t="str">
        <f>Github!H$28</f>
        <v>Algorithms</v>
      </c>
      <c r="I286" s="16" t="str">
        <f>SUBSTITUTE(Github!L$28, ";", ", ")</f>
        <v>Array, Two Pointers, </v>
      </c>
      <c r="J286" s="13" t="str">
        <f>Github!E$28</f>
        <v>Easy</v>
      </c>
      <c r="K286" s="13" t="str">
        <f>IF(TRIM(Github!D$28)="TRUE","FALSE","TRUE")</f>
        <v>TRUE</v>
      </c>
      <c r="L286" s="13" t="b">
        <f>Github!M$28</f>
        <v>1</v>
      </c>
      <c r="M286" s="13" t="b">
        <f>Github!N$28</f>
        <v>1</v>
      </c>
      <c r="N286" s="13">
        <f>Github!P$28</f>
        <v>1604732</v>
      </c>
      <c r="O286" s="13">
        <f>Github!Q$28</f>
        <v>3061020</v>
      </c>
    </row>
    <row r="287">
      <c r="A287" s="13">
        <f>Github!J$396</f>
        <v>395</v>
      </c>
      <c r="B287" s="14" t="str">
        <f>HYPERLINK(CONCAT("http://leetcode.com/problems/",Github!C$396), Github!B$396)</f>
        <v>Longest Substring with At Least K Repeating Characters</v>
      </c>
      <c r="C287" s="13">
        <f>Github!F$396</f>
        <v>4939</v>
      </c>
      <c r="D287" s="13">
        <f>Github!G$396</f>
        <v>398</v>
      </c>
      <c r="E287" s="13">
        <f>Github!F$396+Github!G$396</f>
        <v>5337</v>
      </c>
      <c r="F287" s="15">
        <f t="shared" si="1"/>
        <v>12.41</v>
      </c>
      <c r="G287" s="13" t="str">
        <f>ROUND(Github!O$396, 2)&amp;"%"</f>
        <v>44.81%</v>
      </c>
      <c r="H287" s="13" t="str">
        <f>Github!H$396</f>
        <v>Algorithms</v>
      </c>
      <c r="I287" s="16" t="str">
        <f>SUBSTITUTE(Github!L$396, ";", ", ")</f>
        <v>Hash Table, String, Divide and Conquer, Sliding Window, </v>
      </c>
      <c r="J287" s="13" t="str">
        <f>Github!E$396</f>
        <v>Medium</v>
      </c>
      <c r="K287" s="13" t="str">
        <f>IF(TRIM(Github!D$396)="TRUE","FALSE","TRUE")</f>
        <v>TRUE</v>
      </c>
      <c r="L287" s="13" t="b">
        <f>Github!M$396</f>
        <v>1</v>
      </c>
      <c r="M287" s="13" t="b">
        <f>Github!N$396</f>
        <v>0</v>
      </c>
      <c r="N287" s="13">
        <f>Github!P$396</f>
        <v>178798</v>
      </c>
      <c r="O287" s="13">
        <f>Github!Q$396</f>
        <v>398982</v>
      </c>
    </row>
    <row r="288">
      <c r="A288" s="13">
        <f>Github!J$714</f>
        <v>713</v>
      </c>
      <c r="B288" s="14" t="str">
        <f>HYPERLINK(CONCAT("http://leetcode.com/problems/",Github!C$714), Github!B$714)</f>
        <v>Subarray Product Less Than K</v>
      </c>
      <c r="C288" s="13">
        <f>Github!F$714</f>
        <v>4921</v>
      </c>
      <c r="D288" s="13">
        <f>Github!G$714</f>
        <v>160</v>
      </c>
      <c r="E288" s="13">
        <f>Github!F$714+Github!G$714</f>
        <v>5081</v>
      </c>
      <c r="F288" s="15">
        <f t="shared" si="1"/>
        <v>30.76</v>
      </c>
      <c r="G288" s="13" t="str">
        <f>ROUND(Github!O$714, 2)&amp;"%"</f>
        <v>45.34%</v>
      </c>
      <c r="H288" s="13" t="str">
        <f>Github!H$714</f>
        <v>Algorithms</v>
      </c>
      <c r="I288" s="16" t="str">
        <f>SUBSTITUTE(Github!L$714, ";", ", ")</f>
        <v>Array, Sliding Window, </v>
      </c>
      <c r="J288" s="13" t="str">
        <f>Github!E$714</f>
        <v>Medium</v>
      </c>
      <c r="K288" s="13" t="str">
        <f>IF(TRIM(Github!D$714)="TRUE","FALSE","TRUE")</f>
        <v>TRUE</v>
      </c>
      <c r="L288" s="13" t="b">
        <f>Github!M$714</f>
        <v>1</v>
      </c>
      <c r="M288" s="13" t="b">
        <f>Github!N$714</f>
        <v>0</v>
      </c>
      <c r="N288" s="13">
        <f>Github!P$714</f>
        <v>210590</v>
      </c>
      <c r="O288" s="13">
        <f>Github!Q$714</f>
        <v>464468</v>
      </c>
    </row>
    <row r="289">
      <c r="A289" s="13">
        <f>Github!J$715</f>
        <v>714</v>
      </c>
      <c r="B289" s="14" t="str">
        <f>HYPERLINK(CONCAT("http://leetcode.com/problems/",Github!C$715), Github!B$715)</f>
        <v>Best Time to Buy and Sell Stock with Transaction Fee</v>
      </c>
      <c r="C289" s="13">
        <f>Github!F$715</f>
        <v>4923</v>
      </c>
      <c r="D289" s="13">
        <f>Github!G$715</f>
        <v>121</v>
      </c>
      <c r="E289" s="13">
        <f>Github!F$715+Github!G$715</f>
        <v>5044</v>
      </c>
      <c r="F289" s="15">
        <f t="shared" si="1"/>
        <v>40.69</v>
      </c>
      <c r="G289" s="13" t="str">
        <f>ROUND(Github!O$715, 2)&amp;"%"</f>
        <v>64.66%</v>
      </c>
      <c r="H289" s="13" t="str">
        <f>Github!H$715</f>
        <v>Algorithms</v>
      </c>
      <c r="I289" s="16" t="str">
        <f>SUBSTITUTE(Github!L$715, ";", ", ")</f>
        <v>Array, Dynamic Programming, Greedy, </v>
      </c>
      <c r="J289" s="13" t="str">
        <f>Github!E$715</f>
        <v>Medium</v>
      </c>
      <c r="K289" s="13" t="str">
        <f>IF(TRIM(Github!D$715)="TRUE","FALSE","TRUE")</f>
        <v>TRUE</v>
      </c>
      <c r="L289" s="13" t="b">
        <f>Github!M$715</f>
        <v>1</v>
      </c>
      <c r="M289" s="13" t="b">
        <f>Github!N$715</f>
        <v>0</v>
      </c>
      <c r="N289" s="13">
        <f>Github!P$715</f>
        <v>209761</v>
      </c>
      <c r="O289" s="13">
        <f>Github!Q$715</f>
        <v>324427</v>
      </c>
    </row>
    <row r="290">
      <c r="A290" s="13">
        <f>Github!J$987</f>
        <v>986</v>
      </c>
      <c r="B290" s="14" t="str">
        <f>HYPERLINK(CONCAT("http://leetcode.com/problems/",Github!C$987), Github!B$987)</f>
        <v>Interval List Intersections</v>
      </c>
      <c r="C290" s="13">
        <f>Github!F$987</f>
        <v>4866</v>
      </c>
      <c r="D290" s="13">
        <f>Github!G$987</f>
        <v>96</v>
      </c>
      <c r="E290" s="13">
        <f>Github!F$987+Github!G$987</f>
        <v>4962</v>
      </c>
      <c r="F290" s="15">
        <f t="shared" si="1"/>
        <v>50.69</v>
      </c>
      <c r="G290" s="13" t="str">
        <f>ROUND(Github!O$987, 2)&amp;"%"</f>
        <v>71.38%</v>
      </c>
      <c r="H290" s="13" t="str">
        <f>Github!H$987</f>
        <v>Algorithms</v>
      </c>
      <c r="I290" s="16" t="str">
        <f>SUBSTITUTE(Github!L$987, ";", ", ")</f>
        <v>Array, Two Pointers, </v>
      </c>
      <c r="J290" s="13" t="str">
        <f>Github!E$987</f>
        <v>Medium</v>
      </c>
      <c r="K290" s="13" t="str">
        <f>IF(TRIM(Github!D$987)="TRUE","FALSE","TRUE")</f>
        <v>TRUE</v>
      </c>
      <c r="L290" s="13" t="b">
        <f>Github!M$987</f>
        <v>1</v>
      </c>
      <c r="M290" s="13" t="b">
        <f>Github!N$987</f>
        <v>0</v>
      </c>
      <c r="N290" s="13">
        <f>Github!P$987</f>
        <v>340923</v>
      </c>
      <c r="O290" s="13">
        <f>Github!Q$987</f>
        <v>477621</v>
      </c>
    </row>
    <row r="291">
      <c r="A291" s="13">
        <f>Github!J$793</f>
        <v>792</v>
      </c>
      <c r="B291" s="14" t="str">
        <f>HYPERLINK(CONCAT("http://leetcode.com/problems/",Github!C$793), Github!B$793)</f>
        <v>Number of Matching Subsequences</v>
      </c>
      <c r="C291" s="13">
        <f>Github!F$793</f>
        <v>4871</v>
      </c>
      <c r="D291" s="13">
        <f>Github!G$793</f>
        <v>205</v>
      </c>
      <c r="E291" s="13">
        <f>Github!F$793+Github!G$793</f>
        <v>5076</v>
      </c>
      <c r="F291" s="15">
        <f t="shared" si="1"/>
        <v>23.76</v>
      </c>
      <c r="G291" s="13" t="str">
        <f>ROUND(Github!O$793, 2)&amp;"%"</f>
        <v>51.78%</v>
      </c>
      <c r="H291" s="13" t="str">
        <f>Github!H$793</f>
        <v>Algorithms</v>
      </c>
      <c r="I291" s="16" t="str">
        <f>SUBSTITUTE(Github!L$793, ";", ", ")</f>
        <v>Hash Table, String, Trie, Sorting, </v>
      </c>
      <c r="J291" s="13" t="str">
        <f>Github!E$793</f>
        <v>Medium</v>
      </c>
      <c r="K291" s="13" t="str">
        <f>IF(TRIM(Github!D$793)="TRUE","FALSE","TRUE")</f>
        <v>TRUE</v>
      </c>
      <c r="L291" s="13" t="b">
        <f>Github!M$793</f>
        <v>1</v>
      </c>
      <c r="M291" s="13" t="b">
        <f>Github!N$793</f>
        <v>0</v>
      </c>
      <c r="N291" s="13">
        <f>Github!P$793</f>
        <v>204130</v>
      </c>
      <c r="O291" s="13">
        <f>Github!Q$793</f>
        <v>394243</v>
      </c>
    </row>
    <row r="292">
      <c r="A292" s="13">
        <f>Github!J$857</f>
        <v>856</v>
      </c>
      <c r="B292" s="14" t="str">
        <f>HYPERLINK(CONCAT("http://leetcode.com/problems/",Github!C$857), Github!B$857)</f>
        <v>Score of Parentheses</v>
      </c>
      <c r="C292" s="13">
        <f>Github!F$857</f>
        <v>4846</v>
      </c>
      <c r="D292" s="13">
        <f>Github!G$857</f>
        <v>163</v>
      </c>
      <c r="E292" s="13">
        <f>Github!F$857+Github!G$857</f>
        <v>5009</v>
      </c>
      <c r="F292" s="15">
        <f t="shared" si="1"/>
        <v>29.73</v>
      </c>
      <c r="G292" s="13" t="str">
        <f>ROUND(Github!O$857, 2)&amp;"%"</f>
        <v>64.96%</v>
      </c>
      <c r="H292" s="13" t="str">
        <f>Github!H$857</f>
        <v>Algorithms</v>
      </c>
      <c r="I292" s="16" t="str">
        <f>SUBSTITUTE(Github!L$857, ";", ", ")</f>
        <v>String, Stack, </v>
      </c>
      <c r="J292" s="13" t="str">
        <f>Github!E$857</f>
        <v>Medium</v>
      </c>
      <c r="K292" s="13" t="str">
        <f>IF(TRIM(Github!D$857)="TRUE","FALSE","TRUE")</f>
        <v>TRUE</v>
      </c>
      <c r="L292" s="13" t="b">
        <f>Github!M$857</f>
        <v>1</v>
      </c>
      <c r="M292" s="13" t="b">
        <f>Github!N$857</f>
        <v>0</v>
      </c>
      <c r="N292" s="13">
        <f>Github!P$857</f>
        <v>152425</v>
      </c>
      <c r="O292" s="13">
        <f>Github!Q$857</f>
        <v>234648</v>
      </c>
    </row>
    <row r="293">
      <c r="A293" s="13">
        <f>Github!J$1210</f>
        <v>1209</v>
      </c>
      <c r="B293" s="14" t="str">
        <f>HYPERLINK(CONCAT("http://leetcode.com/problems/",Github!C$1210), Github!B$1210)</f>
        <v>Remove All Adjacent Duplicates in String II</v>
      </c>
      <c r="C293" s="13">
        <f>Github!F$1210</f>
        <v>4844</v>
      </c>
      <c r="D293" s="13">
        <f>Github!G$1210</f>
        <v>89</v>
      </c>
      <c r="E293" s="13">
        <f>Github!F$1210+Github!G$1210</f>
        <v>4933</v>
      </c>
      <c r="F293" s="15">
        <f t="shared" si="1"/>
        <v>54.43</v>
      </c>
      <c r="G293" s="13" t="str">
        <f>ROUND(Github!O$1210, 2)&amp;"%"</f>
        <v>55.99%</v>
      </c>
      <c r="H293" s="13" t="str">
        <f>Github!H$1210</f>
        <v>Algorithms</v>
      </c>
      <c r="I293" s="16" t="str">
        <f>SUBSTITUTE(Github!L$1210, ";", ", ")</f>
        <v>String, Stack, </v>
      </c>
      <c r="J293" s="13" t="str">
        <f>Github!E$1210</f>
        <v>Medium</v>
      </c>
      <c r="K293" s="13" t="str">
        <f>IF(TRIM(Github!D$1210)="TRUE","FALSE","TRUE")</f>
        <v>TRUE</v>
      </c>
      <c r="L293" s="13" t="b">
        <f>Github!M$1210</f>
        <v>1</v>
      </c>
      <c r="M293" s="13" t="b">
        <f>Github!N$1210</f>
        <v>0</v>
      </c>
      <c r="N293" s="13">
        <f>Github!P$1210</f>
        <v>252912</v>
      </c>
      <c r="O293" s="13">
        <f>Github!Q$1210</f>
        <v>451694</v>
      </c>
    </row>
    <row r="294">
      <c r="A294" s="13">
        <f>Github!J$355</f>
        <v>354</v>
      </c>
      <c r="B294" s="14" t="str">
        <f>HYPERLINK(CONCAT("http://leetcode.com/problems/",Github!C$355), Github!B$355)</f>
        <v>Russian Doll Envelopes</v>
      </c>
      <c r="C294" s="13">
        <f>Github!F$355</f>
        <v>4820</v>
      </c>
      <c r="D294" s="13">
        <f>Github!G$355</f>
        <v>118</v>
      </c>
      <c r="E294" s="13">
        <f>Github!F$355+Github!G$355</f>
        <v>4938</v>
      </c>
      <c r="F294" s="15">
        <f t="shared" si="1"/>
        <v>40.85</v>
      </c>
      <c r="G294" s="13" t="str">
        <f>ROUND(Github!O$355, 2)&amp;"%"</f>
        <v>38.15%</v>
      </c>
      <c r="H294" s="13" t="str">
        <f>Github!H$355</f>
        <v>Algorithms</v>
      </c>
      <c r="I294" s="16" t="str">
        <f>SUBSTITUTE(Github!L$355, ";", ", ")</f>
        <v>Array, Binary Search, Dynamic Programming, Sorting, </v>
      </c>
      <c r="J294" s="13" t="str">
        <f>Github!E$355</f>
        <v>Hard</v>
      </c>
      <c r="K294" s="13" t="str">
        <f>IF(TRIM(Github!D$355)="TRUE","FALSE","TRUE")</f>
        <v>TRUE</v>
      </c>
      <c r="L294" s="13" t="b">
        <f>Github!M$355</f>
        <v>1</v>
      </c>
      <c r="M294" s="13" t="b">
        <f>Github!N$355</f>
        <v>0</v>
      </c>
      <c r="N294" s="13">
        <f>Github!P$355</f>
        <v>182402</v>
      </c>
      <c r="O294" s="13">
        <f>Github!Q$355</f>
        <v>478057</v>
      </c>
    </row>
    <row r="295">
      <c r="A295" s="13">
        <f>Github!J$685</f>
        <v>684</v>
      </c>
      <c r="B295" s="14" t="str">
        <f>HYPERLINK(CONCAT("http://leetcode.com/problems/",Github!C$685), Github!B$685)</f>
        <v>Redundant Connection</v>
      </c>
      <c r="C295" s="13">
        <f>Github!F$685</f>
        <v>4839</v>
      </c>
      <c r="D295" s="13">
        <f>Github!G$685</f>
        <v>335</v>
      </c>
      <c r="E295" s="13">
        <f>Github!F$685+Github!G$685</f>
        <v>5174</v>
      </c>
      <c r="F295" s="15">
        <f t="shared" si="1"/>
        <v>14.44</v>
      </c>
      <c r="G295" s="13" t="str">
        <f>ROUND(Github!O$685, 2)&amp;"%"</f>
        <v>62.09%</v>
      </c>
      <c r="H295" s="13" t="str">
        <f>Github!H$685</f>
        <v>Algorithms</v>
      </c>
      <c r="I295" s="16" t="str">
        <f>SUBSTITUTE(Github!L$685, ";", ", ")</f>
        <v>Depth-First Search, Breadth-First Search, Union Find, Graph, </v>
      </c>
      <c r="J295" s="13" t="str">
        <f>Github!E$685</f>
        <v>Medium</v>
      </c>
      <c r="K295" s="13" t="str">
        <f>IF(TRIM(Github!D$685)="TRUE","FALSE","TRUE")</f>
        <v>TRUE</v>
      </c>
      <c r="L295" s="13" t="b">
        <f>Github!M$685</f>
        <v>1</v>
      </c>
      <c r="M295" s="13" t="b">
        <f>Github!N$685</f>
        <v>0</v>
      </c>
      <c r="N295" s="13">
        <f>Github!P$685</f>
        <v>254324</v>
      </c>
      <c r="O295" s="13">
        <f>Github!Q$685</f>
        <v>409587</v>
      </c>
    </row>
    <row r="296">
      <c r="A296" s="13">
        <f>Github!J$175</f>
        <v>174</v>
      </c>
      <c r="B296" s="14" t="str">
        <f>HYPERLINK(CONCAT("http://leetcode.com/problems/",Github!C$175), Github!B$175)</f>
        <v>Dungeon Game</v>
      </c>
      <c r="C296" s="13">
        <f>Github!F$175</f>
        <v>4813</v>
      </c>
      <c r="D296" s="13">
        <f>Github!G$175</f>
        <v>87</v>
      </c>
      <c r="E296" s="13">
        <f>Github!F$175+Github!G$175</f>
        <v>4900</v>
      </c>
      <c r="F296" s="15">
        <f t="shared" si="1"/>
        <v>55.32</v>
      </c>
      <c r="G296" s="13" t="str">
        <f>ROUND(Github!O$175, 2)&amp;"%"</f>
        <v>37.36%</v>
      </c>
      <c r="H296" s="13" t="str">
        <f>Github!H$175</f>
        <v>Algorithms</v>
      </c>
      <c r="I296" s="16" t="str">
        <f>SUBSTITUTE(Github!L$175, ";", ", ")</f>
        <v>Array, Dynamic Programming, Matrix, </v>
      </c>
      <c r="J296" s="13" t="str">
        <f>Github!E$175</f>
        <v>Hard</v>
      </c>
      <c r="K296" s="13" t="str">
        <f>IF(TRIM(Github!D$175)="TRUE","FALSE","TRUE")</f>
        <v>TRUE</v>
      </c>
      <c r="L296" s="13" t="b">
        <f>Github!M$175</f>
        <v>1</v>
      </c>
      <c r="M296" s="13" t="b">
        <f>Github!N$175</f>
        <v>0</v>
      </c>
      <c r="N296" s="13">
        <f>Github!P$175</f>
        <v>191067</v>
      </c>
      <c r="O296" s="13">
        <f>Github!Q$175</f>
        <v>511417</v>
      </c>
    </row>
    <row r="297">
      <c r="A297" s="13">
        <f>Github!J$1009</f>
        <v>1008</v>
      </c>
      <c r="B297" s="14" t="str">
        <f>HYPERLINK(CONCAT("http://leetcode.com/problems/",Github!C$1009), Github!B$1009)</f>
        <v>Construct Binary Search Tree from Preorder Traversal</v>
      </c>
      <c r="C297" s="13">
        <f>Github!F$1009</f>
        <v>4797</v>
      </c>
      <c r="D297" s="13">
        <f>Github!G$1009</f>
        <v>64</v>
      </c>
      <c r="E297" s="13">
        <f>Github!F$1009+Github!G$1009</f>
        <v>4861</v>
      </c>
      <c r="F297" s="15">
        <f t="shared" si="1"/>
        <v>74.95</v>
      </c>
      <c r="G297" s="13" t="str">
        <f>ROUND(Github!O$1009, 2)&amp;"%"</f>
        <v>80.97%</v>
      </c>
      <c r="H297" s="13" t="str">
        <f>Github!H$1009</f>
        <v>Algorithms</v>
      </c>
      <c r="I297" s="16" t="str">
        <f>SUBSTITUTE(Github!L$1009, ";", ", ")</f>
        <v>Array, Stack, Tree, Binary Search Tree, Monotonic Stack, Binary Tree, </v>
      </c>
      <c r="J297" s="13" t="str">
        <f>Github!E$1009</f>
        <v>Medium</v>
      </c>
      <c r="K297" s="13" t="str">
        <f>IF(TRIM(Github!D$1009)="TRUE","FALSE","TRUE")</f>
        <v>TRUE</v>
      </c>
      <c r="L297" s="13" t="b">
        <f>Github!M$1009</f>
        <v>1</v>
      </c>
      <c r="M297" s="13" t="b">
        <f>Github!N$1009</f>
        <v>0</v>
      </c>
      <c r="N297" s="13">
        <f>Github!P$1009</f>
        <v>277232</v>
      </c>
      <c r="O297" s="13">
        <f>Github!Q$1009</f>
        <v>342386</v>
      </c>
    </row>
    <row r="298">
      <c r="A298" s="13">
        <f>Github!J$902</f>
        <v>901</v>
      </c>
      <c r="B298" s="14" t="str">
        <f>HYPERLINK(CONCAT("http://leetcode.com/problems/",Github!C$902), Github!B$902)</f>
        <v>Online Stock Span</v>
      </c>
      <c r="C298" s="13">
        <f>Github!F$902</f>
        <v>4820</v>
      </c>
      <c r="D298" s="13">
        <f>Github!G$902</f>
        <v>309</v>
      </c>
      <c r="E298" s="13">
        <f>Github!F$902+Github!G$902</f>
        <v>5129</v>
      </c>
      <c r="F298" s="15">
        <f t="shared" si="1"/>
        <v>15.6</v>
      </c>
      <c r="G298" s="13" t="str">
        <f>ROUND(Github!O$902, 2)&amp;"%"</f>
        <v>65.25%</v>
      </c>
      <c r="H298" s="13" t="str">
        <f>Github!H$902</f>
        <v>Algorithms</v>
      </c>
      <c r="I298" s="16" t="str">
        <f>SUBSTITUTE(Github!L$902, ";", ", ")</f>
        <v>Stack, Design, Monotonic Stack, Data Stream, </v>
      </c>
      <c r="J298" s="13" t="str">
        <f>Github!E$902</f>
        <v>Medium</v>
      </c>
      <c r="K298" s="13" t="str">
        <f>IF(TRIM(Github!D$902)="TRUE","FALSE","TRUE")</f>
        <v>TRUE</v>
      </c>
      <c r="L298" s="13" t="b">
        <f>Github!M$902</f>
        <v>1</v>
      </c>
      <c r="M298" s="13" t="b">
        <f>Github!N$902</f>
        <v>0</v>
      </c>
      <c r="N298" s="13">
        <f>Github!P$902</f>
        <v>207948</v>
      </c>
      <c r="O298" s="13">
        <f>Github!Q$902</f>
        <v>318682</v>
      </c>
    </row>
    <row r="299">
      <c r="A299" s="13">
        <f>Github!J$1236</f>
        <v>1235</v>
      </c>
      <c r="B299" s="14" t="str">
        <f>HYPERLINK(CONCAT("http://leetcode.com/problems/",Github!C$1236), Github!B$1236)</f>
        <v>Maximum Profit in Job Scheduling</v>
      </c>
      <c r="C299" s="13">
        <f>Github!F$1236</f>
        <v>4790</v>
      </c>
      <c r="D299" s="13">
        <f>Github!G$1236</f>
        <v>55</v>
      </c>
      <c r="E299" s="13">
        <f>Github!F$1236+Github!G$1236</f>
        <v>4845</v>
      </c>
      <c r="F299" s="15">
        <f t="shared" si="1"/>
        <v>87.09</v>
      </c>
      <c r="G299" s="13" t="str">
        <f>ROUND(Github!O$1236, 2)&amp;"%"</f>
        <v>53.53%</v>
      </c>
      <c r="H299" s="13" t="str">
        <f>Github!H$1236</f>
        <v>Algorithms</v>
      </c>
      <c r="I299" s="16" t="str">
        <f>SUBSTITUTE(Github!L$1236, ";", ", ")</f>
        <v>Array, Binary Search, Dynamic Programming, Sorting, </v>
      </c>
      <c r="J299" s="13" t="str">
        <f>Github!E$1236</f>
        <v>Hard</v>
      </c>
      <c r="K299" s="13" t="str">
        <f>IF(TRIM(Github!D$1236)="TRUE","FALSE","TRUE")</f>
        <v>TRUE</v>
      </c>
      <c r="L299" s="13" t="b">
        <f>Github!M$1236</f>
        <v>1</v>
      </c>
      <c r="M299" s="13" t="b">
        <f>Github!N$1236</f>
        <v>0</v>
      </c>
      <c r="N299" s="13">
        <f>Github!P$1236</f>
        <v>173460</v>
      </c>
      <c r="O299" s="13">
        <f>Github!Q$1236</f>
        <v>324037</v>
      </c>
    </row>
    <row r="300">
      <c r="A300" s="13">
        <f>Github!J$7</f>
        <v>6</v>
      </c>
      <c r="B300" s="14" t="str">
        <f>HYPERLINK(CONCAT("http://leetcode.com/problems/",Github!C$7), Github!B$7)</f>
        <v>Zigzag Conversion</v>
      </c>
      <c r="C300" s="13">
        <f>Github!F$7</f>
        <v>4828</v>
      </c>
      <c r="D300" s="13">
        <f>Github!G$7</f>
        <v>10384</v>
      </c>
      <c r="E300" s="13">
        <f>Github!F$7+Github!G$7</f>
        <v>15212</v>
      </c>
      <c r="F300" s="15">
        <f t="shared" si="1"/>
        <v>0.46</v>
      </c>
      <c r="G300" s="13" t="str">
        <f>ROUND(Github!O$7, 2)&amp;"%"</f>
        <v>43.38%</v>
      </c>
      <c r="H300" s="13" t="str">
        <f>Github!H$7</f>
        <v>Algorithms</v>
      </c>
      <c r="I300" s="16" t="str">
        <f>SUBSTITUTE(Github!L$7, ";", ", ")</f>
        <v>String, </v>
      </c>
      <c r="J300" s="13" t="str">
        <f>Github!E$7</f>
        <v>Medium</v>
      </c>
      <c r="K300" s="13" t="str">
        <f>IF(TRIM(Github!D$7)="TRUE","FALSE","TRUE")</f>
        <v>TRUE</v>
      </c>
      <c r="L300" s="13" t="b">
        <f>Github!M$7</f>
        <v>1</v>
      </c>
      <c r="M300" s="13" t="b">
        <f>Github!N$7</f>
        <v>0</v>
      </c>
      <c r="N300" s="13">
        <f>Github!P$7</f>
        <v>902699</v>
      </c>
      <c r="O300" s="13">
        <f>Github!Q$7</f>
        <v>2081113</v>
      </c>
    </row>
    <row r="301">
      <c r="A301" s="13">
        <f>Github!J$116</f>
        <v>115</v>
      </c>
      <c r="B301" s="14" t="str">
        <f>HYPERLINK(CONCAT("http://leetcode.com/problems/",Github!C$116), Github!B$116)</f>
        <v>Distinct Subsequences</v>
      </c>
      <c r="C301" s="13">
        <f>Github!F$116</f>
        <v>4818</v>
      </c>
      <c r="D301" s="13">
        <f>Github!G$116</f>
        <v>192</v>
      </c>
      <c r="E301" s="13">
        <f>Github!F$116+Github!G$116</f>
        <v>5010</v>
      </c>
      <c r="F301" s="15">
        <f t="shared" si="1"/>
        <v>25.09</v>
      </c>
      <c r="G301" s="13" t="str">
        <f>ROUND(Github!O$116, 2)&amp;"%"</f>
        <v>44%</v>
      </c>
      <c r="H301" s="13" t="str">
        <f>Github!H$116</f>
        <v>Algorithms</v>
      </c>
      <c r="I301" s="16" t="str">
        <f>SUBSTITUTE(Github!L$116, ";", ", ")</f>
        <v>String, Dynamic Programming, </v>
      </c>
      <c r="J301" s="13" t="str">
        <f>Github!E$116</f>
        <v>Hard</v>
      </c>
      <c r="K301" s="13" t="str">
        <f>IF(TRIM(Github!D$116)="TRUE","FALSE","TRUE")</f>
        <v>TRUE</v>
      </c>
      <c r="L301" s="13" t="b">
        <f>Github!M$116</f>
        <v>1</v>
      </c>
      <c r="M301" s="13" t="b">
        <f>Github!N$116</f>
        <v>0</v>
      </c>
      <c r="N301" s="13">
        <f>Github!P$116</f>
        <v>270700</v>
      </c>
      <c r="O301" s="13">
        <f>Github!Q$116</f>
        <v>615181</v>
      </c>
    </row>
    <row r="302">
      <c r="A302" s="13">
        <f>Github!J$192</f>
        <v>191</v>
      </c>
      <c r="B302" s="14" t="str">
        <f>HYPERLINK(CONCAT("http://leetcode.com/problems/",Github!C$192), Github!B$192)</f>
        <v>Number of 1 Bits</v>
      </c>
      <c r="C302" s="13">
        <f>Github!F$192</f>
        <v>4781</v>
      </c>
      <c r="D302" s="13">
        <f>Github!G$192</f>
        <v>1020</v>
      </c>
      <c r="E302" s="13">
        <f>Github!F$192+Github!G$192</f>
        <v>5801</v>
      </c>
      <c r="F302" s="15">
        <f t="shared" si="1"/>
        <v>4.69</v>
      </c>
      <c r="G302" s="13" t="str">
        <f>ROUND(Github!O$192, 2)&amp;"%"</f>
        <v>65.47%</v>
      </c>
      <c r="H302" s="13" t="str">
        <f>Github!H$192</f>
        <v>Algorithms</v>
      </c>
      <c r="I302" s="16" t="str">
        <f>SUBSTITUTE(Github!L$192, ";", ", ")</f>
        <v>Divide and Conquer, Bit Manipulation, </v>
      </c>
      <c r="J302" s="13" t="str">
        <f>Github!E$192</f>
        <v>Easy</v>
      </c>
      <c r="K302" s="13" t="str">
        <f>IF(TRIM(Github!D$192)="TRUE","FALSE","TRUE")</f>
        <v>TRUE</v>
      </c>
      <c r="L302" s="13" t="b">
        <f>Github!M$192</f>
        <v>1</v>
      </c>
      <c r="M302" s="13" t="b">
        <f>Github!N$192</f>
        <v>0</v>
      </c>
      <c r="N302" s="13">
        <f>Github!P$192</f>
        <v>998847</v>
      </c>
      <c r="O302" s="13">
        <f>Github!Q$192</f>
        <v>1525766</v>
      </c>
    </row>
    <row r="303">
      <c r="A303" s="13">
        <f>Github!J$584</f>
        <v>583</v>
      </c>
      <c r="B303" s="14" t="str">
        <f>HYPERLINK(CONCAT("http://leetcode.com/problems/",Github!C$584), Github!B$584)</f>
        <v>Delete Operation for Two Strings</v>
      </c>
      <c r="C303" s="13">
        <f>Github!F$584</f>
        <v>4749</v>
      </c>
      <c r="D303" s="13">
        <f>Github!G$584</f>
        <v>71</v>
      </c>
      <c r="E303" s="13">
        <f>Github!F$584+Github!G$584</f>
        <v>4820</v>
      </c>
      <c r="F303" s="15">
        <f t="shared" si="1"/>
        <v>66.89</v>
      </c>
      <c r="G303" s="13" t="str">
        <f>ROUND(Github!O$584, 2)&amp;"%"</f>
        <v>59.53%</v>
      </c>
      <c r="H303" s="13" t="str">
        <f>Github!H$584</f>
        <v>Algorithms</v>
      </c>
      <c r="I303" s="16" t="str">
        <f>SUBSTITUTE(Github!L$584, ";", ", ")</f>
        <v>String, Dynamic Programming, </v>
      </c>
      <c r="J303" s="13" t="str">
        <f>Github!E$584</f>
        <v>Medium</v>
      </c>
      <c r="K303" s="13" t="str">
        <f>IF(TRIM(Github!D$584)="TRUE","FALSE","TRUE")</f>
        <v>TRUE</v>
      </c>
      <c r="L303" s="13" t="b">
        <f>Github!M$584</f>
        <v>1</v>
      </c>
      <c r="M303" s="13" t="b">
        <f>Github!N$584</f>
        <v>0</v>
      </c>
      <c r="N303" s="13">
        <f>Github!P$584</f>
        <v>193225</v>
      </c>
      <c r="O303" s="13">
        <f>Github!Q$584</f>
        <v>324596</v>
      </c>
    </row>
    <row r="304">
      <c r="A304" s="13">
        <f>Github!J$539</f>
        <v>538</v>
      </c>
      <c r="B304" s="14" t="str">
        <f>HYPERLINK(CONCAT("http://leetcode.com/problems/",Github!C$539), Github!B$539)</f>
        <v>Convert BST to Greater Tree</v>
      </c>
      <c r="C304" s="13">
        <f>Github!F$539</f>
        <v>4641</v>
      </c>
      <c r="D304" s="13">
        <f>Github!G$539</f>
        <v>167</v>
      </c>
      <c r="E304" s="13">
        <f>Github!F$539+Github!G$539</f>
        <v>4808</v>
      </c>
      <c r="F304" s="15">
        <f t="shared" si="1"/>
        <v>27.79</v>
      </c>
      <c r="G304" s="13" t="str">
        <f>ROUND(Github!O$539, 2)&amp;"%"</f>
        <v>67.51%</v>
      </c>
      <c r="H304" s="13" t="str">
        <f>Github!H$539</f>
        <v>Algorithms</v>
      </c>
      <c r="I304" s="16" t="str">
        <f>SUBSTITUTE(Github!L$539, ";", ", ")</f>
        <v>Tree, Depth-First Search, Binary Search Tree, Binary Tree, </v>
      </c>
      <c r="J304" s="13" t="str">
        <f>Github!E$539</f>
        <v>Medium</v>
      </c>
      <c r="K304" s="13" t="str">
        <f>IF(TRIM(Github!D$539)="TRUE","FALSE","TRUE")</f>
        <v>TRUE</v>
      </c>
      <c r="L304" s="13" t="b">
        <f>Github!M$539</f>
        <v>1</v>
      </c>
      <c r="M304" s="13" t="b">
        <f>Github!N$539</f>
        <v>0</v>
      </c>
      <c r="N304" s="13">
        <f>Github!P$539</f>
        <v>259504</v>
      </c>
      <c r="O304" s="13">
        <f>Github!Q$539</f>
        <v>384394</v>
      </c>
    </row>
    <row r="305">
      <c r="A305" s="13">
        <f>Github!J$969</f>
        <v>968</v>
      </c>
      <c r="B305" s="14" t="str">
        <f>HYPERLINK(CONCAT("http://leetcode.com/problems/",Github!C$969), Github!B$969)</f>
        <v>Binary Tree Cameras</v>
      </c>
      <c r="C305" s="13">
        <f>Github!F$969</f>
        <v>4628</v>
      </c>
      <c r="D305" s="13">
        <f>Github!G$969</f>
        <v>62</v>
      </c>
      <c r="E305" s="13">
        <f>Github!F$969+Github!G$969</f>
        <v>4690</v>
      </c>
      <c r="F305" s="15">
        <f t="shared" si="1"/>
        <v>74.65</v>
      </c>
      <c r="G305" s="13" t="str">
        <f>ROUND(Github!O$969, 2)&amp;"%"</f>
        <v>46.77%</v>
      </c>
      <c r="H305" s="13" t="str">
        <f>Github!H$969</f>
        <v>Algorithms</v>
      </c>
      <c r="I305" s="16" t="str">
        <f>SUBSTITUTE(Github!L$969, ";", ", ")</f>
        <v>Dynamic Programming, Tree, Depth-First Search, Binary Tree, </v>
      </c>
      <c r="J305" s="13" t="str">
        <f>Github!E$969</f>
        <v>Hard</v>
      </c>
      <c r="K305" s="13" t="str">
        <f>IF(TRIM(Github!D$969)="TRUE","FALSE","TRUE")</f>
        <v>TRUE</v>
      </c>
      <c r="L305" s="13" t="b">
        <f>Github!M$969</f>
        <v>1</v>
      </c>
      <c r="M305" s="13" t="b">
        <f>Github!N$969</f>
        <v>0</v>
      </c>
      <c r="N305" s="13">
        <f>Github!P$969</f>
        <v>116244</v>
      </c>
      <c r="O305" s="13">
        <f>Github!Q$969</f>
        <v>248566</v>
      </c>
    </row>
    <row r="306">
      <c r="A306" s="13">
        <f>Github!J$422</f>
        <v>421</v>
      </c>
      <c r="B306" s="14" t="str">
        <f>HYPERLINK(CONCAT("http://leetcode.com/problems/",Github!C$422), Github!B$422)</f>
        <v>Maximum XOR of Two Numbers in an Array</v>
      </c>
      <c r="C306" s="13">
        <f>Github!F$422</f>
        <v>4616</v>
      </c>
      <c r="D306" s="13">
        <f>Github!G$422</f>
        <v>347</v>
      </c>
      <c r="E306" s="13">
        <f>Github!F$422+Github!G$422</f>
        <v>4963</v>
      </c>
      <c r="F306" s="15">
        <f t="shared" si="1"/>
        <v>13.3</v>
      </c>
      <c r="G306" s="13" t="str">
        <f>ROUND(Github!O$422, 2)&amp;"%"</f>
        <v>54.44%</v>
      </c>
      <c r="H306" s="13" t="str">
        <f>Github!H$422</f>
        <v>Algorithms</v>
      </c>
      <c r="I306" s="16" t="str">
        <f>SUBSTITUTE(Github!L$422, ";", ", ")</f>
        <v>Array, Hash Table, Bit Manipulation, Trie, </v>
      </c>
      <c r="J306" s="13" t="str">
        <f>Github!E$422</f>
        <v>Medium</v>
      </c>
      <c r="K306" s="13" t="str">
        <f>IF(TRIM(Github!D$422)="TRUE","FALSE","TRUE")</f>
        <v>TRUE</v>
      </c>
      <c r="L306" s="13" t="b">
        <f>Github!M$422</f>
        <v>1</v>
      </c>
      <c r="M306" s="13" t="b">
        <f>Github!N$422</f>
        <v>0</v>
      </c>
      <c r="N306" s="13">
        <f>Github!P$422</f>
        <v>136276</v>
      </c>
      <c r="O306" s="13">
        <f>Github!Q$422</f>
        <v>250316</v>
      </c>
    </row>
    <row r="307">
      <c r="A307" s="13">
        <f>Github!J$261</f>
        <v>260</v>
      </c>
      <c r="B307" s="14" t="str">
        <f>HYPERLINK(CONCAT("http://leetcode.com/problems/",Github!C$261), Github!B$261)</f>
        <v>Single Number III</v>
      </c>
      <c r="C307" s="13">
        <f>Github!F$261</f>
        <v>4603</v>
      </c>
      <c r="D307" s="13">
        <f>Github!G$261</f>
        <v>204</v>
      </c>
      <c r="E307" s="13">
        <f>Github!F$261+Github!G$261</f>
        <v>4807</v>
      </c>
      <c r="F307" s="15">
        <f t="shared" si="1"/>
        <v>22.56</v>
      </c>
      <c r="G307" s="13" t="str">
        <f>ROUND(Github!O$261, 2)&amp;"%"</f>
        <v>67.53%</v>
      </c>
      <c r="H307" s="13" t="str">
        <f>Github!H$261</f>
        <v>Algorithms</v>
      </c>
      <c r="I307" s="16" t="str">
        <f>SUBSTITUTE(Github!L$261, ";", ", ")</f>
        <v>Array, Bit Manipulation, </v>
      </c>
      <c r="J307" s="13" t="str">
        <f>Github!E$261</f>
        <v>Medium</v>
      </c>
      <c r="K307" s="13" t="str">
        <f>IF(TRIM(Github!D$261)="TRUE","FALSE","TRUE")</f>
        <v>TRUE</v>
      </c>
      <c r="L307" s="13" t="b">
        <f>Github!M$261</f>
        <v>1</v>
      </c>
      <c r="M307" s="13" t="b">
        <f>Github!N$261</f>
        <v>0</v>
      </c>
      <c r="N307" s="13">
        <f>Github!P$261</f>
        <v>282611</v>
      </c>
      <c r="O307" s="13">
        <f>Github!Q$261</f>
        <v>418519</v>
      </c>
    </row>
    <row r="308">
      <c r="A308" s="13">
        <f>Github!J$475</f>
        <v>474</v>
      </c>
      <c r="B308" s="14" t="str">
        <f>HYPERLINK(CONCAT("http://leetcode.com/problems/",Github!C$475), Github!B$475)</f>
        <v>Ones and Zeroes</v>
      </c>
      <c r="C308" s="13">
        <f>Github!F$475</f>
        <v>4580</v>
      </c>
      <c r="D308" s="13">
        <f>Github!G$475</f>
        <v>418</v>
      </c>
      <c r="E308" s="13">
        <f>Github!F$475+Github!G$475</f>
        <v>4998</v>
      </c>
      <c r="F308" s="15">
        <f t="shared" si="1"/>
        <v>10.96</v>
      </c>
      <c r="G308" s="13" t="str">
        <f>ROUND(Github!O$475, 2)&amp;"%"</f>
        <v>46.7%</v>
      </c>
      <c r="H308" s="13" t="str">
        <f>Github!H$475</f>
        <v>Algorithms</v>
      </c>
      <c r="I308" s="16" t="str">
        <f>SUBSTITUTE(Github!L$475, ";", ", ")</f>
        <v>Array, String, Dynamic Programming, </v>
      </c>
      <c r="J308" s="13" t="str">
        <f>Github!E$475</f>
        <v>Medium</v>
      </c>
      <c r="K308" s="13" t="str">
        <f>IF(TRIM(Github!D$475)="TRUE","FALSE","TRUE")</f>
        <v>TRUE</v>
      </c>
      <c r="L308" s="13" t="b">
        <f>Github!M$475</f>
        <v>1</v>
      </c>
      <c r="M308" s="13" t="b">
        <f>Github!N$475</f>
        <v>0</v>
      </c>
      <c r="N308" s="13">
        <f>Github!P$475</f>
        <v>162939</v>
      </c>
      <c r="O308" s="13">
        <f>Github!Q$475</f>
        <v>348875</v>
      </c>
    </row>
    <row r="309">
      <c r="A309" s="13">
        <f>Github!J$232</f>
        <v>231</v>
      </c>
      <c r="B309" s="14" t="str">
        <f>HYPERLINK(CONCAT("http://leetcode.com/problems/",Github!C$232), Github!B$232)</f>
        <v>Power of Two</v>
      </c>
      <c r="C309" s="13">
        <f>Github!F$232</f>
        <v>4605</v>
      </c>
      <c r="D309" s="13">
        <f>Github!G$232</f>
        <v>340</v>
      </c>
      <c r="E309" s="13">
        <f>Github!F$232+Github!G$232</f>
        <v>4945</v>
      </c>
      <c r="F309" s="15">
        <f t="shared" si="1"/>
        <v>13.54</v>
      </c>
      <c r="G309" s="13" t="str">
        <f>ROUND(Github!O$232, 2)&amp;"%"</f>
        <v>45.8%</v>
      </c>
      <c r="H309" s="13" t="str">
        <f>Github!H$232</f>
        <v>Algorithms</v>
      </c>
      <c r="I309" s="16" t="str">
        <f>SUBSTITUTE(Github!L$232, ";", ", ")</f>
        <v>Math, Bit Manipulation, Recursion, </v>
      </c>
      <c r="J309" s="13" t="str">
        <f>Github!E$232</f>
        <v>Easy</v>
      </c>
      <c r="K309" s="13" t="str">
        <f>IF(TRIM(Github!D$232)="TRUE","FALSE","TRUE")</f>
        <v>TRUE</v>
      </c>
      <c r="L309" s="13" t="b">
        <f>Github!M$232</f>
        <v>1</v>
      </c>
      <c r="M309" s="13" t="b">
        <f>Github!N$232</f>
        <v>0</v>
      </c>
      <c r="N309" s="13">
        <f>Github!P$232</f>
        <v>803269</v>
      </c>
      <c r="O309" s="13">
        <f>Github!Q$232</f>
        <v>1753803</v>
      </c>
    </row>
    <row r="310">
      <c r="A310" s="13">
        <f>Github!J$414</f>
        <v>413</v>
      </c>
      <c r="B310" s="14" t="str">
        <f>HYPERLINK(CONCAT("http://leetcode.com/problems/",Github!C$414), Github!B$414)</f>
        <v>Arithmetic Slices</v>
      </c>
      <c r="C310" s="13">
        <f>Github!F$414</f>
        <v>4543</v>
      </c>
      <c r="D310" s="13">
        <f>Github!G$414</f>
        <v>270</v>
      </c>
      <c r="E310" s="13">
        <f>Github!F$414+Github!G$414</f>
        <v>4813</v>
      </c>
      <c r="F310" s="15">
        <f t="shared" si="1"/>
        <v>16.83</v>
      </c>
      <c r="G310" s="13" t="str">
        <f>ROUND(Github!O$414, 2)&amp;"%"</f>
        <v>65.16%</v>
      </c>
      <c r="H310" s="13" t="str">
        <f>Github!H$414</f>
        <v>Algorithms</v>
      </c>
      <c r="I310" s="16" t="str">
        <f>SUBSTITUTE(Github!L$414, ";", ", ")</f>
        <v>Array, Dynamic Programming, </v>
      </c>
      <c r="J310" s="13" t="str">
        <f>Github!E$414</f>
        <v>Medium</v>
      </c>
      <c r="K310" s="13" t="str">
        <f>IF(TRIM(Github!D$414)="TRUE","FALSE","TRUE")</f>
        <v>TRUE</v>
      </c>
      <c r="L310" s="13" t="b">
        <f>Github!M$414</f>
        <v>1</v>
      </c>
      <c r="M310" s="13" t="b">
        <f>Github!N$414</f>
        <v>0</v>
      </c>
      <c r="N310" s="13">
        <f>Github!P$414</f>
        <v>262458</v>
      </c>
      <c r="O310" s="13">
        <f>Github!Q$414</f>
        <v>402816</v>
      </c>
    </row>
    <row r="311">
      <c r="A311" s="13">
        <f>Github!J$377</f>
        <v>376</v>
      </c>
      <c r="B311" s="14" t="str">
        <f>HYPERLINK(CONCAT("http://leetcode.com/problems/",Github!C$377), Github!B$377)</f>
        <v>Wiggle Subsequence</v>
      </c>
      <c r="C311" s="13">
        <f>Github!F$377</f>
        <v>4494</v>
      </c>
      <c r="D311" s="13">
        <f>Github!G$377</f>
        <v>145</v>
      </c>
      <c r="E311" s="13">
        <f>Github!F$377+Github!G$377</f>
        <v>4639</v>
      </c>
      <c r="F311" s="15">
        <f t="shared" si="1"/>
        <v>30.99</v>
      </c>
      <c r="G311" s="13" t="str">
        <f>ROUND(Github!O$377, 2)&amp;"%"</f>
        <v>48.27%</v>
      </c>
      <c r="H311" s="13" t="str">
        <f>Github!H$377</f>
        <v>Algorithms</v>
      </c>
      <c r="I311" s="16" t="str">
        <f>SUBSTITUTE(Github!L$377, ";", ", ")</f>
        <v>Array, Dynamic Programming, Greedy, </v>
      </c>
      <c r="J311" s="13" t="str">
        <f>Github!E$377</f>
        <v>Medium</v>
      </c>
      <c r="K311" s="13" t="str">
        <f>IF(TRIM(Github!D$377)="TRUE","FALSE","TRUE")</f>
        <v>TRUE</v>
      </c>
      <c r="L311" s="13" t="b">
        <f>Github!M$377</f>
        <v>1</v>
      </c>
      <c r="M311" s="13" t="b">
        <f>Github!N$377</f>
        <v>0</v>
      </c>
      <c r="N311" s="13">
        <f>Github!P$377</f>
        <v>211986</v>
      </c>
      <c r="O311" s="13">
        <f>Github!Q$377</f>
        <v>439143</v>
      </c>
    </row>
    <row r="312">
      <c r="A312" s="13">
        <f>Github!J$60</f>
        <v>59</v>
      </c>
      <c r="B312" s="14" t="str">
        <f>HYPERLINK(CONCAT("http://leetcode.com/problems/",Github!C$60), Github!B$60)</f>
        <v>Spiral Matrix II</v>
      </c>
      <c r="C312" s="13">
        <f>Github!F$60</f>
        <v>4486</v>
      </c>
      <c r="D312" s="13">
        <f>Github!G$60</f>
        <v>201</v>
      </c>
      <c r="E312" s="13">
        <f>Github!F$60+Github!G$60</f>
        <v>4687</v>
      </c>
      <c r="F312" s="15">
        <f t="shared" si="1"/>
        <v>22.32</v>
      </c>
      <c r="G312" s="13" t="str">
        <f>ROUND(Github!O$60, 2)&amp;"%"</f>
        <v>66.89%</v>
      </c>
      <c r="H312" s="13" t="str">
        <f>Github!H$60</f>
        <v>Algorithms</v>
      </c>
      <c r="I312" s="16" t="str">
        <f>SUBSTITUTE(Github!L$60, ";", ", ")</f>
        <v>Array, Matrix, Simulation, </v>
      </c>
      <c r="J312" s="13" t="str">
        <f>Github!E$60</f>
        <v>Medium</v>
      </c>
      <c r="K312" s="13" t="str">
        <f>IF(TRIM(Github!D$60)="TRUE","FALSE","TRUE")</f>
        <v>TRUE</v>
      </c>
      <c r="L312" s="13" t="b">
        <f>Github!M$60</f>
        <v>1</v>
      </c>
      <c r="M312" s="13" t="b">
        <f>Github!N$60</f>
        <v>0</v>
      </c>
      <c r="N312" s="13">
        <f>Github!P$60</f>
        <v>413537</v>
      </c>
      <c r="O312" s="13">
        <f>Github!Q$60</f>
        <v>618256</v>
      </c>
    </row>
    <row r="313">
      <c r="A313" s="13">
        <f>Github!J$736</f>
        <v>735</v>
      </c>
      <c r="B313" s="14" t="str">
        <f>HYPERLINK(CONCAT("http://leetcode.com/problems/",Github!C$736), Github!B$736)</f>
        <v>Asteroid Collision</v>
      </c>
      <c r="C313" s="13">
        <f>Github!F$736</f>
        <v>4497</v>
      </c>
      <c r="D313" s="13">
        <f>Github!G$736</f>
        <v>390</v>
      </c>
      <c r="E313" s="13">
        <f>Github!F$736+Github!G$736</f>
        <v>4887</v>
      </c>
      <c r="F313" s="15">
        <f t="shared" si="1"/>
        <v>11.53</v>
      </c>
      <c r="G313" s="13" t="str">
        <f>ROUND(Github!O$736, 2)&amp;"%"</f>
        <v>44.39%</v>
      </c>
      <c r="H313" s="13" t="str">
        <f>Github!H$736</f>
        <v>Algorithms</v>
      </c>
      <c r="I313" s="16" t="str">
        <f>SUBSTITUTE(Github!L$736, ";", ", ")</f>
        <v>Array, Stack, </v>
      </c>
      <c r="J313" s="13" t="str">
        <f>Github!E$736</f>
        <v>Medium</v>
      </c>
      <c r="K313" s="13" t="str">
        <f>IF(TRIM(Github!D$736)="TRUE","FALSE","TRUE")</f>
        <v>TRUE</v>
      </c>
      <c r="L313" s="13" t="b">
        <f>Github!M$736</f>
        <v>1</v>
      </c>
      <c r="M313" s="13" t="b">
        <f>Github!N$736</f>
        <v>0</v>
      </c>
      <c r="N313" s="13">
        <f>Github!P$736</f>
        <v>248637</v>
      </c>
      <c r="O313" s="13">
        <f>Github!Q$736</f>
        <v>560176</v>
      </c>
    </row>
    <row r="314">
      <c r="A314" s="13">
        <f>Github!J$674</f>
        <v>673</v>
      </c>
      <c r="B314" s="14" t="str">
        <f>HYPERLINK(CONCAT("http://leetcode.com/problems/",Github!C$674), Github!B$674)</f>
        <v>Number of Longest Increasing Subsequence</v>
      </c>
      <c r="C314" s="13">
        <f>Github!F$674</f>
        <v>4464</v>
      </c>
      <c r="D314" s="13">
        <f>Github!G$674</f>
        <v>198</v>
      </c>
      <c r="E314" s="13">
        <f>Github!F$674+Github!G$674</f>
        <v>4662</v>
      </c>
      <c r="F314" s="15">
        <f t="shared" si="1"/>
        <v>22.55</v>
      </c>
      <c r="G314" s="13" t="str">
        <f>ROUND(Github!O$674, 2)&amp;"%"</f>
        <v>42.46%</v>
      </c>
      <c r="H314" s="13" t="str">
        <f>Github!H$674</f>
        <v>Algorithms</v>
      </c>
      <c r="I314" s="16" t="str">
        <f>SUBSTITUTE(Github!L$674, ";", ", ")</f>
        <v>Array, Dynamic Programming, Binary Indexed Tree, Segment Tree, </v>
      </c>
      <c r="J314" s="13" t="str">
        <f>Github!E$674</f>
        <v>Medium</v>
      </c>
      <c r="K314" s="13" t="str">
        <f>IF(TRIM(Github!D$674)="TRUE","FALSE","TRUE")</f>
        <v>TRUE</v>
      </c>
      <c r="L314" s="13" t="b">
        <f>Github!M$674</f>
        <v>0</v>
      </c>
      <c r="M314" s="13" t="b">
        <f>Github!N$674</f>
        <v>0</v>
      </c>
      <c r="N314" s="13">
        <f>Github!P$674</f>
        <v>135329</v>
      </c>
      <c r="O314" s="13">
        <f>Github!Q$674</f>
        <v>318715</v>
      </c>
    </row>
    <row r="315">
      <c r="A315" s="13">
        <f>Github!J$638</f>
        <v>637</v>
      </c>
      <c r="B315" s="14" t="str">
        <f>HYPERLINK(CONCAT("http://leetcode.com/problems/",Github!C$638), Github!B$638)</f>
        <v>Average of Levels in Binary Tree</v>
      </c>
      <c r="C315" s="13">
        <f>Github!F$638</f>
        <v>4453</v>
      </c>
      <c r="D315" s="13">
        <f>Github!G$638</f>
        <v>277</v>
      </c>
      <c r="E315" s="13">
        <f>Github!F$638+Github!G$638</f>
        <v>4730</v>
      </c>
      <c r="F315" s="15">
        <f t="shared" si="1"/>
        <v>16.08</v>
      </c>
      <c r="G315" s="13" t="str">
        <f>ROUND(Github!O$638, 2)&amp;"%"</f>
        <v>71.71%</v>
      </c>
      <c r="H315" s="13" t="str">
        <f>Github!H$638</f>
        <v>Algorithms</v>
      </c>
      <c r="I315" s="16" t="str">
        <f>SUBSTITUTE(Github!L$638, ";", ", ")</f>
        <v>Tree, Depth-First Search, Breadth-First Search, Binary Tree, </v>
      </c>
      <c r="J315" s="13" t="str">
        <f>Github!E$638</f>
        <v>Easy</v>
      </c>
      <c r="K315" s="13" t="str">
        <f>IF(TRIM(Github!D$638)="TRUE","FALSE","TRUE")</f>
        <v>TRUE</v>
      </c>
      <c r="L315" s="13" t="b">
        <f>Github!M$638</f>
        <v>1</v>
      </c>
      <c r="M315" s="13" t="b">
        <f>Github!N$638</f>
        <v>0</v>
      </c>
      <c r="N315" s="13">
        <f>Github!P$638</f>
        <v>374162</v>
      </c>
      <c r="O315" s="13">
        <f>Github!Q$638</f>
        <v>521784</v>
      </c>
    </row>
    <row r="316">
      <c r="A316" s="13">
        <f>Github!J$217</f>
        <v>216</v>
      </c>
      <c r="B316" s="14" t="str">
        <f>HYPERLINK(CONCAT("http://leetcode.com/problems/",Github!C$217), Github!B$217)</f>
        <v>Combination Sum III</v>
      </c>
      <c r="C316" s="13">
        <f>Github!F$217</f>
        <v>4517</v>
      </c>
      <c r="D316" s="13">
        <f>Github!G$217</f>
        <v>93</v>
      </c>
      <c r="E316" s="13">
        <f>Github!F$217+Github!G$217</f>
        <v>4610</v>
      </c>
      <c r="F316" s="15">
        <f t="shared" si="1"/>
        <v>48.57</v>
      </c>
      <c r="G316" s="13" t="str">
        <f>ROUND(Github!O$217, 2)&amp;"%"</f>
        <v>67.3%</v>
      </c>
      <c r="H316" s="13" t="str">
        <f>Github!H$217</f>
        <v>Algorithms</v>
      </c>
      <c r="I316" s="16" t="str">
        <f>SUBSTITUTE(Github!L$217, ";", ", ")</f>
        <v>Array, Backtracking, </v>
      </c>
      <c r="J316" s="13" t="str">
        <f>Github!E$217</f>
        <v>Medium</v>
      </c>
      <c r="K316" s="13" t="str">
        <f>IF(TRIM(Github!D$217)="TRUE","FALSE","TRUE")</f>
        <v>TRUE</v>
      </c>
      <c r="L316" s="13" t="b">
        <f>Github!M$217</f>
        <v>1</v>
      </c>
      <c r="M316" s="13" t="b">
        <f>Github!N$217</f>
        <v>0</v>
      </c>
      <c r="N316" s="13">
        <f>Github!P$217</f>
        <v>377748</v>
      </c>
      <c r="O316" s="13">
        <f>Github!Q$217</f>
        <v>561316</v>
      </c>
    </row>
    <row r="317">
      <c r="A317" s="13">
        <f>Github!J$333</f>
        <v>332</v>
      </c>
      <c r="B317" s="14" t="str">
        <f>HYPERLINK(CONCAT("http://leetcode.com/problems/",Github!C$333), Github!B$333)</f>
        <v>Reconstruct Itinerary</v>
      </c>
      <c r="C317" s="13">
        <f>Github!F$333</f>
        <v>4443</v>
      </c>
      <c r="D317" s="13">
        <f>Github!G$333</f>
        <v>1636</v>
      </c>
      <c r="E317" s="13">
        <f>Github!F$333+Github!G$333</f>
        <v>6079</v>
      </c>
      <c r="F317" s="15">
        <f t="shared" si="1"/>
        <v>2.72</v>
      </c>
      <c r="G317" s="13" t="str">
        <f>ROUND(Github!O$333, 2)&amp;"%"</f>
        <v>41.08%</v>
      </c>
      <c r="H317" s="13" t="str">
        <f>Github!H$333</f>
        <v>Algorithms</v>
      </c>
      <c r="I317" s="16" t="str">
        <f>SUBSTITUTE(Github!L$333, ";", ", ")</f>
        <v>Depth-First Search, Graph, Eulerian Circuit, </v>
      </c>
      <c r="J317" s="13" t="str">
        <f>Github!E$333</f>
        <v>Hard</v>
      </c>
      <c r="K317" s="13" t="str">
        <f>IF(TRIM(Github!D$333)="TRUE","FALSE","TRUE")</f>
        <v>TRUE</v>
      </c>
      <c r="L317" s="13" t="b">
        <f>Github!M$333</f>
        <v>1</v>
      </c>
      <c r="M317" s="13" t="b">
        <f>Github!N$333</f>
        <v>0</v>
      </c>
      <c r="N317" s="13">
        <f>Github!P$333</f>
        <v>317216</v>
      </c>
      <c r="O317" s="13">
        <f>Github!Q$333</f>
        <v>772236</v>
      </c>
    </row>
    <row r="318">
      <c r="A318" s="13">
        <f>Github!J$558</f>
        <v>557</v>
      </c>
      <c r="B318" s="14" t="str">
        <f>HYPERLINK(CONCAT("http://leetcode.com/problems/",Github!C$558), Github!B$558)</f>
        <v>Reverse Words in a String III</v>
      </c>
      <c r="C318" s="13">
        <f>Github!F$558</f>
        <v>4448</v>
      </c>
      <c r="D318" s="13">
        <f>Github!G$558</f>
        <v>217</v>
      </c>
      <c r="E318" s="13">
        <f>Github!F$558+Github!G$558</f>
        <v>4665</v>
      </c>
      <c r="F318" s="15">
        <f t="shared" si="1"/>
        <v>20.5</v>
      </c>
      <c r="G318" s="13" t="str">
        <f>ROUND(Github!O$558, 2)&amp;"%"</f>
        <v>81.7%</v>
      </c>
      <c r="H318" s="13" t="str">
        <f>Github!H$558</f>
        <v>Algorithms</v>
      </c>
      <c r="I318" s="16" t="str">
        <f>SUBSTITUTE(Github!L$558, ";", ", ")</f>
        <v>Two Pointers, String, </v>
      </c>
      <c r="J318" s="13" t="str">
        <f>Github!E$558</f>
        <v>Easy</v>
      </c>
      <c r="K318" s="13" t="str">
        <f>IF(TRIM(Github!D$558)="TRUE","FALSE","TRUE")</f>
        <v>TRUE</v>
      </c>
      <c r="L318" s="13" t="b">
        <f>Github!M$558</f>
        <v>1</v>
      </c>
      <c r="M318" s="13" t="b">
        <f>Github!N$558</f>
        <v>0</v>
      </c>
      <c r="N318" s="13">
        <f>Github!P$558</f>
        <v>633599</v>
      </c>
      <c r="O318" s="13">
        <f>Github!Q$558</f>
        <v>775537</v>
      </c>
    </row>
    <row r="319">
      <c r="A319" s="13">
        <f>Github!J$1449</f>
        <v>1448</v>
      </c>
      <c r="B319" s="14" t="str">
        <f>HYPERLINK(CONCAT("http://leetcode.com/problems/",Github!C$1449), Github!B$1449)</f>
        <v>Count Good Nodes in Binary Tree</v>
      </c>
      <c r="C319" s="13">
        <f>Github!F$1449</f>
        <v>4450</v>
      </c>
      <c r="D319" s="13">
        <f>Github!G$1449</f>
        <v>119</v>
      </c>
      <c r="E319" s="13">
        <f>Github!F$1449+Github!G$1449</f>
        <v>4569</v>
      </c>
      <c r="F319" s="15">
        <f t="shared" si="1"/>
        <v>37.39</v>
      </c>
      <c r="G319" s="13" t="str">
        <f>ROUND(Github!O$1449, 2)&amp;"%"</f>
        <v>74.49%</v>
      </c>
      <c r="H319" s="13" t="str">
        <f>Github!H$1449</f>
        <v>Algorithms</v>
      </c>
      <c r="I319" s="16" t="str">
        <f>SUBSTITUTE(Github!L$1449, ";", ", ")</f>
        <v>Tree, Depth-First Search, Breadth-First Search, Binary Tree, </v>
      </c>
      <c r="J319" s="13" t="str">
        <f>Github!E$1449</f>
        <v>Medium</v>
      </c>
      <c r="K319" s="13" t="str">
        <f>IF(TRIM(Github!D$1449)="TRUE","FALSE","TRUE")</f>
        <v>TRUE</v>
      </c>
      <c r="L319" s="13" t="b">
        <f>Github!M$1449</f>
        <v>1</v>
      </c>
      <c r="M319" s="13" t="b">
        <f>Github!N$1449</f>
        <v>1</v>
      </c>
      <c r="N319" s="13">
        <f>Github!P$1449</f>
        <v>295244</v>
      </c>
      <c r="O319" s="13">
        <f>Github!Q$1449</f>
        <v>396362</v>
      </c>
    </row>
    <row r="320">
      <c r="A320" s="13">
        <f>Github!J$242</f>
        <v>241</v>
      </c>
      <c r="B320" s="14" t="str">
        <f>HYPERLINK(CONCAT("http://leetcode.com/problems/",Github!C$242), Github!B$242)</f>
        <v>Different Ways to Add Parentheses</v>
      </c>
      <c r="C320" s="13">
        <f>Github!F$242</f>
        <v>4450</v>
      </c>
      <c r="D320" s="13">
        <f>Github!G$242</f>
        <v>224</v>
      </c>
      <c r="E320" s="13">
        <f>Github!F$242+Github!G$242</f>
        <v>4674</v>
      </c>
      <c r="F320" s="15">
        <f t="shared" si="1"/>
        <v>19.87</v>
      </c>
      <c r="G320" s="13" t="str">
        <f>ROUND(Github!O$242, 2)&amp;"%"</f>
        <v>63.49%</v>
      </c>
      <c r="H320" s="13" t="str">
        <f>Github!H$242</f>
        <v>Algorithms</v>
      </c>
      <c r="I320" s="16" t="str">
        <f>SUBSTITUTE(Github!L$242, ";", ", ")</f>
        <v>Math, String, Dynamic Programming, Recursion, Memoization, </v>
      </c>
      <c r="J320" s="13" t="str">
        <f>Github!E$242</f>
        <v>Medium</v>
      </c>
      <c r="K320" s="13" t="str">
        <f>IF(TRIM(Github!D$242)="TRUE","FALSE","TRUE")</f>
        <v>TRUE</v>
      </c>
      <c r="L320" s="13" t="b">
        <f>Github!M$242</f>
        <v>0</v>
      </c>
      <c r="M320" s="13" t="b">
        <f>Github!N$242</f>
        <v>0</v>
      </c>
      <c r="N320" s="13">
        <f>Github!P$242</f>
        <v>185898</v>
      </c>
      <c r="O320" s="13">
        <f>Github!Q$242</f>
        <v>292783</v>
      </c>
    </row>
    <row r="321">
      <c r="A321" s="13">
        <f>Github!J$655</f>
        <v>654</v>
      </c>
      <c r="B321" s="14" t="str">
        <f>HYPERLINK(CONCAT("http://leetcode.com/problems/",Github!C$655), Github!B$655)</f>
        <v>Maximum Binary Tree</v>
      </c>
      <c r="C321" s="13">
        <f>Github!F$655</f>
        <v>4398</v>
      </c>
      <c r="D321" s="13">
        <f>Github!G$655</f>
        <v>311</v>
      </c>
      <c r="E321" s="13">
        <f>Github!F$655+Github!G$655</f>
        <v>4709</v>
      </c>
      <c r="F321" s="15">
        <f t="shared" si="1"/>
        <v>14.14</v>
      </c>
      <c r="G321" s="13" t="str">
        <f>ROUND(Github!O$655, 2)&amp;"%"</f>
        <v>84.58%</v>
      </c>
      <c r="H321" s="13" t="str">
        <f>Github!H$655</f>
        <v>Algorithms</v>
      </c>
      <c r="I321" s="16" t="str">
        <f>SUBSTITUTE(Github!L$655, ";", ", ")</f>
        <v>Array, Divide and Conquer, Stack, Tree, Monotonic Stack, Binary Tree, </v>
      </c>
      <c r="J321" s="13" t="str">
        <f>Github!E$655</f>
        <v>Medium</v>
      </c>
      <c r="K321" s="13" t="str">
        <f>IF(TRIM(Github!D$655)="TRUE","FALSE","TRUE")</f>
        <v>TRUE</v>
      </c>
      <c r="L321" s="13" t="b">
        <f>Github!M$655</f>
        <v>1</v>
      </c>
      <c r="M321" s="13" t="b">
        <f>Github!N$655</f>
        <v>0</v>
      </c>
      <c r="N321" s="13">
        <f>Github!P$655</f>
        <v>243111</v>
      </c>
      <c r="O321" s="13">
        <f>Github!Q$655</f>
        <v>287420</v>
      </c>
    </row>
    <row r="322">
      <c r="A322" s="13">
        <f>Github!J$81</f>
        <v>80</v>
      </c>
      <c r="B322" s="14" t="str">
        <f>HYPERLINK(CONCAT("http://leetcode.com/problems/",Github!C$81), Github!B$81)</f>
        <v>Remove Duplicates from Sorted Array II</v>
      </c>
      <c r="C322" s="13">
        <f>Github!F$81</f>
        <v>4393</v>
      </c>
      <c r="D322" s="13">
        <f>Github!G$81</f>
        <v>966</v>
      </c>
      <c r="E322" s="13">
        <f>Github!F$81+Github!G$81</f>
        <v>5359</v>
      </c>
      <c r="F322" s="15">
        <f t="shared" si="1"/>
        <v>4.55</v>
      </c>
      <c r="G322" s="13" t="str">
        <f>ROUND(Github!O$81, 2)&amp;"%"</f>
        <v>51.87%</v>
      </c>
      <c r="H322" s="13" t="str">
        <f>Github!H$81</f>
        <v>Algorithms</v>
      </c>
      <c r="I322" s="16" t="str">
        <f>SUBSTITUTE(Github!L$81, ";", ", ")</f>
        <v>Array, Two Pointers, </v>
      </c>
      <c r="J322" s="13" t="str">
        <f>Github!E$81</f>
        <v>Medium</v>
      </c>
      <c r="K322" s="13" t="str">
        <f>IF(TRIM(Github!D$81)="TRUE","FALSE","TRUE")</f>
        <v>TRUE</v>
      </c>
      <c r="L322" s="13" t="b">
        <f>Github!M$81</f>
        <v>1</v>
      </c>
      <c r="M322" s="13" t="b">
        <f>Github!N$81</f>
        <v>0</v>
      </c>
      <c r="N322" s="13">
        <f>Github!P$81</f>
        <v>479665</v>
      </c>
      <c r="O322" s="13">
        <f>Github!Q$81</f>
        <v>924660</v>
      </c>
    </row>
    <row r="323">
      <c r="A323" s="13">
        <f>Github!J$701</f>
        <v>700</v>
      </c>
      <c r="B323" s="14" t="str">
        <f>HYPERLINK(CONCAT("http://leetcode.com/problems/",Github!C$701), Github!B$701)</f>
        <v>Search in a Binary Search Tree</v>
      </c>
      <c r="C323" s="13">
        <f>Github!F$701</f>
        <v>4412</v>
      </c>
      <c r="D323" s="13">
        <f>Github!G$701</f>
        <v>163</v>
      </c>
      <c r="E323" s="13">
        <f>Github!F$701+Github!G$701</f>
        <v>4575</v>
      </c>
      <c r="F323" s="15">
        <f t="shared" si="1"/>
        <v>27.07</v>
      </c>
      <c r="G323" s="13" t="str">
        <f>ROUND(Github!O$701, 2)&amp;"%"</f>
        <v>77.29%</v>
      </c>
      <c r="H323" s="13" t="str">
        <f>Github!H$701</f>
        <v>Algorithms</v>
      </c>
      <c r="I323" s="16" t="str">
        <f>SUBSTITUTE(Github!L$701, ";", ", ")</f>
        <v>Tree, Binary Search Tree, Binary Tree, </v>
      </c>
      <c r="J323" s="13" t="str">
        <f>Github!E$701</f>
        <v>Easy</v>
      </c>
      <c r="K323" s="13" t="str">
        <f>IF(TRIM(Github!D$701)="TRUE","FALSE","TRUE")</f>
        <v>TRUE</v>
      </c>
      <c r="L323" s="13" t="b">
        <f>Github!M$701</f>
        <v>1</v>
      </c>
      <c r="M323" s="13" t="b">
        <f>Github!N$701</f>
        <v>0</v>
      </c>
      <c r="N323" s="13">
        <f>Github!P$701</f>
        <v>592333</v>
      </c>
      <c r="O323" s="13">
        <f>Github!Q$701</f>
        <v>766393</v>
      </c>
    </row>
    <row r="324">
      <c r="A324" s="13">
        <f>Github!J$948</f>
        <v>947</v>
      </c>
      <c r="B324" s="14" t="str">
        <f>HYPERLINK(CONCAT("http://leetcode.com/problems/",Github!C$948), Github!B$948)</f>
        <v>Most Stones Removed with Same Row or Column</v>
      </c>
      <c r="C324" s="13">
        <f>Github!F$948</f>
        <v>4382</v>
      </c>
      <c r="D324" s="13">
        <f>Github!G$948</f>
        <v>598</v>
      </c>
      <c r="E324" s="13">
        <f>Github!F$948+Github!G$948</f>
        <v>4980</v>
      </c>
      <c r="F324" s="15">
        <f t="shared" si="1"/>
        <v>7.33</v>
      </c>
      <c r="G324" s="13" t="str">
        <f>ROUND(Github!O$948, 2)&amp;"%"</f>
        <v>58.85%</v>
      </c>
      <c r="H324" s="13" t="str">
        <f>Github!H$948</f>
        <v>Algorithms</v>
      </c>
      <c r="I324" s="16" t="str">
        <f>SUBSTITUTE(Github!L$948, ";", ", ")</f>
        <v>Depth-First Search, Union Find, Graph, </v>
      </c>
      <c r="J324" s="13" t="str">
        <f>Github!E$948</f>
        <v>Medium</v>
      </c>
      <c r="K324" s="13" t="str">
        <f>IF(TRIM(Github!D$948)="TRUE","FALSE","TRUE")</f>
        <v>TRUE</v>
      </c>
      <c r="L324" s="13" t="b">
        <f>Github!M$948</f>
        <v>1</v>
      </c>
      <c r="M324" s="13" t="b">
        <f>Github!N$948</f>
        <v>0</v>
      </c>
      <c r="N324" s="13">
        <f>Github!P$948</f>
        <v>165835</v>
      </c>
      <c r="O324" s="13">
        <f>Github!Q$948</f>
        <v>281789</v>
      </c>
    </row>
    <row r="325">
      <c r="A325" s="13">
        <f>Github!J$702</f>
        <v>701</v>
      </c>
      <c r="B325" s="14" t="str">
        <f>HYPERLINK(CONCAT("http://leetcode.com/problems/",Github!C$702), Github!B$702)</f>
        <v>Insert into a Binary Search Tree</v>
      </c>
      <c r="C325" s="13">
        <f>Github!F$702</f>
        <v>4379</v>
      </c>
      <c r="D325" s="13">
        <f>Github!G$702</f>
        <v>156</v>
      </c>
      <c r="E325" s="13">
        <f>Github!F$702+Github!G$702</f>
        <v>4535</v>
      </c>
      <c r="F325" s="15">
        <f t="shared" si="1"/>
        <v>28.07</v>
      </c>
      <c r="G325" s="13" t="str">
        <f>ROUND(Github!O$702, 2)&amp;"%"</f>
        <v>74.49%</v>
      </c>
      <c r="H325" s="13" t="str">
        <f>Github!H$702</f>
        <v>Algorithms</v>
      </c>
      <c r="I325" s="16" t="str">
        <f>SUBSTITUTE(Github!L$702, ";", ", ")</f>
        <v>Tree, Binary Search Tree, Binary Tree, </v>
      </c>
      <c r="J325" s="13" t="str">
        <f>Github!E$702</f>
        <v>Medium</v>
      </c>
      <c r="K325" s="13" t="str">
        <f>IF(TRIM(Github!D$702)="TRUE","FALSE","TRUE")</f>
        <v>TRUE</v>
      </c>
      <c r="L325" s="13" t="b">
        <f>Github!M$702</f>
        <v>1</v>
      </c>
      <c r="M325" s="13" t="b">
        <f>Github!N$702</f>
        <v>0</v>
      </c>
      <c r="N325" s="13">
        <f>Github!P$702</f>
        <v>376226</v>
      </c>
      <c r="O325" s="13">
        <f>Github!Q$702</f>
        <v>505048</v>
      </c>
    </row>
    <row r="326">
      <c r="A326" s="13">
        <f>Github!J$431</f>
        <v>430</v>
      </c>
      <c r="B326" s="14" t="str">
        <f>HYPERLINK(CONCAT("http://leetcode.com/problems/",Github!C$431), Github!B$431)</f>
        <v>Flatten a Multilevel Doubly Linked List</v>
      </c>
      <c r="C326" s="13">
        <f>Github!F$431</f>
        <v>4345</v>
      </c>
      <c r="D326" s="13">
        <f>Github!G$431</f>
        <v>289</v>
      </c>
      <c r="E326" s="13">
        <f>Github!F$431+Github!G$431</f>
        <v>4634</v>
      </c>
      <c r="F326" s="15">
        <f t="shared" si="1"/>
        <v>15.03</v>
      </c>
      <c r="G326" s="13" t="str">
        <f>ROUND(Github!O$431, 2)&amp;"%"</f>
        <v>59.59%</v>
      </c>
      <c r="H326" s="13" t="str">
        <f>Github!H$431</f>
        <v>Algorithms</v>
      </c>
      <c r="I326" s="16" t="str">
        <f>SUBSTITUTE(Github!L$431, ";", ", ")</f>
        <v>Linked List, Depth-First Search, Doubly-Linked List, </v>
      </c>
      <c r="J326" s="13" t="str">
        <f>Github!E$431</f>
        <v>Medium</v>
      </c>
      <c r="K326" s="13" t="str">
        <f>IF(TRIM(Github!D$431)="TRUE","FALSE","TRUE")</f>
        <v>TRUE</v>
      </c>
      <c r="L326" s="13" t="b">
        <f>Github!M$431</f>
        <v>1</v>
      </c>
      <c r="M326" s="13" t="b">
        <f>Github!N$431</f>
        <v>0</v>
      </c>
      <c r="N326" s="13">
        <f>Github!P$431</f>
        <v>275896</v>
      </c>
      <c r="O326" s="13">
        <f>Github!Q$431</f>
        <v>462996</v>
      </c>
    </row>
    <row r="327">
      <c r="A327" s="13">
        <f>Github!J$291</f>
        <v>290</v>
      </c>
      <c r="B327" s="14" t="str">
        <f>HYPERLINK(CONCAT("http://leetcode.com/problems/",Github!C$291), Github!B$291)</f>
        <v>Word Pattern</v>
      </c>
      <c r="C327" s="13">
        <f>Github!F$291</f>
        <v>5596</v>
      </c>
      <c r="D327" s="13">
        <f>Github!G$291</f>
        <v>646</v>
      </c>
      <c r="E327" s="13">
        <f>Github!F$291+Github!G$291</f>
        <v>6242</v>
      </c>
      <c r="F327" s="15">
        <f t="shared" si="1"/>
        <v>8.66</v>
      </c>
      <c r="G327" s="13" t="str">
        <f>ROUND(Github!O$291, 2)&amp;"%"</f>
        <v>41.55%</v>
      </c>
      <c r="H327" s="13" t="str">
        <f>Github!H$291</f>
        <v>Algorithms</v>
      </c>
      <c r="I327" s="16" t="str">
        <f>SUBSTITUTE(Github!L$291, ";", ", ")</f>
        <v>Hash Table, String, </v>
      </c>
      <c r="J327" s="13" t="str">
        <f>Github!E$291</f>
        <v>Easy</v>
      </c>
      <c r="K327" s="13" t="str">
        <f>IF(TRIM(Github!D$291)="TRUE","FALSE","TRUE")</f>
        <v>TRUE</v>
      </c>
      <c r="L327" s="13" t="b">
        <f>Github!M$291</f>
        <v>1</v>
      </c>
      <c r="M327" s="13" t="b">
        <f>Github!N$291</f>
        <v>0</v>
      </c>
      <c r="N327" s="13">
        <f>Github!P$291</f>
        <v>477153</v>
      </c>
      <c r="O327" s="13">
        <f>Github!Q$291</f>
        <v>1148370</v>
      </c>
    </row>
    <row r="328">
      <c r="A328" s="13">
        <f>Github!J$980</f>
        <v>979</v>
      </c>
      <c r="B328" s="14" t="str">
        <f>HYPERLINK(CONCAT("http://leetcode.com/problems/",Github!C$980), Github!B$980)</f>
        <v>Distribute Coins in Binary Tree</v>
      </c>
      <c r="C328" s="13">
        <f>Github!F$980</f>
        <v>4369</v>
      </c>
      <c r="D328" s="13">
        <f>Github!G$980</f>
        <v>144</v>
      </c>
      <c r="E328" s="13">
        <f>Github!F$980+Github!G$980</f>
        <v>4513</v>
      </c>
      <c r="F328" s="15">
        <f t="shared" si="1"/>
        <v>30.34</v>
      </c>
      <c r="G328" s="13" t="str">
        <f>ROUND(Github!O$980, 2)&amp;"%"</f>
        <v>72.12%</v>
      </c>
      <c r="H328" s="13" t="str">
        <f>Github!H$980</f>
        <v>Algorithms</v>
      </c>
      <c r="I328" s="16" t="str">
        <f>SUBSTITUTE(Github!L$980, ";", ", ")</f>
        <v>Tree, Depth-First Search, Binary Tree, </v>
      </c>
      <c r="J328" s="13" t="str">
        <f>Github!E$980</f>
        <v>Medium</v>
      </c>
      <c r="K328" s="13" t="str">
        <f>IF(TRIM(Github!D$980)="TRUE","FALSE","TRUE")</f>
        <v>TRUE</v>
      </c>
      <c r="L328" s="13" t="b">
        <f>Github!M$980</f>
        <v>1</v>
      </c>
      <c r="M328" s="13" t="b">
        <f>Github!N$980</f>
        <v>0</v>
      </c>
      <c r="N328" s="13">
        <f>Github!P$980</f>
        <v>98204</v>
      </c>
      <c r="O328" s="13">
        <f>Github!Q$980</f>
        <v>136165</v>
      </c>
    </row>
    <row r="329">
      <c r="A329" s="13">
        <f>Github!J$133</f>
        <v>132</v>
      </c>
      <c r="B329" s="14" t="str">
        <f>HYPERLINK(CONCAT("http://leetcode.com/problems/",Github!C$133), Github!B$133)</f>
        <v>Palindrome Partitioning II</v>
      </c>
      <c r="C329" s="13">
        <f>Github!F$133</f>
        <v>4343</v>
      </c>
      <c r="D329" s="13">
        <f>Github!G$133</f>
        <v>99</v>
      </c>
      <c r="E329" s="13">
        <f>Github!F$133+Github!G$133</f>
        <v>4442</v>
      </c>
      <c r="F329" s="15">
        <f t="shared" si="1"/>
        <v>43.87</v>
      </c>
      <c r="G329" s="13" t="str">
        <f>ROUND(Github!O$133, 2)&amp;"%"</f>
        <v>33.68%</v>
      </c>
      <c r="H329" s="13" t="str">
        <f>Github!H$133</f>
        <v>Algorithms</v>
      </c>
      <c r="I329" s="16" t="str">
        <f>SUBSTITUTE(Github!L$133, ";", ", ")</f>
        <v>String, Dynamic Programming, </v>
      </c>
      <c r="J329" s="13" t="str">
        <f>Github!E$133</f>
        <v>Hard</v>
      </c>
      <c r="K329" s="13" t="str">
        <f>IF(TRIM(Github!D$133)="TRUE","FALSE","TRUE")</f>
        <v>TRUE</v>
      </c>
      <c r="L329" s="13" t="b">
        <f>Github!M$133</f>
        <v>1</v>
      </c>
      <c r="M329" s="13" t="b">
        <f>Github!N$133</f>
        <v>0</v>
      </c>
      <c r="N329" s="13">
        <f>Github!P$133</f>
        <v>230521</v>
      </c>
      <c r="O329" s="13">
        <f>Github!Q$133</f>
        <v>684490</v>
      </c>
    </row>
    <row r="330">
      <c r="A330" s="13">
        <f>Github!J$524</f>
        <v>523</v>
      </c>
      <c r="B330" s="14" t="str">
        <f>HYPERLINK(CONCAT("http://leetcode.com/problems/",Github!C$524), Github!B$524)</f>
        <v>Continuous Subarray Sum</v>
      </c>
      <c r="C330" s="13">
        <f>Github!F$524</f>
        <v>4328</v>
      </c>
      <c r="D330" s="13">
        <f>Github!G$524</f>
        <v>419</v>
      </c>
      <c r="E330" s="13">
        <f>Github!F$524+Github!G$524</f>
        <v>4747</v>
      </c>
      <c r="F330" s="15">
        <f t="shared" si="1"/>
        <v>10.33</v>
      </c>
      <c r="G330" s="13" t="str">
        <f>ROUND(Github!O$524, 2)&amp;"%"</f>
        <v>28.55%</v>
      </c>
      <c r="H330" s="13" t="str">
        <f>Github!H$524</f>
        <v>Algorithms</v>
      </c>
      <c r="I330" s="16" t="str">
        <f>SUBSTITUTE(Github!L$524, ";", ", ")</f>
        <v>Array, Hash Table, Math, Prefix Sum, </v>
      </c>
      <c r="J330" s="13" t="str">
        <f>Github!E$524</f>
        <v>Medium</v>
      </c>
      <c r="K330" s="13" t="str">
        <f>IF(TRIM(Github!D$524)="TRUE","FALSE","TRUE")</f>
        <v>TRUE</v>
      </c>
      <c r="L330" s="13" t="b">
        <f>Github!M$524</f>
        <v>1</v>
      </c>
      <c r="M330" s="13" t="b">
        <f>Github!N$524</f>
        <v>0</v>
      </c>
      <c r="N330" s="13">
        <f>Github!P$524</f>
        <v>378465</v>
      </c>
      <c r="O330" s="13">
        <f>Github!Q$524</f>
        <v>1325838</v>
      </c>
    </row>
    <row r="331">
      <c r="A331" s="13">
        <f>Github!J$853</f>
        <v>852</v>
      </c>
      <c r="B331" s="14" t="str">
        <f>HYPERLINK(CONCAT("http://leetcode.com/problems/",Github!C$853), Github!B$853)</f>
        <v>Peak Index in a Mountain Array</v>
      </c>
      <c r="C331" s="13">
        <f>Github!F$853</f>
        <v>4364</v>
      </c>
      <c r="D331" s="13">
        <f>Github!G$853</f>
        <v>1763</v>
      </c>
      <c r="E331" s="13">
        <f>Github!F$853+Github!G$853</f>
        <v>6127</v>
      </c>
      <c r="F331" s="15">
        <f t="shared" si="1"/>
        <v>2.48</v>
      </c>
      <c r="G331" s="13" t="str">
        <f>ROUND(Github!O$853, 2)&amp;"%"</f>
        <v>69.31%</v>
      </c>
      <c r="H331" s="13" t="str">
        <f>Github!H$853</f>
        <v>Algorithms</v>
      </c>
      <c r="I331" s="16" t="str">
        <f>SUBSTITUTE(Github!L$853, ";", ", ")</f>
        <v>Array, Binary Search, </v>
      </c>
      <c r="J331" s="13" t="str">
        <f>Github!E$853</f>
        <v>Medium</v>
      </c>
      <c r="K331" s="13" t="str">
        <f>IF(TRIM(Github!D$853)="TRUE","FALSE","TRUE")</f>
        <v>TRUE</v>
      </c>
      <c r="L331" s="13" t="b">
        <f>Github!M$853</f>
        <v>1</v>
      </c>
      <c r="M331" s="13" t="b">
        <f>Github!N$853</f>
        <v>0</v>
      </c>
      <c r="N331" s="13">
        <f>Github!P$853</f>
        <v>499225</v>
      </c>
      <c r="O331" s="13">
        <f>Github!Q$853</f>
        <v>720260</v>
      </c>
    </row>
    <row r="332">
      <c r="A332" s="13">
        <f>Github!J$494</f>
        <v>493</v>
      </c>
      <c r="B332" s="14" t="str">
        <f>HYPERLINK(CONCAT("http://leetcode.com/problems/",Github!C$494), Github!B$494)</f>
        <v>Reverse Pairs</v>
      </c>
      <c r="C332" s="13">
        <f>Github!F$494</f>
        <v>4325</v>
      </c>
      <c r="D332" s="13">
        <f>Github!G$494</f>
        <v>215</v>
      </c>
      <c r="E332" s="13">
        <f>Github!F$494+Github!G$494</f>
        <v>4540</v>
      </c>
      <c r="F332" s="15">
        <f t="shared" si="1"/>
        <v>20.12</v>
      </c>
      <c r="G332" s="13" t="str">
        <f>ROUND(Github!O$494, 2)&amp;"%"</f>
        <v>30.84%</v>
      </c>
      <c r="H332" s="13" t="str">
        <f>Github!H$494</f>
        <v>Algorithms</v>
      </c>
      <c r="I332" s="16" t="str">
        <f>SUBSTITUTE(Github!L$494, ";", ", ")</f>
        <v>Array, Binary Search, Divide and Conquer, Binary Indexed Tree, Segment Tree, Merge Sort, Ordered Set, </v>
      </c>
      <c r="J332" s="13" t="str">
        <f>Github!E$494</f>
        <v>Hard</v>
      </c>
      <c r="K332" s="13" t="str">
        <f>IF(TRIM(Github!D$494)="TRUE","FALSE","TRUE")</f>
        <v>TRUE</v>
      </c>
      <c r="L332" s="13" t="b">
        <f>Github!M$494</f>
        <v>0</v>
      </c>
      <c r="M332" s="13" t="b">
        <f>Github!N$494</f>
        <v>0</v>
      </c>
      <c r="N332" s="13">
        <f>Github!P$494</f>
        <v>112182</v>
      </c>
      <c r="O332" s="13">
        <f>Github!Q$494</f>
        <v>363775</v>
      </c>
    </row>
    <row r="333">
      <c r="A333" s="13">
        <f>Github!J$220</f>
        <v>219</v>
      </c>
      <c r="B333" s="14" t="str">
        <f>HYPERLINK(CONCAT("http://leetcode.com/problems/",Github!C$220), Github!B$220)</f>
        <v>Contains Duplicate II</v>
      </c>
      <c r="C333" s="13">
        <f>Github!F$220</f>
        <v>4322</v>
      </c>
      <c r="D333" s="13">
        <f>Github!G$220</f>
        <v>2447</v>
      </c>
      <c r="E333" s="13">
        <f>Github!F$220+Github!G$220</f>
        <v>6769</v>
      </c>
      <c r="F333" s="15">
        <f t="shared" si="1"/>
        <v>1.77</v>
      </c>
      <c r="G333" s="13" t="str">
        <f>ROUND(Github!O$220, 2)&amp;"%"</f>
        <v>42.38%</v>
      </c>
      <c r="H333" s="13" t="str">
        <f>Github!H$220</f>
        <v>Algorithms</v>
      </c>
      <c r="I333" s="16" t="str">
        <f>SUBSTITUTE(Github!L$220, ";", ", ")</f>
        <v>Array, Hash Table, Sliding Window, </v>
      </c>
      <c r="J333" s="13" t="str">
        <f>Github!E$220</f>
        <v>Easy</v>
      </c>
      <c r="K333" s="13" t="str">
        <f>IF(TRIM(Github!D$220)="TRUE","FALSE","TRUE")</f>
        <v>TRUE</v>
      </c>
      <c r="L333" s="13" t="b">
        <f>Github!M$220</f>
        <v>1</v>
      </c>
      <c r="M333" s="13" t="b">
        <f>Github!N$220</f>
        <v>0</v>
      </c>
      <c r="N333" s="13">
        <f>Github!P$220</f>
        <v>623224</v>
      </c>
      <c r="O333" s="13">
        <f>Github!Q$220</f>
        <v>1470700</v>
      </c>
    </row>
    <row r="334">
      <c r="A334" s="13">
        <f>Github!J$455</f>
        <v>454</v>
      </c>
      <c r="B334" s="14" t="str">
        <f>HYPERLINK(CONCAT("http://leetcode.com/problems/",Github!C$455), Github!B$455)</f>
        <v>4Sum II</v>
      </c>
      <c r="C334" s="13">
        <f>Github!F$455</f>
        <v>4289</v>
      </c>
      <c r="D334" s="13">
        <f>Github!G$455</f>
        <v>125</v>
      </c>
      <c r="E334" s="13">
        <f>Github!F$455+Github!G$455</f>
        <v>4414</v>
      </c>
      <c r="F334" s="15">
        <f t="shared" si="1"/>
        <v>34.31</v>
      </c>
      <c r="G334" s="13" t="str">
        <f>ROUND(Github!O$455, 2)&amp;"%"</f>
        <v>57.29%</v>
      </c>
      <c r="H334" s="13" t="str">
        <f>Github!H$455</f>
        <v>Algorithms</v>
      </c>
      <c r="I334" s="16" t="str">
        <f>SUBSTITUTE(Github!L$455, ";", ", ")</f>
        <v>Array, Hash Table, </v>
      </c>
      <c r="J334" s="13" t="str">
        <f>Github!E$455</f>
        <v>Medium</v>
      </c>
      <c r="K334" s="13" t="str">
        <f>IF(TRIM(Github!D$455)="TRUE","FALSE","TRUE")</f>
        <v>TRUE</v>
      </c>
      <c r="L334" s="13" t="b">
        <f>Github!M$455</f>
        <v>1</v>
      </c>
      <c r="M334" s="13" t="b">
        <f>Github!N$455</f>
        <v>0</v>
      </c>
      <c r="N334" s="13">
        <f>Github!P$455</f>
        <v>281657</v>
      </c>
      <c r="O334" s="13">
        <f>Github!Q$455</f>
        <v>491645</v>
      </c>
    </row>
    <row r="335">
      <c r="A335" s="13">
        <f>Github!J$932</f>
        <v>931</v>
      </c>
      <c r="B335" s="14" t="str">
        <f>HYPERLINK(CONCAT("http://leetcode.com/problems/",Github!C$932), Github!B$932)</f>
        <v>Minimum Falling Path Sum</v>
      </c>
      <c r="C335" s="13">
        <f>Github!F$932</f>
        <v>4317</v>
      </c>
      <c r="D335" s="13">
        <f>Github!G$932</f>
        <v>117</v>
      </c>
      <c r="E335" s="13">
        <f>Github!F$932+Github!G$932</f>
        <v>4434</v>
      </c>
      <c r="F335" s="15">
        <f t="shared" si="1"/>
        <v>36.9</v>
      </c>
      <c r="G335" s="13" t="str">
        <f>ROUND(Github!O$932, 2)&amp;"%"</f>
        <v>69.13%</v>
      </c>
      <c r="H335" s="13" t="str">
        <f>Github!H$932</f>
        <v>Algorithms</v>
      </c>
      <c r="I335" s="16" t="str">
        <f>SUBSTITUTE(Github!L$932, ";", ", ")</f>
        <v>Array, Dynamic Programming, Matrix, </v>
      </c>
      <c r="J335" s="13" t="str">
        <f>Github!E$932</f>
        <v>Medium</v>
      </c>
      <c r="K335" s="13" t="str">
        <f>IF(TRIM(Github!D$932)="TRUE","FALSE","TRUE")</f>
        <v>TRUE</v>
      </c>
      <c r="L335" s="13" t="b">
        <f>Github!M$932</f>
        <v>1</v>
      </c>
      <c r="M335" s="13" t="b">
        <f>Github!N$932</f>
        <v>0</v>
      </c>
      <c r="N335" s="13">
        <f>Github!P$932</f>
        <v>223729</v>
      </c>
      <c r="O335" s="13">
        <f>Github!Q$932</f>
        <v>323619</v>
      </c>
    </row>
    <row r="336">
      <c r="A336" s="13">
        <f>Github!J$1092</f>
        <v>1091</v>
      </c>
      <c r="B336" s="14" t="str">
        <f>HYPERLINK(CONCAT("http://leetcode.com/problems/",Github!C$1092), Github!B$1092)</f>
        <v>Shortest Path in Binary Matrix</v>
      </c>
      <c r="C336" s="13">
        <f>Github!F$1092</f>
        <v>4269</v>
      </c>
      <c r="D336" s="13">
        <f>Github!G$1092</f>
        <v>177</v>
      </c>
      <c r="E336" s="13">
        <f>Github!F$1092+Github!G$1092</f>
        <v>4446</v>
      </c>
      <c r="F336" s="15">
        <f t="shared" si="1"/>
        <v>24.12</v>
      </c>
      <c r="G336" s="13" t="str">
        <f>ROUND(Github!O$1092, 2)&amp;"%"</f>
        <v>44.54%</v>
      </c>
      <c r="H336" s="13" t="str">
        <f>Github!H$1092</f>
        <v>Algorithms</v>
      </c>
      <c r="I336" s="16" t="str">
        <f>SUBSTITUTE(Github!L$1092, ";", ", ")</f>
        <v>Array, Breadth-First Search, Matrix, </v>
      </c>
      <c r="J336" s="13" t="str">
        <f>Github!E$1092</f>
        <v>Medium</v>
      </c>
      <c r="K336" s="13" t="str">
        <f>IF(TRIM(Github!D$1092)="TRUE","FALSE","TRUE")</f>
        <v>TRUE</v>
      </c>
      <c r="L336" s="13" t="b">
        <f>Github!M$1092</f>
        <v>1</v>
      </c>
      <c r="M336" s="13" t="b">
        <f>Github!N$1092</f>
        <v>0</v>
      </c>
      <c r="N336" s="13">
        <f>Github!P$1092</f>
        <v>282072</v>
      </c>
      <c r="O336" s="13">
        <f>Github!Q$1092</f>
        <v>633362</v>
      </c>
    </row>
    <row r="337">
      <c r="A337" s="13">
        <f>Github!J$772</f>
        <v>771</v>
      </c>
      <c r="B337" s="14" t="str">
        <f>HYPERLINK(CONCAT("http://leetcode.com/problems/",Github!C$772), Github!B$772)</f>
        <v>Jewels and Stones</v>
      </c>
      <c r="C337" s="13">
        <f>Github!F$772</f>
        <v>4216</v>
      </c>
      <c r="D337" s="13">
        <f>Github!G$772</f>
        <v>525</v>
      </c>
      <c r="E337" s="13">
        <f>Github!F$772+Github!G$772</f>
        <v>4741</v>
      </c>
      <c r="F337" s="15">
        <f t="shared" si="1"/>
        <v>8.03</v>
      </c>
      <c r="G337" s="13" t="str">
        <f>ROUND(Github!O$772, 2)&amp;"%"</f>
        <v>88.11%</v>
      </c>
      <c r="H337" s="13" t="str">
        <f>Github!H$772</f>
        <v>Algorithms</v>
      </c>
      <c r="I337" s="16" t="str">
        <f>SUBSTITUTE(Github!L$772, ";", ", ")</f>
        <v>Hash Table, String, </v>
      </c>
      <c r="J337" s="13" t="str">
        <f>Github!E$772</f>
        <v>Easy</v>
      </c>
      <c r="K337" s="13" t="str">
        <f>IF(TRIM(Github!D$772)="TRUE","FALSE","TRUE")</f>
        <v>TRUE</v>
      </c>
      <c r="L337" s="13" t="b">
        <f>Github!M$772</f>
        <v>1</v>
      </c>
      <c r="M337" s="13" t="b">
        <f>Github!N$772</f>
        <v>0</v>
      </c>
      <c r="N337" s="13">
        <f>Github!P$772</f>
        <v>823334</v>
      </c>
      <c r="O337" s="13">
        <f>Github!Q$772</f>
        <v>934493</v>
      </c>
    </row>
    <row r="338">
      <c r="A338" s="13">
        <f>Github!J$308</f>
        <v>307</v>
      </c>
      <c r="B338" s="14" t="str">
        <f>HYPERLINK(CONCAT("http://leetcode.com/problems/",Github!C$308), Github!B$308)</f>
        <v>Range Sum Query - Mutable</v>
      </c>
      <c r="C338" s="13">
        <f>Github!F$308</f>
        <v>4186</v>
      </c>
      <c r="D338" s="13">
        <f>Github!G$308</f>
        <v>228</v>
      </c>
      <c r="E338" s="13">
        <f>Github!F$308+Github!G$308</f>
        <v>4414</v>
      </c>
      <c r="F338" s="15">
        <f t="shared" si="1"/>
        <v>18.36</v>
      </c>
      <c r="G338" s="13" t="str">
        <f>ROUND(Github!O$308, 2)&amp;"%"</f>
        <v>40.7%</v>
      </c>
      <c r="H338" s="13" t="str">
        <f>Github!H$308</f>
        <v>Algorithms</v>
      </c>
      <c r="I338" s="16" t="str">
        <f>SUBSTITUTE(Github!L$308, ";", ", ")</f>
        <v>Array, Design, Binary Indexed Tree, Segment Tree, </v>
      </c>
      <c r="J338" s="13" t="str">
        <f>Github!E$308</f>
        <v>Medium</v>
      </c>
      <c r="K338" s="13" t="str">
        <f>IF(TRIM(Github!D$308)="TRUE","FALSE","TRUE")</f>
        <v>TRUE</v>
      </c>
      <c r="L338" s="13" t="b">
        <f>Github!M$308</f>
        <v>1</v>
      </c>
      <c r="M338" s="13" t="b">
        <f>Github!N$308</f>
        <v>0</v>
      </c>
      <c r="N338" s="13">
        <f>Github!P$308</f>
        <v>239682</v>
      </c>
      <c r="O338" s="13">
        <f>Github!Q$308</f>
        <v>588860</v>
      </c>
    </row>
    <row r="339">
      <c r="A339" s="13">
        <f>Github!J$1366</f>
        <v>1365</v>
      </c>
      <c r="B339" s="14" t="str">
        <f>HYPERLINK(CONCAT("http://leetcode.com/problems/",Github!C$1366), Github!B$1366)</f>
        <v>How Many Numbers Are Smaller Than the Current Number</v>
      </c>
      <c r="C339" s="13">
        <f>Github!F$1366</f>
        <v>4235</v>
      </c>
      <c r="D339" s="13">
        <f>Github!G$1366</f>
        <v>86</v>
      </c>
      <c r="E339" s="13">
        <f>Github!F$1366+Github!G$1366</f>
        <v>4321</v>
      </c>
      <c r="F339" s="15">
        <f t="shared" si="1"/>
        <v>49.24</v>
      </c>
      <c r="G339" s="13" t="str">
        <f>ROUND(Github!O$1366, 2)&amp;"%"</f>
        <v>86.68%</v>
      </c>
      <c r="H339" s="13" t="str">
        <f>Github!H$1366</f>
        <v>Algorithms</v>
      </c>
      <c r="I339" s="16" t="str">
        <f>SUBSTITUTE(Github!L$1366, ";", ", ")</f>
        <v>Array, Hash Table, Sorting, Counting, </v>
      </c>
      <c r="J339" s="13" t="str">
        <f>Github!E$1366</f>
        <v>Easy</v>
      </c>
      <c r="K339" s="13" t="str">
        <f>IF(TRIM(Github!D$1366)="TRUE","FALSE","TRUE")</f>
        <v>TRUE</v>
      </c>
      <c r="L339" s="13" t="b">
        <f>Github!M$1366</f>
        <v>0</v>
      </c>
      <c r="M339" s="13" t="b">
        <f>Github!N$1366</f>
        <v>0</v>
      </c>
      <c r="N339" s="13">
        <f>Github!P$1366</f>
        <v>390432</v>
      </c>
      <c r="O339" s="13">
        <f>Github!Q$1366</f>
        <v>450433</v>
      </c>
    </row>
    <row r="340">
      <c r="A340" s="13">
        <f>Github!J$872</f>
        <v>871</v>
      </c>
      <c r="B340" s="14" t="str">
        <f>HYPERLINK(CONCAT("http://leetcode.com/problems/",Github!C$872), Github!B$872)</f>
        <v>Minimum Number of Refueling Stops</v>
      </c>
      <c r="C340" s="13">
        <f>Github!F$872</f>
        <v>4179</v>
      </c>
      <c r="D340" s="13">
        <f>Github!G$872</f>
        <v>77</v>
      </c>
      <c r="E340" s="13">
        <f>Github!F$872+Github!G$872</f>
        <v>4256</v>
      </c>
      <c r="F340" s="15">
        <f t="shared" si="1"/>
        <v>54.27</v>
      </c>
      <c r="G340" s="13" t="str">
        <f>ROUND(Github!O$872, 2)&amp;"%"</f>
        <v>39.86%</v>
      </c>
      <c r="H340" s="13" t="str">
        <f>Github!H$872</f>
        <v>Algorithms</v>
      </c>
      <c r="I340" s="16" t="str">
        <f>SUBSTITUTE(Github!L$872, ";", ", ")</f>
        <v>Array, Dynamic Programming, Greedy, Heap (Priority Queue), </v>
      </c>
      <c r="J340" s="13" t="str">
        <f>Github!E$872</f>
        <v>Hard</v>
      </c>
      <c r="K340" s="13" t="str">
        <f>IF(TRIM(Github!D$872)="TRUE","FALSE","TRUE")</f>
        <v>TRUE</v>
      </c>
      <c r="L340" s="13" t="b">
        <f>Github!M$872</f>
        <v>1</v>
      </c>
      <c r="M340" s="13" t="b">
        <f>Github!N$872</f>
        <v>0</v>
      </c>
      <c r="N340" s="13">
        <f>Github!P$872</f>
        <v>119729</v>
      </c>
      <c r="O340" s="13">
        <f>Github!Q$872</f>
        <v>300405</v>
      </c>
    </row>
    <row r="341">
      <c r="A341" s="13">
        <f>Github!J$446</f>
        <v>445</v>
      </c>
      <c r="B341" s="14" t="str">
        <f>HYPERLINK(CONCAT("http://leetcode.com/problems/",Github!C$446), Github!B$446)</f>
        <v>Add Two Numbers II</v>
      </c>
      <c r="C341" s="13">
        <f>Github!F$446</f>
        <v>4188</v>
      </c>
      <c r="D341" s="13">
        <f>Github!G$446</f>
        <v>244</v>
      </c>
      <c r="E341" s="13">
        <f>Github!F$446+Github!G$446</f>
        <v>4432</v>
      </c>
      <c r="F341" s="15">
        <f t="shared" si="1"/>
        <v>17.16</v>
      </c>
      <c r="G341" s="13" t="str">
        <f>ROUND(Github!O$446, 2)&amp;"%"</f>
        <v>59.57%</v>
      </c>
      <c r="H341" s="13" t="str">
        <f>Github!H$446</f>
        <v>Algorithms</v>
      </c>
      <c r="I341" s="16" t="str">
        <f>SUBSTITUTE(Github!L$446, ";", ", ")</f>
        <v>Linked List, Math, Stack, </v>
      </c>
      <c r="J341" s="13" t="str">
        <f>Github!E$446</f>
        <v>Medium</v>
      </c>
      <c r="K341" s="13" t="str">
        <f>IF(TRIM(Github!D$446)="TRUE","FALSE","TRUE")</f>
        <v>TRUE</v>
      </c>
      <c r="L341" s="13" t="b">
        <f>Github!M$446</f>
        <v>1</v>
      </c>
      <c r="M341" s="13" t="b">
        <f>Github!N$446</f>
        <v>0</v>
      </c>
      <c r="N341" s="13">
        <f>Github!P$446</f>
        <v>353617</v>
      </c>
      <c r="O341" s="13">
        <f>Github!Q$446</f>
        <v>593637</v>
      </c>
    </row>
    <row r="342">
      <c r="A342" s="13">
        <f>Github!J$998</f>
        <v>997</v>
      </c>
      <c r="B342" s="14" t="str">
        <f>HYPERLINK(CONCAT("http://leetcode.com/problems/",Github!C$998), Github!B$998)</f>
        <v>Find the Town Judge</v>
      </c>
      <c r="C342" s="13">
        <f>Github!F$998</f>
        <v>4191</v>
      </c>
      <c r="D342" s="13">
        <f>Github!G$998</f>
        <v>306</v>
      </c>
      <c r="E342" s="13">
        <f>Github!F$998+Github!G$998</f>
        <v>4497</v>
      </c>
      <c r="F342" s="15">
        <f t="shared" si="1"/>
        <v>13.7</v>
      </c>
      <c r="G342" s="13" t="str">
        <f>ROUND(Github!O$998, 2)&amp;"%"</f>
        <v>49.22%</v>
      </c>
      <c r="H342" s="13" t="str">
        <f>Github!H$998</f>
        <v>Algorithms</v>
      </c>
      <c r="I342" s="16" t="str">
        <f>SUBSTITUTE(Github!L$998, ";", ", ")</f>
        <v>Array, Hash Table, Graph, </v>
      </c>
      <c r="J342" s="13" t="str">
        <f>Github!E$998</f>
        <v>Easy</v>
      </c>
      <c r="K342" s="13" t="str">
        <f>IF(TRIM(Github!D$998)="TRUE","FALSE","TRUE")</f>
        <v>TRUE</v>
      </c>
      <c r="L342" s="13" t="b">
        <f>Github!M$998</f>
        <v>1</v>
      </c>
      <c r="M342" s="13" t="b">
        <f>Github!N$998</f>
        <v>0</v>
      </c>
      <c r="N342" s="13">
        <f>Github!P$998</f>
        <v>321782</v>
      </c>
      <c r="O342" s="13">
        <f>Github!Q$998</f>
        <v>653728</v>
      </c>
    </row>
    <row r="343">
      <c r="A343" s="13">
        <f>Github!J$305</f>
        <v>304</v>
      </c>
      <c r="B343" s="14" t="str">
        <f>HYPERLINK(CONCAT("http://leetcode.com/problems/",Github!C$305), Github!B$305)</f>
        <v>Range Sum Query 2D - Immutable</v>
      </c>
      <c r="C343" s="13">
        <f>Github!F$305</f>
        <v>4157</v>
      </c>
      <c r="D343" s="13">
        <f>Github!G$305</f>
        <v>314</v>
      </c>
      <c r="E343" s="13">
        <f>Github!F$305+Github!G$305</f>
        <v>4471</v>
      </c>
      <c r="F343" s="15">
        <f t="shared" si="1"/>
        <v>13.24</v>
      </c>
      <c r="G343" s="13" t="str">
        <f>ROUND(Github!O$305, 2)&amp;"%"</f>
        <v>52.42%</v>
      </c>
      <c r="H343" s="13" t="str">
        <f>Github!H$305</f>
        <v>Algorithms</v>
      </c>
      <c r="I343" s="16" t="str">
        <f>SUBSTITUTE(Github!L$305, ";", ", ")</f>
        <v>Array, Design, Matrix, Prefix Sum, </v>
      </c>
      <c r="J343" s="13" t="str">
        <f>Github!E$305</f>
        <v>Medium</v>
      </c>
      <c r="K343" s="13" t="str">
        <f>IF(TRIM(Github!D$305)="TRUE","FALSE","TRUE")</f>
        <v>TRUE</v>
      </c>
      <c r="L343" s="13" t="b">
        <f>Github!M$305</f>
        <v>1</v>
      </c>
      <c r="M343" s="13" t="b">
        <f>Github!N$305</f>
        <v>1</v>
      </c>
      <c r="N343" s="13">
        <f>Github!P$305</f>
        <v>308816</v>
      </c>
      <c r="O343" s="13">
        <f>Github!Q$305</f>
        <v>589175</v>
      </c>
    </row>
    <row r="344">
      <c r="A344" s="13">
        <f>Github!J$405</f>
        <v>404</v>
      </c>
      <c r="B344" s="14" t="str">
        <f>HYPERLINK(CONCAT("http://leetcode.com/problems/",Github!C$405), Github!B$405)</f>
        <v>Sum of Left Leaves</v>
      </c>
      <c r="C344" s="13">
        <f>Github!F$405</f>
        <v>4153</v>
      </c>
      <c r="D344" s="13">
        <f>Github!G$405</f>
        <v>266</v>
      </c>
      <c r="E344" s="13">
        <f>Github!F$405+Github!G$405</f>
        <v>4419</v>
      </c>
      <c r="F344" s="15">
        <f t="shared" si="1"/>
        <v>15.61</v>
      </c>
      <c r="G344" s="13" t="str">
        <f>ROUND(Github!O$405, 2)&amp;"%"</f>
        <v>56.41%</v>
      </c>
      <c r="H344" s="13" t="str">
        <f>Github!H$405</f>
        <v>Algorithms</v>
      </c>
      <c r="I344" s="16" t="str">
        <f>SUBSTITUTE(Github!L$405, ";", ", ")</f>
        <v>Tree, Depth-First Search, Breadth-First Search, Binary Tree, </v>
      </c>
      <c r="J344" s="13" t="str">
        <f>Github!E$405</f>
        <v>Easy</v>
      </c>
      <c r="K344" s="13" t="str">
        <f>IF(TRIM(Github!D$405)="TRUE","FALSE","TRUE")</f>
        <v>TRUE</v>
      </c>
      <c r="L344" s="13" t="b">
        <f>Github!M$405</f>
        <v>1</v>
      </c>
      <c r="M344" s="13" t="b">
        <f>Github!N$405</f>
        <v>0</v>
      </c>
      <c r="N344" s="13">
        <f>Github!P$405</f>
        <v>409767</v>
      </c>
      <c r="O344" s="13">
        <f>Github!Q$405</f>
        <v>726361</v>
      </c>
    </row>
    <row r="345">
      <c r="A345" s="13">
        <f>Github!J$896</f>
        <v>895</v>
      </c>
      <c r="B345" s="14" t="str">
        <f>HYPERLINK(CONCAT("http://leetcode.com/problems/",Github!C$896), Github!B$896)</f>
        <v>Maximum Frequency Stack</v>
      </c>
      <c r="C345" s="13">
        <f>Github!F$896</f>
        <v>4143</v>
      </c>
      <c r="D345" s="13">
        <f>Github!G$896</f>
        <v>63</v>
      </c>
      <c r="E345" s="13">
        <f>Github!F$896+Github!G$896</f>
        <v>4206</v>
      </c>
      <c r="F345" s="15">
        <f t="shared" si="1"/>
        <v>65.76</v>
      </c>
      <c r="G345" s="13" t="str">
        <f>ROUND(Github!O$896, 2)&amp;"%"</f>
        <v>66.71%</v>
      </c>
      <c r="H345" s="13" t="str">
        <f>Github!H$896</f>
        <v>Algorithms</v>
      </c>
      <c r="I345" s="16" t="str">
        <f>SUBSTITUTE(Github!L$896, ";", ", ")</f>
        <v>Hash Table, Stack, Design, Ordered Set, </v>
      </c>
      <c r="J345" s="13" t="str">
        <f>Github!E$896</f>
        <v>Hard</v>
      </c>
      <c r="K345" s="13" t="str">
        <f>IF(TRIM(Github!D$896)="TRUE","FALSE","TRUE")</f>
        <v>TRUE</v>
      </c>
      <c r="L345" s="13" t="b">
        <f>Github!M$896</f>
        <v>1</v>
      </c>
      <c r="M345" s="13" t="b">
        <f>Github!N$896</f>
        <v>0</v>
      </c>
      <c r="N345" s="13">
        <f>Github!P$896</f>
        <v>146075</v>
      </c>
      <c r="O345" s="13">
        <f>Github!Q$896</f>
        <v>218976</v>
      </c>
    </row>
    <row r="346">
      <c r="A346" s="13">
        <f>Github!J$337</f>
        <v>336</v>
      </c>
      <c r="B346" s="14" t="str">
        <f>HYPERLINK(CONCAT("http://leetcode.com/problems/",Github!C$337), Github!B$337)</f>
        <v>Palindrome Pairs</v>
      </c>
      <c r="C346" s="13">
        <f>Github!F$337</f>
        <v>4092</v>
      </c>
      <c r="D346" s="13">
        <f>Github!G$337</f>
        <v>426</v>
      </c>
      <c r="E346" s="13">
        <f>Github!F$337+Github!G$337</f>
        <v>4518</v>
      </c>
      <c r="F346" s="15">
        <f t="shared" si="1"/>
        <v>9.61</v>
      </c>
      <c r="G346" s="13" t="str">
        <f>ROUND(Github!O$337, 2)&amp;"%"</f>
        <v>35.07%</v>
      </c>
      <c r="H346" s="13" t="str">
        <f>Github!H$337</f>
        <v>Algorithms</v>
      </c>
      <c r="I346" s="16" t="str">
        <f>SUBSTITUTE(Github!L$337, ";", ", ")</f>
        <v>Array, Hash Table, String, Trie, </v>
      </c>
      <c r="J346" s="13" t="str">
        <f>Github!E$337</f>
        <v>Hard</v>
      </c>
      <c r="K346" s="13" t="str">
        <f>IF(TRIM(Github!D$337)="TRUE","FALSE","TRUE")</f>
        <v>TRUE</v>
      </c>
      <c r="L346" s="13" t="b">
        <f>Github!M$337</f>
        <v>1</v>
      </c>
      <c r="M346" s="13" t="b">
        <f>Github!N$337</f>
        <v>0</v>
      </c>
      <c r="N346" s="13">
        <f>Github!P$337</f>
        <v>188682</v>
      </c>
      <c r="O346" s="13">
        <f>Github!Q$337</f>
        <v>538056</v>
      </c>
    </row>
    <row r="347">
      <c r="A347" s="13">
        <f>Github!J$1030</f>
        <v>1029</v>
      </c>
      <c r="B347" s="14" t="str">
        <f>HYPERLINK(CONCAT("http://leetcode.com/problems/",Github!C$1030), Github!B$1030)</f>
        <v>Two City Scheduling</v>
      </c>
      <c r="C347" s="13">
        <f>Github!F$1030</f>
        <v>4097</v>
      </c>
      <c r="D347" s="13">
        <f>Github!G$1030</f>
        <v>307</v>
      </c>
      <c r="E347" s="13">
        <f>Github!F$1030+Github!G$1030</f>
        <v>4404</v>
      </c>
      <c r="F347" s="15">
        <f t="shared" si="1"/>
        <v>13.35</v>
      </c>
      <c r="G347" s="13" t="str">
        <f>ROUND(Github!O$1030, 2)&amp;"%"</f>
        <v>64.91%</v>
      </c>
      <c r="H347" s="13" t="str">
        <f>Github!H$1030</f>
        <v>Algorithms</v>
      </c>
      <c r="I347" s="16" t="str">
        <f>SUBSTITUTE(Github!L$1030, ";", ", ")</f>
        <v>Array, Greedy, Sorting, </v>
      </c>
      <c r="J347" s="13" t="str">
        <f>Github!E$1030</f>
        <v>Medium</v>
      </c>
      <c r="K347" s="13" t="str">
        <f>IF(TRIM(Github!D$1030)="TRUE","FALSE","TRUE")</f>
        <v>TRUE</v>
      </c>
      <c r="L347" s="13" t="b">
        <f>Github!M$1030</f>
        <v>1</v>
      </c>
      <c r="M347" s="13" t="b">
        <f>Github!N$1030</f>
        <v>0</v>
      </c>
      <c r="N347" s="13">
        <f>Github!P$1030</f>
        <v>203458</v>
      </c>
      <c r="O347" s="13">
        <f>Github!Q$1030</f>
        <v>313451</v>
      </c>
    </row>
    <row r="348">
      <c r="A348" s="13">
        <f>Github!J$410</f>
        <v>409</v>
      </c>
      <c r="B348" s="14" t="str">
        <f>HYPERLINK(CONCAT("http://leetcode.com/problems/",Github!C$410), Github!B$410)</f>
        <v>Longest Palindrome</v>
      </c>
      <c r="C348" s="13">
        <f>Github!F$410</f>
        <v>4127</v>
      </c>
      <c r="D348" s="13">
        <f>Github!G$410</f>
        <v>248</v>
      </c>
      <c r="E348" s="13">
        <f>Github!F$410+Github!G$410</f>
        <v>4375</v>
      </c>
      <c r="F348" s="15">
        <f t="shared" si="1"/>
        <v>16.64</v>
      </c>
      <c r="G348" s="13" t="str">
        <f>ROUND(Github!O$410, 2)&amp;"%"</f>
        <v>54.55%</v>
      </c>
      <c r="H348" s="13" t="str">
        <f>Github!H$410</f>
        <v>Algorithms</v>
      </c>
      <c r="I348" s="16" t="str">
        <f>SUBSTITUTE(Github!L$410, ";", ", ")</f>
        <v>Hash Table, String, Greedy, </v>
      </c>
      <c r="J348" s="13" t="str">
        <f>Github!E$410</f>
        <v>Easy</v>
      </c>
      <c r="K348" s="13" t="str">
        <f>IF(TRIM(Github!D$410)="TRUE","FALSE","TRUE")</f>
        <v>TRUE</v>
      </c>
      <c r="L348" s="13" t="b">
        <f>Github!M$410</f>
        <v>1</v>
      </c>
      <c r="M348" s="13" t="b">
        <f>Github!N$410</f>
        <v>0</v>
      </c>
      <c r="N348" s="13">
        <f>Github!P$410</f>
        <v>440305</v>
      </c>
      <c r="O348" s="13">
        <f>Github!Q$410</f>
        <v>807113</v>
      </c>
    </row>
    <row r="349">
      <c r="A349" s="13">
        <f>Github!J$815</f>
        <v>814</v>
      </c>
      <c r="B349" s="14" t="str">
        <f>HYPERLINK(CONCAT("http://leetcode.com/problems/",Github!C$815), Github!B$815)</f>
        <v>Binary Tree Pruning</v>
      </c>
      <c r="C349" s="13">
        <f>Github!F$815</f>
        <v>4074</v>
      </c>
      <c r="D349" s="13">
        <f>Github!G$815</f>
        <v>106</v>
      </c>
      <c r="E349" s="13">
        <f>Github!F$815+Github!G$815</f>
        <v>4180</v>
      </c>
      <c r="F349" s="15">
        <f t="shared" si="1"/>
        <v>38.43</v>
      </c>
      <c r="G349" s="13" t="str">
        <f>ROUND(Github!O$815, 2)&amp;"%"</f>
        <v>72.49%</v>
      </c>
      <c r="H349" s="13" t="str">
        <f>Github!H$815</f>
        <v>Algorithms</v>
      </c>
      <c r="I349" s="16" t="str">
        <f>SUBSTITUTE(Github!L$815, ";", ", ")</f>
        <v>Tree, Depth-First Search, Binary Tree, </v>
      </c>
      <c r="J349" s="13" t="str">
        <f>Github!E$815</f>
        <v>Medium</v>
      </c>
      <c r="K349" s="13" t="str">
        <f>IF(TRIM(Github!D$815)="TRUE","FALSE","TRUE")</f>
        <v>TRUE</v>
      </c>
      <c r="L349" s="13" t="b">
        <f>Github!M$815</f>
        <v>1</v>
      </c>
      <c r="M349" s="13" t="b">
        <f>Github!N$815</f>
        <v>0</v>
      </c>
      <c r="N349" s="13">
        <f>Github!P$815</f>
        <v>219228</v>
      </c>
      <c r="O349" s="13">
        <f>Github!Q$815</f>
        <v>302431</v>
      </c>
    </row>
    <row r="350">
      <c r="A350" s="13">
        <f>Github!J$342</f>
        <v>341</v>
      </c>
      <c r="B350" s="14" t="str">
        <f>HYPERLINK(CONCAT("http://leetcode.com/problems/",Github!C$342), Github!B$342)</f>
        <v>Flatten Nested List Iterator</v>
      </c>
      <c r="C350" s="13">
        <f>Github!F$342</f>
        <v>4072</v>
      </c>
      <c r="D350" s="13">
        <f>Github!G$342</f>
        <v>1407</v>
      </c>
      <c r="E350" s="13">
        <f>Github!F$342+Github!G$342</f>
        <v>5479</v>
      </c>
      <c r="F350" s="15">
        <f t="shared" si="1"/>
        <v>2.89</v>
      </c>
      <c r="G350" s="13" t="str">
        <f>ROUND(Github!O$342, 2)&amp;"%"</f>
        <v>61.65%</v>
      </c>
      <c r="H350" s="13" t="str">
        <f>Github!H$342</f>
        <v>Algorithms</v>
      </c>
      <c r="I350" s="16" t="str">
        <f>SUBSTITUTE(Github!L$342, ";", ", ")</f>
        <v>Stack, Tree, Depth-First Search, Design, Queue, Iterator, </v>
      </c>
      <c r="J350" s="13" t="str">
        <f>Github!E$342</f>
        <v>Medium</v>
      </c>
      <c r="K350" s="13" t="str">
        <f>IF(TRIM(Github!D$342)="TRUE","FALSE","TRUE")</f>
        <v>TRUE</v>
      </c>
      <c r="L350" s="13" t="b">
        <f>Github!M$342</f>
        <v>1</v>
      </c>
      <c r="M350" s="13" t="b">
        <f>Github!N$342</f>
        <v>0</v>
      </c>
      <c r="N350" s="13">
        <f>Github!P$342</f>
        <v>352620</v>
      </c>
      <c r="O350" s="13">
        <f>Github!Q$342</f>
        <v>571984</v>
      </c>
    </row>
    <row r="351">
      <c r="A351" s="13">
        <f>Github!J$416</f>
        <v>415</v>
      </c>
      <c r="B351" s="14" t="str">
        <f>HYPERLINK(CONCAT("http://leetcode.com/problems/",Github!C$416), Github!B$416)</f>
        <v>Add Strings</v>
      </c>
      <c r="C351" s="13">
        <f>Github!F$416</f>
        <v>4087</v>
      </c>
      <c r="D351" s="13">
        <f>Github!G$416</f>
        <v>621</v>
      </c>
      <c r="E351" s="13">
        <f>Github!F$416+Github!G$416</f>
        <v>4708</v>
      </c>
      <c r="F351" s="15">
        <f t="shared" si="1"/>
        <v>6.58</v>
      </c>
      <c r="G351" s="13" t="str">
        <f>ROUND(Github!O$416, 2)&amp;"%"</f>
        <v>52.56%</v>
      </c>
      <c r="H351" s="13" t="str">
        <f>Github!H$416</f>
        <v>Algorithms</v>
      </c>
      <c r="I351" s="16" t="str">
        <f>SUBSTITUTE(Github!L$416, ";", ", ")</f>
        <v>Math, String, Simulation, </v>
      </c>
      <c r="J351" s="13" t="str">
        <f>Github!E$416</f>
        <v>Easy</v>
      </c>
      <c r="K351" s="13" t="str">
        <f>IF(TRIM(Github!D$416)="TRUE","FALSE","TRUE")</f>
        <v>TRUE</v>
      </c>
      <c r="L351" s="13" t="b">
        <f>Github!M$416</f>
        <v>1</v>
      </c>
      <c r="M351" s="13" t="b">
        <f>Github!N$416</f>
        <v>0</v>
      </c>
      <c r="N351" s="13">
        <f>Github!P$416</f>
        <v>537495</v>
      </c>
      <c r="O351" s="13">
        <f>Github!Q$416</f>
        <v>1022599</v>
      </c>
    </row>
    <row r="352">
      <c r="A352" s="13">
        <f>Github!J$679</f>
        <v>678</v>
      </c>
      <c r="B352" s="14" t="str">
        <f>HYPERLINK(CONCAT("http://leetcode.com/problems/",Github!C$679), Github!B$679)</f>
        <v>Valid Parenthesis String</v>
      </c>
      <c r="C352" s="13">
        <f>Github!F$679</f>
        <v>4082</v>
      </c>
      <c r="D352" s="13">
        <f>Github!G$679</f>
        <v>98</v>
      </c>
      <c r="E352" s="13">
        <f>Github!F$679+Github!G$679</f>
        <v>4180</v>
      </c>
      <c r="F352" s="15">
        <f t="shared" si="1"/>
        <v>41.65</v>
      </c>
      <c r="G352" s="13" t="str">
        <f>ROUND(Github!O$679, 2)&amp;"%"</f>
        <v>33.99%</v>
      </c>
      <c r="H352" s="13" t="str">
        <f>Github!H$679</f>
        <v>Algorithms</v>
      </c>
      <c r="I352" s="16" t="str">
        <f>SUBSTITUTE(Github!L$679, ";", ", ")</f>
        <v>String, Dynamic Programming, Stack, Greedy, </v>
      </c>
      <c r="J352" s="13" t="str">
        <f>Github!E$679</f>
        <v>Medium</v>
      </c>
      <c r="K352" s="13" t="str">
        <f>IF(TRIM(Github!D$679)="TRUE","FALSE","TRUE")</f>
        <v>TRUE</v>
      </c>
      <c r="L352" s="13" t="b">
        <f>Github!M$679</f>
        <v>1</v>
      </c>
      <c r="M352" s="13" t="b">
        <f>Github!N$679</f>
        <v>0</v>
      </c>
      <c r="N352" s="13">
        <f>Github!P$679</f>
        <v>195135</v>
      </c>
      <c r="O352" s="13">
        <f>Github!Q$679</f>
        <v>574030</v>
      </c>
    </row>
    <row r="353">
      <c r="A353" s="13">
        <f>Github!J$350</f>
        <v>349</v>
      </c>
      <c r="B353" s="14" t="str">
        <f>HYPERLINK(CONCAT("http://leetcode.com/problems/",Github!C$350), Github!B$350)</f>
        <v>Intersection of Two Arrays</v>
      </c>
      <c r="C353" s="13">
        <f>Github!F$350</f>
        <v>4098</v>
      </c>
      <c r="D353" s="13">
        <f>Github!G$350</f>
        <v>2055</v>
      </c>
      <c r="E353" s="13">
        <f>Github!F$350+Github!G$350</f>
        <v>6153</v>
      </c>
      <c r="F353" s="15">
        <f t="shared" si="1"/>
        <v>1.99</v>
      </c>
      <c r="G353" s="13" t="str">
        <f>ROUND(Github!O$350, 2)&amp;"%"</f>
        <v>70.51%</v>
      </c>
      <c r="H353" s="13" t="str">
        <f>Github!H$350</f>
        <v>Algorithms</v>
      </c>
      <c r="I353" s="16" t="str">
        <f>SUBSTITUTE(Github!L$350, ";", ", ")</f>
        <v>Array, Hash Table, Two Pointers, Binary Search, Sorting, </v>
      </c>
      <c r="J353" s="13" t="str">
        <f>Github!E$350</f>
        <v>Easy</v>
      </c>
      <c r="K353" s="13" t="str">
        <f>IF(TRIM(Github!D$350)="TRUE","FALSE","TRUE")</f>
        <v>TRUE</v>
      </c>
      <c r="L353" s="13" t="b">
        <f>Github!M$350</f>
        <v>1</v>
      </c>
      <c r="M353" s="13" t="b">
        <f>Github!N$350</f>
        <v>0</v>
      </c>
      <c r="N353" s="13">
        <f>Github!P$350</f>
        <v>789044</v>
      </c>
      <c r="O353" s="13">
        <f>Github!Q$350</f>
        <v>1118986</v>
      </c>
    </row>
    <row r="354">
      <c r="A354" s="13">
        <f>Github!J$1643</f>
        <v>1642</v>
      </c>
      <c r="B354" s="14" t="str">
        <f>HYPERLINK(CONCAT("http://leetcode.com/problems/",Github!C$1643), Github!B$1643)</f>
        <v>Furthest Building You Can Reach</v>
      </c>
      <c r="C354" s="13">
        <f>Github!F$1643</f>
        <v>4050</v>
      </c>
      <c r="D354" s="13">
        <f>Github!G$1643</f>
        <v>85</v>
      </c>
      <c r="E354" s="13">
        <f>Github!F$1643+Github!G$1643</f>
        <v>4135</v>
      </c>
      <c r="F354" s="15">
        <f t="shared" si="1"/>
        <v>47.65</v>
      </c>
      <c r="G354" s="13" t="str">
        <f>ROUND(Github!O$1643, 2)&amp;"%"</f>
        <v>48.29%</v>
      </c>
      <c r="H354" s="13" t="str">
        <f>Github!H$1643</f>
        <v>Algorithms</v>
      </c>
      <c r="I354" s="16" t="str">
        <f>SUBSTITUTE(Github!L$1643, ";", ", ")</f>
        <v>Array, Greedy, Heap (Priority Queue), </v>
      </c>
      <c r="J354" s="13" t="str">
        <f>Github!E$1643</f>
        <v>Medium</v>
      </c>
      <c r="K354" s="13" t="str">
        <f>IF(TRIM(Github!D$1643)="TRUE","FALSE","TRUE")</f>
        <v>TRUE</v>
      </c>
      <c r="L354" s="13" t="b">
        <f>Github!M$1643</f>
        <v>1</v>
      </c>
      <c r="M354" s="13" t="b">
        <f>Github!N$1643</f>
        <v>0</v>
      </c>
      <c r="N354" s="13">
        <f>Github!P$1643</f>
        <v>109634</v>
      </c>
      <c r="O354" s="13">
        <f>Github!Q$1643</f>
        <v>227023</v>
      </c>
    </row>
    <row r="355">
      <c r="A355" s="13">
        <f>Github!J$906</f>
        <v>905</v>
      </c>
      <c r="B355" s="14" t="str">
        <f>HYPERLINK(CONCAT("http://leetcode.com/problems/",Github!C$906), Github!B$906)</f>
        <v>Sort Array By Parity</v>
      </c>
      <c r="C355" s="13">
        <f>Github!F$906</f>
        <v>4057</v>
      </c>
      <c r="D355" s="13">
        <f>Github!G$906</f>
        <v>132</v>
      </c>
      <c r="E355" s="13">
        <f>Github!F$906+Github!G$906</f>
        <v>4189</v>
      </c>
      <c r="F355" s="15">
        <f t="shared" si="1"/>
        <v>30.73</v>
      </c>
      <c r="G355" s="13" t="str">
        <f>ROUND(Github!O$906, 2)&amp;"%"</f>
        <v>75.63%</v>
      </c>
      <c r="H355" s="13" t="str">
        <f>Github!H$906</f>
        <v>Algorithms</v>
      </c>
      <c r="I355" s="16" t="str">
        <f>SUBSTITUTE(Github!L$906, ";", ", ")</f>
        <v>Array, Two Pointers, Sorting, </v>
      </c>
      <c r="J355" s="13" t="str">
        <f>Github!E$906</f>
        <v>Easy</v>
      </c>
      <c r="K355" s="13" t="str">
        <f>IF(TRIM(Github!D$906)="TRUE","FALSE","TRUE")</f>
        <v>TRUE</v>
      </c>
      <c r="L355" s="13" t="b">
        <f>Github!M$906</f>
        <v>1</v>
      </c>
      <c r="M355" s="13" t="b">
        <f>Github!N$906</f>
        <v>0</v>
      </c>
      <c r="N355" s="13">
        <f>Github!P$906</f>
        <v>570177</v>
      </c>
      <c r="O355" s="13">
        <f>Github!Q$906</f>
        <v>753862</v>
      </c>
    </row>
    <row r="356">
      <c r="A356" s="13">
        <f>Github!J$1047</f>
        <v>1046</v>
      </c>
      <c r="B356" s="14" t="str">
        <f>HYPERLINK(CONCAT("http://leetcode.com/problems/",Github!C$1047), Github!B$1047)</f>
        <v>Last Stone Weight</v>
      </c>
      <c r="C356" s="13">
        <f>Github!F$1047</f>
        <v>4081</v>
      </c>
      <c r="D356" s="13">
        <f>Github!G$1047</f>
        <v>77</v>
      </c>
      <c r="E356" s="13">
        <f>Github!F$1047+Github!G$1047</f>
        <v>4158</v>
      </c>
      <c r="F356" s="15">
        <f t="shared" si="1"/>
        <v>53</v>
      </c>
      <c r="G356" s="13" t="str">
        <f>ROUND(Github!O$1047, 2)&amp;"%"</f>
        <v>64.78%</v>
      </c>
      <c r="H356" s="13" t="str">
        <f>Github!H$1047</f>
        <v>Algorithms</v>
      </c>
      <c r="I356" s="16" t="str">
        <f>SUBSTITUTE(Github!L$1047, ";", ", ")</f>
        <v>Array, Heap (Priority Queue), </v>
      </c>
      <c r="J356" s="13" t="str">
        <f>Github!E$1047</f>
        <v>Easy</v>
      </c>
      <c r="K356" s="13" t="str">
        <f>IF(TRIM(Github!D$1047)="TRUE","FALSE","TRUE")</f>
        <v>TRUE</v>
      </c>
      <c r="L356" s="13" t="b">
        <f>Github!M$1047</f>
        <v>1</v>
      </c>
      <c r="M356" s="13" t="b">
        <f>Github!N$1047</f>
        <v>0</v>
      </c>
      <c r="N356" s="13">
        <f>Github!P$1047</f>
        <v>372462</v>
      </c>
      <c r="O356" s="13">
        <f>Github!Q$1047</f>
        <v>574938</v>
      </c>
    </row>
    <row r="357">
      <c r="A357" s="13">
        <f>Github!J$460</f>
        <v>459</v>
      </c>
      <c r="B357" s="14" t="str">
        <f>HYPERLINK(CONCAT("http://leetcode.com/problems/",Github!C$460), Github!B$460)</f>
        <v>Repeated Substring Pattern</v>
      </c>
      <c r="C357" s="13">
        <f>Github!F$460</f>
        <v>4038</v>
      </c>
      <c r="D357" s="13">
        <f>Github!G$460</f>
        <v>364</v>
      </c>
      <c r="E357" s="13">
        <f>Github!F$460+Github!G$460</f>
        <v>4402</v>
      </c>
      <c r="F357" s="15">
        <f t="shared" si="1"/>
        <v>11.09</v>
      </c>
      <c r="G357" s="13" t="str">
        <f>ROUND(Github!O$460, 2)&amp;"%"</f>
        <v>43.69%</v>
      </c>
      <c r="H357" s="13" t="str">
        <f>Github!H$460</f>
        <v>Algorithms</v>
      </c>
      <c r="I357" s="16" t="str">
        <f>SUBSTITUTE(Github!L$460, ";", ", ")</f>
        <v>String, String Matching, </v>
      </c>
      <c r="J357" s="13" t="str">
        <f>Github!E$460</f>
        <v>Easy</v>
      </c>
      <c r="K357" s="13" t="str">
        <f>IF(TRIM(Github!D$460)="TRUE","FALSE","TRUE")</f>
        <v>TRUE</v>
      </c>
      <c r="L357" s="13" t="b">
        <f>Github!M$460</f>
        <v>1</v>
      </c>
      <c r="M357" s="13" t="b">
        <f>Github!N$460</f>
        <v>0</v>
      </c>
      <c r="N357" s="13">
        <f>Github!P$460</f>
        <v>278048</v>
      </c>
      <c r="O357" s="13">
        <f>Github!Q$460</f>
        <v>636349</v>
      </c>
    </row>
    <row r="358">
      <c r="A358" s="13">
        <f>Github!J$1278</f>
        <v>1277</v>
      </c>
      <c r="B358" s="14" t="str">
        <f>HYPERLINK(CONCAT("http://leetcode.com/problems/",Github!C$1278), Github!B$1278)</f>
        <v>Count Square Submatrices with All Ones</v>
      </c>
      <c r="C358" s="13">
        <f>Github!F$1278</f>
        <v>4026</v>
      </c>
      <c r="D358" s="13">
        <f>Github!G$1278</f>
        <v>69</v>
      </c>
      <c r="E358" s="13">
        <f>Github!F$1278+Github!G$1278</f>
        <v>4095</v>
      </c>
      <c r="F358" s="15">
        <f t="shared" si="1"/>
        <v>58.35</v>
      </c>
      <c r="G358" s="13" t="str">
        <f>ROUND(Github!O$1278, 2)&amp;"%"</f>
        <v>74.42%</v>
      </c>
      <c r="H358" s="13" t="str">
        <f>Github!H$1278</f>
        <v>Algorithms</v>
      </c>
      <c r="I358" s="16" t="str">
        <f>SUBSTITUTE(Github!L$1278, ";", ", ")</f>
        <v>Array, Dynamic Programming, Matrix, </v>
      </c>
      <c r="J358" s="13" t="str">
        <f>Github!E$1278</f>
        <v>Medium</v>
      </c>
      <c r="K358" s="13" t="str">
        <f>IF(TRIM(Github!D$1278)="TRUE","FALSE","TRUE")</f>
        <v>TRUE</v>
      </c>
      <c r="L358" s="13" t="b">
        <f>Github!M$1278</f>
        <v>0</v>
      </c>
      <c r="M358" s="13" t="b">
        <f>Github!N$1278</f>
        <v>0</v>
      </c>
      <c r="N358" s="13">
        <f>Github!P$1278</f>
        <v>186766</v>
      </c>
      <c r="O358" s="13">
        <f>Github!Q$1278</f>
        <v>250949</v>
      </c>
    </row>
    <row r="359">
      <c r="A359" s="13">
        <f>Github!J$270</f>
        <v>269</v>
      </c>
      <c r="B359" s="14" t="str">
        <f>HYPERLINK(CONCAT("http://leetcode.com/problems/",Github!C$270), Github!B$270)</f>
        <v>Alien Dictionary</v>
      </c>
      <c r="C359" s="13">
        <f>Github!F$270</f>
        <v>4015</v>
      </c>
      <c r="D359" s="13">
        <f>Github!G$270</f>
        <v>848</v>
      </c>
      <c r="E359" s="13">
        <f>Github!F$270+Github!G$270</f>
        <v>4863</v>
      </c>
      <c r="F359" s="15">
        <f t="shared" si="1"/>
        <v>4.73</v>
      </c>
      <c r="G359" s="13" t="str">
        <f>ROUND(Github!O$270, 2)&amp;"%"</f>
        <v>35.3%</v>
      </c>
      <c r="H359" s="13" t="str">
        <f>Github!H$270</f>
        <v>Algorithms</v>
      </c>
      <c r="I359" s="16" t="str">
        <f>SUBSTITUTE(Github!L$270, ";", ", ")</f>
        <v>Array, String, Depth-First Search, Breadth-First Search, Graph, Topological Sort, </v>
      </c>
      <c r="J359" s="13" t="str">
        <f>Github!E$270</f>
        <v>Hard</v>
      </c>
      <c r="K359" s="13" t="str">
        <f>IF(TRIM(Github!D$270)="TRUE","FALSE","TRUE")</f>
        <v>FALSE</v>
      </c>
      <c r="L359" s="13" t="b">
        <f>Github!M$270</f>
        <v>1</v>
      </c>
      <c r="M359" s="13" t="b">
        <f>Github!N$270</f>
        <v>0</v>
      </c>
      <c r="N359" s="13">
        <f>Github!P$270</f>
        <v>325854</v>
      </c>
      <c r="O359" s="13">
        <f>Github!Q$270</f>
        <v>922994</v>
      </c>
    </row>
    <row r="360">
      <c r="A360" s="13">
        <f>Github!J$660</f>
        <v>659</v>
      </c>
      <c r="B360" s="14" t="str">
        <f>HYPERLINK(CONCAT("http://leetcode.com/problems/",Github!C$660), Github!B$660)</f>
        <v>Split Array into Consecutive Subsequences</v>
      </c>
      <c r="C360" s="13">
        <f>Github!F$660</f>
        <v>4007</v>
      </c>
      <c r="D360" s="13">
        <f>Github!G$660</f>
        <v>759</v>
      </c>
      <c r="E360" s="13">
        <f>Github!F$660+Github!G$660</f>
        <v>4766</v>
      </c>
      <c r="F360" s="15">
        <f t="shared" si="1"/>
        <v>5.28</v>
      </c>
      <c r="G360" s="13" t="str">
        <f>ROUND(Github!O$660, 2)&amp;"%"</f>
        <v>50.69%</v>
      </c>
      <c r="H360" s="13" t="str">
        <f>Github!H$660</f>
        <v>Algorithms</v>
      </c>
      <c r="I360" s="16" t="str">
        <f>SUBSTITUTE(Github!L$660, ";", ", ")</f>
        <v>Array, Hash Table, Greedy, Heap (Priority Queue), </v>
      </c>
      <c r="J360" s="13" t="str">
        <f>Github!E$660</f>
        <v>Medium</v>
      </c>
      <c r="K360" s="13" t="str">
        <f>IF(TRIM(Github!D$660)="TRUE","FALSE","TRUE")</f>
        <v>TRUE</v>
      </c>
      <c r="L360" s="13" t="b">
        <f>Github!M$660</f>
        <v>1</v>
      </c>
      <c r="M360" s="13" t="b">
        <f>Github!N$660</f>
        <v>0</v>
      </c>
      <c r="N360" s="13">
        <f>Github!P$660</f>
        <v>119922</v>
      </c>
      <c r="O360" s="13">
        <f>Github!Q$660</f>
        <v>236588</v>
      </c>
    </row>
    <row r="361">
      <c r="A361" s="13">
        <f>Github!J$785</f>
        <v>784</v>
      </c>
      <c r="B361" s="14" t="str">
        <f>HYPERLINK(CONCAT("http://leetcode.com/problems/",Github!C$785), Github!B$785)</f>
        <v>Letter Case Permutation</v>
      </c>
      <c r="C361" s="13">
        <f>Github!F$785</f>
        <v>4006</v>
      </c>
      <c r="D361" s="13">
        <f>Github!G$785</f>
        <v>150</v>
      </c>
      <c r="E361" s="13">
        <f>Github!F$785+Github!G$785</f>
        <v>4156</v>
      </c>
      <c r="F361" s="15">
        <f t="shared" si="1"/>
        <v>26.71</v>
      </c>
      <c r="G361" s="13" t="str">
        <f>ROUND(Github!O$785, 2)&amp;"%"</f>
        <v>73.59%</v>
      </c>
      <c r="H361" s="13" t="str">
        <f>Github!H$785</f>
        <v>Algorithms</v>
      </c>
      <c r="I361" s="16" t="str">
        <f>SUBSTITUTE(Github!L$785, ";", ", ")</f>
        <v>String, Backtracking, Bit Manipulation, </v>
      </c>
      <c r="J361" s="13" t="str">
        <f>Github!E$785</f>
        <v>Medium</v>
      </c>
      <c r="K361" s="13" t="str">
        <f>IF(TRIM(Github!D$785)="TRUE","FALSE","TRUE")</f>
        <v>TRUE</v>
      </c>
      <c r="L361" s="13" t="b">
        <f>Github!M$785</f>
        <v>1</v>
      </c>
      <c r="M361" s="13" t="b">
        <f>Github!N$785</f>
        <v>0</v>
      </c>
      <c r="N361" s="13">
        <f>Github!P$785</f>
        <v>256163</v>
      </c>
      <c r="O361" s="13">
        <f>Github!Q$785</f>
        <v>348084</v>
      </c>
    </row>
    <row r="362">
      <c r="A362" s="13">
        <f>Github!J$369</f>
        <v>368</v>
      </c>
      <c r="B362" s="14" t="str">
        <f>HYPERLINK(CONCAT("http://leetcode.com/problems/",Github!C$369), Github!B$369)</f>
        <v>Largest Divisible Subset</v>
      </c>
      <c r="C362" s="13">
        <f>Github!F$369</f>
        <v>4034</v>
      </c>
      <c r="D362" s="13">
        <f>Github!G$369</f>
        <v>165</v>
      </c>
      <c r="E362" s="13">
        <f>Github!F$369+Github!G$369</f>
        <v>4199</v>
      </c>
      <c r="F362" s="15">
        <f t="shared" si="1"/>
        <v>24.45</v>
      </c>
      <c r="G362" s="13" t="str">
        <f>ROUND(Github!O$369, 2)&amp;"%"</f>
        <v>41.34%</v>
      </c>
      <c r="H362" s="13" t="str">
        <f>Github!H$369</f>
        <v>Algorithms</v>
      </c>
      <c r="I362" s="16" t="str">
        <f>SUBSTITUTE(Github!L$369, ";", ", ")</f>
        <v>Array, Math, Dynamic Programming, Sorting, </v>
      </c>
      <c r="J362" s="13" t="str">
        <f>Github!E$369</f>
        <v>Medium</v>
      </c>
      <c r="K362" s="13" t="str">
        <f>IF(TRIM(Github!D$369)="TRUE","FALSE","TRUE")</f>
        <v>TRUE</v>
      </c>
      <c r="L362" s="13" t="b">
        <f>Github!M$369</f>
        <v>1</v>
      </c>
      <c r="M362" s="13" t="b">
        <f>Github!N$369</f>
        <v>0</v>
      </c>
      <c r="N362" s="13">
        <f>Github!P$369</f>
        <v>169772</v>
      </c>
      <c r="O362" s="13">
        <f>Github!Q$369</f>
        <v>410698</v>
      </c>
    </row>
    <row r="363">
      <c r="A363" s="13">
        <f>Github!J$108</f>
        <v>107</v>
      </c>
      <c r="B363" s="14" t="str">
        <f>HYPERLINK(CONCAT("http://leetcode.com/problems/",Github!C$108), Github!B$108)</f>
        <v>Binary Tree Level Order Traversal II</v>
      </c>
      <c r="C363" s="13">
        <f>Github!F$108</f>
        <v>3989</v>
      </c>
      <c r="D363" s="13">
        <f>Github!G$108</f>
        <v>307</v>
      </c>
      <c r="E363" s="13">
        <f>Github!F$108+Github!G$108</f>
        <v>4296</v>
      </c>
      <c r="F363" s="15">
        <f t="shared" si="1"/>
        <v>12.99</v>
      </c>
      <c r="G363" s="13" t="str">
        <f>ROUND(Github!O$108, 2)&amp;"%"</f>
        <v>60.62%</v>
      </c>
      <c r="H363" s="13" t="str">
        <f>Github!H$108</f>
        <v>Algorithms</v>
      </c>
      <c r="I363" s="16" t="str">
        <f>SUBSTITUTE(Github!L$108, ";", ", ")</f>
        <v>Tree, Breadth-First Search, Binary Tree, </v>
      </c>
      <c r="J363" s="13" t="str">
        <f>Github!E$108</f>
        <v>Medium</v>
      </c>
      <c r="K363" s="13" t="str">
        <f>IF(TRIM(Github!D$108)="TRUE","FALSE","TRUE")</f>
        <v>TRUE</v>
      </c>
      <c r="L363" s="13" t="b">
        <f>Github!M$108</f>
        <v>1</v>
      </c>
      <c r="M363" s="13" t="b">
        <f>Github!N$108</f>
        <v>0</v>
      </c>
      <c r="N363" s="13">
        <f>Github!P$108</f>
        <v>555328</v>
      </c>
      <c r="O363" s="13">
        <f>Github!Q$108</f>
        <v>916036</v>
      </c>
    </row>
    <row r="364">
      <c r="A364" s="13">
        <f>Github!J$191</f>
        <v>190</v>
      </c>
      <c r="B364" s="14" t="str">
        <f>HYPERLINK(CONCAT("http://leetcode.com/problems/",Github!C$191), Github!B$191)</f>
        <v>Reverse Bits</v>
      </c>
      <c r="C364" s="13">
        <f>Github!F$191</f>
        <v>3991</v>
      </c>
      <c r="D364" s="13">
        <f>Github!G$191</f>
        <v>1017</v>
      </c>
      <c r="E364" s="13">
        <f>Github!F$191+Github!G$191</f>
        <v>5008</v>
      </c>
      <c r="F364" s="15">
        <f t="shared" si="1"/>
        <v>3.92</v>
      </c>
      <c r="G364" s="13" t="str">
        <f>ROUND(Github!O$191, 2)&amp;"%"</f>
        <v>52.89%</v>
      </c>
      <c r="H364" s="13" t="str">
        <f>Github!H$191</f>
        <v>Algorithms</v>
      </c>
      <c r="I364" s="16" t="str">
        <f>SUBSTITUTE(Github!L$191, ";", ", ")</f>
        <v>Divide and Conquer, Bit Manipulation, </v>
      </c>
      <c r="J364" s="13" t="str">
        <f>Github!E$191</f>
        <v>Easy</v>
      </c>
      <c r="K364" s="13" t="str">
        <f>IF(TRIM(Github!D$191)="TRUE","FALSE","TRUE")</f>
        <v>TRUE</v>
      </c>
      <c r="L364" s="13" t="b">
        <f>Github!M$191</f>
        <v>1</v>
      </c>
      <c r="M364" s="13" t="b">
        <f>Github!N$191</f>
        <v>0</v>
      </c>
      <c r="N364" s="13">
        <f>Github!P$191</f>
        <v>578030</v>
      </c>
      <c r="O364" s="13">
        <f>Github!Q$191</f>
        <v>1092852</v>
      </c>
    </row>
    <row r="365">
      <c r="A365" s="13">
        <f>Github!J$453</f>
        <v>452</v>
      </c>
      <c r="B365" s="14" t="str">
        <f>HYPERLINK(CONCAT("http://leetcode.com/problems/",Github!C$453), Github!B$453)</f>
        <v>Minimum Number of Arrows to Burst Balloons</v>
      </c>
      <c r="C365" s="13">
        <f>Github!F$453</f>
        <v>3962</v>
      </c>
      <c r="D365" s="13">
        <f>Github!G$453</f>
        <v>114</v>
      </c>
      <c r="E365" s="13">
        <f>Github!F$453+Github!G$453</f>
        <v>4076</v>
      </c>
      <c r="F365" s="15">
        <f t="shared" si="1"/>
        <v>34.75</v>
      </c>
      <c r="G365" s="13" t="str">
        <f>ROUND(Github!O$453, 2)&amp;"%"</f>
        <v>53.2%</v>
      </c>
      <c r="H365" s="13" t="str">
        <f>Github!H$453</f>
        <v>Algorithms</v>
      </c>
      <c r="I365" s="16" t="str">
        <f>SUBSTITUTE(Github!L$453, ";", ", ")</f>
        <v>Array, Greedy, Sorting, </v>
      </c>
      <c r="J365" s="13" t="str">
        <f>Github!E$453</f>
        <v>Medium</v>
      </c>
      <c r="K365" s="13" t="str">
        <f>IF(TRIM(Github!D$453)="TRUE","FALSE","TRUE")</f>
        <v>TRUE</v>
      </c>
      <c r="L365" s="13" t="b">
        <f>Github!M$453</f>
        <v>1</v>
      </c>
      <c r="M365" s="13" t="b">
        <f>Github!N$453</f>
        <v>0</v>
      </c>
      <c r="N365" s="13">
        <f>Github!P$453</f>
        <v>213253</v>
      </c>
      <c r="O365" s="13">
        <f>Github!Q$453</f>
        <v>400882</v>
      </c>
    </row>
    <row r="366">
      <c r="A366" s="13">
        <f>Github!J$919</f>
        <v>918</v>
      </c>
      <c r="B366" s="14" t="str">
        <f>HYPERLINK(CONCAT("http://leetcode.com/problems/",Github!C$919), Github!B$919)</f>
        <v>Maximum Sum Circular Subarray</v>
      </c>
      <c r="C366" s="13">
        <f>Github!F$919</f>
        <v>3969</v>
      </c>
      <c r="D366" s="13">
        <f>Github!G$919</f>
        <v>181</v>
      </c>
      <c r="E366" s="13">
        <f>Github!F$919+Github!G$919</f>
        <v>4150</v>
      </c>
      <c r="F366" s="15">
        <f t="shared" si="1"/>
        <v>21.93</v>
      </c>
      <c r="G366" s="13" t="str">
        <f>ROUND(Github!O$919, 2)&amp;"%"</f>
        <v>38.31%</v>
      </c>
      <c r="H366" s="13" t="str">
        <f>Github!H$919</f>
        <v>Algorithms</v>
      </c>
      <c r="I366" s="16" t="str">
        <f>SUBSTITUTE(Github!L$919, ";", ", ")</f>
        <v>Array, Divide and Conquer, Dynamic Programming, Queue, Monotonic Queue, </v>
      </c>
      <c r="J366" s="13" t="str">
        <f>Github!E$919</f>
        <v>Medium</v>
      </c>
      <c r="K366" s="13" t="str">
        <f>IF(TRIM(Github!D$919)="TRUE","FALSE","TRUE")</f>
        <v>TRUE</v>
      </c>
      <c r="L366" s="13" t="b">
        <f>Github!M$919</f>
        <v>1</v>
      </c>
      <c r="M366" s="13" t="b">
        <f>Github!N$919</f>
        <v>0</v>
      </c>
      <c r="N366" s="13">
        <f>Github!P$919</f>
        <v>145127</v>
      </c>
      <c r="O366" s="13">
        <f>Github!Q$919</f>
        <v>378871</v>
      </c>
    </row>
    <row r="367">
      <c r="A367" s="13">
        <f>Github!J$461</f>
        <v>460</v>
      </c>
      <c r="B367" s="14" t="str">
        <f>HYPERLINK(CONCAT("http://leetcode.com/problems/",Github!C$461), Github!B$461)</f>
        <v>LFU Cache</v>
      </c>
      <c r="C367" s="13">
        <f>Github!F$461</f>
        <v>3945</v>
      </c>
      <c r="D367" s="13">
        <f>Github!G$461</f>
        <v>242</v>
      </c>
      <c r="E367" s="13">
        <f>Github!F$461+Github!G$461</f>
        <v>4187</v>
      </c>
      <c r="F367" s="15">
        <f t="shared" si="1"/>
        <v>16.3</v>
      </c>
      <c r="G367" s="13" t="str">
        <f>ROUND(Github!O$461, 2)&amp;"%"</f>
        <v>40.47%</v>
      </c>
      <c r="H367" s="13" t="str">
        <f>Github!H$461</f>
        <v>Algorithms</v>
      </c>
      <c r="I367" s="16" t="str">
        <f>SUBSTITUTE(Github!L$461, ";", ", ")</f>
        <v>Hash Table, Linked List, Design, Doubly-Linked List, </v>
      </c>
      <c r="J367" s="13" t="str">
        <f>Github!E$461</f>
        <v>Hard</v>
      </c>
      <c r="K367" s="13" t="str">
        <f>IF(TRIM(Github!D$461)="TRUE","FALSE","TRUE")</f>
        <v>TRUE</v>
      </c>
      <c r="L367" s="13" t="b">
        <f>Github!M$461</f>
        <v>1</v>
      </c>
      <c r="M367" s="13" t="b">
        <f>Github!N$461</f>
        <v>0</v>
      </c>
      <c r="N367" s="13">
        <f>Github!P$461</f>
        <v>175284</v>
      </c>
      <c r="O367" s="13">
        <f>Github!Q$461</f>
        <v>433171</v>
      </c>
    </row>
    <row r="368">
      <c r="A368" s="13">
        <f>Github!J$842</f>
        <v>841</v>
      </c>
      <c r="B368" s="14" t="str">
        <f>HYPERLINK(CONCAT("http://leetcode.com/problems/",Github!C$842), Github!B$842)</f>
        <v>Keys and Rooms</v>
      </c>
      <c r="C368" s="13">
        <f>Github!F$842</f>
        <v>4938</v>
      </c>
      <c r="D368" s="13">
        <f>Github!G$842</f>
        <v>230</v>
      </c>
      <c r="E368" s="13">
        <f>Github!F$842+Github!G$842</f>
        <v>5168</v>
      </c>
      <c r="F368" s="15">
        <f t="shared" si="1"/>
        <v>21.47</v>
      </c>
      <c r="G368" s="13" t="str">
        <f>ROUND(Github!O$842, 2)&amp;"%"</f>
        <v>71.26%</v>
      </c>
      <c r="H368" s="13" t="str">
        <f>Github!H$842</f>
        <v>Algorithms</v>
      </c>
      <c r="I368" s="16" t="str">
        <f>SUBSTITUTE(Github!L$842, ";", ", ")</f>
        <v>Depth-First Search, Breadth-First Search, Graph, </v>
      </c>
      <c r="J368" s="13" t="str">
        <f>Github!E$842</f>
        <v>Medium</v>
      </c>
      <c r="K368" s="13" t="str">
        <f>IF(TRIM(Github!D$842)="TRUE","FALSE","TRUE")</f>
        <v>TRUE</v>
      </c>
      <c r="L368" s="13" t="b">
        <f>Github!M$842</f>
        <v>1</v>
      </c>
      <c r="M368" s="13" t="b">
        <f>Github!N$842</f>
        <v>0</v>
      </c>
      <c r="N368" s="13">
        <f>Github!P$842</f>
        <v>300888</v>
      </c>
      <c r="O368" s="13">
        <f>Github!Q$842</f>
        <v>422230</v>
      </c>
    </row>
    <row r="369">
      <c r="A369" s="13">
        <f>Github!J$1303</f>
        <v>1302</v>
      </c>
      <c r="B369" s="14" t="str">
        <f>HYPERLINK(CONCAT("http://leetcode.com/problems/",Github!C$1303), Github!B$1303)</f>
        <v>Deepest Leaves Sum</v>
      </c>
      <c r="C369" s="13">
        <f>Github!F$1303</f>
        <v>3949</v>
      </c>
      <c r="D369" s="13">
        <f>Github!G$1303</f>
        <v>104</v>
      </c>
      <c r="E369" s="13">
        <f>Github!F$1303+Github!G$1303</f>
        <v>4053</v>
      </c>
      <c r="F369" s="15">
        <f t="shared" si="1"/>
        <v>37.97</v>
      </c>
      <c r="G369" s="13" t="str">
        <f>ROUND(Github!O$1303, 2)&amp;"%"</f>
        <v>86.8%</v>
      </c>
      <c r="H369" s="13" t="str">
        <f>Github!H$1303</f>
        <v>Algorithms</v>
      </c>
      <c r="I369" s="16" t="str">
        <f>SUBSTITUTE(Github!L$1303, ";", ", ")</f>
        <v>Tree, Depth-First Search, Breadth-First Search, Binary Tree, </v>
      </c>
      <c r="J369" s="13" t="str">
        <f>Github!E$1303</f>
        <v>Medium</v>
      </c>
      <c r="K369" s="13" t="str">
        <f>IF(TRIM(Github!D$1303)="TRUE","FALSE","TRUE")</f>
        <v>TRUE</v>
      </c>
      <c r="L369" s="13" t="b">
        <f>Github!M$1303</f>
        <v>1</v>
      </c>
      <c r="M369" s="13" t="b">
        <f>Github!N$1303</f>
        <v>0</v>
      </c>
      <c r="N369" s="13">
        <f>Github!P$1303</f>
        <v>257180</v>
      </c>
      <c r="O369" s="13">
        <f>Github!Q$1303</f>
        <v>296288</v>
      </c>
    </row>
    <row r="370">
      <c r="A370" s="13">
        <f>Github!J$1269</f>
        <v>1268</v>
      </c>
      <c r="B370" s="14" t="str">
        <f>HYPERLINK(CONCAT("http://leetcode.com/problems/",Github!C$1269), Github!B$1269)</f>
        <v>Search Suggestions System</v>
      </c>
      <c r="C370" s="13">
        <f>Github!F$1269</f>
        <v>3935</v>
      </c>
      <c r="D370" s="13">
        <f>Github!G$1269</f>
        <v>189</v>
      </c>
      <c r="E370" s="13">
        <f>Github!F$1269+Github!G$1269</f>
        <v>4124</v>
      </c>
      <c r="F370" s="15">
        <f t="shared" si="1"/>
        <v>20.82</v>
      </c>
      <c r="G370" s="13" t="str">
        <f>ROUND(Github!O$1269, 2)&amp;"%"</f>
        <v>66.43%</v>
      </c>
      <c r="H370" s="13" t="str">
        <f>Github!H$1269</f>
        <v>Algorithms</v>
      </c>
      <c r="I370" s="16" t="str">
        <f>SUBSTITUTE(Github!L$1269, ";", ", ")</f>
        <v>Array, String, Trie, </v>
      </c>
      <c r="J370" s="13" t="str">
        <f>Github!E$1269</f>
        <v>Medium</v>
      </c>
      <c r="K370" s="13" t="str">
        <f>IF(TRIM(Github!D$1269)="TRUE","FALSE","TRUE")</f>
        <v>TRUE</v>
      </c>
      <c r="L370" s="13" t="b">
        <f>Github!M$1269</f>
        <v>1</v>
      </c>
      <c r="M370" s="13" t="b">
        <f>Github!N$1269</f>
        <v>0</v>
      </c>
      <c r="N370" s="13">
        <f>Github!P$1269</f>
        <v>239098</v>
      </c>
      <c r="O370" s="13">
        <f>Github!Q$1269</f>
        <v>359940</v>
      </c>
    </row>
    <row r="371">
      <c r="A371" s="13">
        <f>Github!J$1294</f>
        <v>1293</v>
      </c>
      <c r="B371" s="14" t="str">
        <f>HYPERLINK(CONCAT("http://leetcode.com/problems/",Github!C$1294), Github!B$1294)</f>
        <v>Shortest Path in a Grid with Obstacles Elimination</v>
      </c>
      <c r="C371" s="13">
        <f>Github!F$1294</f>
        <v>3927</v>
      </c>
      <c r="D371" s="13">
        <f>Github!G$1294</f>
        <v>71</v>
      </c>
      <c r="E371" s="13">
        <f>Github!F$1294+Github!G$1294</f>
        <v>3998</v>
      </c>
      <c r="F371" s="15">
        <f t="shared" si="1"/>
        <v>55.31</v>
      </c>
      <c r="G371" s="13" t="str">
        <f>ROUND(Github!O$1294, 2)&amp;"%"</f>
        <v>45.53%</v>
      </c>
      <c r="H371" s="13" t="str">
        <f>Github!H$1294</f>
        <v>Algorithms</v>
      </c>
      <c r="I371" s="16" t="str">
        <f>SUBSTITUTE(Github!L$1294, ";", ", ")</f>
        <v>Array, Breadth-First Search, Matrix, </v>
      </c>
      <c r="J371" s="13" t="str">
        <f>Github!E$1294</f>
        <v>Hard</v>
      </c>
      <c r="K371" s="13" t="str">
        <f>IF(TRIM(Github!D$1294)="TRUE","FALSE","TRUE")</f>
        <v>TRUE</v>
      </c>
      <c r="L371" s="13" t="b">
        <f>Github!M$1294</f>
        <v>1</v>
      </c>
      <c r="M371" s="13" t="b">
        <f>Github!N$1294</f>
        <v>0</v>
      </c>
      <c r="N371" s="13">
        <f>Github!P$1294</f>
        <v>170265</v>
      </c>
      <c r="O371" s="13">
        <f>Github!Q$1294</f>
        <v>373961</v>
      </c>
    </row>
    <row r="372">
      <c r="A372" s="13">
        <f>Github!J$947</f>
        <v>946</v>
      </c>
      <c r="B372" s="14" t="str">
        <f>HYPERLINK(CONCAT("http://leetcode.com/problems/",Github!C$947), Github!B$947)</f>
        <v>Validate Stack Sequences</v>
      </c>
      <c r="C372" s="13">
        <f>Github!F$947</f>
        <v>3901</v>
      </c>
      <c r="D372" s="13">
        <f>Github!G$947</f>
        <v>68</v>
      </c>
      <c r="E372" s="13">
        <f>Github!F$947+Github!G$947</f>
        <v>3969</v>
      </c>
      <c r="F372" s="15">
        <f t="shared" si="1"/>
        <v>57.37</v>
      </c>
      <c r="G372" s="13" t="str">
        <f>ROUND(Github!O$947, 2)&amp;"%"</f>
        <v>67.64%</v>
      </c>
      <c r="H372" s="13" t="str">
        <f>Github!H$947</f>
        <v>Algorithms</v>
      </c>
      <c r="I372" s="16" t="str">
        <f>SUBSTITUTE(Github!L$947, ";", ", ")</f>
        <v>Array, Stack, Simulation, </v>
      </c>
      <c r="J372" s="13" t="str">
        <f>Github!E$947</f>
        <v>Medium</v>
      </c>
      <c r="K372" s="13" t="str">
        <f>IF(TRIM(Github!D$947)="TRUE","FALSE","TRUE")</f>
        <v>TRUE</v>
      </c>
      <c r="L372" s="13" t="b">
        <f>Github!M$947</f>
        <v>1</v>
      </c>
      <c r="M372" s="13" t="b">
        <f>Github!N$947</f>
        <v>0</v>
      </c>
      <c r="N372" s="13">
        <f>Github!P$947</f>
        <v>193530</v>
      </c>
      <c r="O372" s="13">
        <f>Github!Q$947</f>
        <v>286132</v>
      </c>
    </row>
    <row r="373">
      <c r="A373" s="13">
        <f>Github!J$653</f>
        <v>652</v>
      </c>
      <c r="B373" s="14" t="str">
        <f>HYPERLINK(CONCAT("http://leetcode.com/problems/",Github!C$653), Github!B$653)</f>
        <v>Find Duplicate Subtrees</v>
      </c>
      <c r="C373" s="13">
        <f>Github!F$653</f>
        <v>3899</v>
      </c>
      <c r="D373" s="13">
        <f>Github!G$653</f>
        <v>331</v>
      </c>
      <c r="E373" s="13">
        <f>Github!F$653+Github!G$653</f>
        <v>4230</v>
      </c>
      <c r="F373" s="15">
        <f t="shared" si="1"/>
        <v>11.78</v>
      </c>
      <c r="G373" s="13" t="str">
        <f>ROUND(Github!O$653, 2)&amp;"%"</f>
        <v>56.5%</v>
      </c>
      <c r="H373" s="13" t="str">
        <f>Github!H$653</f>
        <v>Algorithms</v>
      </c>
      <c r="I373" s="16" t="str">
        <f>SUBSTITUTE(Github!L$653, ";", ", ")</f>
        <v>Hash Table, Tree, Depth-First Search, Binary Tree, </v>
      </c>
      <c r="J373" s="13" t="str">
        <f>Github!E$653</f>
        <v>Medium</v>
      </c>
      <c r="K373" s="13" t="str">
        <f>IF(TRIM(Github!D$653)="TRUE","FALSE","TRUE")</f>
        <v>TRUE</v>
      </c>
      <c r="L373" s="13" t="b">
        <f>Github!M$653</f>
        <v>0</v>
      </c>
      <c r="M373" s="13" t="b">
        <f>Github!N$653</f>
        <v>0</v>
      </c>
      <c r="N373" s="13">
        <f>Github!P$653</f>
        <v>178360</v>
      </c>
      <c r="O373" s="13">
        <f>Github!Q$653</f>
        <v>315669</v>
      </c>
    </row>
    <row r="374">
      <c r="A374" s="13">
        <f>Github!J$975</f>
        <v>974</v>
      </c>
      <c r="B374" s="14" t="str">
        <f>HYPERLINK(CONCAT("http://leetcode.com/problems/",Github!C$975), Github!B$975)</f>
        <v>Subarray Sums Divisible by K</v>
      </c>
      <c r="C374" s="13">
        <f>Github!F$975</f>
        <v>3891</v>
      </c>
      <c r="D374" s="13">
        <f>Github!G$975</f>
        <v>156</v>
      </c>
      <c r="E374" s="13">
        <f>Github!F$975+Github!G$975</f>
        <v>4047</v>
      </c>
      <c r="F374" s="15">
        <f t="shared" si="1"/>
        <v>24.94</v>
      </c>
      <c r="G374" s="13" t="str">
        <f>ROUND(Github!O$975, 2)&amp;"%"</f>
        <v>53.57%</v>
      </c>
      <c r="H374" s="13" t="str">
        <f>Github!H$975</f>
        <v>Algorithms</v>
      </c>
      <c r="I374" s="16" t="str">
        <f>SUBSTITUTE(Github!L$975, ";", ", ")</f>
        <v>Array, Hash Table, Prefix Sum, </v>
      </c>
      <c r="J374" s="13" t="str">
        <f>Github!E$975</f>
        <v>Medium</v>
      </c>
      <c r="K374" s="13" t="str">
        <f>IF(TRIM(Github!D$975)="TRUE","FALSE","TRUE")</f>
        <v>TRUE</v>
      </c>
      <c r="L374" s="13" t="b">
        <f>Github!M$975</f>
        <v>1</v>
      </c>
      <c r="M374" s="13" t="b">
        <f>Github!N$975</f>
        <v>0</v>
      </c>
      <c r="N374" s="13">
        <f>Github!P$975</f>
        <v>130249</v>
      </c>
      <c r="O374" s="13">
        <f>Github!Q$975</f>
        <v>243154</v>
      </c>
    </row>
    <row r="375">
      <c r="A375" s="13">
        <f>Github!J$172</f>
        <v>171</v>
      </c>
      <c r="B375" s="14" t="str">
        <f>HYPERLINK(CONCAT("http://leetcode.com/problems/",Github!C$172), Github!B$172)</f>
        <v>Excel Sheet Column Number</v>
      </c>
      <c r="C375" s="13">
        <f>Github!F$172</f>
        <v>3891</v>
      </c>
      <c r="D375" s="13">
        <f>Github!G$172</f>
        <v>313</v>
      </c>
      <c r="E375" s="13">
        <f>Github!F$172+Github!G$172</f>
        <v>4204</v>
      </c>
      <c r="F375" s="15">
        <f t="shared" si="1"/>
        <v>12.43</v>
      </c>
      <c r="G375" s="13" t="str">
        <f>ROUND(Github!O$172, 2)&amp;"%"</f>
        <v>61.61%</v>
      </c>
      <c r="H375" s="13" t="str">
        <f>Github!H$172</f>
        <v>Algorithms</v>
      </c>
      <c r="I375" s="16" t="str">
        <f>SUBSTITUTE(Github!L$172, ";", ", ")</f>
        <v>Math, String, </v>
      </c>
      <c r="J375" s="13" t="str">
        <f>Github!E$172</f>
        <v>Easy</v>
      </c>
      <c r="K375" s="13" t="str">
        <f>IF(TRIM(Github!D$172)="TRUE","FALSE","TRUE")</f>
        <v>TRUE</v>
      </c>
      <c r="L375" s="13" t="b">
        <f>Github!M$172</f>
        <v>1</v>
      </c>
      <c r="M375" s="13" t="b">
        <f>Github!N$172</f>
        <v>0</v>
      </c>
      <c r="N375" s="13">
        <f>Github!P$172</f>
        <v>564753</v>
      </c>
      <c r="O375" s="13">
        <f>Github!Q$172</f>
        <v>916694</v>
      </c>
    </row>
    <row r="376">
      <c r="A376" s="13">
        <f>Github!J$993</f>
        <v>992</v>
      </c>
      <c r="B376" s="14" t="str">
        <f>HYPERLINK(CONCAT("http://leetcode.com/problems/",Github!C$993), Github!B$993)</f>
        <v>Subarrays with K Different Integers</v>
      </c>
      <c r="C376" s="13">
        <f>Github!F$993</f>
        <v>3875</v>
      </c>
      <c r="D376" s="13">
        <f>Github!G$993</f>
        <v>56</v>
      </c>
      <c r="E376" s="13">
        <f>Github!F$993+Github!G$993</f>
        <v>3931</v>
      </c>
      <c r="F376" s="15">
        <f t="shared" si="1"/>
        <v>69.2</v>
      </c>
      <c r="G376" s="13" t="str">
        <f>ROUND(Github!O$993, 2)&amp;"%"</f>
        <v>54.49%</v>
      </c>
      <c r="H376" s="13" t="str">
        <f>Github!H$993</f>
        <v>Algorithms</v>
      </c>
      <c r="I376" s="16" t="str">
        <f>SUBSTITUTE(Github!L$993, ";", ", ")</f>
        <v>Array, Hash Table, Sliding Window, Counting, </v>
      </c>
      <c r="J376" s="13" t="str">
        <f>Github!E$993</f>
        <v>Hard</v>
      </c>
      <c r="K376" s="13" t="str">
        <f>IF(TRIM(Github!D$993)="TRUE","FALSE","TRUE")</f>
        <v>TRUE</v>
      </c>
      <c r="L376" s="13" t="b">
        <f>Github!M$993</f>
        <v>1</v>
      </c>
      <c r="M376" s="13" t="b">
        <f>Github!N$993</f>
        <v>0</v>
      </c>
      <c r="N376" s="13">
        <f>Github!P$993</f>
        <v>85915</v>
      </c>
      <c r="O376" s="13">
        <f>Github!Q$993</f>
        <v>157660</v>
      </c>
    </row>
    <row r="377">
      <c r="A377" s="13">
        <f>Github!J$1632</f>
        <v>1631</v>
      </c>
      <c r="B377" s="14" t="str">
        <f>HYPERLINK(CONCAT("http://leetcode.com/problems/",Github!C$1632), Github!B$1632)</f>
        <v>Path With Minimum Effort</v>
      </c>
      <c r="C377" s="13">
        <f>Github!F$1632</f>
        <v>3867</v>
      </c>
      <c r="D377" s="13">
        <f>Github!G$1632</f>
        <v>151</v>
      </c>
      <c r="E377" s="13">
        <f>Github!F$1632+Github!G$1632</f>
        <v>4018</v>
      </c>
      <c r="F377" s="15">
        <f t="shared" si="1"/>
        <v>25.61</v>
      </c>
      <c r="G377" s="13" t="str">
        <f>ROUND(Github!O$1632, 2)&amp;"%"</f>
        <v>55.43%</v>
      </c>
      <c r="H377" s="13" t="str">
        <f>Github!H$1632</f>
        <v>Algorithms</v>
      </c>
      <c r="I377" s="16" t="str">
        <f>SUBSTITUTE(Github!L$1632, ";", ", ")</f>
        <v>Array, Binary Search, Depth-First Search, Breadth-First Search, Union Find, Heap (Priority Queue), Matrix, </v>
      </c>
      <c r="J377" s="13" t="str">
        <f>Github!E$1632</f>
        <v>Medium</v>
      </c>
      <c r="K377" s="13" t="str">
        <f>IF(TRIM(Github!D$1632)="TRUE","FALSE","TRUE")</f>
        <v>TRUE</v>
      </c>
      <c r="L377" s="13" t="b">
        <f>Github!M$1632</f>
        <v>1</v>
      </c>
      <c r="M377" s="13" t="b">
        <f>Github!N$1632</f>
        <v>0</v>
      </c>
      <c r="N377" s="13">
        <f>Github!P$1632</f>
        <v>134712</v>
      </c>
      <c r="O377" s="13">
        <f>Github!Q$1632</f>
        <v>243028</v>
      </c>
    </row>
    <row r="378">
      <c r="A378" s="13">
        <f>Github!J$226</f>
        <v>225</v>
      </c>
      <c r="B378" s="14" t="str">
        <f>HYPERLINK(CONCAT("http://leetcode.com/problems/",Github!C$226), Github!B$226)</f>
        <v>Implement Stack using Queues</v>
      </c>
      <c r="C378" s="13">
        <f>Github!F$226</f>
        <v>3865</v>
      </c>
      <c r="D378" s="13">
        <f>Github!G$226</f>
        <v>948</v>
      </c>
      <c r="E378" s="13">
        <f>Github!F$226+Github!G$226</f>
        <v>4813</v>
      </c>
      <c r="F378" s="15">
        <f t="shared" si="1"/>
        <v>4.08</v>
      </c>
      <c r="G378" s="13" t="str">
        <f>ROUND(Github!O$226, 2)&amp;"%"</f>
        <v>58.03%</v>
      </c>
      <c r="H378" s="13" t="str">
        <f>Github!H$226</f>
        <v>Algorithms</v>
      </c>
      <c r="I378" s="16" t="str">
        <f>SUBSTITUTE(Github!L$226, ";", ", ")</f>
        <v>Stack, Design, Queue, </v>
      </c>
      <c r="J378" s="13" t="str">
        <f>Github!E$226</f>
        <v>Easy</v>
      </c>
      <c r="K378" s="13" t="str">
        <f>IF(TRIM(Github!D$226)="TRUE","FALSE","TRUE")</f>
        <v>TRUE</v>
      </c>
      <c r="L378" s="13" t="b">
        <f>Github!M$226</f>
        <v>1</v>
      </c>
      <c r="M378" s="13" t="b">
        <f>Github!N$226</f>
        <v>0</v>
      </c>
      <c r="N378" s="13">
        <f>Github!P$226</f>
        <v>413357</v>
      </c>
      <c r="O378" s="13">
        <f>Github!Q$226</f>
        <v>712381</v>
      </c>
    </row>
    <row r="379">
      <c r="A379" s="13">
        <f>Github!J$1027</f>
        <v>1026</v>
      </c>
      <c r="B379" s="14" t="str">
        <f>HYPERLINK(CONCAT("http://leetcode.com/problems/",Github!C$1027), Github!B$1027)</f>
        <v>Maximum Difference Between Node and Ancestor</v>
      </c>
      <c r="C379" s="13">
        <f>Github!F$1027</f>
        <v>3841</v>
      </c>
      <c r="D379" s="13">
        <f>Github!G$1027</f>
        <v>93</v>
      </c>
      <c r="E379" s="13">
        <f>Github!F$1027+Github!G$1027</f>
        <v>3934</v>
      </c>
      <c r="F379" s="15">
        <f t="shared" si="1"/>
        <v>41.3</v>
      </c>
      <c r="G379" s="13" t="str">
        <f>ROUND(Github!O$1027, 2)&amp;"%"</f>
        <v>75.79%</v>
      </c>
      <c r="H379" s="13" t="str">
        <f>Github!H$1027</f>
        <v>Algorithms</v>
      </c>
      <c r="I379" s="16" t="str">
        <f>SUBSTITUTE(Github!L$1027, ";", ", ")</f>
        <v>Tree, Depth-First Search, Binary Tree, </v>
      </c>
      <c r="J379" s="13" t="str">
        <f>Github!E$1027</f>
        <v>Medium</v>
      </c>
      <c r="K379" s="13" t="str">
        <f>IF(TRIM(Github!D$1027)="TRUE","FALSE","TRUE")</f>
        <v>TRUE</v>
      </c>
      <c r="L379" s="13" t="b">
        <f>Github!M$1027</f>
        <v>1</v>
      </c>
      <c r="M379" s="13" t="b">
        <f>Github!N$1027</f>
        <v>0</v>
      </c>
      <c r="N379" s="13">
        <f>Github!P$1027</f>
        <v>195863</v>
      </c>
      <c r="O379" s="13">
        <f>Github!Q$1027</f>
        <v>258421</v>
      </c>
    </row>
    <row r="380">
      <c r="A380" s="13">
        <f>Github!J$1659</f>
        <v>1658</v>
      </c>
      <c r="B380" s="14" t="str">
        <f>HYPERLINK(CONCAT("http://leetcode.com/problems/",Github!C$1659), Github!B$1659)</f>
        <v>Minimum Operations to Reduce X to Zero</v>
      </c>
      <c r="C380" s="13">
        <f>Github!F$1659</f>
        <v>3808</v>
      </c>
      <c r="D380" s="13">
        <f>Github!G$1659</f>
        <v>80</v>
      </c>
      <c r="E380" s="13">
        <f>Github!F$1659+Github!G$1659</f>
        <v>3888</v>
      </c>
      <c r="F380" s="15">
        <f t="shared" si="1"/>
        <v>47.6</v>
      </c>
      <c r="G380" s="13" t="str">
        <f>ROUND(Github!O$1659, 2)&amp;"%"</f>
        <v>37.59%</v>
      </c>
      <c r="H380" s="13" t="str">
        <f>Github!H$1659</f>
        <v>Algorithms</v>
      </c>
      <c r="I380" s="16" t="str">
        <f>SUBSTITUTE(Github!L$1659, ";", ", ")</f>
        <v>Array, Hash Table, Binary Search, Sliding Window, Prefix Sum, </v>
      </c>
      <c r="J380" s="13" t="str">
        <f>Github!E$1659</f>
        <v>Medium</v>
      </c>
      <c r="K380" s="13" t="str">
        <f>IF(TRIM(Github!D$1659)="TRUE","FALSE","TRUE")</f>
        <v>TRUE</v>
      </c>
      <c r="L380" s="13" t="b">
        <f>Github!M$1659</f>
        <v>1</v>
      </c>
      <c r="M380" s="13" t="b">
        <f>Github!N$1659</f>
        <v>0</v>
      </c>
      <c r="N380" s="13">
        <f>Github!P$1659</f>
        <v>107050</v>
      </c>
      <c r="O380" s="13">
        <f>Github!Q$1659</f>
        <v>284791</v>
      </c>
    </row>
    <row r="381">
      <c r="A381" s="13">
        <f>Github!J$707</f>
        <v>706</v>
      </c>
      <c r="B381" s="14" t="str">
        <f>HYPERLINK(CONCAT("http://leetcode.com/problems/",Github!C$707), Github!B$707)</f>
        <v>Design HashMap</v>
      </c>
      <c r="C381" s="13">
        <f>Github!F$707</f>
        <v>3812</v>
      </c>
      <c r="D381" s="13">
        <f>Github!G$707</f>
        <v>345</v>
      </c>
      <c r="E381" s="13">
        <f>Github!F$707+Github!G$707</f>
        <v>4157</v>
      </c>
      <c r="F381" s="15">
        <f t="shared" si="1"/>
        <v>11.05</v>
      </c>
      <c r="G381" s="13" t="str">
        <f>ROUND(Github!O$707, 2)&amp;"%"</f>
        <v>64.88%</v>
      </c>
      <c r="H381" s="13" t="str">
        <f>Github!H$707</f>
        <v>Algorithms</v>
      </c>
      <c r="I381" s="16" t="str">
        <f>SUBSTITUTE(Github!L$707, ";", ", ")</f>
        <v>Array, Hash Table, Linked List, Design, Hash Function, </v>
      </c>
      <c r="J381" s="13" t="str">
        <f>Github!E$707</f>
        <v>Easy</v>
      </c>
      <c r="K381" s="13" t="str">
        <f>IF(TRIM(Github!D$707)="TRUE","FALSE","TRUE")</f>
        <v>TRUE</v>
      </c>
      <c r="L381" s="13" t="b">
        <f>Github!M$707</f>
        <v>1</v>
      </c>
      <c r="M381" s="13" t="b">
        <f>Github!N$707</f>
        <v>0</v>
      </c>
      <c r="N381" s="13">
        <f>Github!P$707</f>
        <v>388660</v>
      </c>
      <c r="O381" s="13">
        <f>Github!Q$707</f>
        <v>599054</v>
      </c>
    </row>
    <row r="382">
      <c r="A382" s="13">
        <f>Github!J$30</f>
        <v>29</v>
      </c>
      <c r="B382" s="14" t="str">
        <f>HYPERLINK(CONCAT("http://leetcode.com/problems/",Github!C$30), Github!B$30)</f>
        <v>Divide Two Integers</v>
      </c>
      <c r="C382" s="13">
        <f>Github!F$30</f>
        <v>3804</v>
      </c>
      <c r="D382" s="13">
        <f>Github!G$30</f>
        <v>12367</v>
      </c>
      <c r="E382" s="13">
        <f>Github!F$30+Github!G$30</f>
        <v>16171</v>
      </c>
      <c r="F382" s="15">
        <f t="shared" si="1"/>
        <v>0.31</v>
      </c>
      <c r="G382" s="13" t="str">
        <f>ROUND(Github!O$30, 2)&amp;"%"</f>
        <v>17.27%</v>
      </c>
      <c r="H382" s="13" t="str">
        <f>Github!H$30</f>
        <v>Algorithms</v>
      </c>
      <c r="I382" s="16" t="str">
        <f>SUBSTITUTE(Github!L$30, ";", ", ")</f>
        <v>Math, Bit Manipulation, </v>
      </c>
      <c r="J382" s="13" t="str">
        <f>Github!E$30</f>
        <v>Medium</v>
      </c>
      <c r="K382" s="13" t="str">
        <f>IF(TRIM(Github!D$30)="TRUE","FALSE","TRUE")</f>
        <v>TRUE</v>
      </c>
      <c r="L382" s="13" t="b">
        <f>Github!M$30</f>
        <v>1</v>
      </c>
      <c r="M382" s="13" t="b">
        <f>Github!N$30</f>
        <v>0</v>
      </c>
      <c r="N382" s="13">
        <f>Github!P$30</f>
        <v>567370</v>
      </c>
      <c r="O382" s="13">
        <f>Github!Q$30</f>
        <v>3285143</v>
      </c>
    </row>
    <row r="383">
      <c r="A383" s="13">
        <f>Github!J$1095</f>
        <v>1094</v>
      </c>
      <c r="B383" s="14" t="str">
        <f>HYPERLINK(CONCAT("http://leetcode.com/problems/",Github!C$1095), Github!B$1095)</f>
        <v>Car Pooling</v>
      </c>
      <c r="C383" s="13">
        <f>Github!F$1095</f>
        <v>3779</v>
      </c>
      <c r="D383" s="13">
        <f>Github!G$1095</f>
        <v>79</v>
      </c>
      <c r="E383" s="13">
        <f>Github!F$1095+Github!G$1095</f>
        <v>3858</v>
      </c>
      <c r="F383" s="15">
        <f t="shared" si="1"/>
        <v>47.84</v>
      </c>
      <c r="G383" s="13" t="str">
        <f>ROUND(Github!O$1095, 2)&amp;"%"</f>
        <v>57.17%</v>
      </c>
      <c r="H383" s="13" t="str">
        <f>Github!H$1095</f>
        <v>Algorithms</v>
      </c>
      <c r="I383" s="16" t="str">
        <f>SUBSTITUTE(Github!L$1095, ";", ", ")</f>
        <v>Array, Sorting, Heap (Priority Queue), Simulation, Prefix Sum, </v>
      </c>
      <c r="J383" s="13" t="str">
        <f>Github!E$1095</f>
        <v>Medium</v>
      </c>
      <c r="K383" s="13" t="str">
        <f>IF(TRIM(Github!D$1095)="TRUE","FALSE","TRUE")</f>
        <v>TRUE</v>
      </c>
      <c r="L383" s="13" t="b">
        <f>Github!M$1095</f>
        <v>1</v>
      </c>
      <c r="M383" s="13" t="b">
        <f>Github!N$1095</f>
        <v>0</v>
      </c>
      <c r="N383" s="13">
        <f>Github!P$1095</f>
        <v>181912</v>
      </c>
      <c r="O383" s="13">
        <f>Github!Q$1095</f>
        <v>318175</v>
      </c>
    </row>
    <row r="384">
      <c r="A384" s="13">
        <f>Github!J$374</f>
        <v>373</v>
      </c>
      <c r="B384" s="14" t="str">
        <f>HYPERLINK(CONCAT("http://leetcode.com/problems/",Github!C$374), Github!B$374)</f>
        <v>Find K Pairs with Smallest Sums</v>
      </c>
      <c r="C384" s="13">
        <f>Github!F$374</f>
        <v>3780</v>
      </c>
      <c r="D384" s="13">
        <f>Github!G$374</f>
        <v>225</v>
      </c>
      <c r="E384" s="13">
        <f>Github!F$374+Github!G$374</f>
        <v>4005</v>
      </c>
      <c r="F384" s="15">
        <f t="shared" si="1"/>
        <v>16.8</v>
      </c>
      <c r="G384" s="13" t="str">
        <f>ROUND(Github!O$374, 2)&amp;"%"</f>
        <v>38.29%</v>
      </c>
      <c r="H384" s="13" t="str">
        <f>Github!H$374</f>
        <v>Algorithms</v>
      </c>
      <c r="I384" s="16" t="str">
        <f>SUBSTITUTE(Github!L$374, ";", ", ")</f>
        <v>Array, Heap (Priority Queue), </v>
      </c>
      <c r="J384" s="13" t="str">
        <f>Github!E$374</f>
        <v>Medium</v>
      </c>
      <c r="K384" s="13" t="str">
        <f>IF(TRIM(Github!D$374)="TRUE","FALSE","TRUE")</f>
        <v>TRUE</v>
      </c>
      <c r="L384" s="13" t="b">
        <f>Github!M$374</f>
        <v>0</v>
      </c>
      <c r="M384" s="13" t="b">
        <f>Github!N$374</f>
        <v>0</v>
      </c>
      <c r="N384" s="13">
        <f>Github!P$374</f>
        <v>191214</v>
      </c>
      <c r="O384" s="13">
        <f>Github!Q$374</f>
        <v>499384</v>
      </c>
    </row>
    <row r="385">
      <c r="A385" s="13">
        <f>Github!J$486</f>
        <v>485</v>
      </c>
      <c r="B385" s="14" t="str">
        <f>HYPERLINK(CONCAT("http://leetcode.com/problems/",Github!C$486), Github!B$486)</f>
        <v>Max Consecutive Ones</v>
      </c>
      <c r="C385" s="13">
        <f>Github!F$486</f>
        <v>3795</v>
      </c>
      <c r="D385" s="13">
        <f>Github!G$486</f>
        <v>417</v>
      </c>
      <c r="E385" s="13">
        <f>Github!F$486+Github!G$486</f>
        <v>4212</v>
      </c>
      <c r="F385" s="15">
        <f t="shared" si="1"/>
        <v>9.1</v>
      </c>
      <c r="G385" s="13" t="str">
        <f>ROUND(Github!O$486, 2)&amp;"%"</f>
        <v>56.25%</v>
      </c>
      <c r="H385" s="13" t="str">
        <f>Github!H$486</f>
        <v>Algorithms</v>
      </c>
      <c r="I385" s="16" t="str">
        <f>SUBSTITUTE(Github!L$486, ";", ", ")</f>
        <v>Array, </v>
      </c>
      <c r="J385" s="13" t="str">
        <f>Github!E$486</f>
        <v>Easy</v>
      </c>
      <c r="K385" s="13" t="str">
        <f>IF(TRIM(Github!D$486)="TRUE","FALSE","TRUE")</f>
        <v>TRUE</v>
      </c>
      <c r="L385" s="13" t="b">
        <f>Github!M$486</f>
        <v>1</v>
      </c>
      <c r="M385" s="13" t="b">
        <f>Github!N$486</f>
        <v>0</v>
      </c>
      <c r="N385" s="13">
        <f>Github!P$486</f>
        <v>797692</v>
      </c>
      <c r="O385" s="13">
        <f>Github!Q$486</f>
        <v>1418170</v>
      </c>
    </row>
    <row r="386">
      <c r="A386" s="13">
        <f>Github!J$730</f>
        <v>729</v>
      </c>
      <c r="B386" s="14" t="str">
        <f>HYPERLINK(CONCAT("http://leetcode.com/problems/",Github!C$730), Github!B$730)</f>
        <v>My Calendar I</v>
      </c>
      <c r="C386" s="13">
        <f>Github!F$730</f>
        <v>3744</v>
      </c>
      <c r="D386" s="13">
        <f>Github!G$730</f>
        <v>97</v>
      </c>
      <c r="E386" s="13">
        <f>Github!F$730+Github!G$730</f>
        <v>3841</v>
      </c>
      <c r="F386" s="15">
        <f t="shared" si="1"/>
        <v>38.6</v>
      </c>
      <c r="G386" s="13" t="str">
        <f>ROUND(Github!O$730, 2)&amp;"%"</f>
        <v>57.06%</v>
      </c>
      <c r="H386" s="13" t="str">
        <f>Github!H$730</f>
        <v>Algorithms</v>
      </c>
      <c r="I386" s="16" t="str">
        <f>SUBSTITUTE(Github!L$730, ";", ", ")</f>
        <v>Binary Search, Design, Segment Tree, Ordered Set, </v>
      </c>
      <c r="J386" s="13" t="str">
        <f>Github!E$730</f>
        <v>Medium</v>
      </c>
      <c r="K386" s="13" t="str">
        <f>IF(TRIM(Github!D$730)="TRUE","FALSE","TRUE")</f>
        <v>TRUE</v>
      </c>
      <c r="L386" s="13" t="b">
        <f>Github!M$730</f>
        <v>1</v>
      </c>
      <c r="M386" s="13" t="b">
        <f>Github!N$730</f>
        <v>0</v>
      </c>
      <c r="N386" s="13">
        <f>Github!P$730</f>
        <v>245884</v>
      </c>
      <c r="O386" s="13">
        <f>Github!Q$730</f>
        <v>430940</v>
      </c>
    </row>
    <row r="387">
      <c r="A387" s="13">
        <f>Github!J$982</f>
        <v>981</v>
      </c>
      <c r="B387" s="14" t="str">
        <f>HYPERLINK(CONCAT("http://leetcode.com/problems/",Github!C$982), Github!B$982)</f>
        <v>Time Based Key-Value Store</v>
      </c>
      <c r="C387" s="13">
        <f>Github!F$982</f>
        <v>3738</v>
      </c>
      <c r="D387" s="13">
        <f>Github!G$982</f>
        <v>352</v>
      </c>
      <c r="E387" s="13">
        <f>Github!F$982+Github!G$982</f>
        <v>4090</v>
      </c>
      <c r="F387" s="15">
        <f t="shared" si="1"/>
        <v>10.62</v>
      </c>
      <c r="G387" s="13" t="str">
        <f>ROUND(Github!O$982, 2)&amp;"%"</f>
        <v>53.05%</v>
      </c>
      <c r="H387" s="13" t="str">
        <f>Github!H$982</f>
        <v>Algorithms</v>
      </c>
      <c r="I387" s="16" t="str">
        <f>SUBSTITUTE(Github!L$982, ";", ", ")</f>
        <v>Hash Table, String, Binary Search, Design, </v>
      </c>
      <c r="J387" s="13" t="str">
        <f>Github!E$982</f>
        <v>Medium</v>
      </c>
      <c r="K387" s="13" t="str">
        <f>IF(TRIM(Github!D$982)="TRUE","FALSE","TRUE")</f>
        <v>TRUE</v>
      </c>
      <c r="L387" s="13" t="b">
        <f>Github!M$982</f>
        <v>1</v>
      </c>
      <c r="M387" s="13" t="b">
        <f>Github!N$982</f>
        <v>0</v>
      </c>
      <c r="N387" s="13">
        <f>Github!P$982</f>
        <v>291601</v>
      </c>
      <c r="O387" s="13">
        <f>Github!Q$982</f>
        <v>549709</v>
      </c>
    </row>
    <row r="388">
      <c r="A388" s="13">
        <f>Github!J$898</f>
        <v>897</v>
      </c>
      <c r="B388" s="14" t="str">
        <f>HYPERLINK(CONCAT("http://leetcode.com/problems/",Github!C$898), Github!B$898)</f>
        <v>Increasing Order Search Tree</v>
      </c>
      <c r="C388" s="13">
        <f>Github!F$898</f>
        <v>3704</v>
      </c>
      <c r="D388" s="13">
        <f>Github!G$898</f>
        <v>640</v>
      </c>
      <c r="E388" s="13">
        <f>Github!F$898+Github!G$898</f>
        <v>4344</v>
      </c>
      <c r="F388" s="15">
        <f t="shared" si="1"/>
        <v>5.79</v>
      </c>
      <c r="G388" s="13" t="str">
        <f>ROUND(Github!O$898, 2)&amp;"%"</f>
        <v>78.48%</v>
      </c>
      <c r="H388" s="13" t="str">
        <f>Github!H$898</f>
        <v>Algorithms</v>
      </c>
      <c r="I388" s="16" t="str">
        <f>SUBSTITUTE(Github!L$898, ";", ", ")</f>
        <v>Stack, Tree, Depth-First Search, Binary Search Tree, Binary Tree, </v>
      </c>
      <c r="J388" s="13" t="str">
        <f>Github!E$898</f>
        <v>Easy</v>
      </c>
      <c r="K388" s="13" t="str">
        <f>IF(TRIM(Github!D$898)="TRUE","FALSE","TRUE")</f>
        <v>TRUE</v>
      </c>
      <c r="L388" s="13" t="b">
        <f>Github!M$898</f>
        <v>1</v>
      </c>
      <c r="M388" s="13" t="b">
        <f>Github!N$898</f>
        <v>0</v>
      </c>
      <c r="N388" s="13">
        <f>Github!P$898</f>
        <v>238624</v>
      </c>
      <c r="O388" s="13">
        <f>Github!Q$898</f>
        <v>304064</v>
      </c>
    </row>
    <row r="389">
      <c r="A389" s="13">
        <f>Github!J$704</f>
        <v>703</v>
      </c>
      <c r="B389" s="14" t="str">
        <f>HYPERLINK(CONCAT("http://leetcode.com/problems/",Github!C$704), Github!B$704)</f>
        <v>Kth Largest Element in a Stream</v>
      </c>
      <c r="C389" s="13">
        <f>Github!F$704</f>
        <v>3702</v>
      </c>
      <c r="D389" s="13">
        <f>Github!G$704</f>
        <v>2197</v>
      </c>
      <c r="E389" s="13">
        <f>Github!F$704+Github!G$704</f>
        <v>5899</v>
      </c>
      <c r="F389" s="15">
        <f t="shared" si="1"/>
        <v>1.69</v>
      </c>
      <c r="G389" s="13" t="str">
        <f>ROUND(Github!O$704, 2)&amp;"%"</f>
        <v>55.49%</v>
      </c>
      <c r="H389" s="13" t="str">
        <f>Github!H$704</f>
        <v>Algorithms</v>
      </c>
      <c r="I389" s="16" t="str">
        <f>SUBSTITUTE(Github!L$704, ";", ", ")</f>
        <v>Tree, Design, Binary Search Tree, Heap (Priority Queue), Binary Tree, Data Stream, </v>
      </c>
      <c r="J389" s="13" t="str">
        <f>Github!E$704</f>
        <v>Easy</v>
      </c>
      <c r="K389" s="13" t="str">
        <f>IF(TRIM(Github!D$704)="TRUE","FALSE","TRUE")</f>
        <v>TRUE</v>
      </c>
      <c r="L389" s="13" t="b">
        <f>Github!M$704</f>
        <v>1</v>
      </c>
      <c r="M389" s="13" t="b">
        <f>Github!N$704</f>
        <v>0</v>
      </c>
      <c r="N389" s="13">
        <f>Github!P$704</f>
        <v>323923</v>
      </c>
      <c r="O389" s="13">
        <f>Github!Q$704</f>
        <v>583724</v>
      </c>
    </row>
    <row r="390">
      <c r="A390" s="13">
        <f>Github!J$1131</f>
        <v>1130</v>
      </c>
      <c r="B390" s="14" t="str">
        <f>HYPERLINK(CONCAT("http://leetcode.com/problems/",Github!C$1131), Github!B$1131)</f>
        <v>Minimum Cost Tree From Leaf Values</v>
      </c>
      <c r="C390" s="13">
        <f>Github!F$1131</f>
        <v>3689</v>
      </c>
      <c r="D390" s="13">
        <f>Github!G$1131</f>
        <v>246</v>
      </c>
      <c r="E390" s="13">
        <f>Github!F$1131+Github!G$1131</f>
        <v>3935</v>
      </c>
      <c r="F390" s="15">
        <f t="shared" si="1"/>
        <v>15</v>
      </c>
      <c r="G390" s="13" t="str">
        <f>ROUND(Github!O$1131, 2)&amp;"%"</f>
        <v>68.45%</v>
      </c>
      <c r="H390" s="13" t="str">
        <f>Github!H$1131</f>
        <v>Algorithms</v>
      </c>
      <c r="I390" s="16" t="str">
        <f>SUBSTITUTE(Github!L$1131, ";", ", ")</f>
        <v>Dynamic Programming, Stack, Greedy, Monotonic Stack, </v>
      </c>
      <c r="J390" s="13" t="str">
        <f>Github!E$1131</f>
        <v>Medium</v>
      </c>
      <c r="K390" s="13" t="str">
        <f>IF(TRIM(Github!D$1131)="TRUE","FALSE","TRUE")</f>
        <v>TRUE</v>
      </c>
      <c r="L390" s="13" t="b">
        <f>Github!M$1131</f>
        <v>0</v>
      </c>
      <c r="M390" s="13" t="b">
        <f>Github!N$1131</f>
        <v>0</v>
      </c>
      <c r="N390" s="13">
        <f>Github!P$1131</f>
        <v>81437</v>
      </c>
      <c r="O390" s="13">
        <f>Github!Q$1131</f>
        <v>118978</v>
      </c>
    </row>
    <row r="391">
      <c r="A391" s="13">
        <f>Github!J$1156</f>
        <v>1155</v>
      </c>
      <c r="B391" s="14" t="str">
        <f>HYPERLINK(CONCAT("http://leetcode.com/problems/",Github!C$1156), Github!B$1156)</f>
        <v>Number of Dice Rolls With Target Sum</v>
      </c>
      <c r="C391" s="13">
        <f>Github!F$1156</f>
        <v>3673</v>
      </c>
      <c r="D391" s="13">
        <f>Github!G$1156</f>
        <v>115</v>
      </c>
      <c r="E391" s="13">
        <f>Github!F$1156+Github!G$1156</f>
        <v>3788</v>
      </c>
      <c r="F391" s="15">
        <f t="shared" si="1"/>
        <v>31.94</v>
      </c>
      <c r="G391" s="13" t="str">
        <f>ROUND(Github!O$1156, 2)&amp;"%"</f>
        <v>53.67%</v>
      </c>
      <c r="H391" s="13" t="str">
        <f>Github!H$1156</f>
        <v>Algorithms</v>
      </c>
      <c r="I391" s="16" t="str">
        <f>SUBSTITUTE(Github!L$1156, ";", ", ")</f>
        <v>Dynamic Programming, </v>
      </c>
      <c r="J391" s="13" t="str">
        <f>Github!E$1156</f>
        <v>Medium</v>
      </c>
      <c r="K391" s="13" t="str">
        <f>IF(TRIM(Github!D$1156)="TRUE","FALSE","TRUE")</f>
        <v>TRUE</v>
      </c>
      <c r="L391" s="13" t="b">
        <f>Github!M$1156</f>
        <v>1</v>
      </c>
      <c r="M391" s="13" t="b">
        <f>Github!N$1156</f>
        <v>0</v>
      </c>
      <c r="N391" s="13">
        <f>Github!P$1156</f>
        <v>172747</v>
      </c>
      <c r="O391" s="13">
        <f>Github!Q$1156</f>
        <v>321860</v>
      </c>
    </row>
    <row r="392">
      <c r="A392" s="13">
        <f>Github!J$1011</f>
        <v>1010</v>
      </c>
      <c r="B392" s="14" t="str">
        <f>HYPERLINK(CONCAT("http://leetcode.com/problems/",Github!C$1011), Github!B$1011)</f>
        <v>Pairs of Songs With Total Durations Divisible by 60</v>
      </c>
      <c r="C392" s="13">
        <f>Github!F$1011</f>
        <v>3679</v>
      </c>
      <c r="D392" s="13">
        <f>Github!G$1011</f>
        <v>141</v>
      </c>
      <c r="E392" s="13">
        <f>Github!F$1011+Github!G$1011</f>
        <v>3820</v>
      </c>
      <c r="F392" s="15">
        <f t="shared" si="1"/>
        <v>26.09</v>
      </c>
      <c r="G392" s="13" t="str">
        <f>ROUND(Github!O$1011, 2)&amp;"%"</f>
        <v>52.89%</v>
      </c>
      <c r="H392" s="13" t="str">
        <f>Github!H$1011</f>
        <v>Algorithms</v>
      </c>
      <c r="I392" s="16" t="str">
        <f>SUBSTITUTE(Github!L$1011, ";", ", ")</f>
        <v>Array, Hash Table, Counting, </v>
      </c>
      <c r="J392" s="13" t="str">
        <f>Github!E$1011</f>
        <v>Medium</v>
      </c>
      <c r="K392" s="13" t="str">
        <f>IF(TRIM(Github!D$1011)="TRUE","FALSE","TRUE")</f>
        <v>TRUE</v>
      </c>
      <c r="L392" s="13" t="b">
        <f>Github!M$1011</f>
        <v>1</v>
      </c>
      <c r="M392" s="13" t="b">
        <f>Github!N$1011</f>
        <v>1</v>
      </c>
      <c r="N392" s="13">
        <f>Github!P$1011</f>
        <v>228516</v>
      </c>
      <c r="O392" s="13">
        <f>Github!Q$1011</f>
        <v>432079</v>
      </c>
    </row>
    <row r="393">
      <c r="A393" s="13">
        <f>Github!J$688</f>
        <v>687</v>
      </c>
      <c r="B393" s="14" t="str">
        <f>HYPERLINK(CONCAT("http://leetcode.com/problems/",Github!C$688), Github!B$688)</f>
        <v>Longest Univalue Path</v>
      </c>
      <c r="C393" s="13">
        <f>Github!F$688</f>
        <v>3642</v>
      </c>
      <c r="D393" s="13">
        <f>Github!G$688</f>
        <v>641</v>
      </c>
      <c r="E393" s="13">
        <f>Github!F$688+Github!G$688</f>
        <v>4283</v>
      </c>
      <c r="F393" s="15">
        <f t="shared" si="1"/>
        <v>5.68</v>
      </c>
      <c r="G393" s="13" t="str">
        <f>ROUND(Github!O$688, 2)&amp;"%"</f>
        <v>40.23%</v>
      </c>
      <c r="H393" s="13" t="str">
        <f>Github!H$688</f>
        <v>Algorithms</v>
      </c>
      <c r="I393" s="16" t="str">
        <f>SUBSTITUTE(Github!L$688, ";", ", ")</f>
        <v>Tree, Depth-First Search, Binary Tree, </v>
      </c>
      <c r="J393" s="13" t="str">
        <f>Github!E$688</f>
        <v>Medium</v>
      </c>
      <c r="K393" s="13" t="str">
        <f>IF(TRIM(Github!D$688)="TRUE","FALSE","TRUE")</f>
        <v>TRUE</v>
      </c>
      <c r="L393" s="13" t="b">
        <f>Github!M$688</f>
        <v>1</v>
      </c>
      <c r="M393" s="13" t="b">
        <f>Github!N$688</f>
        <v>0</v>
      </c>
      <c r="N393" s="13">
        <f>Github!P$688</f>
        <v>157647</v>
      </c>
      <c r="O393" s="13">
        <f>Github!Q$688</f>
        <v>391903</v>
      </c>
    </row>
    <row r="394">
      <c r="A394" s="13">
        <f>Github!J$155</f>
        <v>154</v>
      </c>
      <c r="B394" s="14" t="str">
        <f>HYPERLINK(CONCAT("http://leetcode.com/problems/",Github!C$155), Github!B$155)</f>
        <v>Find Minimum in Rotated Sorted Array II</v>
      </c>
      <c r="C394" s="13">
        <f>Github!F$155</f>
        <v>3649</v>
      </c>
      <c r="D394" s="13">
        <f>Github!G$155</f>
        <v>407</v>
      </c>
      <c r="E394" s="13">
        <f>Github!F$155+Github!G$155</f>
        <v>4056</v>
      </c>
      <c r="F394" s="15">
        <f t="shared" si="1"/>
        <v>8.97</v>
      </c>
      <c r="G394" s="13" t="str">
        <f>ROUND(Github!O$155, 2)&amp;"%"</f>
        <v>43.46%</v>
      </c>
      <c r="H394" s="13" t="str">
        <f>Github!H$155</f>
        <v>Algorithms</v>
      </c>
      <c r="I394" s="16" t="str">
        <f>SUBSTITUTE(Github!L$155, ";", ", ")</f>
        <v>Array, Binary Search, </v>
      </c>
      <c r="J394" s="13" t="str">
        <f>Github!E$155</f>
        <v>Hard</v>
      </c>
      <c r="K394" s="13" t="str">
        <f>IF(TRIM(Github!D$155)="TRUE","FALSE","TRUE")</f>
        <v>TRUE</v>
      </c>
      <c r="L394" s="13" t="b">
        <f>Github!M$155</f>
        <v>1</v>
      </c>
      <c r="M394" s="13" t="b">
        <f>Github!N$155</f>
        <v>0</v>
      </c>
      <c r="N394" s="13">
        <f>Github!P$155</f>
        <v>366945</v>
      </c>
      <c r="O394" s="13">
        <f>Github!Q$155</f>
        <v>844388</v>
      </c>
    </row>
    <row r="395">
      <c r="A395" s="13">
        <f>Github!J$487</f>
        <v>486</v>
      </c>
      <c r="B395" s="14" t="str">
        <f>HYPERLINK(CONCAT("http://leetcode.com/problems/",Github!C$487), Github!B$487)</f>
        <v>Predict the Winner</v>
      </c>
      <c r="C395" s="13">
        <f>Github!F$487</f>
        <v>3589</v>
      </c>
      <c r="D395" s="13">
        <f>Github!G$487</f>
        <v>173</v>
      </c>
      <c r="E395" s="13">
        <f>Github!F$487+Github!G$487</f>
        <v>3762</v>
      </c>
      <c r="F395" s="15">
        <f t="shared" si="1"/>
        <v>20.75</v>
      </c>
      <c r="G395" s="13" t="str">
        <f>ROUND(Github!O$487, 2)&amp;"%"</f>
        <v>50.87%</v>
      </c>
      <c r="H395" s="13" t="str">
        <f>Github!H$487</f>
        <v>Algorithms</v>
      </c>
      <c r="I395" s="16" t="str">
        <f>SUBSTITUTE(Github!L$487, ";", ", ")</f>
        <v>Array, Math, Dynamic Programming, Recursion, Game Theory, </v>
      </c>
      <c r="J395" s="13" t="str">
        <f>Github!E$487</f>
        <v>Medium</v>
      </c>
      <c r="K395" s="13" t="str">
        <f>IF(TRIM(Github!D$487)="TRUE","FALSE","TRUE")</f>
        <v>TRUE</v>
      </c>
      <c r="L395" s="13" t="b">
        <f>Github!M$487</f>
        <v>1</v>
      </c>
      <c r="M395" s="13" t="b">
        <f>Github!N$487</f>
        <v>0</v>
      </c>
      <c r="N395" s="13">
        <f>Github!P$487</f>
        <v>130365</v>
      </c>
      <c r="O395" s="13">
        <f>Github!Q$487</f>
        <v>256279</v>
      </c>
    </row>
    <row r="396">
      <c r="A396" s="13">
        <f>Github!J$882</f>
        <v>881</v>
      </c>
      <c r="B396" s="14" t="str">
        <f>HYPERLINK(CONCAT("http://leetcode.com/problems/",Github!C$882), Github!B$882)</f>
        <v>Boats to Save People</v>
      </c>
      <c r="C396" s="13">
        <f>Github!F$882</f>
        <v>3547</v>
      </c>
      <c r="D396" s="13">
        <f>Github!G$882</f>
        <v>93</v>
      </c>
      <c r="E396" s="13">
        <f>Github!F$882+Github!G$882</f>
        <v>3640</v>
      </c>
      <c r="F396" s="15">
        <f t="shared" si="1"/>
        <v>38.14</v>
      </c>
      <c r="G396" s="13" t="str">
        <f>ROUND(Github!O$882, 2)&amp;"%"</f>
        <v>52.83%</v>
      </c>
      <c r="H396" s="13" t="str">
        <f>Github!H$882</f>
        <v>Algorithms</v>
      </c>
      <c r="I396" s="16" t="str">
        <f>SUBSTITUTE(Github!L$882, ";", ", ")</f>
        <v>Array, Two Pointers, Greedy, Sorting, </v>
      </c>
      <c r="J396" s="13" t="str">
        <f>Github!E$882</f>
        <v>Medium</v>
      </c>
      <c r="K396" s="13" t="str">
        <f>IF(TRIM(Github!D$882)="TRUE","FALSE","TRUE")</f>
        <v>TRUE</v>
      </c>
      <c r="L396" s="13" t="b">
        <f>Github!M$882</f>
        <v>1</v>
      </c>
      <c r="M396" s="13" t="b">
        <f>Github!N$882</f>
        <v>0</v>
      </c>
      <c r="N396" s="13">
        <f>Github!P$882</f>
        <v>167103</v>
      </c>
      <c r="O396" s="13">
        <f>Github!Q$882</f>
        <v>316276</v>
      </c>
    </row>
    <row r="397">
      <c r="A397" s="13">
        <f>Github!J$863</f>
        <v>862</v>
      </c>
      <c r="B397" s="14" t="str">
        <f>HYPERLINK(CONCAT("http://leetcode.com/problems/",Github!C$863), Github!B$863)</f>
        <v>Shortest Subarray with Sum at Least K</v>
      </c>
      <c r="C397" s="13">
        <f>Github!F$863</f>
        <v>3525</v>
      </c>
      <c r="D397" s="13">
        <f>Github!G$863</f>
        <v>93</v>
      </c>
      <c r="E397" s="13">
        <f>Github!F$863+Github!G$863</f>
        <v>3618</v>
      </c>
      <c r="F397" s="15">
        <f t="shared" si="1"/>
        <v>37.9</v>
      </c>
      <c r="G397" s="13" t="str">
        <f>ROUND(Github!O$863, 2)&amp;"%"</f>
        <v>26.09%</v>
      </c>
      <c r="H397" s="13" t="str">
        <f>Github!H$863</f>
        <v>Algorithms</v>
      </c>
      <c r="I397" s="16" t="str">
        <f>SUBSTITUTE(Github!L$863, ";", ", ")</f>
        <v>Array, Binary Search, Queue, Sliding Window, Heap (Priority Queue), Prefix Sum, Monotonic Queue, </v>
      </c>
      <c r="J397" s="13" t="str">
        <f>Github!E$863</f>
        <v>Hard</v>
      </c>
      <c r="K397" s="13" t="str">
        <f>IF(TRIM(Github!D$863)="TRUE","FALSE","TRUE")</f>
        <v>TRUE</v>
      </c>
      <c r="L397" s="13" t="b">
        <f>Github!M$863</f>
        <v>1</v>
      </c>
      <c r="M397" s="13" t="b">
        <f>Github!N$863</f>
        <v>0</v>
      </c>
      <c r="N397" s="13">
        <f>Github!P$863</f>
        <v>81823</v>
      </c>
      <c r="O397" s="13">
        <f>Github!Q$863</f>
        <v>313632</v>
      </c>
    </row>
    <row r="398">
      <c r="A398" s="13">
        <f>Github!J$891</f>
        <v>890</v>
      </c>
      <c r="B398" s="14" t="str">
        <f>HYPERLINK(CONCAT("http://leetcode.com/problems/",Github!C$891), Github!B$891)</f>
        <v>Find and Replace Pattern</v>
      </c>
      <c r="C398" s="13">
        <f>Github!F$891</f>
        <v>3508</v>
      </c>
      <c r="D398" s="13">
        <f>Github!G$891</f>
        <v>159</v>
      </c>
      <c r="E398" s="13">
        <f>Github!F$891+Github!G$891</f>
        <v>3667</v>
      </c>
      <c r="F398" s="15">
        <f t="shared" si="1"/>
        <v>22.06</v>
      </c>
      <c r="G398" s="13" t="str">
        <f>ROUND(Github!O$891, 2)&amp;"%"</f>
        <v>77.81%</v>
      </c>
      <c r="H398" s="13" t="str">
        <f>Github!H$891</f>
        <v>Algorithms</v>
      </c>
      <c r="I398" s="16" t="str">
        <f>SUBSTITUTE(Github!L$891, ";", ", ")</f>
        <v>Array, Hash Table, String, </v>
      </c>
      <c r="J398" s="13" t="str">
        <f>Github!E$891</f>
        <v>Medium</v>
      </c>
      <c r="K398" s="13" t="str">
        <f>IF(TRIM(Github!D$891)="TRUE","FALSE","TRUE")</f>
        <v>TRUE</v>
      </c>
      <c r="L398" s="13" t="b">
        <f>Github!M$891</f>
        <v>1</v>
      </c>
      <c r="M398" s="13" t="b">
        <f>Github!N$891</f>
        <v>0</v>
      </c>
      <c r="N398" s="13">
        <f>Github!P$891</f>
        <v>164717</v>
      </c>
      <c r="O398" s="13">
        <f>Github!Q$891</f>
        <v>211699</v>
      </c>
    </row>
    <row r="399">
      <c r="A399" s="13">
        <f>Github!J$981</f>
        <v>980</v>
      </c>
      <c r="B399" s="14" t="str">
        <f>HYPERLINK(CONCAT("http://leetcode.com/problems/",Github!C$981), Github!B$981)</f>
        <v>Unique Paths III</v>
      </c>
      <c r="C399" s="13">
        <f>Github!F$981</f>
        <v>4355</v>
      </c>
      <c r="D399" s="13">
        <f>Github!G$981</f>
        <v>164</v>
      </c>
      <c r="E399" s="13">
        <f>Github!F$981+Github!G$981</f>
        <v>4519</v>
      </c>
      <c r="F399" s="15">
        <f t="shared" si="1"/>
        <v>26.55</v>
      </c>
      <c r="G399" s="13" t="str">
        <f>ROUND(Github!O$981, 2)&amp;"%"</f>
        <v>81.89%</v>
      </c>
      <c r="H399" s="13" t="str">
        <f>Github!H$981</f>
        <v>Algorithms</v>
      </c>
      <c r="I399" s="16" t="str">
        <f>SUBSTITUTE(Github!L$981, ";", ", ")</f>
        <v>Array, Backtracking, Bit Manipulation, Matrix, </v>
      </c>
      <c r="J399" s="13" t="str">
        <f>Github!E$981</f>
        <v>Hard</v>
      </c>
      <c r="K399" s="13" t="str">
        <f>IF(TRIM(Github!D$981)="TRUE","FALSE","TRUE")</f>
        <v>TRUE</v>
      </c>
      <c r="L399" s="13" t="b">
        <f>Github!M$981</f>
        <v>1</v>
      </c>
      <c r="M399" s="13" t="b">
        <f>Github!N$981</f>
        <v>0</v>
      </c>
      <c r="N399" s="13">
        <f>Github!P$981</f>
        <v>167488</v>
      </c>
      <c r="O399" s="13">
        <f>Github!Q$981</f>
        <v>204521</v>
      </c>
    </row>
    <row r="400">
      <c r="A400" s="13">
        <f>Github!J$1722</f>
        <v>1721</v>
      </c>
      <c r="B400" s="14" t="str">
        <f>HYPERLINK(CONCAT("http://leetcode.com/problems/",Github!C$1722), Github!B$1722)</f>
        <v>Swapping Nodes in a Linked List</v>
      </c>
      <c r="C400" s="13">
        <f>Github!F$1722</f>
        <v>3507</v>
      </c>
      <c r="D400" s="13">
        <f>Github!G$1722</f>
        <v>122</v>
      </c>
      <c r="E400" s="13">
        <f>Github!F$1722+Github!G$1722</f>
        <v>3629</v>
      </c>
      <c r="F400" s="15">
        <f t="shared" si="1"/>
        <v>28.75</v>
      </c>
      <c r="G400" s="13" t="str">
        <f>ROUND(Github!O$1722, 2)&amp;"%"</f>
        <v>67.51%</v>
      </c>
      <c r="H400" s="13" t="str">
        <f>Github!H$1722</f>
        <v>Algorithms</v>
      </c>
      <c r="I400" s="16" t="str">
        <f>SUBSTITUTE(Github!L$1722, ";", ", ")</f>
        <v>Linked List, Two Pointers, </v>
      </c>
      <c r="J400" s="13" t="str">
        <f>Github!E$1722</f>
        <v>Medium</v>
      </c>
      <c r="K400" s="13" t="str">
        <f>IF(TRIM(Github!D$1722)="TRUE","FALSE","TRUE")</f>
        <v>TRUE</v>
      </c>
      <c r="L400" s="13" t="b">
        <f>Github!M$1722</f>
        <v>1</v>
      </c>
      <c r="M400" s="13" t="b">
        <f>Github!N$1722</f>
        <v>0</v>
      </c>
      <c r="N400" s="13">
        <f>Github!P$1722</f>
        <v>196407</v>
      </c>
      <c r="O400" s="13">
        <f>Github!Q$1722</f>
        <v>290921</v>
      </c>
    </row>
    <row r="401">
      <c r="A401" s="13">
        <f>Github!J$390</f>
        <v>389</v>
      </c>
      <c r="B401" s="14" t="str">
        <f>HYPERLINK(CONCAT("http://leetcode.com/problems/",Github!C$390), Github!B$390)</f>
        <v>Find the Difference</v>
      </c>
      <c r="C401" s="13">
        <f>Github!F$390</f>
        <v>3475</v>
      </c>
      <c r="D401" s="13">
        <f>Github!G$390</f>
        <v>405</v>
      </c>
      <c r="E401" s="13">
        <f>Github!F$390+Github!G$390</f>
        <v>3880</v>
      </c>
      <c r="F401" s="15">
        <f t="shared" si="1"/>
        <v>8.58</v>
      </c>
      <c r="G401" s="13" t="str">
        <f>ROUND(Github!O$390, 2)&amp;"%"</f>
        <v>60.23%</v>
      </c>
      <c r="H401" s="13" t="str">
        <f>Github!H$390</f>
        <v>Algorithms</v>
      </c>
      <c r="I401" s="16" t="str">
        <f>SUBSTITUTE(Github!L$390, ";", ", ")</f>
        <v>Hash Table, String, Bit Manipulation, Sorting, </v>
      </c>
      <c r="J401" s="13" t="str">
        <f>Github!E$390</f>
        <v>Easy</v>
      </c>
      <c r="K401" s="13" t="str">
        <f>IF(TRIM(Github!D$390)="TRUE","FALSE","TRUE")</f>
        <v>TRUE</v>
      </c>
      <c r="L401" s="13" t="b">
        <f>Github!M$390</f>
        <v>1</v>
      </c>
      <c r="M401" s="13" t="b">
        <f>Github!N$390</f>
        <v>0</v>
      </c>
      <c r="N401" s="13">
        <f>Github!P$390</f>
        <v>461808</v>
      </c>
      <c r="O401" s="13">
        <f>Github!Q$390</f>
        <v>766712</v>
      </c>
    </row>
    <row r="402">
      <c r="A402" s="13">
        <f>Github!J$384</f>
        <v>383</v>
      </c>
      <c r="B402" s="14" t="str">
        <f>HYPERLINK(CONCAT("http://leetcode.com/problems/",Github!C$384), Github!B$384)</f>
        <v>Ransom Note</v>
      </c>
      <c r="C402" s="13">
        <f>Github!F$384</f>
        <v>3474</v>
      </c>
      <c r="D402" s="13">
        <f>Github!G$384</f>
        <v>391</v>
      </c>
      <c r="E402" s="13">
        <f>Github!F$384+Github!G$384</f>
        <v>3865</v>
      </c>
      <c r="F402" s="15">
        <f t="shared" si="1"/>
        <v>8.88</v>
      </c>
      <c r="G402" s="13" t="str">
        <f>ROUND(Github!O$384, 2)&amp;"%"</f>
        <v>57.76%</v>
      </c>
      <c r="H402" s="13" t="str">
        <f>Github!H$384</f>
        <v>Algorithms</v>
      </c>
      <c r="I402" s="16" t="str">
        <f>SUBSTITUTE(Github!L$384, ";", ", ")</f>
        <v>Hash Table, String, Counting, </v>
      </c>
      <c r="J402" s="13" t="str">
        <f>Github!E$384</f>
        <v>Easy</v>
      </c>
      <c r="K402" s="13" t="str">
        <f>IF(TRIM(Github!D$384)="TRUE","FALSE","TRUE")</f>
        <v>TRUE</v>
      </c>
      <c r="L402" s="13" t="b">
        <f>Github!M$384</f>
        <v>1</v>
      </c>
      <c r="M402" s="13" t="b">
        <f>Github!N$384</f>
        <v>1</v>
      </c>
      <c r="N402" s="13">
        <f>Github!P$384</f>
        <v>665801</v>
      </c>
      <c r="O402" s="13">
        <f>Github!Q$384</f>
        <v>1152760</v>
      </c>
    </row>
    <row r="403">
      <c r="A403" s="13">
        <f>Github!J$169</f>
        <v>168</v>
      </c>
      <c r="B403" s="14" t="str">
        <f>HYPERLINK(CONCAT("http://leetcode.com/problems/",Github!C$169), Github!B$169)</f>
        <v>Excel Sheet Column Title</v>
      </c>
      <c r="C403" s="13">
        <f>Github!F$169</f>
        <v>3460</v>
      </c>
      <c r="D403" s="13">
        <f>Github!G$169</f>
        <v>502</v>
      </c>
      <c r="E403" s="13">
        <f>Github!F$169+Github!G$169</f>
        <v>3962</v>
      </c>
      <c r="F403" s="15">
        <f t="shared" si="1"/>
        <v>6.89</v>
      </c>
      <c r="G403" s="13" t="str">
        <f>ROUND(Github!O$169, 2)&amp;"%"</f>
        <v>34.98%</v>
      </c>
      <c r="H403" s="13" t="str">
        <f>Github!H$169</f>
        <v>Algorithms</v>
      </c>
      <c r="I403" s="16" t="str">
        <f>SUBSTITUTE(Github!L$169, ";", ", ")</f>
        <v>Math, String, </v>
      </c>
      <c r="J403" s="13" t="str">
        <f>Github!E$169</f>
        <v>Easy</v>
      </c>
      <c r="K403" s="13" t="str">
        <f>IF(TRIM(Github!D$169)="TRUE","FALSE","TRUE")</f>
        <v>TRUE</v>
      </c>
      <c r="L403" s="13" t="b">
        <f>Github!M$169</f>
        <v>0</v>
      </c>
      <c r="M403" s="13" t="b">
        <f>Github!N$169</f>
        <v>0</v>
      </c>
      <c r="N403" s="13">
        <f>Github!P$169</f>
        <v>355403</v>
      </c>
      <c r="O403" s="13">
        <f>Github!Q$169</f>
        <v>1015913</v>
      </c>
    </row>
    <row r="404">
      <c r="A404" s="13">
        <f>Github!J$697</f>
        <v>696</v>
      </c>
      <c r="B404" s="14" t="str">
        <f>HYPERLINK(CONCAT("http://leetcode.com/problems/",Github!C$697), Github!B$697)</f>
        <v>Count Binary Substrings</v>
      </c>
      <c r="C404" s="13">
        <f>Github!F$697</f>
        <v>3441</v>
      </c>
      <c r="D404" s="13">
        <f>Github!G$697</f>
        <v>744</v>
      </c>
      <c r="E404" s="13">
        <f>Github!F$697+Github!G$697</f>
        <v>4185</v>
      </c>
      <c r="F404" s="15">
        <f t="shared" si="1"/>
        <v>4.63</v>
      </c>
      <c r="G404" s="13" t="str">
        <f>ROUND(Github!O$697, 2)&amp;"%"</f>
        <v>65.58%</v>
      </c>
      <c r="H404" s="13" t="str">
        <f>Github!H$697</f>
        <v>Algorithms</v>
      </c>
      <c r="I404" s="16" t="str">
        <f>SUBSTITUTE(Github!L$697, ";", ", ")</f>
        <v>Two Pointers, String, </v>
      </c>
      <c r="J404" s="13" t="str">
        <f>Github!E$697</f>
        <v>Easy</v>
      </c>
      <c r="K404" s="13" t="str">
        <f>IF(TRIM(Github!D$697)="TRUE","FALSE","TRUE")</f>
        <v>TRUE</v>
      </c>
      <c r="L404" s="13" t="b">
        <f>Github!M$697</f>
        <v>1</v>
      </c>
      <c r="M404" s="13" t="b">
        <f>Github!N$697</f>
        <v>0</v>
      </c>
      <c r="N404" s="13">
        <f>Github!P$697</f>
        <v>177174</v>
      </c>
      <c r="O404" s="13">
        <f>Github!Q$697</f>
        <v>270150</v>
      </c>
    </row>
    <row r="405">
      <c r="A405" s="13">
        <f>Github!J$404</f>
        <v>403</v>
      </c>
      <c r="B405" s="14" t="str">
        <f>HYPERLINK(CONCAT("http://leetcode.com/problems/",Github!C$404), Github!B$404)</f>
        <v>Frog Jump</v>
      </c>
      <c r="C405" s="13">
        <f>Github!F$404</f>
        <v>3446</v>
      </c>
      <c r="D405" s="13">
        <f>Github!G$404</f>
        <v>182</v>
      </c>
      <c r="E405" s="13">
        <f>Github!F$404+Github!G$404</f>
        <v>3628</v>
      </c>
      <c r="F405" s="15">
        <f t="shared" si="1"/>
        <v>18.93</v>
      </c>
      <c r="G405" s="13" t="str">
        <f>ROUND(Github!O$404, 2)&amp;"%"</f>
        <v>43.16%</v>
      </c>
      <c r="H405" s="13" t="str">
        <f>Github!H$404</f>
        <v>Algorithms</v>
      </c>
      <c r="I405" s="16" t="str">
        <f>SUBSTITUTE(Github!L$404, ";", ", ")</f>
        <v>Array, Dynamic Programming, </v>
      </c>
      <c r="J405" s="13" t="str">
        <f>Github!E$404</f>
        <v>Hard</v>
      </c>
      <c r="K405" s="13" t="str">
        <f>IF(TRIM(Github!D$404)="TRUE","FALSE","TRUE")</f>
        <v>TRUE</v>
      </c>
      <c r="L405" s="13" t="b">
        <f>Github!M$404</f>
        <v>1</v>
      </c>
      <c r="M405" s="13" t="b">
        <f>Github!N$404</f>
        <v>0</v>
      </c>
      <c r="N405" s="13">
        <f>Github!P$404</f>
        <v>173675</v>
      </c>
      <c r="O405" s="13">
        <f>Github!Q$404</f>
        <v>402386</v>
      </c>
    </row>
    <row r="406">
      <c r="A406" s="13">
        <f>Github!J$1540</f>
        <v>1539</v>
      </c>
      <c r="B406" s="14" t="str">
        <f>HYPERLINK(CONCAT("http://leetcode.com/problems/",Github!C$1540), Github!B$1540)</f>
        <v>Kth Missing Positive Number</v>
      </c>
      <c r="C406" s="13">
        <f>Github!F$1540</f>
        <v>3431</v>
      </c>
      <c r="D406" s="13">
        <f>Github!G$1540</f>
        <v>248</v>
      </c>
      <c r="E406" s="13">
        <f>Github!F$1540+Github!G$1540</f>
        <v>3679</v>
      </c>
      <c r="F406" s="15">
        <f t="shared" si="1"/>
        <v>13.83</v>
      </c>
      <c r="G406" s="13" t="str">
        <f>ROUND(Github!O$1540, 2)&amp;"%"</f>
        <v>56.03%</v>
      </c>
      <c r="H406" s="13" t="str">
        <f>Github!H$1540</f>
        <v>Algorithms</v>
      </c>
      <c r="I406" s="16" t="str">
        <f>SUBSTITUTE(Github!L$1540, ";", ", ")</f>
        <v>Array, Binary Search, </v>
      </c>
      <c r="J406" s="13" t="str">
        <f>Github!E$1540</f>
        <v>Easy</v>
      </c>
      <c r="K406" s="13" t="str">
        <f>IF(TRIM(Github!D$1540)="TRUE","FALSE","TRUE")</f>
        <v>TRUE</v>
      </c>
      <c r="L406" s="13" t="b">
        <f>Github!M$1540</f>
        <v>1</v>
      </c>
      <c r="M406" s="13" t="b">
        <f>Github!N$1540</f>
        <v>0</v>
      </c>
      <c r="N406" s="13">
        <f>Github!P$1540</f>
        <v>206880</v>
      </c>
      <c r="O406" s="13">
        <f>Github!Q$1540</f>
        <v>369228</v>
      </c>
    </row>
    <row r="407">
      <c r="A407" s="13">
        <f>Github!J$1513</f>
        <v>1512</v>
      </c>
      <c r="B407" s="14" t="str">
        <f>HYPERLINK(CONCAT("http://leetcode.com/problems/",Github!C$1513), Github!B$1513)</f>
        <v>Number of Good Pairs</v>
      </c>
      <c r="C407" s="13">
        <f>Github!F$1513</f>
        <v>3439</v>
      </c>
      <c r="D407" s="13">
        <f>Github!G$1513</f>
        <v>177</v>
      </c>
      <c r="E407" s="13">
        <f>Github!F$1513+Github!G$1513</f>
        <v>3616</v>
      </c>
      <c r="F407" s="15">
        <f t="shared" si="1"/>
        <v>19.43</v>
      </c>
      <c r="G407" s="13" t="str">
        <f>ROUND(Github!O$1513, 2)&amp;"%"</f>
        <v>88.23%</v>
      </c>
      <c r="H407" s="13" t="str">
        <f>Github!H$1513</f>
        <v>Algorithms</v>
      </c>
      <c r="I407" s="16" t="str">
        <f>SUBSTITUTE(Github!L$1513, ";", ", ")</f>
        <v>Array, Hash Table, Math, Counting, </v>
      </c>
      <c r="J407" s="13" t="str">
        <f>Github!E$1513</f>
        <v>Easy</v>
      </c>
      <c r="K407" s="13" t="str">
        <f>IF(TRIM(Github!D$1513)="TRUE","FALSE","TRUE")</f>
        <v>TRUE</v>
      </c>
      <c r="L407" s="13" t="b">
        <f>Github!M$1513</f>
        <v>0</v>
      </c>
      <c r="M407" s="13" t="b">
        <f>Github!N$1513</f>
        <v>0</v>
      </c>
      <c r="N407" s="13">
        <f>Github!P$1513</f>
        <v>389349</v>
      </c>
      <c r="O407" s="13">
        <f>Github!Q$1513</f>
        <v>441285</v>
      </c>
    </row>
    <row r="408">
      <c r="A408" s="13">
        <f>Github!J$606</f>
        <v>605</v>
      </c>
      <c r="B408" s="14" t="str">
        <f>HYPERLINK(CONCAT("http://leetcode.com/problems/",Github!C$606), Github!B$606)</f>
        <v>Can Place Flowers</v>
      </c>
      <c r="C408" s="13">
        <f>Github!F$606</f>
        <v>3417</v>
      </c>
      <c r="D408" s="13">
        <f>Github!G$606</f>
        <v>705</v>
      </c>
      <c r="E408" s="13">
        <f>Github!F$606+Github!G$606</f>
        <v>4122</v>
      </c>
      <c r="F408" s="15">
        <f t="shared" si="1"/>
        <v>4.85</v>
      </c>
      <c r="G408" s="13" t="str">
        <f>ROUND(Github!O$606, 2)&amp;"%"</f>
        <v>32.76%</v>
      </c>
      <c r="H408" s="13" t="str">
        <f>Github!H$606</f>
        <v>Algorithms</v>
      </c>
      <c r="I408" s="16" t="str">
        <f>SUBSTITUTE(Github!L$606, ";", ", ")</f>
        <v>Array, Greedy, </v>
      </c>
      <c r="J408" s="13" t="str">
        <f>Github!E$606</f>
        <v>Easy</v>
      </c>
      <c r="K408" s="13" t="str">
        <f>IF(TRIM(Github!D$606)="TRUE","FALSE","TRUE")</f>
        <v>TRUE</v>
      </c>
      <c r="L408" s="13" t="b">
        <f>Github!M$606</f>
        <v>1</v>
      </c>
      <c r="M408" s="13" t="b">
        <f>Github!N$606</f>
        <v>0</v>
      </c>
      <c r="N408" s="13">
        <f>Github!P$606</f>
        <v>336743</v>
      </c>
      <c r="O408" s="13">
        <f>Github!Q$606</f>
        <v>1027807</v>
      </c>
    </row>
    <row r="409">
      <c r="A409" s="13">
        <f>Github!J$462</f>
        <v>461</v>
      </c>
      <c r="B409" s="14" t="str">
        <f>HYPERLINK(CONCAT("http://leetcode.com/problems/",Github!C$462), Github!B$462)</f>
        <v>Hamming Distance</v>
      </c>
      <c r="C409" s="13">
        <f>Github!F$462</f>
        <v>3403</v>
      </c>
      <c r="D409" s="13">
        <f>Github!G$462</f>
        <v>207</v>
      </c>
      <c r="E409" s="13">
        <f>Github!F$462+Github!G$462</f>
        <v>3610</v>
      </c>
      <c r="F409" s="15">
        <f t="shared" si="1"/>
        <v>16.44</v>
      </c>
      <c r="G409" s="13" t="str">
        <f>ROUND(Github!O$462, 2)&amp;"%"</f>
        <v>74.89%</v>
      </c>
      <c r="H409" s="13" t="str">
        <f>Github!H$462</f>
        <v>Algorithms</v>
      </c>
      <c r="I409" s="16" t="str">
        <f>SUBSTITUTE(Github!L$462, ";", ", ")</f>
        <v>Bit Manipulation, </v>
      </c>
      <c r="J409" s="13" t="str">
        <f>Github!E$462</f>
        <v>Easy</v>
      </c>
      <c r="K409" s="13" t="str">
        <f>IF(TRIM(Github!D$462)="TRUE","FALSE","TRUE")</f>
        <v>TRUE</v>
      </c>
      <c r="L409" s="13" t="b">
        <f>Github!M$462</f>
        <v>1</v>
      </c>
      <c r="M409" s="13" t="b">
        <f>Github!N$462</f>
        <v>0</v>
      </c>
      <c r="N409" s="13">
        <f>Github!P$462</f>
        <v>507048</v>
      </c>
      <c r="O409" s="13">
        <f>Github!Q$462</f>
        <v>677016</v>
      </c>
    </row>
    <row r="410">
      <c r="A410" s="13">
        <f>Github!J$629</f>
        <v>628</v>
      </c>
      <c r="B410" s="14" t="str">
        <f>HYPERLINK(CONCAT("http://leetcode.com/problems/",Github!C$629), Github!B$629)</f>
        <v>Maximum Product of Three Numbers</v>
      </c>
      <c r="C410" s="13">
        <f>Github!F$629</f>
        <v>3417</v>
      </c>
      <c r="D410" s="13">
        <f>Github!G$629</f>
        <v>578</v>
      </c>
      <c r="E410" s="13">
        <f>Github!F$629+Github!G$629</f>
        <v>3995</v>
      </c>
      <c r="F410" s="15">
        <f t="shared" si="1"/>
        <v>5.91</v>
      </c>
      <c r="G410" s="13" t="str">
        <f>ROUND(Github!O$629, 2)&amp;"%"</f>
        <v>46.25%</v>
      </c>
      <c r="H410" s="13" t="str">
        <f>Github!H$629</f>
        <v>Algorithms</v>
      </c>
      <c r="I410" s="16" t="str">
        <f>SUBSTITUTE(Github!L$629, ";", ", ")</f>
        <v>Array, Math, Sorting, </v>
      </c>
      <c r="J410" s="13" t="str">
        <f>Github!E$629</f>
        <v>Easy</v>
      </c>
      <c r="K410" s="13" t="str">
        <f>IF(TRIM(Github!D$629)="TRUE","FALSE","TRUE")</f>
        <v>TRUE</v>
      </c>
      <c r="L410" s="13" t="b">
        <f>Github!M$629</f>
        <v>1</v>
      </c>
      <c r="M410" s="13" t="b">
        <f>Github!N$629</f>
        <v>0</v>
      </c>
      <c r="N410" s="13">
        <f>Github!P$629</f>
        <v>246590</v>
      </c>
      <c r="O410" s="13">
        <f>Github!Q$629</f>
        <v>533139</v>
      </c>
    </row>
    <row r="411">
      <c r="A411" s="13">
        <f>Github!J$753</f>
        <v>752</v>
      </c>
      <c r="B411" s="14" t="str">
        <f>HYPERLINK(CONCAT("http://leetcode.com/problems/",Github!C$753), Github!B$753)</f>
        <v>Open the Lock</v>
      </c>
      <c r="C411" s="13">
        <f>Github!F$753</f>
        <v>3400</v>
      </c>
      <c r="D411" s="13">
        <f>Github!G$753</f>
        <v>125</v>
      </c>
      <c r="E411" s="13">
        <f>Github!F$753+Github!G$753</f>
        <v>3525</v>
      </c>
      <c r="F411" s="15">
        <f t="shared" si="1"/>
        <v>27.2</v>
      </c>
      <c r="G411" s="13" t="str">
        <f>ROUND(Github!O$753, 2)&amp;"%"</f>
        <v>55.53%</v>
      </c>
      <c r="H411" s="13" t="str">
        <f>Github!H$753</f>
        <v>Algorithms</v>
      </c>
      <c r="I411" s="16" t="str">
        <f>SUBSTITUTE(Github!L$753, ";", ", ")</f>
        <v>Array, Hash Table, String, Breadth-First Search, </v>
      </c>
      <c r="J411" s="13" t="str">
        <f>Github!E$753</f>
        <v>Medium</v>
      </c>
      <c r="K411" s="13" t="str">
        <f>IF(TRIM(Github!D$753)="TRUE","FALSE","TRUE")</f>
        <v>TRUE</v>
      </c>
      <c r="L411" s="13" t="b">
        <f>Github!M$753</f>
        <v>1</v>
      </c>
      <c r="M411" s="13" t="b">
        <f>Github!N$753</f>
        <v>0</v>
      </c>
      <c r="N411" s="13">
        <f>Github!P$753</f>
        <v>191497</v>
      </c>
      <c r="O411" s="13">
        <f>Github!Q$753</f>
        <v>344837</v>
      </c>
    </row>
    <row r="412">
      <c r="A412" s="13">
        <f>Github!J$646</f>
        <v>645</v>
      </c>
      <c r="B412" s="14" t="str">
        <f>HYPERLINK(CONCAT("http://leetcode.com/problems/",Github!C$646), Github!B$646)</f>
        <v>Set Mismatch</v>
      </c>
      <c r="C412" s="13">
        <f>Github!F$646</f>
        <v>3399</v>
      </c>
      <c r="D412" s="13">
        <f>Github!G$646</f>
        <v>790</v>
      </c>
      <c r="E412" s="13">
        <f>Github!F$646+Github!G$646</f>
        <v>4189</v>
      </c>
      <c r="F412" s="15">
        <f t="shared" si="1"/>
        <v>4.3</v>
      </c>
      <c r="G412" s="13" t="str">
        <f>ROUND(Github!O$646, 2)&amp;"%"</f>
        <v>42.93%</v>
      </c>
      <c r="H412" s="13" t="str">
        <f>Github!H$646</f>
        <v>Algorithms</v>
      </c>
      <c r="I412" s="16" t="str">
        <f>SUBSTITUTE(Github!L$646, ";", ", ")</f>
        <v>Array, Hash Table, Bit Manipulation, Sorting, </v>
      </c>
      <c r="J412" s="13" t="str">
        <f>Github!E$646</f>
        <v>Easy</v>
      </c>
      <c r="K412" s="13" t="str">
        <f>IF(TRIM(Github!D$646)="TRUE","FALSE","TRUE")</f>
        <v>TRUE</v>
      </c>
      <c r="L412" s="13" t="b">
        <f>Github!M$646</f>
        <v>1</v>
      </c>
      <c r="M412" s="13" t="b">
        <f>Github!N$646</f>
        <v>0</v>
      </c>
      <c r="N412" s="13">
        <f>Github!P$646</f>
        <v>255204</v>
      </c>
      <c r="O412" s="13">
        <f>Github!Q$646</f>
        <v>594503</v>
      </c>
    </row>
    <row r="413">
      <c r="A413" s="13">
        <f>Github!J$344</f>
        <v>343</v>
      </c>
      <c r="B413" s="14" t="str">
        <f>HYPERLINK(CONCAT("http://leetcode.com/problems/",Github!C$344), Github!B$344)</f>
        <v>Integer Break</v>
      </c>
      <c r="C413" s="13">
        <f>Github!F$344</f>
        <v>3399</v>
      </c>
      <c r="D413" s="13">
        <f>Github!G$344</f>
        <v>353</v>
      </c>
      <c r="E413" s="13">
        <f>Github!F$344+Github!G$344</f>
        <v>3752</v>
      </c>
      <c r="F413" s="15">
        <f t="shared" si="1"/>
        <v>9.63</v>
      </c>
      <c r="G413" s="13" t="str">
        <f>ROUND(Github!O$344, 2)&amp;"%"</f>
        <v>55.59%</v>
      </c>
      <c r="H413" s="13" t="str">
        <f>Github!H$344</f>
        <v>Algorithms</v>
      </c>
      <c r="I413" s="16" t="str">
        <f>SUBSTITUTE(Github!L$344, ";", ", ")</f>
        <v>Math, Dynamic Programming, </v>
      </c>
      <c r="J413" s="13" t="str">
        <f>Github!E$344</f>
        <v>Medium</v>
      </c>
      <c r="K413" s="13" t="str">
        <f>IF(TRIM(Github!D$344)="TRUE","FALSE","TRUE")</f>
        <v>TRUE</v>
      </c>
      <c r="L413" s="13" t="b">
        <f>Github!M$344</f>
        <v>0</v>
      </c>
      <c r="M413" s="13" t="b">
        <f>Github!N$344</f>
        <v>0</v>
      </c>
      <c r="N413" s="13">
        <f>Github!P$344</f>
        <v>218320</v>
      </c>
      <c r="O413" s="13">
        <f>Github!Q$344</f>
        <v>392712</v>
      </c>
    </row>
    <row r="414">
      <c r="A414" s="13">
        <f>Github!J$742</f>
        <v>741</v>
      </c>
      <c r="B414" s="14" t="str">
        <f>HYPERLINK(CONCAT("http://leetcode.com/problems/",Github!C$742), Github!B$742)</f>
        <v>Cherry Pickup</v>
      </c>
      <c r="C414" s="13">
        <f>Github!F$742</f>
        <v>3398</v>
      </c>
      <c r="D414" s="13">
        <f>Github!G$742</f>
        <v>133</v>
      </c>
      <c r="E414" s="13">
        <f>Github!F$742+Github!G$742</f>
        <v>3531</v>
      </c>
      <c r="F414" s="15">
        <f t="shared" si="1"/>
        <v>25.55</v>
      </c>
      <c r="G414" s="13" t="str">
        <f>ROUND(Github!O$742, 2)&amp;"%"</f>
        <v>36.32%</v>
      </c>
      <c r="H414" s="13" t="str">
        <f>Github!H$742</f>
        <v>Algorithms</v>
      </c>
      <c r="I414" s="16" t="str">
        <f>SUBSTITUTE(Github!L$742, ";", ", ")</f>
        <v>Array, Dynamic Programming, Matrix, </v>
      </c>
      <c r="J414" s="13" t="str">
        <f>Github!E$742</f>
        <v>Hard</v>
      </c>
      <c r="K414" s="13" t="str">
        <f>IF(TRIM(Github!D$742)="TRUE","FALSE","TRUE")</f>
        <v>TRUE</v>
      </c>
      <c r="L414" s="13" t="b">
        <f>Github!M$742</f>
        <v>1</v>
      </c>
      <c r="M414" s="13" t="b">
        <f>Github!N$742</f>
        <v>0</v>
      </c>
      <c r="N414" s="13">
        <f>Github!P$742</f>
        <v>62517</v>
      </c>
      <c r="O414" s="13">
        <f>Github!Q$742</f>
        <v>172108</v>
      </c>
    </row>
    <row r="415">
      <c r="A415" s="13">
        <f>Github!J$120</f>
        <v>119</v>
      </c>
      <c r="B415" s="14" t="str">
        <f>HYPERLINK(CONCAT("http://leetcode.com/problems/",Github!C$120), Github!B$120)</f>
        <v>Pascal's Triangle II</v>
      </c>
      <c r="C415" s="13">
        <f>Github!F$120</f>
        <v>3412</v>
      </c>
      <c r="D415" s="13">
        <f>Github!G$120</f>
        <v>290</v>
      </c>
      <c r="E415" s="13">
        <f>Github!F$120+Github!G$120</f>
        <v>3702</v>
      </c>
      <c r="F415" s="15">
        <f t="shared" si="1"/>
        <v>11.77</v>
      </c>
      <c r="G415" s="13" t="str">
        <f>ROUND(Github!O$120, 2)&amp;"%"</f>
        <v>60.08%</v>
      </c>
      <c r="H415" s="13" t="str">
        <f>Github!H$120</f>
        <v>Algorithms</v>
      </c>
      <c r="I415" s="16" t="str">
        <f>SUBSTITUTE(Github!L$120, ";", ", ")</f>
        <v>Array, Dynamic Programming, </v>
      </c>
      <c r="J415" s="13" t="str">
        <f>Github!E$120</f>
        <v>Easy</v>
      </c>
      <c r="K415" s="13" t="str">
        <f>IF(TRIM(Github!D$120)="TRUE","FALSE","TRUE")</f>
        <v>TRUE</v>
      </c>
      <c r="L415" s="13" t="b">
        <f>Github!M$120</f>
        <v>1</v>
      </c>
      <c r="M415" s="13" t="b">
        <f>Github!N$120</f>
        <v>0</v>
      </c>
      <c r="N415" s="13">
        <f>Github!P$120</f>
        <v>629272</v>
      </c>
      <c r="O415" s="13">
        <f>Github!Q$120</f>
        <v>1047355</v>
      </c>
    </row>
    <row r="416">
      <c r="A416" s="13">
        <f>Github!J$631</f>
        <v>630</v>
      </c>
      <c r="B416" s="14" t="str">
        <f>HYPERLINK(CONCAT("http://leetcode.com/problems/",Github!C$631), Github!B$631)</f>
        <v>Course Schedule III</v>
      </c>
      <c r="C416" s="13">
        <f>Github!F$631</f>
        <v>3381</v>
      </c>
      <c r="D416" s="13">
        <f>Github!G$631</f>
        <v>89</v>
      </c>
      <c r="E416" s="13">
        <f>Github!F$631+Github!G$631</f>
        <v>3470</v>
      </c>
      <c r="F416" s="15">
        <f t="shared" si="1"/>
        <v>37.99</v>
      </c>
      <c r="G416" s="13" t="str">
        <f>ROUND(Github!O$631, 2)&amp;"%"</f>
        <v>40.16%</v>
      </c>
      <c r="H416" s="13" t="str">
        <f>Github!H$631</f>
        <v>Algorithms</v>
      </c>
      <c r="I416" s="16" t="str">
        <f>SUBSTITUTE(Github!L$631, ";", ", ")</f>
        <v>Array, Greedy, Heap (Priority Queue), </v>
      </c>
      <c r="J416" s="13" t="str">
        <f>Github!E$631</f>
        <v>Hard</v>
      </c>
      <c r="K416" s="13" t="str">
        <f>IF(TRIM(Github!D$631)="TRUE","FALSE","TRUE")</f>
        <v>TRUE</v>
      </c>
      <c r="L416" s="13" t="b">
        <f>Github!M$631</f>
        <v>1</v>
      </c>
      <c r="M416" s="13" t="b">
        <f>Github!N$631</f>
        <v>0</v>
      </c>
      <c r="N416" s="13">
        <f>Github!P$631</f>
        <v>99585</v>
      </c>
      <c r="O416" s="13">
        <f>Github!Q$631</f>
        <v>247944</v>
      </c>
    </row>
    <row r="417">
      <c r="A417" s="13">
        <f>Github!J$935</f>
        <v>934</v>
      </c>
      <c r="B417" s="14" t="str">
        <f>HYPERLINK(CONCAT("http://leetcode.com/problems/",Github!C$935), Github!B$935)</f>
        <v>Shortest Bridge</v>
      </c>
      <c r="C417" s="13">
        <f>Github!F$935</f>
        <v>3383</v>
      </c>
      <c r="D417" s="13">
        <f>Github!G$935</f>
        <v>145</v>
      </c>
      <c r="E417" s="13">
        <f>Github!F$935+Github!G$935</f>
        <v>3528</v>
      </c>
      <c r="F417" s="15">
        <f t="shared" si="1"/>
        <v>23.33</v>
      </c>
      <c r="G417" s="13" t="str">
        <f>ROUND(Github!O$935, 2)&amp;"%"</f>
        <v>54.16%</v>
      </c>
      <c r="H417" s="13" t="str">
        <f>Github!H$935</f>
        <v>Algorithms</v>
      </c>
      <c r="I417" s="16" t="str">
        <f>SUBSTITUTE(Github!L$935, ";", ", ")</f>
        <v>Array, Depth-First Search, Breadth-First Search, Matrix, </v>
      </c>
      <c r="J417" s="13" t="str">
        <f>Github!E$935</f>
        <v>Medium</v>
      </c>
      <c r="K417" s="13" t="str">
        <f>IF(TRIM(Github!D$935)="TRUE","FALSE","TRUE")</f>
        <v>TRUE</v>
      </c>
      <c r="L417" s="13" t="b">
        <f>Github!M$935</f>
        <v>0</v>
      </c>
      <c r="M417" s="13" t="b">
        <f>Github!N$935</f>
        <v>0</v>
      </c>
      <c r="N417" s="13">
        <f>Github!P$935</f>
        <v>119202</v>
      </c>
      <c r="O417" s="13">
        <f>Github!Q$935</f>
        <v>220101</v>
      </c>
    </row>
    <row r="418">
      <c r="A418" s="13">
        <f>Github!J$1093</f>
        <v>1092</v>
      </c>
      <c r="B418" s="14" t="str">
        <f>HYPERLINK(CONCAT("http://leetcode.com/problems/",Github!C$1093), Github!B$1093)</f>
        <v>Shortest Common Supersequence </v>
      </c>
      <c r="C418" s="13">
        <f>Github!F$1093</f>
        <v>3379</v>
      </c>
      <c r="D418" s="13">
        <f>Github!G$1093</f>
        <v>54</v>
      </c>
      <c r="E418" s="13">
        <f>Github!F$1093+Github!G$1093</f>
        <v>3433</v>
      </c>
      <c r="F418" s="15">
        <f t="shared" si="1"/>
        <v>62.57</v>
      </c>
      <c r="G418" s="13" t="str">
        <f>ROUND(Github!O$1093, 2)&amp;"%"</f>
        <v>57.89%</v>
      </c>
      <c r="H418" s="13" t="str">
        <f>Github!H$1093</f>
        <v>Algorithms</v>
      </c>
      <c r="I418" s="16" t="str">
        <f>SUBSTITUTE(Github!L$1093, ";", ", ")</f>
        <v>String, Dynamic Programming, </v>
      </c>
      <c r="J418" s="13" t="str">
        <f>Github!E$1093</f>
        <v>Hard</v>
      </c>
      <c r="K418" s="13" t="str">
        <f>IF(TRIM(Github!D$1093)="TRUE","FALSE","TRUE")</f>
        <v>TRUE</v>
      </c>
      <c r="L418" s="13" t="b">
        <f>Github!M$1093</f>
        <v>0</v>
      </c>
      <c r="M418" s="13" t="b">
        <f>Github!N$1093</f>
        <v>0</v>
      </c>
      <c r="N418" s="13">
        <f>Github!P$1093</f>
        <v>66724</v>
      </c>
      <c r="O418" s="13">
        <f>Github!Q$1093</f>
        <v>115265</v>
      </c>
    </row>
    <row r="419">
      <c r="A419" s="13">
        <f>Github!J$1042</f>
        <v>1041</v>
      </c>
      <c r="B419" s="14" t="str">
        <f>HYPERLINK(CONCAT("http://leetcode.com/problems/",Github!C$1042), Github!B$1042)</f>
        <v>Robot Bounded In Circle</v>
      </c>
      <c r="C419" s="13">
        <f>Github!F$1042</f>
        <v>3351</v>
      </c>
      <c r="D419" s="13">
        <f>Github!G$1042</f>
        <v>646</v>
      </c>
      <c r="E419" s="13">
        <f>Github!F$1042+Github!G$1042</f>
        <v>3997</v>
      </c>
      <c r="F419" s="15">
        <f t="shared" si="1"/>
        <v>5.19</v>
      </c>
      <c r="G419" s="13" t="str">
        <f>ROUND(Github!O$1042, 2)&amp;"%"</f>
        <v>55.28%</v>
      </c>
      <c r="H419" s="13" t="str">
        <f>Github!H$1042</f>
        <v>Algorithms</v>
      </c>
      <c r="I419" s="16" t="str">
        <f>SUBSTITUTE(Github!L$1042, ";", ", ")</f>
        <v>Math, String, Simulation, </v>
      </c>
      <c r="J419" s="13" t="str">
        <f>Github!E$1042</f>
        <v>Medium</v>
      </c>
      <c r="K419" s="13" t="str">
        <f>IF(TRIM(Github!D$1042)="TRUE","FALSE","TRUE")</f>
        <v>TRUE</v>
      </c>
      <c r="L419" s="13" t="b">
        <f>Github!M$1042</f>
        <v>1</v>
      </c>
      <c r="M419" s="13" t="b">
        <f>Github!N$1042</f>
        <v>0</v>
      </c>
      <c r="N419" s="13">
        <f>Github!P$1042</f>
        <v>205876</v>
      </c>
      <c r="O419" s="13">
        <f>Github!Q$1042</f>
        <v>372411</v>
      </c>
    </row>
    <row r="420">
      <c r="A420" s="13">
        <f>Github!J$1307</f>
        <v>1306</v>
      </c>
      <c r="B420" s="14" t="str">
        <f>HYPERLINK(CONCAT("http://leetcode.com/problems/",Github!C$1307), Github!B$1307)</f>
        <v>Jump Game III</v>
      </c>
      <c r="C420" s="13">
        <f>Github!F$1307</f>
        <v>3382</v>
      </c>
      <c r="D420" s="13">
        <f>Github!G$1307</f>
        <v>81</v>
      </c>
      <c r="E420" s="13">
        <f>Github!F$1307+Github!G$1307</f>
        <v>3463</v>
      </c>
      <c r="F420" s="15">
        <f t="shared" si="1"/>
        <v>41.75</v>
      </c>
      <c r="G420" s="13" t="str">
        <f>ROUND(Github!O$1307, 2)&amp;"%"</f>
        <v>63.23%</v>
      </c>
      <c r="H420" s="13" t="str">
        <f>Github!H$1307</f>
        <v>Algorithms</v>
      </c>
      <c r="I420" s="16" t="str">
        <f>SUBSTITUTE(Github!L$1307, ";", ", ")</f>
        <v>Array, Depth-First Search, Breadth-First Search, </v>
      </c>
      <c r="J420" s="13" t="str">
        <f>Github!E$1307</f>
        <v>Medium</v>
      </c>
      <c r="K420" s="13" t="str">
        <f>IF(TRIM(Github!D$1307)="TRUE","FALSE","TRUE")</f>
        <v>TRUE</v>
      </c>
      <c r="L420" s="13" t="b">
        <f>Github!M$1307</f>
        <v>1</v>
      </c>
      <c r="M420" s="13" t="b">
        <f>Github!N$1307</f>
        <v>1</v>
      </c>
      <c r="N420" s="13">
        <f>Github!P$1307</f>
        <v>176264</v>
      </c>
      <c r="O420" s="13">
        <f>Github!Q$1307</f>
        <v>278764</v>
      </c>
    </row>
    <row r="421">
      <c r="A421" s="13">
        <f>Github!J$474</f>
        <v>473</v>
      </c>
      <c r="B421" s="14" t="str">
        <f>HYPERLINK(CONCAT("http://leetcode.com/problems/",Github!C$474), Github!B$474)</f>
        <v>Matchsticks to Square</v>
      </c>
      <c r="C421" s="13">
        <f>Github!F$474</f>
        <v>3340</v>
      </c>
      <c r="D421" s="13">
        <f>Github!G$474</f>
        <v>263</v>
      </c>
      <c r="E421" s="13">
        <f>Github!F$474+Github!G$474</f>
        <v>3603</v>
      </c>
      <c r="F421" s="15">
        <f t="shared" si="1"/>
        <v>12.7</v>
      </c>
      <c r="G421" s="13" t="str">
        <f>ROUND(Github!O$474, 2)&amp;"%"</f>
        <v>40.3%</v>
      </c>
      <c r="H421" s="13" t="str">
        <f>Github!H$474</f>
        <v>Algorithms</v>
      </c>
      <c r="I421" s="16" t="str">
        <f>SUBSTITUTE(Github!L$474, ";", ", ")</f>
        <v>Array, Dynamic Programming, Backtracking, Bit Manipulation, Bitmask, </v>
      </c>
      <c r="J421" s="13" t="str">
        <f>Github!E$474</f>
        <v>Medium</v>
      </c>
      <c r="K421" s="13" t="str">
        <f>IF(TRIM(Github!D$474)="TRUE","FALSE","TRUE")</f>
        <v>TRUE</v>
      </c>
      <c r="L421" s="13" t="b">
        <f>Github!M$474</f>
        <v>1</v>
      </c>
      <c r="M421" s="13" t="b">
        <f>Github!N$474</f>
        <v>0</v>
      </c>
      <c r="N421" s="13">
        <f>Github!P$474</f>
        <v>136088</v>
      </c>
      <c r="O421" s="13">
        <f>Github!Q$474</f>
        <v>337677</v>
      </c>
    </row>
    <row r="422">
      <c r="A422" s="13">
        <f>Github!J$895</f>
        <v>894</v>
      </c>
      <c r="B422" s="14" t="str">
        <f>HYPERLINK(CONCAT("http://leetcode.com/problems/",Github!C$895), Github!B$895)</f>
        <v>All Possible Full Binary Trees</v>
      </c>
      <c r="C422" s="13">
        <f>Github!F$895</f>
        <v>3334</v>
      </c>
      <c r="D422" s="13">
        <f>Github!G$895</f>
        <v>237</v>
      </c>
      <c r="E422" s="13">
        <f>Github!F$895+Github!G$895</f>
        <v>3571</v>
      </c>
      <c r="F422" s="15">
        <f t="shared" si="1"/>
        <v>14.07</v>
      </c>
      <c r="G422" s="13" t="str">
        <f>ROUND(Github!O$895, 2)&amp;"%"</f>
        <v>80%</v>
      </c>
      <c r="H422" s="13" t="str">
        <f>Github!H$895</f>
        <v>Algorithms</v>
      </c>
      <c r="I422" s="16" t="str">
        <f>SUBSTITUTE(Github!L$895, ";", ", ")</f>
        <v>Dynamic Programming, Tree, Recursion, Memoization, Binary Tree, </v>
      </c>
      <c r="J422" s="13" t="str">
        <f>Github!E$895</f>
        <v>Medium</v>
      </c>
      <c r="K422" s="13" t="str">
        <f>IF(TRIM(Github!D$895)="TRUE","FALSE","TRUE")</f>
        <v>TRUE</v>
      </c>
      <c r="L422" s="13" t="b">
        <f>Github!M$895</f>
        <v>1</v>
      </c>
      <c r="M422" s="13" t="b">
        <f>Github!N$895</f>
        <v>0</v>
      </c>
      <c r="N422" s="13">
        <f>Github!P$895</f>
        <v>101806</v>
      </c>
      <c r="O422" s="13">
        <f>Github!Q$895</f>
        <v>127254</v>
      </c>
    </row>
    <row r="423">
      <c r="A423" s="13">
        <f>Github!J$1291</f>
        <v>1290</v>
      </c>
      <c r="B423" s="14" t="str">
        <f>HYPERLINK(CONCAT("http://leetcode.com/problems/",Github!C$1291), Github!B$1291)</f>
        <v>Convert Binary Number in a Linked List to Integer</v>
      </c>
      <c r="C423" s="13">
        <f>Github!F$1291</f>
        <v>3328</v>
      </c>
      <c r="D423" s="13">
        <f>Github!G$1291</f>
        <v>145</v>
      </c>
      <c r="E423" s="13">
        <f>Github!F$1291+Github!G$1291</f>
        <v>3473</v>
      </c>
      <c r="F423" s="15">
        <f t="shared" si="1"/>
        <v>22.95</v>
      </c>
      <c r="G423" s="13" t="str">
        <f>ROUND(Github!O$1291, 2)&amp;"%"</f>
        <v>82.46%</v>
      </c>
      <c r="H423" s="13" t="str">
        <f>Github!H$1291</f>
        <v>Algorithms</v>
      </c>
      <c r="I423" s="16" t="str">
        <f>SUBSTITUTE(Github!L$1291, ";", ", ")</f>
        <v>Linked List, Math, </v>
      </c>
      <c r="J423" s="13" t="str">
        <f>Github!E$1291</f>
        <v>Easy</v>
      </c>
      <c r="K423" s="13" t="str">
        <f>IF(TRIM(Github!D$1291)="TRUE","FALSE","TRUE")</f>
        <v>TRUE</v>
      </c>
      <c r="L423" s="13" t="b">
        <f>Github!M$1291</f>
        <v>1</v>
      </c>
      <c r="M423" s="13" t="b">
        <f>Github!N$1291</f>
        <v>0</v>
      </c>
      <c r="N423" s="13">
        <f>Github!P$1291</f>
        <v>352616</v>
      </c>
      <c r="O423" s="13">
        <f>Github!Q$1291</f>
        <v>427607</v>
      </c>
    </row>
    <row r="424">
      <c r="A424" s="13">
        <f>Github!J$994</f>
        <v>993</v>
      </c>
      <c r="B424" s="14" t="str">
        <f>HYPERLINK(CONCAT("http://leetcode.com/problems/",Github!C$994), Github!B$994)</f>
        <v>Cousins in Binary Tree</v>
      </c>
      <c r="C424" s="13">
        <f>Github!F$994</f>
        <v>3312</v>
      </c>
      <c r="D424" s="13">
        <f>Github!G$994</f>
        <v>168</v>
      </c>
      <c r="E424" s="13">
        <f>Github!F$994+Github!G$994</f>
        <v>3480</v>
      </c>
      <c r="F424" s="15">
        <f t="shared" si="1"/>
        <v>19.71</v>
      </c>
      <c r="G424" s="13" t="str">
        <f>ROUND(Github!O$994, 2)&amp;"%"</f>
        <v>54.36%</v>
      </c>
      <c r="H424" s="13" t="str">
        <f>Github!H$994</f>
        <v>Algorithms</v>
      </c>
      <c r="I424" s="16" t="str">
        <f>SUBSTITUTE(Github!L$994, ";", ", ")</f>
        <v>Tree, Depth-First Search, Breadth-First Search, Binary Tree, </v>
      </c>
      <c r="J424" s="13" t="str">
        <f>Github!E$994</f>
        <v>Easy</v>
      </c>
      <c r="K424" s="13" t="str">
        <f>IF(TRIM(Github!D$994)="TRUE","FALSE","TRUE")</f>
        <v>TRUE</v>
      </c>
      <c r="L424" s="13" t="b">
        <f>Github!M$994</f>
        <v>1</v>
      </c>
      <c r="M424" s="13" t="b">
        <f>Github!N$994</f>
        <v>0</v>
      </c>
      <c r="N424" s="13">
        <f>Github!P$994</f>
        <v>233554</v>
      </c>
      <c r="O424" s="13">
        <f>Github!Q$994</f>
        <v>429645</v>
      </c>
    </row>
    <row r="425">
      <c r="A425" s="13">
        <f>Github!J$94</f>
        <v>93</v>
      </c>
      <c r="B425" s="14" t="str">
        <f>HYPERLINK(CONCAT("http://leetcode.com/problems/",Github!C$94), Github!B$94)</f>
        <v>Restore IP Addresses</v>
      </c>
      <c r="C425" s="13">
        <f>Github!F$94</f>
        <v>3306</v>
      </c>
      <c r="D425" s="13">
        <f>Github!G$94</f>
        <v>666</v>
      </c>
      <c r="E425" s="13">
        <f>Github!F$94+Github!G$94</f>
        <v>3972</v>
      </c>
      <c r="F425" s="15">
        <f t="shared" si="1"/>
        <v>4.96</v>
      </c>
      <c r="G425" s="13" t="str">
        <f>ROUND(Github!O$94, 2)&amp;"%"</f>
        <v>43.84%</v>
      </c>
      <c r="H425" s="13" t="str">
        <f>Github!H$94</f>
        <v>Algorithms</v>
      </c>
      <c r="I425" s="16" t="str">
        <f>SUBSTITUTE(Github!L$94, ";", ", ")</f>
        <v>String, Backtracking, </v>
      </c>
      <c r="J425" s="13" t="str">
        <f>Github!E$94</f>
        <v>Medium</v>
      </c>
      <c r="K425" s="13" t="str">
        <f>IF(TRIM(Github!D$94)="TRUE","FALSE","TRUE")</f>
        <v>TRUE</v>
      </c>
      <c r="L425" s="13" t="b">
        <f>Github!M$94</f>
        <v>1</v>
      </c>
      <c r="M425" s="13" t="b">
        <f>Github!N$94</f>
        <v>0</v>
      </c>
      <c r="N425" s="13">
        <f>Github!P$94</f>
        <v>334929</v>
      </c>
      <c r="O425" s="13">
        <f>Github!Q$94</f>
        <v>763998</v>
      </c>
    </row>
    <row r="426">
      <c r="A426" s="13">
        <f>Github!J$1642</f>
        <v>1641</v>
      </c>
      <c r="B426" s="14" t="str">
        <f>HYPERLINK(CONCAT("http://leetcode.com/problems/",Github!C$1642), Github!B$1642)</f>
        <v>Count Sorted Vowel Strings</v>
      </c>
      <c r="C426" s="13">
        <f>Github!F$1642</f>
        <v>3290</v>
      </c>
      <c r="D426" s="13">
        <f>Github!G$1642</f>
        <v>71</v>
      </c>
      <c r="E426" s="13">
        <f>Github!F$1642+Github!G$1642</f>
        <v>3361</v>
      </c>
      <c r="F426" s="15">
        <f t="shared" si="1"/>
        <v>46.34</v>
      </c>
      <c r="G426" s="13" t="str">
        <f>ROUND(Github!O$1642, 2)&amp;"%"</f>
        <v>77.26%</v>
      </c>
      <c r="H426" s="13" t="str">
        <f>Github!H$1642</f>
        <v>Algorithms</v>
      </c>
      <c r="I426" s="16" t="str">
        <f>SUBSTITUTE(Github!L$1642, ";", ", ")</f>
        <v>Dynamic Programming, </v>
      </c>
      <c r="J426" s="13" t="str">
        <f>Github!E$1642</f>
        <v>Medium</v>
      </c>
      <c r="K426" s="13" t="str">
        <f>IF(TRIM(Github!D$1642)="TRUE","FALSE","TRUE")</f>
        <v>TRUE</v>
      </c>
      <c r="L426" s="13" t="b">
        <f>Github!M$1642</f>
        <v>1</v>
      </c>
      <c r="M426" s="13" t="b">
        <f>Github!N$1642</f>
        <v>0</v>
      </c>
      <c r="N426" s="13">
        <f>Github!P$1642</f>
        <v>149684</v>
      </c>
      <c r="O426" s="13">
        <f>Github!Q$1642</f>
        <v>193737</v>
      </c>
    </row>
    <row r="427">
      <c r="A427" s="13">
        <f>Github!J$1471</f>
        <v>1470</v>
      </c>
      <c r="B427" s="14" t="str">
        <f>HYPERLINK(CONCAT("http://leetcode.com/problems/",Github!C$1471), Github!B$1471)</f>
        <v>Shuffle the Array</v>
      </c>
      <c r="C427" s="13">
        <f>Github!F$1471</f>
        <v>3297</v>
      </c>
      <c r="D427" s="13">
        <f>Github!G$1471</f>
        <v>211</v>
      </c>
      <c r="E427" s="13">
        <f>Github!F$1471+Github!G$1471</f>
        <v>3508</v>
      </c>
      <c r="F427" s="15">
        <f t="shared" si="1"/>
        <v>15.63</v>
      </c>
      <c r="G427" s="13" t="str">
        <f>ROUND(Github!O$1471, 2)&amp;"%"</f>
        <v>88.46%</v>
      </c>
      <c r="H427" s="13" t="str">
        <f>Github!H$1471</f>
        <v>Algorithms</v>
      </c>
      <c r="I427" s="16" t="str">
        <f>SUBSTITUTE(Github!L$1471, ";", ", ")</f>
        <v>Array, </v>
      </c>
      <c r="J427" s="13" t="str">
        <f>Github!E$1471</f>
        <v>Easy</v>
      </c>
      <c r="K427" s="13" t="str">
        <f>IF(TRIM(Github!D$1471)="TRUE","FALSE","TRUE")</f>
        <v>TRUE</v>
      </c>
      <c r="L427" s="13" t="b">
        <f>Github!M$1471</f>
        <v>1</v>
      </c>
      <c r="M427" s="13" t="b">
        <f>Github!N$1471</f>
        <v>0</v>
      </c>
      <c r="N427" s="13">
        <f>Github!P$1471</f>
        <v>397678</v>
      </c>
      <c r="O427" s="13">
        <f>Github!Q$1471</f>
        <v>449577</v>
      </c>
    </row>
    <row r="428">
      <c r="A428" s="13">
        <f>Github!J$1711</f>
        <v>1710</v>
      </c>
      <c r="B428" s="14" t="str">
        <f>HYPERLINK(CONCAT("http://leetcode.com/problems/",Github!C$1711), Github!B$1711)</f>
        <v>Maximum Units on a Truck</v>
      </c>
      <c r="C428" s="13">
        <f>Github!F$1711</f>
        <v>3282</v>
      </c>
      <c r="D428" s="13">
        <f>Github!G$1711</f>
        <v>185</v>
      </c>
      <c r="E428" s="13">
        <f>Github!F$1711+Github!G$1711</f>
        <v>3467</v>
      </c>
      <c r="F428" s="15">
        <f t="shared" si="1"/>
        <v>17.74</v>
      </c>
      <c r="G428" s="13" t="str">
        <f>ROUND(Github!O$1711, 2)&amp;"%"</f>
        <v>73.88%</v>
      </c>
      <c r="H428" s="13" t="str">
        <f>Github!H$1711</f>
        <v>Algorithms</v>
      </c>
      <c r="I428" s="16" t="str">
        <f>SUBSTITUTE(Github!L$1711, ";", ", ")</f>
        <v>Array, Greedy, Sorting, </v>
      </c>
      <c r="J428" s="13" t="str">
        <f>Github!E$1711</f>
        <v>Easy</v>
      </c>
      <c r="K428" s="13" t="str">
        <f>IF(TRIM(Github!D$1711)="TRUE","FALSE","TRUE")</f>
        <v>TRUE</v>
      </c>
      <c r="L428" s="13" t="b">
        <f>Github!M$1711</f>
        <v>1</v>
      </c>
      <c r="M428" s="13" t="b">
        <f>Github!N$1711</f>
        <v>0</v>
      </c>
      <c r="N428" s="13">
        <f>Github!P$1711</f>
        <v>255486</v>
      </c>
      <c r="O428" s="13">
        <f>Github!Q$1711</f>
        <v>345802</v>
      </c>
    </row>
    <row r="429">
      <c r="A429" s="13">
        <f>Github!J$1240</f>
        <v>1239</v>
      </c>
      <c r="B429" s="14" t="str">
        <f>HYPERLINK(CONCAT("http://leetcode.com/problems/",Github!C$1240), Github!B$1240)</f>
        <v>Maximum Length of a Concatenated String with Unique Characters</v>
      </c>
      <c r="C429" s="13">
        <f>Github!F$1240</f>
        <v>3262</v>
      </c>
      <c r="D429" s="13">
        <f>Github!G$1240</f>
        <v>229</v>
      </c>
      <c r="E429" s="13">
        <f>Github!F$1240+Github!G$1240</f>
        <v>3491</v>
      </c>
      <c r="F429" s="15">
        <f t="shared" si="1"/>
        <v>14.24</v>
      </c>
      <c r="G429" s="13" t="str">
        <f>ROUND(Github!O$1240, 2)&amp;"%"</f>
        <v>52.22%</v>
      </c>
      <c r="H429" s="13" t="str">
        <f>Github!H$1240</f>
        <v>Algorithms</v>
      </c>
      <c r="I429" s="16" t="str">
        <f>SUBSTITUTE(Github!L$1240, ";", ", ")</f>
        <v>Array, String, Backtracking, Bit Manipulation, </v>
      </c>
      <c r="J429" s="13" t="str">
        <f>Github!E$1240</f>
        <v>Medium</v>
      </c>
      <c r="K429" s="13" t="str">
        <f>IF(TRIM(Github!D$1240)="TRUE","FALSE","TRUE")</f>
        <v>TRUE</v>
      </c>
      <c r="L429" s="13" t="b">
        <f>Github!M$1240</f>
        <v>1</v>
      </c>
      <c r="M429" s="13" t="b">
        <f>Github!N$1240</f>
        <v>0</v>
      </c>
      <c r="N429" s="13">
        <f>Github!P$1240</f>
        <v>166963</v>
      </c>
      <c r="O429" s="13">
        <f>Github!Q$1240</f>
        <v>319739</v>
      </c>
    </row>
    <row r="430">
      <c r="A430" s="13">
        <f>Github!J$1111</f>
        <v>1110</v>
      </c>
      <c r="B430" s="14" t="str">
        <f>HYPERLINK(CONCAT("http://leetcode.com/problems/",Github!C$1111), Github!B$1111)</f>
        <v>Delete Nodes And Return Forest</v>
      </c>
      <c r="C430" s="13">
        <f>Github!F$1111</f>
        <v>3254</v>
      </c>
      <c r="D430" s="13">
        <f>Github!G$1111</f>
        <v>99</v>
      </c>
      <c r="E430" s="13">
        <f>Github!F$1111+Github!G$1111</f>
        <v>3353</v>
      </c>
      <c r="F430" s="15">
        <f t="shared" si="1"/>
        <v>32.87</v>
      </c>
      <c r="G430" s="13" t="str">
        <f>ROUND(Github!O$1111, 2)&amp;"%"</f>
        <v>69.34%</v>
      </c>
      <c r="H430" s="13" t="str">
        <f>Github!H$1111</f>
        <v>Algorithms</v>
      </c>
      <c r="I430" s="16" t="str">
        <f>SUBSTITUTE(Github!L$1111, ";", ", ")</f>
        <v>Tree, Depth-First Search, Binary Tree, </v>
      </c>
      <c r="J430" s="13" t="str">
        <f>Github!E$1111</f>
        <v>Medium</v>
      </c>
      <c r="K430" s="13" t="str">
        <f>IF(TRIM(Github!D$1111)="TRUE","FALSE","TRUE")</f>
        <v>TRUE</v>
      </c>
      <c r="L430" s="13" t="b">
        <f>Github!M$1111</f>
        <v>0</v>
      </c>
      <c r="M430" s="13" t="b">
        <f>Github!N$1111</f>
        <v>0</v>
      </c>
      <c r="N430" s="13">
        <f>Github!P$1111</f>
        <v>176103</v>
      </c>
      <c r="O430" s="13">
        <f>Github!Q$1111</f>
        <v>253974</v>
      </c>
    </row>
    <row r="431">
      <c r="A431" s="13">
        <f>Github!J$954</f>
        <v>953</v>
      </c>
      <c r="B431" s="14" t="str">
        <f>HYPERLINK(CONCAT("http://leetcode.com/problems/",Github!C$954), Github!B$954)</f>
        <v>Verifying an Alien Dictionary</v>
      </c>
      <c r="C431" s="13">
        <f>Github!F$954</f>
        <v>3259</v>
      </c>
      <c r="D431" s="13">
        <f>Github!G$954</f>
        <v>1048</v>
      </c>
      <c r="E431" s="13">
        <f>Github!F$954+Github!G$954</f>
        <v>4307</v>
      </c>
      <c r="F431" s="15">
        <f t="shared" si="1"/>
        <v>3.11</v>
      </c>
      <c r="G431" s="13" t="str">
        <f>ROUND(Github!O$954, 2)&amp;"%"</f>
        <v>52.75%</v>
      </c>
      <c r="H431" s="13" t="str">
        <f>Github!H$954</f>
        <v>Algorithms</v>
      </c>
      <c r="I431" s="16" t="str">
        <f>SUBSTITUTE(Github!L$954, ";", ", ")</f>
        <v>Array, Hash Table, String, </v>
      </c>
      <c r="J431" s="13" t="str">
        <f>Github!E$954</f>
        <v>Easy</v>
      </c>
      <c r="K431" s="13" t="str">
        <f>IF(TRIM(Github!D$954)="TRUE","FALSE","TRUE")</f>
        <v>TRUE</v>
      </c>
      <c r="L431" s="13" t="b">
        <f>Github!M$954</f>
        <v>1</v>
      </c>
      <c r="M431" s="13" t="b">
        <f>Github!N$954</f>
        <v>0</v>
      </c>
      <c r="N431" s="13">
        <f>Github!P$954</f>
        <v>380508</v>
      </c>
      <c r="O431" s="13">
        <f>Github!Q$954</f>
        <v>721398</v>
      </c>
    </row>
    <row r="432">
      <c r="A432" s="13">
        <f>Github!J$408</f>
        <v>407</v>
      </c>
      <c r="B432" s="14" t="str">
        <f>HYPERLINK(CONCAT("http://leetcode.com/problems/",Github!C$408), Github!B$408)</f>
        <v>Trapping Rain Water II</v>
      </c>
      <c r="C432" s="13">
        <f>Github!F$408</f>
        <v>3230</v>
      </c>
      <c r="D432" s="13">
        <f>Github!G$408</f>
        <v>75</v>
      </c>
      <c r="E432" s="13">
        <f>Github!F$408+Github!G$408</f>
        <v>3305</v>
      </c>
      <c r="F432" s="15">
        <f t="shared" si="1"/>
        <v>43.07</v>
      </c>
      <c r="G432" s="13" t="str">
        <f>ROUND(Github!O$408, 2)&amp;"%"</f>
        <v>47.53%</v>
      </c>
      <c r="H432" s="13" t="str">
        <f>Github!H$408</f>
        <v>Algorithms</v>
      </c>
      <c r="I432" s="16" t="str">
        <f>SUBSTITUTE(Github!L$408, ";", ", ")</f>
        <v>Array, Breadth-First Search, Heap (Priority Queue), Matrix, </v>
      </c>
      <c r="J432" s="13" t="str">
        <f>Github!E$408</f>
        <v>Hard</v>
      </c>
      <c r="K432" s="13" t="str">
        <f>IF(TRIM(Github!D$408)="TRUE","FALSE","TRUE")</f>
        <v>TRUE</v>
      </c>
      <c r="L432" s="13" t="b">
        <f>Github!M$408</f>
        <v>0</v>
      </c>
      <c r="M432" s="13" t="b">
        <f>Github!N$408</f>
        <v>0</v>
      </c>
      <c r="N432" s="13">
        <f>Github!P$408</f>
        <v>76523</v>
      </c>
      <c r="O432" s="13">
        <f>Github!Q$408</f>
        <v>160995</v>
      </c>
    </row>
    <row r="433">
      <c r="A433" s="13">
        <f>Github!J$991</f>
        <v>990</v>
      </c>
      <c r="B433" s="14" t="str">
        <f>HYPERLINK(CONCAT("http://leetcode.com/problems/",Github!C$991), Github!B$991)</f>
        <v>Satisfiability of Equality Equations</v>
      </c>
      <c r="C433" s="13">
        <f>Github!F$991</f>
        <v>3230</v>
      </c>
      <c r="D433" s="13">
        <f>Github!G$991</f>
        <v>48</v>
      </c>
      <c r="E433" s="13">
        <f>Github!F$991+Github!G$991</f>
        <v>3278</v>
      </c>
      <c r="F433" s="15">
        <f t="shared" si="1"/>
        <v>67.29</v>
      </c>
      <c r="G433" s="13" t="str">
        <f>ROUND(Github!O$991, 2)&amp;"%"</f>
        <v>50.77%</v>
      </c>
      <c r="H433" s="13" t="str">
        <f>Github!H$991</f>
        <v>Algorithms</v>
      </c>
      <c r="I433" s="16" t="str">
        <f>SUBSTITUTE(Github!L$991, ";", ", ")</f>
        <v>Array, String, Union Find, Graph, </v>
      </c>
      <c r="J433" s="13" t="str">
        <f>Github!E$991</f>
        <v>Medium</v>
      </c>
      <c r="K433" s="13" t="str">
        <f>IF(TRIM(Github!D$991)="TRUE","FALSE","TRUE")</f>
        <v>TRUE</v>
      </c>
      <c r="L433" s="13" t="b">
        <f>Github!M$991</f>
        <v>1</v>
      </c>
      <c r="M433" s="13" t="b">
        <f>Github!N$991</f>
        <v>0</v>
      </c>
      <c r="N433" s="13">
        <f>Github!P$991</f>
        <v>106107</v>
      </c>
      <c r="O433" s="13">
        <f>Github!Q$991</f>
        <v>208992</v>
      </c>
    </row>
    <row r="434">
      <c r="A434" s="13">
        <f>Github!J$430</f>
        <v>429</v>
      </c>
      <c r="B434" s="14" t="str">
        <f>HYPERLINK(CONCAT("http://leetcode.com/problems/",Github!C$430), Github!B$430)</f>
        <v>N-ary Tree Level Order Traversal</v>
      </c>
      <c r="C434" s="13">
        <f>Github!F$430</f>
        <v>3221</v>
      </c>
      <c r="D434" s="13">
        <f>Github!G$430</f>
        <v>125</v>
      </c>
      <c r="E434" s="13">
        <f>Github!F$430+Github!G$430</f>
        <v>3346</v>
      </c>
      <c r="F434" s="15">
        <f t="shared" si="1"/>
        <v>25.77</v>
      </c>
      <c r="G434" s="13" t="str">
        <f>ROUND(Github!O$430, 2)&amp;"%"</f>
        <v>70.64%</v>
      </c>
      <c r="H434" s="13" t="str">
        <f>Github!H$430</f>
        <v>Algorithms</v>
      </c>
      <c r="I434" s="16" t="str">
        <f>SUBSTITUTE(Github!L$430, ";", ", ")</f>
        <v>Tree, Breadth-First Search, </v>
      </c>
      <c r="J434" s="13" t="str">
        <f>Github!E$430</f>
        <v>Medium</v>
      </c>
      <c r="K434" s="13" t="str">
        <f>IF(TRIM(Github!D$430)="TRUE","FALSE","TRUE")</f>
        <v>TRUE</v>
      </c>
      <c r="L434" s="13" t="b">
        <f>Github!M$430</f>
        <v>1</v>
      </c>
      <c r="M434" s="13" t="b">
        <f>Github!N$430</f>
        <v>0</v>
      </c>
      <c r="N434" s="13">
        <f>Github!P$430</f>
        <v>267292</v>
      </c>
      <c r="O434" s="13">
        <f>Github!Q$430</f>
        <v>378384</v>
      </c>
    </row>
    <row r="435">
      <c r="A435" s="13">
        <f>Github!J$372</f>
        <v>371</v>
      </c>
      <c r="B435" s="14" t="str">
        <f>HYPERLINK(CONCAT("http://leetcode.com/problems/",Github!C$372), Github!B$372)</f>
        <v>Sum of Two Integers</v>
      </c>
      <c r="C435" s="13">
        <f>Github!F$372</f>
        <v>3235</v>
      </c>
      <c r="D435" s="13">
        <f>Github!G$372</f>
        <v>4552</v>
      </c>
      <c r="E435" s="13">
        <f>Github!F$372+Github!G$372</f>
        <v>7787</v>
      </c>
      <c r="F435" s="15">
        <f t="shared" si="1"/>
        <v>0.71</v>
      </c>
      <c r="G435" s="13" t="str">
        <f>ROUND(Github!O$372, 2)&amp;"%"</f>
        <v>50.66%</v>
      </c>
      <c r="H435" s="13" t="str">
        <f>Github!H$372</f>
        <v>Algorithms</v>
      </c>
      <c r="I435" s="16" t="str">
        <f>SUBSTITUTE(Github!L$372, ";", ", ")</f>
        <v>Math, Bit Manipulation, </v>
      </c>
      <c r="J435" s="13" t="str">
        <f>Github!E$372</f>
        <v>Medium</v>
      </c>
      <c r="K435" s="13" t="str">
        <f>IF(TRIM(Github!D$372)="TRUE","FALSE","TRUE")</f>
        <v>TRUE</v>
      </c>
      <c r="L435" s="13" t="b">
        <f>Github!M$372</f>
        <v>1</v>
      </c>
      <c r="M435" s="13" t="b">
        <f>Github!N$372</f>
        <v>0</v>
      </c>
      <c r="N435" s="13">
        <f>Github!P$372</f>
        <v>356921</v>
      </c>
      <c r="O435" s="13">
        <f>Github!Q$372</f>
        <v>704607</v>
      </c>
    </row>
    <row r="436">
      <c r="A436" s="13">
        <f>Github!J$1585</f>
        <v>1584</v>
      </c>
      <c r="B436" s="14" t="str">
        <f>HYPERLINK(CONCAT("http://leetcode.com/problems/",Github!C$1585), Github!B$1585)</f>
        <v>Min Cost to Connect All Points</v>
      </c>
      <c r="C436" s="13">
        <f>Github!F$1585</f>
        <v>3228</v>
      </c>
      <c r="D436" s="13">
        <f>Github!G$1585</f>
        <v>83</v>
      </c>
      <c r="E436" s="13">
        <f>Github!F$1585+Github!G$1585</f>
        <v>3311</v>
      </c>
      <c r="F436" s="15">
        <f t="shared" si="1"/>
        <v>38.89</v>
      </c>
      <c r="G436" s="13" t="str">
        <f>ROUND(Github!O$1585, 2)&amp;"%"</f>
        <v>63.97%</v>
      </c>
      <c r="H436" s="13" t="str">
        <f>Github!H$1585</f>
        <v>Algorithms</v>
      </c>
      <c r="I436" s="16" t="str">
        <f>SUBSTITUTE(Github!L$1585, ";", ", ")</f>
        <v>Array, Union Find, Graph, Minimum Spanning Tree, </v>
      </c>
      <c r="J436" s="13" t="str">
        <f>Github!E$1585</f>
        <v>Medium</v>
      </c>
      <c r="K436" s="13" t="str">
        <f>IF(TRIM(Github!D$1585)="TRUE","FALSE","TRUE")</f>
        <v>TRUE</v>
      </c>
      <c r="L436" s="13" t="b">
        <f>Github!M$1585</f>
        <v>1</v>
      </c>
      <c r="M436" s="13" t="b">
        <f>Github!N$1585</f>
        <v>0</v>
      </c>
      <c r="N436" s="13">
        <f>Github!P$1585</f>
        <v>142264</v>
      </c>
      <c r="O436" s="13">
        <f>Github!Q$1585</f>
        <v>222400</v>
      </c>
    </row>
    <row r="437">
      <c r="A437" s="13">
        <f>Github!J$1203</f>
        <v>1202</v>
      </c>
      <c r="B437" s="14" t="str">
        <f>HYPERLINK(CONCAT("http://leetcode.com/problems/",Github!C$1203), Github!B$1203)</f>
        <v>Smallest String With Swaps</v>
      </c>
      <c r="C437" s="13">
        <f>Github!F$1203</f>
        <v>3195</v>
      </c>
      <c r="D437" s="13">
        <f>Github!G$1203</f>
        <v>109</v>
      </c>
      <c r="E437" s="13">
        <f>Github!F$1203+Github!G$1203</f>
        <v>3304</v>
      </c>
      <c r="F437" s="15">
        <f t="shared" si="1"/>
        <v>29.31</v>
      </c>
      <c r="G437" s="13" t="str">
        <f>ROUND(Github!O$1203, 2)&amp;"%"</f>
        <v>57.62%</v>
      </c>
      <c r="H437" s="13" t="str">
        <f>Github!H$1203</f>
        <v>Algorithms</v>
      </c>
      <c r="I437" s="16" t="str">
        <f>SUBSTITUTE(Github!L$1203, ";", ", ")</f>
        <v>Hash Table, String, Depth-First Search, Breadth-First Search, Union Find, </v>
      </c>
      <c r="J437" s="13" t="str">
        <f>Github!E$1203</f>
        <v>Medium</v>
      </c>
      <c r="K437" s="13" t="str">
        <f>IF(TRIM(Github!D$1203)="TRUE","FALSE","TRUE")</f>
        <v>TRUE</v>
      </c>
      <c r="L437" s="13" t="b">
        <f>Github!M$1203</f>
        <v>1</v>
      </c>
      <c r="M437" s="13" t="b">
        <f>Github!N$1203</f>
        <v>0</v>
      </c>
      <c r="N437" s="13">
        <f>Github!P$1203</f>
        <v>94109</v>
      </c>
      <c r="O437" s="13">
        <f>Github!Q$1203</f>
        <v>163326</v>
      </c>
    </row>
    <row r="438">
      <c r="A438" s="13">
        <f>Github!J$1648</f>
        <v>1647</v>
      </c>
      <c r="B438" s="14" t="str">
        <f>HYPERLINK(CONCAT("http://leetcode.com/problems/",Github!C$1648), Github!B$1648)</f>
        <v>Minimum Deletions to Make Character Frequencies Unique</v>
      </c>
      <c r="C438" s="13">
        <f>Github!F$1648</f>
        <v>3189</v>
      </c>
      <c r="D438" s="13">
        <f>Github!G$1648</f>
        <v>49</v>
      </c>
      <c r="E438" s="13">
        <f>Github!F$1648+Github!G$1648</f>
        <v>3238</v>
      </c>
      <c r="F438" s="15">
        <f t="shared" si="1"/>
        <v>65.08</v>
      </c>
      <c r="G438" s="13" t="str">
        <f>ROUND(Github!O$1648, 2)&amp;"%"</f>
        <v>59.18%</v>
      </c>
      <c r="H438" s="13" t="str">
        <f>Github!H$1648</f>
        <v>Algorithms</v>
      </c>
      <c r="I438" s="16" t="str">
        <f>SUBSTITUTE(Github!L$1648, ";", ", ")</f>
        <v>Hash Table, String, Greedy, Sorting, </v>
      </c>
      <c r="J438" s="13" t="str">
        <f>Github!E$1648</f>
        <v>Medium</v>
      </c>
      <c r="K438" s="13" t="str">
        <f>IF(TRIM(Github!D$1648)="TRUE","FALSE","TRUE")</f>
        <v>TRUE</v>
      </c>
      <c r="L438" s="13" t="b">
        <f>Github!M$1648</f>
        <v>1</v>
      </c>
      <c r="M438" s="13" t="b">
        <f>Github!N$1648</f>
        <v>0</v>
      </c>
      <c r="N438" s="13">
        <f>Github!P$1648</f>
        <v>166318</v>
      </c>
      <c r="O438" s="13">
        <f>Github!Q$1648</f>
        <v>281046</v>
      </c>
    </row>
    <row r="439">
      <c r="A439" s="13">
        <f>Github!J$364</f>
        <v>363</v>
      </c>
      <c r="B439" s="14" t="str">
        <f>HYPERLINK(CONCAT("http://leetcode.com/problems/",Github!C$364), Github!B$364)</f>
        <v>Max Sum of Rectangle No Larger Than K</v>
      </c>
      <c r="C439" s="13">
        <f>Github!F$364</f>
        <v>3163</v>
      </c>
      <c r="D439" s="13">
        <f>Github!G$364</f>
        <v>161</v>
      </c>
      <c r="E439" s="13">
        <f>Github!F$364+Github!G$364</f>
        <v>3324</v>
      </c>
      <c r="F439" s="15">
        <f t="shared" si="1"/>
        <v>19.65</v>
      </c>
      <c r="G439" s="13" t="str">
        <f>ROUND(Github!O$364, 2)&amp;"%"</f>
        <v>44.05%</v>
      </c>
      <c r="H439" s="13" t="str">
        <f>Github!H$364</f>
        <v>Algorithms</v>
      </c>
      <c r="I439" s="16" t="str">
        <f>SUBSTITUTE(Github!L$364, ";", ", ")</f>
        <v>Array, Binary Search, Matrix, Prefix Sum, Ordered Set, </v>
      </c>
      <c r="J439" s="13" t="str">
        <f>Github!E$364</f>
        <v>Hard</v>
      </c>
      <c r="K439" s="13" t="str">
        <f>IF(TRIM(Github!D$364)="TRUE","FALSE","TRUE")</f>
        <v>TRUE</v>
      </c>
      <c r="L439" s="13" t="b">
        <f>Github!M$364</f>
        <v>1</v>
      </c>
      <c r="M439" s="13" t="b">
        <f>Github!N$364</f>
        <v>0</v>
      </c>
      <c r="N439" s="13">
        <f>Github!P$364</f>
        <v>116868</v>
      </c>
      <c r="O439" s="13">
        <f>Github!Q$364</f>
        <v>265288</v>
      </c>
    </row>
    <row r="440">
      <c r="A440" s="13">
        <f>Github!J$1039</f>
        <v>1038</v>
      </c>
      <c r="B440" s="14" t="str">
        <f>HYPERLINK(CONCAT("http://leetcode.com/problems/",Github!C$1039), Github!B$1039)</f>
        <v>Binary Search Tree to Greater Sum Tree</v>
      </c>
      <c r="C440" s="13">
        <f>Github!F$1039</f>
        <v>3166</v>
      </c>
      <c r="D440" s="13">
        <f>Github!G$1039</f>
        <v>143</v>
      </c>
      <c r="E440" s="13">
        <f>Github!F$1039+Github!G$1039</f>
        <v>3309</v>
      </c>
      <c r="F440" s="15">
        <f t="shared" si="1"/>
        <v>22.14</v>
      </c>
      <c r="G440" s="13" t="str">
        <f>ROUND(Github!O$1039, 2)&amp;"%"</f>
        <v>85.52%</v>
      </c>
      <c r="H440" s="13" t="str">
        <f>Github!H$1039</f>
        <v>Algorithms</v>
      </c>
      <c r="I440" s="16" t="str">
        <f>SUBSTITUTE(Github!L$1039, ";", ", ")</f>
        <v>Tree, Depth-First Search, Binary Search Tree, Binary Tree, </v>
      </c>
      <c r="J440" s="13" t="str">
        <f>Github!E$1039</f>
        <v>Medium</v>
      </c>
      <c r="K440" s="13" t="str">
        <f>IF(TRIM(Github!D$1039)="TRUE","FALSE","TRUE")</f>
        <v>TRUE</v>
      </c>
      <c r="L440" s="13" t="b">
        <f>Github!M$1039</f>
        <v>0</v>
      </c>
      <c r="M440" s="13" t="b">
        <f>Github!N$1039</f>
        <v>0</v>
      </c>
      <c r="N440" s="13">
        <f>Github!P$1039</f>
        <v>142218</v>
      </c>
      <c r="O440" s="13">
        <f>Github!Q$1039</f>
        <v>166300</v>
      </c>
    </row>
    <row r="441">
      <c r="A441" s="13">
        <f>Github!J$803</f>
        <v>802</v>
      </c>
      <c r="B441" s="14" t="str">
        <f>HYPERLINK(CONCAT("http://leetcode.com/problems/",Github!C$803), Github!B$803)</f>
        <v>Find Eventual Safe States</v>
      </c>
      <c r="C441" s="13">
        <f>Github!F$803</f>
        <v>3218</v>
      </c>
      <c r="D441" s="13">
        <f>Github!G$803</f>
        <v>348</v>
      </c>
      <c r="E441" s="13">
        <f>Github!F$803+Github!G$803</f>
        <v>3566</v>
      </c>
      <c r="F441" s="15">
        <f t="shared" si="1"/>
        <v>9.25</v>
      </c>
      <c r="G441" s="13" t="str">
        <f>ROUND(Github!O$803, 2)&amp;"%"</f>
        <v>55.69%</v>
      </c>
      <c r="H441" s="13" t="str">
        <f>Github!H$803</f>
        <v>Algorithms</v>
      </c>
      <c r="I441" s="16" t="str">
        <f>SUBSTITUTE(Github!L$803, ";", ", ")</f>
        <v>Depth-First Search, Breadth-First Search, Graph, Topological Sort, </v>
      </c>
      <c r="J441" s="13" t="str">
        <f>Github!E$803</f>
        <v>Medium</v>
      </c>
      <c r="K441" s="13" t="str">
        <f>IF(TRIM(Github!D$803)="TRUE","FALSE","TRUE")</f>
        <v>TRUE</v>
      </c>
      <c r="L441" s="13" t="b">
        <f>Github!M$803</f>
        <v>1</v>
      </c>
      <c r="M441" s="13" t="b">
        <f>Github!N$803</f>
        <v>0</v>
      </c>
      <c r="N441" s="13">
        <f>Github!P$803</f>
        <v>109979</v>
      </c>
      <c r="O441" s="13">
        <f>Github!Q$803</f>
        <v>197485</v>
      </c>
    </row>
    <row r="442">
      <c r="A442" s="13">
        <f>Github!J$319</f>
        <v>318</v>
      </c>
      <c r="B442" s="14" t="str">
        <f>HYPERLINK(CONCAT("http://leetcode.com/problems/",Github!C$319), Github!B$319)</f>
        <v>Maximum Product of Word Lengths</v>
      </c>
      <c r="C442" s="13">
        <f>Github!F$319</f>
        <v>3139</v>
      </c>
      <c r="D442" s="13">
        <f>Github!G$319</f>
        <v>124</v>
      </c>
      <c r="E442" s="13">
        <f>Github!F$319+Github!G$319</f>
        <v>3263</v>
      </c>
      <c r="F442" s="15">
        <f t="shared" si="1"/>
        <v>25.31</v>
      </c>
      <c r="G442" s="13" t="str">
        <f>ROUND(Github!O$319, 2)&amp;"%"</f>
        <v>60.01%</v>
      </c>
      <c r="H442" s="13" t="str">
        <f>Github!H$319</f>
        <v>Algorithms</v>
      </c>
      <c r="I442" s="16" t="str">
        <f>SUBSTITUTE(Github!L$319, ";", ", ")</f>
        <v>Array, String, Bit Manipulation, </v>
      </c>
      <c r="J442" s="13" t="str">
        <f>Github!E$319</f>
        <v>Medium</v>
      </c>
      <c r="K442" s="13" t="str">
        <f>IF(TRIM(Github!D$319)="TRUE","FALSE","TRUE")</f>
        <v>TRUE</v>
      </c>
      <c r="L442" s="13" t="b">
        <f>Github!M$319</f>
        <v>1</v>
      </c>
      <c r="M442" s="13" t="b">
        <f>Github!N$319</f>
        <v>0</v>
      </c>
      <c r="N442" s="13">
        <f>Github!P$319</f>
        <v>197940</v>
      </c>
      <c r="O442" s="13">
        <f>Github!Q$319</f>
        <v>329856</v>
      </c>
    </row>
    <row r="443">
      <c r="A443" s="13">
        <f>Github!J$612</f>
        <v>611</v>
      </c>
      <c r="B443" s="14" t="str">
        <f>HYPERLINK(CONCAT("http://leetcode.com/problems/",Github!C$612), Github!B$612)</f>
        <v>Valid Triangle Number</v>
      </c>
      <c r="C443" s="13">
        <f>Github!F$612</f>
        <v>3145</v>
      </c>
      <c r="D443" s="13">
        <f>Github!G$612</f>
        <v>176</v>
      </c>
      <c r="E443" s="13">
        <f>Github!F$612+Github!G$612</f>
        <v>3321</v>
      </c>
      <c r="F443" s="15">
        <f t="shared" si="1"/>
        <v>17.87</v>
      </c>
      <c r="G443" s="13" t="str">
        <f>ROUND(Github!O$612, 2)&amp;"%"</f>
        <v>50.44%</v>
      </c>
      <c r="H443" s="13" t="str">
        <f>Github!H$612</f>
        <v>Algorithms</v>
      </c>
      <c r="I443" s="16" t="str">
        <f>SUBSTITUTE(Github!L$612, ";", ", ")</f>
        <v>Array, Two Pointers, Binary Search, Greedy, Sorting, </v>
      </c>
      <c r="J443" s="13" t="str">
        <f>Github!E$612</f>
        <v>Medium</v>
      </c>
      <c r="K443" s="13" t="str">
        <f>IF(TRIM(Github!D$612)="TRUE","FALSE","TRUE")</f>
        <v>TRUE</v>
      </c>
      <c r="L443" s="13" t="b">
        <f>Github!M$612</f>
        <v>1</v>
      </c>
      <c r="M443" s="13" t="b">
        <f>Github!N$612</f>
        <v>0</v>
      </c>
      <c r="N443" s="13">
        <f>Github!P$612</f>
        <v>161266</v>
      </c>
      <c r="O443" s="13">
        <f>Github!Q$612</f>
        <v>319694</v>
      </c>
    </row>
    <row r="444">
      <c r="A444" s="13">
        <f>Github!J$767</f>
        <v>766</v>
      </c>
      <c r="B444" s="14" t="str">
        <f>HYPERLINK(CONCAT("http://leetcode.com/problems/",Github!C$767), Github!B$767)</f>
        <v>Toeplitz Matrix</v>
      </c>
      <c r="C444" s="13">
        <f>Github!F$767</f>
        <v>3142</v>
      </c>
      <c r="D444" s="13">
        <f>Github!G$767</f>
        <v>151</v>
      </c>
      <c r="E444" s="13">
        <f>Github!F$767+Github!G$767</f>
        <v>3293</v>
      </c>
      <c r="F444" s="15">
        <f t="shared" si="1"/>
        <v>20.81</v>
      </c>
      <c r="G444" s="13" t="str">
        <f>ROUND(Github!O$767, 2)&amp;"%"</f>
        <v>68.77%</v>
      </c>
      <c r="H444" s="13" t="str">
        <f>Github!H$767</f>
        <v>Algorithms</v>
      </c>
      <c r="I444" s="16" t="str">
        <f>SUBSTITUTE(Github!L$767, ";", ", ")</f>
        <v>Array, Matrix, </v>
      </c>
      <c r="J444" s="13" t="str">
        <f>Github!E$767</f>
        <v>Easy</v>
      </c>
      <c r="K444" s="13" t="str">
        <f>IF(TRIM(Github!D$767)="TRUE","FALSE","TRUE")</f>
        <v>TRUE</v>
      </c>
      <c r="L444" s="13" t="b">
        <f>Github!M$767</f>
        <v>1</v>
      </c>
      <c r="M444" s="13" t="b">
        <f>Github!N$767</f>
        <v>0</v>
      </c>
      <c r="N444" s="13">
        <f>Github!P$767</f>
        <v>267257</v>
      </c>
      <c r="O444" s="13">
        <f>Github!Q$767</f>
        <v>388626</v>
      </c>
    </row>
    <row r="445">
      <c r="A445" s="13">
        <f>Github!J$922</f>
        <v>921</v>
      </c>
      <c r="B445" s="14" t="str">
        <f>HYPERLINK(CONCAT("http://leetcode.com/problems/",Github!C$922), Github!B$922)</f>
        <v>Minimum Add to Make Parentheses Valid</v>
      </c>
      <c r="C445" s="13">
        <f>Github!F$922</f>
        <v>3142</v>
      </c>
      <c r="D445" s="13">
        <f>Github!G$922</f>
        <v>170</v>
      </c>
      <c r="E445" s="13">
        <f>Github!F$922+Github!G$922</f>
        <v>3312</v>
      </c>
      <c r="F445" s="15">
        <f t="shared" si="1"/>
        <v>18.48</v>
      </c>
      <c r="G445" s="13" t="str">
        <f>ROUND(Github!O$922, 2)&amp;"%"</f>
        <v>76.14%</v>
      </c>
      <c r="H445" s="13" t="str">
        <f>Github!H$922</f>
        <v>Algorithms</v>
      </c>
      <c r="I445" s="16" t="str">
        <f>SUBSTITUTE(Github!L$922, ";", ", ")</f>
        <v>String, Stack, Greedy, </v>
      </c>
      <c r="J445" s="13" t="str">
        <f>Github!E$922</f>
        <v>Medium</v>
      </c>
      <c r="K445" s="13" t="str">
        <f>IF(TRIM(Github!D$922)="TRUE","FALSE","TRUE")</f>
        <v>TRUE</v>
      </c>
      <c r="L445" s="13" t="b">
        <f>Github!M$922</f>
        <v>1</v>
      </c>
      <c r="M445" s="13" t="b">
        <f>Github!N$922</f>
        <v>0</v>
      </c>
      <c r="N445" s="13">
        <f>Github!P$922</f>
        <v>243720</v>
      </c>
      <c r="O445" s="13">
        <f>Github!Q$922</f>
        <v>320113</v>
      </c>
    </row>
    <row r="446">
      <c r="A446" s="13">
        <f>Github!J$368</f>
        <v>367</v>
      </c>
      <c r="B446" s="14" t="str">
        <f>HYPERLINK(CONCAT("http://leetcode.com/problems/",Github!C$368), Github!B$368)</f>
        <v>Valid Perfect Square</v>
      </c>
      <c r="C446" s="13">
        <f>Github!F$368</f>
        <v>3154</v>
      </c>
      <c r="D446" s="13">
        <f>Github!G$368</f>
        <v>269</v>
      </c>
      <c r="E446" s="13">
        <f>Github!F$368+Github!G$368</f>
        <v>3423</v>
      </c>
      <c r="F446" s="15">
        <f t="shared" si="1"/>
        <v>11.72</v>
      </c>
      <c r="G446" s="13" t="str">
        <f>ROUND(Github!O$368, 2)&amp;"%"</f>
        <v>43.28%</v>
      </c>
      <c r="H446" s="13" t="str">
        <f>Github!H$368</f>
        <v>Algorithms</v>
      </c>
      <c r="I446" s="16" t="str">
        <f>SUBSTITUTE(Github!L$368, ";", ", ")</f>
        <v>Math, Binary Search, </v>
      </c>
      <c r="J446" s="13" t="str">
        <f>Github!E$368</f>
        <v>Easy</v>
      </c>
      <c r="K446" s="13" t="str">
        <f>IF(TRIM(Github!D$368)="TRUE","FALSE","TRUE")</f>
        <v>TRUE</v>
      </c>
      <c r="L446" s="13" t="b">
        <f>Github!M$368</f>
        <v>1</v>
      </c>
      <c r="M446" s="13" t="b">
        <f>Github!N$368</f>
        <v>0</v>
      </c>
      <c r="N446" s="13">
        <f>Github!P$368</f>
        <v>444798</v>
      </c>
      <c r="O446" s="13">
        <f>Github!Q$368</f>
        <v>1027607</v>
      </c>
    </row>
    <row r="447">
      <c r="A447" s="13">
        <f>Github!J$835</f>
        <v>834</v>
      </c>
      <c r="B447" s="14" t="str">
        <f>HYPERLINK(CONCAT("http://leetcode.com/problems/",Github!C$835), Github!B$835)</f>
        <v>Sum of Distances in Tree</v>
      </c>
      <c r="C447" s="13">
        <f>Github!F$835</f>
        <v>4355</v>
      </c>
      <c r="D447" s="13">
        <f>Github!G$835</f>
        <v>101</v>
      </c>
      <c r="E447" s="13">
        <f>Github!F$835+Github!G$835</f>
        <v>4456</v>
      </c>
      <c r="F447" s="15">
        <f t="shared" si="1"/>
        <v>43.12</v>
      </c>
      <c r="G447" s="13" t="str">
        <f>ROUND(Github!O$835, 2)&amp;"%"</f>
        <v>59.31%</v>
      </c>
      <c r="H447" s="13" t="str">
        <f>Github!H$835</f>
        <v>Algorithms</v>
      </c>
      <c r="I447" s="16" t="str">
        <f>SUBSTITUTE(Github!L$835, ";", ", ")</f>
        <v>Dynamic Programming, Tree, Depth-First Search, Graph, </v>
      </c>
      <c r="J447" s="13" t="str">
        <f>Github!E$835</f>
        <v>Hard</v>
      </c>
      <c r="K447" s="13" t="str">
        <f>IF(TRIM(Github!D$835)="TRUE","FALSE","TRUE")</f>
        <v>TRUE</v>
      </c>
      <c r="L447" s="13" t="b">
        <f>Github!M$835</f>
        <v>1</v>
      </c>
      <c r="M447" s="13" t="b">
        <f>Github!N$835</f>
        <v>0</v>
      </c>
      <c r="N447" s="13">
        <f>Github!P$835</f>
        <v>78429</v>
      </c>
      <c r="O447" s="13">
        <f>Github!Q$835</f>
        <v>132244</v>
      </c>
    </row>
    <row r="448">
      <c r="A448" s="13">
        <f>Github!J$72</f>
        <v>71</v>
      </c>
      <c r="B448" s="14" t="str">
        <f>HYPERLINK(CONCAT("http://leetcode.com/problems/",Github!C$72), Github!B$72)</f>
        <v>Simplify Path</v>
      </c>
      <c r="C448" s="13">
        <f>Github!F$72</f>
        <v>3113</v>
      </c>
      <c r="D448" s="13">
        <f>Github!G$72</f>
        <v>623</v>
      </c>
      <c r="E448" s="13">
        <f>Github!F$72+Github!G$72</f>
        <v>3736</v>
      </c>
      <c r="F448" s="15">
        <f t="shared" si="1"/>
        <v>5</v>
      </c>
      <c r="G448" s="13" t="str">
        <f>ROUND(Github!O$72, 2)&amp;"%"</f>
        <v>39.25%</v>
      </c>
      <c r="H448" s="13" t="str">
        <f>Github!H$72</f>
        <v>Algorithms</v>
      </c>
      <c r="I448" s="16" t="str">
        <f>SUBSTITUTE(Github!L$72, ";", ", ")</f>
        <v>String, Stack, </v>
      </c>
      <c r="J448" s="13" t="str">
        <f>Github!E$72</f>
        <v>Medium</v>
      </c>
      <c r="K448" s="13" t="str">
        <f>IF(TRIM(Github!D$72)="TRUE","FALSE","TRUE")</f>
        <v>TRUE</v>
      </c>
      <c r="L448" s="13" t="b">
        <f>Github!M$72</f>
        <v>1</v>
      </c>
      <c r="M448" s="13" t="b">
        <f>Github!N$72</f>
        <v>0</v>
      </c>
      <c r="N448" s="13">
        <f>Github!P$72</f>
        <v>480772</v>
      </c>
      <c r="O448" s="13">
        <f>Github!Q$72</f>
        <v>1224912</v>
      </c>
    </row>
    <row r="449">
      <c r="A449" s="13">
        <f>Github!J$450</f>
        <v>449</v>
      </c>
      <c r="B449" s="14" t="str">
        <f>HYPERLINK(CONCAT("http://leetcode.com/problems/",Github!C$450), Github!B$450)</f>
        <v>Serialize and Deserialize BST</v>
      </c>
      <c r="C449" s="13">
        <f>Github!F$450</f>
        <v>3086</v>
      </c>
      <c r="D449" s="13">
        <f>Github!G$450</f>
        <v>150</v>
      </c>
      <c r="E449" s="13">
        <f>Github!F$450+Github!G$450</f>
        <v>3236</v>
      </c>
      <c r="F449" s="15">
        <f t="shared" si="1"/>
        <v>20.57</v>
      </c>
      <c r="G449" s="13" t="str">
        <f>ROUND(Github!O$450, 2)&amp;"%"</f>
        <v>56.84%</v>
      </c>
      <c r="H449" s="13" t="str">
        <f>Github!H$450</f>
        <v>Algorithms</v>
      </c>
      <c r="I449" s="16" t="str">
        <f>SUBSTITUTE(Github!L$450, ";", ", ")</f>
        <v>String, Tree, Depth-First Search, Breadth-First Search, Design, Binary Search Tree, Binary Tree, </v>
      </c>
      <c r="J449" s="13" t="str">
        <f>Github!E$450</f>
        <v>Medium</v>
      </c>
      <c r="K449" s="13" t="str">
        <f>IF(TRIM(Github!D$450)="TRUE","FALSE","TRUE")</f>
        <v>TRUE</v>
      </c>
      <c r="L449" s="13" t="b">
        <f>Github!M$450</f>
        <v>1</v>
      </c>
      <c r="M449" s="13" t="b">
        <f>Github!N$450</f>
        <v>0</v>
      </c>
      <c r="N449" s="13">
        <f>Github!P$450</f>
        <v>212358</v>
      </c>
      <c r="O449" s="13">
        <f>Github!Q$450</f>
        <v>373577</v>
      </c>
    </row>
    <row r="450">
      <c r="A450" s="13">
        <f>Github!J$533</f>
        <v>532</v>
      </c>
      <c r="B450" s="14" t="str">
        <f>HYPERLINK(CONCAT("http://leetcode.com/problems/",Github!C$533), Github!B$533)</f>
        <v>K-diff Pairs in an Array</v>
      </c>
      <c r="C450" s="13">
        <f>Github!F$533</f>
        <v>3079</v>
      </c>
      <c r="D450" s="13">
        <f>Github!G$533</f>
        <v>2151</v>
      </c>
      <c r="E450" s="13">
        <f>Github!F$533+Github!G$533</f>
        <v>5230</v>
      </c>
      <c r="F450" s="15">
        <f t="shared" si="1"/>
        <v>1.43</v>
      </c>
      <c r="G450" s="13" t="str">
        <f>ROUND(Github!O$533, 2)&amp;"%"</f>
        <v>40.86%</v>
      </c>
      <c r="H450" s="13" t="str">
        <f>Github!H$533</f>
        <v>Algorithms</v>
      </c>
      <c r="I450" s="16" t="str">
        <f>SUBSTITUTE(Github!L$533, ";", ", ")</f>
        <v>Array, Hash Table, Two Pointers, Binary Search, Sorting, </v>
      </c>
      <c r="J450" s="13" t="str">
        <f>Github!E$533</f>
        <v>Medium</v>
      </c>
      <c r="K450" s="13" t="str">
        <f>IF(TRIM(Github!D$533)="TRUE","FALSE","TRUE")</f>
        <v>TRUE</v>
      </c>
      <c r="L450" s="13" t="b">
        <f>Github!M$533</f>
        <v>1</v>
      </c>
      <c r="M450" s="13" t="b">
        <f>Github!N$533</f>
        <v>0</v>
      </c>
      <c r="N450" s="13">
        <f>Github!P$533</f>
        <v>280582</v>
      </c>
      <c r="O450" s="13">
        <f>Github!Q$533</f>
        <v>686611</v>
      </c>
    </row>
    <row r="451">
      <c r="A451" s="13">
        <f>Github!J$913</f>
        <v>912</v>
      </c>
      <c r="B451" s="14" t="str">
        <f>HYPERLINK(CONCAT("http://leetcode.com/problems/",Github!C$913), Github!B$913)</f>
        <v>Sort an Array</v>
      </c>
      <c r="C451" s="13">
        <f>Github!F$913</f>
        <v>3107</v>
      </c>
      <c r="D451" s="13">
        <f>Github!G$913</f>
        <v>592</v>
      </c>
      <c r="E451" s="13">
        <f>Github!F$913+Github!G$913</f>
        <v>3699</v>
      </c>
      <c r="F451" s="15">
        <f t="shared" si="1"/>
        <v>5.25</v>
      </c>
      <c r="G451" s="13" t="str">
        <f>ROUND(Github!O$913, 2)&amp;"%"</f>
        <v>58.93%</v>
      </c>
      <c r="H451" s="13" t="str">
        <f>Github!H$913</f>
        <v>Algorithms</v>
      </c>
      <c r="I451" s="16" t="str">
        <f>SUBSTITUTE(Github!L$913, ";", ", ")</f>
        <v>Array, Divide and Conquer, Sorting, Heap (Priority Queue), Merge Sort, Bucket Sort, Radix Sort, Counting Sort, </v>
      </c>
      <c r="J451" s="13" t="str">
        <f>Github!E$913</f>
        <v>Medium</v>
      </c>
      <c r="K451" s="13" t="str">
        <f>IF(TRIM(Github!D$913)="TRUE","FALSE","TRUE")</f>
        <v>TRUE</v>
      </c>
      <c r="L451" s="13" t="b">
        <f>Github!M$913</f>
        <v>0</v>
      </c>
      <c r="M451" s="13" t="b">
        <f>Github!N$913</f>
        <v>0</v>
      </c>
      <c r="N451" s="13">
        <f>Github!P$913</f>
        <v>344810</v>
      </c>
      <c r="O451" s="13">
        <f>Github!Q$913</f>
        <v>585160</v>
      </c>
    </row>
    <row r="452">
      <c r="A452" s="13">
        <f>Github!J$839</f>
        <v>838</v>
      </c>
      <c r="B452" s="14" t="str">
        <f>HYPERLINK(CONCAT("http://leetcode.com/problems/",Github!C$839), Github!B$839)</f>
        <v>Push Dominoes</v>
      </c>
      <c r="C452" s="13">
        <f>Github!F$839</f>
        <v>3065</v>
      </c>
      <c r="D452" s="13">
        <f>Github!G$839</f>
        <v>186</v>
      </c>
      <c r="E452" s="13">
        <f>Github!F$839+Github!G$839</f>
        <v>3251</v>
      </c>
      <c r="F452" s="15">
        <f t="shared" si="1"/>
        <v>16.48</v>
      </c>
      <c r="G452" s="13" t="str">
        <f>ROUND(Github!O$839, 2)&amp;"%"</f>
        <v>56.95%</v>
      </c>
      <c r="H452" s="13" t="str">
        <f>Github!H$839</f>
        <v>Algorithms</v>
      </c>
      <c r="I452" s="16" t="str">
        <f>SUBSTITUTE(Github!L$839, ";", ", ")</f>
        <v>Two Pointers, String, Dynamic Programming, </v>
      </c>
      <c r="J452" s="13" t="str">
        <f>Github!E$839</f>
        <v>Medium</v>
      </c>
      <c r="K452" s="13" t="str">
        <f>IF(TRIM(Github!D$839)="TRUE","FALSE","TRUE")</f>
        <v>TRUE</v>
      </c>
      <c r="L452" s="13" t="b">
        <f>Github!M$839</f>
        <v>1</v>
      </c>
      <c r="M452" s="13" t="b">
        <f>Github!N$839</f>
        <v>0</v>
      </c>
      <c r="N452" s="13">
        <f>Github!P$839</f>
        <v>109211</v>
      </c>
      <c r="O452" s="13">
        <f>Github!Q$839</f>
        <v>191780</v>
      </c>
    </row>
    <row r="453">
      <c r="A453" s="13">
        <f>Github!J$346</f>
        <v>345</v>
      </c>
      <c r="B453" s="14" t="str">
        <f>HYPERLINK(CONCAT("http://leetcode.com/problems/",Github!C$346), Github!B$346)</f>
        <v>Reverse Vowels of a String</v>
      </c>
      <c r="C453" s="13">
        <f>Github!F$346</f>
        <v>3053</v>
      </c>
      <c r="D453" s="13">
        <f>Github!G$346</f>
        <v>2332</v>
      </c>
      <c r="E453" s="13">
        <f>Github!F$346+Github!G$346</f>
        <v>5385</v>
      </c>
      <c r="F453" s="15">
        <f t="shared" si="1"/>
        <v>1.31</v>
      </c>
      <c r="G453" s="13" t="str">
        <f>ROUND(Github!O$346, 2)&amp;"%"</f>
        <v>49.85%</v>
      </c>
      <c r="H453" s="13" t="str">
        <f>Github!H$346</f>
        <v>Algorithms</v>
      </c>
      <c r="I453" s="16" t="str">
        <f>SUBSTITUTE(Github!L$346, ";", ", ")</f>
        <v>Two Pointers, String, </v>
      </c>
      <c r="J453" s="13" t="str">
        <f>Github!E$346</f>
        <v>Easy</v>
      </c>
      <c r="K453" s="13" t="str">
        <f>IF(TRIM(Github!D$346)="TRUE","FALSE","TRUE")</f>
        <v>TRUE</v>
      </c>
      <c r="L453" s="13" t="b">
        <f>Github!M$346</f>
        <v>1</v>
      </c>
      <c r="M453" s="13" t="b">
        <f>Github!N$346</f>
        <v>1</v>
      </c>
      <c r="N453" s="13">
        <f>Github!P$346</f>
        <v>469644</v>
      </c>
      <c r="O453" s="13">
        <f>Github!Q$346</f>
        <v>942147</v>
      </c>
    </row>
    <row r="454">
      <c r="A454" s="13">
        <f>Github!J$888</f>
        <v>887</v>
      </c>
      <c r="B454" s="14" t="str">
        <f>HYPERLINK(CONCAT("http://leetcode.com/problems/",Github!C$888), Github!B$888)</f>
        <v>Super Egg Drop</v>
      </c>
      <c r="C454" s="13">
        <f>Github!F$888</f>
        <v>3050</v>
      </c>
      <c r="D454" s="13">
        <f>Github!G$888</f>
        <v>151</v>
      </c>
      <c r="E454" s="13">
        <f>Github!F$888+Github!G$888</f>
        <v>3201</v>
      </c>
      <c r="F454" s="15">
        <f t="shared" si="1"/>
        <v>20.2</v>
      </c>
      <c r="G454" s="13" t="str">
        <f>ROUND(Github!O$888, 2)&amp;"%"</f>
        <v>27.19%</v>
      </c>
      <c r="H454" s="13" t="str">
        <f>Github!H$888</f>
        <v>Algorithms</v>
      </c>
      <c r="I454" s="16" t="str">
        <f>SUBSTITUTE(Github!L$888, ";", ", ")</f>
        <v>Math, Binary Search, Dynamic Programming, </v>
      </c>
      <c r="J454" s="13" t="str">
        <f>Github!E$888</f>
        <v>Hard</v>
      </c>
      <c r="K454" s="13" t="str">
        <f>IF(TRIM(Github!D$888)="TRUE","FALSE","TRUE")</f>
        <v>TRUE</v>
      </c>
      <c r="L454" s="13" t="b">
        <f>Github!M$888</f>
        <v>1</v>
      </c>
      <c r="M454" s="13" t="b">
        <f>Github!N$888</f>
        <v>0</v>
      </c>
      <c r="N454" s="13">
        <f>Github!P$888</f>
        <v>56771</v>
      </c>
      <c r="O454" s="13">
        <f>Github!Q$888</f>
        <v>208810</v>
      </c>
    </row>
    <row r="455">
      <c r="A455" s="13">
        <f>Github!J$1208</f>
        <v>1207</v>
      </c>
      <c r="B455" s="14" t="str">
        <f>HYPERLINK(CONCAT("http://leetcode.com/problems/",Github!C$1208), Github!B$1208)</f>
        <v>Unique Number of Occurrences</v>
      </c>
      <c r="C455" s="13">
        <f>Github!F$1208</f>
        <v>3066</v>
      </c>
      <c r="D455" s="13">
        <f>Github!G$1208</f>
        <v>67</v>
      </c>
      <c r="E455" s="13">
        <f>Github!F$1208+Github!G$1208</f>
        <v>3133</v>
      </c>
      <c r="F455" s="15">
        <f t="shared" si="1"/>
        <v>45.76</v>
      </c>
      <c r="G455" s="13" t="str">
        <f>ROUND(Github!O$1208, 2)&amp;"%"</f>
        <v>73.68%</v>
      </c>
      <c r="H455" s="13" t="str">
        <f>Github!H$1208</f>
        <v>Algorithms</v>
      </c>
      <c r="I455" s="16" t="str">
        <f>SUBSTITUTE(Github!L$1208, ";", ", ")</f>
        <v>Array, Hash Table, </v>
      </c>
      <c r="J455" s="13" t="str">
        <f>Github!E$1208</f>
        <v>Easy</v>
      </c>
      <c r="K455" s="13" t="str">
        <f>IF(TRIM(Github!D$1208)="TRUE","FALSE","TRUE")</f>
        <v>TRUE</v>
      </c>
      <c r="L455" s="13" t="b">
        <f>Github!M$1208</f>
        <v>1</v>
      </c>
      <c r="M455" s="13" t="b">
        <f>Github!N$1208</f>
        <v>1</v>
      </c>
      <c r="N455" s="13">
        <f>Github!P$1208</f>
        <v>240761</v>
      </c>
      <c r="O455" s="13">
        <f>Github!Q$1208</f>
        <v>326761</v>
      </c>
    </row>
    <row r="456">
      <c r="A456" s="13">
        <f>Github!J$1343</f>
        <v>1342</v>
      </c>
      <c r="B456" s="14" t="str">
        <f>HYPERLINK(CONCAT("http://leetcode.com/problems/",Github!C$1343), Github!B$1343)</f>
        <v>Number of Steps to Reduce a Number to Zero</v>
      </c>
      <c r="C456" s="13">
        <f>Github!F$1343</f>
        <v>3034</v>
      </c>
      <c r="D456" s="13">
        <f>Github!G$1343</f>
        <v>143</v>
      </c>
      <c r="E456" s="13">
        <f>Github!F$1343+Github!G$1343</f>
        <v>3177</v>
      </c>
      <c r="F456" s="15">
        <f t="shared" si="1"/>
        <v>21.22</v>
      </c>
      <c r="G456" s="13" t="str">
        <f>ROUND(Github!O$1343, 2)&amp;"%"</f>
        <v>85.3%</v>
      </c>
      <c r="H456" s="13" t="str">
        <f>Github!H$1343</f>
        <v>Algorithms</v>
      </c>
      <c r="I456" s="16" t="str">
        <f>SUBSTITUTE(Github!L$1343, ";", ", ")</f>
        <v>Math, Bit Manipulation, </v>
      </c>
      <c r="J456" s="13" t="str">
        <f>Github!E$1343</f>
        <v>Easy</v>
      </c>
      <c r="K456" s="13" t="str">
        <f>IF(TRIM(Github!D$1343)="TRUE","FALSE","TRUE")</f>
        <v>TRUE</v>
      </c>
      <c r="L456" s="13" t="b">
        <f>Github!M$1343</f>
        <v>1</v>
      </c>
      <c r="M456" s="13" t="b">
        <f>Github!N$1343</f>
        <v>1</v>
      </c>
      <c r="N456" s="13">
        <f>Github!P$1343</f>
        <v>445764</v>
      </c>
      <c r="O456" s="13">
        <f>Github!Q$1343</f>
        <v>522602</v>
      </c>
    </row>
    <row r="457">
      <c r="A457" s="13">
        <f>Github!J$1697</f>
        <v>1696</v>
      </c>
      <c r="B457" s="14" t="str">
        <f>HYPERLINK(CONCAT("http://leetcode.com/problems/",Github!C$1697), Github!B$1697)</f>
        <v>Jump Game VI</v>
      </c>
      <c r="C457" s="13">
        <f>Github!F$1697</f>
        <v>3009</v>
      </c>
      <c r="D457" s="13">
        <f>Github!G$1697</f>
        <v>105</v>
      </c>
      <c r="E457" s="13">
        <f>Github!F$1697+Github!G$1697</f>
        <v>3114</v>
      </c>
      <c r="F457" s="15">
        <f t="shared" si="1"/>
        <v>28.66</v>
      </c>
      <c r="G457" s="13" t="str">
        <f>ROUND(Github!O$1697, 2)&amp;"%"</f>
        <v>46.24%</v>
      </c>
      <c r="H457" s="13" t="str">
        <f>Github!H$1697</f>
        <v>Algorithms</v>
      </c>
      <c r="I457" s="16" t="str">
        <f>SUBSTITUTE(Github!L$1697, ";", ", ")</f>
        <v>Array, Dynamic Programming, Queue, Sliding Window, Heap (Priority Queue), Monotonic Queue, </v>
      </c>
      <c r="J457" s="13" t="str">
        <f>Github!E$1697</f>
        <v>Medium</v>
      </c>
      <c r="K457" s="13" t="str">
        <f>IF(TRIM(Github!D$1697)="TRUE","FALSE","TRUE")</f>
        <v>TRUE</v>
      </c>
      <c r="L457" s="13" t="b">
        <f>Github!M$1697</f>
        <v>1</v>
      </c>
      <c r="M457" s="13" t="b">
        <f>Github!N$1697</f>
        <v>0</v>
      </c>
      <c r="N457" s="13">
        <f>Github!P$1697</f>
        <v>95437</v>
      </c>
      <c r="O457" s="13">
        <f>Github!Q$1697</f>
        <v>206411</v>
      </c>
    </row>
    <row r="458">
      <c r="A458" s="13">
        <f>Github!J$848</f>
        <v>847</v>
      </c>
      <c r="B458" s="14" t="str">
        <f>HYPERLINK(CONCAT("http://leetcode.com/problems/",Github!C$848), Github!B$848)</f>
        <v>Shortest Path Visiting All Nodes</v>
      </c>
      <c r="C458" s="13">
        <f>Github!F$848</f>
        <v>3011</v>
      </c>
      <c r="D458" s="13">
        <f>Github!G$848</f>
        <v>136</v>
      </c>
      <c r="E458" s="13">
        <f>Github!F$848+Github!G$848</f>
        <v>3147</v>
      </c>
      <c r="F458" s="15">
        <f t="shared" si="1"/>
        <v>22.14</v>
      </c>
      <c r="G458" s="13" t="str">
        <f>ROUND(Github!O$848, 2)&amp;"%"</f>
        <v>61.17%</v>
      </c>
      <c r="H458" s="13" t="str">
        <f>Github!H$848</f>
        <v>Algorithms</v>
      </c>
      <c r="I458" s="16" t="str">
        <f>SUBSTITUTE(Github!L$848, ";", ", ")</f>
        <v>Dynamic Programming, Bit Manipulation, Breadth-First Search, Graph, Bitmask, </v>
      </c>
      <c r="J458" s="13" t="str">
        <f>Github!E$848</f>
        <v>Hard</v>
      </c>
      <c r="K458" s="13" t="str">
        <f>IF(TRIM(Github!D$848)="TRUE","FALSE","TRUE")</f>
        <v>TRUE</v>
      </c>
      <c r="L458" s="13" t="b">
        <f>Github!M$848</f>
        <v>1</v>
      </c>
      <c r="M458" s="13" t="b">
        <f>Github!N$848</f>
        <v>0</v>
      </c>
      <c r="N458" s="13">
        <f>Github!P$848</f>
        <v>66370</v>
      </c>
      <c r="O458" s="13">
        <f>Github!Q$848</f>
        <v>108496</v>
      </c>
    </row>
    <row r="459">
      <c r="A459" s="13">
        <f>Github!J$367</f>
        <v>366</v>
      </c>
      <c r="B459" s="14" t="str">
        <f>HYPERLINK(CONCAT("http://leetcode.com/problems/",Github!C$367), Github!B$367)</f>
        <v>Find Leaves of Binary Tree</v>
      </c>
      <c r="C459" s="13">
        <f>Github!F$367</f>
        <v>2983</v>
      </c>
      <c r="D459" s="13">
        <f>Github!G$367</f>
        <v>50</v>
      </c>
      <c r="E459" s="13">
        <f>Github!F$367+Github!G$367</f>
        <v>3033</v>
      </c>
      <c r="F459" s="15">
        <f t="shared" si="1"/>
        <v>59.66</v>
      </c>
      <c r="G459" s="13" t="str">
        <f>ROUND(Github!O$367, 2)&amp;"%"</f>
        <v>80.24%</v>
      </c>
      <c r="H459" s="13" t="str">
        <f>Github!H$367</f>
        <v>Algorithms</v>
      </c>
      <c r="I459" s="16" t="str">
        <f>SUBSTITUTE(Github!L$367, ";", ", ")</f>
        <v>Tree, Depth-First Search, Binary Tree, </v>
      </c>
      <c r="J459" s="13" t="str">
        <f>Github!E$367</f>
        <v>Medium</v>
      </c>
      <c r="K459" s="13" t="str">
        <f>IF(TRIM(Github!D$367)="TRUE","FALSE","TRUE")</f>
        <v>FALSE</v>
      </c>
      <c r="L459" s="13" t="b">
        <f>Github!M$367</f>
        <v>1</v>
      </c>
      <c r="M459" s="13" t="b">
        <f>Github!N$367</f>
        <v>0</v>
      </c>
      <c r="N459" s="13">
        <f>Github!P$367</f>
        <v>230179</v>
      </c>
      <c r="O459" s="13">
        <f>Github!Q$367</f>
        <v>286868</v>
      </c>
    </row>
    <row r="460">
      <c r="A460" s="13">
        <f>Github!J$259</f>
        <v>258</v>
      </c>
      <c r="B460" s="14" t="str">
        <f>HYPERLINK(CONCAT("http://leetcode.com/problems/",Github!C$259), Github!B$259)</f>
        <v>Add Digits</v>
      </c>
      <c r="C460" s="13">
        <f>Github!F$259</f>
        <v>3000</v>
      </c>
      <c r="D460" s="13">
        <f>Github!G$259</f>
        <v>1729</v>
      </c>
      <c r="E460" s="13">
        <f>Github!F$259+Github!G$259</f>
        <v>4729</v>
      </c>
      <c r="F460" s="15">
        <f t="shared" si="1"/>
        <v>1.74</v>
      </c>
      <c r="G460" s="13" t="str">
        <f>ROUND(Github!O$259, 2)&amp;"%"</f>
        <v>63.63%</v>
      </c>
      <c r="H460" s="13" t="str">
        <f>Github!H$259</f>
        <v>Algorithms</v>
      </c>
      <c r="I460" s="16" t="str">
        <f>SUBSTITUTE(Github!L$259, ";", ", ")</f>
        <v>Math, Simulation, Number Theory, </v>
      </c>
      <c r="J460" s="13" t="str">
        <f>Github!E$259</f>
        <v>Easy</v>
      </c>
      <c r="K460" s="13" t="str">
        <f>IF(TRIM(Github!D$259)="TRUE","FALSE","TRUE")</f>
        <v>TRUE</v>
      </c>
      <c r="L460" s="13" t="b">
        <f>Github!M$259</f>
        <v>1</v>
      </c>
      <c r="M460" s="13" t="b">
        <f>Github!N$259</f>
        <v>0</v>
      </c>
      <c r="N460" s="13">
        <f>Github!P$259</f>
        <v>528701</v>
      </c>
      <c r="O460" s="13">
        <f>Github!Q$259</f>
        <v>830840</v>
      </c>
    </row>
    <row r="461">
      <c r="A461" s="13">
        <f>Github!J$1330</f>
        <v>1329</v>
      </c>
      <c r="B461" s="14" t="str">
        <f>HYPERLINK(CONCAT("http://leetcode.com/problems/",Github!C$1330), Github!B$1330)</f>
        <v>Sort the Matrix Diagonally</v>
      </c>
      <c r="C461" s="13">
        <f>Github!F$1330</f>
        <v>2974</v>
      </c>
      <c r="D461" s="13">
        <f>Github!G$1330</f>
        <v>214</v>
      </c>
      <c r="E461" s="13">
        <f>Github!F$1330+Github!G$1330</f>
        <v>3188</v>
      </c>
      <c r="F461" s="15">
        <f t="shared" si="1"/>
        <v>13.9</v>
      </c>
      <c r="G461" s="13" t="str">
        <f>ROUND(Github!O$1330, 2)&amp;"%"</f>
        <v>83.53%</v>
      </c>
      <c r="H461" s="13" t="str">
        <f>Github!H$1330</f>
        <v>Algorithms</v>
      </c>
      <c r="I461" s="16" t="str">
        <f>SUBSTITUTE(Github!L$1330, ";", ", ")</f>
        <v>Array, Sorting, Matrix, </v>
      </c>
      <c r="J461" s="13" t="str">
        <f>Github!E$1330</f>
        <v>Medium</v>
      </c>
      <c r="K461" s="13" t="str">
        <f>IF(TRIM(Github!D$1330)="TRUE","FALSE","TRUE")</f>
        <v>TRUE</v>
      </c>
      <c r="L461" s="13" t="b">
        <f>Github!M$1330</f>
        <v>1</v>
      </c>
      <c r="M461" s="13" t="b">
        <f>Github!N$1330</f>
        <v>1</v>
      </c>
      <c r="N461" s="13">
        <f>Github!P$1330</f>
        <v>141352</v>
      </c>
      <c r="O461" s="13">
        <f>Github!Q$1330</f>
        <v>169219</v>
      </c>
    </row>
    <row r="462">
      <c r="A462" s="13">
        <f>Github!J$1338</f>
        <v>1337</v>
      </c>
      <c r="B462" s="14" t="str">
        <f>HYPERLINK(CONCAT("http://leetcode.com/problems/",Github!C$1338), Github!B$1338)</f>
        <v>The K Weakest Rows in a Matrix</v>
      </c>
      <c r="C462" s="13">
        <f>Github!F$1338</f>
        <v>2990</v>
      </c>
      <c r="D462" s="13">
        <f>Github!G$1338</f>
        <v>176</v>
      </c>
      <c r="E462" s="13">
        <f>Github!F$1338+Github!G$1338</f>
        <v>3166</v>
      </c>
      <c r="F462" s="15">
        <f t="shared" si="1"/>
        <v>16.99</v>
      </c>
      <c r="G462" s="13" t="str">
        <f>ROUND(Github!O$1338, 2)&amp;"%"</f>
        <v>72.53%</v>
      </c>
      <c r="H462" s="13" t="str">
        <f>Github!H$1338</f>
        <v>Algorithms</v>
      </c>
      <c r="I462" s="16" t="str">
        <f>SUBSTITUTE(Github!L$1338, ";", ", ")</f>
        <v>Array, Binary Search, Sorting, Heap (Priority Queue), Matrix, </v>
      </c>
      <c r="J462" s="13" t="str">
        <f>Github!E$1338</f>
        <v>Easy</v>
      </c>
      <c r="K462" s="13" t="str">
        <f>IF(TRIM(Github!D$1338)="TRUE","FALSE","TRUE")</f>
        <v>TRUE</v>
      </c>
      <c r="L462" s="13" t="b">
        <f>Github!M$1338</f>
        <v>1</v>
      </c>
      <c r="M462" s="13" t="b">
        <f>Github!N$1338</f>
        <v>0</v>
      </c>
      <c r="N462" s="13">
        <f>Github!P$1338</f>
        <v>224210</v>
      </c>
      <c r="O462" s="13">
        <f>Github!Q$1338</f>
        <v>309143</v>
      </c>
    </row>
    <row r="463">
      <c r="A463" s="13">
        <f>Github!J$53</f>
        <v>52</v>
      </c>
      <c r="B463" s="14" t="str">
        <f>HYPERLINK(CONCAT("http://leetcode.com/problems/",Github!C$53), Github!B$53)</f>
        <v>N-Queens II</v>
      </c>
      <c r="C463" s="13">
        <f>Github!F$53</f>
        <v>2989</v>
      </c>
      <c r="D463" s="13">
        <f>Github!G$53</f>
        <v>237</v>
      </c>
      <c r="E463" s="13">
        <f>Github!F$53+Github!G$53</f>
        <v>3226</v>
      </c>
      <c r="F463" s="15">
        <f t="shared" si="1"/>
        <v>12.61</v>
      </c>
      <c r="G463" s="13" t="str">
        <f>ROUND(Github!O$53, 2)&amp;"%"</f>
        <v>71.18%</v>
      </c>
      <c r="H463" s="13" t="str">
        <f>Github!H$53</f>
        <v>Algorithms</v>
      </c>
      <c r="I463" s="16" t="str">
        <f>SUBSTITUTE(Github!L$53, ";", ", ")</f>
        <v>Backtracking, </v>
      </c>
      <c r="J463" s="13" t="str">
        <f>Github!E$53</f>
        <v>Hard</v>
      </c>
      <c r="K463" s="13" t="str">
        <f>IF(TRIM(Github!D$53)="TRUE","FALSE","TRUE")</f>
        <v>TRUE</v>
      </c>
      <c r="L463" s="13" t="b">
        <f>Github!M$53</f>
        <v>1</v>
      </c>
      <c r="M463" s="13" t="b">
        <f>Github!N$53</f>
        <v>0</v>
      </c>
      <c r="N463" s="13">
        <f>Github!P$53</f>
        <v>293348</v>
      </c>
      <c r="O463" s="13">
        <f>Github!Q$53</f>
        <v>412117</v>
      </c>
    </row>
    <row r="464">
      <c r="A464" s="13">
        <f>Github!J$651</f>
        <v>650</v>
      </c>
      <c r="B464" s="14" t="str">
        <f>HYPERLINK(CONCAT("http://leetcode.com/problems/",Github!C$651), Github!B$651)</f>
        <v>2 Keys Keyboard</v>
      </c>
      <c r="C464" s="13">
        <f>Github!F$651</f>
        <v>2970</v>
      </c>
      <c r="D464" s="13">
        <f>Github!G$651</f>
        <v>181</v>
      </c>
      <c r="E464" s="13">
        <f>Github!F$651+Github!G$651</f>
        <v>3151</v>
      </c>
      <c r="F464" s="15">
        <f t="shared" si="1"/>
        <v>16.41</v>
      </c>
      <c r="G464" s="13" t="str">
        <f>ROUND(Github!O$651, 2)&amp;"%"</f>
        <v>53.26%</v>
      </c>
      <c r="H464" s="13" t="str">
        <f>Github!H$651</f>
        <v>Algorithms</v>
      </c>
      <c r="I464" s="16" t="str">
        <f>SUBSTITUTE(Github!L$651, ";", ", ")</f>
        <v>Math, Dynamic Programming, </v>
      </c>
      <c r="J464" s="13" t="str">
        <f>Github!E$651</f>
        <v>Medium</v>
      </c>
      <c r="K464" s="13" t="str">
        <f>IF(TRIM(Github!D$651)="TRUE","FALSE","TRUE")</f>
        <v>TRUE</v>
      </c>
      <c r="L464" s="13" t="b">
        <f>Github!M$651</f>
        <v>1</v>
      </c>
      <c r="M464" s="13" t="b">
        <f>Github!N$651</f>
        <v>0</v>
      </c>
      <c r="N464" s="13">
        <f>Github!P$651</f>
        <v>111882</v>
      </c>
      <c r="O464" s="13">
        <f>Github!Q$651</f>
        <v>210055</v>
      </c>
    </row>
    <row r="465">
      <c r="A465" s="13">
        <f>Github!J$215</f>
        <v>214</v>
      </c>
      <c r="B465" s="14" t="str">
        <f>HYPERLINK(CONCAT("http://leetcode.com/problems/",Github!C$215), Github!B$215)</f>
        <v>Shortest Palindrome</v>
      </c>
      <c r="C465" s="13">
        <f>Github!F$215</f>
        <v>2954</v>
      </c>
      <c r="D465" s="13">
        <f>Github!G$215</f>
        <v>209</v>
      </c>
      <c r="E465" s="13">
        <f>Github!F$215+Github!G$215</f>
        <v>3163</v>
      </c>
      <c r="F465" s="15">
        <f t="shared" si="1"/>
        <v>14.13</v>
      </c>
      <c r="G465" s="13" t="str">
        <f>ROUND(Github!O$215, 2)&amp;"%"</f>
        <v>32.23%</v>
      </c>
      <c r="H465" s="13" t="str">
        <f>Github!H$215</f>
        <v>Algorithms</v>
      </c>
      <c r="I465" s="16" t="str">
        <f>SUBSTITUTE(Github!L$215, ";", ", ")</f>
        <v>String, Rolling Hash, String Matching, Hash Function, </v>
      </c>
      <c r="J465" s="13" t="str">
        <f>Github!E$215</f>
        <v>Hard</v>
      </c>
      <c r="K465" s="13" t="str">
        <f>IF(TRIM(Github!D$215)="TRUE","FALSE","TRUE")</f>
        <v>TRUE</v>
      </c>
      <c r="L465" s="13" t="b">
        <f>Github!M$215</f>
        <v>1</v>
      </c>
      <c r="M465" s="13" t="b">
        <f>Github!N$215</f>
        <v>0</v>
      </c>
      <c r="N465" s="13">
        <f>Github!P$215</f>
        <v>149767</v>
      </c>
      <c r="O465" s="13">
        <f>Github!Q$215</f>
        <v>464729</v>
      </c>
    </row>
    <row r="466">
      <c r="A466" s="13">
        <f>Github!J$623</f>
        <v>622</v>
      </c>
      <c r="B466" s="14" t="str">
        <f>HYPERLINK(CONCAT("http://leetcode.com/problems/",Github!C$623), Github!B$623)</f>
        <v>Design Circular Queue</v>
      </c>
      <c r="C466" s="13">
        <f>Github!F$623</f>
        <v>2960</v>
      </c>
      <c r="D466" s="13">
        <f>Github!G$623</f>
        <v>241</v>
      </c>
      <c r="E466" s="13">
        <f>Github!F$623+Github!G$623</f>
        <v>3201</v>
      </c>
      <c r="F466" s="15">
        <f t="shared" si="1"/>
        <v>12.28</v>
      </c>
      <c r="G466" s="13" t="str">
        <f>ROUND(Github!O$623, 2)&amp;"%"</f>
        <v>51.73%</v>
      </c>
      <c r="H466" s="13" t="str">
        <f>Github!H$623</f>
        <v>Algorithms</v>
      </c>
      <c r="I466" s="16" t="str">
        <f>SUBSTITUTE(Github!L$623, ";", ", ")</f>
        <v>Array, Linked List, Design, Queue, </v>
      </c>
      <c r="J466" s="13" t="str">
        <f>Github!E$623</f>
        <v>Medium</v>
      </c>
      <c r="K466" s="13" t="str">
        <f>IF(TRIM(Github!D$623)="TRUE","FALSE","TRUE")</f>
        <v>TRUE</v>
      </c>
      <c r="L466" s="13" t="b">
        <f>Github!M$623</f>
        <v>1</v>
      </c>
      <c r="M466" s="13" t="b">
        <f>Github!N$623</f>
        <v>0</v>
      </c>
      <c r="N466" s="13">
        <f>Github!P$623</f>
        <v>251159</v>
      </c>
      <c r="O466" s="13">
        <f>Github!Q$623</f>
        <v>485497</v>
      </c>
    </row>
    <row r="467">
      <c r="A467" s="13">
        <f>Github!J$1320</f>
        <v>1319</v>
      </c>
      <c r="B467" s="14" t="str">
        <f>HYPERLINK(CONCAT("http://leetcode.com/problems/",Github!C$1320), Github!B$1320)</f>
        <v>Number of Operations to Make Network Connected</v>
      </c>
      <c r="C467" s="13">
        <f>Github!F$1320</f>
        <v>2975</v>
      </c>
      <c r="D467" s="13">
        <f>Github!G$1320</f>
        <v>36</v>
      </c>
      <c r="E467" s="13">
        <f>Github!F$1320+Github!G$1320</f>
        <v>3011</v>
      </c>
      <c r="F467" s="15">
        <f t="shared" si="1"/>
        <v>82.64</v>
      </c>
      <c r="G467" s="13" t="str">
        <f>ROUND(Github!O$1320, 2)&amp;"%"</f>
        <v>58.6%</v>
      </c>
      <c r="H467" s="13" t="str">
        <f>Github!H$1320</f>
        <v>Algorithms</v>
      </c>
      <c r="I467" s="16" t="str">
        <f>SUBSTITUTE(Github!L$1320, ";", ", ")</f>
        <v>Depth-First Search, Breadth-First Search, Union Find, Graph, </v>
      </c>
      <c r="J467" s="13" t="str">
        <f>Github!E$1320</f>
        <v>Medium</v>
      </c>
      <c r="K467" s="13" t="str">
        <f>IF(TRIM(Github!D$1320)="TRUE","FALSE","TRUE")</f>
        <v>TRUE</v>
      </c>
      <c r="L467" s="13" t="b">
        <f>Github!M$1320</f>
        <v>0</v>
      </c>
      <c r="M467" s="13" t="b">
        <f>Github!N$1320</f>
        <v>0</v>
      </c>
      <c r="N467" s="13">
        <f>Github!P$1320</f>
        <v>109114</v>
      </c>
      <c r="O467" s="13">
        <f>Github!Q$1320</f>
        <v>186187</v>
      </c>
    </row>
    <row r="468">
      <c r="A468" s="13">
        <f>Github!J$1044</f>
        <v>1043</v>
      </c>
      <c r="B468" s="14" t="str">
        <f>HYPERLINK(CONCAT("http://leetcode.com/problems/",Github!C$1044), Github!B$1044)</f>
        <v>Partition Array for Maximum Sum</v>
      </c>
      <c r="C468" s="13">
        <f>Github!F$1044</f>
        <v>2953</v>
      </c>
      <c r="D468" s="13">
        <f>Github!G$1044</f>
        <v>214</v>
      </c>
      <c r="E468" s="13">
        <f>Github!F$1044+Github!G$1044</f>
        <v>3167</v>
      </c>
      <c r="F468" s="15">
        <f t="shared" si="1"/>
        <v>13.8</v>
      </c>
      <c r="G468" s="13" t="str">
        <f>ROUND(Github!O$1044, 2)&amp;"%"</f>
        <v>71.29%</v>
      </c>
      <c r="H468" s="13" t="str">
        <f>Github!H$1044</f>
        <v>Algorithms</v>
      </c>
      <c r="I468" s="16" t="str">
        <f>SUBSTITUTE(Github!L$1044, ";", ", ")</f>
        <v>Array, Dynamic Programming, </v>
      </c>
      <c r="J468" s="13" t="str">
        <f>Github!E$1044</f>
        <v>Medium</v>
      </c>
      <c r="K468" s="13" t="str">
        <f>IF(TRIM(Github!D$1044)="TRUE","FALSE","TRUE")</f>
        <v>TRUE</v>
      </c>
      <c r="L468" s="13" t="b">
        <f>Github!M$1044</f>
        <v>0</v>
      </c>
      <c r="M468" s="13" t="b">
        <f>Github!N$1044</f>
        <v>0</v>
      </c>
      <c r="N468" s="13">
        <f>Github!P$1044</f>
        <v>64675</v>
      </c>
      <c r="O468" s="13">
        <f>Github!Q$1044</f>
        <v>90725</v>
      </c>
    </row>
    <row r="469">
      <c r="A469" s="13">
        <f>Github!J$567</f>
        <v>566</v>
      </c>
      <c r="B469" s="14" t="str">
        <f>HYPERLINK(CONCAT("http://leetcode.com/problems/",Github!C$567), Github!B$567)</f>
        <v>Reshape the Matrix</v>
      </c>
      <c r="C469" s="13">
        <f>Github!F$567</f>
        <v>2961</v>
      </c>
      <c r="D469" s="13">
        <f>Github!G$567</f>
        <v>328</v>
      </c>
      <c r="E469" s="13">
        <f>Github!F$567+Github!G$567</f>
        <v>3289</v>
      </c>
      <c r="F469" s="15">
        <f t="shared" si="1"/>
        <v>9.03</v>
      </c>
      <c r="G469" s="13" t="str">
        <f>ROUND(Github!O$567, 2)&amp;"%"</f>
        <v>62.72%</v>
      </c>
      <c r="H469" s="13" t="str">
        <f>Github!H$567</f>
        <v>Algorithms</v>
      </c>
      <c r="I469" s="16" t="str">
        <f>SUBSTITUTE(Github!L$567, ";", ", ")</f>
        <v>Array, Matrix, Simulation, </v>
      </c>
      <c r="J469" s="13" t="str">
        <f>Github!E$567</f>
        <v>Easy</v>
      </c>
      <c r="K469" s="13" t="str">
        <f>IF(TRIM(Github!D$567)="TRUE","FALSE","TRUE")</f>
        <v>TRUE</v>
      </c>
      <c r="L469" s="13" t="b">
        <f>Github!M$567</f>
        <v>1</v>
      </c>
      <c r="M469" s="13" t="b">
        <f>Github!N$567</f>
        <v>0</v>
      </c>
      <c r="N469" s="13">
        <f>Github!P$567</f>
        <v>312722</v>
      </c>
      <c r="O469" s="13">
        <f>Github!Q$567</f>
        <v>498620</v>
      </c>
    </row>
    <row r="470">
      <c r="A470" s="13">
        <f>Github!J$1352</f>
        <v>1351</v>
      </c>
      <c r="B470" s="14" t="str">
        <f>HYPERLINK(CONCAT("http://leetcode.com/problems/",Github!C$1352), Github!B$1352)</f>
        <v>Count Negative Numbers in a Sorted Matrix</v>
      </c>
      <c r="C470" s="13">
        <f>Github!F$1352</f>
        <v>2938</v>
      </c>
      <c r="D470" s="13">
        <f>Github!G$1352</f>
        <v>90</v>
      </c>
      <c r="E470" s="13">
        <f>Github!F$1352+Github!G$1352</f>
        <v>3028</v>
      </c>
      <c r="F470" s="15">
        <f t="shared" si="1"/>
        <v>32.64</v>
      </c>
      <c r="G470" s="13" t="str">
        <f>ROUND(Github!O$1352, 2)&amp;"%"</f>
        <v>75.3%</v>
      </c>
      <c r="H470" s="13" t="str">
        <f>Github!H$1352</f>
        <v>Algorithms</v>
      </c>
      <c r="I470" s="16" t="str">
        <f>SUBSTITUTE(Github!L$1352, ";", ", ")</f>
        <v>Array, Binary Search, Matrix, </v>
      </c>
      <c r="J470" s="13" t="str">
        <f>Github!E$1352</f>
        <v>Easy</v>
      </c>
      <c r="K470" s="13" t="str">
        <f>IF(TRIM(Github!D$1352)="TRUE","FALSE","TRUE")</f>
        <v>TRUE</v>
      </c>
      <c r="L470" s="13" t="b">
        <f>Github!M$1352</f>
        <v>0</v>
      </c>
      <c r="M470" s="13" t="b">
        <f>Github!N$1352</f>
        <v>0</v>
      </c>
      <c r="N470" s="13">
        <f>Github!P$1352</f>
        <v>221105</v>
      </c>
      <c r="O470" s="13">
        <f>Github!Q$1352</f>
        <v>293641</v>
      </c>
    </row>
    <row r="471">
      <c r="A471" s="13">
        <f>Github!J$1023</f>
        <v>1022</v>
      </c>
      <c r="B471" s="14" t="str">
        <f>HYPERLINK(CONCAT("http://leetcode.com/problems/",Github!C$1023), Github!B$1023)</f>
        <v>Sum of Root To Leaf Binary Numbers</v>
      </c>
      <c r="C471" s="13">
        <f>Github!F$1023</f>
        <v>2912</v>
      </c>
      <c r="D471" s="13">
        <f>Github!G$1023</f>
        <v>172</v>
      </c>
      <c r="E471" s="13">
        <f>Github!F$1023+Github!G$1023</f>
        <v>3084</v>
      </c>
      <c r="F471" s="15">
        <f t="shared" si="1"/>
        <v>16.93</v>
      </c>
      <c r="G471" s="13" t="str">
        <f>ROUND(Github!O$1023, 2)&amp;"%"</f>
        <v>73.69%</v>
      </c>
      <c r="H471" s="13" t="str">
        <f>Github!H$1023</f>
        <v>Algorithms</v>
      </c>
      <c r="I471" s="16" t="str">
        <f>SUBSTITUTE(Github!L$1023, ";", ", ")</f>
        <v>Tree, Depth-First Search, Binary Tree, </v>
      </c>
      <c r="J471" s="13" t="str">
        <f>Github!E$1023</f>
        <v>Easy</v>
      </c>
      <c r="K471" s="13" t="str">
        <f>IF(TRIM(Github!D$1023)="TRUE","FALSE","TRUE")</f>
        <v>TRUE</v>
      </c>
      <c r="L471" s="13" t="b">
        <f>Github!M$1023</f>
        <v>1</v>
      </c>
      <c r="M471" s="13" t="b">
        <f>Github!N$1023</f>
        <v>0</v>
      </c>
      <c r="N471" s="13">
        <f>Github!P$1023</f>
        <v>181925</v>
      </c>
      <c r="O471" s="13">
        <f>Github!Q$1023</f>
        <v>246874</v>
      </c>
    </row>
    <row r="472">
      <c r="A472" s="13">
        <f>Github!J$557</f>
        <v>556</v>
      </c>
      <c r="B472" s="14" t="str">
        <f>HYPERLINK(CONCAT("http://leetcode.com/problems/",Github!C$557), Github!B$557)</f>
        <v>Next Greater Element III</v>
      </c>
      <c r="C472" s="13">
        <f>Github!F$557</f>
        <v>2942</v>
      </c>
      <c r="D472" s="13">
        <f>Github!G$557</f>
        <v>396</v>
      </c>
      <c r="E472" s="13">
        <f>Github!F$557+Github!G$557</f>
        <v>3338</v>
      </c>
      <c r="F472" s="15">
        <f t="shared" si="1"/>
        <v>7.43</v>
      </c>
      <c r="G472" s="13" t="str">
        <f>ROUND(Github!O$557, 2)&amp;"%"</f>
        <v>34.07%</v>
      </c>
      <c r="H472" s="13" t="str">
        <f>Github!H$557</f>
        <v>Algorithms</v>
      </c>
      <c r="I472" s="16" t="str">
        <f>SUBSTITUTE(Github!L$557, ";", ", ")</f>
        <v>Math, Two Pointers, String, </v>
      </c>
      <c r="J472" s="13" t="str">
        <f>Github!E$557</f>
        <v>Medium</v>
      </c>
      <c r="K472" s="13" t="str">
        <f>IF(TRIM(Github!D$557)="TRUE","FALSE","TRUE")</f>
        <v>TRUE</v>
      </c>
      <c r="L472" s="13" t="b">
        <f>Github!M$557</f>
        <v>1</v>
      </c>
      <c r="M472" s="13" t="b">
        <f>Github!N$557</f>
        <v>0</v>
      </c>
      <c r="N472" s="13">
        <f>Github!P$557</f>
        <v>120168</v>
      </c>
      <c r="O472" s="13">
        <f>Github!Q$557</f>
        <v>352705</v>
      </c>
    </row>
    <row r="473">
      <c r="A473" s="13">
        <f>Github!J$1673</f>
        <v>1672</v>
      </c>
      <c r="B473" s="14" t="str">
        <f>HYPERLINK(CONCAT("http://leetcode.com/problems/",Github!C$1673), Github!B$1673)</f>
        <v>Richest Customer Wealth</v>
      </c>
      <c r="C473" s="13">
        <f>Github!F$1673</f>
        <v>2956</v>
      </c>
      <c r="D473" s="13">
        <f>Github!G$1673</f>
        <v>308</v>
      </c>
      <c r="E473" s="13">
        <f>Github!F$1673+Github!G$1673</f>
        <v>3264</v>
      </c>
      <c r="F473" s="15">
        <f t="shared" si="1"/>
        <v>9.6</v>
      </c>
      <c r="G473" s="13" t="str">
        <f>ROUND(Github!O$1673, 2)&amp;"%"</f>
        <v>88.1%</v>
      </c>
      <c r="H473" s="13" t="str">
        <f>Github!H$1673</f>
        <v>Algorithms</v>
      </c>
      <c r="I473" s="16" t="str">
        <f>SUBSTITUTE(Github!L$1673, ";", ", ")</f>
        <v>Array, Matrix, </v>
      </c>
      <c r="J473" s="13" t="str">
        <f>Github!E$1673</f>
        <v>Easy</v>
      </c>
      <c r="K473" s="13" t="str">
        <f>IF(TRIM(Github!D$1673)="TRUE","FALSE","TRUE")</f>
        <v>TRUE</v>
      </c>
      <c r="L473" s="13" t="b">
        <f>Github!M$1673</f>
        <v>1</v>
      </c>
      <c r="M473" s="13" t="b">
        <f>Github!N$1673</f>
        <v>1</v>
      </c>
      <c r="N473" s="13">
        <f>Github!P$1673</f>
        <v>499607</v>
      </c>
      <c r="O473" s="13">
        <f>Github!Q$1673</f>
        <v>567083</v>
      </c>
    </row>
    <row r="474">
      <c r="A474" s="13">
        <f>Github!J$442</f>
        <v>441</v>
      </c>
      <c r="B474" s="14" t="str">
        <f>HYPERLINK(CONCAT("http://leetcode.com/problems/",Github!C$442), Github!B$442)</f>
        <v>Arranging Coins</v>
      </c>
      <c r="C474" s="13">
        <f>Github!F$442</f>
        <v>2925</v>
      </c>
      <c r="D474" s="13">
        <f>Github!G$442</f>
        <v>1159</v>
      </c>
      <c r="E474" s="13">
        <f>Github!F$442+Github!G$442</f>
        <v>4084</v>
      </c>
      <c r="F474" s="15">
        <f t="shared" si="1"/>
        <v>2.52</v>
      </c>
      <c r="G474" s="13" t="str">
        <f>ROUND(Github!O$442, 2)&amp;"%"</f>
        <v>46.19%</v>
      </c>
      <c r="H474" s="13" t="str">
        <f>Github!H$442</f>
        <v>Algorithms</v>
      </c>
      <c r="I474" s="16" t="str">
        <f>SUBSTITUTE(Github!L$442, ";", ", ")</f>
        <v>Math, Binary Search, </v>
      </c>
      <c r="J474" s="13" t="str">
        <f>Github!E$442</f>
        <v>Easy</v>
      </c>
      <c r="K474" s="13" t="str">
        <f>IF(TRIM(Github!D$442)="TRUE","FALSE","TRUE")</f>
        <v>TRUE</v>
      </c>
      <c r="L474" s="13" t="b">
        <f>Github!M$442</f>
        <v>1</v>
      </c>
      <c r="M474" s="13" t="b">
        <f>Github!N$442</f>
        <v>0</v>
      </c>
      <c r="N474" s="13">
        <f>Github!P$442</f>
        <v>330597</v>
      </c>
      <c r="O474" s="13">
        <f>Github!Q$442</f>
        <v>715743</v>
      </c>
    </row>
    <row r="475">
      <c r="A475" s="13">
        <f>Github!J$577</f>
        <v>576</v>
      </c>
      <c r="B475" s="14" t="str">
        <f>HYPERLINK(CONCAT("http://leetcode.com/problems/",Github!C$577), Github!B$577)</f>
        <v>Out of Boundary Paths</v>
      </c>
      <c r="C475" s="13">
        <f>Github!F$577</f>
        <v>2887</v>
      </c>
      <c r="D475" s="13">
        <f>Github!G$577</f>
        <v>229</v>
      </c>
      <c r="E475" s="13">
        <f>Github!F$577+Github!G$577</f>
        <v>3116</v>
      </c>
      <c r="F475" s="15">
        <f t="shared" si="1"/>
        <v>12.61</v>
      </c>
      <c r="G475" s="13" t="str">
        <f>ROUND(Github!O$577, 2)&amp;"%"</f>
        <v>44.3%</v>
      </c>
      <c r="H475" s="13" t="str">
        <f>Github!H$577</f>
        <v>Algorithms</v>
      </c>
      <c r="I475" s="16" t="str">
        <f>SUBSTITUTE(Github!L$577, ";", ", ")</f>
        <v>Dynamic Programming, </v>
      </c>
      <c r="J475" s="13" t="str">
        <f>Github!E$577</f>
        <v>Medium</v>
      </c>
      <c r="K475" s="13" t="str">
        <f>IF(TRIM(Github!D$577)="TRUE","FALSE","TRUE")</f>
        <v>TRUE</v>
      </c>
      <c r="L475" s="13" t="b">
        <f>Github!M$577</f>
        <v>1</v>
      </c>
      <c r="M475" s="13" t="b">
        <f>Github!N$577</f>
        <v>0</v>
      </c>
      <c r="N475" s="13">
        <f>Github!P$577</f>
        <v>113738</v>
      </c>
      <c r="O475" s="13">
        <f>Github!Q$577</f>
        <v>256760</v>
      </c>
    </row>
    <row r="476">
      <c r="A476" s="13">
        <f>Github!J$887</f>
        <v>886</v>
      </c>
      <c r="B476" s="14" t="str">
        <f>HYPERLINK(CONCAT("http://leetcode.com/problems/",Github!C$887), Github!B$887)</f>
        <v>Possible Bipartition</v>
      </c>
      <c r="C476" s="13">
        <f>Github!F$887</f>
        <v>4094</v>
      </c>
      <c r="D476" s="13">
        <f>Github!G$887</f>
        <v>94</v>
      </c>
      <c r="E476" s="13">
        <f>Github!F$887+Github!G$887</f>
        <v>4188</v>
      </c>
      <c r="F476" s="15">
        <f t="shared" si="1"/>
        <v>43.55</v>
      </c>
      <c r="G476" s="13" t="str">
        <f>ROUND(Github!O$887, 2)&amp;"%"</f>
        <v>49.9%</v>
      </c>
      <c r="H476" s="13" t="str">
        <f>Github!H$887</f>
        <v>Algorithms</v>
      </c>
      <c r="I476" s="16" t="str">
        <f>SUBSTITUTE(Github!L$887, ";", ", ")</f>
        <v>Depth-First Search, Breadth-First Search, Union Find, Graph, </v>
      </c>
      <c r="J476" s="13" t="str">
        <f>Github!E$887</f>
        <v>Medium</v>
      </c>
      <c r="K476" s="13" t="str">
        <f>IF(TRIM(Github!D$887)="TRUE","FALSE","TRUE")</f>
        <v>TRUE</v>
      </c>
      <c r="L476" s="13" t="b">
        <f>Github!M$887</f>
        <v>1</v>
      </c>
      <c r="M476" s="13" t="b">
        <f>Github!N$887</f>
        <v>0</v>
      </c>
      <c r="N476" s="13">
        <f>Github!P$887</f>
        <v>173053</v>
      </c>
      <c r="O476" s="13">
        <f>Github!Q$887</f>
        <v>346825</v>
      </c>
    </row>
    <row r="477">
      <c r="A477" s="13">
        <f>Github!J$262</f>
        <v>261</v>
      </c>
      <c r="B477" s="14" t="str">
        <f>HYPERLINK(CONCAT("http://leetcode.com/problems/",Github!C$262), Github!B$262)</f>
        <v>Graph Valid Tree</v>
      </c>
      <c r="C477" s="13">
        <f>Github!F$262</f>
        <v>2890</v>
      </c>
      <c r="D477" s="13">
        <f>Github!G$262</f>
        <v>79</v>
      </c>
      <c r="E477" s="13">
        <f>Github!F$262+Github!G$262</f>
        <v>2969</v>
      </c>
      <c r="F477" s="15">
        <f t="shared" si="1"/>
        <v>36.58</v>
      </c>
      <c r="G477" s="13" t="str">
        <f>ROUND(Github!O$262, 2)&amp;"%"</f>
        <v>46.96%</v>
      </c>
      <c r="H477" s="13" t="str">
        <f>Github!H$262</f>
        <v>Algorithms</v>
      </c>
      <c r="I477" s="16" t="str">
        <f>SUBSTITUTE(Github!L$262, ";", ", ")</f>
        <v>Depth-First Search, Breadth-First Search, Union Find, Graph, </v>
      </c>
      <c r="J477" s="13" t="str">
        <f>Github!E$262</f>
        <v>Medium</v>
      </c>
      <c r="K477" s="13" t="str">
        <f>IF(TRIM(Github!D$262)="TRUE","FALSE","TRUE")</f>
        <v>FALSE</v>
      </c>
      <c r="L477" s="13" t="b">
        <f>Github!M$262</f>
        <v>1</v>
      </c>
      <c r="M477" s="13" t="b">
        <f>Github!N$262</f>
        <v>0</v>
      </c>
      <c r="N477" s="13">
        <f>Github!P$262</f>
        <v>322377</v>
      </c>
      <c r="O477" s="13">
        <f>Github!Q$262</f>
        <v>686480</v>
      </c>
    </row>
    <row r="478">
      <c r="A478" s="13">
        <f>Github!J$1339</f>
        <v>1338</v>
      </c>
      <c r="B478" s="14" t="str">
        <f>HYPERLINK(CONCAT("http://leetcode.com/problems/",Github!C$1339), Github!B$1339)</f>
        <v>Reduce Array Size to The Half</v>
      </c>
      <c r="C478" s="13">
        <f>Github!F$1339</f>
        <v>2889</v>
      </c>
      <c r="D478" s="13">
        <f>Github!G$1339</f>
        <v>140</v>
      </c>
      <c r="E478" s="13">
        <f>Github!F$1339+Github!G$1339</f>
        <v>3029</v>
      </c>
      <c r="F478" s="15">
        <f t="shared" si="1"/>
        <v>20.64</v>
      </c>
      <c r="G478" s="13" t="str">
        <f>ROUND(Github!O$1339, 2)&amp;"%"</f>
        <v>69.63%</v>
      </c>
      <c r="H478" s="13" t="str">
        <f>Github!H$1339</f>
        <v>Algorithms</v>
      </c>
      <c r="I478" s="16" t="str">
        <f>SUBSTITUTE(Github!L$1339, ";", ", ")</f>
        <v>Array, Hash Table, Greedy, Sorting, Heap (Priority Queue), </v>
      </c>
      <c r="J478" s="13" t="str">
        <f>Github!E$1339</f>
        <v>Medium</v>
      </c>
      <c r="K478" s="13" t="str">
        <f>IF(TRIM(Github!D$1339)="TRUE","FALSE","TRUE")</f>
        <v>TRUE</v>
      </c>
      <c r="L478" s="13" t="b">
        <f>Github!M$1339</f>
        <v>1</v>
      </c>
      <c r="M478" s="13" t="b">
        <f>Github!N$1339</f>
        <v>0</v>
      </c>
      <c r="N478" s="13">
        <f>Github!P$1339</f>
        <v>164794</v>
      </c>
      <c r="O478" s="13">
        <f>Github!Q$1339</f>
        <v>236682</v>
      </c>
    </row>
    <row r="479">
      <c r="A479" s="13">
        <f>Github!J$463</f>
        <v>462</v>
      </c>
      <c r="B479" s="14" t="str">
        <f>HYPERLINK(CONCAT("http://leetcode.com/problems/",Github!C$463), Github!B$463)</f>
        <v>Minimum Moves to Equal Array Elements II</v>
      </c>
      <c r="C479" s="13">
        <f>Github!F$463</f>
        <v>2881</v>
      </c>
      <c r="D479" s="13">
        <f>Github!G$463</f>
        <v>112</v>
      </c>
      <c r="E479" s="13">
        <f>Github!F$463+Github!G$463</f>
        <v>2993</v>
      </c>
      <c r="F479" s="15">
        <f t="shared" si="1"/>
        <v>25.72</v>
      </c>
      <c r="G479" s="13" t="str">
        <f>ROUND(Github!O$463, 2)&amp;"%"</f>
        <v>60.13%</v>
      </c>
      <c r="H479" s="13" t="str">
        <f>Github!H$463</f>
        <v>Algorithms</v>
      </c>
      <c r="I479" s="16" t="str">
        <f>SUBSTITUTE(Github!L$463, ";", ", ")</f>
        <v>Array, Math, Sorting, </v>
      </c>
      <c r="J479" s="13" t="str">
        <f>Github!E$463</f>
        <v>Medium</v>
      </c>
      <c r="K479" s="13" t="str">
        <f>IF(TRIM(Github!D$463)="TRUE","FALSE","TRUE")</f>
        <v>TRUE</v>
      </c>
      <c r="L479" s="13" t="b">
        <f>Github!M$463</f>
        <v>1</v>
      </c>
      <c r="M479" s="13" t="b">
        <f>Github!N$463</f>
        <v>0</v>
      </c>
      <c r="N479" s="13">
        <f>Github!P$463</f>
        <v>155765</v>
      </c>
      <c r="O479" s="13">
        <f>Github!Q$463</f>
        <v>259041</v>
      </c>
    </row>
    <row r="480">
      <c r="A480" s="13">
        <f>Github!J$850</f>
        <v>849</v>
      </c>
      <c r="B480" s="14" t="str">
        <f>HYPERLINK(CONCAT("http://leetcode.com/problems/",Github!C$850), Github!B$850)</f>
        <v>Maximize Distance to Closest Person</v>
      </c>
      <c r="C480" s="13">
        <f>Github!F$850</f>
        <v>2856</v>
      </c>
      <c r="D480" s="13">
        <f>Github!G$850</f>
        <v>184</v>
      </c>
      <c r="E480" s="13">
        <f>Github!F$850+Github!G$850</f>
        <v>3040</v>
      </c>
      <c r="F480" s="15">
        <f t="shared" si="1"/>
        <v>15.52</v>
      </c>
      <c r="G480" s="13" t="str">
        <f>ROUND(Github!O$850, 2)&amp;"%"</f>
        <v>47.6%</v>
      </c>
      <c r="H480" s="13" t="str">
        <f>Github!H$850</f>
        <v>Algorithms</v>
      </c>
      <c r="I480" s="16" t="str">
        <f>SUBSTITUTE(Github!L$850, ";", ", ")</f>
        <v>Array, </v>
      </c>
      <c r="J480" s="13" t="str">
        <f>Github!E$850</f>
        <v>Medium</v>
      </c>
      <c r="K480" s="13" t="str">
        <f>IF(TRIM(Github!D$850)="TRUE","FALSE","TRUE")</f>
        <v>TRUE</v>
      </c>
      <c r="L480" s="13" t="b">
        <f>Github!M$850</f>
        <v>1</v>
      </c>
      <c r="M480" s="13" t="b">
        <f>Github!N$850</f>
        <v>0</v>
      </c>
      <c r="N480" s="13">
        <f>Github!P$850</f>
        <v>192987</v>
      </c>
      <c r="O480" s="13">
        <f>Github!Q$850</f>
        <v>405414</v>
      </c>
    </row>
    <row r="481">
      <c r="A481" s="13">
        <f>Github!J$671</f>
        <v>670</v>
      </c>
      <c r="B481" s="14" t="str">
        <f>HYPERLINK(CONCAT("http://leetcode.com/problems/",Github!C$671), Github!B$671)</f>
        <v>Maximum Swap</v>
      </c>
      <c r="C481" s="13">
        <f>Github!F$671</f>
        <v>2865</v>
      </c>
      <c r="D481" s="13">
        <f>Github!G$671</f>
        <v>164</v>
      </c>
      <c r="E481" s="13">
        <f>Github!F$671+Github!G$671</f>
        <v>3029</v>
      </c>
      <c r="F481" s="15">
        <f t="shared" si="1"/>
        <v>17.47</v>
      </c>
      <c r="G481" s="13" t="str">
        <f>ROUND(Github!O$671, 2)&amp;"%"</f>
        <v>47.89%</v>
      </c>
      <c r="H481" s="13" t="str">
        <f>Github!H$671</f>
        <v>Algorithms</v>
      </c>
      <c r="I481" s="16" t="str">
        <f>SUBSTITUTE(Github!L$671, ";", ", ")</f>
        <v>Math, Greedy, </v>
      </c>
      <c r="J481" s="13" t="str">
        <f>Github!E$671</f>
        <v>Medium</v>
      </c>
      <c r="K481" s="13" t="str">
        <f>IF(TRIM(Github!D$671)="TRUE","FALSE","TRUE")</f>
        <v>TRUE</v>
      </c>
      <c r="L481" s="13" t="b">
        <f>Github!M$671</f>
        <v>0</v>
      </c>
      <c r="M481" s="13" t="b">
        <f>Github!N$671</f>
        <v>0</v>
      </c>
      <c r="N481" s="13">
        <f>Github!P$671</f>
        <v>188942</v>
      </c>
      <c r="O481" s="13">
        <f>Github!Q$671</f>
        <v>394537</v>
      </c>
    </row>
    <row r="482">
      <c r="A482" s="13">
        <f>Github!J$828</f>
        <v>827</v>
      </c>
      <c r="B482" s="14" t="str">
        <f>HYPERLINK(CONCAT("http://leetcode.com/problems/",Github!C$828), Github!B$828)</f>
        <v>Making A Large Island</v>
      </c>
      <c r="C482" s="13">
        <f>Github!F$828</f>
        <v>2877</v>
      </c>
      <c r="D482" s="13">
        <f>Github!G$828</f>
        <v>58</v>
      </c>
      <c r="E482" s="13">
        <f>Github!F$828+Github!G$828</f>
        <v>2935</v>
      </c>
      <c r="F482" s="15">
        <f t="shared" si="1"/>
        <v>49.6</v>
      </c>
      <c r="G482" s="13" t="str">
        <f>ROUND(Github!O$828, 2)&amp;"%"</f>
        <v>44.78%</v>
      </c>
      <c r="H482" s="13" t="str">
        <f>Github!H$828</f>
        <v>Algorithms</v>
      </c>
      <c r="I482" s="16" t="str">
        <f>SUBSTITUTE(Github!L$828, ";", ", ")</f>
        <v>Array, Depth-First Search, Breadth-First Search, Union Find, Matrix, </v>
      </c>
      <c r="J482" s="13" t="str">
        <f>Github!E$828</f>
        <v>Hard</v>
      </c>
      <c r="K482" s="13" t="str">
        <f>IF(TRIM(Github!D$828)="TRUE","FALSE","TRUE")</f>
        <v>TRUE</v>
      </c>
      <c r="L482" s="13" t="b">
        <f>Github!M$828</f>
        <v>1</v>
      </c>
      <c r="M482" s="13" t="b">
        <f>Github!N$828</f>
        <v>0</v>
      </c>
      <c r="N482" s="13">
        <f>Github!P$828</f>
        <v>124849</v>
      </c>
      <c r="O482" s="13">
        <f>Github!Q$828</f>
        <v>278809</v>
      </c>
    </row>
    <row r="483">
      <c r="A483" s="13">
        <f>Github!J$1589</f>
        <v>1588</v>
      </c>
      <c r="B483" s="14" t="str">
        <f>HYPERLINK(CONCAT("http://leetcode.com/problems/",Github!C$1589), Github!B$1589)</f>
        <v>Sum of All Odd Length Subarrays</v>
      </c>
      <c r="C483" s="13">
        <f>Github!F$1589</f>
        <v>2867</v>
      </c>
      <c r="D483" s="13">
        <f>Github!G$1589</f>
        <v>213</v>
      </c>
      <c r="E483" s="13">
        <f>Github!F$1589+Github!G$1589</f>
        <v>3080</v>
      </c>
      <c r="F483" s="15">
        <f t="shared" si="1"/>
        <v>13.46</v>
      </c>
      <c r="G483" s="13" t="str">
        <f>ROUND(Github!O$1589, 2)&amp;"%"</f>
        <v>83.48%</v>
      </c>
      <c r="H483" s="13" t="str">
        <f>Github!H$1589</f>
        <v>Algorithms</v>
      </c>
      <c r="I483" s="16" t="str">
        <f>SUBSTITUTE(Github!L$1589, ";", ", ")</f>
        <v>Array, Math, Prefix Sum, </v>
      </c>
      <c r="J483" s="13" t="str">
        <f>Github!E$1589</f>
        <v>Easy</v>
      </c>
      <c r="K483" s="13" t="str">
        <f>IF(TRIM(Github!D$1589)="TRUE","FALSE","TRUE")</f>
        <v>TRUE</v>
      </c>
      <c r="L483" s="13" t="b">
        <f>Github!M$1589</f>
        <v>1</v>
      </c>
      <c r="M483" s="13" t="b">
        <f>Github!N$1589</f>
        <v>0</v>
      </c>
      <c r="N483" s="13">
        <f>Github!P$1589</f>
        <v>138222</v>
      </c>
      <c r="O483" s="13">
        <f>Github!Q$1589</f>
        <v>165572</v>
      </c>
    </row>
    <row r="484">
      <c r="A484" s="13">
        <f>Github!J$315</f>
        <v>314</v>
      </c>
      <c r="B484" s="14" t="str">
        <f>HYPERLINK(CONCAT("http://leetcode.com/problems/",Github!C$315), Github!B$315)</f>
        <v>Binary Tree Vertical Order Traversal</v>
      </c>
      <c r="C484" s="13">
        <f>Github!F$315</f>
        <v>2837</v>
      </c>
      <c r="D484" s="13">
        <f>Github!G$315</f>
        <v>289</v>
      </c>
      <c r="E484" s="13">
        <f>Github!F$315+Github!G$315</f>
        <v>3126</v>
      </c>
      <c r="F484" s="15">
        <f t="shared" si="1"/>
        <v>9.82</v>
      </c>
      <c r="G484" s="13" t="str">
        <f>ROUND(Github!O$315, 2)&amp;"%"</f>
        <v>52.18%</v>
      </c>
      <c r="H484" s="13" t="str">
        <f>Github!H$315</f>
        <v>Algorithms</v>
      </c>
      <c r="I484" s="16" t="str">
        <f>SUBSTITUTE(Github!L$315, ";", ", ")</f>
        <v>Hash Table, Tree, Depth-First Search, Breadth-First Search, Binary Tree, </v>
      </c>
      <c r="J484" s="13" t="str">
        <f>Github!E$315</f>
        <v>Medium</v>
      </c>
      <c r="K484" s="13" t="str">
        <f>IF(TRIM(Github!D$315)="TRUE","FALSE","TRUE")</f>
        <v>FALSE</v>
      </c>
      <c r="L484" s="13" t="b">
        <f>Github!M$315</f>
        <v>1</v>
      </c>
      <c r="M484" s="13" t="b">
        <f>Github!N$315</f>
        <v>0</v>
      </c>
      <c r="N484" s="13">
        <f>Github!P$315</f>
        <v>313762</v>
      </c>
      <c r="O484" s="13">
        <f>Github!Q$315</f>
        <v>601344</v>
      </c>
    </row>
    <row r="485">
      <c r="A485" s="13">
        <f>Github!J$873</f>
        <v>872</v>
      </c>
      <c r="B485" s="14" t="str">
        <f>HYPERLINK(CONCAT("http://leetcode.com/problems/",Github!C$873), Github!B$873)</f>
        <v>Leaf-Similar Trees</v>
      </c>
      <c r="C485" s="13">
        <f>Github!F$873</f>
        <v>2850</v>
      </c>
      <c r="D485" s="13">
        <f>Github!G$873</f>
        <v>66</v>
      </c>
      <c r="E485" s="13">
        <f>Github!F$873+Github!G$873</f>
        <v>2916</v>
      </c>
      <c r="F485" s="15">
        <f t="shared" si="1"/>
        <v>43.18</v>
      </c>
      <c r="G485" s="13" t="str">
        <f>ROUND(Github!O$873, 2)&amp;"%"</f>
        <v>67.6%</v>
      </c>
      <c r="H485" s="13" t="str">
        <f>Github!H$873</f>
        <v>Algorithms</v>
      </c>
      <c r="I485" s="16" t="str">
        <f>SUBSTITUTE(Github!L$873, ";", ", ")</f>
        <v>Tree, Depth-First Search, Binary Tree, </v>
      </c>
      <c r="J485" s="13" t="str">
        <f>Github!E$873</f>
        <v>Easy</v>
      </c>
      <c r="K485" s="13" t="str">
        <f>IF(TRIM(Github!D$873)="TRUE","FALSE","TRUE")</f>
        <v>TRUE</v>
      </c>
      <c r="L485" s="13" t="b">
        <f>Github!M$873</f>
        <v>1</v>
      </c>
      <c r="M485" s="13" t="b">
        <f>Github!N$873</f>
        <v>0</v>
      </c>
      <c r="N485" s="13">
        <f>Github!P$873</f>
        <v>244646</v>
      </c>
      <c r="O485" s="13">
        <f>Github!Q$873</f>
        <v>361895</v>
      </c>
    </row>
    <row r="486">
      <c r="A486" s="13">
        <f>Github!J$1075</f>
        <v>1074</v>
      </c>
      <c r="B486" s="14" t="str">
        <f>HYPERLINK(CONCAT("http://leetcode.com/problems/",Github!C$1075), Github!B$1075)</f>
        <v>Number of Submatrices That Sum to Target</v>
      </c>
      <c r="C486" s="13">
        <f>Github!F$1075</f>
        <v>2830</v>
      </c>
      <c r="D486" s="13">
        <f>Github!G$1075</f>
        <v>63</v>
      </c>
      <c r="E486" s="13">
        <f>Github!F$1075+Github!G$1075</f>
        <v>2893</v>
      </c>
      <c r="F486" s="15">
        <f t="shared" si="1"/>
        <v>44.92</v>
      </c>
      <c r="G486" s="13" t="str">
        <f>ROUND(Github!O$1075, 2)&amp;"%"</f>
        <v>69.84%</v>
      </c>
      <c r="H486" s="13" t="str">
        <f>Github!H$1075</f>
        <v>Algorithms</v>
      </c>
      <c r="I486" s="16" t="str">
        <f>SUBSTITUTE(Github!L$1075, ";", ", ")</f>
        <v>Array, Hash Table, Matrix, Prefix Sum, </v>
      </c>
      <c r="J486" s="13" t="str">
        <f>Github!E$1075</f>
        <v>Hard</v>
      </c>
      <c r="K486" s="13" t="str">
        <f>IF(TRIM(Github!D$1075)="TRUE","FALSE","TRUE")</f>
        <v>TRUE</v>
      </c>
      <c r="L486" s="13" t="b">
        <f>Github!M$1075</f>
        <v>1</v>
      </c>
      <c r="M486" s="13" t="b">
        <f>Github!N$1075</f>
        <v>0</v>
      </c>
      <c r="N486" s="13">
        <f>Github!P$1075</f>
        <v>85138</v>
      </c>
      <c r="O486" s="13">
        <f>Github!Q$1075</f>
        <v>121910</v>
      </c>
    </row>
    <row r="487">
      <c r="A487" s="13">
        <f>Github!J$283</f>
        <v>282</v>
      </c>
      <c r="B487" s="14" t="str">
        <f>HYPERLINK(CONCAT("http://leetcode.com/problems/",Github!C$283), Github!B$283)</f>
        <v>Expression Add Operators</v>
      </c>
      <c r="C487" s="13">
        <f>Github!F$283</f>
        <v>2826</v>
      </c>
      <c r="D487" s="13">
        <f>Github!G$283</f>
        <v>506</v>
      </c>
      <c r="E487" s="13">
        <f>Github!F$283+Github!G$283</f>
        <v>3332</v>
      </c>
      <c r="F487" s="15">
        <f t="shared" si="1"/>
        <v>5.58</v>
      </c>
      <c r="G487" s="13" t="str">
        <f>ROUND(Github!O$283, 2)&amp;"%"</f>
        <v>39.19%</v>
      </c>
      <c r="H487" s="13" t="str">
        <f>Github!H$283</f>
        <v>Algorithms</v>
      </c>
      <c r="I487" s="16" t="str">
        <f>SUBSTITUTE(Github!L$283, ";", ", ")</f>
        <v>Math, String, Backtracking, </v>
      </c>
      <c r="J487" s="13" t="str">
        <f>Github!E$283</f>
        <v>Hard</v>
      </c>
      <c r="K487" s="13" t="str">
        <f>IF(TRIM(Github!D$283)="TRUE","FALSE","TRUE")</f>
        <v>TRUE</v>
      </c>
      <c r="L487" s="13" t="b">
        <f>Github!M$283</f>
        <v>1</v>
      </c>
      <c r="M487" s="13" t="b">
        <f>Github!N$283</f>
        <v>0</v>
      </c>
      <c r="N487" s="13">
        <f>Github!P$283</f>
        <v>194813</v>
      </c>
      <c r="O487" s="13">
        <f>Github!Q$283</f>
        <v>497080</v>
      </c>
    </row>
    <row r="488">
      <c r="A488" s="13">
        <f>Github!J$39</f>
        <v>38</v>
      </c>
      <c r="B488" s="14" t="str">
        <f>HYPERLINK(CONCAT("http://leetcode.com/problems/",Github!C$39), Github!B$39)</f>
        <v>Count and Say</v>
      </c>
      <c r="C488" s="13">
        <f>Github!F$39</f>
        <v>2826</v>
      </c>
      <c r="D488" s="13">
        <f>Github!G$39</f>
        <v>5962</v>
      </c>
      <c r="E488" s="13">
        <f>Github!F$39+Github!G$39</f>
        <v>8788</v>
      </c>
      <c r="F488" s="15">
        <f t="shared" si="1"/>
        <v>0.47</v>
      </c>
      <c r="G488" s="13" t="str">
        <f>ROUND(Github!O$39, 2)&amp;"%"</f>
        <v>51.55%</v>
      </c>
      <c r="H488" s="13" t="str">
        <f>Github!H$39</f>
        <v>Algorithms</v>
      </c>
      <c r="I488" s="16" t="str">
        <f>SUBSTITUTE(Github!L$39, ";", ", ")</f>
        <v>String, </v>
      </c>
      <c r="J488" s="13" t="str">
        <f>Github!E$39</f>
        <v>Medium</v>
      </c>
      <c r="K488" s="13" t="str">
        <f>IF(TRIM(Github!D$39)="TRUE","FALSE","TRUE")</f>
        <v>TRUE</v>
      </c>
      <c r="L488" s="13" t="b">
        <f>Github!M$39</f>
        <v>1</v>
      </c>
      <c r="M488" s="13" t="b">
        <f>Github!N$39</f>
        <v>0</v>
      </c>
      <c r="N488" s="13">
        <f>Github!P$39</f>
        <v>750301</v>
      </c>
      <c r="O488" s="13">
        <f>Github!Q$39</f>
        <v>1455480</v>
      </c>
    </row>
    <row r="489">
      <c r="A489" s="13">
        <f>Github!J$1313</f>
        <v>1312</v>
      </c>
      <c r="B489" s="14" t="str">
        <f>HYPERLINK(CONCAT("http://leetcode.com/problems/",Github!C$1313), Github!B$1313)</f>
        <v>Minimum Insertion Steps to Make a String Palindrome</v>
      </c>
      <c r="C489" s="13">
        <f>Github!F$1313</f>
        <v>2820</v>
      </c>
      <c r="D489" s="13">
        <f>Github!G$1313</f>
        <v>34</v>
      </c>
      <c r="E489" s="13">
        <f>Github!F$1313+Github!G$1313</f>
        <v>2854</v>
      </c>
      <c r="F489" s="15">
        <f t="shared" si="1"/>
        <v>82.94</v>
      </c>
      <c r="G489" s="13" t="str">
        <f>ROUND(Github!O$1313, 2)&amp;"%"</f>
        <v>65.83%</v>
      </c>
      <c r="H489" s="13" t="str">
        <f>Github!H$1313</f>
        <v>Algorithms</v>
      </c>
      <c r="I489" s="16" t="str">
        <f>SUBSTITUTE(Github!L$1313, ";", ", ")</f>
        <v>String, Dynamic Programming, </v>
      </c>
      <c r="J489" s="13" t="str">
        <f>Github!E$1313</f>
        <v>Hard</v>
      </c>
      <c r="K489" s="13" t="str">
        <f>IF(TRIM(Github!D$1313)="TRUE","FALSE","TRUE")</f>
        <v>TRUE</v>
      </c>
      <c r="L489" s="13" t="b">
        <f>Github!M$1313</f>
        <v>0</v>
      </c>
      <c r="M489" s="13" t="b">
        <f>Github!N$1313</f>
        <v>0</v>
      </c>
      <c r="N489" s="13">
        <f>Github!P$1313</f>
        <v>69806</v>
      </c>
      <c r="O489" s="13">
        <f>Github!Q$1313</f>
        <v>106038</v>
      </c>
    </row>
    <row r="490">
      <c r="A490" s="13">
        <f>Github!J$343</f>
        <v>342</v>
      </c>
      <c r="B490" s="14" t="str">
        <f>HYPERLINK(CONCAT("http://leetcode.com/problems/",Github!C$343), Github!B$343)</f>
        <v>Power of Four</v>
      </c>
      <c r="C490" s="13">
        <f>Github!F$343</f>
        <v>2811</v>
      </c>
      <c r="D490" s="13">
        <f>Github!G$343</f>
        <v>328</v>
      </c>
      <c r="E490" s="13">
        <f>Github!F$343+Github!G$343</f>
        <v>3139</v>
      </c>
      <c r="F490" s="15">
        <f t="shared" si="1"/>
        <v>8.57</v>
      </c>
      <c r="G490" s="13" t="str">
        <f>ROUND(Github!O$343, 2)&amp;"%"</f>
        <v>45.85%</v>
      </c>
      <c r="H490" s="13" t="str">
        <f>Github!H$343</f>
        <v>Algorithms</v>
      </c>
      <c r="I490" s="16" t="str">
        <f>SUBSTITUTE(Github!L$343, ";", ", ")</f>
        <v>Math, Bit Manipulation, Recursion, </v>
      </c>
      <c r="J490" s="13" t="str">
        <f>Github!E$343</f>
        <v>Easy</v>
      </c>
      <c r="K490" s="13" t="str">
        <f>IF(TRIM(Github!D$343)="TRUE","FALSE","TRUE")</f>
        <v>TRUE</v>
      </c>
      <c r="L490" s="13" t="b">
        <f>Github!M$343</f>
        <v>1</v>
      </c>
      <c r="M490" s="13" t="b">
        <f>Github!N$343</f>
        <v>0</v>
      </c>
      <c r="N490" s="13">
        <f>Github!P$343</f>
        <v>425996</v>
      </c>
      <c r="O490" s="13">
        <f>Github!Q$343</f>
        <v>929177</v>
      </c>
    </row>
    <row r="491">
      <c r="A491" s="13">
        <f>Github!J$1003</f>
        <v>1002</v>
      </c>
      <c r="B491" s="14" t="str">
        <f>HYPERLINK(CONCAT("http://leetcode.com/problems/",Github!C$1003), Github!B$1003)</f>
        <v>Find Common Characters</v>
      </c>
      <c r="C491" s="13">
        <f>Github!F$1003</f>
        <v>2804</v>
      </c>
      <c r="D491" s="13">
        <f>Github!G$1003</f>
        <v>229</v>
      </c>
      <c r="E491" s="13">
        <f>Github!F$1003+Github!G$1003</f>
        <v>3033</v>
      </c>
      <c r="F491" s="15">
        <f t="shared" si="1"/>
        <v>12.24</v>
      </c>
      <c r="G491" s="13" t="str">
        <f>ROUND(Github!O$1003, 2)&amp;"%"</f>
        <v>68.39%</v>
      </c>
      <c r="H491" s="13" t="str">
        <f>Github!H$1003</f>
        <v>Algorithms</v>
      </c>
      <c r="I491" s="16" t="str">
        <f>SUBSTITUTE(Github!L$1003, ";", ", ")</f>
        <v>Array, Hash Table, String, </v>
      </c>
      <c r="J491" s="13" t="str">
        <f>Github!E$1003</f>
        <v>Easy</v>
      </c>
      <c r="K491" s="13" t="str">
        <f>IF(TRIM(Github!D$1003)="TRUE","FALSE","TRUE")</f>
        <v>TRUE</v>
      </c>
      <c r="L491" s="13" t="b">
        <f>Github!M$1003</f>
        <v>0</v>
      </c>
      <c r="M491" s="13" t="b">
        <f>Github!N$1003</f>
        <v>0</v>
      </c>
      <c r="N491" s="13">
        <f>Github!P$1003</f>
        <v>167066</v>
      </c>
      <c r="O491" s="13">
        <f>Github!Q$1003</f>
        <v>244276</v>
      </c>
    </row>
    <row r="492">
      <c r="A492" s="13">
        <f>Github!J$287</f>
        <v>286</v>
      </c>
      <c r="B492" s="14" t="str">
        <f>HYPERLINK(CONCAT("http://leetcode.com/problems/",Github!C$287), Github!B$287)</f>
        <v>Walls and Gates</v>
      </c>
      <c r="C492" s="13">
        <f>Github!F$287</f>
        <v>2787</v>
      </c>
      <c r="D492" s="13">
        <f>Github!G$287</f>
        <v>49</v>
      </c>
      <c r="E492" s="13">
        <f>Github!F$287+Github!G$287</f>
        <v>2836</v>
      </c>
      <c r="F492" s="15">
        <f t="shared" si="1"/>
        <v>56.88</v>
      </c>
      <c r="G492" s="13" t="str">
        <f>ROUND(Github!O$287, 2)&amp;"%"</f>
        <v>60.33%</v>
      </c>
      <c r="H492" s="13" t="str">
        <f>Github!H$287</f>
        <v>Algorithms</v>
      </c>
      <c r="I492" s="16" t="str">
        <f>SUBSTITUTE(Github!L$287, ";", ", ")</f>
        <v>Array, Breadth-First Search, Matrix, </v>
      </c>
      <c r="J492" s="13" t="str">
        <f>Github!E$287</f>
        <v>Medium</v>
      </c>
      <c r="K492" s="13" t="str">
        <f>IF(TRIM(Github!D$287)="TRUE","FALSE","TRUE")</f>
        <v>FALSE</v>
      </c>
      <c r="L492" s="13" t="b">
        <f>Github!M$287</f>
        <v>1</v>
      </c>
      <c r="M492" s="13" t="b">
        <f>Github!N$287</f>
        <v>0</v>
      </c>
      <c r="N492" s="13">
        <f>Github!P$287</f>
        <v>259511</v>
      </c>
      <c r="O492" s="13">
        <f>Github!Q$287</f>
        <v>430143</v>
      </c>
    </row>
    <row r="493">
      <c r="A493" s="13">
        <f>Github!J$647</f>
        <v>646</v>
      </c>
      <c r="B493" s="14" t="str">
        <f>HYPERLINK(CONCAT("http://leetcode.com/problems/",Github!C$647), Github!B$647)</f>
        <v>Maximum Length of Pair Chain</v>
      </c>
      <c r="C493" s="13">
        <f>Github!F$647</f>
        <v>2756</v>
      </c>
      <c r="D493" s="13">
        <f>Github!G$647</f>
        <v>109</v>
      </c>
      <c r="E493" s="13">
        <f>Github!F$647+Github!G$647</f>
        <v>2865</v>
      </c>
      <c r="F493" s="15">
        <f t="shared" si="1"/>
        <v>25.28</v>
      </c>
      <c r="G493" s="13" t="str">
        <f>ROUND(Github!O$647, 2)&amp;"%"</f>
        <v>56.48%</v>
      </c>
      <c r="H493" s="13" t="str">
        <f>Github!H$647</f>
        <v>Algorithms</v>
      </c>
      <c r="I493" s="16" t="str">
        <f>SUBSTITUTE(Github!L$647, ";", ", ")</f>
        <v>Array, Dynamic Programming, Greedy, Sorting, </v>
      </c>
      <c r="J493" s="13" t="str">
        <f>Github!E$647</f>
        <v>Medium</v>
      </c>
      <c r="K493" s="13" t="str">
        <f>IF(TRIM(Github!D$647)="TRUE","FALSE","TRUE")</f>
        <v>TRUE</v>
      </c>
      <c r="L493" s="13" t="b">
        <f>Github!M$647</f>
        <v>1</v>
      </c>
      <c r="M493" s="13" t="b">
        <f>Github!N$647</f>
        <v>0</v>
      </c>
      <c r="N493" s="13">
        <f>Github!P$647</f>
        <v>127506</v>
      </c>
      <c r="O493" s="13">
        <f>Github!Q$647</f>
        <v>225737</v>
      </c>
    </row>
    <row r="494">
      <c r="A494" s="13">
        <f>Github!J$633</f>
        <v>632</v>
      </c>
      <c r="B494" s="14" t="str">
        <f>HYPERLINK(CONCAT("http://leetcode.com/problems/",Github!C$633), Github!B$633)</f>
        <v>Smallest Range Covering Elements from K Lists</v>
      </c>
      <c r="C494" s="13">
        <f>Github!F$633</f>
        <v>2768</v>
      </c>
      <c r="D494" s="13">
        <f>Github!G$633</f>
        <v>47</v>
      </c>
      <c r="E494" s="13">
        <f>Github!F$633+Github!G$633</f>
        <v>2815</v>
      </c>
      <c r="F494" s="15">
        <f t="shared" si="1"/>
        <v>58.89</v>
      </c>
      <c r="G494" s="13" t="str">
        <f>ROUND(Github!O$633, 2)&amp;"%"</f>
        <v>60.68%</v>
      </c>
      <c r="H494" s="13" t="str">
        <f>Github!H$633</f>
        <v>Algorithms</v>
      </c>
      <c r="I494" s="16" t="str">
        <f>SUBSTITUTE(Github!L$633, ";", ", ")</f>
        <v>Array, Hash Table, Greedy, Sliding Window, Sorting, Heap (Priority Queue), </v>
      </c>
      <c r="J494" s="13" t="str">
        <f>Github!E$633</f>
        <v>Hard</v>
      </c>
      <c r="K494" s="13" t="str">
        <f>IF(TRIM(Github!D$633)="TRUE","FALSE","TRUE")</f>
        <v>TRUE</v>
      </c>
      <c r="L494" s="13" t="b">
        <f>Github!M$633</f>
        <v>1</v>
      </c>
      <c r="M494" s="13" t="b">
        <f>Github!N$633</f>
        <v>0</v>
      </c>
      <c r="N494" s="13">
        <f>Github!P$633</f>
        <v>80246</v>
      </c>
      <c r="O494" s="13">
        <f>Github!Q$633</f>
        <v>132241</v>
      </c>
    </row>
    <row r="495">
      <c r="A495" s="13">
        <f>Github!J$1439</f>
        <v>1438</v>
      </c>
      <c r="B495" s="14" t="str">
        <f>HYPERLINK(CONCAT("http://leetcode.com/problems/",Github!C$1439), Github!B$1439)</f>
        <v>Longest Continuous Subarray With Absolute Diff Less Than or Equal to Limit</v>
      </c>
      <c r="C495" s="13">
        <f>Github!F$1439</f>
        <v>2747</v>
      </c>
      <c r="D495" s="13">
        <f>Github!G$1439</f>
        <v>114</v>
      </c>
      <c r="E495" s="13">
        <f>Github!F$1439+Github!G$1439</f>
        <v>2861</v>
      </c>
      <c r="F495" s="15">
        <f t="shared" si="1"/>
        <v>24.1</v>
      </c>
      <c r="G495" s="13" t="str">
        <f>ROUND(Github!O$1439, 2)&amp;"%"</f>
        <v>48.12%</v>
      </c>
      <c r="H495" s="13" t="str">
        <f>Github!H$1439</f>
        <v>Algorithms</v>
      </c>
      <c r="I495" s="16" t="str">
        <f>SUBSTITUTE(Github!L$1439, ";", ", ")</f>
        <v>Array, Queue, Sliding Window, Heap (Priority Queue), Ordered Set, Monotonic Queue, </v>
      </c>
      <c r="J495" s="13" t="str">
        <f>Github!E$1439</f>
        <v>Medium</v>
      </c>
      <c r="K495" s="13" t="str">
        <f>IF(TRIM(Github!D$1439)="TRUE","FALSE","TRUE")</f>
        <v>TRUE</v>
      </c>
      <c r="L495" s="13" t="b">
        <f>Github!M$1439</f>
        <v>0</v>
      </c>
      <c r="M495" s="13" t="b">
        <f>Github!N$1439</f>
        <v>0</v>
      </c>
      <c r="N495" s="13">
        <f>Github!P$1439</f>
        <v>104250</v>
      </c>
      <c r="O495" s="13">
        <f>Github!Q$1439</f>
        <v>216640</v>
      </c>
    </row>
    <row r="496">
      <c r="A496" s="13">
        <f>Github!J$499</f>
        <v>498</v>
      </c>
      <c r="B496" s="14" t="str">
        <f>HYPERLINK(CONCAT("http://leetcode.com/problems/",Github!C$499), Github!B$499)</f>
        <v>Diagonal Traverse</v>
      </c>
      <c r="C496" s="13">
        <f>Github!F$499</f>
        <v>2750</v>
      </c>
      <c r="D496" s="13">
        <f>Github!G$499</f>
        <v>593</v>
      </c>
      <c r="E496" s="13">
        <f>Github!F$499+Github!G$499</f>
        <v>3343</v>
      </c>
      <c r="F496" s="15">
        <f t="shared" si="1"/>
        <v>4.64</v>
      </c>
      <c r="G496" s="13" t="str">
        <f>ROUND(Github!O$499, 2)&amp;"%"</f>
        <v>58.18%</v>
      </c>
      <c r="H496" s="13" t="str">
        <f>Github!H$499</f>
        <v>Algorithms</v>
      </c>
      <c r="I496" s="16" t="str">
        <f>SUBSTITUTE(Github!L$499, ";", ", ")</f>
        <v>Array, Matrix, Simulation, </v>
      </c>
      <c r="J496" s="13" t="str">
        <f>Github!E$499</f>
        <v>Medium</v>
      </c>
      <c r="K496" s="13" t="str">
        <f>IF(TRIM(Github!D$499)="TRUE","FALSE","TRUE")</f>
        <v>TRUE</v>
      </c>
      <c r="L496" s="13" t="b">
        <f>Github!M$499</f>
        <v>1</v>
      </c>
      <c r="M496" s="13" t="b">
        <f>Github!N$499</f>
        <v>0</v>
      </c>
      <c r="N496" s="13">
        <f>Github!P$499</f>
        <v>234019</v>
      </c>
      <c r="O496" s="13">
        <f>Github!Q$499</f>
        <v>402208</v>
      </c>
    </row>
    <row r="497">
      <c r="A497" s="13">
        <f>Github!J$816</f>
        <v>815</v>
      </c>
      <c r="B497" s="14" t="str">
        <f>HYPERLINK(CONCAT("http://leetcode.com/problems/",Github!C$816), Github!B$816)</f>
        <v>Bus Routes</v>
      </c>
      <c r="C497" s="13">
        <f>Github!F$816</f>
        <v>2755</v>
      </c>
      <c r="D497" s="13">
        <f>Github!G$816</f>
        <v>72</v>
      </c>
      <c r="E497" s="13">
        <f>Github!F$816+Github!G$816</f>
        <v>2827</v>
      </c>
      <c r="F497" s="15">
        <f t="shared" si="1"/>
        <v>38.26</v>
      </c>
      <c r="G497" s="13" t="str">
        <f>ROUND(Github!O$816, 2)&amp;"%"</f>
        <v>45.67%</v>
      </c>
      <c r="H497" s="13" t="str">
        <f>Github!H$816</f>
        <v>Algorithms</v>
      </c>
      <c r="I497" s="16" t="str">
        <f>SUBSTITUTE(Github!L$816, ";", ", ")</f>
        <v>Array, Hash Table, Breadth-First Search, </v>
      </c>
      <c r="J497" s="13" t="str">
        <f>Github!E$816</f>
        <v>Hard</v>
      </c>
      <c r="K497" s="13" t="str">
        <f>IF(TRIM(Github!D$816)="TRUE","FALSE","TRUE")</f>
        <v>TRUE</v>
      </c>
      <c r="L497" s="13" t="b">
        <f>Github!M$816</f>
        <v>1</v>
      </c>
      <c r="M497" s="13" t="b">
        <f>Github!N$816</f>
        <v>0</v>
      </c>
      <c r="N497" s="13">
        <f>Github!P$816</f>
        <v>114719</v>
      </c>
      <c r="O497" s="13">
        <f>Github!Q$816</f>
        <v>251192</v>
      </c>
    </row>
    <row r="498">
      <c r="A498" s="13">
        <f>Github!J$779</f>
        <v>778</v>
      </c>
      <c r="B498" s="14" t="str">
        <f>HYPERLINK(CONCAT("http://leetcode.com/problems/",Github!C$779), Github!B$779)</f>
        <v>Swim in Rising Water</v>
      </c>
      <c r="C498" s="13">
        <f>Github!F$779</f>
        <v>2739</v>
      </c>
      <c r="D498" s="13">
        <f>Github!G$779</f>
        <v>179</v>
      </c>
      <c r="E498" s="13">
        <f>Github!F$779+Github!G$779</f>
        <v>2918</v>
      </c>
      <c r="F498" s="15">
        <f t="shared" si="1"/>
        <v>15.3</v>
      </c>
      <c r="G498" s="13" t="str">
        <f>ROUND(Github!O$779, 2)&amp;"%"</f>
        <v>59.78%</v>
      </c>
      <c r="H498" s="13" t="str">
        <f>Github!H$779</f>
        <v>Algorithms</v>
      </c>
      <c r="I498" s="16" t="str">
        <f>SUBSTITUTE(Github!L$779, ";", ", ")</f>
        <v>Array, Binary Search, Depth-First Search, Breadth-First Search, Union Find, Heap (Priority Queue), Matrix, </v>
      </c>
      <c r="J498" s="13" t="str">
        <f>Github!E$779</f>
        <v>Hard</v>
      </c>
      <c r="K498" s="13" t="str">
        <f>IF(TRIM(Github!D$779)="TRUE","FALSE","TRUE")</f>
        <v>TRUE</v>
      </c>
      <c r="L498" s="13" t="b">
        <f>Github!M$779</f>
        <v>1</v>
      </c>
      <c r="M498" s="13" t="b">
        <f>Github!N$779</f>
        <v>0</v>
      </c>
      <c r="N498" s="13">
        <f>Github!P$779</f>
        <v>109520</v>
      </c>
      <c r="O498" s="13">
        <f>Github!Q$779</f>
        <v>183201</v>
      </c>
    </row>
    <row r="499">
      <c r="A499" s="13">
        <f>Github!J$1997</f>
        <v>1996</v>
      </c>
      <c r="B499" s="14" t="str">
        <f>HYPERLINK(CONCAT("http://leetcode.com/problems/",Github!C$1997), Github!B$1997)</f>
        <v>The Number of Weak Characters in the Game</v>
      </c>
      <c r="C499" s="13">
        <f>Github!F$1997</f>
        <v>2728</v>
      </c>
      <c r="D499" s="13">
        <f>Github!G$1997</f>
        <v>87</v>
      </c>
      <c r="E499" s="13">
        <f>Github!F$1997+Github!G$1997</f>
        <v>2815</v>
      </c>
      <c r="F499" s="15">
        <f t="shared" si="1"/>
        <v>31.36</v>
      </c>
      <c r="G499" s="13" t="str">
        <f>ROUND(Github!O$1997, 2)&amp;"%"</f>
        <v>44%</v>
      </c>
      <c r="H499" s="13" t="str">
        <f>Github!H$1997</f>
        <v>Algorithms</v>
      </c>
      <c r="I499" s="16" t="str">
        <f>SUBSTITUTE(Github!L$1997, ";", ", ")</f>
        <v>Array, Stack, Greedy, Sorting, Monotonic Stack, </v>
      </c>
      <c r="J499" s="13" t="str">
        <f>Github!E$1997</f>
        <v>Medium</v>
      </c>
      <c r="K499" s="13" t="str">
        <f>IF(TRIM(Github!D$1997)="TRUE","FALSE","TRUE")</f>
        <v>TRUE</v>
      </c>
      <c r="L499" s="13" t="b">
        <f>Github!M$1997</f>
        <v>1</v>
      </c>
      <c r="M499" s="13" t="b">
        <f>Github!N$1997</f>
        <v>0</v>
      </c>
      <c r="N499" s="13">
        <f>Github!P$1997</f>
        <v>91113</v>
      </c>
      <c r="O499" s="13">
        <f>Github!Q$1997</f>
        <v>207088</v>
      </c>
    </row>
    <row r="500">
      <c r="A500" s="13">
        <f>Github!J$356</f>
        <v>355</v>
      </c>
      <c r="B500" s="14" t="str">
        <f>HYPERLINK(CONCAT("http://leetcode.com/problems/",Github!C$356), Github!B$356)</f>
        <v>Design Twitter</v>
      </c>
      <c r="C500" s="13">
        <f>Github!F$356</f>
        <v>2743</v>
      </c>
      <c r="D500" s="13">
        <f>Github!G$356</f>
        <v>352</v>
      </c>
      <c r="E500" s="13">
        <f>Github!F$356+Github!G$356</f>
        <v>3095</v>
      </c>
      <c r="F500" s="15">
        <f t="shared" si="1"/>
        <v>7.79</v>
      </c>
      <c r="G500" s="13" t="str">
        <f>ROUND(Github!O$356, 2)&amp;"%"</f>
        <v>36.95%</v>
      </c>
      <c r="H500" s="13" t="str">
        <f>Github!H$356</f>
        <v>Algorithms</v>
      </c>
      <c r="I500" s="16" t="str">
        <f>SUBSTITUTE(Github!L$356, ";", ", ")</f>
        <v>Hash Table, Linked List, Design, Heap (Priority Queue), </v>
      </c>
      <c r="J500" s="13" t="str">
        <f>Github!E$356</f>
        <v>Medium</v>
      </c>
      <c r="K500" s="13" t="str">
        <f>IF(TRIM(Github!D$356)="TRUE","FALSE","TRUE")</f>
        <v>TRUE</v>
      </c>
      <c r="L500" s="13" t="b">
        <f>Github!M$356</f>
        <v>0</v>
      </c>
      <c r="M500" s="13" t="b">
        <f>Github!N$356</f>
        <v>0</v>
      </c>
      <c r="N500" s="13">
        <f>Github!P$356</f>
        <v>111619</v>
      </c>
      <c r="O500" s="13">
        <f>Github!Q$356</f>
        <v>302123</v>
      </c>
    </row>
    <row r="501">
      <c r="A501" s="13">
        <f>Github!J$833</f>
        <v>832</v>
      </c>
      <c r="B501" s="14" t="str">
        <f>HYPERLINK(CONCAT("http://leetcode.com/problems/",Github!C$833), Github!B$833)</f>
        <v>Flipping an Image</v>
      </c>
      <c r="C501" s="13">
        <f>Github!F$833</f>
        <v>2740</v>
      </c>
      <c r="D501" s="13">
        <f>Github!G$833</f>
        <v>216</v>
      </c>
      <c r="E501" s="13">
        <f>Github!F$833+Github!G$833</f>
        <v>2956</v>
      </c>
      <c r="F501" s="15">
        <f t="shared" si="1"/>
        <v>12.69</v>
      </c>
      <c r="G501" s="13" t="str">
        <f>ROUND(Github!O$833, 2)&amp;"%"</f>
        <v>80.57%</v>
      </c>
      <c r="H501" s="13" t="str">
        <f>Github!H$833</f>
        <v>Algorithms</v>
      </c>
      <c r="I501" s="16" t="str">
        <f>SUBSTITUTE(Github!L$833, ";", ", ")</f>
        <v>Array, Two Pointers, Matrix, Simulation, </v>
      </c>
      <c r="J501" s="13" t="str">
        <f>Github!E$833</f>
        <v>Easy</v>
      </c>
      <c r="K501" s="13" t="str">
        <f>IF(TRIM(Github!D$833)="TRUE","FALSE","TRUE")</f>
        <v>TRUE</v>
      </c>
      <c r="L501" s="13" t="b">
        <f>Github!M$833</f>
        <v>1</v>
      </c>
      <c r="M501" s="13" t="b">
        <f>Github!N$833</f>
        <v>0</v>
      </c>
      <c r="N501" s="13">
        <f>Github!P$833</f>
        <v>340910</v>
      </c>
      <c r="O501" s="13">
        <f>Github!Q$833</f>
        <v>423115</v>
      </c>
    </row>
    <row r="502">
      <c r="A502" s="13">
        <f>Github!J$1340</f>
        <v>1339</v>
      </c>
      <c r="B502" s="14" t="str">
        <f>HYPERLINK(CONCAT("http://leetcode.com/problems/",Github!C$1340), Github!B$1340)</f>
        <v>Maximum Product of Splitted Binary Tree</v>
      </c>
      <c r="C502" s="13">
        <f>Github!F$1340</f>
        <v>2731</v>
      </c>
      <c r="D502" s="13">
        <f>Github!G$1340</f>
        <v>100</v>
      </c>
      <c r="E502" s="13">
        <f>Github!F$1340+Github!G$1340</f>
        <v>2831</v>
      </c>
      <c r="F502" s="15">
        <f t="shared" si="1"/>
        <v>27.31</v>
      </c>
      <c r="G502" s="13" t="str">
        <f>ROUND(Github!O$1340, 2)&amp;"%"</f>
        <v>47.93%</v>
      </c>
      <c r="H502" s="13" t="str">
        <f>Github!H$1340</f>
        <v>Algorithms</v>
      </c>
      <c r="I502" s="16" t="str">
        <f>SUBSTITUTE(Github!L$1340, ";", ", ")</f>
        <v>Tree, Depth-First Search, Binary Tree, </v>
      </c>
      <c r="J502" s="13" t="str">
        <f>Github!E$1340</f>
        <v>Medium</v>
      </c>
      <c r="K502" s="13" t="str">
        <f>IF(TRIM(Github!D$1340)="TRUE","FALSE","TRUE")</f>
        <v>TRUE</v>
      </c>
      <c r="L502" s="13" t="b">
        <f>Github!M$1340</f>
        <v>1</v>
      </c>
      <c r="M502" s="13" t="b">
        <f>Github!N$1340</f>
        <v>0</v>
      </c>
      <c r="N502" s="13">
        <f>Github!P$1340</f>
        <v>110267</v>
      </c>
      <c r="O502" s="13">
        <f>Github!Q$1340</f>
        <v>230036</v>
      </c>
    </row>
    <row r="503">
      <c r="A503" s="13">
        <f>Github!J$502</f>
        <v>501</v>
      </c>
      <c r="B503" s="14" t="str">
        <f>HYPERLINK(CONCAT("http://leetcode.com/problems/",Github!C$502), Github!B$502)</f>
        <v>Find Mode in Binary Search Tree</v>
      </c>
      <c r="C503" s="13">
        <f>Github!F$502</f>
        <v>2701</v>
      </c>
      <c r="D503" s="13">
        <f>Github!G$502</f>
        <v>626</v>
      </c>
      <c r="E503" s="13">
        <f>Github!F$502+Github!G$502</f>
        <v>3327</v>
      </c>
      <c r="F503" s="15">
        <f t="shared" si="1"/>
        <v>4.31</v>
      </c>
      <c r="G503" s="13" t="str">
        <f>ROUND(Github!O$502, 2)&amp;"%"</f>
        <v>48.89%</v>
      </c>
      <c r="H503" s="13" t="str">
        <f>Github!H$502</f>
        <v>Algorithms</v>
      </c>
      <c r="I503" s="16" t="str">
        <f>SUBSTITUTE(Github!L$502, ";", ", ")</f>
        <v>Tree, Depth-First Search, Binary Search Tree, Binary Tree, </v>
      </c>
      <c r="J503" s="13" t="str">
        <f>Github!E$502</f>
        <v>Easy</v>
      </c>
      <c r="K503" s="13" t="str">
        <f>IF(TRIM(Github!D$502)="TRUE","FALSE","TRUE")</f>
        <v>TRUE</v>
      </c>
      <c r="L503" s="13" t="b">
        <f>Github!M$502</f>
        <v>0</v>
      </c>
      <c r="M503" s="13" t="b">
        <f>Github!N$502</f>
        <v>0</v>
      </c>
      <c r="N503" s="13">
        <f>Github!P$502</f>
        <v>179809</v>
      </c>
      <c r="O503" s="13">
        <f>Github!Q$502</f>
        <v>367752</v>
      </c>
    </row>
    <row r="504">
      <c r="A504" s="13">
        <f>Github!J$1384</f>
        <v>1383</v>
      </c>
      <c r="B504" s="14" t="str">
        <f>HYPERLINK(CONCAT("http://leetcode.com/problems/",Github!C$1384), Github!B$1384)</f>
        <v>Maximum Performance of a Team</v>
      </c>
      <c r="C504" s="13">
        <f>Github!F$1384</f>
        <v>2693</v>
      </c>
      <c r="D504" s="13">
        <f>Github!G$1384</f>
        <v>73</v>
      </c>
      <c r="E504" s="13">
        <f>Github!F$1384+Github!G$1384</f>
        <v>2766</v>
      </c>
      <c r="F504" s="15">
        <f t="shared" si="1"/>
        <v>36.89</v>
      </c>
      <c r="G504" s="13" t="str">
        <f>ROUND(Github!O$1384, 2)&amp;"%"</f>
        <v>48.72%</v>
      </c>
      <c r="H504" s="13" t="str">
        <f>Github!H$1384</f>
        <v>Algorithms</v>
      </c>
      <c r="I504" s="16" t="str">
        <f>SUBSTITUTE(Github!L$1384, ";", ", ")</f>
        <v>Array, Greedy, Sorting, Heap (Priority Queue), </v>
      </c>
      <c r="J504" s="13" t="str">
        <f>Github!E$1384</f>
        <v>Hard</v>
      </c>
      <c r="K504" s="13" t="str">
        <f>IF(TRIM(Github!D$1384)="TRUE","FALSE","TRUE")</f>
        <v>TRUE</v>
      </c>
      <c r="L504" s="13" t="b">
        <f>Github!M$1384</f>
        <v>1</v>
      </c>
      <c r="M504" s="13" t="b">
        <f>Github!N$1384</f>
        <v>0</v>
      </c>
      <c r="N504" s="13">
        <f>Github!P$1384</f>
        <v>83511</v>
      </c>
      <c r="O504" s="13">
        <f>Github!Q$1384</f>
        <v>171404</v>
      </c>
    </row>
    <row r="505">
      <c r="A505" s="13">
        <f>Github!J$444</f>
        <v>443</v>
      </c>
      <c r="B505" s="14" t="str">
        <f>HYPERLINK(CONCAT("http://leetcode.com/problems/",Github!C$444), Github!B$444)</f>
        <v>String Compression</v>
      </c>
      <c r="C505" s="13">
        <f>Github!F$444</f>
        <v>2706</v>
      </c>
      <c r="D505" s="13">
        <f>Github!G$444</f>
        <v>4762</v>
      </c>
      <c r="E505" s="13">
        <f>Github!F$444+Github!G$444</f>
        <v>7468</v>
      </c>
      <c r="F505" s="15">
        <f t="shared" si="1"/>
        <v>0.57</v>
      </c>
      <c r="G505" s="13" t="str">
        <f>ROUND(Github!O$444, 2)&amp;"%"</f>
        <v>49.03%</v>
      </c>
      <c r="H505" s="13" t="str">
        <f>Github!H$444</f>
        <v>Algorithms</v>
      </c>
      <c r="I505" s="16" t="str">
        <f>SUBSTITUTE(Github!L$444, ";", ", ")</f>
        <v>Two Pointers, String, </v>
      </c>
      <c r="J505" s="13" t="str">
        <f>Github!E$444</f>
        <v>Medium</v>
      </c>
      <c r="K505" s="13" t="str">
        <f>IF(TRIM(Github!D$444)="TRUE","FALSE","TRUE")</f>
        <v>TRUE</v>
      </c>
      <c r="L505" s="13" t="b">
        <f>Github!M$444</f>
        <v>0</v>
      </c>
      <c r="M505" s="13" t="b">
        <f>Github!N$444</f>
        <v>0</v>
      </c>
      <c r="N505" s="13">
        <f>Github!P$444</f>
        <v>295657</v>
      </c>
      <c r="O505" s="13">
        <f>Github!Q$444</f>
        <v>603022</v>
      </c>
    </row>
    <row r="506">
      <c r="A506" s="13">
        <f>Github!J$1464</f>
        <v>1463</v>
      </c>
      <c r="B506" s="14" t="str">
        <f>HYPERLINK(CONCAT("http://leetcode.com/problems/",Github!C$1464), Github!B$1464)</f>
        <v>Cherry Pickup II</v>
      </c>
      <c r="C506" s="13">
        <f>Github!F$1464</f>
        <v>2701</v>
      </c>
      <c r="D506" s="13">
        <f>Github!G$1464</f>
        <v>27</v>
      </c>
      <c r="E506" s="13">
        <f>Github!F$1464+Github!G$1464</f>
        <v>2728</v>
      </c>
      <c r="F506" s="15">
        <f t="shared" si="1"/>
        <v>100.04</v>
      </c>
      <c r="G506" s="13" t="str">
        <f>ROUND(Github!O$1464, 2)&amp;"%"</f>
        <v>70.01%</v>
      </c>
      <c r="H506" s="13" t="str">
        <f>Github!H$1464</f>
        <v>Algorithms</v>
      </c>
      <c r="I506" s="16" t="str">
        <f>SUBSTITUTE(Github!L$1464, ";", ", ")</f>
        <v>Array, Dynamic Programming, Matrix, </v>
      </c>
      <c r="J506" s="13" t="str">
        <f>Github!E$1464</f>
        <v>Hard</v>
      </c>
      <c r="K506" s="13" t="str">
        <f>IF(TRIM(Github!D$1464)="TRUE","FALSE","TRUE")</f>
        <v>TRUE</v>
      </c>
      <c r="L506" s="13" t="b">
        <f>Github!M$1464</f>
        <v>1</v>
      </c>
      <c r="M506" s="13" t="b">
        <f>Github!N$1464</f>
        <v>0</v>
      </c>
      <c r="N506" s="13">
        <f>Github!P$1464</f>
        <v>74705</v>
      </c>
      <c r="O506" s="13">
        <f>Github!Q$1464</f>
        <v>106706</v>
      </c>
    </row>
    <row r="507">
      <c r="A507" s="13">
        <f>Github!J$9</f>
        <v>8</v>
      </c>
      <c r="B507" s="14" t="str">
        <f>HYPERLINK(CONCAT("http://leetcode.com/problems/",Github!C$9), Github!B$9)</f>
        <v>String to Integer (atoi)</v>
      </c>
      <c r="C507" s="13">
        <f>Github!F$9</f>
        <v>2736</v>
      </c>
      <c r="D507" s="13">
        <f>Github!G$9</f>
        <v>8109</v>
      </c>
      <c r="E507" s="13">
        <f>Github!F$9+Github!G$9</f>
        <v>10845</v>
      </c>
      <c r="F507" s="15">
        <f t="shared" si="1"/>
        <v>0.34</v>
      </c>
      <c r="G507" s="13" t="str">
        <f>ROUND(Github!O$9, 2)&amp;"%"</f>
        <v>16.61%</v>
      </c>
      <c r="H507" s="13" t="str">
        <f>Github!H$9</f>
        <v>Algorithms</v>
      </c>
      <c r="I507" s="16" t="str">
        <f>SUBSTITUTE(Github!L$9, ";", ", ")</f>
        <v>String, </v>
      </c>
      <c r="J507" s="13" t="str">
        <f>Github!E$9</f>
        <v>Medium</v>
      </c>
      <c r="K507" s="13" t="str">
        <f>IF(TRIM(Github!D$9)="TRUE","FALSE","TRUE")</f>
        <v>TRUE</v>
      </c>
      <c r="L507" s="13" t="b">
        <f>Github!M$9</f>
        <v>1</v>
      </c>
      <c r="M507" s="13" t="b">
        <f>Github!N$9</f>
        <v>0</v>
      </c>
      <c r="N507" s="13">
        <f>Github!P$9</f>
        <v>1170133</v>
      </c>
      <c r="O507" s="13">
        <f>Github!Q$9</f>
        <v>7043075</v>
      </c>
    </row>
    <row r="508">
      <c r="A508" s="13">
        <f>Github!J$1579</f>
        <v>1578</v>
      </c>
      <c r="B508" s="14" t="str">
        <f>HYPERLINK(CONCAT("http://leetcode.com/problems/",Github!C$1579), Github!B$1579)</f>
        <v>Minimum Time to Make Rope Colorful</v>
      </c>
      <c r="C508" s="13">
        <f>Github!F$1579</f>
        <v>2671</v>
      </c>
      <c r="D508" s="13">
        <f>Github!G$1579</f>
        <v>76</v>
      </c>
      <c r="E508" s="13">
        <f>Github!F$1579+Github!G$1579</f>
        <v>2747</v>
      </c>
      <c r="F508" s="15">
        <f t="shared" si="1"/>
        <v>35.14</v>
      </c>
      <c r="G508" s="13" t="str">
        <f>ROUND(Github!O$1579, 2)&amp;"%"</f>
        <v>63.68%</v>
      </c>
      <c r="H508" s="13" t="str">
        <f>Github!H$1579</f>
        <v>Algorithms</v>
      </c>
      <c r="I508" s="16" t="str">
        <f>SUBSTITUTE(Github!L$1579, ";", ", ")</f>
        <v>Array, String, Dynamic Programming, Greedy, </v>
      </c>
      <c r="J508" s="13" t="str">
        <f>Github!E$1579</f>
        <v>Medium</v>
      </c>
      <c r="K508" s="13" t="str">
        <f>IF(TRIM(Github!D$1579)="TRUE","FALSE","TRUE")</f>
        <v>TRUE</v>
      </c>
      <c r="L508" s="13" t="b">
        <f>Github!M$1579</f>
        <v>1</v>
      </c>
      <c r="M508" s="13" t="b">
        <f>Github!N$1579</f>
        <v>0</v>
      </c>
      <c r="N508" s="13">
        <f>Github!P$1579</f>
        <v>140843</v>
      </c>
      <c r="O508" s="13">
        <f>Github!Q$1579</f>
        <v>221189</v>
      </c>
    </row>
    <row r="509">
      <c r="A509" s="13">
        <f>Github!J$514</f>
        <v>513</v>
      </c>
      <c r="B509" s="14" t="str">
        <f>HYPERLINK(CONCAT("http://leetcode.com/problems/",Github!C$514), Github!B$514)</f>
        <v>Find Bottom Left Tree Value</v>
      </c>
      <c r="C509" s="13">
        <f>Github!F$514</f>
        <v>2678</v>
      </c>
      <c r="D509" s="13">
        <f>Github!G$514</f>
        <v>237</v>
      </c>
      <c r="E509" s="13">
        <f>Github!F$514+Github!G$514</f>
        <v>2915</v>
      </c>
      <c r="F509" s="15">
        <f t="shared" si="1"/>
        <v>11.3</v>
      </c>
      <c r="G509" s="13" t="str">
        <f>ROUND(Github!O$514, 2)&amp;"%"</f>
        <v>66.59%</v>
      </c>
      <c r="H509" s="13" t="str">
        <f>Github!H$514</f>
        <v>Algorithms</v>
      </c>
      <c r="I509" s="16" t="str">
        <f>SUBSTITUTE(Github!L$514, ";", ", ")</f>
        <v>Tree, Depth-First Search, Breadth-First Search, Binary Tree, </v>
      </c>
      <c r="J509" s="13" t="str">
        <f>Github!E$514</f>
        <v>Medium</v>
      </c>
      <c r="K509" s="13" t="str">
        <f>IF(TRIM(Github!D$514)="TRUE","FALSE","TRUE")</f>
        <v>TRUE</v>
      </c>
      <c r="L509" s="13" t="b">
        <f>Github!M$514</f>
        <v>0</v>
      </c>
      <c r="M509" s="13" t="b">
        <f>Github!N$514</f>
        <v>0</v>
      </c>
      <c r="N509" s="13">
        <f>Github!P$514</f>
        <v>201069</v>
      </c>
      <c r="O509" s="13">
        <f>Github!Q$514</f>
        <v>301942</v>
      </c>
    </row>
    <row r="510">
      <c r="A510" s="13">
        <f>Github!J$1020</f>
        <v>1019</v>
      </c>
      <c r="B510" s="14" t="str">
        <f>HYPERLINK(CONCAT("http://leetcode.com/problems/",Github!C$1020), Github!B$1020)</f>
        <v>Next Greater Node In Linked List</v>
      </c>
      <c r="C510" s="13">
        <f>Github!F$1020</f>
        <v>2670</v>
      </c>
      <c r="D510" s="13">
        <f>Github!G$1020</f>
        <v>104</v>
      </c>
      <c r="E510" s="13">
        <f>Github!F$1020+Github!G$1020</f>
        <v>2774</v>
      </c>
      <c r="F510" s="15">
        <f t="shared" si="1"/>
        <v>25.67</v>
      </c>
      <c r="G510" s="13" t="str">
        <f>ROUND(Github!O$1020, 2)&amp;"%"</f>
        <v>59.92%</v>
      </c>
      <c r="H510" s="13" t="str">
        <f>Github!H$1020</f>
        <v>Algorithms</v>
      </c>
      <c r="I510" s="16" t="str">
        <f>SUBSTITUTE(Github!L$1020, ";", ", ")</f>
        <v>Array, Linked List, Stack, Monotonic Stack, </v>
      </c>
      <c r="J510" s="13" t="str">
        <f>Github!E$1020</f>
        <v>Medium</v>
      </c>
      <c r="K510" s="13" t="str">
        <f>IF(TRIM(Github!D$1020)="TRUE","FALSE","TRUE")</f>
        <v>TRUE</v>
      </c>
      <c r="L510" s="13" t="b">
        <f>Github!M$1020</f>
        <v>1</v>
      </c>
      <c r="M510" s="13" t="b">
        <f>Github!N$1020</f>
        <v>0</v>
      </c>
      <c r="N510" s="13">
        <f>Github!P$1020</f>
        <v>120390</v>
      </c>
      <c r="O510" s="13">
        <f>Github!Q$1020</f>
        <v>200919</v>
      </c>
    </row>
    <row r="511">
      <c r="A511" s="13">
        <f>Github!J$527</f>
        <v>526</v>
      </c>
      <c r="B511" s="14" t="str">
        <f>HYPERLINK(CONCAT("http://leetcode.com/problems/",Github!C$527), Github!B$527)</f>
        <v>Beautiful Arrangement</v>
      </c>
      <c r="C511" s="13">
        <f>Github!F$527</f>
        <v>2661</v>
      </c>
      <c r="D511" s="13">
        <f>Github!G$527</f>
        <v>327</v>
      </c>
      <c r="E511" s="13">
        <f>Github!F$527+Github!G$527</f>
        <v>2988</v>
      </c>
      <c r="F511" s="15">
        <f t="shared" si="1"/>
        <v>8.14</v>
      </c>
      <c r="G511" s="13" t="str">
        <f>ROUND(Github!O$527, 2)&amp;"%"</f>
        <v>64.53%</v>
      </c>
      <c r="H511" s="13" t="str">
        <f>Github!H$527</f>
        <v>Algorithms</v>
      </c>
      <c r="I511" s="16" t="str">
        <f>SUBSTITUTE(Github!L$527, ";", ", ")</f>
        <v>Array, Dynamic Programming, Backtracking, Bit Manipulation, Bitmask, </v>
      </c>
      <c r="J511" s="13" t="str">
        <f>Github!E$527</f>
        <v>Medium</v>
      </c>
      <c r="K511" s="13" t="str">
        <f>IF(TRIM(Github!D$527)="TRUE","FALSE","TRUE")</f>
        <v>TRUE</v>
      </c>
      <c r="L511" s="13" t="b">
        <f>Github!M$527</f>
        <v>1</v>
      </c>
      <c r="M511" s="13" t="b">
        <f>Github!N$527</f>
        <v>0</v>
      </c>
      <c r="N511" s="13">
        <f>Github!P$527</f>
        <v>146399</v>
      </c>
      <c r="O511" s="13">
        <f>Github!Q$527</f>
        <v>226865</v>
      </c>
    </row>
    <row r="512">
      <c r="A512" s="13">
        <f>Github!J$481</f>
        <v>480</v>
      </c>
      <c r="B512" s="14" t="str">
        <f>HYPERLINK(CONCAT("http://leetcode.com/problems/",Github!C$481), Github!B$481)</f>
        <v>Sliding Window Median</v>
      </c>
      <c r="C512" s="13">
        <f>Github!F$481</f>
        <v>2648</v>
      </c>
      <c r="D512" s="13">
        <f>Github!G$481</f>
        <v>153</v>
      </c>
      <c r="E512" s="13">
        <f>Github!F$481+Github!G$481</f>
        <v>2801</v>
      </c>
      <c r="F512" s="15">
        <f t="shared" si="1"/>
        <v>17.31</v>
      </c>
      <c r="G512" s="13" t="str">
        <f>ROUND(Github!O$481, 2)&amp;"%"</f>
        <v>41.41%</v>
      </c>
      <c r="H512" s="13" t="str">
        <f>Github!H$481</f>
        <v>Algorithms</v>
      </c>
      <c r="I512" s="16" t="str">
        <f>SUBSTITUTE(Github!L$481, ";", ", ")</f>
        <v>Array, Hash Table, Sliding Window, Heap (Priority Queue), </v>
      </c>
      <c r="J512" s="13" t="str">
        <f>Github!E$481</f>
        <v>Hard</v>
      </c>
      <c r="K512" s="13" t="str">
        <f>IF(TRIM(Github!D$481)="TRUE","FALSE","TRUE")</f>
        <v>TRUE</v>
      </c>
      <c r="L512" s="13" t="b">
        <f>Github!M$481</f>
        <v>1</v>
      </c>
      <c r="M512" s="13" t="b">
        <f>Github!N$481</f>
        <v>0</v>
      </c>
      <c r="N512" s="13">
        <f>Github!P$481</f>
        <v>122076</v>
      </c>
      <c r="O512" s="13">
        <f>Github!Q$481</f>
        <v>294832</v>
      </c>
    </row>
    <row r="513">
      <c r="A513" s="13">
        <f>Github!J$1008</f>
        <v>1007</v>
      </c>
      <c r="B513" s="14" t="str">
        <f>HYPERLINK(CONCAT("http://leetcode.com/problems/",Github!C$1008), Github!B$1008)</f>
        <v>Minimum Domino Rotations For Equal Row</v>
      </c>
      <c r="C513" s="13">
        <f>Github!F$1008</f>
        <v>2639</v>
      </c>
      <c r="D513" s="13">
        <f>Github!G$1008</f>
        <v>242</v>
      </c>
      <c r="E513" s="13">
        <f>Github!F$1008+Github!G$1008</f>
        <v>2881</v>
      </c>
      <c r="F513" s="15">
        <f t="shared" si="1"/>
        <v>10.9</v>
      </c>
      <c r="G513" s="13" t="str">
        <f>ROUND(Github!O$1008, 2)&amp;"%"</f>
        <v>52.34%</v>
      </c>
      <c r="H513" s="13" t="str">
        <f>Github!H$1008</f>
        <v>Algorithms</v>
      </c>
      <c r="I513" s="16" t="str">
        <f>SUBSTITUTE(Github!L$1008, ";", ", ")</f>
        <v>Array, Greedy, </v>
      </c>
      <c r="J513" s="13" t="str">
        <f>Github!E$1008</f>
        <v>Medium</v>
      </c>
      <c r="K513" s="13" t="str">
        <f>IF(TRIM(Github!D$1008)="TRUE","FALSE","TRUE")</f>
        <v>TRUE</v>
      </c>
      <c r="L513" s="13" t="b">
        <f>Github!M$1008</f>
        <v>1</v>
      </c>
      <c r="M513" s="13" t="b">
        <f>Github!N$1008</f>
        <v>0</v>
      </c>
      <c r="N513" s="13">
        <f>Github!P$1008</f>
        <v>189149</v>
      </c>
      <c r="O513" s="13">
        <f>Github!Q$1008</f>
        <v>361413</v>
      </c>
    </row>
    <row r="514">
      <c r="A514" s="13">
        <f>Github!J$624</f>
        <v>623</v>
      </c>
      <c r="B514" s="14" t="str">
        <f>HYPERLINK(CONCAT("http://leetcode.com/problems/",Github!C$624), Github!B$624)</f>
        <v>Add One Row to Tree</v>
      </c>
      <c r="C514" s="13">
        <f>Github!F$624</f>
        <v>2645</v>
      </c>
      <c r="D514" s="13">
        <f>Github!G$624</f>
        <v>223</v>
      </c>
      <c r="E514" s="13">
        <f>Github!F$624+Github!G$624</f>
        <v>2868</v>
      </c>
      <c r="F514" s="15">
        <f t="shared" si="1"/>
        <v>11.86</v>
      </c>
      <c r="G514" s="13" t="str">
        <f>ROUND(Github!O$624, 2)&amp;"%"</f>
        <v>59.46%</v>
      </c>
      <c r="H514" s="13" t="str">
        <f>Github!H$624</f>
        <v>Algorithms</v>
      </c>
      <c r="I514" s="16" t="str">
        <f>SUBSTITUTE(Github!L$624, ";", ", ")</f>
        <v>Tree, Depth-First Search, Breadth-First Search, Binary Tree, </v>
      </c>
      <c r="J514" s="13" t="str">
        <f>Github!E$624</f>
        <v>Medium</v>
      </c>
      <c r="K514" s="13" t="str">
        <f>IF(TRIM(Github!D$624)="TRUE","FALSE","TRUE")</f>
        <v>TRUE</v>
      </c>
      <c r="L514" s="13" t="b">
        <f>Github!M$624</f>
        <v>1</v>
      </c>
      <c r="M514" s="13" t="b">
        <f>Github!N$624</f>
        <v>0</v>
      </c>
      <c r="N514" s="13">
        <f>Github!P$624</f>
        <v>145979</v>
      </c>
      <c r="O514" s="13">
        <f>Github!Q$624</f>
        <v>245492</v>
      </c>
    </row>
    <row r="515">
      <c r="A515" s="13">
        <f>Github!J$1707</f>
        <v>1706</v>
      </c>
      <c r="B515" s="14" t="str">
        <f>HYPERLINK(CONCAT("http://leetcode.com/problems/",Github!C$1707), Github!B$1707)</f>
        <v>Where Will the Ball Fall</v>
      </c>
      <c r="C515" s="13">
        <f>Github!F$1707</f>
        <v>2646</v>
      </c>
      <c r="D515" s="13">
        <f>Github!G$1707</f>
        <v>153</v>
      </c>
      <c r="E515" s="13">
        <f>Github!F$1707+Github!G$1707</f>
        <v>2799</v>
      </c>
      <c r="F515" s="15">
        <f t="shared" si="1"/>
        <v>17.29</v>
      </c>
      <c r="G515" s="13" t="str">
        <f>ROUND(Github!O$1707, 2)&amp;"%"</f>
        <v>71.57%</v>
      </c>
      <c r="H515" s="13" t="str">
        <f>Github!H$1707</f>
        <v>Algorithms</v>
      </c>
      <c r="I515" s="16" t="str">
        <f>SUBSTITUTE(Github!L$1707, ";", ", ")</f>
        <v>Array, Dynamic Programming, Depth-First Search, Matrix, Simulation, </v>
      </c>
      <c r="J515" s="13" t="str">
        <f>Github!E$1707</f>
        <v>Medium</v>
      </c>
      <c r="K515" s="13" t="str">
        <f>IF(TRIM(Github!D$1707)="TRUE","FALSE","TRUE")</f>
        <v>TRUE</v>
      </c>
      <c r="L515" s="13" t="b">
        <f>Github!M$1707</f>
        <v>1</v>
      </c>
      <c r="M515" s="13" t="b">
        <f>Github!N$1707</f>
        <v>0</v>
      </c>
      <c r="N515" s="13">
        <f>Github!P$1707</f>
        <v>114646</v>
      </c>
      <c r="O515" s="13">
        <f>Github!Q$1707</f>
        <v>160178</v>
      </c>
    </row>
    <row r="516">
      <c r="A516" s="13">
        <f>Github!J$822</f>
        <v>821</v>
      </c>
      <c r="B516" s="14" t="str">
        <f>HYPERLINK(CONCAT("http://leetcode.com/problems/",Github!C$822), Github!B$822)</f>
        <v>Shortest Distance to a Character</v>
      </c>
      <c r="C516" s="13">
        <f>Github!F$822</f>
        <v>2644</v>
      </c>
      <c r="D516" s="13">
        <f>Github!G$822</f>
        <v>138</v>
      </c>
      <c r="E516" s="13">
        <f>Github!F$822+Github!G$822</f>
        <v>2782</v>
      </c>
      <c r="F516" s="15">
        <f t="shared" si="1"/>
        <v>19.16</v>
      </c>
      <c r="G516" s="13" t="str">
        <f>ROUND(Github!O$822, 2)&amp;"%"</f>
        <v>71.46%</v>
      </c>
      <c r="H516" s="13" t="str">
        <f>Github!H$822</f>
        <v>Algorithms</v>
      </c>
      <c r="I516" s="16" t="str">
        <f>SUBSTITUTE(Github!L$822, ";", ", ")</f>
        <v>Array, Two Pointers, String, </v>
      </c>
      <c r="J516" s="13" t="str">
        <f>Github!E$822</f>
        <v>Easy</v>
      </c>
      <c r="K516" s="13" t="str">
        <f>IF(TRIM(Github!D$822)="TRUE","FALSE","TRUE")</f>
        <v>TRUE</v>
      </c>
      <c r="L516" s="13" t="b">
        <f>Github!M$822</f>
        <v>1</v>
      </c>
      <c r="M516" s="13" t="b">
        <f>Github!N$822</f>
        <v>0</v>
      </c>
      <c r="N516" s="13">
        <f>Github!P$822</f>
        <v>150111</v>
      </c>
      <c r="O516" s="13">
        <f>Github!Q$822</f>
        <v>210077</v>
      </c>
    </row>
    <row r="517">
      <c r="A517" s="13">
        <f>Github!J$1028</f>
        <v>1027</v>
      </c>
      <c r="B517" s="14" t="str">
        <f>HYPERLINK(CONCAT("http://leetcode.com/problems/",Github!C$1028), Github!B$1028)</f>
        <v>Longest Arithmetic Subsequence</v>
      </c>
      <c r="C517" s="13">
        <f>Github!F$1028</f>
        <v>2631</v>
      </c>
      <c r="D517" s="13">
        <f>Github!G$1028</f>
        <v>124</v>
      </c>
      <c r="E517" s="13">
        <f>Github!F$1028+Github!G$1028</f>
        <v>2755</v>
      </c>
      <c r="F517" s="15">
        <f t="shared" si="1"/>
        <v>21.22</v>
      </c>
      <c r="G517" s="13" t="str">
        <f>ROUND(Github!O$1028, 2)&amp;"%"</f>
        <v>46.93%</v>
      </c>
      <c r="H517" s="13" t="str">
        <f>Github!H$1028</f>
        <v>Algorithms</v>
      </c>
      <c r="I517" s="16" t="str">
        <f>SUBSTITUTE(Github!L$1028, ";", ", ")</f>
        <v>Array, Hash Table, Binary Search, Dynamic Programming, </v>
      </c>
      <c r="J517" s="13" t="str">
        <f>Github!E$1028</f>
        <v>Medium</v>
      </c>
      <c r="K517" s="13" t="str">
        <f>IF(TRIM(Github!D$1028)="TRUE","FALSE","TRUE")</f>
        <v>TRUE</v>
      </c>
      <c r="L517" s="13" t="b">
        <f>Github!M$1028</f>
        <v>0</v>
      </c>
      <c r="M517" s="13" t="b">
        <f>Github!N$1028</f>
        <v>0</v>
      </c>
      <c r="N517" s="13">
        <f>Github!P$1028</f>
        <v>97376</v>
      </c>
      <c r="O517" s="13">
        <f>Github!Q$1028</f>
        <v>207510</v>
      </c>
    </row>
    <row r="518">
      <c r="A518" s="13">
        <f>Github!J$202</f>
        <v>201</v>
      </c>
      <c r="B518" s="14" t="str">
        <f>HYPERLINK(CONCAT("http://leetcode.com/problems/",Github!C$202), Github!B$202)</f>
        <v>Bitwise AND of Numbers Range</v>
      </c>
      <c r="C518" s="13">
        <f>Github!F$202</f>
        <v>2626</v>
      </c>
      <c r="D518" s="13">
        <f>Github!G$202</f>
        <v>193</v>
      </c>
      <c r="E518" s="13">
        <f>Github!F$202+Github!G$202</f>
        <v>2819</v>
      </c>
      <c r="F518" s="15">
        <f t="shared" si="1"/>
        <v>13.61</v>
      </c>
      <c r="G518" s="13" t="str">
        <f>ROUND(Github!O$202, 2)&amp;"%"</f>
        <v>42.36%</v>
      </c>
      <c r="H518" s="13" t="str">
        <f>Github!H$202</f>
        <v>Algorithms</v>
      </c>
      <c r="I518" s="16" t="str">
        <f>SUBSTITUTE(Github!L$202, ";", ", ")</f>
        <v>Bit Manipulation, </v>
      </c>
      <c r="J518" s="13" t="str">
        <f>Github!E$202</f>
        <v>Medium</v>
      </c>
      <c r="K518" s="13" t="str">
        <f>IF(TRIM(Github!D$202)="TRUE","FALSE","TRUE")</f>
        <v>TRUE</v>
      </c>
      <c r="L518" s="13" t="b">
        <f>Github!M$202</f>
        <v>1</v>
      </c>
      <c r="M518" s="13" t="b">
        <f>Github!N$202</f>
        <v>0</v>
      </c>
      <c r="N518" s="13">
        <f>Github!P$202</f>
        <v>232714</v>
      </c>
      <c r="O518" s="13">
        <f>Github!Q$202</f>
        <v>549427</v>
      </c>
    </row>
    <row r="519">
      <c r="A519" s="13">
        <f>Github!J$1306</f>
        <v>1305</v>
      </c>
      <c r="B519" s="14" t="str">
        <f>HYPERLINK(CONCAT("http://leetcode.com/problems/",Github!C$1306), Github!B$1306)</f>
        <v>All Elements in Two Binary Search Trees</v>
      </c>
      <c r="C519" s="13">
        <f>Github!F$1306</f>
        <v>2603</v>
      </c>
      <c r="D519" s="13">
        <f>Github!G$1306</f>
        <v>76</v>
      </c>
      <c r="E519" s="13">
        <f>Github!F$1306+Github!G$1306</f>
        <v>2679</v>
      </c>
      <c r="F519" s="15">
        <f t="shared" si="1"/>
        <v>34.25</v>
      </c>
      <c r="G519" s="13" t="str">
        <f>ROUND(Github!O$1306, 2)&amp;"%"</f>
        <v>79.81%</v>
      </c>
      <c r="H519" s="13" t="str">
        <f>Github!H$1306</f>
        <v>Algorithms</v>
      </c>
      <c r="I519" s="16" t="str">
        <f>SUBSTITUTE(Github!L$1306, ";", ", ")</f>
        <v>Tree, Depth-First Search, Binary Search Tree, Sorting, Binary Tree, </v>
      </c>
      <c r="J519" s="13" t="str">
        <f>Github!E$1306</f>
        <v>Medium</v>
      </c>
      <c r="K519" s="13" t="str">
        <f>IF(TRIM(Github!D$1306)="TRUE","FALSE","TRUE")</f>
        <v>TRUE</v>
      </c>
      <c r="L519" s="13" t="b">
        <f>Github!M$1306</f>
        <v>1</v>
      </c>
      <c r="M519" s="13" t="b">
        <f>Github!N$1306</f>
        <v>0</v>
      </c>
      <c r="N519" s="13">
        <f>Github!P$1306</f>
        <v>180931</v>
      </c>
      <c r="O519" s="13">
        <f>Github!Q$1306</f>
        <v>226712</v>
      </c>
    </row>
    <row r="520">
      <c r="A520" s="13">
        <f>Github!J$1255</f>
        <v>1254</v>
      </c>
      <c r="B520" s="14" t="str">
        <f>HYPERLINK(CONCAT("http://leetcode.com/problems/",Github!C$1255), Github!B$1255)</f>
        <v>Number of Closed Islands</v>
      </c>
      <c r="C520" s="13">
        <f>Github!F$1255</f>
        <v>2628</v>
      </c>
      <c r="D520" s="13">
        <f>Github!G$1255</f>
        <v>63</v>
      </c>
      <c r="E520" s="13">
        <f>Github!F$1255+Github!G$1255</f>
        <v>2691</v>
      </c>
      <c r="F520" s="15">
        <f t="shared" si="1"/>
        <v>41.71</v>
      </c>
      <c r="G520" s="13" t="str">
        <f>ROUND(Github!O$1255, 2)&amp;"%"</f>
        <v>64.17%</v>
      </c>
      <c r="H520" s="13" t="str">
        <f>Github!H$1255</f>
        <v>Algorithms</v>
      </c>
      <c r="I520" s="16" t="str">
        <f>SUBSTITUTE(Github!L$1255, ";", ", ")</f>
        <v>Array, Depth-First Search, Breadth-First Search, Union Find, Matrix, </v>
      </c>
      <c r="J520" s="13" t="str">
        <f>Github!E$1255</f>
        <v>Medium</v>
      </c>
      <c r="K520" s="13" t="str">
        <f>IF(TRIM(Github!D$1255)="TRUE","FALSE","TRUE")</f>
        <v>TRUE</v>
      </c>
      <c r="L520" s="13" t="b">
        <f>Github!M$1255</f>
        <v>0</v>
      </c>
      <c r="M520" s="13" t="b">
        <f>Github!N$1255</f>
        <v>0</v>
      </c>
      <c r="N520" s="13">
        <f>Github!P$1255</f>
        <v>120817</v>
      </c>
      <c r="O520" s="13">
        <f>Github!Q$1255</f>
        <v>188280</v>
      </c>
    </row>
    <row r="521">
      <c r="A521" s="13">
        <f>Github!J$2096</f>
        <v>2095</v>
      </c>
      <c r="B521" s="14" t="str">
        <f>HYPERLINK(CONCAT("http://leetcode.com/problems/",Github!C$2096), Github!B$2096)</f>
        <v>Delete the Middle Node of a Linked List</v>
      </c>
      <c r="C521" s="13">
        <f>Github!F$2096</f>
        <v>2618</v>
      </c>
      <c r="D521" s="13">
        <f>Github!G$2096</f>
        <v>46</v>
      </c>
      <c r="E521" s="13">
        <f>Github!F$2096+Github!G$2096</f>
        <v>2664</v>
      </c>
      <c r="F521" s="15">
        <f t="shared" si="1"/>
        <v>56.91</v>
      </c>
      <c r="G521" s="13" t="str">
        <f>ROUND(Github!O$2096, 2)&amp;"%"</f>
        <v>60.14%</v>
      </c>
      <c r="H521" s="13" t="str">
        <f>Github!H$2096</f>
        <v>Algorithms</v>
      </c>
      <c r="I521" s="16" t="str">
        <f>SUBSTITUTE(Github!L$2096, ";", ", ")</f>
        <v>Linked List, Two Pointers, </v>
      </c>
      <c r="J521" s="13" t="str">
        <f>Github!E$2096</f>
        <v>Medium</v>
      </c>
      <c r="K521" s="13" t="str">
        <f>IF(TRIM(Github!D$2096)="TRUE","FALSE","TRUE")</f>
        <v>TRUE</v>
      </c>
      <c r="L521" s="13" t="b">
        <f>Github!M$2096</f>
        <v>1</v>
      </c>
      <c r="M521" s="13" t="b">
        <f>Github!N$2096</f>
        <v>0</v>
      </c>
      <c r="N521" s="13">
        <f>Github!P$2096</f>
        <v>165272</v>
      </c>
      <c r="O521" s="13">
        <f>Github!Q$2096</f>
        <v>274824</v>
      </c>
    </row>
    <row r="522">
      <c r="A522" s="13">
        <f>Github!J$264</f>
        <v>263</v>
      </c>
      <c r="B522" s="14" t="str">
        <f>HYPERLINK(CONCAT("http://leetcode.com/problems/",Github!C$264), Github!B$264)</f>
        <v>Ugly Number</v>
      </c>
      <c r="C522" s="13">
        <f>Github!F$264</f>
        <v>2593</v>
      </c>
      <c r="D522" s="13">
        <f>Github!G$264</f>
        <v>1443</v>
      </c>
      <c r="E522" s="13">
        <f>Github!F$264+Github!G$264</f>
        <v>4036</v>
      </c>
      <c r="F522" s="15">
        <f t="shared" si="1"/>
        <v>1.8</v>
      </c>
      <c r="G522" s="13" t="str">
        <f>ROUND(Github!O$264, 2)&amp;"%"</f>
        <v>42.5%</v>
      </c>
      <c r="H522" s="13" t="str">
        <f>Github!H$264</f>
        <v>Algorithms</v>
      </c>
      <c r="I522" s="16" t="str">
        <f>SUBSTITUTE(Github!L$264, ";", ", ")</f>
        <v>Math, </v>
      </c>
      <c r="J522" s="13" t="str">
        <f>Github!E$264</f>
        <v>Easy</v>
      </c>
      <c r="K522" s="13" t="str">
        <f>IF(TRIM(Github!D$264)="TRUE","FALSE","TRUE")</f>
        <v>TRUE</v>
      </c>
      <c r="L522" s="13" t="b">
        <f>Github!M$264</f>
        <v>1</v>
      </c>
      <c r="M522" s="13" t="b">
        <f>Github!N$264</f>
        <v>0</v>
      </c>
      <c r="N522" s="13">
        <f>Github!P$264</f>
        <v>401041</v>
      </c>
      <c r="O522" s="13">
        <f>Github!Q$264</f>
        <v>943618</v>
      </c>
    </row>
    <row r="523">
      <c r="A523" s="13">
        <f>Github!J$968</f>
        <v>967</v>
      </c>
      <c r="B523" s="14" t="str">
        <f>HYPERLINK(CONCAT("http://leetcode.com/problems/",Github!C$968), Github!B$968)</f>
        <v>Numbers With Same Consecutive Differences</v>
      </c>
      <c r="C523" s="13">
        <f>Github!F$968</f>
        <v>2579</v>
      </c>
      <c r="D523" s="13">
        <f>Github!G$968</f>
        <v>187</v>
      </c>
      <c r="E523" s="13">
        <f>Github!F$968+Github!G$968</f>
        <v>2766</v>
      </c>
      <c r="F523" s="15">
        <f t="shared" si="1"/>
        <v>13.79</v>
      </c>
      <c r="G523" s="13" t="str">
        <f>ROUND(Github!O$968, 2)&amp;"%"</f>
        <v>57.23%</v>
      </c>
      <c r="H523" s="13" t="str">
        <f>Github!H$968</f>
        <v>Algorithms</v>
      </c>
      <c r="I523" s="16" t="str">
        <f>SUBSTITUTE(Github!L$968, ";", ", ")</f>
        <v>Backtracking, Breadth-First Search, </v>
      </c>
      <c r="J523" s="13" t="str">
        <f>Github!E$968</f>
        <v>Medium</v>
      </c>
      <c r="K523" s="13" t="str">
        <f>IF(TRIM(Github!D$968)="TRUE","FALSE","TRUE")</f>
        <v>TRUE</v>
      </c>
      <c r="L523" s="13" t="b">
        <f>Github!M$968</f>
        <v>1</v>
      </c>
      <c r="M523" s="13" t="b">
        <f>Github!N$968</f>
        <v>0</v>
      </c>
      <c r="N523" s="13">
        <f>Github!P$968</f>
        <v>115397</v>
      </c>
      <c r="O523" s="13">
        <f>Github!Q$968</f>
        <v>201656</v>
      </c>
    </row>
    <row r="524">
      <c r="A524" s="13">
        <f>Github!J$278</f>
        <v>277</v>
      </c>
      <c r="B524" s="14" t="str">
        <f>HYPERLINK(CONCAT("http://leetcode.com/problems/",Github!C$278), Github!B$278)</f>
        <v>Find the Celebrity</v>
      </c>
      <c r="C524" s="13">
        <f>Github!F$278</f>
        <v>2577</v>
      </c>
      <c r="D524" s="13">
        <f>Github!G$278</f>
        <v>246</v>
      </c>
      <c r="E524" s="13">
        <f>Github!F$278+Github!G$278</f>
        <v>2823</v>
      </c>
      <c r="F524" s="15">
        <f t="shared" si="1"/>
        <v>10.48</v>
      </c>
      <c r="G524" s="13" t="str">
        <f>ROUND(Github!O$278, 2)&amp;"%"</f>
        <v>46.53%</v>
      </c>
      <c r="H524" s="13" t="str">
        <f>Github!H$278</f>
        <v>Algorithms</v>
      </c>
      <c r="I524" s="16" t="str">
        <f>SUBSTITUTE(Github!L$278, ";", ", ")</f>
        <v>Two Pointers, Greedy, Graph, Interactive, </v>
      </c>
      <c r="J524" s="13" t="str">
        <f>Github!E$278</f>
        <v>Medium</v>
      </c>
      <c r="K524" s="13" t="str">
        <f>IF(TRIM(Github!D$278)="TRUE","FALSE","TRUE")</f>
        <v>FALSE</v>
      </c>
      <c r="L524" s="13" t="b">
        <f>Github!M$278</f>
        <v>1</v>
      </c>
      <c r="M524" s="13" t="b">
        <f>Github!N$278</f>
        <v>1</v>
      </c>
      <c r="N524" s="13">
        <f>Github!P$278</f>
        <v>241998</v>
      </c>
      <c r="O524" s="13">
        <f>Github!Q$278</f>
        <v>520139</v>
      </c>
    </row>
    <row r="525">
      <c r="A525" s="13">
        <f>Github!J$188</f>
        <v>187</v>
      </c>
      <c r="B525" s="14" t="str">
        <f>HYPERLINK(CONCAT("http://leetcode.com/problems/",Github!C$188), Github!B$188)</f>
        <v>Repeated DNA Sequences</v>
      </c>
      <c r="C525" s="13">
        <f>Github!F$188</f>
        <v>2604</v>
      </c>
      <c r="D525" s="13">
        <f>Github!G$188</f>
        <v>461</v>
      </c>
      <c r="E525" s="13">
        <f>Github!F$188+Github!G$188</f>
        <v>3065</v>
      </c>
      <c r="F525" s="15">
        <f t="shared" si="1"/>
        <v>5.65</v>
      </c>
      <c r="G525" s="13" t="str">
        <f>ROUND(Github!O$188, 2)&amp;"%"</f>
        <v>46.5%</v>
      </c>
      <c r="H525" s="13" t="str">
        <f>Github!H$188</f>
        <v>Algorithms</v>
      </c>
      <c r="I525" s="16" t="str">
        <f>SUBSTITUTE(Github!L$188, ";", ", ")</f>
        <v>Hash Table, String, Bit Manipulation, Sliding Window, Rolling Hash, Hash Function, </v>
      </c>
      <c r="J525" s="13" t="str">
        <f>Github!E$188</f>
        <v>Medium</v>
      </c>
      <c r="K525" s="13" t="str">
        <f>IF(TRIM(Github!D$188)="TRUE","FALSE","TRUE")</f>
        <v>TRUE</v>
      </c>
      <c r="L525" s="13" t="b">
        <f>Github!M$188</f>
        <v>1</v>
      </c>
      <c r="M525" s="13" t="b">
        <f>Github!N$188</f>
        <v>0</v>
      </c>
      <c r="N525" s="13">
        <f>Github!P$188</f>
        <v>306769</v>
      </c>
      <c r="O525" s="13">
        <f>Github!Q$188</f>
        <v>659746</v>
      </c>
    </row>
    <row r="526">
      <c r="A526" s="13">
        <f>Github!J$165</f>
        <v>164</v>
      </c>
      <c r="B526" s="14" t="str">
        <f>HYPERLINK(CONCAT("http://leetcode.com/problems/",Github!C$165), Github!B$165)</f>
        <v>Maximum Gap</v>
      </c>
      <c r="C526" s="13">
        <f>Github!F$165</f>
        <v>2592</v>
      </c>
      <c r="D526" s="13">
        <f>Github!G$165</f>
        <v>318</v>
      </c>
      <c r="E526" s="13">
        <f>Github!F$165+Github!G$165</f>
        <v>2910</v>
      </c>
      <c r="F526" s="15">
        <f t="shared" si="1"/>
        <v>8.15</v>
      </c>
      <c r="G526" s="13" t="str">
        <f>ROUND(Github!O$165, 2)&amp;"%"</f>
        <v>42.9%</v>
      </c>
      <c r="H526" s="13" t="str">
        <f>Github!H$165</f>
        <v>Algorithms</v>
      </c>
      <c r="I526" s="16" t="str">
        <f>SUBSTITUTE(Github!L$165, ";", ", ")</f>
        <v>Array, Sorting, Bucket Sort, Radix Sort, </v>
      </c>
      <c r="J526" s="13" t="str">
        <f>Github!E$165</f>
        <v>Hard</v>
      </c>
      <c r="K526" s="13" t="str">
        <f>IF(TRIM(Github!D$165)="TRUE","FALSE","TRUE")</f>
        <v>TRUE</v>
      </c>
      <c r="L526" s="13" t="b">
        <f>Github!M$165</f>
        <v>1</v>
      </c>
      <c r="M526" s="13" t="b">
        <f>Github!N$165</f>
        <v>0</v>
      </c>
      <c r="N526" s="13">
        <f>Github!P$165</f>
        <v>158494</v>
      </c>
      <c r="O526" s="13">
        <f>Github!Q$165</f>
        <v>369418</v>
      </c>
    </row>
    <row r="527">
      <c r="A527" s="13">
        <f>Github!J$375</f>
        <v>374</v>
      </c>
      <c r="B527" s="14" t="str">
        <f>HYPERLINK(CONCAT("http://leetcode.com/problems/",Github!C$375), Github!B$375)</f>
        <v>Guess Number Higher or Lower</v>
      </c>
      <c r="C527" s="13">
        <f>Github!F$375</f>
        <v>2609</v>
      </c>
      <c r="D527" s="13">
        <f>Github!G$375</f>
        <v>310</v>
      </c>
      <c r="E527" s="13">
        <f>Github!F$375+Github!G$375</f>
        <v>2919</v>
      </c>
      <c r="F527" s="15">
        <f t="shared" si="1"/>
        <v>8.42</v>
      </c>
      <c r="G527" s="13" t="str">
        <f>ROUND(Github!O$375, 2)&amp;"%"</f>
        <v>51.48%</v>
      </c>
      <c r="H527" s="13" t="str">
        <f>Github!H$375</f>
        <v>Algorithms</v>
      </c>
      <c r="I527" s="16" t="str">
        <f>SUBSTITUTE(Github!L$375, ";", ", ")</f>
        <v>Binary Search, Interactive, </v>
      </c>
      <c r="J527" s="13" t="str">
        <f>Github!E$375</f>
        <v>Easy</v>
      </c>
      <c r="K527" s="13" t="str">
        <f>IF(TRIM(Github!D$375)="TRUE","FALSE","TRUE")</f>
        <v>TRUE</v>
      </c>
      <c r="L527" s="13" t="b">
        <f>Github!M$375</f>
        <v>1</v>
      </c>
      <c r="M527" s="13" t="b">
        <f>Github!N$375</f>
        <v>1</v>
      </c>
      <c r="N527" s="13">
        <f>Github!P$375</f>
        <v>457204</v>
      </c>
      <c r="O527" s="13">
        <f>Github!Q$375</f>
        <v>888201</v>
      </c>
    </row>
    <row r="528">
      <c r="A528" s="13">
        <f>Github!J$960</f>
        <v>959</v>
      </c>
      <c r="B528" s="14" t="str">
        <f>HYPERLINK(CONCAT("http://leetcode.com/problems/",Github!C$960), Github!B$960)</f>
        <v>Regions Cut By Slashes</v>
      </c>
      <c r="C528" s="13">
        <f>Github!F$960</f>
        <v>2576</v>
      </c>
      <c r="D528" s="13">
        <f>Github!G$960</f>
        <v>488</v>
      </c>
      <c r="E528" s="13">
        <f>Github!F$960+Github!G$960</f>
        <v>3064</v>
      </c>
      <c r="F528" s="15">
        <f t="shared" si="1"/>
        <v>5.28</v>
      </c>
      <c r="G528" s="13" t="str">
        <f>ROUND(Github!O$960, 2)&amp;"%"</f>
        <v>69.12%</v>
      </c>
      <c r="H528" s="13" t="str">
        <f>Github!H$960</f>
        <v>Algorithms</v>
      </c>
      <c r="I528" s="16" t="str">
        <f>SUBSTITUTE(Github!L$960, ";", ", ")</f>
        <v>Depth-First Search, Breadth-First Search, Union Find, Graph, </v>
      </c>
      <c r="J528" s="13" t="str">
        <f>Github!E$960</f>
        <v>Medium</v>
      </c>
      <c r="K528" s="13" t="str">
        <f>IF(TRIM(Github!D$960)="TRUE","FALSE","TRUE")</f>
        <v>TRUE</v>
      </c>
      <c r="L528" s="13" t="b">
        <f>Github!M$960</f>
        <v>1</v>
      </c>
      <c r="M528" s="13" t="b">
        <f>Github!N$960</f>
        <v>0</v>
      </c>
      <c r="N528" s="13">
        <f>Github!P$960</f>
        <v>43348</v>
      </c>
      <c r="O528" s="13">
        <f>Github!Q$960</f>
        <v>62714</v>
      </c>
    </row>
    <row r="529">
      <c r="A529" s="13">
        <f>Github!J$176</f>
        <v>175</v>
      </c>
      <c r="B529" s="14" t="str">
        <f>HYPERLINK(CONCAT("http://leetcode.com/problems/",Github!C$176), Github!B$176)</f>
        <v>Combine Two Tables</v>
      </c>
      <c r="C529" s="13">
        <f>Github!F$176</f>
        <v>2584</v>
      </c>
      <c r="D529" s="13">
        <f>Github!G$176</f>
        <v>204</v>
      </c>
      <c r="E529" s="13">
        <f>Github!F$176+Github!G$176</f>
        <v>2788</v>
      </c>
      <c r="F529" s="15">
        <f t="shared" si="1"/>
        <v>12.67</v>
      </c>
      <c r="G529" s="13" t="str">
        <f>ROUND(Github!O$176, 2)&amp;"%"</f>
        <v>73.46%</v>
      </c>
      <c r="H529" s="13" t="str">
        <f>Github!H$176</f>
        <v>Database</v>
      </c>
      <c r="I529" s="16" t="str">
        <f>SUBSTITUTE(Github!L$176, ";", ", ")</f>
        <v>Database, </v>
      </c>
      <c r="J529" s="13" t="str">
        <f>Github!E$176</f>
        <v>Easy</v>
      </c>
      <c r="K529" s="13" t="str">
        <f>IF(TRIM(Github!D$176)="TRUE","FALSE","TRUE")</f>
        <v>TRUE</v>
      </c>
      <c r="L529" s="13" t="b">
        <f>Github!M$176</f>
        <v>1</v>
      </c>
      <c r="M529" s="13" t="b">
        <f>Github!N$176</f>
        <v>0</v>
      </c>
      <c r="N529" s="13">
        <f>Github!P$176</f>
        <v>682694</v>
      </c>
      <c r="O529" s="13">
        <f>Github!Q$176</f>
        <v>929387</v>
      </c>
    </row>
    <row r="530">
      <c r="A530" s="13">
        <f>Github!J$590</f>
        <v>589</v>
      </c>
      <c r="B530" s="14" t="str">
        <f>HYPERLINK(CONCAT("http://leetcode.com/problems/",Github!C$590), Github!B$590)</f>
        <v>N-ary Tree Preorder Traversal</v>
      </c>
      <c r="C530" s="13">
        <f>Github!F$590</f>
        <v>2583</v>
      </c>
      <c r="D530" s="13">
        <f>Github!G$590</f>
        <v>126</v>
      </c>
      <c r="E530" s="13">
        <f>Github!F$590+Github!G$590</f>
        <v>2709</v>
      </c>
      <c r="F530" s="15">
        <f t="shared" si="1"/>
        <v>20.5</v>
      </c>
      <c r="G530" s="13" t="str">
        <f>ROUND(Github!O$590, 2)&amp;"%"</f>
        <v>76.13%</v>
      </c>
      <c r="H530" s="13" t="str">
        <f>Github!H$590</f>
        <v>Algorithms</v>
      </c>
      <c r="I530" s="16" t="str">
        <f>SUBSTITUTE(Github!L$590, ";", ", ")</f>
        <v>Stack, Tree, Depth-First Search, </v>
      </c>
      <c r="J530" s="13" t="str">
        <f>Github!E$590</f>
        <v>Easy</v>
      </c>
      <c r="K530" s="13" t="str">
        <f>IF(TRIM(Github!D$590)="TRUE","FALSE","TRUE")</f>
        <v>TRUE</v>
      </c>
      <c r="L530" s="13" t="b">
        <f>Github!M$590</f>
        <v>1</v>
      </c>
      <c r="M530" s="13" t="b">
        <f>Github!N$590</f>
        <v>0</v>
      </c>
      <c r="N530" s="13">
        <f>Github!P$590</f>
        <v>341646</v>
      </c>
      <c r="O530" s="13">
        <f>Github!Q$590</f>
        <v>448764</v>
      </c>
    </row>
    <row r="531">
      <c r="A531" s="13">
        <f>Github!J$1050</f>
        <v>1049</v>
      </c>
      <c r="B531" s="14" t="str">
        <f>HYPERLINK(CONCAT("http://leetcode.com/problems/",Github!C$1050), Github!B$1050)</f>
        <v>Last Stone Weight II</v>
      </c>
      <c r="C531" s="13">
        <f>Github!F$1050</f>
        <v>2556</v>
      </c>
      <c r="D531" s="13">
        <f>Github!G$1050</f>
        <v>89</v>
      </c>
      <c r="E531" s="13">
        <f>Github!F$1050+Github!G$1050</f>
        <v>2645</v>
      </c>
      <c r="F531" s="15">
        <f t="shared" si="1"/>
        <v>28.72</v>
      </c>
      <c r="G531" s="13" t="str">
        <f>ROUND(Github!O$1050, 2)&amp;"%"</f>
        <v>52.68%</v>
      </c>
      <c r="H531" s="13" t="str">
        <f>Github!H$1050</f>
        <v>Algorithms</v>
      </c>
      <c r="I531" s="16" t="str">
        <f>SUBSTITUTE(Github!L$1050, ";", ", ")</f>
        <v>Array, Dynamic Programming, </v>
      </c>
      <c r="J531" s="13" t="str">
        <f>Github!E$1050</f>
        <v>Medium</v>
      </c>
      <c r="K531" s="13" t="str">
        <f>IF(TRIM(Github!D$1050)="TRUE","FALSE","TRUE")</f>
        <v>TRUE</v>
      </c>
      <c r="L531" s="13" t="b">
        <f>Github!M$1050</f>
        <v>0</v>
      </c>
      <c r="M531" s="13" t="b">
        <f>Github!N$1050</f>
        <v>0</v>
      </c>
      <c r="N531" s="13">
        <f>Github!P$1050</f>
        <v>65155</v>
      </c>
      <c r="O531" s="13">
        <f>Github!Q$1050</f>
        <v>123692</v>
      </c>
    </row>
    <row r="532">
      <c r="A532" s="13">
        <f>Github!J$531</f>
        <v>530</v>
      </c>
      <c r="B532" s="14" t="str">
        <f>HYPERLINK(CONCAT("http://leetcode.com/problems/",Github!C$531), Github!B$531)</f>
        <v>Minimum Absolute Difference in BST</v>
      </c>
      <c r="C532" s="13">
        <f>Github!F$531</f>
        <v>2557</v>
      </c>
      <c r="D532" s="13">
        <f>Github!G$531</f>
        <v>136</v>
      </c>
      <c r="E532" s="13">
        <f>Github!F$531+Github!G$531</f>
        <v>2693</v>
      </c>
      <c r="F532" s="15">
        <f t="shared" si="1"/>
        <v>18.8</v>
      </c>
      <c r="G532" s="13" t="str">
        <f>ROUND(Github!O$531, 2)&amp;"%"</f>
        <v>56.81%</v>
      </c>
      <c r="H532" s="13" t="str">
        <f>Github!H$531</f>
        <v>Algorithms</v>
      </c>
      <c r="I532" s="16" t="str">
        <f>SUBSTITUTE(Github!L$531, ";", ", ")</f>
        <v>Tree, Depth-First Search, Breadth-First Search, Binary Search Tree, Binary Tree, </v>
      </c>
      <c r="J532" s="13" t="str">
        <f>Github!E$531</f>
        <v>Easy</v>
      </c>
      <c r="K532" s="13" t="str">
        <f>IF(TRIM(Github!D$531)="TRUE","FALSE","TRUE")</f>
        <v>TRUE</v>
      </c>
      <c r="L532" s="13" t="b">
        <f>Github!M$531</f>
        <v>0</v>
      </c>
      <c r="M532" s="13" t="b">
        <f>Github!N$531</f>
        <v>0</v>
      </c>
      <c r="N532" s="13">
        <f>Github!P$531</f>
        <v>188142</v>
      </c>
      <c r="O532" s="13">
        <f>Github!Q$531</f>
        <v>331169</v>
      </c>
    </row>
    <row r="533">
      <c r="A533" s="13">
        <f>Github!J$341</f>
        <v>340</v>
      </c>
      <c r="B533" s="14" t="str">
        <f>HYPERLINK(CONCAT("http://leetcode.com/problems/",Github!C$341), Github!B$341)</f>
        <v>Longest Substring with At Most K Distinct Characters</v>
      </c>
      <c r="C533" s="13">
        <f>Github!F$341</f>
        <v>2547</v>
      </c>
      <c r="D533" s="13">
        <f>Github!G$341</f>
        <v>76</v>
      </c>
      <c r="E533" s="13">
        <f>Github!F$341+Github!G$341</f>
        <v>2623</v>
      </c>
      <c r="F533" s="15">
        <f t="shared" si="1"/>
        <v>33.51</v>
      </c>
      <c r="G533" s="13" t="str">
        <f>ROUND(Github!O$341, 2)&amp;"%"</f>
        <v>47.89%</v>
      </c>
      <c r="H533" s="13" t="str">
        <f>Github!H$341</f>
        <v>Algorithms</v>
      </c>
      <c r="I533" s="16" t="str">
        <f>SUBSTITUTE(Github!L$341, ";", ", ")</f>
        <v>Hash Table, String, Sliding Window, </v>
      </c>
      <c r="J533" s="13" t="str">
        <f>Github!E$341</f>
        <v>Medium</v>
      </c>
      <c r="K533" s="13" t="str">
        <f>IF(TRIM(Github!D$341)="TRUE","FALSE","TRUE")</f>
        <v>FALSE</v>
      </c>
      <c r="L533" s="13" t="b">
        <f>Github!M$341</f>
        <v>1</v>
      </c>
      <c r="M533" s="13" t="b">
        <f>Github!N$341</f>
        <v>1</v>
      </c>
      <c r="N533" s="13">
        <f>Github!P$341</f>
        <v>302386</v>
      </c>
      <c r="O533" s="13">
        <f>Github!Q$341</f>
        <v>631370</v>
      </c>
    </row>
    <row r="534">
      <c r="A534" s="13">
        <f>Github!J$490</f>
        <v>489</v>
      </c>
      <c r="B534" s="14" t="str">
        <f>HYPERLINK(CONCAT("http://leetcode.com/problems/",Github!C$490), Github!B$490)</f>
        <v>Robot Room Cleaner</v>
      </c>
      <c r="C534" s="13">
        <f>Github!F$490</f>
        <v>2545</v>
      </c>
      <c r="D534" s="13">
        <f>Github!G$490</f>
        <v>157</v>
      </c>
      <c r="E534" s="13">
        <f>Github!F$490+Github!G$490</f>
        <v>2702</v>
      </c>
      <c r="F534" s="15">
        <f t="shared" si="1"/>
        <v>16.21</v>
      </c>
      <c r="G534" s="13" t="str">
        <f>ROUND(Github!O$490, 2)&amp;"%"</f>
        <v>76.56%</v>
      </c>
      <c r="H534" s="13" t="str">
        <f>Github!H$490</f>
        <v>Algorithms</v>
      </c>
      <c r="I534" s="16" t="str">
        <f>SUBSTITUTE(Github!L$490, ";", ", ")</f>
        <v>Backtracking, Interactive, </v>
      </c>
      <c r="J534" s="13" t="str">
        <f>Github!E$490</f>
        <v>Hard</v>
      </c>
      <c r="K534" s="13" t="str">
        <f>IF(TRIM(Github!D$490)="TRUE","FALSE","TRUE")</f>
        <v>FALSE</v>
      </c>
      <c r="L534" s="13" t="b">
        <f>Github!M$490</f>
        <v>1</v>
      </c>
      <c r="M534" s="13" t="b">
        <f>Github!N$490</f>
        <v>0</v>
      </c>
      <c r="N534" s="13">
        <f>Github!P$490</f>
        <v>140349</v>
      </c>
      <c r="O534" s="13">
        <f>Github!Q$490</f>
        <v>183308</v>
      </c>
    </row>
    <row r="535">
      <c r="A535" s="13">
        <f>Github!J$177</f>
        <v>176</v>
      </c>
      <c r="B535" s="14" t="str">
        <f>HYPERLINK(CONCAT("http://leetcode.com/problems/",Github!C$177), Github!B$177)</f>
        <v>Second Highest Salary</v>
      </c>
      <c r="C535" s="13">
        <f>Github!F$177</f>
        <v>2568</v>
      </c>
      <c r="D535" s="13">
        <f>Github!G$177</f>
        <v>802</v>
      </c>
      <c r="E535" s="13">
        <f>Github!F$177+Github!G$177</f>
        <v>3370</v>
      </c>
      <c r="F535" s="15">
        <f t="shared" si="1"/>
        <v>3.2</v>
      </c>
      <c r="G535" s="13" t="str">
        <f>ROUND(Github!O$177, 2)&amp;"%"</f>
        <v>36.89%</v>
      </c>
      <c r="H535" s="13" t="str">
        <f>Github!H$177</f>
        <v>Database</v>
      </c>
      <c r="I535" s="16" t="str">
        <f>SUBSTITUTE(Github!L$177, ";", ", ")</f>
        <v>Database, </v>
      </c>
      <c r="J535" s="13" t="str">
        <f>Github!E$177</f>
        <v>Medium</v>
      </c>
      <c r="K535" s="13" t="str">
        <f>IF(TRIM(Github!D$177)="TRUE","FALSE","TRUE")</f>
        <v>TRUE</v>
      </c>
      <c r="L535" s="13" t="b">
        <f>Github!M$177</f>
        <v>1</v>
      </c>
      <c r="M535" s="13" t="b">
        <f>Github!N$177</f>
        <v>0</v>
      </c>
      <c r="N535" s="13">
        <f>Github!P$177</f>
        <v>589287</v>
      </c>
      <c r="O535" s="13">
        <f>Github!Q$177</f>
        <v>1597453</v>
      </c>
    </row>
    <row r="536">
      <c r="A536" s="13">
        <f>Github!J$325</f>
        <v>324</v>
      </c>
      <c r="B536" s="14" t="str">
        <f>HYPERLINK(CONCAT("http://leetcode.com/problems/",Github!C$325), Github!B$325)</f>
        <v>Wiggle Sort II</v>
      </c>
      <c r="C536" s="13">
        <f>Github!F$325</f>
        <v>2545</v>
      </c>
      <c r="D536" s="13">
        <f>Github!G$325</f>
        <v>878</v>
      </c>
      <c r="E536" s="13">
        <f>Github!F$325+Github!G$325</f>
        <v>3423</v>
      </c>
      <c r="F536" s="15">
        <f t="shared" si="1"/>
        <v>2.9</v>
      </c>
      <c r="G536" s="13" t="str">
        <f>ROUND(Github!O$325, 2)&amp;"%"</f>
        <v>33.09%</v>
      </c>
      <c r="H536" s="13" t="str">
        <f>Github!H$325</f>
        <v>Algorithms</v>
      </c>
      <c r="I536" s="16" t="str">
        <f>SUBSTITUTE(Github!L$325, ";", ", ")</f>
        <v>Array, Divide and Conquer, Sorting, Quickselect, </v>
      </c>
      <c r="J536" s="13" t="str">
        <f>Github!E$325</f>
        <v>Medium</v>
      </c>
      <c r="K536" s="13" t="str">
        <f>IF(TRIM(Github!D$325)="TRUE","FALSE","TRUE")</f>
        <v>TRUE</v>
      </c>
      <c r="L536" s="13" t="b">
        <f>Github!M$325</f>
        <v>0</v>
      </c>
      <c r="M536" s="13" t="b">
        <f>Github!N$325</f>
        <v>0</v>
      </c>
      <c r="N536" s="13">
        <f>Github!P$325</f>
        <v>135835</v>
      </c>
      <c r="O536" s="13">
        <f>Github!Q$325</f>
        <v>410546</v>
      </c>
    </row>
    <row r="537">
      <c r="A537" s="13">
        <f>Github!J$800</f>
        <v>799</v>
      </c>
      <c r="B537" s="14" t="str">
        <f>HYPERLINK(CONCAT("http://leetcode.com/problems/",Github!C$800), Github!B$800)</f>
        <v>Champagne Tower</v>
      </c>
      <c r="C537" s="13">
        <f>Github!F$800</f>
        <v>2528</v>
      </c>
      <c r="D537" s="13">
        <f>Github!G$800</f>
        <v>137</v>
      </c>
      <c r="E537" s="13">
        <f>Github!F$800+Github!G$800</f>
        <v>2665</v>
      </c>
      <c r="F537" s="15">
        <f t="shared" si="1"/>
        <v>18.45</v>
      </c>
      <c r="G537" s="13" t="str">
        <f>ROUND(Github!O$800, 2)&amp;"%"</f>
        <v>51.32%</v>
      </c>
      <c r="H537" s="13" t="str">
        <f>Github!H$800</f>
        <v>Algorithms</v>
      </c>
      <c r="I537" s="16" t="str">
        <f>SUBSTITUTE(Github!L$800, ";", ", ")</f>
        <v>Dynamic Programming, </v>
      </c>
      <c r="J537" s="13" t="str">
        <f>Github!E$800</f>
        <v>Medium</v>
      </c>
      <c r="K537" s="13" t="str">
        <f>IF(TRIM(Github!D$800)="TRUE","FALSE","TRUE")</f>
        <v>TRUE</v>
      </c>
      <c r="L537" s="13" t="b">
        <f>Github!M$800</f>
        <v>1</v>
      </c>
      <c r="M537" s="13" t="b">
        <f>Github!N$800</f>
        <v>0</v>
      </c>
      <c r="N537" s="13">
        <f>Github!P$800</f>
        <v>82681</v>
      </c>
      <c r="O537" s="13">
        <f>Github!Q$800</f>
        <v>161097</v>
      </c>
    </row>
    <row r="538">
      <c r="A538" s="13">
        <f>Github!J$868</f>
        <v>867</v>
      </c>
      <c r="B538" s="14" t="str">
        <f>HYPERLINK(CONCAT("http://leetcode.com/problems/",Github!C$868), Github!B$868)</f>
        <v>Transpose Matrix</v>
      </c>
      <c r="C538" s="13">
        <f>Github!F$868</f>
        <v>2551</v>
      </c>
      <c r="D538" s="13">
        <f>Github!G$868</f>
        <v>416</v>
      </c>
      <c r="E538" s="13">
        <f>Github!F$868+Github!G$868</f>
        <v>2967</v>
      </c>
      <c r="F538" s="15">
        <f t="shared" si="1"/>
        <v>6.13</v>
      </c>
      <c r="G538" s="13" t="str">
        <f>ROUND(Github!O$868, 2)&amp;"%"</f>
        <v>63.65%</v>
      </c>
      <c r="H538" s="13" t="str">
        <f>Github!H$868</f>
        <v>Algorithms</v>
      </c>
      <c r="I538" s="16" t="str">
        <f>SUBSTITUTE(Github!L$868, ";", ", ")</f>
        <v>Array, Matrix, Simulation, </v>
      </c>
      <c r="J538" s="13" t="str">
        <f>Github!E$868</f>
        <v>Easy</v>
      </c>
      <c r="K538" s="13" t="str">
        <f>IF(TRIM(Github!D$868)="TRUE","FALSE","TRUE")</f>
        <v>TRUE</v>
      </c>
      <c r="L538" s="13" t="b">
        <f>Github!M$868</f>
        <v>1</v>
      </c>
      <c r="M538" s="13" t="b">
        <f>Github!N$868</f>
        <v>0</v>
      </c>
      <c r="N538" s="13">
        <f>Github!P$868</f>
        <v>229335</v>
      </c>
      <c r="O538" s="13">
        <f>Github!Q$868</f>
        <v>360314</v>
      </c>
    </row>
    <row r="539">
      <c r="A539" s="13">
        <f>Github!J$917</f>
        <v>916</v>
      </c>
      <c r="B539" s="14" t="str">
        <f>HYPERLINK(CONCAT("http://leetcode.com/problems/",Github!C$917), Github!B$917)</f>
        <v>Word Subsets</v>
      </c>
      <c r="C539" s="13">
        <f>Github!F$917</f>
        <v>2524</v>
      </c>
      <c r="D539" s="13">
        <f>Github!G$917</f>
        <v>212</v>
      </c>
      <c r="E539" s="13">
        <f>Github!F$917+Github!G$917</f>
        <v>2736</v>
      </c>
      <c r="F539" s="15">
        <f t="shared" si="1"/>
        <v>11.91</v>
      </c>
      <c r="G539" s="13" t="str">
        <f>ROUND(Github!O$917, 2)&amp;"%"</f>
        <v>53.92%</v>
      </c>
      <c r="H539" s="13" t="str">
        <f>Github!H$917</f>
        <v>Algorithms</v>
      </c>
      <c r="I539" s="16" t="str">
        <f>SUBSTITUTE(Github!L$917, ";", ", ")</f>
        <v>Array, Hash Table, String, </v>
      </c>
      <c r="J539" s="13" t="str">
        <f>Github!E$917</f>
        <v>Medium</v>
      </c>
      <c r="K539" s="13" t="str">
        <f>IF(TRIM(Github!D$917)="TRUE","FALSE","TRUE")</f>
        <v>TRUE</v>
      </c>
      <c r="L539" s="13" t="b">
        <f>Github!M$917</f>
        <v>1</v>
      </c>
      <c r="M539" s="13" t="b">
        <f>Github!N$917</f>
        <v>0</v>
      </c>
      <c r="N539" s="13">
        <f>Github!P$917</f>
        <v>106109</v>
      </c>
      <c r="O539" s="13">
        <f>Github!Q$917</f>
        <v>196790</v>
      </c>
    </row>
    <row r="540">
      <c r="A540" s="13">
        <f>Github!J$977</f>
        <v>976</v>
      </c>
      <c r="B540" s="14" t="str">
        <f>HYPERLINK(CONCAT("http://leetcode.com/problems/",Github!C$977), Github!B$977)</f>
        <v>Largest Perimeter Triangle</v>
      </c>
      <c r="C540" s="13">
        <f>Github!F$977</f>
        <v>2524</v>
      </c>
      <c r="D540" s="13">
        <f>Github!G$977</f>
        <v>350</v>
      </c>
      <c r="E540" s="13">
        <f>Github!F$977+Github!G$977</f>
        <v>2874</v>
      </c>
      <c r="F540" s="15">
        <f t="shared" si="1"/>
        <v>7.21</v>
      </c>
      <c r="G540" s="13" t="str">
        <f>ROUND(Github!O$977, 2)&amp;"%"</f>
        <v>54.45%</v>
      </c>
      <c r="H540" s="13" t="str">
        <f>Github!H$977</f>
        <v>Algorithms</v>
      </c>
      <c r="I540" s="16" t="str">
        <f>SUBSTITUTE(Github!L$977, ";", ", ")</f>
        <v>Array, Math, Greedy, Sorting, </v>
      </c>
      <c r="J540" s="13" t="str">
        <f>Github!E$977</f>
        <v>Easy</v>
      </c>
      <c r="K540" s="13" t="str">
        <f>IF(TRIM(Github!D$977)="TRUE","FALSE","TRUE")</f>
        <v>TRUE</v>
      </c>
      <c r="L540" s="13" t="b">
        <f>Github!M$977</f>
        <v>1</v>
      </c>
      <c r="M540" s="13" t="b">
        <f>Github!N$977</f>
        <v>0</v>
      </c>
      <c r="N540" s="13">
        <f>Github!P$977</f>
        <v>185115</v>
      </c>
      <c r="O540" s="13">
        <f>Github!Q$977</f>
        <v>339975</v>
      </c>
    </row>
    <row r="541">
      <c r="A541" s="13">
        <f>Github!J$274</f>
        <v>273</v>
      </c>
      <c r="B541" s="14" t="str">
        <f>HYPERLINK(CONCAT("http://leetcode.com/problems/",Github!C$274), Github!B$274)</f>
        <v>Integer to English Words</v>
      </c>
      <c r="C541" s="13">
        <f>Github!F$274</f>
        <v>2509</v>
      </c>
      <c r="D541" s="13">
        <f>Github!G$274</f>
        <v>5663</v>
      </c>
      <c r="E541" s="13">
        <f>Github!F$274+Github!G$274</f>
        <v>8172</v>
      </c>
      <c r="F541" s="15">
        <f t="shared" si="1"/>
        <v>0.44</v>
      </c>
      <c r="G541" s="13" t="str">
        <f>ROUND(Github!O$274, 2)&amp;"%"</f>
        <v>29.92%</v>
      </c>
      <c r="H541" s="13" t="str">
        <f>Github!H$274</f>
        <v>Algorithms</v>
      </c>
      <c r="I541" s="16" t="str">
        <f>SUBSTITUTE(Github!L$274, ";", ", ")</f>
        <v>Math, String, Recursion, </v>
      </c>
      <c r="J541" s="13" t="str">
        <f>Github!E$274</f>
        <v>Hard</v>
      </c>
      <c r="K541" s="13" t="str">
        <f>IF(TRIM(Github!D$274)="TRUE","FALSE","TRUE")</f>
        <v>TRUE</v>
      </c>
      <c r="L541" s="13" t="b">
        <f>Github!M$274</f>
        <v>1</v>
      </c>
      <c r="M541" s="13" t="b">
        <f>Github!N$274</f>
        <v>0</v>
      </c>
      <c r="N541" s="13">
        <f>Github!P$274</f>
        <v>334690</v>
      </c>
      <c r="O541" s="13">
        <f>Github!Q$274</f>
        <v>1118520</v>
      </c>
    </row>
    <row r="542">
      <c r="A542" s="13">
        <f>Github!J$304</f>
        <v>303</v>
      </c>
      <c r="B542" s="14" t="str">
        <f>HYPERLINK(CONCAT("http://leetcode.com/problems/",Github!C$304), Github!B$304)</f>
        <v>Range Sum Query - Immutable</v>
      </c>
      <c r="C542" s="13">
        <f>Github!F$304</f>
        <v>2518</v>
      </c>
      <c r="D542" s="13">
        <f>Github!G$304</f>
        <v>1755</v>
      </c>
      <c r="E542" s="13">
        <f>Github!F$304+Github!G$304</f>
        <v>4273</v>
      </c>
      <c r="F542" s="15">
        <f t="shared" si="1"/>
        <v>1.43</v>
      </c>
      <c r="G542" s="13" t="str">
        <f>ROUND(Github!O$304, 2)&amp;"%"</f>
        <v>58.54%</v>
      </c>
      <c r="H542" s="13" t="str">
        <f>Github!H$304</f>
        <v>Algorithms</v>
      </c>
      <c r="I542" s="16" t="str">
        <f>SUBSTITUTE(Github!L$304, ";", ", ")</f>
        <v>Array, Design, Prefix Sum, </v>
      </c>
      <c r="J542" s="13" t="str">
        <f>Github!E$304</f>
        <v>Easy</v>
      </c>
      <c r="K542" s="13" t="str">
        <f>IF(TRIM(Github!D$304)="TRUE","FALSE","TRUE")</f>
        <v>TRUE</v>
      </c>
      <c r="L542" s="13" t="b">
        <f>Github!M$304</f>
        <v>1</v>
      </c>
      <c r="M542" s="13" t="b">
        <f>Github!N$304</f>
        <v>1</v>
      </c>
      <c r="N542" s="13">
        <f>Github!P$304</f>
        <v>408878</v>
      </c>
      <c r="O542" s="13">
        <f>Github!Q$304</f>
        <v>698415</v>
      </c>
    </row>
    <row r="543">
      <c r="A543" s="13">
        <f>Github!J$1138</f>
        <v>1137</v>
      </c>
      <c r="B543" s="14" t="str">
        <f>HYPERLINK(CONCAT("http://leetcode.com/problems/",Github!C$1138), Github!B$1138)</f>
        <v>N-th Tribonacci Number</v>
      </c>
      <c r="C543" s="13">
        <f>Github!F$1138</f>
        <v>2523</v>
      </c>
      <c r="D543" s="13">
        <f>Github!G$1138</f>
        <v>134</v>
      </c>
      <c r="E543" s="13">
        <f>Github!F$1138+Github!G$1138</f>
        <v>2657</v>
      </c>
      <c r="F543" s="15">
        <f t="shared" si="1"/>
        <v>18.83</v>
      </c>
      <c r="G543" s="13" t="str">
        <f>ROUND(Github!O$1138, 2)&amp;"%"</f>
        <v>63.26%</v>
      </c>
      <c r="H543" s="13" t="str">
        <f>Github!H$1138</f>
        <v>Algorithms</v>
      </c>
      <c r="I543" s="16" t="str">
        <f>SUBSTITUTE(Github!L$1138, ";", ", ")</f>
        <v>Math, Dynamic Programming, Memoization, </v>
      </c>
      <c r="J543" s="13" t="str">
        <f>Github!E$1138</f>
        <v>Easy</v>
      </c>
      <c r="K543" s="13" t="str">
        <f>IF(TRIM(Github!D$1138)="TRUE","FALSE","TRUE")</f>
        <v>TRUE</v>
      </c>
      <c r="L543" s="13" t="b">
        <f>Github!M$1138</f>
        <v>1</v>
      </c>
      <c r="M543" s="13" t="b">
        <f>Github!N$1138</f>
        <v>0</v>
      </c>
      <c r="N543" s="13">
        <f>Github!P$1138</f>
        <v>375859</v>
      </c>
      <c r="O543" s="13">
        <f>Github!Q$1138</f>
        <v>594146</v>
      </c>
    </row>
    <row r="544">
      <c r="A544" s="13">
        <f>Github!J$1466</f>
        <v>1465</v>
      </c>
      <c r="B544" s="14" t="str">
        <f>HYPERLINK(CONCAT("http://leetcode.com/problems/",Github!C$1466), Github!B$1466)</f>
        <v>Maximum Area of a Piece of Cake After Horizontal and Vertical Cuts</v>
      </c>
      <c r="C544" s="13">
        <f>Github!F$1466</f>
        <v>2490</v>
      </c>
      <c r="D544" s="13">
        <f>Github!G$1466</f>
        <v>340</v>
      </c>
      <c r="E544" s="13">
        <f>Github!F$1466+Github!G$1466</f>
        <v>2830</v>
      </c>
      <c r="F544" s="15">
        <f t="shared" si="1"/>
        <v>7.32</v>
      </c>
      <c r="G544" s="13" t="str">
        <f>ROUND(Github!O$1466, 2)&amp;"%"</f>
        <v>40.86%</v>
      </c>
      <c r="H544" s="13" t="str">
        <f>Github!H$1466</f>
        <v>Algorithms</v>
      </c>
      <c r="I544" s="16" t="str">
        <f>SUBSTITUTE(Github!L$1466, ";", ", ")</f>
        <v>Array, Greedy, Sorting, </v>
      </c>
      <c r="J544" s="13" t="str">
        <f>Github!E$1466</f>
        <v>Medium</v>
      </c>
      <c r="K544" s="13" t="str">
        <f>IF(TRIM(Github!D$1466)="TRUE","FALSE","TRUE")</f>
        <v>TRUE</v>
      </c>
      <c r="L544" s="13" t="b">
        <f>Github!M$1466</f>
        <v>1</v>
      </c>
      <c r="M544" s="13" t="b">
        <f>Github!N$1466</f>
        <v>0</v>
      </c>
      <c r="N544" s="13">
        <f>Github!P$1466</f>
        <v>158124</v>
      </c>
      <c r="O544" s="13">
        <f>Github!Q$1466</f>
        <v>386983</v>
      </c>
    </row>
    <row r="545">
      <c r="A545" s="13">
        <f>Github!J$706</f>
        <v>705</v>
      </c>
      <c r="B545" s="14" t="str">
        <f>HYPERLINK(CONCAT("http://leetcode.com/problems/",Github!C$706), Github!B$706)</f>
        <v>Design HashSet</v>
      </c>
      <c r="C545" s="13">
        <f>Github!F$706</f>
        <v>2507</v>
      </c>
      <c r="D545" s="13">
        <f>Github!G$706</f>
        <v>233</v>
      </c>
      <c r="E545" s="13">
        <f>Github!F$706+Github!G$706</f>
        <v>2740</v>
      </c>
      <c r="F545" s="15">
        <f t="shared" si="1"/>
        <v>10.76</v>
      </c>
      <c r="G545" s="13" t="str">
        <f>ROUND(Github!O$706, 2)&amp;"%"</f>
        <v>65.8%</v>
      </c>
      <c r="H545" s="13" t="str">
        <f>Github!H$706</f>
        <v>Algorithms</v>
      </c>
      <c r="I545" s="16" t="str">
        <f>SUBSTITUTE(Github!L$706, ";", ", ")</f>
        <v>Array, Hash Table, Linked List, Design, Hash Function, </v>
      </c>
      <c r="J545" s="13" t="str">
        <f>Github!E$706</f>
        <v>Easy</v>
      </c>
      <c r="K545" s="13" t="str">
        <f>IF(TRIM(Github!D$706)="TRUE","FALSE","TRUE")</f>
        <v>TRUE</v>
      </c>
      <c r="L545" s="13" t="b">
        <f>Github!M$706</f>
        <v>1</v>
      </c>
      <c r="M545" s="13" t="b">
        <f>Github!N$706</f>
        <v>0</v>
      </c>
      <c r="N545" s="13">
        <f>Github!P$706</f>
        <v>269324</v>
      </c>
      <c r="O545" s="13">
        <f>Github!Q$706</f>
        <v>409280</v>
      </c>
    </row>
    <row r="546">
      <c r="A546" s="13">
        <f>Github!J$516</f>
        <v>515</v>
      </c>
      <c r="B546" s="14" t="str">
        <f>HYPERLINK(CONCAT("http://leetcode.com/problems/",Github!C$516), Github!B$516)</f>
        <v>Find Largest Value in Each Tree Row</v>
      </c>
      <c r="C546" s="13">
        <f>Github!F$516</f>
        <v>2483</v>
      </c>
      <c r="D546" s="13">
        <f>Github!G$516</f>
        <v>93</v>
      </c>
      <c r="E546" s="13">
        <f>Github!F$516+Github!G$516</f>
        <v>2576</v>
      </c>
      <c r="F546" s="15">
        <f t="shared" si="1"/>
        <v>26.7</v>
      </c>
      <c r="G546" s="13" t="str">
        <f>ROUND(Github!O$516, 2)&amp;"%"</f>
        <v>64.62%</v>
      </c>
      <c r="H546" s="13" t="str">
        <f>Github!H$516</f>
        <v>Algorithms</v>
      </c>
      <c r="I546" s="16" t="str">
        <f>SUBSTITUTE(Github!L$516, ";", ", ")</f>
        <v>Tree, Depth-First Search, Breadth-First Search, Binary Tree, </v>
      </c>
      <c r="J546" s="13" t="str">
        <f>Github!E$516</f>
        <v>Medium</v>
      </c>
      <c r="K546" s="13" t="str">
        <f>IF(TRIM(Github!D$516)="TRUE","FALSE","TRUE")</f>
        <v>TRUE</v>
      </c>
      <c r="L546" s="13" t="b">
        <f>Github!M$516</f>
        <v>0</v>
      </c>
      <c r="M546" s="13" t="b">
        <f>Github!N$516</f>
        <v>0</v>
      </c>
      <c r="N546" s="13">
        <f>Github!P$516</f>
        <v>217578</v>
      </c>
      <c r="O546" s="13">
        <f>Github!Q$516</f>
        <v>336729</v>
      </c>
    </row>
    <row r="547">
      <c r="A547" s="13">
        <f>Github!J$698</f>
        <v>697</v>
      </c>
      <c r="B547" s="14" t="str">
        <f>HYPERLINK(CONCAT("http://leetcode.com/problems/",Github!C$698), Github!B$698)</f>
        <v>Degree of an Array</v>
      </c>
      <c r="C547" s="13">
        <f>Github!F$698</f>
        <v>2489</v>
      </c>
      <c r="D547" s="13">
        <f>Github!G$698</f>
        <v>1473</v>
      </c>
      <c r="E547" s="13">
        <f>Github!F$698+Github!G$698</f>
        <v>3962</v>
      </c>
      <c r="F547" s="15">
        <f t="shared" si="1"/>
        <v>1.69</v>
      </c>
      <c r="G547" s="13" t="str">
        <f>ROUND(Github!O$698, 2)&amp;"%"</f>
        <v>55.89%</v>
      </c>
      <c r="H547" s="13" t="str">
        <f>Github!H$698</f>
        <v>Algorithms</v>
      </c>
      <c r="I547" s="16" t="str">
        <f>SUBSTITUTE(Github!L$698, ";", ", ")</f>
        <v>Array, Hash Table, </v>
      </c>
      <c r="J547" s="13" t="str">
        <f>Github!E$698</f>
        <v>Easy</v>
      </c>
      <c r="K547" s="13" t="str">
        <f>IF(TRIM(Github!D$698)="TRUE","FALSE","TRUE")</f>
        <v>TRUE</v>
      </c>
      <c r="L547" s="13" t="b">
        <f>Github!M$698</f>
        <v>1</v>
      </c>
      <c r="M547" s="13" t="b">
        <f>Github!N$698</f>
        <v>0</v>
      </c>
      <c r="N547" s="13">
        <f>Github!P$698</f>
        <v>172025</v>
      </c>
      <c r="O547" s="13">
        <f>Github!Q$698</f>
        <v>307802</v>
      </c>
    </row>
    <row r="548">
      <c r="A548" s="13">
        <f>Github!J$942</f>
        <v>941</v>
      </c>
      <c r="B548" s="14" t="str">
        <f>HYPERLINK(CONCAT("http://leetcode.com/problems/",Github!C$942), Github!B$942)</f>
        <v>Valid Mountain Array</v>
      </c>
      <c r="C548" s="13">
        <f>Github!F$942</f>
        <v>2475</v>
      </c>
      <c r="D548" s="13">
        <f>Github!G$942</f>
        <v>152</v>
      </c>
      <c r="E548" s="13">
        <f>Github!F$942+Github!G$942</f>
        <v>2627</v>
      </c>
      <c r="F548" s="15">
        <f t="shared" si="1"/>
        <v>16.28</v>
      </c>
      <c r="G548" s="13" t="str">
        <f>ROUND(Github!O$942, 2)&amp;"%"</f>
        <v>33.48%</v>
      </c>
      <c r="H548" s="13" t="str">
        <f>Github!H$942</f>
        <v>Algorithms</v>
      </c>
      <c r="I548" s="16" t="str">
        <f>SUBSTITUTE(Github!L$942, ";", ", ")</f>
        <v>Array, </v>
      </c>
      <c r="J548" s="13" t="str">
        <f>Github!E$942</f>
        <v>Easy</v>
      </c>
      <c r="K548" s="13" t="str">
        <f>IF(TRIM(Github!D$942)="TRUE","FALSE","TRUE")</f>
        <v>TRUE</v>
      </c>
      <c r="L548" s="13" t="b">
        <f>Github!M$942</f>
        <v>1</v>
      </c>
      <c r="M548" s="13" t="b">
        <f>Github!N$942</f>
        <v>0</v>
      </c>
      <c r="N548" s="13">
        <f>Github!P$942</f>
        <v>342290</v>
      </c>
      <c r="O548" s="13">
        <f>Github!Q$942</f>
        <v>1022354</v>
      </c>
    </row>
    <row r="549">
      <c r="A549" s="13">
        <f>Github!J$1377</f>
        <v>1376</v>
      </c>
      <c r="B549" s="14" t="str">
        <f>HYPERLINK(CONCAT("http://leetcode.com/problems/",Github!C$1377), Github!B$1377)</f>
        <v>Time Needed to Inform All Employees</v>
      </c>
      <c r="C549" s="13">
        <f>Github!F$1377</f>
        <v>2476</v>
      </c>
      <c r="D549" s="13">
        <f>Github!G$1377</f>
        <v>158</v>
      </c>
      <c r="E549" s="13">
        <f>Github!F$1377+Github!G$1377</f>
        <v>2634</v>
      </c>
      <c r="F549" s="15">
        <f t="shared" si="1"/>
        <v>15.67</v>
      </c>
      <c r="G549" s="13" t="str">
        <f>ROUND(Github!O$1377, 2)&amp;"%"</f>
        <v>58.42%</v>
      </c>
      <c r="H549" s="13" t="str">
        <f>Github!H$1377</f>
        <v>Algorithms</v>
      </c>
      <c r="I549" s="16" t="str">
        <f>SUBSTITUTE(Github!L$1377, ";", ", ")</f>
        <v>Tree, Depth-First Search, Breadth-First Search, </v>
      </c>
      <c r="J549" s="13" t="str">
        <f>Github!E$1377</f>
        <v>Medium</v>
      </c>
      <c r="K549" s="13" t="str">
        <f>IF(TRIM(Github!D$1377)="TRUE","FALSE","TRUE")</f>
        <v>TRUE</v>
      </c>
      <c r="L549" s="13" t="b">
        <f>Github!M$1377</f>
        <v>0</v>
      </c>
      <c r="M549" s="13" t="b">
        <f>Github!N$1377</f>
        <v>0</v>
      </c>
      <c r="N549" s="13">
        <f>Github!P$1377</f>
        <v>122934</v>
      </c>
      <c r="O549" s="13">
        <f>Github!Q$1377</f>
        <v>210425</v>
      </c>
    </row>
    <row r="550">
      <c r="A550" s="13">
        <f>Github!J$745</f>
        <v>744</v>
      </c>
      <c r="B550" s="14" t="str">
        <f>HYPERLINK(CONCAT("http://leetcode.com/problems/",Github!C$745), Github!B$745)</f>
        <v>Find Smallest Letter Greater Than Target</v>
      </c>
      <c r="C550" s="13">
        <f>Github!F$745</f>
        <v>2496</v>
      </c>
      <c r="D550" s="13">
        <f>Github!G$745</f>
        <v>1935</v>
      </c>
      <c r="E550" s="13">
        <f>Github!F$745+Github!G$745</f>
        <v>4431</v>
      </c>
      <c r="F550" s="15">
        <f t="shared" si="1"/>
        <v>1.29</v>
      </c>
      <c r="G550" s="13" t="str">
        <f>ROUND(Github!O$745, 2)&amp;"%"</f>
        <v>45.02%</v>
      </c>
      <c r="H550" s="13" t="str">
        <f>Github!H$745</f>
        <v>Algorithms</v>
      </c>
      <c r="I550" s="16" t="str">
        <f>SUBSTITUTE(Github!L$745, ";", ", ")</f>
        <v>Array, Binary Search, </v>
      </c>
      <c r="J550" s="13" t="str">
        <f>Github!E$745</f>
        <v>Easy</v>
      </c>
      <c r="K550" s="13" t="str">
        <f>IF(TRIM(Github!D$745)="TRUE","FALSE","TRUE")</f>
        <v>TRUE</v>
      </c>
      <c r="L550" s="13" t="b">
        <f>Github!M$745</f>
        <v>1</v>
      </c>
      <c r="M550" s="13" t="b">
        <f>Github!N$745</f>
        <v>0</v>
      </c>
      <c r="N550" s="13">
        <f>Github!P$745</f>
        <v>264893</v>
      </c>
      <c r="O550" s="13">
        <f>Github!Q$745</f>
        <v>588427</v>
      </c>
    </row>
    <row r="551">
      <c r="A551" s="13">
        <f>Github!J$720</f>
        <v>719</v>
      </c>
      <c r="B551" s="14" t="str">
        <f>HYPERLINK(CONCAT("http://leetcode.com/problems/",Github!C$720), Github!B$720)</f>
        <v>Find K-th Smallest Pair Distance</v>
      </c>
      <c r="C551" s="13">
        <f>Github!F$720</f>
        <v>2462</v>
      </c>
      <c r="D551" s="13">
        <f>Github!G$720</f>
        <v>76</v>
      </c>
      <c r="E551" s="13">
        <f>Github!F$720+Github!G$720</f>
        <v>2538</v>
      </c>
      <c r="F551" s="15">
        <f t="shared" si="1"/>
        <v>32.39</v>
      </c>
      <c r="G551" s="13" t="str">
        <f>ROUND(Github!O$720, 2)&amp;"%"</f>
        <v>36.51%</v>
      </c>
      <c r="H551" s="13" t="str">
        <f>Github!H$720</f>
        <v>Algorithms</v>
      </c>
      <c r="I551" s="16" t="str">
        <f>SUBSTITUTE(Github!L$720, ";", ", ")</f>
        <v>Array, Two Pointers, Binary Search, Sorting, </v>
      </c>
      <c r="J551" s="13" t="str">
        <f>Github!E$720</f>
        <v>Hard</v>
      </c>
      <c r="K551" s="13" t="str">
        <f>IF(TRIM(Github!D$720)="TRUE","FALSE","TRUE")</f>
        <v>TRUE</v>
      </c>
      <c r="L551" s="13" t="b">
        <f>Github!M$720</f>
        <v>1</v>
      </c>
      <c r="M551" s="13" t="b">
        <f>Github!N$720</f>
        <v>0</v>
      </c>
      <c r="N551" s="13">
        <f>Github!P$720</f>
        <v>71735</v>
      </c>
      <c r="O551" s="13">
        <f>Github!Q$720</f>
        <v>196489</v>
      </c>
    </row>
    <row r="552">
      <c r="A552" s="13">
        <f>Github!J$992</f>
        <v>991</v>
      </c>
      <c r="B552" s="14" t="str">
        <f>HYPERLINK(CONCAT("http://leetcode.com/problems/",Github!C$992), Github!B$992)</f>
        <v>Broken Calculator</v>
      </c>
      <c r="C552" s="13">
        <f>Github!F$992</f>
        <v>2445</v>
      </c>
      <c r="D552" s="13">
        <f>Github!G$992</f>
        <v>198</v>
      </c>
      <c r="E552" s="13">
        <f>Github!F$992+Github!G$992</f>
        <v>2643</v>
      </c>
      <c r="F552" s="15">
        <f t="shared" si="1"/>
        <v>12.35</v>
      </c>
      <c r="G552" s="13" t="str">
        <f>ROUND(Github!O$992, 2)&amp;"%"</f>
        <v>54.06%</v>
      </c>
      <c r="H552" s="13" t="str">
        <f>Github!H$992</f>
        <v>Algorithms</v>
      </c>
      <c r="I552" s="16" t="str">
        <f>SUBSTITUTE(Github!L$992, ";", ", ")</f>
        <v>Math, Greedy, </v>
      </c>
      <c r="J552" s="13" t="str">
        <f>Github!E$992</f>
        <v>Medium</v>
      </c>
      <c r="K552" s="13" t="str">
        <f>IF(TRIM(Github!D$992)="TRUE","FALSE","TRUE")</f>
        <v>TRUE</v>
      </c>
      <c r="L552" s="13" t="b">
        <f>Github!M$992</f>
        <v>1</v>
      </c>
      <c r="M552" s="13" t="b">
        <f>Github!N$992</f>
        <v>0</v>
      </c>
      <c r="N552" s="13">
        <f>Github!P$992</f>
        <v>91717</v>
      </c>
      <c r="O552" s="13">
        <f>Github!Q$992</f>
        <v>169654</v>
      </c>
    </row>
    <row r="553">
      <c r="A553" s="13">
        <f>Github!J$1336</f>
        <v>1335</v>
      </c>
      <c r="B553" s="14" t="str">
        <f>HYPERLINK(CONCAT("http://leetcode.com/problems/",Github!C$1336), Github!B$1336)</f>
        <v>Minimum Difficulty of a Job Schedule</v>
      </c>
      <c r="C553" s="13">
        <f>Github!F$1336</f>
        <v>2437</v>
      </c>
      <c r="D553" s="13">
        <f>Github!G$1336</f>
        <v>225</v>
      </c>
      <c r="E553" s="13">
        <f>Github!F$1336+Github!G$1336</f>
        <v>2662</v>
      </c>
      <c r="F553" s="15">
        <f t="shared" si="1"/>
        <v>10.83</v>
      </c>
      <c r="G553" s="13" t="str">
        <f>ROUND(Github!O$1336, 2)&amp;"%"</f>
        <v>58.66%</v>
      </c>
      <c r="H553" s="13" t="str">
        <f>Github!H$1336</f>
        <v>Algorithms</v>
      </c>
      <c r="I553" s="16" t="str">
        <f>SUBSTITUTE(Github!L$1336, ";", ", ")</f>
        <v>Array, Dynamic Programming, </v>
      </c>
      <c r="J553" s="13" t="str">
        <f>Github!E$1336</f>
        <v>Hard</v>
      </c>
      <c r="K553" s="13" t="str">
        <f>IF(TRIM(Github!D$1336)="TRUE","FALSE","TRUE")</f>
        <v>TRUE</v>
      </c>
      <c r="L553" s="13" t="b">
        <f>Github!M$1336</f>
        <v>1</v>
      </c>
      <c r="M553" s="13" t="b">
        <f>Github!N$1336</f>
        <v>0</v>
      </c>
      <c r="N553" s="13">
        <f>Github!P$1336</f>
        <v>116604</v>
      </c>
      <c r="O553" s="13">
        <f>Github!Q$1336</f>
        <v>198796</v>
      </c>
    </row>
    <row r="554">
      <c r="A554" s="13">
        <f>Github!J$1221</f>
        <v>1220</v>
      </c>
      <c r="B554" s="14" t="str">
        <f>HYPERLINK(CONCAT("http://leetcode.com/problems/",Github!C$1221), Github!B$1221)</f>
        <v>Count Vowels Permutation</v>
      </c>
      <c r="C554" s="13">
        <f>Github!F$1221</f>
        <v>2443</v>
      </c>
      <c r="D554" s="13">
        <f>Github!G$1221</f>
        <v>163</v>
      </c>
      <c r="E554" s="13">
        <f>Github!F$1221+Github!G$1221</f>
        <v>2606</v>
      </c>
      <c r="F554" s="15">
        <f t="shared" si="1"/>
        <v>14.99</v>
      </c>
      <c r="G554" s="13" t="str">
        <f>ROUND(Github!O$1221, 2)&amp;"%"</f>
        <v>60.45%</v>
      </c>
      <c r="H554" s="13" t="str">
        <f>Github!H$1221</f>
        <v>Algorithms</v>
      </c>
      <c r="I554" s="16" t="str">
        <f>SUBSTITUTE(Github!L$1221, ";", ", ")</f>
        <v>Dynamic Programming, </v>
      </c>
      <c r="J554" s="13" t="str">
        <f>Github!E$1221</f>
        <v>Hard</v>
      </c>
      <c r="K554" s="13" t="str">
        <f>IF(TRIM(Github!D$1221)="TRUE","FALSE","TRUE")</f>
        <v>TRUE</v>
      </c>
      <c r="L554" s="13" t="b">
        <f>Github!M$1221</f>
        <v>1</v>
      </c>
      <c r="M554" s="13" t="b">
        <f>Github!N$1221</f>
        <v>0</v>
      </c>
      <c r="N554" s="13">
        <f>Github!P$1221</f>
        <v>100831</v>
      </c>
      <c r="O554" s="13">
        <f>Github!Q$1221</f>
        <v>166791</v>
      </c>
    </row>
    <row r="555">
      <c r="A555" s="13">
        <f>Github!J$824</f>
        <v>823</v>
      </c>
      <c r="B555" s="14" t="str">
        <f>HYPERLINK(CONCAT("http://leetcode.com/problems/",Github!C$824), Github!B$824)</f>
        <v>Binary Trees With Factors</v>
      </c>
      <c r="C555" s="13">
        <f>Github!F$824</f>
        <v>2439</v>
      </c>
      <c r="D555" s="13">
        <f>Github!G$824</f>
        <v>176</v>
      </c>
      <c r="E555" s="13">
        <f>Github!F$824+Github!G$824</f>
        <v>2615</v>
      </c>
      <c r="F555" s="15">
        <f t="shared" si="1"/>
        <v>13.86</v>
      </c>
      <c r="G555" s="13" t="str">
        <f>ROUND(Github!O$824, 2)&amp;"%"</f>
        <v>49.85%</v>
      </c>
      <c r="H555" s="13" t="str">
        <f>Github!H$824</f>
        <v>Algorithms</v>
      </c>
      <c r="I555" s="16" t="str">
        <f>SUBSTITUTE(Github!L$824, ";", ", ")</f>
        <v>Array, Hash Table, Dynamic Programming, </v>
      </c>
      <c r="J555" s="13" t="str">
        <f>Github!E$824</f>
        <v>Medium</v>
      </c>
      <c r="K555" s="13" t="str">
        <f>IF(TRIM(Github!D$824)="TRUE","FALSE","TRUE")</f>
        <v>TRUE</v>
      </c>
      <c r="L555" s="13" t="b">
        <f>Github!M$824</f>
        <v>1</v>
      </c>
      <c r="M555" s="13" t="b">
        <f>Github!N$824</f>
        <v>0</v>
      </c>
      <c r="N555" s="13">
        <f>Github!P$824</f>
        <v>88078</v>
      </c>
      <c r="O555" s="13">
        <f>Github!Q$824</f>
        <v>176702</v>
      </c>
    </row>
    <row r="556">
      <c r="A556" s="13">
        <f>Github!J$607</f>
        <v>606</v>
      </c>
      <c r="B556" s="14" t="str">
        <f>HYPERLINK(CONCAT("http://leetcode.com/problems/",Github!C$607), Github!B$607)</f>
        <v>Construct String from Binary Tree</v>
      </c>
      <c r="C556" s="13">
        <f>Github!F$607</f>
        <v>2444</v>
      </c>
      <c r="D556" s="13">
        <f>Github!G$607</f>
        <v>2949</v>
      </c>
      <c r="E556" s="13">
        <f>Github!F$607+Github!G$607</f>
        <v>5393</v>
      </c>
      <c r="F556" s="15">
        <f t="shared" si="1"/>
        <v>0.83</v>
      </c>
      <c r="G556" s="13" t="str">
        <f>ROUND(Github!O$607, 2)&amp;"%"</f>
        <v>63.72%</v>
      </c>
      <c r="H556" s="13" t="str">
        <f>Github!H$607</f>
        <v>Algorithms</v>
      </c>
      <c r="I556" s="16" t="str">
        <f>SUBSTITUTE(Github!L$607, ";", ", ")</f>
        <v>String, Tree, Depth-First Search, Binary Tree, </v>
      </c>
      <c r="J556" s="13" t="str">
        <f>Github!E$607</f>
        <v>Easy</v>
      </c>
      <c r="K556" s="13" t="str">
        <f>IF(TRIM(Github!D$607)="TRUE","FALSE","TRUE")</f>
        <v>TRUE</v>
      </c>
      <c r="L556" s="13" t="b">
        <f>Github!M$607</f>
        <v>1</v>
      </c>
      <c r="M556" s="13" t="b">
        <f>Github!N$607</f>
        <v>0</v>
      </c>
      <c r="N556" s="13">
        <f>Github!P$607</f>
        <v>208660</v>
      </c>
      <c r="O556" s="13">
        <f>Github!Q$607</f>
        <v>327453</v>
      </c>
    </row>
    <row r="557">
      <c r="A557" s="13">
        <f>Github!J$148</f>
        <v>147</v>
      </c>
      <c r="B557" s="14" t="str">
        <f>HYPERLINK(CONCAT("http://leetcode.com/problems/",Github!C$148), Github!B$148)</f>
        <v>Insertion Sort List</v>
      </c>
      <c r="C557" s="13">
        <f>Github!F$148</f>
        <v>2444</v>
      </c>
      <c r="D557" s="13">
        <f>Github!G$148</f>
        <v>823</v>
      </c>
      <c r="E557" s="13">
        <f>Github!F$148+Github!G$148</f>
        <v>3267</v>
      </c>
      <c r="F557" s="15">
        <f t="shared" si="1"/>
        <v>2.97</v>
      </c>
      <c r="G557" s="13" t="str">
        <f>ROUND(Github!O$148, 2)&amp;"%"</f>
        <v>50.47%</v>
      </c>
      <c r="H557" s="13" t="str">
        <f>Github!H$148</f>
        <v>Algorithms</v>
      </c>
      <c r="I557" s="16" t="str">
        <f>SUBSTITUTE(Github!L$148, ";", ", ")</f>
        <v>Linked List, Sorting, </v>
      </c>
      <c r="J557" s="13" t="str">
        <f>Github!E$148</f>
        <v>Medium</v>
      </c>
      <c r="K557" s="13" t="str">
        <f>IF(TRIM(Github!D$148)="TRUE","FALSE","TRUE")</f>
        <v>TRUE</v>
      </c>
      <c r="L557" s="13" t="b">
        <f>Github!M$148</f>
        <v>1</v>
      </c>
      <c r="M557" s="13" t="b">
        <f>Github!N$148</f>
        <v>1</v>
      </c>
      <c r="N557" s="13">
        <f>Github!P$148</f>
        <v>310133</v>
      </c>
      <c r="O557" s="13">
        <f>Github!Q$148</f>
        <v>614524</v>
      </c>
    </row>
    <row r="558">
      <c r="A558" s="13">
        <f>Github!J$797</f>
        <v>796</v>
      </c>
      <c r="B558" s="14" t="str">
        <f>HYPERLINK(CONCAT("http://leetcode.com/problems/",Github!C$797), Github!B$797)</f>
        <v>Rotate String</v>
      </c>
      <c r="C558" s="13">
        <f>Github!F$797</f>
        <v>2452</v>
      </c>
      <c r="D558" s="13">
        <f>Github!G$797</f>
        <v>101</v>
      </c>
      <c r="E558" s="13">
        <f>Github!F$797+Github!G$797</f>
        <v>2553</v>
      </c>
      <c r="F558" s="15">
        <f t="shared" si="1"/>
        <v>24.28</v>
      </c>
      <c r="G558" s="13" t="str">
        <f>ROUND(Github!O$797, 2)&amp;"%"</f>
        <v>54.47%</v>
      </c>
      <c r="H558" s="13" t="str">
        <f>Github!H$797</f>
        <v>Algorithms</v>
      </c>
      <c r="I558" s="16" t="str">
        <f>SUBSTITUTE(Github!L$797, ";", ", ")</f>
        <v>String, String Matching, </v>
      </c>
      <c r="J558" s="13" t="str">
        <f>Github!E$797</f>
        <v>Easy</v>
      </c>
      <c r="K558" s="13" t="str">
        <f>IF(TRIM(Github!D$797)="TRUE","FALSE","TRUE")</f>
        <v>TRUE</v>
      </c>
      <c r="L558" s="13" t="b">
        <f>Github!M$797</f>
        <v>1</v>
      </c>
      <c r="M558" s="13" t="b">
        <f>Github!N$797</f>
        <v>0</v>
      </c>
      <c r="N558" s="13">
        <f>Github!P$797</f>
        <v>185988</v>
      </c>
      <c r="O558" s="13">
        <f>Github!Q$797</f>
        <v>341456</v>
      </c>
    </row>
    <row r="559">
      <c r="A559" s="13">
        <f>Github!J$924</f>
        <v>923</v>
      </c>
      <c r="B559" s="14" t="str">
        <f>HYPERLINK(CONCAT("http://leetcode.com/problems/",Github!C$924), Github!B$924)</f>
        <v>3Sum With Multiplicity</v>
      </c>
      <c r="C559" s="13">
        <f>Github!F$924</f>
        <v>2421</v>
      </c>
      <c r="D559" s="13">
        <f>Github!G$924</f>
        <v>288</v>
      </c>
      <c r="E559" s="13">
        <f>Github!F$924+Github!G$924</f>
        <v>2709</v>
      </c>
      <c r="F559" s="15">
        <f t="shared" si="1"/>
        <v>8.41</v>
      </c>
      <c r="G559" s="13" t="str">
        <f>ROUND(Github!O$924, 2)&amp;"%"</f>
        <v>45.38%</v>
      </c>
      <c r="H559" s="13" t="str">
        <f>Github!H$924</f>
        <v>Algorithms</v>
      </c>
      <c r="I559" s="16" t="str">
        <f>SUBSTITUTE(Github!L$924, ";", ", ")</f>
        <v>Array, Hash Table, Two Pointers, Sorting, Counting, </v>
      </c>
      <c r="J559" s="13" t="str">
        <f>Github!E$924</f>
        <v>Medium</v>
      </c>
      <c r="K559" s="13" t="str">
        <f>IF(TRIM(Github!D$924)="TRUE","FALSE","TRUE")</f>
        <v>TRUE</v>
      </c>
      <c r="L559" s="13" t="b">
        <f>Github!M$924</f>
        <v>1</v>
      </c>
      <c r="M559" s="13" t="b">
        <f>Github!N$924</f>
        <v>0</v>
      </c>
      <c r="N559" s="13">
        <f>Github!P$924</f>
        <v>94352</v>
      </c>
      <c r="O559" s="13">
        <f>Github!Q$924</f>
        <v>207922</v>
      </c>
    </row>
    <row r="560">
      <c r="A560" s="13">
        <f>Github!J$1696</f>
        <v>1695</v>
      </c>
      <c r="B560" s="14" t="str">
        <f>HYPERLINK(CONCAT("http://leetcode.com/problems/",Github!C$1696), Github!B$1696)</f>
        <v>Maximum Erasure Value</v>
      </c>
      <c r="C560" s="13">
        <f>Github!F$1696</f>
        <v>2421</v>
      </c>
      <c r="D560" s="13">
        <f>Github!G$1696</f>
        <v>42</v>
      </c>
      <c r="E560" s="13">
        <f>Github!F$1696+Github!G$1696</f>
        <v>2463</v>
      </c>
      <c r="F560" s="15">
        <f t="shared" si="1"/>
        <v>57.64</v>
      </c>
      <c r="G560" s="13" t="str">
        <f>ROUND(Github!O$1696, 2)&amp;"%"</f>
        <v>57.62%</v>
      </c>
      <c r="H560" s="13" t="str">
        <f>Github!H$1696</f>
        <v>Algorithms</v>
      </c>
      <c r="I560" s="16" t="str">
        <f>SUBSTITUTE(Github!L$1696, ";", ", ")</f>
        <v>Array, Hash Table, Sliding Window, </v>
      </c>
      <c r="J560" s="13" t="str">
        <f>Github!E$1696</f>
        <v>Medium</v>
      </c>
      <c r="K560" s="13" t="str">
        <f>IF(TRIM(Github!D$1696)="TRUE","FALSE","TRUE")</f>
        <v>TRUE</v>
      </c>
      <c r="L560" s="13" t="b">
        <f>Github!M$1696</f>
        <v>1</v>
      </c>
      <c r="M560" s="13" t="b">
        <f>Github!N$1696</f>
        <v>0</v>
      </c>
      <c r="N560" s="13">
        <f>Github!P$1696</f>
        <v>105257</v>
      </c>
      <c r="O560" s="13">
        <f>Github!Q$1696</f>
        <v>182680</v>
      </c>
    </row>
    <row r="561">
      <c r="A561" s="13">
        <f>Github!J$1249</f>
        <v>1248</v>
      </c>
      <c r="B561" s="14" t="str">
        <f>HYPERLINK(CONCAT("http://leetcode.com/problems/",Github!C$1249), Github!B$1249)</f>
        <v>Count Number of Nice Subarrays</v>
      </c>
      <c r="C561" s="13">
        <f>Github!F$1249</f>
        <v>2437</v>
      </c>
      <c r="D561" s="13">
        <f>Github!G$1249</f>
        <v>53</v>
      </c>
      <c r="E561" s="13">
        <f>Github!F$1249+Github!G$1249</f>
        <v>2490</v>
      </c>
      <c r="F561" s="15">
        <f t="shared" si="1"/>
        <v>45.98</v>
      </c>
      <c r="G561" s="13" t="str">
        <f>ROUND(Github!O$1249, 2)&amp;"%"</f>
        <v>59.93%</v>
      </c>
      <c r="H561" s="13" t="str">
        <f>Github!H$1249</f>
        <v>Algorithms</v>
      </c>
      <c r="I561" s="16" t="str">
        <f>SUBSTITUTE(Github!L$1249, ";", ", ")</f>
        <v>Array, Hash Table, Math, Sliding Window, </v>
      </c>
      <c r="J561" s="13" t="str">
        <f>Github!E$1249</f>
        <v>Medium</v>
      </c>
      <c r="K561" s="13" t="str">
        <f>IF(TRIM(Github!D$1249)="TRUE","FALSE","TRUE")</f>
        <v>TRUE</v>
      </c>
      <c r="L561" s="13" t="b">
        <f>Github!M$1249</f>
        <v>0</v>
      </c>
      <c r="M561" s="13" t="b">
        <f>Github!N$1249</f>
        <v>0</v>
      </c>
      <c r="N561" s="13">
        <f>Github!P$1249</f>
        <v>71216</v>
      </c>
      <c r="O561" s="13">
        <f>Github!Q$1249</f>
        <v>118837</v>
      </c>
    </row>
    <row r="562">
      <c r="A562" s="13">
        <f>Github!J$878</f>
        <v>877</v>
      </c>
      <c r="B562" s="14" t="str">
        <f>HYPERLINK(CONCAT("http://leetcode.com/problems/",Github!C$878), Github!B$878)</f>
        <v>Stone Game</v>
      </c>
      <c r="C562" s="13">
        <f>Github!F$878</f>
        <v>2425</v>
      </c>
      <c r="D562" s="13">
        <f>Github!G$878</f>
        <v>2347</v>
      </c>
      <c r="E562" s="13">
        <f>Github!F$878+Github!G$878</f>
        <v>4772</v>
      </c>
      <c r="F562" s="15">
        <f t="shared" si="1"/>
        <v>1.03</v>
      </c>
      <c r="G562" s="13" t="str">
        <f>ROUND(Github!O$878, 2)&amp;"%"</f>
        <v>69.72%</v>
      </c>
      <c r="H562" s="13" t="str">
        <f>Github!H$878</f>
        <v>Algorithms</v>
      </c>
      <c r="I562" s="16" t="str">
        <f>SUBSTITUTE(Github!L$878, ";", ", ")</f>
        <v>Array, Math, Dynamic Programming, Game Theory, </v>
      </c>
      <c r="J562" s="13" t="str">
        <f>Github!E$878</f>
        <v>Medium</v>
      </c>
      <c r="K562" s="13" t="str">
        <f>IF(TRIM(Github!D$878)="TRUE","FALSE","TRUE")</f>
        <v>TRUE</v>
      </c>
      <c r="L562" s="13" t="b">
        <f>Github!M$878</f>
        <v>1</v>
      </c>
      <c r="M562" s="13" t="b">
        <f>Github!N$878</f>
        <v>0</v>
      </c>
      <c r="N562" s="13">
        <f>Github!P$878</f>
        <v>176698</v>
      </c>
      <c r="O562" s="13">
        <f>Github!Q$878</f>
        <v>253449</v>
      </c>
    </row>
    <row r="563">
      <c r="A563" s="13">
        <f>Github!J$173</f>
        <v>172</v>
      </c>
      <c r="B563" s="14" t="str">
        <f>HYPERLINK(CONCAT("http://leetcode.com/problems/",Github!C$173), Github!B$173)</f>
        <v>Factorial Trailing Zeroes</v>
      </c>
      <c r="C563" s="13">
        <f>Github!F$173</f>
        <v>2412</v>
      </c>
      <c r="D563" s="13">
        <f>Github!G$173</f>
        <v>1786</v>
      </c>
      <c r="E563" s="13">
        <f>Github!F$173+Github!G$173</f>
        <v>4198</v>
      </c>
      <c r="F563" s="15">
        <f t="shared" si="1"/>
        <v>1.35</v>
      </c>
      <c r="G563" s="13" t="str">
        <f>ROUND(Github!O$173, 2)&amp;"%"</f>
        <v>41.87%</v>
      </c>
      <c r="H563" s="13" t="str">
        <f>Github!H$173</f>
        <v>Algorithms</v>
      </c>
      <c r="I563" s="16" t="str">
        <f>SUBSTITUTE(Github!L$173, ";", ", ")</f>
        <v>Math, </v>
      </c>
      <c r="J563" s="13" t="str">
        <f>Github!E$173</f>
        <v>Medium</v>
      </c>
      <c r="K563" s="13" t="str">
        <f>IF(TRIM(Github!D$173)="TRUE","FALSE","TRUE")</f>
        <v>TRUE</v>
      </c>
      <c r="L563" s="13" t="b">
        <f>Github!M$173</f>
        <v>1</v>
      </c>
      <c r="M563" s="13" t="b">
        <f>Github!N$173</f>
        <v>0</v>
      </c>
      <c r="N563" s="13">
        <f>Github!P$173</f>
        <v>349987</v>
      </c>
      <c r="O563" s="13">
        <f>Github!Q$173</f>
        <v>835812</v>
      </c>
    </row>
    <row r="564">
      <c r="A564" s="13">
        <f>Github!J$427</f>
        <v>426</v>
      </c>
      <c r="B564" s="14" t="str">
        <f>HYPERLINK(CONCAT("http://leetcode.com/problems/",Github!C$427), Github!B$427)</f>
        <v>Convert Binary Search Tree to Sorted Doubly Linked List</v>
      </c>
      <c r="C564" s="13">
        <f>Github!F$427</f>
        <v>2382</v>
      </c>
      <c r="D564" s="13">
        <f>Github!G$427</f>
        <v>184</v>
      </c>
      <c r="E564" s="13">
        <f>Github!F$427+Github!G$427</f>
        <v>2566</v>
      </c>
      <c r="F564" s="15">
        <f t="shared" si="1"/>
        <v>12.95</v>
      </c>
      <c r="G564" s="13" t="str">
        <f>ROUND(Github!O$427, 2)&amp;"%"</f>
        <v>64.65%</v>
      </c>
      <c r="H564" s="13" t="str">
        <f>Github!H$427</f>
        <v>Algorithms</v>
      </c>
      <c r="I564" s="16" t="str">
        <f>SUBSTITUTE(Github!L$427, ";", ", ")</f>
        <v>Linked List, Stack, Tree, Depth-First Search, Binary Search Tree, Binary Tree, Doubly-Linked List, </v>
      </c>
      <c r="J564" s="13" t="str">
        <f>Github!E$427</f>
        <v>Medium</v>
      </c>
      <c r="K564" s="13" t="str">
        <f>IF(TRIM(Github!D$427)="TRUE","FALSE","TRUE")</f>
        <v>FALSE</v>
      </c>
      <c r="L564" s="13" t="b">
        <f>Github!M$427</f>
        <v>1</v>
      </c>
      <c r="M564" s="13" t="b">
        <f>Github!N$427</f>
        <v>0</v>
      </c>
      <c r="N564" s="13">
        <f>Github!P$427</f>
        <v>231356</v>
      </c>
      <c r="O564" s="13">
        <f>Github!Q$427</f>
        <v>357878</v>
      </c>
    </row>
    <row r="565">
      <c r="A565" s="13">
        <f>Github!J$229</f>
        <v>228</v>
      </c>
      <c r="B565" s="14" t="str">
        <f>HYPERLINK(CONCAT("http://leetcode.com/problems/",Github!C$229), Github!B$229)</f>
        <v>Summary Ranges</v>
      </c>
      <c r="C565" s="13">
        <f>Github!F$229</f>
        <v>2401</v>
      </c>
      <c r="D565" s="13">
        <f>Github!G$229</f>
        <v>1303</v>
      </c>
      <c r="E565" s="13">
        <f>Github!F$229+Github!G$229</f>
        <v>3704</v>
      </c>
      <c r="F565" s="15">
        <f t="shared" si="1"/>
        <v>1.84</v>
      </c>
      <c r="G565" s="13" t="str">
        <f>ROUND(Github!O$229, 2)&amp;"%"</f>
        <v>46.96%</v>
      </c>
      <c r="H565" s="13" t="str">
        <f>Github!H$229</f>
        <v>Algorithms</v>
      </c>
      <c r="I565" s="16" t="str">
        <f>SUBSTITUTE(Github!L$229, ";", ", ")</f>
        <v>Array, </v>
      </c>
      <c r="J565" s="13" t="str">
        <f>Github!E$229</f>
        <v>Easy</v>
      </c>
      <c r="K565" s="13" t="str">
        <f>IF(TRIM(Github!D$229)="TRUE","FALSE","TRUE")</f>
        <v>TRUE</v>
      </c>
      <c r="L565" s="13" t="b">
        <f>Github!M$229</f>
        <v>1</v>
      </c>
      <c r="M565" s="13" t="b">
        <f>Github!N$229</f>
        <v>0</v>
      </c>
      <c r="N565" s="13">
        <f>Github!P$229</f>
        <v>327598</v>
      </c>
      <c r="O565" s="13">
        <f>Github!Q$229</f>
        <v>697578</v>
      </c>
    </row>
    <row r="566">
      <c r="A566" s="13">
        <f>Github!J$1163</f>
        <v>1162</v>
      </c>
      <c r="B566" s="14" t="str">
        <f>HYPERLINK(CONCAT("http://leetcode.com/problems/",Github!C$1163), Github!B$1163)</f>
        <v>As Far from Land as Possible</v>
      </c>
      <c r="C566" s="13">
        <f>Github!F$1163</f>
        <v>2397</v>
      </c>
      <c r="D566" s="13">
        <f>Github!G$1163</f>
        <v>69</v>
      </c>
      <c r="E566" s="13">
        <f>Github!F$1163+Github!G$1163</f>
        <v>2466</v>
      </c>
      <c r="F566" s="15">
        <f t="shared" si="1"/>
        <v>34.74</v>
      </c>
      <c r="G566" s="13" t="str">
        <f>ROUND(Github!O$1163, 2)&amp;"%"</f>
        <v>48.52%</v>
      </c>
      <c r="H566" s="13" t="str">
        <f>Github!H$1163</f>
        <v>Algorithms</v>
      </c>
      <c r="I566" s="16" t="str">
        <f>SUBSTITUTE(Github!L$1163, ";", ", ")</f>
        <v>Array, Dynamic Programming, Breadth-First Search, Matrix, </v>
      </c>
      <c r="J566" s="13" t="str">
        <f>Github!E$1163</f>
        <v>Medium</v>
      </c>
      <c r="K566" s="13" t="str">
        <f>IF(TRIM(Github!D$1163)="TRUE","FALSE","TRUE")</f>
        <v>TRUE</v>
      </c>
      <c r="L566" s="13" t="b">
        <f>Github!M$1163</f>
        <v>0</v>
      </c>
      <c r="M566" s="13" t="b">
        <f>Github!N$1163</f>
        <v>0</v>
      </c>
      <c r="N566" s="13">
        <f>Github!P$1163</f>
        <v>80905</v>
      </c>
      <c r="O566" s="13">
        <f>Github!Q$1163</f>
        <v>166759</v>
      </c>
    </row>
    <row r="567">
      <c r="A567" s="13">
        <f>Github!J$473</f>
        <v>472</v>
      </c>
      <c r="B567" s="14" t="str">
        <f>HYPERLINK(CONCAT("http://leetcode.com/problems/",Github!C$473), Github!B$473)</f>
        <v>Concatenated Words</v>
      </c>
      <c r="C567" s="13">
        <f>Github!F$473</f>
        <v>2379</v>
      </c>
      <c r="D567" s="13">
        <f>Github!G$473</f>
        <v>237</v>
      </c>
      <c r="E567" s="13">
        <f>Github!F$473+Github!G$473</f>
        <v>2616</v>
      </c>
      <c r="F567" s="15">
        <f t="shared" si="1"/>
        <v>10.04</v>
      </c>
      <c r="G567" s="13" t="str">
        <f>ROUND(Github!O$473, 2)&amp;"%"</f>
        <v>45.9%</v>
      </c>
      <c r="H567" s="13" t="str">
        <f>Github!H$473</f>
        <v>Algorithms</v>
      </c>
      <c r="I567" s="16" t="str">
        <f>SUBSTITUTE(Github!L$473, ";", ", ")</f>
        <v>Array, String, Dynamic Programming, Depth-First Search, Trie, </v>
      </c>
      <c r="J567" s="13" t="str">
        <f>Github!E$473</f>
        <v>Hard</v>
      </c>
      <c r="K567" s="13" t="str">
        <f>IF(TRIM(Github!D$473)="TRUE","FALSE","TRUE")</f>
        <v>TRUE</v>
      </c>
      <c r="L567" s="13" t="b">
        <f>Github!M$473</f>
        <v>1</v>
      </c>
      <c r="M567" s="13" t="b">
        <f>Github!N$473</f>
        <v>0</v>
      </c>
      <c r="N567" s="13">
        <f>Github!P$473</f>
        <v>158520</v>
      </c>
      <c r="O567" s="13">
        <f>Github!Q$473</f>
        <v>345360</v>
      </c>
    </row>
    <row r="568">
      <c r="A568" s="13">
        <f>Github!J$802</f>
        <v>801</v>
      </c>
      <c r="B568" s="14" t="str">
        <f>HYPERLINK(CONCAT("http://leetcode.com/problems/",Github!C$802), Github!B$802)</f>
        <v>Minimum Swaps To Make Sequences Increasing</v>
      </c>
      <c r="C568" s="13">
        <f>Github!F$802</f>
        <v>2369</v>
      </c>
      <c r="D568" s="13">
        <f>Github!G$802</f>
        <v>130</v>
      </c>
      <c r="E568" s="13">
        <f>Github!F$802+Github!G$802</f>
        <v>2499</v>
      </c>
      <c r="F568" s="15">
        <f t="shared" si="1"/>
        <v>18.22</v>
      </c>
      <c r="G568" s="13" t="str">
        <f>ROUND(Github!O$802, 2)&amp;"%"</f>
        <v>39.23%</v>
      </c>
      <c r="H568" s="13" t="str">
        <f>Github!H$802</f>
        <v>Algorithms</v>
      </c>
      <c r="I568" s="16" t="str">
        <f>SUBSTITUTE(Github!L$802, ";", ", ")</f>
        <v>Array, Dynamic Programming, </v>
      </c>
      <c r="J568" s="13" t="str">
        <f>Github!E$802</f>
        <v>Hard</v>
      </c>
      <c r="K568" s="13" t="str">
        <f>IF(TRIM(Github!D$802)="TRUE","FALSE","TRUE")</f>
        <v>TRUE</v>
      </c>
      <c r="L568" s="13" t="b">
        <f>Github!M$802</f>
        <v>0</v>
      </c>
      <c r="M568" s="13" t="b">
        <f>Github!N$802</f>
        <v>0</v>
      </c>
      <c r="N568" s="13">
        <f>Github!P$802</f>
        <v>60204</v>
      </c>
      <c r="O568" s="13">
        <f>Github!Q$802</f>
        <v>153481</v>
      </c>
    </row>
    <row r="569">
      <c r="A569" s="13">
        <f>Github!J$1383</f>
        <v>1382</v>
      </c>
      <c r="B569" s="14" t="str">
        <f>HYPERLINK(CONCAT("http://leetcode.com/problems/",Github!C$1383), Github!B$1383)</f>
        <v>Balance a Binary Search Tree</v>
      </c>
      <c r="C569" s="13">
        <f>Github!F$1383</f>
        <v>2381</v>
      </c>
      <c r="D569" s="13">
        <f>Github!G$1383</f>
        <v>61</v>
      </c>
      <c r="E569" s="13">
        <f>Github!F$1383+Github!G$1383</f>
        <v>2442</v>
      </c>
      <c r="F569" s="15">
        <f t="shared" si="1"/>
        <v>39.03</v>
      </c>
      <c r="G569" s="13" t="str">
        <f>ROUND(Github!O$1383, 2)&amp;"%"</f>
        <v>80.66%</v>
      </c>
      <c r="H569" s="13" t="str">
        <f>Github!H$1383</f>
        <v>Algorithms</v>
      </c>
      <c r="I569" s="16" t="str">
        <f>SUBSTITUTE(Github!L$1383, ";", ", ")</f>
        <v>Divide and Conquer, Greedy, Tree, Depth-First Search, Binary Search Tree, Binary Tree, </v>
      </c>
      <c r="J569" s="13" t="str">
        <f>Github!E$1383</f>
        <v>Medium</v>
      </c>
      <c r="K569" s="13" t="str">
        <f>IF(TRIM(Github!D$1383)="TRUE","FALSE","TRUE")</f>
        <v>TRUE</v>
      </c>
      <c r="L569" s="13" t="b">
        <f>Github!M$1383</f>
        <v>0</v>
      </c>
      <c r="M569" s="13" t="b">
        <f>Github!N$1383</f>
        <v>0</v>
      </c>
      <c r="N569" s="13">
        <f>Github!P$1383</f>
        <v>111230</v>
      </c>
      <c r="O569" s="13">
        <f>Github!Q$1383</f>
        <v>137895</v>
      </c>
    </row>
    <row r="570">
      <c r="A570" s="13">
        <f>Github!J$324</f>
        <v>323</v>
      </c>
      <c r="B570" s="14" t="str">
        <f>HYPERLINK(CONCAT("http://leetcode.com/problems/",Github!C$324), Github!B$324)</f>
        <v>Number of Connected Components in an Undirected Graph</v>
      </c>
      <c r="C570" s="13">
        <f>Github!F$324</f>
        <v>2376</v>
      </c>
      <c r="D570" s="13">
        <f>Github!G$324</f>
        <v>80</v>
      </c>
      <c r="E570" s="13">
        <f>Github!F$324+Github!G$324</f>
        <v>2456</v>
      </c>
      <c r="F570" s="15">
        <f t="shared" si="1"/>
        <v>29.7</v>
      </c>
      <c r="G570" s="13" t="str">
        <f>ROUND(Github!O$324, 2)&amp;"%"</f>
        <v>62.17%</v>
      </c>
      <c r="H570" s="13" t="str">
        <f>Github!H$324</f>
        <v>Algorithms</v>
      </c>
      <c r="I570" s="16" t="str">
        <f>SUBSTITUTE(Github!L$324, ";", ", ")</f>
        <v>Depth-First Search, Breadth-First Search, Union Find, Graph, </v>
      </c>
      <c r="J570" s="13" t="str">
        <f>Github!E$324</f>
        <v>Medium</v>
      </c>
      <c r="K570" s="13" t="str">
        <f>IF(TRIM(Github!D$324)="TRUE","FALSE","TRUE")</f>
        <v>FALSE</v>
      </c>
      <c r="L570" s="13" t="b">
        <f>Github!M$324</f>
        <v>1</v>
      </c>
      <c r="M570" s="13" t="b">
        <f>Github!N$324</f>
        <v>1</v>
      </c>
      <c r="N570" s="13">
        <f>Github!P$324</f>
        <v>315431</v>
      </c>
      <c r="O570" s="13">
        <f>Github!Q$324</f>
        <v>507358</v>
      </c>
    </row>
    <row r="571">
      <c r="A571" s="13">
        <f>Github!J$792</f>
        <v>791</v>
      </c>
      <c r="B571" s="14" t="str">
        <f>HYPERLINK(CONCAT("http://leetcode.com/problems/",Github!C$792), Github!B$792)</f>
        <v>Custom Sort String</v>
      </c>
      <c r="C571" s="13">
        <f>Github!F$792</f>
        <v>2367</v>
      </c>
      <c r="D571" s="13">
        <f>Github!G$792</f>
        <v>307</v>
      </c>
      <c r="E571" s="13">
        <f>Github!F$792+Github!G$792</f>
        <v>2674</v>
      </c>
      <c r="F571" s="15">
        <f t="shared" si="1"/>
        <v>7.71</v>
      </c>
      <c r="G571" s="13" t="str">
        <f>ROUND(Github!O$792, 2)&amp;"%"</f>
        <v>69.29%</v>
      </c>
      <c r="H571" s="13" t="str">
        <f>Github!H$792</f>
        <v>Algorithms</v>
      </c>
      <c r="I571" s="16" t="str">
        <f>SUBSTITUTE(Github!L$792, ";", ", ")</f>
        <v>Hash Table, String, Sorting, </v>
      </c>
      <c r="J571" s="13" t="str">
        <f>Github!E$792</f>
        <v>Medium</v>
      </c>
      <c r="K571" s="13" t="str">
        <f>IF(TRIM(Github!D$792)="TRUE","FALSE","TRUE")</f>
        <v>TRUE</v>
      </c>
      <c r="L571" s="13" t="b">
        <f>Github!M$792</f>
        <v>1</v>
      </c>
      <c r="M571" s="13" t="b">
        <f>Github!N$792</f>
        <v>0</v>
      </c>
      <c r="N571" s="13">
        <f>Github!P$792</f>
        <v>205039</v>
      </c>
      <c r="O571" s="13">
        <f>Github!Q$792</f>
        <v>295927</v>
      </c>
    </row>
    <row r="572">
      <c r="A572" s="13">
        <f>Github!J$770</f>
        <v>769</v>
      </c>
      <c r="B572" s="14" t="str">
        <f>HYPERLINK(CONCAT("http://leetcode.com/problems/",Github!C$770), Github!B$770)</f>
        <v>Max Chunks To Make Sorted</v>
      </c>
      <c r="C572" s="13">
        <f>Github!F$770</f>
        <v>2363</v>
      </c>
      <c r="D572" s="13">
        <f>Github!G$770</f>
        <v>207</v>
      </c>
      <c r="E572" s="13">
        <f>Github!F$770+Github!G$770</f>
        <v>2570</v>
      </c>
      <c r="F572" s="15">
        <f t="shared" si="1"/>
        <v>11.42</v>
      </c>
      <c r="G572" s="13" t="str">
        <f>ROUND(Github!O$770, 2)&amp;"%"</f>
        <v>58.22%</v>
      </c>
      <c r="H572" s="13" t="str">
        <f>Github!H$770</f>
        <v>Algorithms</v>
      </c>
      <c r="I572" s="16" t="str">
        <f>SUBSTITUTE(Github!L$770, ";", ", ")</f>
        <v>Array, Stack, Greedy, Sorting, Monotonic Stack, </v>
      </c>
      <c r="J572" s="13" t="str">
        <f>Github!E$770</f>
        <v>Medium</v>
      </c>
      <c r="K572" s="13" t="str">
        <f>IF(TRIM(Github!D$770)="TRUE","FALSE","TRUE")</f>
        <v>TRUE</v>
      </c>
      <c r="L572" s="13" t="b">
        <f>Github!M$770</f>
        <v>0</v>
      </c>
      <c r="M572" s="13" t="b">
        <f>Github!N$770</f>
        <v>0</v>
      </c>
      <c r="N572" s="13">
        <f>Github!P$770</f>
        <v>85195</v>
      </c>
      <c r="O572" s="13">
        <f>Github!Q$770</f>
        <v>146334</v>
      </c>
    </row>
    <row r="573">
      <c r="A573" s="13">
        <f>Github!J$286</f>
        <v>285</v>
      </c>
      <c r="B573" s="14" t="str">
        <f>HYPERLINK(CONCAT("http://leetcode.com/problems/",Github!C$286), Github!B$286)</f>
        <v>Inorder Successor in BST</v>
      </c>
      <c r="C573" s="13">
        <f>Github!F$286</f>
        <v>2354</v>
      </c>
      <c r="D573" s="13">
        <f>Github!G$286</f>
        <v>85</v>
      </c>
      <c r="E573" s="13">
        <f>Github!F$286+Github!G$286</f>
        <v>2439</v>
      </c>
      <c r="F573" s="15">
        <f t="shared" si="1"/>
        <v>27.69</v>
      </c>
      <c r="G573" s="13" t="str">
        <f>ROUND(Github!O$286, 2)&amp;"%"</f>
        <v>48.52%</v>
      </c>
      <c r="H573" s="13" t="str">
        <f>Github!H$286</f>
        <v>Algorithms</v>
      </c>
      <c r="I573" s="16" t="str">
        <f>SUBSTITUTE(Github!L$286, ";", ", ")</f>
        <v>Tree, Depth-First Search, Binary Search Tree, Binary Tree, </v>
      </c>
      <c r="J573" s="13" t="str">
        <f>Github!E$286</f>
        <v>Medium</v>
      </c>
      <c r="K573" s="13" t="str">
        <f>IF(TRIM(Github!D$286)="TRUE","FALSE","TRUE")</f>
        <v>FALSE</v>
      </c>
      <c r="L573" s="13" t="b">
        <f>Github!M$286</f>
        <v>1</v>
      </c>
      <c r="M573" s="13" t="b">
        <f>Github!N$286</f>
        <v>0</v>
      </c>
      <c r="N573" s="13">
        <f>Github!P$286</f>
        <v>294843</v>
      </c>
      <c r="O573" s="13">
        <f>Github!Q$286</f>
        <v>607730</v>
      </c>
    </row>
    <row r="574">
      <c r="A574" s="13">
        <f>Github!J$1397</f>
        <v>1396</v>
      </c>
      <c r="B574" s="14" t="str">
        <f>HYPERLINK(CONCAT("http://leetcode.com/problems/",Github!C$1397), Github!B$1397)</f>
        <v>Design Underground System</v>
      </c>
      <c r="C574" s="13">
        <f>Github!F$1397</f>
        <v>2348</v>
      </c>
      <c r="D574" s="13">
        <f>Github!G$1397</f>
        <v>113</v>
      </c>
      <c r="E574" s="13">
        <f>Github!F$1397+Github!G$1397</f>
        <v>2461</v>
      </c>
      <c r="F574" s="15">
        <f t="shared" si="1"/>
        <v>20.78</v>
      </c>
      <c r="G574" s="13" t="str">
        <f>ROUND(Github!O$1397, 2)&amp;"%"</f>
        <v>73.59%</v>
      </c>
      <c r="H574" s="13" t="str">
        <f>Github!H$1397</f>
        <v>Algorithms</v>
      </c>
      <c r="I574" s="16" t="str">
        <f>SUBSTITUTE(Github!L$1397, ";", ", ")</f>
        <v>Hash Table, String, Design, </v>
      </c>
      <c r="J574" s="13" t="str">
        <f>Github!E$1397</f>
        <v>Medium</v>
      </c>
      <c r="K574" s="13" t="str">
        <f>IF(TRIM(Github!D$1397)="TRUE","FALSE","TRUE")</f>
        <v>TRUE</v>
      </c>
      <c r="L574" s="13" t="b">
        <f>Github!M$1397</f>
        <v>1</v>
      </c>
      <c r="M574" s="13" t="b">
        <f>Github!N$1397</f>
        <v>0</v>
      </c>
      <c r="N574" s="13">
        <f>Github!P$1397</f>
        <v>159533</v>
      </c>
      <c r="O574" s="13">
        <f>Github!Q$1397</f>
        <v>216785</v>
      </c>
    </row>
    <row r="575">
      <c r="A575" s="13">
        <f>Github!J$689</f>
        <v>688</v>
      </c>
      <c r="B575" s="14" t="str">
        <f>HYPERLINK(CONCAT("http://leetcode.com/problems/",Github!C$689), Github!B$689)</f>
        <v>Knight Probability in Chessboard</v>
      </c>
      <c r="C575" s="13">
        <f>Github!F$689</f>
        <v>2347</v>
      </c>
      <c r="D575" s="13">
        <f>Github!G$689</f>
        <v>326</v>
      </c>
      <c r="E575" s="13">
        <f>Github!F$689+Github!G$689</f>
        <v>2673</v>
      </c>
      <c r="F575" s="15">
        <f t="shared" si="1"/>
        <v>7.2</v>
      </c>
      <c r="G575" s="13" t="str">
        <f>ROUND(Github!O$689, 2)&amp;"%"</f>
        <v>52.11%</v>
      </c>
      <c r="H575" s="13" t="str">
        <f>Github!H$689</f>
        <v>Algorithms</v>
      </c>
      <c r="I575" s="16" t="str">
        <f>SUBSTITUTE(Github!L$689, ";", ", ")</f>
        <v>Dynamic Programming, </v>
      </c>
      <c r="J575" s="13" t="str">
        <f>Github!E$689</f>
        <v>Medium</v>
      </c>
      <c r="K575" s="13" t="str">
        <f>IF(TRIM(Github!D$689)="TRUE","FALSE","TRUE")</f>
        <v>TRUE</v>
      </c>
      <c r="L575" s="13" t="b">
        <f>Github!M$689</f>
        <v>1</v>
      </c>
      <c r="M575" s="13" t="b">
        <f>Github!N$689</f>
        <v>0</v>
      </c>
      <c r="N575" s="13">
        <f>Github!P$689</f>
        <v>91262</v>
      </c>
      <c r="O575" s="13">
        <f>Github!Q$689</f>
        <v>175141</v>
      </c>
    </row>
    <row r="576">
      <c r="A576" s="13">
        <f>Github!J$560</f>
        <v>559</v>
      </c>
      <c r="B576" s="14" t="str">
        <f>HYPERLINK(CONCAT("http://leetcode.com/problems/",Github!C$560), Github!B$560)</f>
        <v>Maximum Depth of N-ary Tree</v>
      </c>
      <c r="C576" s="13">
        <f>Github!F$560</f>
        <v>2344</v>
      </c>
      <c r="D576" s="13">
        <f>Github!G$560</f>
        <v>78</v>
      </c>
      <c r="E576" s="13">
        <f>Github!F$560+Github!G$560</f>
        <v>2422</v>
      </c>
      <c r="F576" s="15">
        <f t="shared" si="1"/>
        <v>30.05</v>
      </c>
      <c r="G576" s="13" t="str">
        <f>ROUND(Github!O$560, 2)&amp;"%"</f>
        <v>71.61%</v>
      </c>
      <c r="H576" s="13" t="str">
        <f>Github!H$560</f>
        <v>Algorithms</v>
      </c>
      <c r="I576" s="16" t="str">
        <f>SUBSTITUTE(Github!L$560, ";", ", ")</f>
        <v>Tree, Depth-First Search, Breadth-First Search, </v>
      </c>
      <c r="J576" s="13" t="str">
        <f>Github!E$560</f>
        <v>Easy</v>
      </c>
      <c r="K576" s="13" t="str">
        <f>IF(TRIM(Github!D$560)="TRUE","FALSE","TRUE")</f>
        <v>TRUE</v>
      </c>
      <c r="L576" s="13" t="b">
        <f>Github!M$560</f>
        <v>1</v>
      </c>
      <c r="M576" s="13" t="b">
        <f>Github!N$560</f>
        <v>0</v>
      </c>
      <c r="N576" s="13">
        <f>Github!P$560</f>
        <v>238490</v>
      </c>
      <c r="O576" s="13">
        <f>Github!Q$560</f>
        <v>333027</v>
      </c>
    </row>
    <row r="577">
      <c r="A577" s="13">
        <f>Github!J$713</f>
        <v>712</v>
      </c>
      <c r="B577" s="14" t="str">
        <f>HYPERLINK(CONCAT("http://leetcode.com/problems/",Github!C$713), Github!B$713)</f>
        <v>Minimum ASCII Delete Sum for Two Strings</v>
      </c>
      <c r="C577" s="13">
        <f>Github!F$713</f>
        <v>2335</v>
      </c>
      <c r="D577" s="13">
        <f>Github!G$713</f>
        <v>68</v>
      </c>
      <c r="E577" s="13">
        <f>Github!F$713+Github!G$713</f>
        <v>2403</v>
      </c>
      <c r="F577" s="15">
        <f t="shared" si="1"/>
        <v>34.34</v>
      </c>
      <c r="G577" s="13" t="str">
        <f>ROUND(Github!O$713, 2)&amp;"%"</f>
        <v>62.39%</v>
      </c>
      <c r="H577" s="13" t="str">
        <f>Github!H$713</f>
        <v>Algorithms</v>
      </c>
      <c r="I577" s="16" t="str">
        <f>SUBSTITUTE(Github!L$713, ";", ", ")</f>
        <v>String, Dynamic Programming, </v>
      </c>
      <c r="J577" s="13" t="str">
        <f>Github!E$713</f>
        <v>Medium</v>
      </c>
      <c r="K577" s="13" t="str">
        <f>IF(TRIM(Github!D$713)="TRUE","FALSE","TRUE")</f>
        <v>TRUE</v>
      </c>
      <c r="L577" s="13" t="b">
        <f>Github!M$713</f>
        <v>1</v>
      </c>
      <c r="M577" s="13" t="b">
        <f>Github!N$713</f>
        <v>0</v>
      </c>
      <c r="N577" s="13">
        <f>Github!P$713</f>
        <v>72682</v>
      </c>
      <c r="O577" s="13">
        <f>Github!Q$713</f>
        <v>116491</v>
      </c>
    </row>
    <row r="578">
      <c r="A578" s="13">
        <f>Github!J$59</f>
        <v>58</v>
      </c>
      <c r="B578" s="14" t="str">
        <f>HYPERLINK(CONCAT("http://leetcode.com/problems/",Github!C$59), Github!B$59)</f>
        <v>Length of Last Word</v>
      </c>
      <c r="C578" s="13">
        <f>Github!F$59</f>
        <v>2398</v>
      </c>
      <c r="D578" s="13">
        <f>Github!G$59</f>
        <v>138</v>
      </c>
      <c r="E578" s="13">
        <f>Github!F$59+Github!G$59</f>
        <v>2536</v>
      </c>
      <c r="F578" s="15">
        <f t="shared" si="1"/>
        <v>17.38</v>
      </c>
      <c r="G578" s="13" t="str">
        <f>ROUND(Github!O$59, 2)&amp;"%"</f>
        <v>41.46%</v>
      </c>
      <c r="H578" s="13" t="str">
        <f>Github!H$59</f>
        <v>Algorithms</v>
      </c>
      <c r="I578" s="16" t="str">
        <f>SUBSTITUTE(Github!L$59, ";", ", ")</f>
        <v>String, </v>
      </c>
      <c r="J578" s="13" t="str">
        <f>Github!E$59</f>
        <v>Easy</v>
      </c>
      <c r="K578" s="13" t="str">
        <f>IF(TRIM(Github!D$59)="TRUE","FALSE","TRUE")</f>
        <v>TRUE</v>
      </c>
      <c r="L578" s="13" t="b">
        <f>Github!M$59</f>
        <v>1</v>
      </c>
      <c r="M578" s="13" t="b">
        <f>Github!N$59</f>
        <v>0</v>
      </c>
      <c r="N578" s="13">
        <f>Github!P$59</f>
        <v>979817</v>
      </c>
      <c r="O578" s="13">
        <f>Github!Q$59</f>
        <v>2363408</v>
      </c>
    </row>
    <row r="579">
      <c r="A579" s="13">
        <f>Github!J$434</f>
        <v>433</v>
      </c>
      <c r="B579" s="14" t="str">
        <f>HYPERLINK(CONCAT("http://leetcode.com/problems/",Github!C$434), Github!B$434)</f>
        <v>Minimum Genetic Mutation</v>
      </c>
      <c r="C579" s="13">
        <f>Github!F$434</f>
        <v>2331</v>
      </c>
      <c r="D579" s="13">
        <f>Github!G$434</f>
        <v>251</v>
      </c>
      <c r="E579" s="13">
        <f>Github!F$434+Github!G$434</f>
        <v>2582</v>
      </c>
      <c r="F579" s="15">
        <f t="shared" si="1"/>
        <v>9.29</v>
      </c>
      <c r="G579" s="13" t="str">
        <f>ROUND(Github!O$434, 2)&amp;"%"</f>
        <v>52.14%</v>
      </c>
      <c r="H579" s="13" t="str">
        <f>Github!H$434</f>
        <v>Algorithms</v>
      </c>
      <c r="I579" s="16" t="str">
        <f>SUBSTITUTE(Github!L$434, ";", ", ")</f>
        <v>Hash Table, String, Breadth-First Search, </v>
      </c>
      <c r="J579" s="13" t="str">
        <f>Github!E$434</f>
        <v>Medium</v>
      </c>
      <c r="K579" s="13" t="str">
        <f>IF(TRIM(Github!D$434)="TRUE","FALSE","TRUE")</f>
        <v>TRUE</v>
      </c>
      <c r="L579" s="13" t="b">
        <f>Github!M$434</f>
        <v>1</v>
      </c>
      <c r="M579" s="13" t="b">
        <f>Github!N$434</f>
        <v>0</v>
      </c>
      <c r="N579" s="13">
        <f>Github!P$434</f>
        <v>110736</v>
      </c>
      <c r="O579" s="13">
        <f>Github!Q$434</f>
        <v>212398</v>
      </c>
    </row>
    <row r="580">
      <c r="A580" s="13">
        <f>Github!J$927</f>
        <v>926</v>
      </c>
      <c r="B580" s="14" t="str">
        <f>HYPERLINK(CONCAT("http://leetcode.com/problems/",Github!C$927), Github!B$927)</f>
        <v>Flip String to Monotone Increasing</v>
      </c>
      <c r="C580" s="13">
        <f>Github!F$927</f>
        <v>2325</v>
      </c>
      <c r="D580" s="13">
        <f>Github!G$927</f>
        <v>102</v>
      </c>
      <c r="E580" s="13">
        <f>Github!F$927+Github!G$927</f>
        <v>2427</v>
      </c>
      <c r="F580" s="15">
        <f t="shared" si="1"/>
        <v>22.79</v>
      </c>
      <c r="G580" s="13" t="str">
        <f>ROUND(Github!O$927, 2)&amp;"%"</f>
        <v>59.6%</v>
      </c>
      <c r="H580" s="13" t="str">
        <f>Github!H$927</f>
        <v>Algorithms</v>
      </c>
      <c r="I580" s="16" t="str">
        <f>SUBSTITUTE(Github!L$927, ";", ", ")</f>
        <v>String, Dynamic Programming, </v>
      </c>
      <c r="J580" s="13" t="str">
        <f>Github!E$927</f>
        <v>Medium</v>
      </c>
      <c r="K580" s="13" t="str">
        <f>IF(TRIM(Github!D$927)="TRUE","FALSE","TRUE")</f>
        <v>TRUE</v>
      </c>
      <c r="L580" s="13" t="b">
        <f>Github!M$927</f>
        <v>1</v>
      </c>
      <c r="M580" s="13" t="b">
        <f>Github!N$927</f>
        <v>0</v>
      </c>
      <c r="N580" s="13">
        <f>Github!P$927</f>
        <v>109891</v>
      </c>
      <c r="O580" s="13">
        <f>Github!Q$927</f>
        <v>184372</v>
      </c>
    </row>
    <row r="581">
      <c r="A581" s="13">
        <f>Github!J$890</f>
        <v>889</v>
      </c>
      <c r="B581" s="14" t="str">
        <f>HYPERLINK(CONCAT("http://leetcode.com/problems/",Github!C$890), Github!B$890)</f>
        <v>Construct Binary Tree from Preorder and Postorder Traversal</v>
      </c>
      <c r="C581" s="13">
        <f>Github!F$890</f>
        <v>2323</v>
      </c>
      <c r="D581" s="13">
        <f>Github!G$890</f>
        <v>97</v>
      </c>
      <c r="E581" s="13">
        <f>Github!F$890+Github!G$890</f>
        <v>2420</v>
      </c>
      <c r="F581" s="15">
        <f t="shared" si="1"/>
        <v>23.95</v>
      </c>
      <c r="G581" s="13" t="str">
        <f>ROUND(Github!O$890, 2)&amp;"%"</f>
        <v>70.91%</v>
      </c>
      <c r="H581" s="13" t="str">
        <f>Github!H$890</f>
        <v>Algorithms</v>
      </c>
      <c r="I581" s="16" t="str">
        <f>SUBSTITUTE(Github!L$890, ";", ", ")</f>
        <v>Array, Hash Table, Divide and Conquer, Tree, Binary Tree, </v>
      </c>
      <c r="J581" s="13" t="str">
        <f>Github!E$890</f>
        <v>Medium</v>
      </c>
      <c r="K581" s="13" t="str">
        <f>IF(TRIM(Github!D$890)="TRUE","FALSE","TRUE")</f>
        <v>TRUE</v>
      </c>
      <c r="L581" s="13" t="b">
        <f>Github!M$890</f>
        <v>0</v>
      </c>
      <c r="M581" s="13" t="b">
        <f>Github!N$890</f>
        <v>0</v>
      </c>
      <c r="N581" s="13">
        <f>Github!P$890</f>
        <v>84346</v>
      </c>
      <c r="O581" s="13">
        <f>Github!Q$890</f>
        <v>118956</v>
      </c>
    </row>
    <row r="582">
      <c r="A582" s="13">
        <f>Github!J$1458</f>
        <v>1457</v>
      </c>
      <c r="B582" s="14" t="str">
        <f>HYPERLINK(CONCAT("http://leetcode.com/problems/",Github!C$1458), Github!B$1458)</f>
        <v>Pseudo-Palindromic Paths in a Binary Tree</v>
      </c>
      <c r="C582" s="13">
        <f>Github!F$1458</f>
        <v>2319</v>
      </c>
      <c r="D582" s="13">
        <f>Github!G$1458</f>
        <v>78</v>
      </c>
      <c r="E582" s="13">
        <f>Github!F$1458+Github!G$1458</f>
        <v>2397</v>
      </c>
      <c r="F582" s="15">
        <f t="shared" si="1"/>
        <v>29.73</v>
      </c>
      <c r="G582" s="13" t="str">
        <f>ROUND(Github!O$1458, 2)&amp;"%"</f>
        <v>67.98%</v>
      </c>
      <c r="H582" s="13" t="str">
        <f>Github!H$1458</f>
        <v>Algorithms</v>
      </c>
      <c r="I582" s="16" t="str">
        <f>SUBSTITUTE(Github!L$1458, ";", ", ")</f>
        <v>Bit Manipulation, Tree, Depth-First Search, Breadth-First Search, Binary Tree, </v>
      </c>
      <c r="J582" s="13" t="str">
        <f>Github!E$1458</f>
        <v>Medium</v>
      </c>
      <c r="K582" s="13" t="str">
        <f>IF(TRIM(Github!D$1458)="TRUE","FALSE","TRUE")</f>
        <v>TRUE</v>
      </c>
      <c r="L582" s="13" t="b">
        <f>Github!M$1458</f>
        <v>1</v>
      </c>
      <c r="M582" s="13" t="b">
        <f>Github!N$1458</f>
        <v>0</v>
      </c>
      <c r="N582" s="13">
        <f>Github!P$1458</f>
        <v>112019</v>
      </c>
      <c r="O582" s="13">
        <f>Github!Q$1458</f>
        <v>164779</v>
      </c>
    </row>
    <row r="583">
      <c r="A583" s="13">
        <f>Github!J$1396</f>
        <v>1395</v>
      </c>
      <c r="B583" s="14" t="str">
        <f>HYPERLINK(CONCAT("http://leetcode.com/problems/",Github!C$1396), Github!B$1396)</f>
        <v>Count Number of Teams</v>
      </c>
      <c r="C583" s="13">
        <f>Github!F$1396</f>
        <v>2323</v>
      </c>
      <c r="D583" s="13">
        <f>Github!G$1396</f>
        <v>176</v>
      </c>
      <c r="E583" s="13">
        <f>Github!F$1396+Github!G$1396</f>
        <v>2499</v>
      </c>
      <c r="F583" s="15">
        <f t="shared" si="1"/>
        <v>13.2</v>
      </c>
      <c r="G583" s="13" t="str">
        <f>ROUND(Github!O$1396, 2)&amp;"%"</f>
        <v>67.81%</v>
      </c>
      <c r="H583" s="13" t="str">
        <f>Github!H$1396</f>
        <v>Algorithms</v>
      </c>
      <c r="I583" s="16" t="str">
        <f>SUBSTITUTE(Github!L$1396, ";", ", ")</f>
        <v>Array, Dynamic Programming, Binary Indexed Tree, </v>
      </c>
      <c r="J583" s="13" t="str">
        <f>Github!E$1396</f>
        <v>Medium</v>
      </c>
      <c r="K583" s="13" t="str">
        <f>IF(TRIM(Github!D$1396)="TRUE","FALSE","TRUE")</f>
        <v>TRUE</v>
      </c>
      <c r="L583" s="13" t="b">
        <f>Github!M$1396</f>
        <v>0</v>
      </c>
      <c r="M583" s="13" t="b">
        <f>Github!N$1396</f>
        <v>0</v>
      </c>
      <c r="N583" s="13">
        <f>Github!P$1396</f>
        <v>97582</v>
      </c>
      <c r="O583" s="13">
        <f>Github!Q$1396</f>
        <v>143905</v>
      </c>
    </row>
    <row r="584">
      <c r="A584" s="13">
        <f>Github!J$959</f>
        <v>958</v>
      </c>
      <c r="B584" s="14" t="str">
        <f>HYPERLINK(CONCAT("http://leetcode.com/problems/",Github!C$959), Github!B$959)</f>
        <v>Check Completeness of a Binary Tree</v>
      </c>
      <c r="C584" s="13">
        <f>Github!F$959</f>
        <v>2321</v>
      </c>
      <c r="D584" s="13">
        <f>Github!G$959</f>
        <v>32</v>
      </c>
      <c r="E584" s="13">
        <f>Github!F$959+Github!G$959</f>
        <v>2353</v>
      </c>
      <c r="F584" s="15">
        <f t="shared" si="1"/>
        <v>72.53</v>
      </c>
      <c r="G584" s="13" t="str">
        <f>ROUND(Github!O$959, 2)&amp;"%"</f>
        <v>53.86%</v>
      </c>
      <c r="H584" s="13" t="str">
        <f>Github!H$959</f>
        <v>Algorithms</v>
      </c>
      <c r="I584" s="16" t="str">
        <f>SUBSTITUTE(Github!L$959, ";", ", ")</f>
        <v>Tree, Breadth-First Search, Binary Tree, </v>
      </c>
      <c r="J584" s="13" t="str">
        <f>Github!E$959</f>
        <v>Medium</v>
      </c>
      <c r="K584" s="13" t="str">
        <f>IF(TRIM(Github!D$959)="TRUE","FALSE","TRUE")</f>
        <v>TRUE</v>
      </c>
      <c r="L584" s="13" t="b">
        <f>Github!M$959</f>
        <v>0</v>
      </c>
      <c r="M584" s="13" t="b">
        <f>Github!N$959</f>
        <v>0</v>
      </c>
      <c r="N584" s="13">
        <f>Github!P$959</f>
        <v>130940</v>
      </c>
      <c r="O584" s="13">
        <f>Github!Q$959</f>
        <v>243098</v>
      </c>
    </row>
    <row r="585">
      <c r="A585" s="13">
        <f>Github!J$846</f>
        <v>845</v>
      </c>
      <c r="B585" s="14" t="str">
        <f>HYPERLINK(CONCAT("http://leetcode.com/problems/",Github!C$846), Github!B$846)</f>
        <v>Longest Mountain in Array</v>
      </c>
      <c r="C585" s="13">
        <f>Github!F$846</f>
        <v>2316</v>
      </c>
      <c r="D585" s="13">
        <f>Github!G$846</f>
        <v>65</v>
      </c>
      <c r="E585" s="13">
        <f>Github!F$846+Github!G$846</f>
        <v>2381</v>
      </c>
      <c r="F585" s="15">
        <f t="shared" si="1"/>
        <v>35.63</v>
      </c>
      <c r="G585" s="13" t="str">
        <f>ROUND(Github!O$846, 2)&amp;"%"</f>
        <v>40.19%</v>
      </c>
      <c r="H585" s="13" t="str">
        <f>Github!H$846</f>
        <v>Algorithms</v>
      </c>
      <c r="I585" s="16" t="str">
        <f>SUBSTITUTE(Github!L$846, ";", ", ")</f>
        <v>Array, Two Pointers, Dynamic Programming, Enumeration, </v>
      </c>
      <c r="J585" s="13" t="str">
        <f>Github!E$846</f>
        <v>Medium</v>
      </c>
      <c r="K585" s="13" t="str">
        <f>IF(TRIM(Github!D$846)="TRUE","FALSE","TRUE")</f>
        <v>TRUE</v>
      </c>
      <c r="L585" s="13" t="b">
        <f>Github!M$846</f>
        <v>1</v>
      </c>
      <c r="M585" s="13" t="b">
        <f>Github!N$846</f>
        <v>0</v>
      </c>
      <c r="N585" s="13">
        <f>Github!P$846</f>
        <v>105133</v>
      </c>
      <c r="O585" s="13">
        <f>Github!Q$846</f>
        <v>261578</v>
      </c>
    </row>
    <row r="586">
      <c r="A586" s="13">
        <f>Github!J$1220</f>
        <v>1219</v>
      </c>
      <c r="B586" s="14" t="str">
        <f>HYPERLINK(CONCAT("http://leetcode.com/problems/",Github!C$1220), Github!B$1220)</f>
        <v>Path with Maximum Gold</v>
      </c>
      <c r="C586" s="13">
        <f>Github!F$1220</f>
        <v>2307</v>
      </c>
      <c r="D586" s="13">
        <f>Github!G$1220</f>
        <v>60</v>
      </c>
      <c r="E586" s="13">
        <f>Github!F$1220+Github!G$1220</f>
        <v>2367</v>
      </c>
      <c r="F586" s="15">
        <f t="shared" si="1"/>
        <v>38.45</v>
      </c>
      <c r="G586" s="13" t="str">
        <f>ROUND(Github!O$1220, 2)&amp;"%"</f>
        <v>63.89%</v>
      </c>
      <c r="H586" s="13" t="str">
        <f>Github!H$1220</f>
        <v>Algorithms</v>
      </c>
      <c r="I586" s="16" t="str">
        <f>SUBSTITUTE(Github!L$1220, ";", ", ")</f>
        <v>Array, Backtracking, Matrix, </v>
      </c>
      <c r="J586" s="13" t="str">
        <f>Github!E$1220</f>
        <v>Medium</v>
      </c>
      <c r="K586" s="13" t="str">
        <f>IF(TRIM(Github!D$1220)="TRUE","FALSE","TRUE")</f>
        <v>TRUE</v>
      </c>
      <c r="L586" s="13" t="b">
        <f>Github!M$1220</f>
        <v>0</v>
      </c>
      <c r="M586" s="13" t="b">
        <f>Github!N$1220</f>
        <v>0</v>
      </c>
      <c r="N586" s="13">
        <f>Github!P$1220</f>
        <v>95795</v>
      </c>
      <c r="O586" s="13">
        <f>Github!Q$1220</f>
        <v>149937</v>
      </c>
    </row>
    <row r="587">
      <c r="A587" s="13">
        <f>Github!J$327</f>
        <v>326</v>
      </c>
      <c r="B587" s="14" t="str">
        <f>HYPERLINK(CONCAT("http://leetcode.com/problems/",Github!C$327), Github!B$327)</f>
        <v>Power of Three</v>
      </c>
      <c r="C587" s="13">
        <f>Github!F$327</f>
        <v>2309</v>
      </c>
      <c r="D587" s="13">
        <f>Github!G$327</f>
        <v>224</v>
      </c>
      <c r="E587" s="13">
        <f>Github!F$327+Github!G$327</f>
        <v>2533</v>
      </c>
      <c r="F587" s="15">
        <f t="shared" si="1"/>
        <v>10.31</v>
      </c>
      <c r="G587" s="13" t="str">
        <f>ROUND(Github!O$327, 2)&amp;"%"</f>
        <v>45.31%</v>
      </c>
      <c r="H587" s="13" t="str">
        <f>Github!H$327</f>
        <v>Algorithms</v>
      </c>
      <c r="I587" s="16" t="str">
        <f>SUBSTITUTE(Github!L$327, ";", ", ")</f>
        <v>Math, Recursion, </v>
      </c>
      <c r="J587" s="13" t="str">
        <f>Github!E$327</f>
        <v>Easy</v>
      </c>
      <c r="K587" s="13" t="str">
        <f>IF(TRIM(Github!D$327)="TRUE","FALSE","TRUE")</f>
        <v>TRUE</v>
      </c>
      <c r="L587" s="13" t="b">
        <f>Github!M$327</f>
        <v>1</v>
      </c>
      <c r="M587" s="13" t="b">
        <f>Github!N$327</f>
        <v>0</v>
      </c>
      <c r="N587" s="13">
        <f>Github!P$327</f>
        <v>631587</v>
      </c>
      <c r="O587" s="13">
        <f>Github!Q$327</f>
        <v>1393847</v>
      </c>
    </row>
    <row r="588">
      <c r="A588" s="13">
        <f>Github!J$1324</f>
        <v>1323</v>
      </c>
      <c r="B588" s="14" t="str">
        <f>HYPERLINK(CONCAT("http://leetcode.com/problems/",Github!C$1324), Github!B$1324)</f>
        <v>Maximum 69 Number</v>
      </c>
      <c r="C588" s="13">
        <f>Github!F$1324</f>
        <v>2304</v>
      </c>
      <c r="D588" s="13">
        <f>Github!G$1324</f>
        <v>189</v>
      </c>
      <c r="E588" s="13">
        <f>Github!F$1324+Github!G$1324</f>
        <v>2493</v>
      </c>
      <c r="F588" s="15">
        <f t="shared" si="1"/>
        <v>12.19</v>
      </c>
      <c r="G588" s="13" t="str">
        <f>ROUND(Github!O$1324, 2)&amp;"%"</f>
        <v>82.07%</v>
      </c>
      <c r="H588" s="13" t="str">
        <f>Github!H$1324</f>
        <v>Algorithms</v>
      </c>
      <c r="I588" s="16" t="str">
        <f>SUBSTITUTE(Github!L$1324, ";", ", ")</f>
        <v>Math, Greedy, </v>
      </c>
      <c r="J588" s="13" t="str">
        <f>Github!E$1324</f>
        <v>Easy</v>
      </c>
      <c r="K588" s="13" t="str">
        <f>IF(TRIM(Github!D$1324)="TRUE","FALSE","TRUE")</f>
        <v>TRUE</v>
      </c>
      <c r="L588" s="13" t="b">
        <f>Github!M$1324</f>
        <v>1</v>
      </c>
      <c r="M588" s="13" t="b">
        <f>Github!N$1324</f>
        <v>0</v>
      </c>
      <c r="N588" s="13">
        <f>Github!P$1324</f>
        <v>201793</v>
      </c>
      <c r="O588" s="13">
        <f>Github!Q$1324</f>
        <v>245886</v>
      </c>
    </row>
    <row r="589">
      <c r="A589" s="13">
        <f>Github!J$780</f>
        <v>779</v>
      </c>
      <c r="B589" s="14" t="str">
        <f>HYPERLINK(CONCAT("http://leetcode.com/problems/",Github!C$780), Github!B$780)</f>
        <v>K-th Symbol in Grammar</v>
      </c>
      <c r="C589" s="13">
        <f>Github!F$780</f>
        <v>2309</v>
      </c>
      <c r="D589" s="13">
        <f>Github!G$780</f>
        <v>281</v>
      </c>
      <c r="E589" s="13">
        <f>Github!F$780+Github!G$780</f>
        <v>2590</v>
      </c>
      <c r="F589" s="15">
        <f t="shared" si="1"/>
        <v>8.22</v>
      </c>
      <c r="G589" s="13" t="str">
        <f>ROUND(Github!O$780, 2)&amp;"%"</f>
        <v>40.98%</v>
      </c>
      <c r="H589" s="13" t="str">
        <f>Github!H$780</f>
        <v>Algorithms</v>
      </c>
      <c r="I589" s="16" t="str">
        <f>SUBSTITUTE(Github!L$780, ";", ", ")</f>
        <v>Math, Bit Manipulation, Recursion, </v>
      </c>
      <c r="J589" s="13" t="str">
        <f>Github!E$780</f>
        <v>Medium</v>
      </c>
      <c r="K589" s="13" t="str">
        <f>IF(TRIM(Github!D$780)="TRUE","FALSE","TRUE")</f>
        <v>TRUE</v>
      </c>
      <c r="L589" s="13" t="b">
        <f>Github!M$780</f>
        <v>1</v>
      </c>
      <c r="M589" s="13" t="b">
        <f>Github!N$780</f>
        <v>0</v>
      </c>
      <c r="N589" s="13">
        <f>Github!P$780</f>
        <v>106296</v>
      </c>
      <c r="O589" s="13">
        <f>Github!Q$780</f>
        <v>259391</v>
      </c>
    </row>
    <row r="590">
      <c r="A590" s="13">
        <f>Github!J$1771</f>
        <v>1770</v>
      </c>
      <c r="B590" s="14" t="str">
        <f>HYPERLINK(CONCAT("http://leetcode.com/problems/",Github!C$1771), Github!B$1771)</f>
        <v>Maximum Score from Performing Multiplication Operations</v>
      </c>
      <c r="C590" s="13">
        <f>Github!F$1771</f>
        <v>2280</v>
      </c>
      <c r="D590" s="13">
        <f>Github!G$1771</f>
        <v>505</v>
      </c>
      <c r="E590" s="13">
        <f>Github!F$1771+Github!G$1771</f>
        <v>2785</v>
      </c>
      <c r="F590" s="15">
        <f t="shared" si="1"/>
        <v>4.51</v>
      </c>
      <c r="G590" s="13" t="str">
        <f>ROUND(Github!O$1771, 2)&amp;"%"</f>
        <v>36.89%</v>
      </c>
      <c r="H590" s="13" t="str">
        <f>Github!H$1771</f>
        <v>Algorithms</v>
      </c>
      <c r="I590" s="16" t="str">
        <f>SUBSTITUTE(Github!L$1771, ";", ", ")</f>
        <v>Array, Dynamic Programming, </v>
      </c>
      <c r="J590" s="13" t="str">
        <f>Github!E$1771</f>
        <v>Hard</v>
      </c>
      <c r="K590" s="13" t="str">
        <f>IF(TRIM(Github!D$1771)="TRUE","FALSE","TRUE")</f>
        <v>TRUE</v>
      </c>
      <c r="L590" s="13" t="b">
        <f>Github!M$1771</f>
        <v>1</v>
      </c>
      <c r="M590" s="13" t="b">
        <f>Github!N$1771</f>
        <v>0</v>
      </c>
      <c r="N590" s="13">
        <f>Github!P$1771</f>
        <v>89050</v>
      </c>
      <c r="O590" s="13">
        <f>Github!Q$1771</f>
        <v>241387</v>
      </c>
    </row>
    <row r="591">
      <c r="A591" s="13">
        <f>Github!J$1548</f>
        <v>1547</v>
      </c>
      <c r="B591" s="14" t="str">
        <f>HYPERLINK(CONCAT("http://leetcode.com/problems/",Github!C$1548), Github!B$1548)</f>
        <v>Minimum Cost to Cut a Stick</v>
      </c>
      <c r="C591" s="13">
        <f>Github!F$1548</f>
        <v>2310</v>
      </c>
      <c r="D591" s="13">
        <f>Github!G$1548</f>
        <v>42</v>
      </c>
      <c r="E591" s="13">
        <f>Github!F$1548+Github!G$1548</f>
        <v>2352</v>
      </c>
      <c r="F591" s="15">
        <f t="shared" si="1"/>
        <v>55</v>
      </c>
      <c r="G591" s="13" t="str">
        <f>ROUND(Github!O$1548, 2)&amp;"%"</f>
        <v>57.05%</v>
      </c>
      <c r="H591" s="13" t="str">
        <f>Github!H$1548</f>
        <v>Algorithms</v>
      </c>
      <c r="I591" s="16" t="str">
        <f>SUBSTITUTE(Github!L$1548, ";", ", ")</f>
        <v>Array, Dynamic Programming, </v>
      </c>
      <c r="J591" s="13" t="str">
        <f>Github!E$1548</f>
        <v>Hard</v>
      </c>
      <c r="K591" s="13" t="str">
        <f>IF(TRIM(Github!D$1548)="TRUE","FALSE","TRUE")</f>
        <v>TRUE</v>
      </c>
      <c r="L591" s="13" t="b">
        <f>Github!M$1548</f>
        <v>0</v>
      </c>
      <c r="M591" s="13" t="b">
        <f>Github!N$1548</f>
        <v>0</v>
      </c>
      <c r="N591" s="13">
        <f>Github!P$1548</f>
        <v>41595</v>
      </c>
      <c r="O591" s="13">
        <f>Github!Q$1548</f>
        <v>72906</v>
      </c>
    </row>
    <row r="592">
      <c r="A592" s="13">
        <f>Github!J$477</f>
        <v>476</v>
      </c>
      <c r="B592" s="14" t="str">
        <f>HYPERLINK(CONCAT("http://leetcode.com/problems/",Github!C$477), Github!B$477)</f>
        <v>Number Complement</v>
      </c>
      <c r="C592" s="13">
        <f>Github!F$477</f>
        <v>2268</v>
      </c>
      <c r="D592" s="13">
        <f>Github!G$477</f>
        <v>110</v>
      </c>
      <c r="E592" s="13">
        <f>Github!F$477+Github!G$477</f>
        <v>2378</v>
      </c>
      <c r="F592" s="15">
        <f t="shared" si="1"/>
        <v>20.62</v>
      </c>
      <c r="G592" s="13" t="str">
        <f>ROUND(Github!O$477, 2)&amp;"%"</f>
        <v>67.27%</v>
      </c>
      <c r="H592" s="13" t="str">
        <f>Github!H$477</f>
        <v>Algorithms</v>
      </c>
      <c r="I592" s="16" t="str">
        <f>SUBSTITUTE(Github!L$477, ";", ", ")</f>
        <v>Bit Manipulation, </v>
      </c>
      <c r="J592" s="13" t="str">
        <f>Github!E$477</f>
        <v>Easy</v>
      </c>
      <c r="K592" s="13" t="str">
        <f>IF(TRIM(Github!D$477)="TRUE","FALSE","TRUE")</f>
        <v>TRUE</v>
      </c>
      <c r="L592" s="13" t="b">
        <f>Github!M$477</f>
        <v>1</v>
      </c>
      <c r="M592" s="13" t="b">
        <f>Github!N$477</f>
        <v>0</v>
      </c>
      <c r="N592" s="13">
        <f>Github!P$477</f>
        <v>285650</v>
      </c>
      <c r="O592" s="13">
        <f>Github!Q$477</f>
        <v>424652</v>
      </c>
    </row>
    <row r="593">
      <c r="A593" s="13">
        <f>Github!J$866</f>
        <v>865</v>
      </c>
      <c r="B593" s="14" t="str">
        <f>HYPERLINK(CONCAT("http://leetcode.com/problems/",Github!C$866), Github!B$866)</f>
        <v>Smallest Subtree with all the Deepest Nodes</v>
      </c>
      <c r="C593" s="13">
        <f>Github!F$866</f>
        <v>2270</v>
      </c>
      <c r="D593" s="13">
        <f>Github!G$866</f>
        <v>342</v>
      </c>
      <c r="E593" s="13">
        <f>Github!F$866+Github!G$866</f>
        <v>2612</v>
      </c>
      <c r="F593" s="15">
        <f t="shared" si="1"/>
        <v>6.64</v>
      </c>
      <c r="G593" s="13" t="str">
        <f>ROUND(Github!O$866, 2)&amp;"%"</f>
        <v>68.7%</v>
      </c>
      <c r="H593" s="13" t="str">
        <f>Github!H$866</f>
        <v>Algorithms</v>
      </c>
      <c r="I593" s="16" t="str">
        <f>SUBSTITUTE(Github!L$866, ";", ", ")</f>
        <v>Hash Table, Tree, Depth-First Search, Breadth-First Search, Binary Tree, </v>
      </c>
      <c r="J593" s="13" t="str">
        <f>Github!E$866</f>
        <v>Medium</v>
      </c>
      <c r="K593" s="13" t="str">
        <f>IF(TRIM(Github!D$866)="TRUE","FALSE","TRUE")</f>
        <v>TRUE</v>
      </c>
      <c r="L593" s="13" t="b">
        <f>Github!M$866</f>
        <v>1</v>
      </c>
      <c r="M593" s="13" t="b">
        <f>Github!N$866</f>
        <v>0</v>
      </c>
      <c r="N593" s="13">
        <f>Github!P$866</f>
        <v>113102</v>
      </c>
      <c r="O593" s="13">
        <f>Github!Q$866</f>
        <v>164633</v>
      </c>
    </row>
    <row r="594">
      <c r="A594" s="13">
        <f>Github!J$1483</f>
        <v>1482</v>
      </c>
      <c r="B594" s="14" t="str">
        <f>HYPERLINK(CONCAT("http://leetcode.com/problems/",Github!C$1483), Github!B$1483)</f>
        <v>Minimum Number of Days to Make m Bouquets</v>
      </c>
      <c r="C594" s="13">
        <f>Github!F$1483</f>
        <v>2260</v>
      </c>
      <c r="D594" s="13">
        <f>Github!G$1483</f>
        <v>63</v>
      </c>
      <c r="E594" s="13">
        <f>Github!F$1483+Github!G$1483</f>
        <v>2323</v>
      </c>
      <c r="F594" s="15">
        <f t="shared" si="1"/>
        <v>35.87</v>
      </c>
      <c r="G594" s="13" t="str">
        <f>ROUND(Github!O$1483, 2)&amp;"%"</f>
        <v>55.15%</v>
      </c>
      <c r="H594" s="13" t="str">
        <f>Github!H$1483</f>
        <v>Algorithms</v>
      </c>
      <c r="I594" s="16" t="str">
        <f>SUBSTITUTE(Github!L$1483, ";", ", ")</f>
        <v>Array, Binary Search, </v>
      </c>
      <c r="J594" s="13" t="str">
        <f>Github!E$1483</f>
        <v>Medium</v>
      </c>
      <c r="K594" s="13" t="str">
        <f>IF(TRIM(Github!D$1483)="TRUE","FALSE","TRUE")</f>
        <v>TRUE</v>
      </c>
      <c r="L594" s="13" t="b">
        <f>Github!M$1483</f>
        <v>0</v>
      </c>
      <c r="M594" s="13" t="b">
        <f>Github!N$1483</f>
        <v>0</v>
      </c>
      <c r="N594" s="13">
        <f>Github!P$1483</f>
        <v>53054</v>
      </c>
      <c r="O594" s="13">
        <f>Github!Q$1483</f>
        <v>96198</v>
      </c>
    </row>
    <row r="595">
      <c r="A595" s="13">
        <f>Github!J$1354</f>
        <v>1353</v>
      </c>
      <c r="B595" s="14" t="str">
        <f>HYPERLINK(CONCAT("http://leetcode.com/problems/",Github!C$1354), Github!B$1354)</f>
        <v>Maximum Number of Events That Can Be Attended</v>
      </c>
      <c r="C595" s="13">
        <f>Github!F$1354</f>
        <v>2247</v>
      </c>
      <c r="D595" s="13">
        <f>Github!G$1354</f>
        <v>302</v>
      </c>
      <c r="E595" s="13">
        <f>Github!F$1354+Github!G$1354</f>
        <v>2549</v>
      </c>
      <c r="F595" s="15">
        <f t="shared" si="1"/>
        <v>7.44</v>
      </c>
      <c r="G595" s="13" t="str">
        <f>ROUND(Github!O$1354, 2)&amp;"%"</f>
        <v>32.63%</v>
      </c>
      <c r="H595" s="13" t="str">
        <f>Github!H$1354</f>
        <v>Algorithms</v>
      </c>
      <c r="I595" s="16" t="str">
        <f>SUBSTITUTE(Github!L$1354, ";", ", ")</f>
        <v>Array, Greedy, Sorting, Heap (Priority Queue), </v>
      </c>
      <c r="J595" s="13" t="str">
        <f>Github!E$1354</f>
        <v>Medium</v>
      </c>
      <c r="K595" s="13" t="str">
        <f>IF(TRIM(Github!D$1354)="TRUE","FALSE","TRUE")</f>
        <v>TRUE</v>
      </c>
      <c r="L595" s="13" t="b">
        <f>Github!M$1354</f>
        <v>0</v>
      </c>
      <c r="M595" s="13" t="b">
        <f>Github!N$1354</f>
        <v>0</v>
      </c>
      <c r="N595" s="13">
        <f>Github!P$1354</f>
        <v>65305</v>
      </c>
      <c r="O595" s="13">
        <f>Github!Q$1354</f>
        <v>200145</v>
      </c>
    </row>
    <row r="596">
      <c r="A596" s="13">
        <f>Github!J$1316</f>
        <v>1315</v>
      </c>
      <c r="B596" s="14" t="str">
        <f>HYPERLINK(CONCAT("http://leetcode.com/problems/",Github!C$1316), Github!B$1316)</f>
        <v>Sum of Nodes with Even-Valued Grandparent</v>
      </c>
      <c r="C596" s="13">
        <f>Github!F$1316</f>
        <v>2228</v>
      </c>
      <c r="D596" s="13">
        <f>Github!G$1316</f>
        <v>66</v>
      </c>
      <c r="E596" s="13">
        <f>Github!F$1316+Github!G$1316</f>
        <v>2294</v>
      </c>
      <c r="F596" s="15">
        <f t="shared" si="1"/>
        <v>33.76</v>
      </c>
      <c r="G596" s="13" t="str">
        <f>ROUND(Github!O$1316, 2)&amp;"%"</f>
        <v>85.59%</v>
      </c>
      <c r="H596" s="13" t="str">
        <f>Github!H$1316</f>
        <v>Algorithms</v>
      </c>
      <c r="I596" s="16" t="str">
        <f>SUBSTITUTE(Github!L$1316, ";", ", ")</f>
        <v>Tree, Depth-First Search, Breadth-First Search, Binary Tree, </v>
      </c>
      <c r="J596" s="13" t="str">
        <f>Github!E$1316</f>
        <v>Medium</v>
      </c>
      <c r="K596" s="13" t="str">
        <f>IF(TRIM(Github!D$1316)="TRUE","FALSE","TRUE")</f>
        <v>TRUE</v>
      </c>
      <c r="L596" s="13" t="b">
        <f>Github!M$1316</f>
        <v>0</v>
      </c>
      <c r="M596" s="13" t="b">
        <f>Github!N$1316</f>
        <v>0</v>
      </c>
      <c r="N596" s="13">
        <f>Github!P$1316</f>
        <v>120884</v>
      </c>
      <c r="O596" s="13">
        <f>Github!Q$1316</f>
        <v>141233</v>
      </c>
    </row>
    <row r="597">
      <c r="A597" s="13">
        <f>Github!J$726</f>
        <v>725</v>
      </c>
      <c r="B597" s="14" t="str">
        <f>HYPERLINK(CONCAT("http://leetcode.com/problems/",Github!C$726), Github!B$726)</f>
        <v>Split Linked List in Parts</v>
      </c>
      <c r="C597" s="13">
        <f>Github!F$726</f>
        <v>2228</v>
      </c>
      <c r="D597" s="13">
        <f>Github!G$726</f>
        <v>218</v>
      </c>
      <c r="E597" s="13">
        <f>Github!F$726+Github!G$726</f>
        <v>2446</v>
      </c>
      <c r="F597" s="15">
        <f t="shared" si="1"/>
        <v>10.22</v>
      </c>
      <c r="G597" s="13" t="str">
        <f>ROUND(Github!O$726, 2)&amp;"%"</f>
        <v>57.36%</v>
      </c>
      <c r="H597" s="13" t="str">
        <f>Github!H$726</f>
        <v>Algorithms</v>
      </c>
      <c r="I597" s="16" t="str">
        <f>SUBSTITUTE(Github!L$726, ";", ", ")</f>
        <v>Linked List, </v>
      </c>
      <c r="J597" s="13" t="str">
        <f>Github!E$726</f>
        <v>Medium</v>
      </c>
      <c r="K597" s="13" t="str">
        <f>IF(TRIM(Github!D$726)="TRUE","FALSE","TRUE")</f>
        <v>TRUE</v>
      </c>
      <c r="L597" s="13" t="b">
        <f>Github!M$726</f>
        <v>1</v>
      </c>
      <c r="M597" s="13" t="b">
        <f>Github!N$726</f>
        <v>0</v>
      </c>
      <c r="N597" s="13">
        <f>Github!P$726</f>
        <v>108110</v>
      </c>
      <c r="O597" s="13">
        <f>Github!Q$726</f>
        <v>188490</v>
      </c>
    </row>
    <row r="598">
      <c r="A598" s="13">
        <f>Github!J$447</f>
        <v>446</v>
      </c>
      <c r="B598" s="14" t="str">
        <f>HYPERLINK(CONCAT("http://leetcode.com/problems/",Github!C$447), Github!B$447)</f>
        <v>Arithmetic Slices II - Subsequence</v>
      </c>
      <c r="C598" s="13">
        <f>Github!F$447</f>
        <v>2186</v>
      </c>
      <c r="D598" s="13">
        <f>Github!G$447</f>
        <v>113</v>
      </c>
      <c r="E598" s="13">
        <f>Github!F$447+Github!G$447</f>
        <v>2299</v>
      </c>
      <c r="F598" s="15">
        <f t="shared" si="1"/>
        <v>19.35</v>
      </c>
      <c r="G598" s="13" t="str">
        <f>ROUND(Github!O$447, 2)&amp;"%"</f>
        <v>46.64%</v>
      </c>
      <c r="H598" s="13" t="str">
        <f>Github!H$447</f>
        <v>Algorithms</v>
      </c>
      <c r="I598" s="16" t="str">
        <f>SUBSTITUTE(Github!L$447, ";", ", ")</f>
        <v>Array, Dynamic Programming, </v>
      </c>
      <c r="J598" s="13" t="str">
        <f>Github!E$447</f>
        <v>Hard</v>
      </c>
      <c r="K598" s="13" t="str">
        <f>IF(TRIM(Github!D$447)="TRUE","FALSE","TRUE")</f>
        <v>TRUE</v>
      </c>
      <c r="L598" s="13" t="b">
        <f>Github!M$447</f>
        <v>1</v>
      </c>
      <c r="M598" s="13" t="b">
        <f>Github!N$447</f>
        <v>0</v>
      </c>
      <c r="N598" s="13">
        <f>Github!P$447</f>
        <v>72524</v>
      </c>
      <c r="O598" s="13">
        <f>Github!Q$447</f>
        <v>155509</v>
      </c>
    </row>
    <row r="599">
      <c r="A599" s="13">
        <f>Github!J$1432</f>
        <v>1431</v>
      </c>
      <c r="B599" s="14" t="str">
        <f>HYPERLINK(CONCAT("http://leetcode.com/problems/",Github!C$1432), Github!B$1432)</f>
        <v>Kids With the Greatest Number of Candies</v>
      </c>
      <c r="C599" s="13">
        <f>Github!F$1432</f>
        <v>2201</v>
      </c>
      <c r="D599" s="13">
        <f>Github!G$1432</f>
        <v>310</v>
      </c>
      <c r="E599" s="13">
        <f>Github!F$1432+Github!G$1432</f>
        <v>2511</v>
      </c>
      <c r="F599" s="15">
        <f t="shared" si="1"/>
        <v>7.1</v>
      </c>
      <c r="G599" s="13" t="str">
        <f>ROUND(Github!O$1432, 2)&amp;"%"</f>
        <v>87.39%</v>
      </c>
      <c r="H599" s="13" t="str">
        <f>Github!H$1432</f>
        <v>Algorithms</v>
      </c>
      <c r="I599" s="16" t="str">
        <f>SUBSTITUTE(Github!L$1432, ";", ", ")</f>
        <v>Array, </v>
      </c>
      <c r="J599" s="13" t="str">
        <f>Github!E$1432</f>
        <v>Easy</v>
      </c>
      <c r="K599" s="13" t="str">
        <f>IF(TRIM(Github!D$1432)="TRUE","FALSE","TRUE")</f>
        <v>TRUE</v>
      </c>
      <c r="L599" s="13" t="b">
        <f>Github!M$1432</f>
        <v>0</v>
      </c>
      <c r="M599" s="13" t="b">
        <f>Github!N$1432</f>
        <v>0</v>
      </c>
      <c r="N599" s="13">
        <f>Github!P$1432</f>
        <v>370142</v>
      </c>
      <c r="O599" s="13">
        <f>Github!Q$1432</f>
        <v>423564</v>
      </c>
    </row>
    <row r="600">
      <c r="A600" s="13">
        <f>Github!J$415</f>
        <v>414</v>
      </c>
      <c r="B600" s="14" t="str">
        <f>HYPERLINK(CONCAT("http://leetcode.com/problems/",Github!C$415), Github!B$415)</f>
        <v>Third Maximum Number</v>
      </c>
      <c r="C600" s="13">
        <f>Github!F$415</f>
        <v>2193</v>
      </c>
      <c r="D600" s="13">
        <f>Github!G$415</f>
        <v>2629</v>
      </c>
      <c r="E600" s="13">
        <f>Github!F$415+Github!G$415</f>
        <v>4822</v>
      </c>
      <c r="F600" s="15">
        <f t="shared" si="1"/>
        <v>0.83</v>
      </c>
      <c r="G600" s="13" t="str">
        <f>ROUND(Github!O$415, 2)&amp;"%"</f>
        <v>32.78%</v>
      </c>
      <c r="H600" s="13" t="str">
        <f>Github!H$415</f>
        <v>Algorithms</v>
      </c>
      <c r="I600" s="16" t="str">
        <f>SUBSTITUTE(Github!L$415, ";", ", ")</f>
        <v>Array, Sorting, </v>
      </c>
      <c r="J600" s="13" t="str">
        <f>Github!E$415</f>
        <v>Easy</v>
      </c>
      <c r="K600" s="13" t="str">
        <f>IF(TRIM(Github!D$415)="TRUE","FALSE","TRUE")</f>
        <v>TRUE</v>
      </c>
      <c r="L600" s="13" t="b">
        <f>Github!M$415</f>
        <v>1</v>
      </c>
      <c r="M600" s="13" t="b">
        <f>Github!N$415</f>
        <v>0</v>
      </c>
      <c r="N600" s="13">
        <f>Github!P$415</f>
        <v>396432</v>
      </c>
      <c r="O600" s="13">
        <f>Github!Q$415</f>
        <v>1209266</v>
      </c>
    </row>
    <row r="601">
      <c r="A601" s="13">
        <f>Github!J$465</f>
        <v>464</v>
      </c>
      <c r="B601" s="14" t="str">
        <f>HYPERLINK(CONCAT("http://leetcode.com/problems/",Github!C$465), Github!B$465)</f>
        <v>Can I Win</v>
      </c>
      <c r="C601" s="13">
        <f>Github!F$465</f>
        <v>2176</v>
      </c>
      <c r="D601" s="13">
        <f>Github!G$465</f>
        <v>336</v>
      </c>
      <c r="E601" s="13">
        <f>Github!F$465+Github!G$465</f>
        <v>2512</v>
      </c>
      <c r="F601" s="15">
        <f t="shared" si="1"/>
        <v>6.48</v>
      </c>
      <c r="G601" s="13" t="str">
        <f>ROUND(Github!O$465, 2)&amp;"%"</f>
        <v>29.73%</v>
      </c>
      <c r="H601" s="13" t="str">
        <f>Github!H$465</f>
        <v>Algorithms</v>
      </c>
      <c r="I601" s="16" t="str">
        <f>SUBSTITUTE(Github!L$465, ";", ", ")</f>
        <v>Math, Dynamic Programming, Bit Manipulation, Memoization, Game Theory, Bitmask, </v>
      </c>
      <c r="J601" s="13" t="str">
        <f>Github!E$465</f>
        <v>Medium</v>
      </c>
      <c r="K601" s="13" t="str">
        <f>IF(TRIM(Github!D$465)="TRUE","FALSE","TRUE")</f>
        <v>TRUE</v>
      </c>
      <c r="L601" s="13" t="b">
        <f>Github!M$465</f>
        <v>0</v>
      </c>
      <c r="M601" s="13" t="b">
        <f>Github!N$465</f>
        <v>0</v>
      </c>
      <c r="N601" s="13">
        <f>Github!P$465</f>
        <v>82158</v>
      </c>
      <c r="O601" s="13">
        <f>Github!Q$465</f>
        <v>276325</v>
      </c>
    </row>
    <row r="602">
      <c r="A602" s="13">
        <f>Github!J$69</f>
        <v>68</v>
      </c>
      <c r="B602" s="14" t="str">
        <f>HYPERLINK(CONCAT("http://leetcode.com/problems/",Github!C$69), Github!B$69)</f>
        <v>Text Justification</v>
      </c>
      <c r="C602" s="13">
        <f>Github!F$69</f>
        <v>2170</v>
      </c>
      <c r="D602" s="13">
        <f>Github!G$69</f>
        <v>3369</v>
      </c>
      <c r="E602" s="13">
        <f>Github!F$69+Github!G$69</f>
        <v>5539</v>
      </c>
      <c r="F602" s="15">
        <f t="shared" si="1"/>
        <v>0.64</v>
      </c>
      <c r="G602" s="13" t="str">
        <f>ROUND(Github!O$69, 2)&amp;"%"</f>
        <v>37.01%</v>
      </c>
      <c r="H602" s="13" t="str">
        <f>Github!H$69</f>
        <v>Algorithms</v>
      </c>
      <c r="I602" s="16" t="str">
        <f>SUBSTITUTE(Github!L$69, ";", ", ")</f>
        <v>Array, String, Simulation, </v>
      </c>
      <c r="J602" s="13" t="str">
        <f>Github!E$69</f>
        <v>Hard</v>
      </c>
      <c r="K602" s="13" t="str">
        <f>IF(TRIM(Github!D$69)="TRUE","FALSE","TRUE")</f>
        <v>TRUE</v>
      </c>
      <c r="L602" s="13" t="b">
        <f>Github!M$69</f>
        <v>0</v>
      </c>
      <c r="M602" s="13" t="b">
        <f>Github!N$69</f>
        <v>0</v>
      </c>
      <c r="N602" s="13">
        <f>Github!P$69</f>
        <v>281566</v>
      </c>
      <c r="O602" s="13">
        <f>Github!Q$69</f>
        <v>760721</v>
      </c>
    </row>
    <row r="603">
      <c r="A603" s="13">
        <f>Github!J$1346</f>
        <v>1345</v>
      </c>
      <c r="B603" s="14" t="str">
        <f>HYPERLINK(CONCAT("http://leetcode.com/problems/",Github!C$1346), Github!B$1346)</f>
        <v>Jump Game IV</v>
      </c>
      <c r="C603" s="13">
        <f>Github!F$1346</f>
        <v>2175</v>
      </c>
      <c r="D603" s="13">
        <f>Github!G$1346</f>
        <v>83</v>
      </c>
      <c r="E603" s="13">
        <f>Github!F$1346+Github!G$1346</f>
        <v>2258</v>
      </c>
      <c r="F603" s="15">
        <f t="shared" si="1"/>
        <v>26.2</v>
      </c>
      <c r="G603" s="13" t="str">
        <f>ROUND(Github!O$1346, 2)&amp;"%"</f>
        <v>43.94%</v>
      </c>
      <c r="H603" s="13" t="str">
        <f>Github!H$1346</f>
        <v>Algorithms</v>
      </c>
      <c r="I603" s="16" t="str">
        <f>SUBSTITUTE(Github!L$1346, ";", ", ")</f>
        <v>Array, Hash Table, Breadth-First Search, </v>
      </c>
      <c r="J603" s="13" t="str">
        <f>Github!E$1346</f>
        <v>Hard</v>
      </c>
      <c r="K603" s="13" t="str">
        <f>IF(TRIM(Github!D$1346)="TRUE","FALSE","TRUE")</f>
        <v>TRUE</v>
      </c>
      <c r="L603" s="13" t="b">
        <f>Github!M$1346</f>
        <v>1</v>
      </c>
      <c r="M603" s="13" t="b">
        <f>Github!N$1346</f>
        <v>0</v>
      </c>
      <c r="N603" s="13">
        <f>Github!P$1346</f>
        <v>82397</v>
      </c>
      <c r="O603" s="13">
        <f>Github!Q$1346</f>
        <v>187539</v>
      </c>
    </row>
    <row r="604">
      <c r="A604" s="13">
        <f>Github!J$805</f>
        <v>804</v>
      </c>
      <c r="B604" s="14" t="str">
        <f>HYPERLINK(CONCAT("http://leetcode.com/problems/",Github!C$805), Github!B$805)</f>
        <v>Unique Morse Code Words</v>
      </c>
      <c r="C604" s="13">
        <f>Github!F$805</f>
        <v>2162</v>
      </c>
      <c r="D604" s="13">
        <f>Github!G$805</f>
        <v>1421</v>
      </c>
      <c r="E604" s="13">
        <f>Github!F$805+Github!G$805</f>
        <v>3583</v>
      </c>
      <c r="F604" s="15">
        <f t="shared" si="1"/>
        <v>1.52</v>
      </c>
      <c r="G604" s="13" t="str">
        <f>ROUND(Github!O$805, 2)&amp;"%"</f>
        <v>82.69%</v>
      </c>
      <c r="H604" s="13" t="str">
        <f>Github!H$805</f>
        <v>Algorithms</v>
      </c>
      <c r="I604" s="16" t="str">
        <f>SUBSTITUTE(Github!L$805, ";", ", ")</f>
        <v>Array, Hash Table, String, </v>
      </c>
      <c r="J604" s="13" t="str">
        <f>Github!E$805</f>
        <v>Easy</v>
      </c>
      <c r="K604" s="13" t="str">
        <f>IF(TRIM(Github!D$805)="TRUE","FALSE","TRUE")</f>
        <v>TRUE</v>
      </c>
      <c r="L604" s="13" t="b">
        <f>Github!M$805</f>
        <v>1</v>
      </c>
      <c r="M604" s="13" t="b">
        <f>Github!N$805</f>
        <v>0</v>
      </c>
      <c r="N604" s="13">
        <f>Github!P$805</f>
        <v>303153</v>
      </c>
      <c r="O604" s="13">
        <f>Github!Q$805</f>
        <v>366595</v>
      </c>
    </row>
    <row r="605">
      <c r="A605" s="13">
        <f>Github!J$951</f>
        <v>950</v>
      </c>
      <c r="B605" s="14" t="str">
        <f>HYPERLINK(CONCAT("http://leetcode.com/problems/",Github!C$951), Github!B$951)</f>
        <v>Reveal Cards In Increasing Order</v>
      </c>
      <c r="C605" s="13">
        <f>Github!F$951</f>
        <v>2155</v>
      </c>
      <c r="D605" s="13">
        <f>Github!G$951</f>
        <v>307</v>
      </c>
      <c r="E605" s="13">
        <f>Github!F$951+Github!G$951</f>
        <v>2462</v>
      </c>
      <c r="F605" s="15">
        <f t="shared" si="1"/>
        <v>7.02</v>
      </c>
      <c r="G605" s="13" t="str">
        <f>ROUND(Github!O$951, 2)&amp;"%"</f>
        <v>77.74%</v>
      </c>
      <c r="H605" s="13" t="str">
        <f>Github!H$951</f>
        <v>Algorithms</v>
      </c>
      <c r="I605" s="16" t="str">
        <f>SUBSTITUTE(Github!L$951, ";", ", ")</f>
        <v>Array, Queue, Sorting, Simulation, </v>
      </c>
      <c r="J605" s="13" t="str">
        <f>Github!E$951</f>
        <v>Medium</v>
      </c>
      <c r="K605" s="13" t="str">
        <f>IF(TRIM(Github!D$951)="TRUE","FALSE","TRUE")</f>
        <v>TRUE</v>
      </c>
      <c r="L605" s="13" t="b">
        <f>Github!M$951</f>
        <v>1</v>
      </c>
      <c r="M605" s="13" t="b">
        <f>Github!N$951</f>
        <v>0</v>
      </c>
      <c r="N605" s="13">
        <f>Github!P$951</f>
        <v>64257</v>
      </c>
      <c r="O605" s="13">
        <f>Github!Q$951</f>
        <v>82660</v>
      </c>
    </row>
    <row r="606">
      <c r="A606" s="13">
        <f>Github!J$1015</f>
        <v>1014</v>
      </c>
      <c r="B606" s="14" t="str">
        <f>HYPERLINK(CONCAT("http://leetcode.com/problems/",Github!C$1015), Github!B$1015)</f>
        <v>Best Sightseeing Pair</v>
      </c>
      <c r="C606" s="13">
        <f>Github!F$1015</f>
        <v>2155</v>
      </c>
      <c r="D606" s="13">
        <f>Github!G$1015</f>
        <v>47</v>
      </c>
      <c r="E606" s="13">
        <f>Github!F$1015+Github!G$1015</f>
        <v>2202</v>
      </c>
      <c r="F606" s="15">
        <f t="shared" si="1"/>
        <v>45.85</v>
      </c>
      <c r="G606" s="13" t="str">
        <f>ROUND(Github!O$1015, 2)&amp;"%"</f>
        <v>59.51%</v>
      </c>
      <c r="H606" s="13" t="str">
        <f>Github!H$1015</f>
        <v>Algorithms</v>
      </c>
      <c r="I606" s="16" t="str">
        <f>SUBSTITUTE(Github!L$1015, ";", ", ")</f>
        <v>Array, Dynamic Programming, </v>
      </c>
      <c r="J606" s="13" t="str">
        <f>Github!E$1015</f>
        <v>Medium</v>
      </c>
      <c r="K606" s="13" t="str">
        <f>IF(TRIM(Github!D$1015)="TRUE","FALSE","TRUE")</f>
        <v>TRUE</v>
      </c>
      <c r="L606" s="13" t="b">
        <f>Github!M$1015</f>
        <v>0</v>
      </c>
      <c r="M606" s="13" t="b">
        <f>Github!N$1015</f>
        <v>0</v>
      </c>
      <c r="N606" s="13">
        <f>Github!P$1015</f>
        <v>78063</v>
      </c>
      <c r="O606" s="13">
        <f>Github!Q$1015</f>
        <v>131182</v>
      </c>
    </row>
    <row r="607">
      <c r="A607" s="13">
        <f>Github!J$923</f>
        <v>922</v>
      </c>
      <c r="B607" s="14" t="str">
        <f>HYPERLINK(CONCAT("http://leetcode.com/problems/",Github!C$923), Github!B$923)</f>
        <v>Sort Array By Parity II</v>
      </c>
      <c r="C607" s="13">
        <f>Github!F$923</f>
        <v>2151</v>
      </c>
      <c r="D607" s="13">
        <f>Github!G$923</f>
        <v>79</v>
      </c>
      <c r="E607" s="13">
        <f>Github!F$923+Github!G$923</f>
        <v>2230</v>
      </c>
      <c r="F607" s="15">
        <f t="shared" si="1"/>
        <v>27.23</v>
      </c>
      <c r="G607" s="13" t="str">
        <f>ROUND(Github!O$923, 2)&amp;"%"</f>
        <v>70.72%</v>
      </c>
      <c r="H607" s="13" t="str">
        <f>Github!H$923</f>
        <v>Algorithms</v>
      </c>
      <c r="I607" s="16" t="str">
        <f>SUBSTITUTE(Github!L$923, ";", ", ")</f>
        <v>Array, Two Pointers, Sorting, </v>
      </c>
      <c r="J607" s="13" t="str">
        <f>Github!E$923</f>
        <v>Easy</v>
      </c>
      <c r="K607" s="13" t="str">
        <f>IF(TRIM(Github!D$923)="TRUE","FALSE","TRUE")</f>
        <v>TRUE</v>
      </c>
      <c r="L607" s="13" t="b">
        <f>Github!M$923</f>
        <v>1</v>
      </c>
      <c r="M607" s="13" t="b">
        <f>Github!N$923</f>
        <v>1</v>
      </c>
      <c r="N607" s="13">
        <f>Github!P$923</f>
        <v>207509</v>
      </c>
      <c r="O607" s="13">
        <f>Github!Q$923</f>
        <v>293439</v>
      </c>
    </row>
    <row r="608">
      <c r="A608" s="13">
        <f>Github!J$1032</f>
        <v>1031</v>
      </c>
      <c r="B608" s="14" t="str">
        <f>HYPERLINK(CONCAT("http://leetcode.com/problems/",Github!C$1032), Github!B$1032)</f>
        <v>Maximum Sum of Two Non-Overlapping Subarrays</v>
      </c>
      <c r="C608" s="13">
        <f>Github!F$1032</f>
        <v>2150</v>
      </c>
      <c r="D608" s="13">
        <f>Github!G$1032</f>
        <v>75</v>
      </c>
      <c r="E608" s="13">
        <f>Github!F$1032+Github!G$1032</f>
        <v>2225</v>
      </c>
      <c r="F608" s="15">
        <f t="shared" si="1"/>
        <v>28.67</v>
      </c>
      <c r="G608" s="13" t="str">
        <f>ROUND(Github!O$1032, 2)&amp;"%"</f>
        <v>59.53%</v>
      </c>
      <c r="H608" s="13" t="str">
        <f>Github!H$1032</f>
        <v>Algorithms</v>
      </c>
      <c r="I608" s="16" t="str">
        <f>SUBSTITUTE(Github!L$1032, ";", ", ")</f>
        <v>Array, Dynamic Programming, Sliding Window, </v>
      </c>
      <c r="J608" s="13" t="str">
        <f>Github!E$1032</f>
        <v>Medium</v>
      </c>
      <c r="K608" s="13" t="str">
        <f>IF(TRIM(Github!D$1032)="TRUE","FALSE","TRUE")</f>
        <v>TRUE</v>
      </c>
      <c r="L608" s="13" t="b">
        <f>Github!M$1032</f>
        <v>0</v>
      </c>
      <c r="M608" s="13" t="b">
        <f>Github!N$1032</f>
        <v>0</v>
      </c>
      <c r="N608" s="13">
        <f>Github!P$1032</f>
        <v>59619</v>
      </c>
      <c r="O608" s="13">
        <f>Github!Q$1032</f>
        <v>100155</v>
      </c>
    </row>
    <row r="609">
      <c r="A609" s="13">
        <f>Github!J$1921</f>
        <v>1920</v>
      </c>
      <c r="B609" s="14" t="str">
        <f>HYPERLINK(CONCAT("http://leetcode.com/problems/",Github!C$1921), Github!B$1921)</f>
        <v>Build Array from Permutation</v>
      </c>
      <c r="C609" s="13">
        <f>Github!F$1921</f>
        <v>2168</v>
      </c>
      <c r="D609" s="13">
        <f>Github!G$1921</f>
        <v>240</v>
      </c>
      <c r="E609" s="13">
        <f>Github!F$1921+Github!G$1921</f>
        <v>2408</v>
      </c>
      <c r="F609" s="15">
        <f t="shared" si="1"/>
        <v>9.03</v>
      </c>
      <c r="G609" s="13" t="str">
        <f>ROUND(Github!O$1921, 2)&amp;"%"</f>
        <v>90.95%</v>
      </c>
      <c r="H609" s="13" t="str">
        <f>Github!H$1921</f>
        <v>Algorithms</v>
      </c>
      <c r="I609" s="16" t="str">
        <f>SUBSTITUTE(Github!L$1921, ";", ", ")</f>
        <v>Array, Simulation, </v>
      </c>
      <c r="J609" s="13" t="str">
        <f>Github!E$1921</f>
        <v>Easy</v>
      </c>
      <c r="K609" s="13" t="str">
        <f>IF(TRIM(Github!D$1921)="TRUE","FALSE","TRUE")</f>
        <v>TRUE</v>
      </c>
      <c r="L609" s="13" t="b">
        <f>Github!M$1921</f>
        <v>0</v>
      </c>
      <c r="M609" s="13" t="b">
        <f>Github!N$1921</f>
        <v>0</v>
      </c>
      <c r="N609" s="13">
        <f>Github!P$1921</f>
        <v>273172</v>
      </c>
      <c r="O609" s="13">
        <f>Github!Q$1921</f>
        <v>300338</v>
      </c>
    </row>
    <row r="610">
      <c r="A610" s="13">
        <f>Github!J$1222</f>
        <v>1221</v>
      </c>
      <c r="B610" s="14" t="str">
        <f>HYPERLINK(CONCAT("http://leetcode.com/problems/",Github!C$1222), Github!B$1222)</f>
        <v>Split a String in Balanced Strings</v>
      </c>
      <c r="C610" s="13">
        <f>Github!F$1222</f>
        <v>2141</v>
      </c>
      <c r="D610" s="13">
        <f>Github!G$1222</f>
        <v>819</v>
      </c>
      <c r="E610" s="13">
        <f>Github!F$1222+Github!G$1222</f>
        <v>2960</v>
      </c>
      <c r="F610" s="15">
        <f t="shared" si="1"/>
        <v>2.61</v>
      </c>
      <c r="G610" s="13" t="str">
        <f>ROUND(Github!O$1222, 2)&amp;"%"</f>
        <v>84.9%</v>
      </c>
      <c r="H610" s="13" t="str">
        <f>Github!H$1222</f>
        <v>Algorithms</v>
      </c>
      <c r="I610" s="16" t="str">
        <f>SUBSTITUTE(Github!L$1222, ";", ", ")</f>
        <v>String, Greedy, Counting, </v>
      </c>
      <c r="J610" s="13" t="str">
        <f>Github!E$1222</f>
        <v>Easy</v>
      </c>
      <c r="K610" s="13" t="str">
        <f>IF(TRIM(Github!D$1222)="TRUE","FALSE","TRUE")</f>
        <v>TRUE</v>
      </c>
      <c r="L610" s="13" t="b">
        <f>Github!M$1222</f>
        <v>0</v>
      </c>
      <c r="M610" s="13" t="b">
        <f>Github!N$1222</f>
        <v>0</v>
      </c>
      <c r="N610" s="13">
        <f>Github!P$1222</f>
        <v>229479</v>
      </c>
      <c r="O610" s="13">
        <f>Github!Q$1222</f>
        <v>270281</v>
      </c>
    </row>
    <row r="611">
      <c r="A611" s="13">
        <f>Github!J$949</f>
        <v>948</v>
      </c>
      <c r="B611" s="14" t="str">
        <f>HYPERLINK(CONCAT("http://leetcode.com/problems/",Github!C$949), Github!B$949)</f>
        <v>Bag of Tokens</v>
      </c>
      <c r="C611" s="13">
        <f>Github!F$949</f>
        <v>2116</v>
      </c>
      <c r="D611" s="13">
        <f>Github!G$949</f>
        <v>412</v>
      </c>
      <c r="E611" s="13">
        <f>Github!F$949+Github!G$949</f>
        <v>2528</v>
      </c>
      <c r="F611" s="15">
        <f t="shared" si="1"/>
        <v>5.14</v>
      </c>
      <c r="G611" s="13" t="str">
        <f>ROUND(Github!O$949, 2)&amp;"%"</f>
        <v>52.09%</v>
      </c>
      <c r="H611" s="13" t="str">
        <f>Github!H$949</f>
        <v>Algorithms</v>
      </c>
      <c r="I611" s="16" t="str">
        <f>SUBSTITUTE(Github!L$949, ";", ", ")</f>
        <v>Array, Two Pointers, Greedy, Sorting, </v>
      </c>
      <c r="J611" s="13" t="str">
        <f>Github!E$949</f>
        <v>Medium</v>
      </c>
      <c r="K611" s="13" t="str">
        <f>IF(TRIM(Github!D$949)="TRUE","FALSE","TRUE")</f>
        <v>TRUE</v>
      </c>
      <c r="L611" s="13" t="b">
        <f>Github!M$949</f>
        <v>1</v>
      </c>
      <c r="M611" s="13" t="b">
        <f>Github!N$949</f>
        <v>0</v>
      </c>
      <c r="N611" s="13">
        <f>Github!P$949</f>
        <v>98507</v>
      </c>
      <c r="O611" s="13">
        <f>Github!Q$949</f>
        <v>189109</v>
      </c>
    </row>
    <row r="612">
      <c r="A612" s="13">
        <f>Github!J$2008</f>
        <v>2007</v>
      </c>
      <c r="B612" s="14" t="str">
        <f>HYPERLINK(CONCAT("http://leetcode.com/problems/",Github!C$2008), Github!B$2008)</f>
        <v>Find Original Array From Doubled Array</v>
      </c>
      <c r="C612" s="13">
        <f>Github!F$2008</f>
        <v>2115</v>
      </c>
      <c r="D612" s="13">
        <f>Github!G$2008</f>
        <v>107</v>
      </c>
      <c r="E612" s="13">
        <f>Github!F$2008+Github!G$2008</f>
        <v>2222</v>
      </c>
      <c r="F612" s="15">
        <f t="shared" si="1"/>
        <v>19.77</v>
      </c>
      <c r="G612" s="13" t="str">
        <f>ROUND(Github!O$2008, 2)&amp;"%"</f>
        <v>40.85%</v>
      </c>
      <c r="H612" s="13" t="str">
        <f>Github!H$2008</f>
        <v>Algorithms</v>
      </c>
      <c r="I612" s="16" t="str">
        <f>SUBSTITUTE(Github!L$2008, ";", ", ")</f>
        <v>Array, Hash Table, Greedy, Sorting, </v>
      </c>
      <c r="J612" s="13" t="str">
        <f>Github!E$2008</f>
        <v>Medium</v>
      </c>
      <c r="K612" s="13" t="str">
        <f>IF(TRIM(Github!D$2008)="TRUE","FALSE","TRUE")</f>
        <v>TRUE</v>
      </c>
      <c r="L612" s="13" t="b">
        <f>Github!M$2008</f>
        <v>1</v>
      </c>
      <c r="M612" s="13" t="b">
        <f>Github!N$2008</f>
        <v>0</v>
      </c>
      <c r="N612" s="13">
        <f>Github!P$2008</f>
        <v>115129</v>
      </c>
      <c r="O612" s="13">
        <f>Github!Q$2008</f>
        <v>281864</v>
      </c>
    </row>
    <row r="613">
      <c r="A613" s="13">
        <f>Github!J$930</f>
        <v>929</v>
      </c>
      <c r="B613" s="14" t="str">
        <f>HYPERLINK(CONCAT("http://leetcode.com/problems/",Github!C$930), Github!B$930)</f>
        <v>Unique Email Addresses</v>
      </c>
      <c r="C613" s="13">
        <f>Github!F$930</f>
        <v>2133</v>
      </c>
      <c r="D613" s="13">
        <f>Github!G$930</f>
        <v>268</v>
      </c>
      <c r="E613" s="13">
        <f>Github!F$930+Github!G$930</f>
        <v>2401</v>
      </c>
      <c r="F613" s="15">
        <f t="shared" si="1"/>
        <v>7.96</v>
      </c>
      <c r="G613" s="13" t="str">
        <f>ROUND(Github!O$930, 2)&amp;"%"</f>
        <v>67.14%</v>
      </c>
      <c r="H613" s="13" t="str">
        <f>Github!H$930</f>
        <v>Algorithms</v>
      </c>
      <c r="I613" s="16" t="str">
        <f>SUBSTITUTE(Github!L$930, ";", ", ")</f>
        <v>Array, Hash Table, String, </v>
      </c>
      <c r="J613" s="13" t="str">
        <f>Github!E$930</f>
        <v>Easy</v>
      </c>
      <c r="K613" s="13" t="str">
        <f>IF(TRIM(Github!D$930)="TRUE","FALSE","TRUE")</f>
        <v>TRUE</v>
      </c>
      <c r="L613" s="13" t="b">
        <f>Github!M$930</f>
        <v>1</v>
      </c>
      <c r="M613" s="13" t="b">
        <f>Github!N$930</f>
        <v>0</v>
      </c>
      <c r="N613" s="13">
        <f>Github!P$930</f>
        <v>403835</v>
      </c>
      <c r="O613" s="13">
        <f>Github!Q$930</f>
        <v>601518</v>
      </c>
    </row>
    <row r="614">
      <c r="A614" s="13">
        <f>Github!J$1090</f>
        <v>1089</v>
      </c>
      <c r="B614" s="14" t="str">
        <f>HYPERLINK(CONCAT("http://leetcode.com/problems/",Github!C$1090), Github!B$1090)</f>
        <v>Duplicate Zeros</v>
      </c>
      <c r="C614" s="13">
        <f>Github!F$1090</f>
        <v>2122</v>
      </c>
      <c r="D614" s="13">
        <f>Github!G$1090</f>
        <v>635</v>
      </c>
      <c r="E614" s="13">
        <f>Github!F$1090+Github!G$1090</f>
        <v>2757</v>
      </c>
      <c r="F614" s="15">
        <f t="shared" si="1"/>
        <v>3.34</v>
      </c>
      <c r="G614" s="13" t="str">
        <f>ROUND(Github!O$1090, 2)&amp;"%"</f>
        <v>51.52%</v>
      </c>
      <c r="H614" s="13" t="str">
        <f>Github!H$1090</f>
        <v>Algorithms</v>
      </c>
      <c r="I614" s="16" t="str">
        <f>SUBSTITUTE(Github!L$1090, ";", ", ")</f>
        <v>Array, Two Pointers, </v>
      </c>
      <c r="J614" s="13" t="str">
        <f>Github!E$1090</f>
        <v>Easy</v>
      </c>
      <c r="K614" s="13" t="str">
        <f>IF(TRIM(Github!D$1090)="TRUE","FALSE","TRUE")</f>
        <v>TRUE</v>
      </c>
      <c r="L614" s="13" t="b">
        <f>Github!M$1090</f>
        <v>1</v>
      </c>
      <c r="M614" s="13" t="b">
        <f>Github!N$1090</f>
        <v>0</v>
      </c>
      <c r="N614" s="13">
        <f>Github!P$1090</f>
        <v>326869</v>
      </c>
      <c r="O614" s="13">
        <f>Github!Q$1090</f>
        <v>634480</v>
      </c>
    </row>
    <row r="615">
      <c r="A615" s="13">
        <f>Github!J$1545</f>
        <v>1544</v>
      </c>
      <c r="B615" s="14" t="str">
        <f>HYPERLINK(CONCAT("http://leetcode.com/problems/",Github!C$1545), Github!B$1545)</f>
        <v>Make The String Great</v>
      </c>
      <c r="C615" s="13">
        <f>Github!F$1545</f>
        <v>2104</v>
      </c>
      <c r="D615" s="13">
        <f>Github!G$1545</f>
        <v>93</v>
      </c>
      <c r="E615" s="13">
        <f>Github!F$1545+Github!G$1545</f>
        <v>2197</v>
      </c>
      <c r="F615" s="15">
        <f t="shared" si="1"/>
        <v>22.62</v>
      </c>
      <c r="G615" s="13" t="str">
        <f>ROUND(Github!O$1545, 2)&amp;"%"</f>
        <v>63.31%</v>
      </c>
      <c r="H615" s="13" t="str">
        <f>Github!H$1545</f>
        <v>Algorithms</v>
      </c>
      <c r="I615" s="16" t="str">
        <f>SUBSTITUTE(Github!L$1545, ";", ", ")</f>
        <v>String, Stack, </v>
      </c>
      <c r="J615" s="13" t="str">
        <f>Github!E$1545</f>
        <v>Easy</v>
      </c>
      <c r="K615" s="13" t="str">
        <f>IF(TRIM(Github!D$1545)="TRUE","FALSE","TRUE")</f>
        <v>TRUE</v>
      </c>
      <c r="L615" s="13" t="b">
        <f>Github!M$1545</f>
        <v>1</v>
      </c>
      <c r="M615" s="13" t="b">
        <f>Github!N$1545</f>
        <v>0</v>
      </c>
      <c r="N615" s="13">
        <f>Github!P$1545</f>
        <v>129480</v>
      </c>
      <c r="O615" s="13">
        <f>Github!Q$1545</f>
        <v>204531</v>
      </c>
    </row>
    <row r="616">
      <c r="A616" s="13">
        <f>Github!J$257</f>
        <v>256</v>
      </c>
      <c r="B616" s="14" t="str">
        <f>HYPERLINK(CONCAT("http://leetcode.com/problems/",Github!C$257), Github!B$257)</f>
        <v>Paint House</v>
      </c>
      <c r="C616" s="13">
        <f>Github!F$257</f>
        <v>2092</v>
      </c>
      <c r="D616" s="13">
        <f>Github!G$257</f>
        <v>127</v>
      </c>
      <c r="E616" s="13">
        <f>Github!F$257+Github!G$257</f>
        <v>2219</v>
      </c>
      <c r="F616" s="15">
        <f t="shared" si="1"/>
        <v>16.47</v>
      </c>
      <c r="G616" s="13" t="str">
        <f>ROUND(Github!O$257, 2)&amp;"%"</f>
        <v>60.81%</v>
      </c>
      <c r="H616" s="13" t="str">
        <f>Github!H$257</f>
        <v>Algorithms</v>
      </c>
      <c r="I616" s="16" t="str">
        <f>SUBSTITUTE(Github!L$257, ";", ", ")</f>
        <v>Array, Dynamic Programming, </v>
      </c>
      <c r="J616" s="13" t="str">
        <f>Github!E$257</f>
        <v>Medium</v>
      </c>
      <c r="K616" s="13" t="str">
        <f>IF(TRIM(Github!D$257)="TRUE","FALSE","TRUE")</f>
        <v>FALSE</v>
      </c>
      <c r="L616" s="13" t="b">
        <f>Github!M$257</f>
        <v>1</v>
      </c>
      <c r="M616" s="13" t="b">
        <f>Github!N$257</f>
        <v>0</v>
      </c>
      <c r="N616" s="13">
        <f>Github!P$257</f>
        <v>180568</v>
      </c>
      <c r="O616" s="13">
        <f>Github!Q$257</f>
        <v>296944</v>
      </c>
    </row>
    <row r="617">
      <c r="A617" s="13">
        <f>Github!J$808</f>
        <v>807</v>
      </c>
      <c r="B617" s="14" t="str">
        <f>HYPERLINK(CONCAT("http://leetcode.com/problems/",Github!C$808), Github!B$808)</f>
        <v>Max Increase to Keep City Skyline</v>
      </c>
      <c r="C617" s="13">
        <f>Github!F$808</f>
        <v>2114</v>
      </c>
      <c r="D617" s="13">
        <f>Github!G$808</f>
        <v>464</v>
      </c>
      <c r="E617" s="13">
        <f>Github!F$808+Github!G$808</f>
        <v>2578</v>
      </c>
      <c r="F617" s="15">
        <f t="shared" si="1"/>
        <v>4.56</v>
      </c>
      <c r="G617" s="13" t="str">
        <f>ROUND(Github!O$808, 2)&amp;"%"</f>
        <v>86%</v>
      </c>
      <c r="H617" s="13" t="str">
        <f>Github!H$808</f>
        <v>Algorithms</v>
      </c>
      <c r="I617" s="16" t="str">
        <f>SUBSTITUTE(Github!L$808, ";", ", ")</f>
        <v>Array, Greedy, Matrix, </v>
      </c>
      <c r="J617" s="13" t="str">
        <f>Github!E$808</f>
        <v>Medium</v>
      </c>
      <c r="K617" s="13" t="str">
        <f>IF(TRIM(Github!D$808)="TRUE","FALSE","TRUE")</f>
        <v>TRUE</v>
      </c>
      <c r="L617" s="13" t="b">
        <f>Github!M$808</f>
        <v>1</v>
      </c>
      <c r="M617" s="13" t="b">
        <f>Github!N$808</f>
        <v>0</v>
      </c>
      <c r="N617" s="13">
        <f>Github!P$808</f>
        <v>139686</v>
      </c>
      <c r="O617" s="13">
        <f>Github!Q$808</f>
        <v>162428</v>
      </c>
    </row>
    <row r="618">
      <c r="A618" s="13">
        <f>Github!J$644</f>
        <v>643</v>
      </c>
      <c r="B618" s="14" t="str">
        <f>HYPERLINK(CONCAT("http://leetcode.com/problems/",Github!C$644), Github!B$644)</f>
        <v>Maximum Average Subarray I</v>
      </c>
      <c r="C618" s="13">
        <f>Github!F$644</f>
        <v>2108</v>
      </c>
      <c r="D618" s="13">
        <f>Github!G$644</f>
        <v>174</v>
      </c>
      <c r="E618" s="13">
        <f>Github!F$644+Github!G$644</f>
        <v>2282</v>
      </c>
      <c r="F618" s="15">
        <f t="shared" si="1"/>
        <v>12.11</v>
      </c>
      <c r="G618" s="13" t="str">
        <f>ROUND(Github!O$644, 2)&amp;"%"</f>
        <v>43.83%</v>
      </c>
      <c r="H618" s="13" t="str">
        <f>Github!H$644</f>
        <v>Algorithms</v>
      </c>
      <c r="I618" s="16" t="str">
        <f>SUBSTITUTE(Github!L$644, ";", ", ")</f>
        <v>Array, Sliding Window, </v>
      </c>
      <c r="J618" s="13" t="str">
        <f>Github!E$644</f>
        <v>Easy</v>
      </c>
      <c r="K618" s="13" t="str">
        <f>IF(TRIM(Github!D$644)="TRUE","FALSE","TRUE")</f>
        <v>TRUE</v>
      </c>
      <c r="L618" s="13" t="b">
        <f>Github!M$644</f>
        <v>1</v>
      </c>
      <c r="M618" s="13" t="b">
        <f>Github!N$644</f>
        <v>0</v>
      </c>
      <c r="N618" s="13">
        <f>Github!P$644</f>
        <v>184359</v>
      </c>
      <c r="O618" s="13">
        <f>Github!Q$644</f>
        <v>420648</v>
      </c>
    </row>
    <row r="619">
      <c r="A619" s="13">
        <f>Github!J$746</f>
        <v>745</v>
      </c>
      <c r="B619" s="14" t="str">
        <f>HYPERLINK(CONCAT("http://leetcode.com/problems/",Github!C$746), Github!B$746)</f>
        <v>Prefix and Suffix Search</v>
      </c>
      <c r="C619" s="13">
        <f>Github!F$746</f>
        <v>2079</v>
      </c>
      <c r="D619" s="13">
        <f>Github!G$746</f>
        <v>462</v>
      </c>
      <c r="E619" s="13">
        <f>Github!F$746+Github!G$746</f>
        <v>2541</v>
      </c>
      <c r="F619" s="15">
        <f t="shared" si="1"/>
        <v>4.5</v>
      </c>
      <c r="G619" s="13" t="str">
        <f>ROUND(Github!O$746, 2)&amp;"%"</f>
        <v>41.29%</v>
      </c>
      <c r="H619" s="13" t="str">
        <f>Github!H$746</f>
        <v>Algorithms</v>
      </c>
      <c r="I619" s="16" t="str">
        <f>SUBSTITUTE(Github!L$746, ";", ", ")</f>
        <v>Hash Table, String, Design, Trie, </v>
      </c>
      <c r="J619" s="13" t="str">
        <f>Github!E$746</f>
        <v>Hard</v>
      </c>
      <c r="K619" s="13" t="str">
        <f>IF(TRIM(Github!D$746)="TRUE","FALSE","TRUE")</f>
        <v>TRUE</v>
      </c>
      <c r="L619" s="13" t="b">
        <f>Github!M$746</f>
        <v>1</v>
      </c>
      <c r="M619" s="13" t="b">
        <f>Github!N$746</f>
        <v>0</v>
      </c>
      <c r="N619" s="13">
        <f>Github!P$746</f>
        <v>88170</v>
      </c>
      <c r="O619" s="13">
        <f>Github!Q$746</f>
        <v>213534</v>
      </c>
    </row>
    <row r="620">
      <c r="A620" s="13">
        <f>Github!J$1824</f>
        <v>1823</v>
      </c>
      <c r="B620" s="14" t="str">
        <f>HYPERLINK(CONCAT("http://leetcode.com/problems/",Github!C$1824), Github!B$1824)</f>
        <v>Find the Winner of the Circular Game</v>
      </c>
      <c r="C620" s="13">
        <f>Github!F$1824</f>
        <v>2098</v>
      </c>
      <c r="D620" s="13">
        <f>Github!G$1824</f>
        <v>38</v>
      </c>
      <c r="E620" s="13">
        <f>Github!F$1824+Github!G$1824</f>
        <v>2136</v>
      </c>
      <c r="F620" s="15">
        <f t="shared" si="1"/>
        <v>55.21</v>
      </c>
      <c r="G620" s="13" t="str">
        <f>ROUND(Github!O$1824, 2)&amp;"%"</f>
        <v>78.02%</v>
      </c>
      <c r="H620" s="13" t="str">
        <f>Github!H$1824</f>
        <v>Algorithms</v>
      </c>
      <c r="I620" s="16" t="str">
        <f>SUBSTITUTE(Github!L$1824, ";", ", ")</f>
        <v>Array, Math, Recursion, Queue, Simulation, </v>
      </c>
      <c r="J620" s="13" t="str">
        <f>Github!E$1824</f>
        <v>Medium</v>
      </c>
      <c r="K620" s="13" t="str">
        <f>IF(TRIM(Github!D$1824)="TRUE","FALSE","TRUE")</f>
        <v>TRUE</v>
      </c>
      <c r="L620" s="13" t="b">
        <f>Github!M$1824</f>
        <v>0</v>
      </c>
      <c r="M620" s="13" t="b">
        <f>Github!N$1824</f>
        <v>0</v>
      </c>
      <c r="N620" s="13">
        <f>Github!P$1824</f>
        <v>78450</v>
      </c>
      <c r="O620" s="13">
        <f>Github!Q$1824</f>
        <v>100558</v>
      </c>
    </row>
    <row r="621">
      <c r="A621" s="13">
        <f>Github!J$1658</f>
        <v>1657</v>
      </c>
      <c r="B621" s="14" t="str">
        <f>HYPERLINK(CONCAT("http://leetcode.com/problems/",Github!C$1658), Github!B$1658)</f>
        <v>Determine if Two Strings Are Close</v>
      </c>
      <c r="C621" s="13">
        <f>Github!F$1658</f>
        <v>2093</v>
      </c>
      <c r="D621" s="13">
        <f>Github!G$1658</f>
        <v>95</v>
      </c>
      <c r="E621" s="13">
        <f>Github!F$1658+Github!G$1658</f>
        <v>2188</v>
      </c>
      <c r="F621" s="15">
        <f t="shared" si="1"/>
        <v>22.03</v>
      </c>
      <c r="G621" s="13" t="str">
        <f>ROUND(Github!O$1658, 2)&amp;"%"</f>
        <v>56.39%</v>
      </c>
      <c r="H621" s="13" t="str">
        <f>Github!H$1658</f>
        <v>Algorithms</v>
      </c>
      <c r="I621" s="16" t="str">
        <f>SUBSTITUTE(Github!L$1658, ";", ", ")</f>
        <v>Hash Table, String, Sorting, </v>
      </c>
      <c r="J621" s="13" t="str">
        <f>Github!E$1658</f>
        <v>Medium</v>
      </c>
      <c r="K621" s="13" t="str">
        <f>IF(TRIM(Github!D$1658)="TRUE","FALSE","TRUE")</f>
        <v>TRUE</v>
      </c>
      <c r="L621" s="13" t="b">
        <f>Github!M$1658</f>
        <v>1</v>
      </c>
      <c r="M621" s="13" t="b">
        <f>Github!N$1658</f>
        <v>0</v>
      </c>
      <c r="N621" s="13">
        <f>Github!P$1658</f>
        <v>102959</v>
      </c>
      <c r="O621" s="13">
        <f>Github!Q$1658</f>
        <v>182583</v>
      </c>
    </row>
    <row r="622">
      <c r="A622" s="13">
        <f>Github!J$854</f>
        <v>853</v>
      </c>
      <c r="B622" s="14" t="str">
        <f>HYPERLINK(CONCAT("http://leetcode.com/problems/",Github!C$854), Github!B$854)</f>
        <v>Car Fleet</v>
      </c>
      <c r="C622" s="13">
        <f>Github!F$854</f>
        <v>2100</v>
      </c>
      <c r="D622" s="13">
        <f>Github!G$854</f>
        <v>523</v>
      </c>
      <c r="E622" s="13">
        <f>Github!F$854+Github!G$854</f>
        <v>2623</v>
      </c>
      <c r="F622" s="15">
        <f t="shared" si="1"/>
        <v>4.02</v>
      </c>
      <c r="G622" s="13" t="str">
        <f>ROUND(Github!O$854, 2)&amp;"%"</f>
        <v>50.15%</v>
      </c>
      <c r="H622" s="13" t="str">
        <f>Github!H$854</f>
        <v>Algorithms</v>
      </c>
      <c r="I622" s="16" t="str">
        <f>SUBSTITUTE(Github!L$854, ";", ", ")</f>
        <v>Array, Stack, Sorting, Monotonic Stack, </v>
      </c>
      <c r="J622" s="13" t="str">
        <f>Github!E$854</f>
        <v>Medium</v>
      </c>
      <c r="K622" s="13" t="str">
        <f>IF(TRIM(Github!D$854)="TRUE","FALSE","TRUE")</f>
        <v>TRUE</v>
      </c>
      <c r="L622" s="13" t="b">
        <f>Github!M$854</f>
        <v>0</v>
      </c>
      <c r="M622" s="13" t="b">
        <f>Github!N$854</f>
        <v>0</v>
      </c>
      <c r="N622" s="13">
        <f>Github!P$854</f>
        <v>117536</v>
      </c>
      <c r="O622" s="13">
        <f>Github!Q$854</f>
        <v>234369</v>
      </c>
    </row>
    <row r="623">
      <c r="A623" s="13">
        <f>Github!J$1833</f>
        <v>1832</v>
      </c>
      <c r="B623" s="14" t="str">
        <f>HYPERLINK(CONCAT("http://leetcode.com/problems/",Github!C$1833), Github!B$1833)</f>
        <v>Check if the Sentence Is Pangram</v>
      </c>
      <c r="C623" s="13">
        <f>Github!F$1833</f>
        <v>2076</v>
      </c>
      <c r="D623" s="13">
        <f>Github!G$1833</f>
        <v>47</v>
      </c>
      <c r="E623" s="13">
        <f>Github!F$1833+Github!G$1833</f>
        <v>2123</v>
      </c>
      <c r="F623" s="15">
        <f t="shared" si="1"/>
        <v>44.17</v>
      </c>
      <c r="G623" s="13" t="str">
        <f>ROUND(Github!O$1833, 2)&amp;"%"</f>
        <v>83.75%</v>
      </c>
      <c r="H623" s="13" t="str">
        <f>Github!H$1833</f>
        <v>Algorithms</v>
      </c>
      <c r="I623" s="16" t="str">
        <f>SUBSTITUTE(Github!L$1833, ";", ", ")</f>
        <v>Hash Table, String, </v>
      </c>
      <c r="J623" s="13" t="str">
        <f>Github!E$1833</f>
        <v>Easy</v>
      </c>
      <c r="K623" s="13" t="str">
        <f>IF(TRIM(Github!D$1833)="TRUE","FALSE","TRUE")</f>
        <v>TRUE</v>
      </c>
      <c r="L623" s="13" t="b">
        <f>Github!M$1833</f>
        <v>1</v>
      </c>
      <c r="M623" s="13" t="b">
        <f>Github!N$1833</f>
        <v>0</v>
      </c>
      <c r="N623" s="13">
        <f>Github!P$1833</f>
        <v>203877</v>
      </c>
      <c r="O623" s="13">
        <f>Github!Q$1833</f>
        <v>243428</v>
      </c>
    </row>
    <row r="624">
      <c r="A624" s="13">
        <f>Github!J$1637</f>
        <v>1636</v>
      </c>
      <c r="B624" s="14" t="str">
        <f>HYPERLINK(CONCAT("http://leetcode.com/problems/",Github!C$1637), Github!B$1637)</f>
        <v>Sort Array by Increasing Frequency</v>
      </c>
      <c r="C624" s="13">
        <f>Github!F$1637</f>
        <v>2076</v>
      </c>
      <c r="D624" s="13">
        <f>Github!G$1637</f>
        <v>82</v>
      </c>
      <c r="E624" s="13">
        <f>Github!F$1637+Github!G$1637</f>
        <v>2158</v>
      </c>
      <c r="F624" s="15">
        <f t="shared" si="1"/>
        <v>25.32</v>
      </c>
      <c r="G624" s="13" t="str">
        <f>ROUND(Github!O$1637, 2)&amp;"%"</f>
        <v>68.97%</v>
      </c>
      <c r="H624" s="13" t="str">
        <f>Github!H$1637</f>
        <v>Algorithms</v>
      </c>
      <c r="I624" s="16" t="str">
        <f>SUBSTITUTE(Github!L$1637, ";", ", ")</f>
        <v>Array, Hash Table, Sorting, </v>
      </c>
      <c r="J624" s="13" t="str">
        <f>Github!E$1637</f>
        <v>Easy</v>
      </c>
      <c r="K624" s="13" t="str">
        <f>IF(TRIM(Github!D$1637)="TRUE","FALSE","TRUE")</f>
        <v>TRUE</v>
      </c>
      <c r="L624" s="13" t="b">
        <f>Github!M$1637</f>
        <v>0</v>
      </c>
      <c r="M624" s="13" t="b">
        <f>Github!N$1637</f>
        <v>0</v>
      </c>
      <c r="N624" s="13">
        <f>Github!P$1637</f>
        <v>85662</v>
      </c>
      <c r="O624" s="13">
        <f>Github!Q$1637</f>
        <v>124199</v>
      </c>
    </row>
    <row r="625">
      <c r="A625" s="13">
        <f>Github!J$1080</f>
        <v>1079</v>
      </c>
      <c r="B625" s="14" t="str">
        <f>HYPERLINK(CONCAT("http://leetcode.com/problems/",Github!C$1080), Github!B$1080)</f>
        <v>Letter Tile Possibilities</v>
      </c>
      <c r="C625" s="13">
        <f>Github!F$1080</f>
        <v>2054</v>
      </c>
      <c r="D625" s="13">
        <f>Github!G$1080</f>
        <v>56</v>
      </c>
      <c r="E625" s="13">
        <f>Github!F$1080+Github!G$1080</f>
        <v>2110</v>
      </c>
      <c r="F625" s="15">
        <f t="shared" si="1"/>
        <v>36.68</v>
      </c>
      <c r="G625" s="13" t="str">
        <f>ROUND(Github!O$1080, 2)&amp;"%"</f>
        <v>76%</v>
      </c>
      <c r="H625" s="13" t="str">
        <f>Github!H$1080</f>
        <v>Algorithms</v>
      </c>
      <c r="I625" s="16" t="str">
        <f>SUBSTITUTE(Github!L$1080, ";", ", ")</f>
        <v>Hash Table, String, Backtracking, Counting, </v>
      </c>
      <c r="J625" s="13" t="str">
        <f>Github!E$1080</f>
        <v>Medium</v>
      </c>
      <c r="K625" s="13" t="str">
        <f>IF(TRIM(Github!D$1080)="TRUE","FALSE","TRUE")</f>
        <v>TRUE</v>
      </c>
      <c r="L625" s="13" t="b">
        <f>Github!M$1080</f>
        <v>0</v>
      </c>
      <c r="M625" s="13" t="b">
        <f>Github!N$1080</f>
        <v>0</v>
      </c>
      <c r="N625" s="13">
        <f>Github!P$1080</f>
        <v>80129</v>
      </c>
      <c r="O625" s="13">
        <f>Github!Q$1080</f>
        <v>105438</v>
      </c>
    </row>
    <row r="626">
      <c r="A626" s="13">
        <f>Github!J$1123</f>
        <v>1122</v>
      </c>
      <c r="B626" s="14" t="str">
        <f>HYPERLINK(CONCAT("http://leetcode.com/problems/",Github!C$1123), Github!B$1123)</f>
        <v>Relative Sort Array</v>
      </c>
      <c r="C626" s="13">
        <f>Github!F$1123</f>
        <v>2066</v>
      </c>
      <c r="D626" s="13">
        <f>Github!G$1123</f>
        <v>119</v>
      </c>
      <c r="E626" s="13">
        <f>Github!F$1123+Github!G$1123</f>
        <v>2185</v>
      </c>
      <c r="F626" s="15">
        <f t="shared" si="1"/>
        <v>17.36</v>
      </c>
      <c r="G626" s="13" t="str">
        <f>ROUND(Github!O$1123, 2)&amp;"%"</f>
        <v>68.51%</v>
      </c>
      <c r="H626" s="13" t="str">
        <f>Github!H$1123</f>
        <v>Algorithms</v>
      </c>
      <c r="I626" s="16" t="str">
        <f>SUBSTITUTE(Github!L$1123, ";", ", ")</f>
        <v>Array, Hash Table, Sorting, Counting Sort, </v>
      </c>
      <c r="J626" s="13" t="str">
        <f>Github!E$1123</f>
        <v>Easy</v>
      </c>
      <c r="K626" s="13" t="str">
        <f>IF(TRIM(Github!D$1123)="TRUE","FALSE","TRUE")</f>
        <v>TRUE</v>
      </c>
      <c r="L626" s="13" t="b">
        <f>Github!M$1123</f>
        <v>0</v>
      </c>
      <c r="M626" s="13" t="b">
        <f>Github!N$1123</f>
        <v>0</v>
      </c>
      <c r="N626" s="13">
        <f>Github!P$1123</f>
        <v>146671</v>
      </c>
      <c r="O626" s="13">
        <f>Github!Q$1123</f>
        <v>214100</v>
      </c>
    </row>
    <row r="627">
      <c r="A627" s="13">
        <f>Github!J$1147</f>
        <v>1146</v>
      </c>
      <c r="B627" s="14" t="str">
        <f>HYPERLINK(CONCAT("http://leetcode.com/problems/",Github!C$1147), Github!B$1147)</f>
        <v>Snapshot Array</v>
      </c>
      <c r="C627" s="13">
        <f>Github!F$1147</f>
        <v>2051</v>
      </c>
      <c r="D627" s="13">
        <f>Github!G$1147</f>
        <v>293</v>
      </c>
      <c r="E627" s="13">
        <f>Github!F$1147+Github!G$1147</f>
        <v>2344</v>
      </c>
      <c r="F627" s="15">
        <f t="shared" si="1"/>
        <v>7</v>
      </c>
      <c r="G627" s="13" t="str">
        <f>ROUND(Github!O$1147, 2)&amp;"%"</f>
        <v>37.29%</v>
      </c>
      <c r="H627" s="13" t="str">
        <f>Github!H$1147</f>
        <v>Algorithms</v>
      </c>
      <c r="I627" s="16" t="str">
        <f>SUBSTITUTE(Github!L$1147, ";", ", ")</f>
        <v>Array, Hash Table, Binary Search, Design, </v>
      </c>
      <c r="J627" s="13" t="str">
        <f>Github!E$1147</f>
        <v>Medium</v>
      </c>
      <c r="K627" s="13" t="str">
        <f>IF(TRIM(Github!D$1147)="TRUE","FALSE","TRUE")</f>
        <v>TRUE</v>
      </c>
      <c r="L627" s="13" t="b">
        <f>Github!M$1147</f>
        <v>0</v>
      </c>
      <c r="M627" s="13" t="b">
        <f>Github!N$1147</f>
        <v>0</v>
      </c>
      <c r="N627" s="13">
        <f>Github!P$1147</f>
        <v>136993</v>
      </c>
      <c r="O627" s="13">
        <f>Github!Q$1147</f>
        <v>367374</v>
      </c>
    </row>
    <row r="628">
      <c r="A628" s="13">
        <f>Github!J$2132</f>
        <v>2131</v>
      </c>
      <c r="B628" s="14" t="str">
        <f>HYPERLINK(CONCAT("http://leetcode.com/problems/",Github!C$2132), Github!B$2132)</f>
        <v>Longest Palindrome by Concatenating Two Letter Words</v>
      </c>
      <c r="C628" s="13">
        <f>Github!F$2132</f>
        <v>2051</v>
      </c>
      <c r="D628" s="13">
        <f>Github!G$2132</f>
        <v>39</v>
      </c>
      <c r="E628" s="13">
        <f>Github!F$2132+Github!G$2132</f>
        <v>2090</v>
      </c>
      <c r="F628" s="15">
        <f t="shared" si="1"/>
        <v>52.59</v>
      </c>
      <c r="G628" s="13" t="str">
        <f>ROUND(Github!O$2132, 2)&amp;"%"</f>
        <v>48.94%</v>
      </c>
      <c r="H628" s="13" t="str">
        <f>Github!H$2132</f>
        <v>Algorithms</v>
      </c>
      <c r="I628" s="16" t="str">
        <f>SUBSTITUTE(Github!L$2132, ";", ", ")</f>
        <v>Array, Hash Table, String, Greedy, Counting, </v>
      </c>
      <c r="J628" s="13" t="str">
        <f>Github!E$2132</f>
        <v>Medium</v>
      </c>
      <c r="K628" s="13" t="str">
        <f>IF(TRIM(Github!D$2132)="TRUE","FALSE","TRUE")</f>
        <v>TRUE</v>
      </c>
      <c r="L628" s="13" t="b">
        <f>Github!M$2132</f>
        <v>1</v>
      </c>
      <c r="M628" s="13" t="b">
        <f>Github!N$2132</f>
        <v>0</v>
      </c>
      <c r="N628" s="13">
        <f>Github!P$2132</f>
        <v>91540</v>
      </c>
      <c r="O628" s="13">
        <f>Github!Q$2132</f>
        <v>187062</v>
      </c>
    </row>
    <row r="629">
      <c r="A629" s="13">
        <f>Github!J$555</f>
        <v>554</v>
      </c>
      <c r="B629" s="14" t="str">
        <f>HYPERLINK(CONCAT("http://leetcode.com/problems/",Github!C$555), Github!B$555)</f>
        <v>Brick Wall</v>
      </c>
      <c r="C629" s="13">
        <f>Github!F$555</f>
        <v>2052</v>
      </c>
      <c r="D629" s="13">
        <f>Github!G$555</f>
        <v>114</v>
      </c>
      <c r="E629" s="13">
        <f>Github!F$555+Github!G$555</f>
        <v>2166</v>
      </c>
      <c r="F629" s="15">
        <f t="shared" si="1"/>
        <v>18</v>
      </c>
      <c r="G629" s="13" t="str">
        <f>ROUND(Github!O$555, 2)&amp;"%"</f>
        <v>53.29%</v>
      </c>
      <c r="H629" s="13" t="str">
        <f>Github!H$555</f>
        <v>Algorithms</v>
      </c>
      <c r="I629" s="16" t="str">
        <f>SUBSTITUTE(Github!L$555, ";", ", ")</f>
        <v>Array, Hash Table, </v>
      </c>
      <c r="J629" s="13" t="str">
        <f>Github!E$555</f>
        <v>Medium</v>
      </c>
      <c r="K629" s="13" t="str">
        <f>IF(TRIM(Github!D$555)="TRUE","FALSE","TRUE")</f>
        <v>TRUE</v>
      </c>
      <c r="L629" s="13" t="b">
        <f>Github!M$555</f>
        <v>1</v>
      </c>
      <c r="M629" s="13" t="b">
        <f>Github!N$555</f>
        <v>1</v>
      </c>
      <c r="N629" s="13">
        <f>Github!P$555</f>
        <v>110900</v>
      </c>
      <c r="O629" s="13">
        <f>Github!Q$555</f>
        <v>208094</v>
      </c>
    </row>
    <row r="630">
      <c r="A630" s="13">
        <f>Github!J$454</f>
        <v>453</v>
      </c>
      <c r="B630" s="14" t="str">
        <f>HYPERLINK(CONCAT("http://leetcode.com/problems/",Github!C$454), Github!B$454)</f>
        <v>Minimum Moves to Equal Array Elements</v>
      </c>
      <c r="C630" s="13">
        <f>Github!F$454</f>
        <v>2041</v>
      </c>
      <c r="D630" s="13">
        <f>Github!G$454</f>
        <v>1787</v>
      </c>
      <c r="E630" s="13">
        <f>Github!F$454+Github!G$454</f>
        <v>3828</v>
      </c>
      <c r="F630" s="15">
        <f t="shared" si="1"/>
        <v>1.14</v>
      </c>
      <c r="G630" s="13" t="str">
        <f>ROUND(Github!O$454, 2)&amp;"%"</f>
        <v>55.81%</v>
      </c>
      <c r="H630" s="13" t="str">
        <f>Github!H$454</f>
        <v>Algorithms</v>
      </c>
      <c r="I630" s="16" t="str">
        <f>SUBSTITUTE(Github!L$454, ";", ", ")</f>
        <v>Array, Math, </v>
      </c>
      <c r="J630" s="13" t="str">
        <f>Github!E$454</f>
        <v>Medium</v>
      </c>
      <c r="K630" s="13" t="str">
        <f>IF(TRIM(Github!D$454)="TRUE","FALSE","TRUE")</f>
        <v>TRUE</v>
      </c>
      <c r="L630" s="13" t="b">
        <f>Github!M$454</f>
        <v>1</v>
      </c>
      <c r="M630" s="13" t="b">
        <f>Github!N$454</f>
        <v>0</v>
      </c>
      <c r="N630" s="13">
        <f>Github!P$454</f>
        <v>145047</v>
      </c>
      <c r="O630" s="13">
        <f>Github!Q$454</f>
        <v>259891</v>
      </c>
    </row>
    <row r="631">
      <c r="A631" s="13">
        <f>Github!J$1680</f>
        <v>1679</v>
      </c>
      <c r="B631" s="14" t="str">
        <f>HYPERLINK(CONCAT("http://leetcode.com/problems/",Github!C$1680), Github!B$1680)</f>
        <v>Max Number of K-Sum Pairs</v>
      </c>
      <c r="C631" s="13">
        <f>Github!F$1680</f>
        <v>2030</v>
      </c>
      <c r="D631" s="13">
        <f>Github!G$1680</f>
        <v>47</v>
      </c>
      <c r="E631" s="13">
        <f>Github!F$1680+Github!G$1680</f>
        <v>2077</v>
      </c>
      <c r="F631" s="15">
        <f t="shared" si="1"/>
        <v>43.19</v>
      </c>
      <c r="G631" s="13" t="str">
        <f>ROUND(Github!O$1680, 2)&amp;"%"</f>
        <v>57.31%</v>
      </c>
      <c r="H631" s="13" t="str">
        <f>Github!H$1680</f>
        <v>Algorithms</v>
      </c>
      <c r="I631" s="16" t="str">
        <f>SUBSTITUTE(Github!L$1680, ";", ", ")</f>
        <v>Array, Hash Table, Two Pointers, Sorting, </v>
      </c>
      <c r="J631" s="13" t="str">
        <f>Github!E$1680</f>
        <v>Medium</v>
      </c>
      <c r="K631" s="13" t="str">
        <f>IF(TRIM(Github!D$1680)="TRUE","FALSE","TRUE")</f>
        <v>TRUE</v>
      </c>
      <c r="L631" s="13" t="b">
        <f>Github!M$1680</f>
        <v>1</v>
      </c>
      <c r="M631" s="13" t="b">
        <f>Github!N$1680</f>
        <v>0</v>
      </c>
      <c r="N631" s="13">
        <f>Github!P$1680</f>
        <v>118895</v>
      </c>
      <c r="O631" s="13">
        <f>Github!Q$1680</f>
        <v>207445</v>
      </c>
    </row>
    <row r="632">
      <c r="A632" s="13">
        <f>Github!J$1289</f>
        <v>1288</v>
      </c>
      <c r="B632" s="14" t="str">
        <f>HYPERLINK(CONCAT("http://leetcode.com/problems/",Github!C$1289), Github!B$1289)</f>
        <v>Remove Covered Intervals</v>
      </c>
      <c r="C632" s="13">
        <f>Github!F$1289</f>
        <v>2026</v>
      </c>
      <c r="D632" s="13">
        <f>Github!G$1289</f>
        <v>51</v>
      </c>
      <c r="E632" s="13">
        <f>Github!F$1289+Github!G$1289</f>
        <v>2077</v>
      </c>
      <c r="F632" s="15">
        <f t="shared" si="1"/>
        <v>39.73</v>
      </c>
      <c r="G632" s="13" t="str">
        <f>ROUND(Github!O$1289, 2)&amp;"%"</f>
        <v>57.16%</v>
      </c>
      <c r="H632" s="13" t="str">
        <f>Github!H$1289</f>
        <v>Algorithms</v>
      </c>
      <c r="I632" s="16" t="str">
        <f>SUBSTITUTE(Github!L$1289, ";", ", ")</f>
        <v>Array, Sorting, </v>
      </c>
      <c r="J632" s="13" t="str">
        <f>Github!E$1289</f>
        <v>Medium</v>
      </c>
      <c r="K632" s="13" t="str">
        <f>IF(TRIM(Github!D$1289)="TRUE","FALSE","TRUE")</f>
        <v>TRUE</v>
      </c>
      <c r="L632" s="13" t="b">
        <f>Github!M$1289</f>
        <v>1</v>
      </c>
      <c r="M632" s="13" t="b">
        <f>Github!N$1289</f>
        <v>0</v>
      </c>
      <c r="N632" s="13">
        <f>Github!P$1289</f>
        <v>104471</v>
      </c>
      <c r="O632" s="13">
        <f>Github!Q$1289</f>
        <v>182766</v>
      </c>
    </row>
    <row r="633">
      <c r="A633" s="13">
        <f>Github!J$683</f>
        <v>682</v>
      </c>
      <c r="B633" s="14" t="str">
        <f>HYPERLINK(CONCAT("http://leetcode.com/problems/",Github!C$683), Github!B$683)</f>
        <v>Baseball Game</v>
      </c>
      <c r="C633" s="13">
        <f>Github!F$683</f>
        <v>2041</v>
      </c>
      <c r="D633" s="13">
        <f>Github!G$683</f>
        <v>1738</v>
      </c>
      <c r="E633" s="13">
        <f>Github!F$683+Github!G$683</f>
        <v>3779</v>
      </c>
      <c r="F633" s="15">
        <f t="shared" si="1"/>
        <v>1.17</v>
      </c>
      <c r="G633" s="13" t="str">
        <f>ROUND(Github!O$683, 2)&amp;"%"</f>
        <v>73.86%</v>
      </c>
      <c r="H633" s="13" t="str">
        <f>Github!H$683</f>
        <v>Algorithms</v>
      </c>
      <c r="I633" s="16" t="str">
        <f>SUBSTITUTE(Github!L$683, ";", ", ")</f>
        <v>Array, Stack, Simulation, </v>
      </c>
      <c r="J633" s="13" t="str">
        <f>Github!E$683</f>
        <v>Easy</v>
      </c>
      <c r="K633" s="13" t="str">
        <f>IF(TRIM(Github!D$683)="TRUE","FALSE","TRUE")</f>
        <v>TRUE</v>
      </c>
      <c r="L633" s="13" t="b">
        <f>Github!M$683</f>
        <v>1</v>
      </c>
      <c r="M633" s="13" t="b">
        <f>Github!N$683</f>
        <v>0</v>
      </c>
      <c r="N633" s="13">
        <f>Github!P$683</f>
        <v>228914</v>
      </c>
      <c r="O633" s="13">
        <f>Github!Q$683</f>
        <v>309923</v>
      </c>
    </row>
    <row r="634">
      <c r="A634" s="13">
        <f>Github!J$1082</f>
        <v>1081</v>
      </c>
      <c r="B634" s="14" t="str">
        <f>HYPERLINK(CONCAT("http://leetcode.com/problems/",Github!C$1082), Github!B$1082)</f>
        <v>Smallest Subsequence of Distinct Characters</v>
      </c>
      <c r="C634" s="13">
        <f>Github!F$1082</f>
        <v>2027</v>
      </c>
      <c r="D634" s="13">
        <f>Github!G$1082</f>
        <v>162</v>
      </c>
      <c r="E634" s="13">
        <f>Github!F$1082+Github!G$1082</f>
        <v>2189</v>
      </c>
      <c r="F634" s="15">
        <f t="shared" si="1"/>
        <v>12.51</v>
      </c>
      <c r="G634" s="13" t="str">
        <f>ROUND(Github!O$1082, 2)&amp;"%"</f>
        <v>57.62%</v>
      </c>
      <c r="H634" s="13" t="str">
        <f>Github!H$1082</f>
        <v>Algorithms</v>
      </c>
      <c r="I634" s="16" t="str">
        <f>SUBSTITUTE(Github!L$1082, ";", ", ")</f>
        <v>String, Stack, Greedy, Monotonic Stack, </v>
      </c>
      <c r="J634" s="13" t="str">
        <f>Github!E$1082</f>
        <v>Medium</v>
      </c>
      <c r="K634" s="13" t="str">
        <f>IF(TRIM(Github!D$1082)="TRUE","FALSE","TRUE")</f>
        <v>TRUE</v>
      </c>
      <c r="L634" s="13" t="b">
        <f>Github!M$1082</f>
        <v>0</v>
      </c>
      <c r="M634" s="13" t="b">
        <f>Github!N$1082</f>
        <v>0</v>
      </c>
      <c r="N634" s="13">
        <f>Github!P$1082</f>
        <v>47075</v>
      </c>
      <c r="O634" s="13">
        <f>Github!Q$1082</f>
        <v>81705</v>
      </c>
    </row>
    <row r="635">
      <c r="A635" s="13">
        <f>Github!J$943</f>
        <v>942</v>
      </c>
      <c r="B635" s="14" t="str">
        <f>HYPERLINK(CONCAT("http://leetcode.com/problems/",Github!C$943), Github!B$943)</f>
        <v>DI String Match</v>
      </c>
      <c r="C635" s="13">
        <f>Github!F$943</f>
        <v>2035</v>
      </c>
      <c r="D635" s="13">
        <f>Github!G$943</f>
        <v>810</v>
      </c>
      <c r="E635" s="13">
        <f>Github!F$943+Github!G$943</f>
        <v>2845</v>
      </c>
      <c r="F635" s="15">
        <f t="shared" si="1"/>
        <v>2.51</v>
      </c>
      <c r="G635" s="13" t="str">
        <f>ROUND(Github!O$943, 2)&amp;"%"</f>
        <v>76.9%</v>
      </c>
      <c r="H635" s="13" t="str">
        <f>Github!H$943</f>
        <v>Algorithms</v>
      </c>
      <c r="I635" s="16" t="str">
        <f>SUBSTITUTE(Github!L$943, ";", ", ")</f>
        <v>Array, Two Pointers, String, Greedy, </v>
      </c>
      <c r="J635" s="13" t="str">
        <f>Github!E$943</f>
        <v>Easy</v>
      </c>
      <c r="K635" s="13" t="str">
        <f>IF(TRIM(Github!D$943)="TRUE","FALSE","TRUE")</f>
        <v>TRUE</v>
      </c>
      <c r="L635" s="13" t="b">
        <f>Github!M$943</f>
        <v>1</v>
      </c>
      <c r="M635" s="13" t="b">
        <f>Github!N$943</f>
        <v>0</v>
      </c>
      <c r="N635" s="13">
        <f>Github!P$943</f>
        <v>123479</v>
      </c>
      <c r="O635" s="13">
        <f>Github!Q$943</f>
        <v>160566</v>
      </c>
    </row>
    <row r="636">
      <c r="A636" s="13">
        <f>Github!J$566</f>
        <v>565</v>
      </c>
      <c r="B636" s="14" t="str">
        <f>HYPERLINK(CONCAT("http://leetcode.com/problems/",Github!C$566), Github!B$566)</f>
        <v>Array Nesting</v>
      </c>
      <c r="C636" s="13">
        <f>Github!F$566</f>
        <v>2018</v>
      </c>
      <c r="D636" s="13">
        <f>Github!G$566</f>
        <v>148</v>
      </c>
      <c r="E636" s="13">
        <f>Github!F$566+Github!G$566</f>
        <v>2166</v>
      </c>
      <c r="F636" s="15">
        <f t="shared" si="1"/>
        <v>13.64</v>
      </c>
      <c r="G636" s="13" t="str">
        <f>ROUND(Github!O$566, 2)&amp;"%"</f>
        <v>56.44%</v>
      </c>
      <c r="H636" s="13" t="str">
        <f>Github!H$566</f>
        <v>Algorithms</v>
      </c>
      <c r="I636" s="16" t="str">
        <f>SUBSTITUTE(Github!L$566, ";", ", ")</f>
        <v>Array, Depth-First Search, </v>
      </c>
      <c r="J636" s="13" t="str">
        <f>Github!E$566</f>
        <v>Medium</v>
      </c>
      <c r="K636" s="13" t="str">
        <f>IF(TRIM(Github!D$566)="TRUE","FALSE","TRUE")</f>
        <v>TRUE</v>
      </c>
      <c r="L636" s="13" t="b">
        <f>Github!M$566</f>
        <v>1</v>
      </c>
      <c r="M636" s="13" t="b">
        <f>Github!N$566</f>
        <v>0</v>
      </c>
      <c r="N636" s="13">
        <f>Github!P$566</f>
        <v>119942</v>
      </c>
      <c r="O636" s="13">
        <f>Github!Q$566</f>
        <v>212532</v>
      </c>
    </row>
    <row r="637">
      <c r="A637" s="13">
        <f>Github!J$695</f>
        <v>694</v>
      </c>
      <c r="B637" s="14" t="str">
        <f>HYPERLINK(CONCAT("http://leetcode.com/problems/",Github!C$695), Github!B$695)</f>
        <v>Number of Distinct Islands</v>
      </c>
      <c r="C637" s="13">
        <f>Github!F$695</f>
        <v>2015</v>
      </c>
      <c r="D637" s="13">
        <f>Github!G$695</f>
        <v>126</v>
      </c>
      <c r="E637" s="13">
        <f>Github!F$695+Github!G$695</f>
        <v>2141</v>
      </c>
      <c r="F637" s="15">
        <f t="shared" si="1"/>
        <v>15.99</v>
      </c>
      <c r="G637" s="13" t="str">
        <f>ROUND(Github!O$695, 2)&amp;"%"</f>
        <v>60.68%</v>
      </c>
      <c r="H637" s="13" t="str">
        <f>Github!H$695</f>
        <v>Algorithms</v>
      </c>
      <c r="I637" s="16" t="str">
        <f>SUBSTITUTE(Github!L$695, ";", ", ")</f>
        <v>Hash Table, Depth-First Search, Breadth-First Search, Union Find, Hash Function, </v>
      </c>
      <c r="J637" s="13" t="str">
        <f>Github!E$695</f>
        <v>Medium</v>
      </c>
      <c r="K637" s="13" t="str">
        <f>IF(TRIM(Github!D$695)="TRUE","FALSE","TRUE")</f>
        <v>FALSE</v>
      </c>
      <c r="L637" s="13" t="b">
        <f>Github!M$695</f>
        <v>1</v>
      </c>
      <c r="M637" s="13" t="b">
        <f>Github!N$695</f>
        <v>1</v>
      </c>
      <c r="N637" s="13">
        <f>Github!P$695</f>
        <v>143628</v>
      </c>
      <c r="O637" s="13">
        <f>Github!Q$695</f>
        <v>236691</v>
      </c>
    </row>
    <row r="638">
      <c r="A638" s="13">
        <f>Github!J$1315</f>
        <v>1314</v>
      </c>
      <c r="B638" s="14" t="str">
        <f>HYPERLINK(CONCAT("http://leetcode.com/problems/",Github!C$1315), Github!B$1315)</f>
        <v>Matrix Block Sum</v>
      </c>
      <c r="C638" s="13">
        <f>Github!F$1315</f>
        <v>2025</v>
      </c>
      <c r="D638" s="13">
        <f>Github!G$1315</f>
        <v>317</v>
      </c>
      <c r="E638" s="13">
        <f>Github!F$1315+Github!G$1315</f>
        <v>2342</v>
      </c>
      <c r="F638" s="15">
        <f t="shared" si="1"/>
        <v>6.39</v>
      </c>
      <c r="G638" s="13" t="str">
        <f>ROUND(Github!O$1315, 2)&amp;"%"</f>
        <v>75.4%</v>
      </c>
      <c r="H638" s="13" t="str">
        <f>Github!H$1315</f>
        <v>Algorithms</v>
      </c>
      <c r="I638" s="16" t="str">
        <f>SUBSTITUTE(Github!L$1315, ";", ", ")</f>
        <v>Array, Matrix, Prefix Sum, </v>
      </c>
      <c r="J638" s="13" t="str">
        <f>Github!E$1315</f>
        <v>Medium</v>
      </c>
      <c r="K638" s="13" t="str">
        <f>IF(TRIM(Github!D$1315)="TRUE","FALSE","TRUE")</f>
        <v>TRUE</v>
      </c>
      <c r="L638" s="13" t="b">
        <f>Github!M$1315</f>
        <v>0</v>
      </c>
      <c r="M638" s="13" t="b">
        <f>Github!N$1315</f>
        <v>0</v>
      </c>
      <c r="N638" s="13">
        <f>Github!P$1315</f>
        <v>72558</v>
      </c>
      <c r="O638" s="13">
        <f>Github!Q$1315</f>
        <v>96236</v>
      </c>
    </row>
    <row r="639">
      <c r="A639" s="13">
        <f>Github!J$1938</f>
        <v>1937</v>
      </c>
      <c r="B639" s="14" t="str">
        <f>HYPERLINK(CONCAT("http://leetcode.com/problems/",Github!C$1938), Github!B$1938)</f>
        <v>Maximum Number of Points with Cost</v>
      </c>
      <c r="C639" s="13">
        <f>Github!F$1938</f>
        <v>2000</v>
      </c>
      <c r="D639" s="13">
        <f>Github!G$1938</f>
        <v>125</v>
      </c>
      <c r="E639" s="13">
        <f>Github!F$1938+Github!G$1938</f>
        <v>2125</v>
      </c>
      <c r="F639" s="15">
        <f t="shared" si="1"/>
        <v>16</v>
      </c>
      <c r="G639" s="13" t="str">
        <f>ROUND(Github!O$1938, 2)&amp;"%"</f>
        <v>36.2%</v>
      </c>
      <c r="H639" s="13" t="str">
        <f>Github!H$1938</f>
        <v>Algorithms</v>
      </c>
      <c r="I639" s="16" t="str">
        <f>SUBSTITUTE(Github!L$1938, ";", ", ")</f>
        <v>Array, Dynamic Programming, </v>
      </c>
      <c r="J639" s="13" t="str">
        <f>Github!E$1938</f>
        <v>Medium</v>
      </c>
      <c r="K639" s="13" t="str">
        <f>IF(TRIM(Github!D$1938)="TRUE","FALSE","TRUE")</f>
        <v>TRUE</v>
      </c>
      <c r="L639" s="13" t="b">
        <f>Github!M$1938</f>
        <v>1</v>
      </c>
      <c r="M639" s="13" t="b">
        <f>Github!N$1938</f>
        <v>0</v>
      </c>
      <c r="N639" s="13">
        <f>Github!P$1938</f>
        <v>52936</v>
      </c>
      <c r="O639" s="13">
        <f>Github!Q$1938</f>
        <v>146243</v>
      </c>
    </row>
    <row r="640">
      <c r="A640" s="13">
        <f>Github!J$1558</f>
        <v>1557</v>
      </c>
      <c r="B640" s="14" t="str">
        <f>HYPERLINK(CONCAT("http://leetcode.com/problems/",Github!C$1558), Github!B$1558)</f>
        <v>Minimum Number of Vertices to Reach All Nodes</v>
      </c>
      <c r="C640" s="13">
        <f>Github!F$1558</f>
        <v>2012</v>
      </c>
      <c r="D640" s="13">
        <f>Github!G$1558</f>
        <v>75</v>
      </c>
      <c r="E640" s="13">
        <f>Github!F$1558+Github!G$1558</f>
        <v>2087</v>
      </c>
      <c r="F640" s="15">
        <f t="shared" si="1"/>
        <v>26.83</v>
      </c>
      <c r="G640" s="13" t="str">
        <f>ROUND(Github!O$1558, 2)&amp;"%"</f>
        <v>79.55%</v>
      </c>
      <c r="H640" s="13" t="str">
        <f>Github!H$1558</f>
        <v>Algorithms</v>
      </c>
      <c r="I640" s="16" t="str">
        <f>SUBSTITUTE(Github!L$1558, ";", ", ")</f>
        <v>Graph, </v>
      </c>
      <c r="J640" s="13" t="str">
        <f>Github!E$1558</f>
        <v>Medium</v>
      </c>
      <c r="K640" s="13" t="str">
        <f>IF(TRIM(Github!D$1558)="TRUE","FALSE","TRUE")</f>
        <v>TRUE</v>
      </c>
      <c r="L640" s="13" t="b">
        <f>Github!M$1558</f>
        <v>0</v>
      </c>
      <c r="M640" s="13" t="b">
        <f>Github!N$1558</f>
        <v>0</v>
      </c>
      <c r="N640" s="13">
        <f>Github!P$1558</f>
        <v>83037</v>
      </c>
      <c r="O640" s="13">
        <f>Github!Q$1558</f>
        <v>104386</v>
      </c>
    </row>
    <row r="641">
      <c r="A641" s="13">
        <f>Github!J$1001</f>
        <v>1000</v>
      </c>
      <c r="B641" s="14" t="str">
        <f>HYPERLINK(CONCAT("http://leetcode.com/problems/",Github!C$1001), Github!B$1001)</f>
        <v>Minimum Cost to Merge Stones</v>
      </c>
      <c r="C641" s="13">
        <f>Github!F$1001</f>
        <v>1998</v>
      </c>
      <c r="D641" s="13">
        <f>Github!G$1001</f>
        <v>95</v>
      </c>
      <c r="E641" s="13">
        <f>Github!F$1001+Github!G$1001</f>
        <v>2093</v>
      </c>
      <c r="F641" s="15">
        <f t="shared" si="1"/>
        <v>21.03</v>
      </c>
      <c r="G641" s="13" t="str">
        <f>ROUND(Github!O$1001, 2)&amp;"%"</f>
        <v>42.35%</v>
      </c>
      <c r="H641" s="13" t="str">
        <f>Github!H$1001</f>
        <v>Algorithms</v>
      </c>
      <c r="I641" s="16" t="str">
        <f>SUBSTITUTE(Github!L$1001, ";", ", ")</f>
        <v>Array, Dynamic Programming, </v>
      </c>
      <c r="J641" s="13" t="str">
        <f>Github!E$1001</f>
        <v>Hard</v>
      </c>
      <c r="K641" s="13" t="str">
        <f>IF(TRIM(Github!D$1001)="TRUE","FALSE","TRUE")</f>
        <v>TRUE</v>
      </c>
      <c r="L641" s="13" t="b">
        <f>Github!M$1001</f>
        <v>0</v>
      </c>
      <c r="M641" s="13" t="b">
        <f>Github!N$1001</f>
        <v>0</v>
      </c>
      <c r="N641" s="13">
        <f>Github!P$1001</f>
        <v>32461</v>
      </c>
      <c r="O641" s="13">
        <f>Github!Q$1001</f>
        <v>76641</v>
      </c>
    </row>
    <row r="642">
      <c r="A642" s="13">
        <f>Github!J$1329</f>
        <v>1328</v>
      </c>
      <c r="B642" s="14" t="str">
        <f>HYPERLINK(CONCAT("http://leetcode.com/problems/",Github!C$1329), Github!B$1329)</f>
        <v>Break a Palindrome</v>
      </c>
      <c r="C642" s="13">
        <f>Github!F$1329</f>
        <v>1991</v>
      </c>
      <c r="D642" s="13">
        <f>Github!G$1329</f>
        <v>683</v>
      </c>
      <c r="E642" s="13">
        <f>Github!F$1329+Github!G$1329</f>
        <v>2674</v>
      </c>
      <c r="F642" s="15">
        <f t="shared" si="1"/>
        <v>2.92</v>
      </c>
      <c r="G642" s="13" t="str">
        <f>ROUND(Github!O$1329, 2)&amp;"%"</f>
        <v>53.01%</v>
      </c>
      <c r="H642" s="13" t="str">
        <f>Github!H$1329</f>
        <v>Algorithms</v>
      </c>
      <c r="I642" s="16" t="str">
        <f>SUBSTITUTE(Github!L$1329, ";", ", ")</f>
        <v>String, Greedy, </v>
      </c>
      <c r="J642" s="13" t="str">
        <f>Github!E$1329</f>
        <v>Medium</v>
      </c>
      <c r="K642" s="13" t="str">
        <f>IF(TRIM(Github!D$1329)="TRUE","FALSE","TRUE")</f>
        <v>TRUE</v>
      </c>
      <c r="L642" s="13" t="b">
        <f>Github!M$1329</f>
        <v>1</v>
      </c>
      <c r="M642" s="13" t="b">
        <f>Github!N$1329</f>
        <v>0</v>
      </c>
      <c r="N642" s="13">
        <f>Github!P$1329</f>
        <v>138513</v>
      </c>
      <c r="O642" s="13">
        <f>Github!Q$1329</f>
        <v>261305</v>
      </c>
    </row>
    <row r="643">
      <c r="A643" s="13">
        <f>Github!J$1462</f>
        <v>1461</v>
      </c>
      <c r="B643" s="14" t="str">
        <f>HYPERLINK(CONCAT("http://leetcode.com/problems/",Github!C$1462), Github!B$1462)</f>
        <v>Check If a String Contains All Binary Codes of Size K</v>
      </c>
      <c r="C643" s="13">
        <f>Github!F$1462</f>
        <v>1992</v>
      </c>
      <c r="D643" s="13">
        <f>Github!G$1462</f>
        <v>90</v>
      </c>
      <c r="E643" s="13">
        <f>Github!F$1462+Github!G$1462</f>
        <v>2082</v>
      </c>
      <c r="F643" s="15">
        <f t="shared" si="1"/>
        <v>22.13</v>
      </c>
      <c r="G643" s="13" t="str">
        <f>ROUND(Github!O$1462, 2)&amp;"%"</f>
        <v>56.72%</v>
      </c>
      <c r="H643" s="13" t="str">
        <f>Github!H$1462</f>
        <v>Algorithms</v>
      </c>
      <c r="I643" s="16" t="str">
        <f>SUBSTITUTE(Github!L$1462, ";", ", ")</f>
        <v>Hash Table, String, Bit Manipulation, Rolling Hash, Hash Function, </v>
      </c>
      <c r="J643" s="13" t="str">
        <f>Github!E$1462</f>
        <v>Medium</v>
      </c>
      <c r="K643" s="13" t="str">
        <f>IF(TRIM(Github!D$1462)="TRUE","FALSE","TRUE")</f>
        <v>TRUE</v>
      </c>
      <c r="L643" s="13" t="b">
        <f>Github!M$1462</f>
        <v>1</v>
      </c>
      <c r="M643" s="13" t="b">
        <f>Github!N$1462</f>
        <v>0</v>
      </c>
      <c r="N643" s="13">
        <f>Github!P$1462</f>
        <v>105812</v>
      </c>
      <c r="O643" s="13">
        <f>Github!Q$1462</f>
        <v>186540</v>
      </c>
    </row>
    <row r="644">
      <c r="A644" s="13">
        <f>Github!J$1529</f>
        <v>1528</v>
      </c>
      <c r="B644" s="14" t="str">
        <f>HYPERLINK(CONCAT("http://leetcode.com/problems/",Github!C$1529), Github!B$1529)</f>
        <v>Shuffle String</v>
      </c>
      <c r="C644" s="13">
        <f>Github!F$1529</f>
        <v>2010</v>
      </c>
      <c r="D644" s="13">
        <f>Github!G$1529</f>
        <v>353</v>
      </c>
      <c r="E644" s="13">
        <f>Github!F$1529+Github!G$1529</f>
        <v>2363</v>
      </c>
      <c r="F644" s="15">
        <f t="shared" si="1"/>
        <v>5.69</v>
      </c>
      <c r="G644" s="13" t="str">
        <f>ROUND(Github!O$1529, 2)&amp;"%"</f>
        <v>85.51%</v>
      </c>
      <c r="H644" s="13" t="str">
        <f>Github!H$1529</f>
        <v>Algorithms</v>
      </c>
      <c r="I644" s="16" t="str">
        <f>SUBSTITUTE(Github!L$1529, ";", ", ")</f>
        <v>Array, String, </v>
      </c>
      <c r="J644" s="13" t="str">
        <f>Github!E$1529</f>
        <v>Easy</v>
      </c>
      <c r="K644" s="13" t="str">
        <f>IF(TRIM(Github!D$1529)="TRUE","FALSE","TRUE")</f>
        <v>TRUE</v>
      </c>
      <c r="L644" s="13" t="b">
        <f>Github!M$1529</f>
        <v>0</v>
      </c>
      <c r="M644" s="13" t="b">
        <f>Github!N$1529</f>
        <v>0</v>
      </c>
      <c r="N644" s="13">
        <f>Github!P$1529</f>
        <v>265689</v>
      </c>
      <c r="O644" s="13">
        <f>Github!Q$1529</f>
        <v>310721</v>
      </c>
    </row>
    <row r="645">
      <c r="A645" s="13">
        <f>Github!J$160</f>
        <v>159</v>
      </c>
      <c r="B645" s="14" t="str">
        <f>HYPERLINK(CONCAT("http://leetcode.com/problems/",Github!C$160), Github!B$160)</f>
        <v>Longest Substring with At Most Two Distinct Characters</v>
      </c>
      <c r="C645" s="13">
        <f>Github!F$160</f>
        <v>1985</v>
      </c>
      <c r="D645" s="13">
        <f>Github!G$160</f>
        <v>31</v>
      </c>
      <c r="E645" s="13">
        <f>Github!F$160+Github!G$160</f>
        <v>2016</v>
      </c>
      <c r="F645" s="15">
        <f t="shared" si="1"/>
        <v>64.03</v>
      </c>
      <c r="G645" s="13" t="str">
        <f>ROUND(Github!O$160, 2)&amp;"%"</f>
        <v>53.62%</v>
      </c>
      <c r="H645" s="13" t="str">
        <f>Github!H$160</f>
        <v>Algorithms</v>
      </c>
      <c r="I645" s="16" t="str">
        <f>SUBSTITUTE(Github!L$160, ";", ", ")</f>
        <v>Hash Table, String, Sliding Window, </v>
      </c>
      <c r="J645" s="13" t="str">
        <f>Github!E$160</f>
        <v>Medium</v>
      </c>
      <c r="K645" s="13" t="str">
        <f>IF(TRIM(Github!D$160)="TRUE","FALSE","TRUE")</f>
        <v>FALSE</v>
      </c>
      <c r="L645" s="13" t="b">
        <f>Github!M$160</f>
        <v>1</v>
      </c>
      <c r="M645" s="13" t="b">
        <f>Github!N$160</f>
        <v>1</v>
      </c>
      <c r="N645" s="13">
        <f>Github!P$160</f>
        <v>220291</v>
      </c>
      <c r="O645" s="13">
        <f>Github!Q$160</f>
        <v>410867</v>
      </c>
    </row>
    <row r="646">
      <c r="A646" s="13">
        <f>Github!J$766</f>
        <v>765</v>
      </c>
      <c r="B646" s="14" t="str">
        <f>HYPERLINK(CONCAT("http://leetcode.com/problems/",Github!C$766), Github!B$766)</f>
        <v>Couples Holding Hands</v>
      </c>
      <c r="C646" s="13">
        <f>Github!F$766</f>
        <v>1987</v>
      </c>
      <c r="D646" s="13">
        <f>Github!G$766</f>
        <v>98</v>
      </c>
      <c r="E646" s="13">
        <f>Github!F$766+Github!G$766</f>
        <v>2085</v>
      </c>
      <c r="F646" s="15">
        <f t="shared" si="1"/>
        <v>20.28</v>
      </c>
      <c r="G646" s="13" t="str">
        <f>ROUND(Github!O$766, 2)&amp;"%"</f>
        <v>56.93%</v>
      </c>
      <c r="H646" s="13" t="str">
        <f>Github!H$766</f>
        <v>Algorithms</v>
      </c>
      <c r="I646" s="16" t="str">
        <f>SUBSTITUTE(Github!L$766, ";", ", ")</f>
        <v>Greedy, Depth-First Search, Breadth-First Search, Union Find, Graph, </v>
      </c>
      <c r="J646" s="13" t="str">
        <f>Github!E$766</f>
        <v>Hard</v>
      </c>
      <c r="K646" s="13" t="str">
        <f>IF(TRIM(Github!D$766)="TRUE","FALSE","TRUE")</f>
        <v>TRUE</v>
      </c>
      <c r="L646" s="13" t="b">
        <f>Github!M$766</f>
        <v>1</v>
      </c>
      <c r="M646" s="13" t="b">
        <f>Github!N$766</f>
        <v>0</v>
      </c>
      <c r="N646" s="13">
        <f>Github!P$766</f>
        <v>50418</v>
      </c>
      <c r="O646" s="13">
        <f>Github!Q$766</f>
        <v>88561</v>
      </c>
    </row>
    <row r="647">
      <c r="A647" s="13">
        <f>Github!J$591</f>
        <v>590</v>
      </c>
      <c r="B647" s="14" t="str">
        <f>HYPERLINK(CONCAT("http://leetcode.com/problems/",Github!C$591), Github!B$591)</f>
        <v>N-ary Tree Postorder Traversal</v>
      </c>
      <c r="C647" s="13">
        <f>Github!F$591</f>
        <v>1988</v>
      </c>
      <c r="D647" s="13">
        <f>Github!G$591</f>
        <v>91</v>
      </c>
      <c r="E647" s="13">
        <f>Github!F$591+Github!G$591</f>
        <v>2079</v>
      </c>
      <c r="F647" s="15">
        <f t="shared" si="1"/>
        <v>21.85</v>
      </c>
      <c r="G647" s="13" t="str">
        <f>ROUND(Github!O$591, 2)&amp;"%"</f>
        <v>77.25%</v>
      </c>
      <c r="H647" s="13" t="str">
        <f>Github!H$591</f>
        <v>Algorithms</v>
      </c>
      <c r="I647" s="16" t="str">
        <f>SUBSTITUTE(Github!L$591, ";", ", ")</f>
        <v>Stack, Tree, Depth-First Search, </v>
      </c>
      <c r="J647" s="13" t="str">
        <f>Github!E$591</f>
        <v>Easy</v>
      </c>
      <c r="K647" s="13" t="str">
        <f>IF(TRIM(Github!D$591)="TRUE","FALSE","TRUE")</f>
        <v>TRUE</v>
      </c>
      <c r="L647" s="13" t="b">
        <f>Github!M$591</f>
        <v>1</v>
      </c>
      <c r="M647" s="13" t="b">
        <f>Github!N$591</f>
        <v>0</v>
      </c>
      <c r="N647" s="13">
        <f>Github!P$591</f>
        <v>213008</v>
      </c>
      <c r="O647" s="13">
        <f>Github!Q$591</f>
        <v>275740</v>
      </c>
    </row>
    <row r="648">
      <c r="A648" s="13">
        <f>Github!J$1467</f>
        <v>1466</v>
      </c>
      <c r="B648" s="14" t="str">
        <f>HYPERLINK(CONCAT("http://leetcode.com/problems/",Github!C$1467), Github!B$1467)</f>
        <v>Reorder Routes to Make All Paths Lead to the City Zero</v>
      </c>
      <c r="C648" s="13">
        <f>Github!F$1467</f>
        <v>2005</v>
      </c>
      <c r="D648" s="13">
        <f>Github!G$1467</f>
        <v>51</v>
      </c>
      <c r="E648" s="13">
        <f>Github!F$1467+Github!G$1467</f>
        <v>2056</v>
      </c>
      <c r="F648" s="15">
        <f t="shared" si="1"/>
        <v>39.31</v>
      </c>
      <c r="G648" s="13" t="str">
        <f>ROUND(Github!O$1467, 2)&amp;"%"</f>
        <v>61.62%</v>
      </c>
      <c r="H648" s="13" t="str">
        <f>Github!H$1467</f>
        <v>Algorithms</v>
      </c>
      <c r="I648" s="16" t="str">
        <f>SUBSTITUTE(Github!L$1467, ";", ", ")</f>
        <v>Depth-First Search, Breadth-First Search, Graph, </v>
      </c>
      <c r="J648" s="13" t="str">
        <f>Github!E$1467</f>
        <v>Medium</v>
      </c>
      <c r="K648" s="13" t="str">
        <f>IF(TRIM(Github!D$1467)="TRUE","FALSE","TRUE")</f>
        <v>TRUE</v>
      </c>
      <c r="L648" s="13" t="b">
        <f>Github!M$1467</f>
        <v>0</v>
      </c>
      <c r="M648" s="13" t="b">
        <f>Github!N$1467</f>
        <v>0</v>
      </c>
      <c r="N648" s="13">
        <f>Github!P$1467</f>
        <v>70693</v>
      </c>
      <c r="O648" s="13">
        <f>Github!Q$1467</f>
        <v>114726</v>
      </c>
    </row>
    <row r="649">
      <c r="A649" s="13">
        <f>Github!J$926</f>
        <v>925</v>
      </c>
      <c r="B649" s="14" t="str">
        <f>HYPERLINK(CONCAT("http://leetcode.com/problems/",Github!C$926), Github!B$926)</f>
        <v>Long Pressed Name</v>
      </c>
      <c r="C649" s="13">
        <f>Github!F$926</f>
        <v>1997</v>
      </c>
      <c r="D649" s="13">
        <f>Github!G$926</f>
        <v>286</v>
      </c>
      <c r="E649" s="13">
        <f>Github!F$926+Github!G$926</f>
        <v>2283</v>
      </c>
      <c r="F649" s="15">
        <f t="shared" si="1"/>
        <v>6.98</v>
      </c>
      <c r="G649" s="13" t="str">
        <f>ROUND(Github!O$926, 2)&amp;"%"</f>
        <v>33.51%</v>
      </c>
      <c r="H649" s="13" t="str">
        <f>Github!H$926</f>
        <v>Algorithms</v>
      </c>
      <c r="I649" s="16" t="str">
        <f>SUBSTITUTE(Github!L$926, ";", ", ")</f>
        <v>Two Pointers, String, </v>
      </c>
      <c r="J649" s="13" t="str">
        <f>Github!E$926</f>
        <v>Easy</v>
      </c>
      <c r="K649" s="13" t="str">
        <f>IF(TRIM(Github!D$926)="TRUE","FALSE","TRUE")</f>
        <v>TRUE</v>
      </c>
      <c r="L649" s="13" t="b">
        <f>Github!M$926</f>
        <v>0</v>
      </c>
      <c r="M649" s="13" t="b">
        <f>Github!N$926</f>
        <v>0</v>
      </c>
      <c r="N649" s="13">
        <f>Github!P$926</f>
        <v>110473</v>
      </c>
      <c r="O649" s="13">
        <f>Github!Q$926</f>
        <v>329672</v>
      </c>
    </row>
    <row r="650">
      <c r="A650" s="13">
        <f>Github!J$675</f>
        <v>674</v>
      </c>
      <c r="B650" s="14" t="str">
        <f>HYPERLINK(CONCAT("http://leetcode.com/problems/",Github!C$675), Github!B$675)</f>
        <v>Longest Continuous Increasing Subsequence</v>
      </c>
      <c r="C650" s="13">
        <f>Github!F$675</f>
        <v>1983</v>
      </c>
      <c r="D650" s="13">
        <f>Github!G$675</f>
        <v>168</v>
      </c>
      <c r="E650" s="13">
        <f>Github!F$675+Github!G$675</f>
        <v>2151</v>
      </c>
      <c r="F650" s="15">
        <f t="shared" si="1"/>
        <v>11.8</v>
      </c>
      <c r="G650" s="13" t="str">
        <f>ROUND(Github!O$675, 2)&amp;"%"</f>
        <v>49.18%</v>
      </c>
      <c r="H650" s="13" t="str">
        <f>Github!H$675</f>
        <v>Algorithms</v>
      </c>
      <c r="I650" s="16" t="str">
        <f>SUBSTITUTE(Github!L$675, ";", ", ")</f>
        <v>Array, </v>
      </c>
      <c r="J650" s="13" t="str">
        <f>Github!E$675</f>
        <v>Easy</v>
      </c>
      <c r="K650" s="13" t="str">
        <f>IF(TRIM(Github!D$675)="TRUE","FALSE","TRUE")</f>
        <v>TRUE</v>
      </c>
      <c r="L650" s="13" t="b">
        <f>Github!M$675</f>
        <v>1</v>
      </c>
      <c r="M650" s="13" t="b">
        <f>Github!N$675</f>
        <v>0</v>
      </c>
      <c r="N650" s="13">
        <f>Github!P$675</f>
        <v>216853</v>
      </c>
      <c r="O650" s="13">
        <f>Github!Q$675</f>
        <v>440965</v>
      </c>
    </row>
    <row r="651">
      <c r="A651" s="13">
        <f>Github!J$784</f>
        <v>783</v>
      </c>
      <c r="B651" s="14" t="str">
        <f>HYPERLINK(CONCAT("http://leetcode.com/problems/",Github!C$784), Github!B$784)</f>
        <v>Minimum Distance Between BST Nodes</v>
      </c>
      <c r="C651" s="13">
        <f>Github!F$784</f>
        <v>1981</v>
      </c>
      <c r="D651" s="13">
        <f>Github!G$784</f>
        <v>340</v>
      </c>
      <c r="E651" s="13">
        <f>Github!F$784+Github!G$784</f>
        <v>2321</v>
      </c>
      <c r="F651" s="15">
        <f t="shared" si="1"/>
        <v>5.83</v>
      </c>
      <c r="G651" s="13" t="str">
        <f>ROUND(Github!O$784, 2)&amp;"%"</f>
        <v>56.89%</v>
      </c>
      <c r="H651" s="13" t="str">
        <f>Github!H$784</f>
        <v>Algorithms</v>
      </c>
      <c r="I651" s="16" t="str">
        <f>SUBSTITUTE(Github!L$784, ";", ", ")</f>
        <v>Tree, Depth-First Search, Breadth-First Search, Binary Search Tree, Binary Tree, </v>
      </c>
      <c r="J651" s="13" t="str">
        <f>Github!E$784</f>
        <v>Easy</v>
      </c>
      <c r="K651" s="13" t="str">
        <f>IF(TRIM(Github!D$784)="TRUE","FALSE","TRUE")</f>
        <v>TRUE</v>
      </c>
      <c r="L651" s="13" t="b">
        <f>Github!M$784</f>
        <v>1</v>
      </c>
      <c r="M651" s="13" t="b">
        <f>Github!N$784</f>
        <v>0</v>
      </c>
      <c r="N651" s="13">
        <f>Github!P$784</f>
        <v>141420</v>
      </c>
      <c r="O651" s="13">
        <f>Github!Q$784</f>
        <v>248596</v>
      </c>
    </row>
    <row r="652">
      <c r="A652" s="13">
        <f>Github!J$1021</f>
        <v>1020</v>
      </c>
      <c r="B652" s="14" t="str">
        <f>HYPERLINK(CONCAT("http://leetcode.com/problems/",Github!C$1021), Github!B$1021)</f>
        <v>Number of Enclaves</v>
      </c>
      <c r="C652" s="13">
        <f>Github!F$1021</f>
        <v>2031</v>
      </c>
      <c r="D652" s="13">
        <f>Github!G$1021</f>
        <v>40</v>
      </c>
      <c r="E652" s="13">
        <f>Github!F$1021+Github!G$1021</f>
        <v>2071</v>
      </c>
      <c r="F652" s="15">
        <f t="shared" si="1"/>
        <v>50.78</v>
      </c>
      <c r="G652" s="13" t="str">
        <f>ROUND(Github!O$1021, 2)&amp;"%"</f>
        <v>65.18%</v>
      </c>
      <c r="H652" s="13" t="str">
        <f>Github!H$1021</f>
        <v>Algorithms</v>
      </c>
      <c r="I652" s="16" t="str">
        <f>SUBSTITUTE(Github!L$1021, ";", ", ")</f>
        <v>Array, Depth-First Search, Breadth-First Search, Union Find, Matrix, </v>
      </c>
      <c r="J652" s="13" t="str">
        <f>Github!E$1021</f>
        <v>Medium</v>
      </c>
      <c r="K652" s="13" t="str">
        <f>IF(TRIM(Github!D$1021)="TRUE","FALSE","TRUE")</f>
        <v>TRUE</v>
      </c>
      <c r="L652" s="13" t="b">
        <f>Github!M$1021</f>
        <v>0</v>
      </c>
      <c r="M652" s="13" t="b">
        <f>Github!N$1021</f>
        <v>0</v>
      </c>
      <c r="N652" s="13">
        <f>Github!P$1021</f>
        <v>87048</v>
      </c>
      <c r="O652" s="13">
        <f>Github!Q$1021</f>
        <v>133550</v>
      </c>
    </row>
    <row r="653">
      <c r="A653" s="13">
        <f>Github!J$332</f>
        <v>331</v>
      </c>
      <c r="B653" s="14" t="str">
        <f>HYPERLINK(CONCAT("http://leetcode.com/problems/",Github!C$332), Github!B$332)</f>
        <v>Verify Preorder Serialization of a Binary Tree</v>
      </c>
      <c r="C653" s="13">
        <f>Github!F$332</f>
        <v>1980</v>
      </c>
      <c r="D653" s="13">
        <f>Github!G$332</f>
        <v>104</v>
      </c>
      <c r="E653" s="13">
        <f>Github!F$332+Github!G$332</f>
        <v>2084</v>
      </c>
      <c r="F653" s="15">
        <f t="shared" si="1"/>
        <v>19.04</v>
      </c>
      <c r="G653" s="13" t="str">
        <f>ROUND(Github!O$332, 2)&amp;"%"</f>
        <v>44.45%</v>
      </c>
      <c r="H653" s="13" t="str">
        <f>Github!H$332</f>
        <v>Algorithms</v>
      </c>
      <c r="I653" s="16" t="str">
        <f>SUBSTITUTE(Github!L$332, ";", ", ")</f>
        <v>String, Stack, Tree, Binary Tree, </v>
      </c>
      <c r="J653" s="13" t="str">
        <f>Github!E$332</f>
        <v>Medium</v>
      </c>
      <c r="K653" s="13" t="str">
        <f>IF(TRIM(Github!D$332)="TRUE","FALSE","TRUE")</f>
        <v>TRUE</v>
      </c>
      <c r="L653" s="13" t="b">
        <f>Github!M$332</f>
        <v>1</v>
      </c>
      <c r="M653" s="13" t="b">
        <f>Github!N$332</f>
        <v>0</v>
      </c>
      <c r="N653" s="13">
        <f>Github!P$332</f>
        <v>125326</v>
      </c>
      <c r="O653" s="13">
        <f>Github!Q$332</f>
        <v>281946</v>
      </c>
    </row>
    <row r="654">
      <c r="A654" s="13">
        <f>Github!J$1839</f>
        <v>1838</v>
      </c>
      <c r="B654" s="14" t="str">
        <f>HYPERLINK(CONCAT("http://leetcode.com/problems/",Github!C$1839), Github!B$1839)</f>
        <v>Frequency of the Most Frequent Element</v>
      </c>
      <c r="C654" s="13">
        <f>Github!F$1839</f>
        <v>1997</v>
      </c>
      <c r="D654" s="13">
        <f>Github!G$1839</f>
        <v>52</v>
      </c>
      <c r="E654" s="13">
        <f>Github!F$1839+Github!G$1839</f>
        <v>2049</v>
      </c>
      <c r="F654" s="15">
        <f t="shared" si="1"/>
        <v>38.4</v>
      </c>
      <c r="G654" s="13" t="str">
        <f>ROUND(Github!O$1839, 2)&amp;"%"</f>
        <v>38.84%</v>
      </c>
      <c r="H654" s="13" t="str">
        <f>Github!H$1839</f>
        <v>Algorithms</v>
      </c>
      <c r="I654" s="16" t="str">
        <f>SUBSTITUTE(Github!L$1839, ";", ", ")</f>
        <v>Array, Binary Search, Greedy, Sliding Window, Sorting, Prefix Sum, </v>
      </c>
      <c r="J654" s="13" t="str">
        <f>Github!E$1839</f>
        <v>Medium</v>
      </c>
      <c r="K654" s="13" t="str">
        <f>IF(TRIM(Github!D$1839)="TRUE","FALSE","TRUE")</f>
        <v>TRUE</v>
      </c>
      <c r="L654" s="13" t="b">
        <f>Github!M$1839</f>
        <v>0</v>
      </c>
      <c r="M654" s="13" t="b">
        <f>Github!N$1839</f>
        <v>0</v>
      </c>
      <c r="N654" s="13">
        <f>Github!P$1839</f>
        <v>36220</v>
      </c>
      <c r="O654" s="13">
        <f>Github!Q$1839</f>
        <v>93262</v>
      </c>
    </row>
    <row r="655">
      <c r="A655" s="13">
        <f>Github!J$643</f>
        <v>642</v>
      </c>
      <c r="B655" s="14" t="str">
        <f>HYPERLINK(CONCAT("http://leetcode.com/problems/",Github!C$643), Github!B$643)</f>
        <v>Design Search Autocomplete System</v>
      </c>
      <c r="C655" s="13">
        <f>Github!F$643</f>
        <v>1966</v>
      </c>
      <c r="D655" s="13">
        <f>Github!G$643</f>
        <v>137</v>
      </c>
      <c r="E655" s="13">
        <f>Github!F$643+Github!G$643</f>
        <v>2103</v>
      </c>
      <c r="F655" s="15">
        <f t="shared" si="1"/>
        <v>14.35</v>
      </c>
      <c r="G655" s="13" t="str">
        <f>ROUND(Github!O$643, 2)&amp;"%"</f>
        <v>48.72%</v>
      </c>
      <c r="H655" s="13" t="str">
        <f>Github!H$643</f>
        <v>Algorithms</v>
      </c>
      <c r="I655" s="16" t="str">
        <f>SUBSTITUTE(Github!L$643, ";", ", ")</f>
        <v>String, Design, Trie, Data Stream, </v>
      </c>
      <c r="J655" s="13" t="str">
        <f>Github!E$643</f>
        <v>Hard</v>
      </c>
      <c r="K655" s="13" t="str">
        <f>IF(TRIM(Github!D$643)="TRUE","FALSE","TRUE")</f>
        <v>FALSE</v>
      </c>
      <c r="L655" s="13" t="b">
        <f>Github!M$643</f>
        <v>0</v>
      </c>
      <c r="M655" s="13" t="b">
        <f>Github!N$643</f>
        <v>0</v>
      </c>
      <c r="N655" s="13">
        <f>Github!P$643</f>
        <v>126667</v>
      </c>
      <c r="O655" s="13">
        <f>Github!Q$643</f>
        <v>260001</v>
      </c>
    </row>
    <row r="656">
      <c r="A656" s="13">
        <f>Github!J$1359</f>
        <v>1358</v>
      </c>
      <c r="B656" s="14" t="str">
        <f>HYPERLINK(CONCAT("http://leetcode.com/problems/",Github!C$1359), Github!B$1359)</f>
        <v>Number of Substrings Containing All Three Characters</v>
      </c>
      <c r="C656" s="13">
        <f>Github!F$1359</f>
        <v>1990</v>
      </c>
      <c r="D656" s="13">
        <f>Github!G$1359</f>
        <v>34</v>
      </c>
      <c r="E656" s="13">
        <f>Github!F$1359+Github!G$1359</f>
        <v>2024</v>
      </c>
      <c r="F656" s="15">
        <f t="shared" si="1"/>
        <v>58.53</v>
      </c>
      <c r="G656" s="13" t="str">
        <f>ROUND(Github!O$1359, 2)&amp;"%"</f>
        <v>63.15%</v>
      </c>
      <c r="H656" s="13" t="str">
        <f>Github!H$1359</f>
        <v>Algorithms</v>
      </c>
      <c r="I656" s="16" t="str">
        <f>SUBSTITUTE(Github!L$1359, ";", ", ")</f>
        <v>Hash Table, String, Sliding Window, </v>
      </c>
      <c r="J656" s="13" t="str">
        <f>Github!E$1359</f>
        <v>Medium</v>
      </c>
      <c r="K656" s="13" t="str">
        <f>IF(TRIM(Github!D$1359)="TRUE","FALSE","TRUE")</f>
        <v>TRUE</v>
      </c>
      <c r="L656" s="13" t="b">
        <f>Github!M$1359</f>
        <v>0</v>
      </c>
      <c r="M656" s="13" t="b">
        <f>Github!N$1359</f>
        <v>0</v>
      </c>
      <c r="N656" s="13">
        <f>Github!P$1359</f>
        <v>49322</v>
      </c>
      <c r="O656" s="13">
        <f>Github!Q$1359</f>
        <v>78099</v>
      </c>
    </row>
    <row r="657">
      <c r="A657" s="13">
        <f>Github!J$1568</f>
        <v>1567</v>
      </c>
      <c r="B657" s="14" t="str">
        <f>HYPERLINK(CONCAT("http://leetcode.com/problems/",Github!C$1568), Github!B$1568)</f>
        <v>Maximum Length of Subarray With Positive Product</v>
      </c>
      <c r="C657" s="13">
        <f>Github!F$1568</f>
        <v>1980</v>
      </c>
      <c r="D657" s="13">
        <f>Github!G$1568</f>
        <v>54</v>
      </c>
      <c r="E657" s="13">
        <f>Github!F$1568+Github!G$1568</f>
        <v>2034</v>
      </c>
      <c r="F657" s="15">
        <f t="shared" si="1"/>
        <v>36.67</v>
      </c>
      <c r="G657" s="13" t="str">
        <f>ROUND(Github!O$1568, 2)&amp;"%"</f>
        <v>43.78%</v>
      </c>
      <c r="H657" s="13" t="str">
        <f>Github!H$1568</f>
        <v>Algorithms</v>
      </c>
      <c r="I657" s="16" t="str">
        <f>SUBSTITUTE(Github!L$1568, ";", ", ")</f>
        <v>Array, Dynamic Programming, Greedy, </v>
      </c>
      <c r="J657" s="13" t="str">
        <f>Github!E$1568</f>
        <v>Medium</v>
      </c>
      <c r="K657" s="13" t="str">
        <f>IF(TRIM(Github!D$1568)="TRUE","FALSE","TRUE")</f>
        <v>TRUE</v>
      </c>
      <c r="L657" s="13" t="b">
        <f>Github!M$1568</f>
        <v>0</v>
      </c>
      <c r="M657" s="13" t="b">
        <f>Github!N$1568</f>
        <v>0</v>
      </c>
      <c r="N657" s="13">
        <f>Github!P$1568</f>
        <v>77753</v>
      </c>
      <c r="O657" s="13">
        <f>Github!Q$1568</f>
        <v>177611</v>
      </c>
    </row>
    <row r="658">
      <c r="A658" s="13">
        <f>Github!J$1690</f>
        <v>1689</v>
      </c>
      <c r="B658" s="14" t="str">
        <f>HYPERLINK(CONCAT("http://leetcode.com/problems/",Github!C$1690), Github!B$1690)</f>
        <v>Partitioning Into Minimum Number Of Deci-Binary Numbers</v>
      </c>
      <c r="C658" s="13">
        <f>Github!F$1690</f>
        <v>1974</v>
      </c>
      <c r="D658" s="13">
        <f>Github!G$1690</f>
        <v>1264</v>
      </c>
      <c r="E658" s="13">
        <f>Github!F$1690+Github!G$1690</f>
        <v>3238</v>
      </c>
      <c r="F658" s="15">
        <f t="shared" si="1"/>
        <v>1.56</v>
      </c>
      <c r="G658" s="13" t="str">
        <f>ROUND(Github!O$1690, 2)&amp;"%"</f>
        <v>89.44%</v>
      </c>
      <c r="H658" s="13" t="str">
        <f>Github!H$1690</f>
        <v>Algorithms</v>
      </c>
      <c r="I658" s="16" t="str">
        <f>SUBSTITUTE(Github!L$1690, ";", ", ")</f>
        <v>String, Greedy, </v>
      </c>
      <c r="J658" s="13" t="str">
        <f>Github!E$1690</f>
        <v>Medium</v>
      </c>
      <c r="K658" s="13" t="str">
        <f>IF(TRIM(Github!D$1690)="TRUE","FALSE","TRUE")</f>
        <v>TRUE</v>
      </c>
      <c r="L658" s="13" t="b">
        <f>Github!M$1690</f>
        <v>1</v>
      </c>
      <c r="M658" s="13" t="b">
        <f>Github!N$1690</f>
        <v>0</v>
      </c>
      <c r="N658" s="13">
        <f>Github!P$1690</f>
        <v>159464</v>
      </c>
      <c r="O658" s="13">
        <f>Github!Q$1690</f>
        <v>178301</v>
      </c>
    </row>
    <row r="659">
      <c r="A659" s="13">
        <f>Github!J$382</f>
        <v>381</v>
      </c>
      <c r="B659" s="14" t="str">
        <f>HYPERLINK(CONCAT("http://leetcode.com/problems/",Github!C$382), Github!B$382)</f>
        <v>Insert Delete GetRandom O(1) - Duplicates allowed</v>
      </c>
      <c r="C659" s="13">
        <f>Github!F$382</f>
        <v>1966</v>
      </c>
      <c r="D659" s="13">
        <f>Github!G$382</f>
        <v>132</v>
      </c>
      <c r="E659" s="13">
        <f>Github!F$382+Github!G$382</f>
        <v>2098</v>
      </c>
      <c r="F659" s="15">
        <f t="shared" si="1"/>
        <v>14.89</v>
      </c>
      <c r="G659" s="13" t="str">
        <f>ROUND(Github!O$382, 2)&amp;"%"</f>
        <v>35.6%</v>
      </c>
      <c r="H659" s="13" t="str">
        <f>Github!H$382</f>
        <v>Algorithms</v>
      </c>
      <c r="I659" s="16" t="str">
        <f>SUBSTITUTE(Github!L$382, ";", ", ")</f>
        <v>Array, Hash Table, Math, Design, Randomized, </v>
      </c>
      <c r="J659" s="13" t="str">
        <f>Github!E$382</f>
        <v>Hard</v>
      </c>
      <c r="K659" s="13" t="str">
        <f>IF(TRIM(Github!D$382)="TRUE","FALSE","TRUE")</f>
        <v>TRUE</v>
      </c>
      <c r="L659" s="13" t="b">
        <f>Github!M$382</f>
        <v>1</v>
      </c>
      <c r="M659" s="13" t="b">
        <f>Github!N$382</f>
        <v>0</v>
      </c>
      <c r="N659" s="13">
        <f>Github!P$382</f>
        <v>123144</v>
      </c>
      <c r="O659" s="13">
        <f>Github!Q$382</f>
        <v>345900</v>
      </c>
    </row>
    <row r="660">
      <c r="A660" s="13">
        <f>Github!J$1355</f>
        <v>1354</v>
      </c>
      <c r="B660" s="14" t="str">
        <f>HYPERLINK(CONCAT("http://leetcode.com/problems/",Github!C$1355), Github!B$1355)</f>
        <v>Construct Target Array With Multiple Sums</v>
      </c>
      <c r="C660" s="13">
        <f>Github!F$1355</f>
        <v>1956</v>
      </c>
      <c r="D660" s="13">
        <f>Github!G$1355</f>
        <v>156</v>
      </c>
      <c r="E660" s="13">
        <f>Github!F$1355+Github!G$1355</f>
        <v>2112</v>
      </c>
      <c r="F660" s="15">
        <f t="shared" si="1"/>
        <v>12.54</v>
      </c>
      <c r="G660" s="13" t="str">
        <f>ROUND(Github!O$1355, 2)&amp;"%"</f>
        <v>36.32%</v>
      </c>
      <c r="H660" s="13" t="str">
        <f>Github!H$1355</f>
        <v>Algorithms</v>
      </c>
      <c r="I660" s="16" t="str">
        <f>SUBSTITUTE(Github!L$1355, ";", ", ")</f>
        <v>Array, Heap (Priority Queue), </v>
      </c>
      <c r="J660" s="13" t="str">
        <f>Github!E$1355</f>
        <v>Hard</v>
      </c>
      <c r="K660" s="13" t="str">
        <f>IF(TRIM(Github!D$1355)="TRUE","FALSE","TRUE")</f>
        <v>TRUE</v>
      </c>
      <c r="L660" s="13" t="b">
        <f>Github!M$1355</f>
        <v>1</v>
      </c>
      <c r="M660" s="13" t="b">
        <f>Github!N$1355</f>
        <v>0</v>
      </c>
      <c r="N660" s="13">
        <f>Github!P$1355</f>
        <v>63577</v>
      </c>
      <c r="O660" s="13">
        <f>Github!Q$1355</f>
        <v>175046</v>
      </c>
    </row>
    <row r="661">
      <c r="A661" s="13">
        <f>Github!J$658</f>
        <v>657</v>
      </c>
      <c r="B661" s="14" t="str">
        <f>HYPERLINK(CONCAT("http://leetcode.com/problems/",Github!C$658), Github!B$658)</f>
        <v>Robot Return to Origin</v>
      </c>
      <c r="C661" s="13">
        <f>Github!F$658</f>
        <v>1961</v>
      </c>
      <c r="D661" s="13">
        <f>Github!G$658</f>
        <v>729</v>
      </c>
      <c r="E661" s="13">
        <f>Github!F$658+Github!G$658</f>
        <v>2690</v>
      </c>
      <c r="F661" s="15">
        <f t="shared" si="1"/>
        <v>2.69</v>
      </c>
      <c r="G661" s="13" t="str">
        <f>ROUND(Github!O$658, 2)&amp;"%"</f>
        <v>75.32%</v>
      </c>
      <c r="H661" s="13" t="str">
        <f>Github!H$658</f>
        <v>Algorithms</v>
      </c>
      <c r="I661" s="16" t="str">
        <f>SUBSTITUTE(Github!L$658, ";", ", ")</f>
        <v>String, Simulation, </v>
      </c>
      <c r="J661" s="13" t="str">
        <f>Github!E$658</f>
        <v>Easy</v>
      </c>
      <c r="K661" s="13" t="str">
        <f>IF(TRIM(Github!D$658)="TRUE","FALSE","TRUE")</f>
        <v>TRUE</v>
      </c>
      <c r="L661" s="13" t="b">
        <f>Github!M$658</f>
        <v>1</v>
      </c>
      <c r="M661" s="13" t="b">
        <f>Github!N$658</f>
        <v>0</v>
      </c>
      <c r="N661" s="13">
        <f>Github!P$658</f>
        <v>357225</v>
      </c>
      <c r="O661" s="13">
        <f>Github!Q$658</f>
        <v>474306</v>
      </c>
    </row>
    <row r="662">
      <c r="A662" s="13">
        <f>Github!J$870</f>
        <v>869</v>
      </c>
      <c r="B662" s="14" t="str">
        <f>HYPERLINK(CONCAT("http://leetcode.com/problems/",Github!C$870), Github!B$870)</f>
        <v>Reordered Power of 2</v>
      </c>
      <c r="C662" s="13">
        <f>Github!F$870</f>
        <v>1964</v>
      </c>
      <c r="D662" s="13">
        <f>Github!G$870</f>
        <v>405</v>
      </c>
      <c r="E662" s="13">
        <f>Github!F$870+Github!G$870</f>
        <v>2369</v>
      </c>
      <c r="F662" s="15">
        <f t="shared" si="1"/>
        <v>4.85</v>
      </c>
      <c r="G662" s="13" t="str">
        <f>ROUND(Github!O$870, 2)&amp;"%"</f>
        <v>63.85%</v>
      </c>
      <c r="H662" s="13" t="str">
        <f>Github!H$870</f>
        <v>Algorithms</v>
      </c>
      <c r="I662" s="16" t="str">
        <f>SUBSTITUTE(Github!L$870, ";", ", ")</f>
        <v>Math, Sorting, Counting, Enumeration, </v>
      </c>
      <c r="J662" s="13" t="str">
        <f>Github!E$870</f>
        <v>Medium</v>
      </c>
      <c r="K662" s="13" t="str">
        <f>IF(TRIM(Github!D$870)="TRUE","FALSE","TRUE")</f>
        <v>TRUE</v>
      </c>
      <c r="L662" s="13" t="b">
        <f>Github!M$870</f>
        <v>1</v>
      </c>
      <c r="M662" s="13" t="b">
        <f>Github!N$870</f>
        <v>0</v>
      </c>
      <c r="N662" s="13">
        <f>Github!P$870</f>
        <v>103921</v>
      </c>
      <c r="O662" s="13">
        <f>Github!Q$870</f>
        <v>162758</v>
      </c>
    </row>
    <row r="663">
      <c r="A663" s="13">
        <f>Github!J$238</f>
        <v>237</v>
      </c>
      <c r="B663" s="14" t="str">
        <f>HYPERLINK(CONCAT("http://leetcode.com/problems/",Github!C$238), Github!B$238)</f>
        <v>Delete Node in a Linked List</v>
      </c>
      <c r="C663" s="13">
        <f>Github!F$238</f>
        <v>2031</v>
      </c>
      <c r="D663" s="13">
        <f>Github!G$238</f>
        <v>633</v>
      </c>
      <c r="E663" s="13">
        <f>Github!F$238+Github!G$238</f>
        <v>2664</v>
      </c>
      <c r="F663" s="15">
        <f t="shared" si="1"/>
        <v>3.21</v>
      </c>
      <c r="G663" s="13" t="str">
        <f>ROUND(Github!O$238, 2)&amp;"%"</f>
        <v>75.5%</v>
      </c>
      <c r="H663" s="13" t="str">
        <f>Github!H$238</f>
        <v>Algorithms</v>
      </c>
      <c r="I663" s="16" t="str">
        <f>SUBSTITUTE(Github!L$238, ";", ", ")</f>
        <v>Linked List, </v>
      </c>
      <c r="J663" s="13" t="str">
        <f>Github!E$238</f>
        <v>Medium</v>
      </c>
      <c r="K663" s="13" t="str">
        <f>IF(TRIM(Github!D$238)="TRUE","FALSE","TRUE")</f>
        <v>TRUE</v>
      </c>
      <c r="L663" s="13" t="b">
        <f>Github!M$238</f>
        <v>1</v>
      </c>
      <c r="M663" s="13" t="b">
        <f>Github!N$238</f>
        <v>0</v>
      </c>
      <c r="N663" s="13">
        <f>Github!P$238</f>
        <v>1006267</v>
      </c>
      <c r="O663" s="13">
        <f>Github!Q$238</f>
        <v>1332804</v>
      </c>
    </row>
    <row r="664">
      <c r="A664" s="13">
        <f>Github!J$1045</f>
        <v>1044</v>
      </c>
      <c r="B664" s="14" t="str">
        <f>HYPERLINK(CONCAT("http://leetcode.com/problems/",Github!C$1045), Github!B$1045)</f>
        <v>Longest Duplicate Substring</v>
      </c>
      <c r="C664" s="13">
        <f>Github!F$1045</f>
        <v>1949</v>
      </c>
      <c r="D664" s="13">
        <f>Github!G$1045</f>
        <v>364</v>
      </c>
      <c r="E664" s="13">
        <f>Github!F$1045+Github!G$1045</f>
        <v>2313</v>
      </c>
      <c r="F664" s="15">
        <f t="shared" si="1"/>
        <v>5.35</v>
      </c>
      <c r="G664" s="13" t="str">
        <f>ROUND(Github!O$1045, 2)&amp;"%"</f>
        <v>30.62%</v>
      </c>
      <c r="H664" s="13" t="str">
        <f>Github!H$1045</f>
        <v>Algorithms</v>
      </c>
      <c r="I664" s="16" t="str">
        <f>SUBSTITUTE(Github!L$1045, ";", ", ")</f>
        <v>String, Binary Search, Sliding Window, Rolling Hash, Suffix Array, Hash Function, </v>
      </c>
      <c r="J664" s="13" t="str">
        <f>Github!E$1045</f>
        <v>Hard</v>
      </c>
      <c r="K664" s="13" t="str">
        <f>IF(TRIM(Github!D$1045)="TRUE","FALSE","TRUE")</f>
        <v>TRUE</v>
      </c>
      <c r="L664" s="13" t="b">
        <f>Github!M$1045</f>
        <v>1</v>
      </c>
      <c r="M664" s="13" t="b">
        <f>Github!N$1045</f>
        <v>0</v>
      </c>
      <c r="N664" s="13">
        <f>Github!P$1045</f>
        <v>59923</v>
      </c>
      <c r="O664" s="13">
        <f>Github!Q$1045</f>
        <v>195710</v>
      </c>
    </row>
    <row r="665">
      <c r="A665" s="13">
        <f>Github!J$1663</f>
        <v>1662</v>
      </c>
      <c r="B665" s="14" t="str">
        <f>HYPERLINK(CONCAT("http://leetcode.com/problems/",Github!C$1663), Github!B$1663)</f>
        <v>Check If Two String Arrays are Equivalent</v>
      </c>
      <c r="C665" s="13">
        <f>Github!F$1663</f>
        <v>1949</v>
      </c>
      <c r="D665" s="13">
        <f>Github!G$1663</f>
        <v>170</v>
      </c>
      <c r="E665" s="13">
        <f>Github!F$1663+Github!G$1663</f>
        <v>2119</v>
      </c>
      <c r="F665" s="15">
        <f t="shared" si="1"/>
        <v>11.46</v>
      </c>
      <c r="G665" s="13" t="str">
        <f>ROUND(Github!O$1663, 2)&amp;"%"</f>
        <v>83.34%</v>
      </c>
      <c r="H665" s="13" t="str">
        <f>Github!H$1663</f>
        <v>Algorithms</v>
      </c>
      <c r="I665" s="16" t="str">
        <f>SUBSTITUTE(Github!L$1663, ";", ", ")</f>
        <v>Array, String, </v>
      </c>
      <c r="J665" s="13" t="str">
        <f>Github!E$1663</f>
        <v>Easy</v>
      </c>
      <c r="K665" s="13" t="str">
        <f>IF(TRIM(Github!D$1663)="TRUE","FALSE","TRUE")</f>
        <v>TRUE</v>
      </c>
      <c r="L665" s="13" t="b">
        <f>Github!M$1663</f>
        <v>1</v>
      </c>
      <c r="M665" s="13" t="b">
        <f>Github!N$1663</f>
        <v>0</v>
      </c>
      <c r="N665" s="13">
        <f>Github!P$1663</f>
        <v>252405</v>
      </c>
      <c r="O665" s="13">
        <f>Github!Q$1663</f>
        <v>302865</v>
      </c>
    </row>
    <row r="666">
      <c r="A666" s="13">
        <f>Github!J$952</f>
        <v>951</v>
      </c>
      <c r="B666" s="14" t="str">
        <f>HYPERLINK(CONCAT("http://leetcode.com/problems/",Github!C$952), Github!B$952)</f>
        <v>Flip Equivalent Binary Trees</v>
      </c>
      <c r="C666" s="13">
        <f>Github!F$952</f>
        <v>1947</v>
      </c>
      <c r="D666" s="13">
        <f>Github!G$952</f>
        <v>87</v>
      </c>
      <c r="E666" s="13">
        <f>Github!F$952+Github!G$952</f>
        <v>2034</v>
      </c>
      <c r="F666" s="15">
        <f t="shared" si="1"/>
        <v>22.38</v>
      </c>
      <c r="G666" s="13" t="str">
        <f>ROUND(Github!O$952, 2)&amp;"%"</f>
        <v>66.82%</v>
      </c>
      <c r="H666" s="13" t="str">
        <f>Github!H$952</f>
        <v>Algorithms</v>
      </c>
      <c r="I666" s="16" t="str">
        <f>SUBSTITUTE(Github!L$952, ";", ", ")</f>
        <v>Tree, Depth-First Search, Binary Tree, </v>
      </c>
      <c r="J666" s="13" t="str">
        <f>Github!E$952</f>
        <v>Medium</v>
      </c>
      <c r="K666" s="13" t="str">
        <f>IF(TRIM(Github!D$952)="TRUE","FALSE","TRUE")</f>
        <v>TRUE</v>
      </c>
      <c r="L666" s="13" t="b">
        <f>Github!M$952</f>
        <v>1</v>
      </c>
      <c r="M666" s="13" t="b">
        <f>Github!N$952</f>
        <v>0</v>
      </c>
      <c r="N666" s="13">
        <f>Github!P$952</f>
        <v>124546</v>
      </c>
      <c r="O666" s="13">
        <f>Github!Q$952</f>
        <v>186385</v>
      </c>
    </row>
    <row r="667">
      <c r="A667" s="13">
        <f>Github!J$938</f>
        <v>937</v>
      </c>
      <c r="B667" s="14" t="str">
        <f>HYPERLINK(CONCAT("http://leetcode.com/problems/",Github!C$938), Github!B$938)</f>
        <v>Reorder Data in Log Files</v>
      </c>
      <c r="C667" s="13">
        <f>Github!F$938</f>
        <v>1936</v>
      </c>
      <c r="D667" s="13">
        <f>Github!G$938</f>
        <v>4254</v>
      </c>
      <c r="E667" s="13">
        <f>Github!F$938+Github!G$938</f>
        <v>6190</v>
      </c>
      <c r="F667" s="15">
        <f t="shared" si="1"/>
        <v>0.46</v>
      </c>
      <c r="G667" s="13" t="str">
        <f>ROUND(Github!O$938, 2)&amp;"%"</f>
        <v>56.41%</v>
      </c>
      <c r="H667" s="13" t="str">
        <f>Github!H$938</f>
        <v>Algorithms</v>
      </c>
      <c r="I667" s="16" t="str">
        <f>SUBSTITUTE(Github!L$938, ";", ", ")</f>
        <v>Array, String, Sorting, </v>
      </c>
      <c r="J667" s="13" t="str">
        <f>Github!E$938</f>
        <v>Medium</v>
      </c>
      <c r="K667" s="13" t="str">
        <f>IF(TRIM(Github!D$938)="TRUE","FALSE","TRUE")</f>
        <v>TRUE</v>
      </c>
      <c r="L667" s="13" t="b">
        <f>Github!M$938</f>
        <v>1</v>
      </c>
      <c r="M667" s="13" t="b">
        <f>Github!N$938</f>
        <v>0</v>
      </c>
      <c r="N667" s="13">
        <f>Github!P$938</f>
        <v>337001</v>
      </c>
      <c r="O667" s="13">
        <f>Github!Q$938</f>
        <v>597375</v>
      </c>
    </row>
    <row r="668">
      <c r="A668" s="13">
        <f>Github!J$708</f>
        <v>707</v>
      </c>
      <c r="B668" s="14" t="str">
        <f>HYPERLINK(CONCAT("http://leetcode.com/problems/",Github!C$708), Github!B$708)</f>
        <v>Design Linked List</v>
      </c>
      <c r="C668" s="13">
        <f>Github!F$708</f>
        <v>1952</v>
      </c>
      <c r="D668" s="13">
        <f>Github!G$708</f>
        <v>1358</v>
      </c>
      <c r="E668" s="13">
        <f>Github!F$708+Github!G$708</f>
        <v>3310</v>
      </c>
      <c r="F668" s="15">
        <f t="shared" si="1"/>
        <v>1.44</v>
      </c>
      <c r="G668" s="13" t="str">
        <f>ROUND(Github!O$708, 2)&amp;"%"</f>
        <v>27.54%</v>
      </c>
      <c r="H668" s="13" t="str">
        <f>Github!H$708</f>
        <v>Algorithms</v>
      </c>
      <c r="I668" s="16" t="str">
        <f>SUBSTITUTE(Github!L$708, ";", ", ")</f>
        <v>Linked List, Design, </v>
      </c>
      <c r="J668" s="13" t="str">
        <f>Github!E$708</f>
        <v>Medium</v>
      </c>
      <c r="K668" s="13" t="str">
        <f>IF(TRIM(Github!D$708)="TRUE","FALSE","TRUE")</f>
        <v>TRUE</v>
      </c>
      <c r="L668" s="13" t="b">
        <f>Github!M$708</f>
        <v>1</v>
      </c>
      <c r="M668" s="13" t="b">
        <f>Github!N$708</f>
        <v>0</v>
      </c>
      <c r="N668" s="13">
        <f>Github!P$708</f>
        <v>238117</v>
      </c>
      <c r="O668" s="13">
        <f>Github!Q$708</f>
        <v>864654</v>
      </c>
    </row>
    <row r="669">
      <c r="A669" s="13">
        <f>Github!J$1036</f>
        <v>1035</v>
      </c>
      <c r="B669" s="14" t="str">
        <f>HYPERLINK(CONCAT("http://leetcode.com/problems/",Github!C$1036), Github!B$1036)</f>
        <v>Uncrossed Lines</v>
      </c>
      <c r="C669" s="13">
        <f>Github!F$1036</f>
        <v>1937</v>
      </c>
      <c r="D669" s="13">
        <f>Github!G$1036</f>
        <v>28</v>
      </c>
      <c r="E669" s="13">
        <f>Github!F$1036+Github!G$1036</f>
        <v>1965</v>
      </c>
      <c r="F669" s="15">
        <f t="shared" si="1"/>
        <v>69.18</v>
      </c>
      <c r="G669" s="13" t="str">
        <f>ROUND(Github!O$1036, 2)&amp;"%"</f>
        <v>58.84%</v>
      </c>
      <c r="H669" s="13" t="str">
        <f>Github!H$1036</f>
        <v>Algorithms</v>
      </c>
      <c r="I669" s="16" t="str">
        <f>SUBSTITUTE(Github!L$1036, ";", ", ")</f>
        <v>Array, Dynamic Programming, </v>
      </c>
      <c r="J669" s="13" t="str">
        <f>Github!E$1036</f>
        <v>Medium</v>
      </c>
      <c r="K669" s="13" t="str">
        <f>IF(TRIM(Github!D$1036)="TRUE","FALSE","TRUE")</f>
        <v>TRUE</v>
      </c>
      <c r="L669" s="13" t="b">
        <f>Github!M$1036</f>
        <v>0</v>
      </c>
      <c r="M669" s="13" t="b">
        <f>Github!N$1036</f>
        <v>0</v>
      </c>
      <c r="N669" s="13">
        <f>Github!P$1036</f>
        <v>75741</v>
      </c>
      <c r="O669" s="13">
        <f>Github!Q$1036</f>
        <v>128717</v>
      </c>
    </row>
    <row r="670">
      <c r="A670" s="13">
        <f>Github!J$456</f>
        <v>455</v>
      </c>
      <c r="B670" s="14" t="str">
        <f>HYPERLINK(CONCAT("http://leetcode.com/problems/",Github!C$456), Github!B$456)</f>
        <v>Assign Cookies</v>
      </c>
      <c r="C670" s="13">
        <f>Github!F$456</f>
        <v>1960</v>
      </c>
      <c r="D670" s="13">
        <f>Github!G$456</f>
        <v>193</v>
      </c>
      <c r="E670" s="13">
        <f>Github!F$456+Github!G$456</f>
        <v>2153</v>
      </c>
      <c r="F670" s="15">
        <f t="shared" si="1"/>
        <v>10.16</v>
      </c>
      <c r="G670" s="13" t="str">
        <f>ROUND(Github!O$456, 2)&amp;"%"</f>
        <v>50.3%</v>
      </c>
      <c r="H670" s="13" t="str">
        <f>Github!H$456</f>
        <v>Algorithms</v>
      </c>
      <c r="I670" s="16" t="str">
        <f>SUBSTITUTE(Github!L$456, ";", ", ")</f>
        <v>Array, Two Pointers, Greedy, Sorting, </v>
      </c>
      <c r="J670" s="13" t="str">
        <f>Github!E$456</f>
        <v>Easy</v>
      </c>
      <c r="K670" s="13" t="str">
        <f>IF(TRIM(Github!D$456)="TRUE","FALSE","TRUE")</f>
        <v>TRUE</v>
      </c>
      <c r="L670" s="13" t="b">
        <f>Github!M$456</f>
        <v>0</v>
      </c>
      <c r="M670" s="13" t="b">
        <f>Github!N$456</f>
        <v>0</v>
      </c>
      <c r="N670" s="13">
        <f>Github!P$456</f>
        <v>202044</v>
      </c>
      <c r="O670" s="13">
        <f>Github!Q$456</f>
        <v>401685</v>
      </c>
    </row>
    <row r="671">
      <c r="A671" s="13">
        <f>Github!J$796</f>
        <v>795</v>
      </c>
      <c r="B671" s="14" t="str">
        <f>HYPERLINK(CONCAT("http://leetcode.com/problems/",Github!C$796), Github!B$796)</f>
        <v>Number of Subarrays with Bounded Maximum</v>
      </c>
      <c r="C671" s="13">
        <f>Github!F$796</f>
        <v>1935</v>
      </c>
      <c r="D671" s="13">
        <f>Github!G$796</f>
        <v>105</v>
      </c>
      <c r="E671" s="13">
        <f>Github!F$796+Github!G$796</f>
        <v>2040</v>
      </c>
      <c r="F671" s="15">
        <f t="shared" si="1"/>
        <v>18.43</v>
      </c>
      <c r="G671" s="13" t="str">
        <f>ROUND(Github!O$796, 2)&amp;"%"</f>
        <v>52.75%</v>
      </c>
      <c r="H671" s="13" t="str">
        <f>Github!H$796</f>
        <v>Algorithms</v>
      </c>
      <c r="I671" s="16" t="str">
        <f>SUBSTITUTE(Github!L$796, ";", ", ")</f>
        <v>Array, Two Pointers, </v>
      </c>
      <c r="J671" s="13" t="str">
        <f>Github!E$796</f>
        <v>Medium</v>
      </c>
      <c r="K671" s="13" t="str">
        <f>IF(TRIM(Github!D$796)="TRUE","FALSE","TRUE")</f>
        <v>TRUE</v>
      </c>
      <c r="L671" s="13" t="b">
        <f>Github!M$796</f>
        <v>1</v>
      </c>
      <c r="M671" s="13" t="b">
        <f>Github!N$796</f>
        <v>0</v>
      </c>
      <c r="N671" s="13">
        <f>Github!P$796</f>
        <v>58975</v>
      </c>
      <c r="O671" s="13">
        <f>Github!Q$796</f>
        <v>111799</v>
      </c>
    </row>
    <row r="672">
      <c r="A672" s="13">
        <f>Github!J$686</f>
        <v>685</v>
      </c>
      <c r="B672" s="14" t="str">
        <f>HYPERLINK(CONCAT("http://leetcode.com/problems/",Github!C$686), Github!B$686)</f>
        <v>Redundant Connection II</v>
      </c>
      <c r="C672" s="13">
        <f>Github!F$686</f>
        <v>1933</v>
      </c>
      <c r="D672" s="13">
        <f>Github!G$686</f>
        <v>289</v>
      </c>
      <c r="E672" s="13">
        <f>Github!F$686+Github!G$686</f>
        <v>2222</v>
      </c>
      <c r="F672" s="15">
        <f t="shared" si="1"/>
        <v>6.69</v>
      </c>
      <c r="G672" s="13" t="str">
        <f>ROUND(Github!O$686, 2)&amp;"%"</f>
        <v>34.17%</v>
      </c>
      <c r="H672" s="13" t="str">
        <f>Github!H$686</f>
        <v>Algorithms</v>
      </c>
      <c r="I672" s="16" t="str">
        <f>SUBSTITUTE(Github!L$686, ";", ", ")</f>
        <v>Depth-First Search, Breadth-First Search, Union Find, Graph, </v>
      </c>
      <c r="J672" s="13" t="str">
        <f>Github!E$686</f>
        <v>Hard</v>
      </c>
      <c r="K672" s="13" t="str">
        <f>IF(TRIM(Github!D$686)="TRUE","FALSE","TRUE")</f>
        <v>TRUE</v>
      </c>
      <c r="L672" s="13" t="b">
        <f>Github!M$686</f>
        <v>0</v>
      </c>
      <c r="M672" s="13" t="b">
        <f>Github!N$686</f>
        <v>0</v>
      </c>
      <c r="N672" s="13">
        <f>Github!P$686</f>
        <v>58983</v>
      </c>
      <c r="O672" s="13">
        <f>Github!Q$686</f>
        <v>172616</v>
      </c>
    </row>
    <row r="673">
      <c r="A673" s="13">
        <f>Github!J$986</f>
        <v>985</v>
      </c>
      <c r="B673" s="14" t="str">
        <f>HYPERLINK(CONCAT("http://leetcode.com/problems/",Github!C$986), Github!B$986)</f>
        <v>Sum of Even Numbers After Queries</v>
      </c>
      <c r="C673" s="13">
        <f>Github!F$986</f>
        <v>1921</v>
      </c>
      <c r="D673" s="13">
        <f>Github!G$986</f>
        <v>312</v>
      </c>
      <c r="E673" s="13">
        <f>Github!F$986+Github!G$986</f>
        <v>2233</v>
      </c>
      <c r="F673" s="15">
        <f t="shared" si="1"/>
        <v>6.16</v>
      </c>
      <c r="G673" s="13" t="str">
        <f>ROUND(Github!O$986, 2)&amp;"%"</f>
        <v>68.22%</v>
      </c>
      <c r="H673" s="13" t="str">
        <f>Github!H$986</f>
        <v>Algorithms</v>
      </c>
      <c r="I673" s="16" t="str">
        <f>SUBSTITUTE(Github!L$986, ";", ", ")</f>
        <v>Array, Simulation, </v>
      </c>
      <c r="J673" s="13" t="str">
        <f>Github!E$986</f>
        <v>Medium</v>
      </c>
      <c r="K673" s="13" t="str">
        <f>IF(TRIM(Github!D$986)="TRUE","FALSE","TRUE")</f>
        <v>TRUE</v>
      </c>
      <c r="L673" s="13" t="b">
        <f>Github!M$986</f>
        <v>1</v>
      </c>
      <c r="M673" s="13" t="b">
        <f>Github!N$986</f>
        <v>0</v>
      </c>
      <c r="N673" s="13">
        <f>Github!P$986</f>
        <v>129258</v>
      </c>
      <c r="O673" s="13">
        <f>Github!Q$986</f>
        <v>189463</v>
      </c>
    </row>
    <row r="674">
      <c r="A674" s="13">
        <f>Github!J$88</f>
        <v>87</v>
      </c>
      <c r="B674" s="14" t="str">
        <f>HYPERLINK(CONCAT("http://leetcode.com/problems/",Github!C$88), Github!B$88)</f>
        <v>Scramble String</v>
      </c>
      <c r="C674" s="13">
        <f>Github!F$88</f>
        <v>1928</v>
      </c>
      <c r="D674" s="13">
        <f>Github!G$88</f>
        <v>978</v>
      </c>
      <c r="E674" s="13">
        <f>Github!F$88+Github!G$88</f>
        <v>2906</v>
      </c>
      <c r="F674" s="15">
        <f t="shared" si="1"/>
        <v>1.97</v>
      </c>
      <c r="G674" s="13" t="str">
        <f>ROUND(Github!O$88, 2)&amp;"%"</f>
        <v>36.1%</v>
      </c>
      <c r="H674" s="13" t="str">
        <f>Github!H$88</f>
        <v>Algorithms</v>
      </c>
      <c r="I674" s="16" t="str">
        <f>SUBSTITUTE(Github!L$88, ";", ", ")</f>
        <v>String, Dynamic Programming, </v>
      </c>
      <c r="J674" s="13" t="str">
        <f>Github!E$88</f>
        <v>Hard</v>
      </c>
      <c r="K674" s="13" t="str">
        <f>IF(TRIM(Github!D$88)="TRUE","FALSE","TRUE")</f>
        <v>TRUE</v>
      </c>
      <c r="L674" s="13" t="b">
        <f>Github!M$88</f>
        <v>0</v>
      </c>
      <c r="M674" s="13" t="b">
        <f>Github!N$88</f>
        <v>0</v>
      </c>
      <c r="N674" s="13">
        <f>Github!P$88</f>
        <v>159095</v>
      </c>
      <c r="O674" s="13">
        <f>Github!Q$88</f>
        <v>440738</v>
      </c>
    </row>
    <row r="675">
      <c r="A675" s="13">
        <f>Github!J$383</f>
        <v>382</v>
      </c>
      <c r="B675" s="14" t="str">
        <f>HYPERLINK(CONCAT("http://leetcode.com/problems/",Github!C$383), Github!B$383)</f>
        <v>Linked List Random Node</v>
      </c>
      <c r="C675" s="13">
        <f>Github!F$383</f>
        <v>1923</v>
      </c>
      <c r="D675" s="13">
        <f>Github!G$383</f>
        <v>467</v>
      </c>
      <c r="E675" s="13">
        <f>Github!F$383+Github!G$383</f>
        <v>2390</v>
      </c>
      <c r="F675" s="15">
        <f t="shared" si="1"/>
        <v>4.12</v>
      </c>
      <c r="G675" s="13" t="str">
        <f>ROUND(Github!O$383, 2)&amp;"%"</f>
        <v>59.61%</v>
      </c>
      <c r="H675" s="13" t="str">
        <f>Github!H$383</f>
        <v>Algorithms</v>
      </c>
      <c r="I675" s="16" t="str">
        <f>SUBSTITUTE(Github!L$383, ";", ", ")</f>
        <v>Linked List, Math, Reservoir Sampling, Randomized, </v>
      </c>
      <c r="J675" s="13" t="str">
        <f>Github!E$383</f>
        <v>Medium</v>
      </c>
      <c r="K675" s="13" t="str">
        <f>IF(TRIM(Github!D$383)="TRUE","FALSE","TRUE")</f>
        <v>TRUE</v>
      </c>
      <c r="L675" s="13" t="b">
        <f>Github!M$383</f>
        <v>1</v>
      </c>
      <c r="M675" s="13" t="b">
        <f>Github!N$383</f>
        <v>0</v>
      </c>
      <c r="N675" s="13">
        <f>Github!P$383</f>
        <v>162672</v>
      </c>
      <c r="O675" s="13">
        <f>Github!Q$383</f>
        <v>272897</v>
      </c>
    </row>
    <row r="676">
      <c r="A676" s="13">
        <f>Github!J$634</f>
        <v>633</v>
      </c>
      <c r="B676" s="14" t="str">
        <f>HYPERLINK(CONCAT("http://leetcode.com/problems/",Github!C$634), Github!B$634)</f>
        <v>Sum of Square Numbers</v>
      </c>
      <c r="C676" s="13">
        <f>Github!F$634</f>
        <v>1906</v>
      </c>
      <c r="D676" s="13">
        <f>Github!G$634</f>
        <v>504</v>
      </c>
      <c r="E676" s="13">
        <f>Github!F$634+Github!G$634</f>
        <v>2410</v>
      </c>
      <c r="F676" s="15">
        <f t="shared" si="1"/>
        <v>3.78</v>
      </c>
      <c r="G676" s="13" t="str">
        <f>ROUND(Github!O$634, 2)&amp;"%"</f>
        <v>34.53%</v>
      </c>
      <c r="H676" s="13" t="str">
        <f>Github!H$634</f>
        <v>Algorithms</v>
      </c>
      <c r="I676" s="16" t="str">
        <f>SUBSTITUTE(Github!L$634, ";", ", ")</f>
        <v>Math, Two Pointers, Binary Search, </v>
      </c>
      <c r="J676" s="13" t="str">
        <f>Github!E$634</f>
        <v>Medium</v>
      </c>
      <c r="K676" s="13" t="str">
        <f>IF(TRIM(Github!D$634)="TRUE","FALSE","TRUE")</f>
        <v>TRUE</v>
      </c>
      <c r="L676" s="13" t="b">
        <f>Github!M$634</f>
        <v>1</v>
      </c>
      <c r="M676" s="13" t="b">
        <f>Github!N$634</f>
        <v>0</v>
      </c>
      <c r="N676" s="13">
        <f>Github!P$634</f>
        <v>160084</v>
      </c>
      <c r="O676" s="13">
        <f>Github!Q$634</f>
        <v>463542</v>
      </c>
    </row>
    <row r="677">
      <c r="A677" s="13">
        <f>Github!J$328</f>
        <v>327</v>
      </c>
      <c r="B677" s="14" t="str">
        <f>HYPERLINK(CONCAT("http://leetcode.com/problems/",Github!C$328), Github!B$328)</f>
        <v>Count of Range Sum</v>
      </c>
      <c r="C677" s="13">
        <f>Github!F$328</f>
        <v>1894</v>
      </c>
      <c r="D677" s="13">
        <f>Github!G$328</f>
        <v>199</v>
      </c>
      <c r="E677" s="13">
        <f>Github!F$328+Github!G$328</f>
        <v>2093</v>
      </c>
      <c r="F677" s="15">
        <f t="shared" si="1"/>
        <v>9.52</v>
      </c>
      <c r="G677" s="13" t="str">
        <f>ROUND(Github!O$328, 2)&amp;"%"</f>
        <v>36.02%</v>
      </c>
      <c r="H677" s="13" t="str">
        <f>Github!H$328</f>
        <v>Algorithms</v>
      </c>
      <c r="I677" s="16" t="str">
        <f>SUBSTITUTE(Github!L$328, ";", ", ")</f>
        <v>Array, Binary Search, Divide and Conquer, Binary Indexed Tree, Segment Tree, Merge Sort, Ordered Set, </v>
      </c>
      <c r="J677" s="13" t="str">
        <f>Github!E$328</f>
        <v>Hard</v>
      </c>
      <c r="K677" s="13" t="str">
        <f>IF(TRIM(Github!D$328)="TRUE","FALSE","TRUE")</f>
        <v>TRUE</v>
      </c>
      <c r="L677" s="13" t="b">
        <f>Github!M$328</f>
        <v>0</v>
      </c>
      <c r="M677" s="13" t="b">
        <f>Github!N$328</f>
        <v>0</v>
      </c>
      <c r="N677" s="13">
        <f>Github!P$328</f>
        <v>66318</v>
      </c>
      <c r="O677" s="13">
        <f>Github!Q$328</f>
        <v>184097</v>
      </c>
    </row>
    <row r="678">
      <c r="A678" s="13">
        <f>Github!J$564</f>
        <v>563</v>
      </c>
      <c r="B678" s="14" t="str">
        <f>HYPERLINK(CONCAT("http://leetcode.com/problems/",Github!C$564), Github!B$564)</f>
        <v>Binary Tree Tilt</v>
      </c>
      <c r="C678" s="13">
        <f>Github!F$564</f>
        <v>1883</v>
      </c>
      <c r="D678" s="13">
        <f>Github!G$564</f>
        <v>2023</v>
      </c>
      <c r="E678" s="13">
        <f>Github!F$564+Github!G$564</f>
        <v>3906</v>
      </c>
      <c r="F678" s="15">
        <f t="shared" si="1"/>
        <v>0.93</v>
      </c>
      <c r="G678" s="13" t="str">
        <f>ROUND(Github!O$564, 2)&amp;"%"</f>
        <v>59.61%</v>
      </c>
      <c r="H678" s="13" t="str">
        <f>Github!H$564</f>
        <v>Algorithms</v>
      </c>
      <c r="I678" s="16" t="str">
        <f>SUBSTITUTE(Github!L$564, ";", ", ")</f>
        <v>Tree, Depth-First Search, Binary Tree, </v>
      </c>
      <c r="J678" s="13" t="str">
        <f>Github!E$564</f>
        <v>Easy</v>
      </c>
      <c r="K678" s="13" t="str">
        <f>IF(TRIM(Github!D$564)="TRUE","FALSE","TRUE")</f>
        <v>TRUE</v>
      </c>
      <c r="L678" s="13" t="b">
        <f>Github!M$564</f>
        <v>1</v>
      </c>
      <c r="M678" s="13" t="b">
        <f>Github!N$564</f>
        <v>0</v>
      </c>
      <c r="N678" s="13">
        <f>Github!P$564</f>
        <v>182916</v>
      </c>
      <c r="O678" s="13">
        <f>Github!Q$564</f>
        <v>306861</v>
      </c>
    </row>
    <row r="679">
      <c r="A679" s="13">
        <f>Github!J$858</f>
        <v>857</v>
      </c>
      <c r="B679" s="14" t="str">
        <f>HYPERLINK(CONCAT("http://leetcode.com/problems/",Github!C$858), Github!B$858)</f>
        <v>Minimum Cost to Hire K Workers</v>
      </c>
      <c r="C679" s="13">
        <f>Github!F$858</f>
        <v>1887</v>
      </c>
      <c r="D679" s="13">
        <f>Github!G$858</f>
        <v>237</v>
      </c>
      <c r="E679" s="13">
        <f>Github!F$858+Github!G$858</f>
        <v>2124</v>
      </c>
      <c r="F679" s="15">
        <f t="shared" si="1"/>
        <v>7.96</v>
      </c>
      <c r="G679" s="13" t="str">
        <f>ROUND(Github!O$858, 2)&amp;"%"</f>
        <v>52.04%</v>
      </c>
      <c r="H679" s="13" t="str">
        <f>Github!H$858</f>
        <v>Algorithms</v>
      </c>
      <c r="I679" s="16" t="str">
        <f>SUBSTITUTE(Github!L$858, ";", ", ")</f>
        <v>Array, Greedy, Sorting, Heap (Priority Queue), </v>
      </c>
      <c r="J679" s="13" t="str">
        <f>Github!E$858</f>
        <v>Hard</v>
      </c>
      <c r="K679" s="13" t="str">
        <f>IF(TRIM(Github!D$858)="TRUE","FALSE","TRUE")</f>
        <v>TRUE</v>
      </c>
      <c r="L679" s="13" t="b">
        <f>Github!M$858</f>
        <v>1</v>
      </c>
      <c r="M679" s="13" t="b">
        <f>Github!N$858</f>
        <v>0</v>
      </c>
      <c r="N679" s="13">
        <f>Github!P$858</f>
        <v>56607</v>
      </c>
      <c r="O679" s="13">
        <f>Github!Q$858</f>
        <v>108770</v>
      </c>
    </row>
    <row r="680">
      <c r="A680" s="13">
        <f>Github!J$478</f>
        <v>477</v>
      </c>
      <c r="B680" s="14" t="str">
        <f>HYPERLINK(CONCAT("http://leetcode.com/problems/",Github!C$478), Github!B$478)</f>
        <v>Total Hamming Distance</v>
      </c>
      <c r="C680" s="13">
        <f>Github!F$478</f>
        <v>1895</v>
      </c>
      <c r="D680" s="13">
        <f>Github!G$478</f>
        <v>86</v>
      </c>
      <c r="E680" s="13">
        <f>Github!F$478+Github!G$478</f>
        <v>1981</v>
      </c>
      <c r="F680" s="15">
        <f t="shared" si="1"/>
        <v>22.03</v>
      </c>
      <c r="G680" s="13" t="str">
        <f>ROUND(Github!O$478, 2)&amp;"%"</f>
        <v>52.16%</v>
      </c>
      <c r="H680" s="13" t="str">
        <f>Github!H$478</f>
        <v>Algorithms</v>
      </c>
      <c r="I680" s="16" t="str">
        <f>SUBSTITUTE(Github!L$478, ";", ", ")</f>
        <v>Array, Math, Bit Manipulation, </v>
      </c>
      <c r="J680" s="13" t="str">
        <f>Github!E$478</f>
        <v>Medium</v>
      </c>
      <c r="K680" s="13" t="str">
        <f>IF(TRIM(Github!D$478)="TRUE","FALSE","TRUE")</f>
        <v>TRUE</v>
      </c>
      <c r="L680" s="13" t="b">
        <f>Github!M$478</f>
        <v>1</v>
      </c>
      <c r="M680" s="13" t="b">
        <f>Github!N$478</f>
        <v>0</v>
      </c>
      <c r="N680" s="13">
        <f>Github!P$478</f>
        <v>94986</v>
      </c>
      <c r="O680" s="13">
        <f>Github!Q$478</f>
        <v>182118</v>
      </c>
    </row>
    <row r="681">
      <c r="A681" s="13">
        <f>Github!J$630</f>
        <v>629</v>
      </c>
      <c r="B681" s="14" t="str">
        <f>HYPERLINK(CONCAT("http://leetcode.com/problems/",Github!C$630), Github!B$630)</f>
        <v>K Inverse Pairs Array</v>
      </c>
      <c r="C681" s="13">
        <f>Github!F$630</f>
        <v>1871</v>
      </c>
      <c r="D681" s="13">
        <f>Github!G$630</f>
        <v>217</v>
      </c>
      <c r="E681" s="13">
        <f>Github!F$630+Github!G$630</f>
        <v>2088</v>
      </c>
      <c r="F681" s="15">
        <f t="shared" si="1"/>
        <v>8.62</v>
      </c>
      <c r="G681" s="13" t="str">
        <f>ROUND(Github!O$630, 2)&amp;"%"</f>
        <v>42.81%</v>
      </c>
      <c r="H681" s="13" t="str">
        <f>Github!H$630</f>
        <v>Algorithms</v>
      </c>
      <c r="I681" s="16" t="str">
        <f>SUBSTITUTE(Github!L$630, ";", ", ")</f>
        <v>Dynamic Programming, </v>
      </c>
      <c r="J681" s="13" t="str">
        <f>Github!E$630</f>
        <v>Hard</v>
      </c>
      <c r="K681" s="13" t="str">
        <f>IF(TRIM(Github!D$630)="TRUE","FALSE","TRUE")</f>
        <v>TRUE</v>
      </c>
      <c r="L681" s="13" t="b">
        <f>Github!M$630</f>
        <v>1</v>
      </c>
      <c r="M681" s="13" t="b">
        <f>Github!N$630</f>
        <v>0</v>
      </c>
      <c r="N681" s="13">
        <f>Github!P$630</f>
        <v>57561</v>
      </c>
      <c r="O681" s="13">
        <f>Github!Q$630</f>
        <v>134462</v>
      </c>
    </row>
    <row r="682">
      <c r="A682" s="13">
        <f>Github!J$2097</f>
        <v>2096</v>
      </c>
      <c r="B682" s="14" t="str">
        <f>HYPERLINK(CONCAT("http://leetcode.com/problems/",Github!C$2097), Github!B$2097)</f>
        <v>Step-By-Step Directions From a Binary Tree Node to Another</v>
      </c>
      <c r="C682" s="13">
        <f>Github!F$2097</f>
        <v>1892</v>
      </c>
      <c r="D682" s="13">
        <f>Github!G$2097</f>
        <v>95</v>
      </c>
      <c r="E682" s="13">
        <f>Github!F$2097+Github!G$2097</f>
        <v>1987</v>
      </c>
      <c r="F682" s="15">
        <f t="shared" si="1"/>
        <v>19.92</v>
      </c>
      <c r="G682" s="13" t="str">
        <f>ROUND(Github!O$2097, 2)&amp;"%"</f>
        <v>48.6%</v>
      </c>
      <c r="H682" s="13" t="str">
        <f>Github!H$2097</f>
        <v>Algorithms</v>
      </c>
      <c r="I682" s="16" t="str">
        <f>SUBSTITUTE(Github!L$2097, ";", ", ")</f>
        <v>String, Tree, Depth-First Search, Binary Tree, </v>
      </c>
      <c r="J682" s="13" t="str">
        <f>Github!E$2097</f>
        <v>Medium</v>
      </c>
      <c r="K682" s="13" t="str">
        <f>IF(TRIM(Github!D$2097)="TRUE","FALSE","TRUE")</f>
        <v>TRUE</v>
      </c>
      <c r="L682" s="13" t="b">
        <f>Github!M$2097</f>
        <v>0</v>
      </c>
      <c r="M682" s="13" t="b">
        <f>Github!N$2097</f>
        <v>0</v>
      </c>
      <c r="N682" s="13">
        <f>Github!P$2097</f>
        <v>76074</v>
      </c>
      <c r="O682" s="13">
        <f>Github!Q$2097</f>
        <v>156540</v>
      </c>
    </row>
    <row r="683">
      <c r="A683" s="13">
        <f>Github!J$1474</f>
        <v>1473</v>
      </c>
      <c r="B683" s="14" t="str">
        <f>HYPERLINK(CONCAT("http://leetcode.com/problems/",Github!C$1474), Github!B$1474)</f>
        <v>Paint House III</v>
      </c>
      <c r="C683" s="13">
        <f>Github!F$1474</f>
        <v>1870</v>
      </c>
      <c r="D683" s="13">
        <f>Github!G$1474</f>
        <v>136</v>
      </c>
      <c r="E683" s="13">
        <f>Github!F$1474+Github!G$1474</f>
        <v>2006</v>
      </c>
      <c r="F683" s="15">
        <f t="shared" si="1"/>
        <v>13.75</v>
      </c>
      <c r="G683" s="13" t="str">
        <f>ROUND(Github!O$1474, 2)&amp;"%"</f>
        <v>61.86%</v>
      </c>
      <c r="H683" s="13" t="str">
        <f>Github!H$1474</f>
        <v>Algorithms</v>
      </c>
      <c r="I683" s="16" t="str">
        <f>SUBSTITUTE(Github!L$1474, ";", ", ")</f>
        <v>Array, Dynamic Programming, </v>
      </c>
      <c r="J683" s="13" t="str">
        <f>Github!E$1474</f>
        <v>Hard</v>
      </c>
      <c r="K683" s="13" t="str">
        <f>IF(TRIM(Github!D$1474)="TRUE","FALSE","TRUE")</f>
        <v>TRUE</v>
      </c>
      <c r="L683" s="13" t="b">
        <f>Github!M$1474</f>
        <v>1</v>
      </c>
      <c r="M683" s="13" t="b">
        <f>Github!N$1474</f>
        <v>0</v>
      </c>
      <c r="N683" s="13">
        <f>Github!P$1474</f>
        <v>53999</v>
      </c>
      <c r="O683" s="13">
        <f>Github!Q$1474</f>
        <v>87293</v>
      </c>
    </row>
    <row r="684">
      <c r="A684" s="13">
        <f>Github!J$1473</f>
        <v>1472</v>
      </c>
      <c r="B684" s="14" t="str">
        <f>HYPERLINK(CONCAT("http://leetcode.com/problems/",Github!C$1473), Github!B$1473)</f>
        <v>Design Browser History</v>
      </c>
      <c r="C684" s="13">
        <f>Github!F$1473</f>
        <v>1889</v>
      </c>
      <c r="D684" s="13">
        <f>Github!G$1473</f>
        <v>129</v>
      </c>
      <c r="E684" s="13">
        <f>Github!F$1473+Github!G$1473</f>
        <v>2018</v>
      </c>
      <c r="F684" s="15">
        <f t="shared" si="1"/>
        <v>14.64</v>
      </c>
      <c r="G684" s="13" t="str">
        <f>ROUND(Github!O$1473, 2)&amp;"%"</f>
        <v>76.17%</v>
      </c>
      <c r="H684" s="13" t="str">
        <f>Github!H$1473</f>
        <v>Algorithms</v>
      </c>
      <c r="I684" s="16" t="str">
        <f>SUBSTITUTE(Github!L$1473, ";", ", ")</f>
        <v>Array, Linked List, Stack, Design, Doubly-Linked List, Data Stream, </v>
      </c>
      <c r="J684" s="13" t="str">
        <f>Github!E$1473</f>
        <v>Medium</v>
      </c>
      <c r="K684" s="13" t="str">
        <f>IF(TRIM(Github!D$1473)="TRUE","FALSE","TRUE")</f>
        <v>TRUE</v>
      </c>
      <c r="L684" s="13" t="b">
        <f>Github!M$1473</f>
        <v>0</v>
      </c>
      <c r="M684" s="13" t="b">
        <f>Github!N$1473</f>
        <v>0</v>
      </c>
      <c r="N684" s="13">
        <f>Github!P$1473</f>
        <v>111557</v>
      </c>
      <c r="O684" s="13">
        <f>Github!Q$1473</f>
        <v>146455</v>
      </c>
    </row>
    <row r="685">
      <c r="A685" s="13">
        <f>Github!J$349</f>
        <v>348</v>
      </c>
      <c r="B685" s="14" t="str">
        <f>HYPERLINK(CONCAT("http://leetcode.com/problems/",Github!C$349), Github!B$349)</f>
        <v>Design Tic-Tac-Toe</v>
      </c>
      <c r="C685" s="13">
        <f>Github!F$349</f>
        <v>1872</v>
      </c>
      <c r="D685" s="13">
        <f>Github!G$349</f>
        <v>110</v>
      </c>
      <c r="E685" s="13">
        <f>Github!F$349+Github!G$349</f>
        <v>1982</v>
      </c>
      <c r="F685" s="15">
        <f t="shared" si="1"/>
        <v>17.02</v>
      </c>
      <c r="G685" s="13" t="str">
        <f>ROUND(Github!O$349, 2)&amp;"%"</f>
        <v>57.57%</v>
      </c>
      <c r="H685" s="13" t="str">
        <f>Github!H$349</f>
        <v>Algorithms</v>
      </c>
      <c r="I685" s="16" t="str">
        <f>SUBSTITUTE(Github!L$349, ";", ", ")</f>
        <v>Array, Hash Table, Design, Matrix, </v>
      </c>
      <c r="J685" s="13" t="str">
        <f>Github!E$349</f>
        <v>Medium</v>
      </c>
      <c r="K685" s="13" t="str">
        <f>IF(TRIM(Github!D$349)="TRUE","FALSE","TRUE")</f>
        <v>FALSE</v>
      </c>
      <c r="L685" s="13" t="b">
        <f>Github!M$349</f>
        <v>1</v>
      </c>
      <c r="M685" s="13" t="b">
        <f>Github!N$349</f>
        <v>0</v>
      </c>
      <c r="N685" s="13">
        <f>Github!P$349</f>
        <v>205079</v>
      </c>
      <c r="O685" s="13">
        <f>Github!Q$349</f>
        <v>356207</v>
      </c>
    </row>
    <row r="686">
      <c r="A686" s="13">
        <f>Github!J$182</f>
        <v>181</v>
      </c>
      <c r="B686" s="14" t="str">
        <f>HYPERLINK(CONCAT("http://leetcode.com/problems/",Github!C$182), Github!B$182)</f>
        <v>Employees Earning More Than Their Managers</v>
      </c>
      <c r="C686" s="13">
        <f>Github!F$182</f>
        <v>1878</v>
      </c>
      <c r="D686" s="13">
        <f>Github!G$182</f>
        <v>190</v>
      </c>
      <c r="E686" s="13">
        <f>Github!F$182+Github!G$182</f>
        <v>2068</v>
      </c>
      <c r="F686" s="15">
        <f t="shared" si="1"/>
        <v>9.88</v>
      </c>
      <c r="G686" s="13" t="str">
        <f>ROUND(Github!O$182, 2)&amp;"%"</f>
        <v>68.79%</v>
      </c>
      <c r="H686" s="13" t="str">
        <f>Github!H$182</f>
        <v>Database</v>
      </c>
      <c r="I686" s="16" t="str">
        <f>SUBSTITUTE(Github!L$182, ";", ", ")</f>
        <v>Database, </v>
      </c>
      <c r="J686" s="13" t="str">
        <f>Github!E$182</f>
        <v>Easy</v>
      </c>
      <c r="K686" s="13" t="str">
        <f>IF(TRIM(Github!D$182)="TRUE","FALSE","TRUE")</f>
        <v>TRUE</v>
      </c>
      <c r="L686" s="13" t="b">
        <f>Github!M$182</f>
        <v>1</v>
      </c>
      <c r="M686" s="13" t="b">
        <f>Github!N$182</f>
        <v>0</v>
      </c>
      <c r="N686" s="13">
        <f>Github!P$182</f>
        <v>443518</v>
      </c>
      <c r="O686" s="13">
        <f>Github!Q$182</f>
        <v>644771</v>
      </c>
    </row>
    <row r="687">
      <c r="A687" s="13">
        <f>Github!J$1218</f>
        <v>1217</v>
      </c>
      <c r="B687" s="14" t="str">
        <f>HYPERLINK(CONCAT("http://leetcode.com/problems/",Github!C$1218), Github!B$1218)</f>
        <v>Minimum Cost to Move Chips to The Same Position</v>
      </c>
      <c r="C687" s="13">
        <f>Github!F$1218</f>
        <v>1886</v>
      </c>
      <c r="D687" s="13">
        <f>Github!G$1218</f>
        <v>243</v>
      </c>
      <c r="E687" s="13">
        <f>Github!F$1218+Github!G$1218</f>
        <v>2129</v>
      </c>
      <c r="F687" s="15">
        <f t="shared" si="1"/>
        <v>7.76</v>
      </c>
      <c r="G687" s="13" t="str">
        <f>ROUND(Github!O$1218, 2)&amp;"%"</f>
        <v>72.11%</v>
      </c>
      <c r="H687" s="13" t="str">
        <f>Github!H$1218</f>
        <v>Algorithms</v>
      </c>
      <c r="I687" s="16" t="str">
        <f>SUBSTITUTE(Github!L$1218, ";", ", ")</f>
        <v>Array, Math, Greedy, </v>
      </c>
      <c r="J687" s="13" t="str">
        <f>Github!E$1218</f>
        <v>Easy</v>
      </c>
      <c r="K687" s="13" t="str">
        <f>IF(TRIM(Github!D$1218)="TRUE","FALSE","TRUE")</f>
        <v>TRUE</v>
      </c>
      <c r="L687" s="13" t="b">
        <f>Github!M$1218</f>
        <v>1</v>
      </c>
      <c r="M687" s="13" t="b">
        <f>Github!N$1218</f>
        <v>0</v>
      </c>
      <c r="N687" s="13">
        <f>Github!P$1218</f>
        <v>107701</v>
      </c>
      <c r="O687" s="13">
        <f>Github!Q$1218</f>
        <v>149353</v>
      </c>
    </row>
    <row r="688">
      <c r="A688" s="13">
        <f>Github!J$936</f>
        <v>935</v>
      </c>
      <c r="B688" s="14" t="str">
        <f>HYPERLINK(CONCAT("http://leetcode.com/problems/",Github!C$936), Github!B$936)</f>
        <v>Knight Dialer</v>
      </c>
      <c r="C688" s="13">
        <f>Github!F$936</f>
        <v>1862</v>
      </c>
      <c r="D688" s="13">
        <f>Github!G$936</f>
        <v>377</v>
      </c>
      <c r="E688" s="13">
        <f>Github!F$936+Github!G$936</f>
        <v>2239</v>
      </c>
      <c r="F688" s="15">
        <f t="shared" si="1"/>
        <v>4.94</v>
      </c>
      <c r="G688" s="13" t="str">
        <f>ROUND(Github!O$936, 2)&amp;"%"</f>
        <v>50.15%</v>
      </c>
      <c r="H688" s="13" t="str">
        <f>Github!H$936</f>
        <v>Algorithms</v>
      </c>
      <c r="I688" s="16" t="str">
        <f>SUBSTITUTE(Github!L$936, ";", ", ")</f>
        <v>Dynamic Programming, </v>
      </c>
      <c r="J688" s="13" t="str">
        <f>Github!E$936</f>
        <v>Medium</v>
      </c>
      <c r="K688" s="13" t="str">
        <f>IF(TRIM(Github!D$936)="TRUE","FALSE","TRUE")</f>
        <v>TRUE</v>
      </c>
      <c r="L688" s="13" t="b">
        <f>Github!M$936</f>
        <v>0</v>
      </c>
      <c r="M688" s="13" t="b">
        <f>Github!N$936</f>
        <v>0</v>
      </c>
      <c r="N688" s="13">
        <f>Github!P$936</f>
        <v>95939</v>
      </c>
      <c r="O688" s="13">
        <f>Github!Q$936</f>
        <v>191306</v>
      </c>
    </row>
    <row r="689">
      <c r="A689" s="13">
        <f>Github!J$687</f>
        <v>686</v>
      </c>
      <c r="B689" s="14" t="str">
        <f>HYPERLINK(CONCAT("http://leetcode.com/problems/",Github!C$687), Github!B$687)</f>
        <v>Repeated String Match</v>
      </c>
      <c r="C689" s="13">
        <f>Github!F$687</f>
        <v>1862</v>
      </c>
      <c r="D689" s="13">
        <f>Github!G$687</f>
        <v>927</v>
      </c>
      <c r="E689" s="13">
        <f>Github!F$687+Github!G$687</f>
        <v>2789</v>
      </c>
      <c r="F689" s="15">
        <f t="shared" si="1"/>
        <v>2.01</v>
      </c>
      <c r="G689" s="13" t="str">
        <f>ROUND(Github!O$687, 2)&amp;"%"</f>
        <v>34.05%</v>
      </c>
      <c r="H689" s="13" t="str">
        <f>Github!H$687</f>
        <v>Algorithms</v>
      </c>
      <c r="I689" s="16" t="str">
        <f>SUBSTITUTE(Github!L$687, ";", ", ")</f>
        <v>String, String Matching, </v>
      </c>
      <c r="J689" s="13" t="str">
        <f>Github!E$687</f>
        <v>Medium</v>
      </c>
      <c r="K689" s="13" t="str">
        <f>IF(TRIM(Github!D$687)="TRUE","FALSE","TRUE")</f>
        <v>TRUE</v>
      </c>
      <c r="L689" s="13" t="b">
        <f>Github!M$687</f>
        <v>0</v>
      </c>
      <c r="M689" s="13" t="b">
        <f>Github!N$687</f>
        <v>0</v>
      </c>
      <c r="N689" s="13">
        <f>Github!P$687</f>
        <v>133735</v>
      </c>
      <c r="O689" s="13">
        <f>Github!Q$687</f>
        <v>392800</v>
      </c>
    </row>
    <row r="690">
      <c r="A690" s="13">
        <f>Github!J$1201</f>
        <v>1200</v>
      </c>
      <c r="B690" s="14" t="str">
        <f>HYPERLINK(CONCAT("http://leetcode.com/problems/",Github!C$1201), Github!B$1201)</f>
        <v>Minimum Absolute Difference</v>
      </c>
      <c r="C690" s="13">
        <f>Github!F$1201</f>
        <v>1865</v>
      </c>
      <c r="D690" s="13">
        <f>Github!G$1201</f>
        <v>62</v>
      </c>
      <c r="E690" s="13">
        <f>Github!F$1201+Github!G$1201</f>
        <v>1927</v>
      </c>
      <c r="F690" s="15">
        <f t="shared" si="1"/>
        <v>30.08</v>
      </c>
      <c r="G690" s="13" t="str">
        <f>ROUND(Github!O$1201, 2)&amp;"%"</f>
        <v>69.74%</v>
      </c>
      <c r="H690" s="13" t="str">
        <f>Github!H$1201</f>
        <v>Algorithms</v>
      </c>
      <c r="I690" s="16" t="str">
        <f>SUBSTITUTE(Github!L$1201, ";", ", ")</f>
        <v>Array, Sorting, </v>
      </c>
      <c r="J690" s="13" t="str">
        <f>Github!E$1201</f>
        <v>Easy</v>
      </c>
      <c r="K690" s="13" t="str">
        <f>IF(TRIM(Github!D$1201)="TRUE","FALSE","TRUE")</f>
        <v>TRUE</v>
      </c>
      <c r="L690" s="13" t="b">
        <f>Github!M$1201</f>
        <v>1</v>
      </c>
      <c r="M690" s="13" t="b">
        <f>Github!N$1201</f>
        <v>0</v>
      </c>
      <c r="N690" s="13">
        <f>Github!P$1201</f>
        <v>146161</v>
      </c>
      <c r="O690" s="13">
        <f>Github!Q$1201</f>
        <v>209592</v>
      </c>
    </row>
    <row r="691">
      <c r="A691" s="13">
        <f>Github!J$897</f>
        <v>896</v>
      </c>
      <c r="B691" s="14" t="str">
        <f>HYPERLINK(CONCAT("http://leetcode.com/problems/",Github!C$897), Github!B$897)</f>
        <v>Monotonic Array</v>
      </c>
      <c r="C691" s="13">
        <f>Github!F$897</f>
        <v>1870</v>
      </c>
      <c r="D691" s="13">
        <f>Github!G$897</f>
        <v>60</v>
      </c>
      <c r="E691" s="13">
        <f>Github!F$897+Github!G$897</f>
        <v>1930</v>
      </c>
      <c r="F691" s="15">
        <f t="shared" si="1"/>
        <v>31.17</v>
      </c>
      <c r="G691" s="13" t="str">
        <f>ROUND(Github!O$897, 2)&amp;"%"</f>
        <v>58.28%</v>
      </c>
      <c r="H691" s="13" t="str">
        <f>Github!H$897</f>
        <v>Algorithms</v>
      </c>
      <c r="I691" s="16" t="str">
        <f>SUBSTITUTE(Github!L$897, ";", ", ")</f>
        <v>Array, </v>
      </c>
      <c r="J691" s="13" t="str">
        <f>Github!E$897</f>
        <v>Easy</v>
      </c>
      <c r="K691" s="13" t="str">
        <f>IF(TRIM(Github!D$897)="TRUE","FALSE","TRUE")</f>
        <v>TRUE</v>
      </c>
      <c r="L691" s="13" t="b">
        <f>Github!M$897</f>
        <v>1</v>
      </c>
      <c r="M691" s="13" t="b">
        <f>Github!N$897</f>
        <v>0</v>
      </c>
      <c r="N691" s="13">
        <f>Github!P$897</f>
        <v>243368</v>
      </c>
      <c r="O691" s="13">
        <f>Github!Q$897</f>
        <v>417597</v>
      </c>
    </row>
    <row r="692">
      <c r="A692" s="13">
        <f>Github!J$326</f>
        <v>325</v>
      </c>
      <c r="B692" s="14" t="str">
        <f>HYPERLINK(CONCAT("http://leetcode.com/problems/",Github!C$326), Github!B$326)</f>
        <v>Maximum Size Subarray Sum Equals k</v>
      </c>
      <c r="C692" s="13">
        <f>Github!F$326</f>
        <v>1851</v>
      </c>
      <c r="D692" s="13">
        <f>Github!G$326</f>
        <v>56</v>
      </c>
      <c r="E692" s="13">
        <f>Github!F$326+Github!G$326</f>
        <v>1907</v>
      </c>
      <c r="F692" s="15">
        <f t="shared" si="1"/>
        <v>33.05</v>
      </c>
      <c r="G692" s="13" t="str">
        <f>ROUND(Github!O$326, 2)&amp;"%"</f>
        <v>49.25%</v>
      </c>
      <c r="H692" s="13" t="str">
        <f>Github!H$326</f>
        <v>Algorithms</v>
      </c>
      <c r="I692" s="16" t="str">
        <f>SUBSTITUTE(Github!L$326, ";", ", ")</f>
        <v>Array, Hash Table, Prefix Sum, </v>
      </c>
      <c r="J692" s="13" t="str">
        <f>Github!E$326</f>
        <v>Medium</v>
      </c>
      <c r="K692" s="13" t="str">
        <f>IF(TRIM(Github!D$326)="TRUE","FALSE","TRUE")</f>
        <v>FALSE</v>
      </c>
      <c r="L692" s="13" t="b">
        <f>Github!M$326</f>
        <v>1</v>
      </c>
      <c r="M692" s="13" t="b">
        <f>Github!N$326</f>
        <v>0</v>
      </c>
      <c r="N692" s="13">
        <f>Github!P$326</f>
        <v>168843</v>
      </c>
      <c r="O692" s="13">
        <f>Github!Q$326</f>
        <v>342855</v>
      </c>
    </row>
    <row r="693">
      <c r="A693" s="13">
        <f>Github!J$420</f>
        <v>419</v>
      </c>
      <c r="B693" s="14" t="str">
        <f>HYPERLINK(CONCAT("http://leetcode.com/problems/",Github!C$420), Github!B$420)</f>
        <v>Battleships in a Board</v>
      </c>
      <c r="C693" s="13">
        <f>Github!F$420</f>
        <v>1856</v>
      </c>
      <c r="D693" s="13">
        <f>Github!G$420</f>
        <v>859</v>
      </c>
      <c r="E693" s="13">
        <f>Github!F$420+Github!G$420</f>
        <v>2715</v>
      </c>
      <c r="F693" s="15">
        <f t="shared" si="1"/>
        <v>2.16</v>
      </c>
      <c r="G693" s="13" t="str">
        <f>ROUND(Github!O$420, 2)&amp;"%"</f>
        <v>74.75%</v>
      </c>
      <c r="H693" s="13" t="str">
        <f>Github!H$420</f>
        <v>Algorithms</v>
      </c>
      <c r="I693" s="16" t="str">
        <f>SUBSTITUTE(Github!L$420, ";", ", ")</f>
        <v>Array, Depth-First Search, Matrix, </v>
      </c>
      <c r="J693" s="13" t="str">
        <f>Github!E$420</f>
        <v>Medium</v>
      </c>
      <c r="K693" s="13" t="str">
        <f>IF(TRIM(Github!D$420)="TRUE","FALSE","TRUE")</f>
        <v>TRUE</v>
      </c>
      <c r="L693" s="13" t="b">
        <f>Github!M$420</f>
        <v>0</v>
      </c>
      <c r="M693" s="13" t="b">
        <f>Github!N$420</f>
        <v>0</v>
      </c>
      <c r="N693" s="13">
        <f>Github!P$420</f>
        <v>174949</v>
      </c>
      <c r="O693" s="13">
        <f>Github!Q$420</f>
        <v>234046</v>
      </c>
    </row>
    <row r="694">
      <c r="A694" s="13">
        <f>Github!J$1327</f>
        <v>1326</v>
      </c>
      <c r="B694" s="14" t="str">
        <f>HYPERLINK(CONCAT("http://leetcode.com/problems/",Github!C$1327), Github!B$1327)</f>
        <v>Minimum Number of Taps to Open to Water a Garden</v>
      </c>
      <c r="C694" s="13">
        <f>Github!F$1327</f>
        <v>1846</v>
      </c>
      <c r="D694" s="13">
        <f>Github!G$1327</f>
        <v>120</v>
      </c>
      <c r="E694" s="13">
        <f>Github!F$1327+Github!G$1327</f>
        <v>1966</v>
      </c>
      <c r="F694" s="15">
        <f t="shared" si="1"/>
        <v>15.38</v>
      </c>
      <c r="G694" s="13" t="str">
        <f>ROUND(Github!O$1327, 2)&amp;"%"</f>
        <v>47.73%</v>
      </c>
      <c r="H694" s="13" t="str">
        <f>Github!H$1327</f>
        <v>Algorithms</v>
      </c>
      <c r="I694" s="16" t="str">
        <f>SUBSTITUTE(Github!L$1327, ";", ", ")</f>
        <v>Array, Dynamic Programming, Greedy, </v>
      </c>
      <c r="J694" s="13" t="str">
        <f>Github!E$1327</f>
        <v>Hard</v>
      </c>
      <c r="K694" s="13" t="str">
        <f>IF(TRIM(Github!D$1327)="TRUE","FALSE","TRUE")</f>
        <v>TRUE</v>
      </c>
      <c r="L694" s="13" t="b">
        <f>Github!M$1327</f>
        <v>0</v>
      </c>
      <c r="M694" s="13" t="b">
        <f>Github!N$1327</f>
        <v>0</v>
      </c>
      <c r="N694" s="13">
        <f>Github!P$1327</f>
        <v>65836</v>
      </c>
      <c r="O694" s="13">
        <f>Github!Q$1327</f>
        <v>137925</v>
      </c>
    </row>
    <row r="695">
      <c r="A695" s="13">
        <f>Github!J$521</f>
        <v>520</v>
      </c>
      <c r="B695" s="14" t="str">
        <f>HYPERLINK(CONCAT("http://leetcode.com/problems/",Github!C$521), Github!B$521)</f>
        <v>Detect Capital</v>
      </c>
      <c r="C695" s="13">
        <f>Github!F$521</f>
        <v>2554</v>
      </c>
      <c r="D695" s="13">
        <f>Github!G$521</f>
        <v>411</v>
      </c>
      <c r="E695" s="13">
        <f>Github!F$521+Github!G$521</f>
        <v>2965</v>
      </c>
      <c r="F695" s="15">
        <f t="shared" si="1"/>
        <v>6.21</v>
      </c>
      <c r="G695" s="13" t="str">
        <f>ROUND(Github!O$521, 2)&amp;"%"</f>
        <v>56.59%</v>
      </c>
      <c r="H695" s="13" t="str">
        <f>Github!H$521</f>
        <v>Algorithms</v>
      </c>
      <c r="I695" s="16" t="str">
        <f>SUBSTITUTE(Github!L$521, ";", ", ")</f>
        <v>String, </v>
      </c>
      <c r="J695" s="13" t="str">
        <f>Github!E$521</f>
        <v>Easy</v>
      </c>
      <c r="K695" s="13" t="str">
        <f>IF(TRIM(Github!D$521)="TRUE","FALSE","TRUE")</f>
        <v>TRUE</v>
      </c>
      <c r="L695" s="13" t="b">
        <f>Github!M$521</f>
        <v>1</v>
      </c>
      <c r="M695" s="13" t="b">
        <f>Github!N$521</f>
        <v>0</v>
      </c>
      <c r="N695" s="13">
        <f>Github!P$521</f>
        <v>331560</v>
      </c>
      <c r="O695" s="13">
        <f>Github!Q$521</f>
        <v>585884</v>
      </c>
    </row>
    <row r="696">
      <c r="A696" s="13">
        <f>Github!J$649</f>
        <v>648</v>
      </c>
      <c r="B696" s="14" t="str">
        <f>HYPERLINK(CONCAT("http://leetcode.com/problems/",Github!C$649), Github!B$649)</f>
        <v>Replace Words</v>
      </c>
      <c r="C696" s="13">
        <f>Github!F$649</f>
        <v>1848</v>
      </c>
      <c r="D696" s="13">
        <f>Github!G$649</f>
        <v>162</v>
      </c>
      <c r="E696" s="13">
        <f>Github!F$649+Github!G$649</f>
        <v>2010</v>
      </c>
      <c r="F696" s="15">
        <f t="shared" si="1"/>
        <v>11.41</v>
      </c>
      <c r="G696" s="13" t="str">
        <f>ROUND(Github!O$649, 2)&amp;"%"</f>
        <v>62.75%</v>
      </c>
      <c r="H696" s="13" t="str">
        <f>Github!H$649</f>
        <v>Algorithms</v>
      </c>
      <c r="I696" s="16" t="str">
        <f>SUBSTITUTE(Github!L$649, ";", ", ")</f>
        <v>Array, Hash Table, String, Trie, </v>
      </c>
      <c r="J696" s="13" t="str">
        <f>Github!E$649</f>
        <v>Medium</v>
      </c>
      <c r="K696" s="13" t="str">
        <f>IF(TRIM(Github!D$649)="TRUE","FALSE","TRUE")</f>
        <v>TRUE</v>
      </c>
      <c r="L696" s="13" t="b">
        <f>Github!M$649</f>
        <v>1</v>
      </c>
      <c r="M696" s="13" t="b">
        <f>Github!N$649</f>
        <v>0</v>
      </c>
      <c r="N696" s="13">
        <f>Github!P$649</f>
        <v>112998</v>
      </c>
      <c r="O696" s="13">
        <f>Github!Q$649</f>
        <v>180079</v>
      </c>
    </row>
    <row r="697">
      <c r="A697" s="13">
        <f>Github!J$905</f>
        <v>904</v>
      </c>
      <c r="B697" s="14" t="str">
        <f>HYPERLINK(CONCAT("http://leetcode.com/problems/",Github!C$905), Github!B$905)</f>
        <v>Fruit Into Baskets</v>
      </c>
      <c r="C697" s="13">
        <f>Github!F$905</f>
        <v>1866</v>
      </c>
      <c r="D697" s="13">
        <f>Github!G$905</f>
        <v>132</v>
      </c>
      <c r="E697" s="13">
        <f>Github!F$905+Github!G$905</f>
        <v>1998</v>
      </c>
      <c r="F697" s="15">
        <f t="shared" si="1"/>
        <v>14.14</v>
      </c>
      <c r="G697" s="13" t="str">
        <f>ROUND(Github!O$905, 2)&amp;"%"</f>
        <v>42.58%</v>
      </c>
      <c r="H697" s="13" t="str">
        <f>Github!H$905</f>
        <v>Algorithms</v>
      </c>
      <c r="I697" s="16" t="str">
        <f>SUBSTITUTE(Github!L$905, ";", ", ")</f>
        <v>Array, Hash Table, Sliding Window, </v>
      </c>
      <c r="J697" s="13" t="str">
        <f>Github!E$905</f>
        <v>Medium</v>
      </c>
      <c r="K697" s="13" t="str">
        <f>IF(TRIM(Github!D$905)="TRUE","FALSE","TRUE")</f>
        <v>TRUE</v>
      </c>
      <c r="L697" s="13" t="b">
        <f>Github!M$905</f>
        <v>1</v>
      </c>
      <c r="M697" s="13" t="b">
        <f>Github!N$905</f>
        <v>0</v>
      </c>
      <c r="N697" s="13">
        <f>Github!P$905</f>
        <v>250660</v>
      </c>
      <c r="O697" s="13">
        <f>Github!Q$905</f>
        <v>588701</v>
      </c>
    </row>
    <row r="698">
      <c r="A698" s="13">
        <f>Github!J$509</f>
        <v>508</v>
      </c>
      <c r="B698" s="14" t="str">
        <f>HYPERLINK(CONCAT("http://leetcode.com/problems/",Github!C$509), Github!B$509)</f>
        <v>Most Frequent Subtree Sum</v>
      </c>
      <c r="C698" s="13">
        <f>Github!F$509</f>
        <v>1845</v>
      </c>
      <c r="D698" s="13">
        <f>Github!G$509</f>
        <v>271</v>
      </c>
      <c r="E698" s="13">
        <f>Github!F$509+Github!G$509</f>
        <v>2116</v>
      </c>
      <c r="F698" s="15">
        <f t="shared" si="1"/>
        <v>6.81</v>
      </c>
      <c r="G698" s="13" t="str">
        <f>ROUND(Github!O$509, 2)&amp;"%"</f>
        <v>64.56%</v>
      </c>
      <c r="H698" s="13" t="str">
        <f>Github!H$509</f>
        <v>Algorithms</v>
      </c>
      <c r="I698" s="16" t="str">
        <f>SUBSTITUTE(Github!L$509, ";", ", ")</f>
        <v>Hash Table, Tree, Depth-First Search, Binary Tree, </v>
      </c>
      <c r="J698" s="13" t="str">
        <f>Github!E$509</f>
        <v>Medium</v>
      </c>
      <c r="K698" s="13" t="str">
        <f>IF(TRIM(Github!D$509)="TRUE","FALSE","TRUE")</f>
        <v>TRUE</v>
      </c>
      <c r="L698" s="13" t="b">
        <f>Github!M$509</f>
        <v>1</v>
      </c>
      <c r="M698" s="13" t="b">
        <f>Github!N$509</f>
        <v>0</v>
      </c>
      <c r="N698" s="13">
        <f>Github!P$509</f>
        <v>122028</v>
      </c>
      <c r="O698" s="13">
        <f>Github!Q$509</f>
        <v>189006</v>
      </c>
    </row>
    <row r="699">
      <c r="A699" s="13">
        <f>Github!J$300</f>
        <v>299</v>
      </c>
      <c r="B699" s="14" t="str">
        <f>HYPERLINK(CONCAT("http://leetcode.com/problems/",Github!C$300), Github!B$300)</f>
        <v>Bulls and Cows</v>
      </c>
      <c r="C699" s="13">
        <f>Github!F$300</f>
        <v>1898</v>
      </c>
      <c r="D699" s="13">
        <f>Github!G$300</f>
        <v>1605</v>
      </c>
      <c r="E699" s="13">
        <f>Github!F$300+Github!G$300</f>
        <v>3503</v>
      </c>
      <c r="F699" s="15">
        <f t="shared" si="1"/>
        <v>1.18</v>
      </c>
      <c r="G699" s="13" t="str">
        <f>ROUND(Github!O$300, 2)&amp;"%"</f>
        <v>48.88%</v>
      </c>
      <c r="H699" s="13" t="str">
        <f>Github!H$300</f>
        <v>Algorithms</v>
      </c>
      <c r="I699" s="16" t="str">
        <f>SUBSTITUTE(Github!L$300, ";", ", ")</f>
        <v>Hash Table, String, Counting, </v>
      </c>
      <c r="J699" s="13" t="str">
        <f>Github!E$300</f>
        <v>Medium</v>
      </c>
      <c r="K699" s="13" t="str">
        <f>IF(TRIM(Github!D$300)="TRUE","FALSE","TRUE")</f>
        <v>TRUE</v>
      </c>
      <c r="L699" s="13" t="b">
        <f>Github!M$300</f>
        <v>1</v>
      </c>
      <c r="M699" s="13" t="b">
        <f>Github!N$300</f>
        <v>0</v>
      </c>
      <c r="N699" s="13">
        <f>Github!P$300</f>
        <v>320943</v>
      </c>
      <c r="O699" s="13">
        <f>Github!Q$300</f>
        <v>656577</v>
      </c>
    </row>
    <row r="700">
      <c r="A700" s="13">
        <f>Github!J$669</f>
        <v>668</v>
      </c>
      <c r="B700" s="14" t="str">
        <f>HYPERLINK(CONCAT("http://leetcode.com/problems/",Github!C$669), Github!B$669)</f>
        <v>Kth Smallest Number in Multiplication Table</v>
      </c>
      <c r="C700" s="13">
        <f>Github!F$669</f>
        <v>1838</v>
      </c>
      <c r="D700" s="13">
        <f>Github!G$669</f>
        <v>51</v>
      </c>
      <c r="E700" s="13">
        <f>Github!F$669+Github!G$669</f>
        <v>1889</v>
      </c>
      <c r="F700" s="15">
        <f t="shared" si="1"/>
        <v>36.04</v>
      </c>
      <c r="G700" s="13" t="str">
        <f>ROUND(Github!O$669, 2)&amp;"%"</f>
        <v>51.58%</v>
      </c>
      <c r="H700" s="13" t="str">
        <f>Github!H$669</f>
        <v>Algorithms</v>
      </c>
      <c r="I700" s="16" t="str">
        <f>SUBSTITUTE(Github!L$669, ";", ", ")</f>
        <v>Math, Binary Search, </v>
      </c>
      <c r="J700" s="13" t="str">
        <f>Github!E$669</f>
        <v>Hard</v>
      </c>
      <c r="K700" s="13" t="str">
        <f>IF(TRIM(Github!D$669)="TRUE","FALSE","TRUE")</f>
        <v>TRUE</v>
      </c>
      <c r="L700" s="13" t="b">
        <f>Github!M$669</f>
        <v>1</v>
      </c>
      <c r="M700" s="13" t="b">
        <f>Github!N$669</f>
        <v>0</v>
      </c>
      <c r="N700" s="13">
        <f>Github!P$669</f>
        <v>53966</v>
      </c>
      <c r="O700" s="13">
        <f>Github!Q$669</f>
        <v>104634</v>
      </c>
    </row>
    <row r="701">
      <c r="A701" s="13">
        <f>Github!J$1326</f>
        <v>1325</v>
      </c>
      <c r="B701" s="14" t="str">
        <f>HYPERLINK(CONCAT("http://leetcode.com/problems/",Github!C$1326), Github!B$1326)</f>
        <v>Delete Leaves With a Given Value</v>
      </c>
      <c r="C701" s="13">
        <f>Github!F$1326</f>
        <v>1843</v>
      </c>
      <c r="D701" s="13">
        <f>Github!G$1326</f>
        <v>32</v>
      </c>
      <c r="E701" s="13">
        <f>Github!F$1326+Github!G$1326</f>
        <v>1875</v>
      </c>
      <c r="F701" s="15">
        <f t="shared" si="1"/>
        <v>57.59</v>
      </c>
      <c r="G701" s="13" t="str">
        <f>ROUND(Github!O$1326, 2)&amp;"%"</f>
        <v>74.72%</v>
      </c>
      <c r="H701" s="13" t="str">
        <f>Github!H$1326</f>
        <v>Algorithms</v>
      </c>
      <c r="I701" s="16" t="str">
        <f>SUBSTITUTE(Github!L$1326, ";", ", ")</f>
        <v>Tree, Depth-First Search, Binary Tree, </v>
      </c>
      <c r="J701" s="13" t="str">
        <f>Github!E$1326</f>
        <v>Medium</v>
      </c>
      <c r="K701" s="13" t="str">
        <f>IF(TRIM(Github!D$1326)="TRUE","FALSE","TRUE")</f>
        <v>TRUE</v>
      </c>
      <c r="L701" s="13" t="b">
        <f>Github!M$1326</f>
        <v>0</v>
      </c>
      <c r="M701" s="13" t="b">
        <f>Github!N$1326</f>
        <v>0</v>
      </c>
      <c r="N701" s="13">
        <f>Github!P$1326</f>
        <v>82214</v>
      </c>
      <c r="O701" s="13">
        <f>Github!Q$1326</f>
        <v>110034</v>
      </c>
    </row>
    <row r="702">
      <c r="A702" s="13">
        <f>Github!J$1292</f>
        <v>1291</v>
      </c>
      <c r="B702" s="14" t="str">
        <f>HYPERLINK(CONCAT("http://leetcode.com/problems/",Github!C$1292), Github!B$1292)</f>
        <v>Sequential Digits</v>
      </c>
      <c r="C702" s="13">
        <f>Github!F$1292</f>
        <v>1833</v>
      </c>
      <c r="D702" s="13">
        <f>Github!G$1292</f>
        <v>108</v>
      </c>
      <c r="E702" s="13">
        <f>Github!F$1292+Github!G$1292</f>
        <v>1941</v>
      </c>
      <c r="F702" s="15">
        <f t="shared" si="1"/>
        <v>16.97</v>
      </c>
      <c r="G702" s="13" t="str">
        <f>ROUND(Github!O$1292, 2)&amp;"%"</f>
        <v>61.35%</v>
      </c>
      <c r="H702" s="13" t="str">
        <f>Github!H$1292</f>
        <v>Algorithms</v>
      </c>
      <c r="I702" s="16" t="str">
        <f>SUBSTITUTE(Github!L$1292, ";", ", ")</f>
        <v>Enumeration, </v>
      </c>
      <c r="J702" s="13" t="str">
        <f>Github!E$1292</f>
        <v>Medium</v>
      </c>
      <c r="K702" s="13" t="str">
        <f>IF(TRIM(Github!D$1292)="TRUE","FALSE","TRUE")</f>
        <v>TRUE</v>
      </c>
      <c r="L702" s="13" t="b">
        <f>Github!M$1292</f>
        <v>1</v>
      </c>
      <c r="M702" s="13" t="b">
        <f>Github!N$1292</f>
        <v>0</v>
      </c>
      <c r="N702" s="13">
        <f>Github!P$1292</f>
        <v>87783</v>
      </c>
      <c r="O702" s="13">
        <f>Github!Q$1292</f>
        <v>143090</v>
      </c>
    </row>
    <row r="703">
      <c r="A703" s="13">
        <f>Github!J$691</f>
        <v>690</v>
      </c>
      <c r="B703" s="14" t="str">
        <f>HYPERLINK(CONCAT("http://leetcode.com/problems/",Github!C$691), Github!B$691)</f>
        <v>Employee Importance</v>
      </c>
      <c r="C703" s="13">
        <f>Github!F$691</f>
        <v>1834</v>
      </c>
      <c r="D703" s="13">
        <f>Github!G$691</f>
        <v>1287</v>
      </c>
      <c r="E703" s="13">
        <f>Github!F$691+Github!G$691</f>
        <v>3121</v>
      </c>
      <c r="F703" s="15">
        <f t="shared" si="1"/>
        <v>1.43</v>
      </c>
      <c r="G703" s="13" t="str">
        <f>ROUND(Github!O$691, 2)&amp;"%"</f>
        <v>65.32%</v>
      </c>
      <c r="H703" s="13" t="str">
        <f>Github!H$691</f>
        <v>Algorithms</v>
      </c>
      <c r="I703" s="16" t="str">
        <f>SUBSTITUTE(Github!L$691, ";", ", ")</f>
        <v>Hash Table, Depth-First Search, Breadth-First Search, </v>
      </c>
      <c r="J703" s="13" t="str">
        <f>Github!E$691</f>
        <v>Medium</v>
      </c>
      <c r="K703" s="13" t="str">
        <f>IF(TRIM(Github!D$691)="TRUE","FALSE","TRUE")</f>
        <v>TRUE</v>
      </c>
      <c r="L703" s="13" t="b">
        <f>Github!M$691</f>
        <v>1</v>
      </c>
      <c r="M703" s="13" t="b">
        <f>Github!N$691</f>
        <v>0</v>
      </c>
      <c r="N703" s="13">
        <f>Github!P$691</f>
        <v>189207</v>
      </c>
      <c r="O703" s="13">
        <f>Github!Q$691</f>
        <v>289667</v>
      </c>
    </row>
    <row r="704">
      <c r="A704" s="13">
        <f>Github!J$1374</f>
        <v>1373</v>
      </c>
      <c r="B704" s="14" t="str">
        <f>HYPERLINK(CONCAT("http://leetcode.com/problems/",Github!C$1374), Github!B$1374)</f>
        <v>Maximum Sum BST in Binary Tree</v>
      </c>
      <c r="C704" s="13">
        <f>Github!F$1374</f>
        <v>1836</v>
      </c>
      <c r="D704" s="13">
        <f>Github!G$1374</f>
        <v>152</v>
      </c>
      <c r="E704" s="13">
        <f>Github!F$1374+Github!G$1374</f>
        <v>1988</v>
      </c>
      <c r="F704" s="15">
        <f t="shared" si="1"/>
        <v>12.08</v>
      </c>
      <c r="G704" s="13" t="str">
        <f>ROUND(Github!O$1374, 2)&amp;"%"</f>
        <v>39.28%</v>
      </c>
      <c r="H704" s="13" t="str">
        <f>Github!H$1374</f>
        <v>Algorithms</v>
      </c>
      <c r="I704" s="16" t="str">
        <f>SUBSTITUTE(Github!L$1374, ";", ", ")</f>
        <v>Dynamic Programming, Tree, Depth-First Search, Binary Search Tree, Binary Tree, </v>
      </c>
      <c r="J704" s="13" t="str">
        <f>Github!E$1374</f>
        <v>Hard</v>
      </c>
      <c r="K704" s="13" t="str">
        <f>IF(TRIM(Github!D$1374)="TRUE","FALSE","TRUE")</f>
        <v>TRUE</v>
      </c>
      <c r="L704" s="13" t="b">
        <f>Github!M$1374</f>
        <v>0</v>
      </c>
      <c r="M704" s="13" t="b">
        <f>Github!N$1374</f>
        <v>0</v>
      </c>
      <c r="N704" s="13">
        <f>Github!P$1374</f>
        <v>46754</v>
      </c>
      <c r="O704" s="13">
        <f>Github!Q$1374</f>
        <v>119031</v>
      </c>
    </row>
    <row r="705">
      <c r="A705" s="13">
        <f>Github!J$166</f>
        <v>165</v>
      </c>
      <c r="B705" s="14" t="str">
        <f>HYPERLINK(CONCAT("http://leetcode.com/problems/",Github!C$166), Github!B$166)</f>
        <v>Compare Version Numbers</v>
      </c>
      <c r="C705" s="13">
        <f>Github!F$166</f>
        <v>1833</v>
      </c>
      <c r="D705" s="13">
        <f>Github!G$166</f>
        <v>2402</v>
      </c>
      <c r="E705" s="13">
        <f>Github!F$166+Github!G$166</f>
        <v>4235</v>
      </c>
      <c r="F705" s="15">
        <f t="shared" si="1"/>
        <v>0.76</v>
      </c>
      <c r="G705" s="13" t="str">
        <f>ROUND(Github!O$166, 2)&amp;"%"</f>
        <v>35.52%</v>
      </c>
      <c r="H705" s="13" t="str">
        <f>Github!H$166</f>
        <v>Algorithms</v>
      </c>
      <c r="I705" s="16" t="str">
        <f>SUBSTITUTE(Github!L$166, ";", ", ")</f>
        <v>Two Pointers, String, </v>
      </c>
      <c r="J705" s="13" t="str">
        <f>Github!E$166</f>
        <v>Medium</v>
      </c>
      <c r="K705" s="13" t="str">
        <f>IF(TRIM(Github!D$166)="TRUE","FALSE","TRUE")</f>
        <v>TRUE</v>
      </c>
      <c r="L705" s="13" t="b">
        <f>Github!M$166</f>
        <v>1</v>
      </c>
      <c r="M705" s="13" t="b">
        <f>Github!N$166</f>
        <v>0</v>
      </c>
      <c r="N705" s="13">
        <f>Github!P$166</f>
        <v>341480</v>
      </c>
      <c r="O705" s="13">
        <f>Github!Q$166</f>
        <v>961316</v>
      </c>
    </row>
    <row r="706">
      <c r="A706" s="13">
        <f>Github!J$829</f>
        <v>828</v>
      </c>
      <c r="B706" s="14" t="str">
        <f>HYPERLINK(CONCAT("http://leetcode.com/problems/",Github!C$829), Github!B$829)</f>
        <v>Count Unique Characters of All Substrings of a Given String</v>
      </c>
      <c r="C706" s="13">
        <f>Github!F$829</f>
        <v>1829</v>
      </c>
      <c r="D706" s="13">
        <f>Github!G$829</f>
        <v>237</v>
      </c>
      <c r="E706" s="13">
        <f>Github!F$829+Github!G$829</f>
        <v>2066</v>
      </c>
      <c r="F706" s="15">
        <f t="shared" si="1"/>
        <v>7.72</v>
      </c>
      <c r="G706" s="13" t="str">
        <f>ROUND(Github!O$829, 2)&amp;"%"</f>
        <v>51.79%</v>
      </c>
      <c r="H706" s="13" t="str">
        <f>Github!H$829</f>
        <v>Algorithms</v>
      </c>
      <c r="I706" s="16" t="str">
        <f>SUBSTITUTE(Github!L$829, ";", ", ")</f>
        <v>Hash Table, String, Dynamic Programming, </v>
      </c>
      <c r="J706" s="13" t="str">
        <f>Github!E$829</f>
        <v>Hard</v>
      </c>
      <c r="K706" s="13" t="str">
        <f>IF(TRIM(Github!D$829)="TRUE","FALSE","TRUE")</f>
        <v>TRUE</v>
      </c>
      <c r="L706" s="13" t="b">
        <f>Github!M$829</f>
        <v>0</v>
      </c>
      <c r="M706" s="13" t="b">
        <f>Github!N$829</f>
        <v>0</v>
      </c>
      <c r="N706" s="13">
        <f>Github!P$829</f>
        <v>62390</v>
      </c>
      <c r="O706" s="13">
        <f>Github!Q$829</f>
        <v>120467</v>
      </c>
    </row>
    <row r="707">
      <c r="A707" s="13">
        <f>Github!J$547</f>
        <v>546</v>
      </c>
      <c r="B707" s="14" t="str">
        <f>HYPERLINK(CONCAT("http://leetcode.com/problems/",Github!C$547), Github!B$547)</f>
        <v>Remove Boxes</v>
      </c>
      <c r="C707" s="13">
        <f>Github!F$547</f>
        <v>1823</v>
      </c>
      <c r="D707" s="13">
        <f>Github!G$547</f>
        <v>102</v>
      </c>
      <c r="E707" s="13">
        <f>Github!F$547+Github!G$547</f>
        <v>1925</v>
      </c>
      <c r="F707" s="15">
        <f t="shared" si="1"/>
        <v>17.87</v>
      </c>
      <c r="G707" s="13" t="str">
        <f>ROUND(Github!O$547, 2)&amp;"%"</f>
        <v>47.83%</v>
      </c>
      <c r="H707" s="13" t="str">
        <f>Github!H$547</f>
        <v>Algorithms</v>
      </c>
      <c r="I707" s="16" t="str">
        <f>SUBSTITUTE(Github!L$547, ";", ", ")</f>
        <v>Array, Dynamic Programming, Memoization, </v>
      </c>
      <c r="J707" s="13" t="str">
        <f>Github!E$547</f>
        <v>Hard</v>
      </c>
      <c r="K707" s="13" t="str">
        <f>IF(TRIM(Github!D$547)="TRUE","FALSE","TRUE")</f>
        <v>TRUE</v>
      </c>
      <c r="L707" s="13" t="b">
        <f>Github!M$547</f>
        <v>1</v>
      </c>
      <c r="M707" s="13" t="b">
        <f>Github!N$547</f>
        <v>0</v>
      </c>
      <c r="N707" s="13">
        <f>Github!P$547</f>
        <v>38265</v>
      </c>
      <c r="O707" s="13">
        <f>Github!Q$547</f>
        <v>80007</v>
      </c>
    </row>
    <row r="708">
      <c r="A708" s="13">
        <f>Github!J$1930</f>
        <v>1929</v>
      </c>
      <c r="B708" s="14" t="str">
        <f>HYPERLINK(CONCAT("http://leetcode.com/problems/",Github!C$1930), Github!B$1930)</f>
        <v>Concatenation of Array</v>
      </c>
      <c r="C708" s="13">
        <f>Github!F$1930</f>
        <v>1869</v>
      </c>
      <c r="D708" s="13">
        <f>Github!G$1930</f>
        <v>266</v>
      </c>
      <c r="E708" s="13">
        <f>Github!F$1930+Github!G$1930</f>
        <v>2135</v>
      </c>
      <c r="F708" s="15">
        <f t="shared" si="1"/>
        <v>7.03</v>
      </c>
      <c r="G708" s="13" t="str">
        <f>ROUND(Github!O$1930, 2)&amp;"%"</f>
        <v>90.95%</v>
      </c>
      <c r="H708" s="13" t="str">
        <f>Github!H$1930</f>
        <v>Algorithms</v>
      </c>
      <c r="I708" s="16" t="str">
        <f>SUBSTITUTE(Github!L$1930, ";", ", ")</f>
        <v>Array, </v>
      </c>
      <c r="J708" s="13" t="str">
        <f>Github!E$1930</f>
        <v>Easy</v>
      </c>
      <c r="K708" s="13" t="str">
        <f>IF(TRIM(Github!D$1930)="TRUE","FALSE","TRUE")</f>
        <v>TRUE</v>
      </c>
      <c r="L708" s="13" t="b">
        <f>Github!M$1930</f>
        <v>0</v>
      </c>
      <c r="M708" s="13" t="b">
        <f>Github!N$1930</f>
        <v>0</v>
      </c>
      <c r="N708" s="13">
        <f>Github!P$1930</f>
        <v>331650</v>
      </c>
      <c r="O708" s="13">
        <f>Github!Q$1930</f>
        <v>364655</v>
      </c>
    </row>
    <row r="709">
      <c r="A709" s="13">
        <f>Github!J$1368</f>
        <v>1367</v>
      </c>
      <c r="B709" s="14" t="str">
        <f>HYPERLINK(CONCAT("http://leetcode.com/problems/",Github!C$1368), Github!B$1368)</f>
        <v>Linked List in Binary Tree</v>
      </c>
      <c r="C709" s="13">
        <f>Github!F$1368</f>
        <v>1831</v>
      </c>
      <c r="D709" s="13">
        <f>Github!G$1368</f>
        <v>59</v>
      </c>
      <c r="E709" s="13">
        <f>Github!F$1368+Github!G$1368</f>
        <v>1890</v>
      </c>
      <c r="F709" s="15">
        <f t="shared" si="1"/>
        <v>31.03</v>
      </c>
      <c r="G709" s="13" t="str">
        <f>ROUND(Github!O$1368, 2)&amp;"%"</f>
        <v>43.56%</v>
      </c>
      <c r="H709" s="13" t="str">
        <f>Github!H$1368</f>
        <v>Algorithms</v>
      </c>
      <c r="I709" s="16" t="str">
        <f>SUBSTITUTE(Github!L$1368, ";", ", ")</f>
        <v>Linked List, Tree, Depth-First Search, Breadth-First Search, Binary Tree, </v>
      </c>
      <c r="J709" s="13" t="str">
        <f>Github!E$1368</f>
        <v>Medium</v>
      </c>
      <c r="K709" s="13" t="str">
        <f>IF(TRIM(Github!D$1368)="TRUE","FALSE","TRUE")</f>
        <v>TRUE</v>
      </c>
      <c r="L709" s="13" t="b">
        <f>Github!M$1368</f>
        <v>0</v>
      </c>
      <c r="M709" s="13" t="b">
        <f>Github!N$1368</f>
        <v>0</v>
      </c>
      <c r="N709" s="13">
        <f>Github!P$1368</f>
        <v>61056</v>
      </c>
      <c r="O709" s="13">
        <f>Github!Q$1368</f>
        <v>140175</v>
      </c>
    </row>
    <row r="710">
      <c r="A710" s="13">
        <f>Github!J$1284</f>
        <v>1283</v>
      </c>
      <c r="B710" s="14" t="str">
        <f>HYPERLINK(CONCAT("http://leetcode.com/problems/",Github!C$1284), Github!B$1284)</f>
        <v>Find the Smallest Divisor Given a Threshold</v>
      </c>
      <c r="C710" s="13">
        <f>Github!F$1284</f>
        <v>1826</v>
      </c>
      <c r="D710" s="13">
        <f>Github!G$1284</f>
        <v>163</v>
      </c>
      <c r="E710" s="13">
        <f>Github!F$1284+Github!G$1284</f>
        <v>1989</v>
      </c>
      <c r="F710" s="15">
        <f t="shared" si="1"/>
        <v>11.2</v>
      </c>
      <c r="G710" s="13" t="str">
        <f>ROUND(Github!O$1284, 2)&amp;"%"</f>
        <v>55.56%</v>
      </c>
      <c r="H710" s="13" t="str">
        <f>Github!H$1284</f>
        <v>Algorithms</v>
      </c>
      <c r="I710" s="16" t="str">
        <f>SUBSTITUTE(Github!L$1284, ";", ", ")</f>
        <v>Array, Binary Search, </v>
      </c>
      <c r="J710" s="13" t="str">
        <f>Github!E$1284</f>
        <v>Medium</v>
      </c>
      <c r="K710" s="13" t="str">
        <f>IF(TRIM(Github!D$1284)="TRUE","FALSE","TRUE")</f>
        <v>TRUE</v>
      </c>
      <c r="L710" s="13" t="b">
        <f>Github!M$1284</f>
        <v>1</v>
      </c>
      <c r="M710" s="13" t="b">
        <f>Github!N$1284</f>
        <v>0</v>
      </c>
      <c r="N710" s="13">
        <f>Github!P$1284</f>
        <v>99591</v>
      </c>
      <c r="O710" s="13">
        <f>Github!Q$1284</f>
        <v>179254</v>
      </c>
    </row>
    <row r="711">
      <c r="A711" s="13">
        <f>Github!J$791</f>
        <v>790</v>
      </c>
      <c r="B711" s="14" t="str">
        <f>HYPERLINK(CONCAT("http://leetcode.com/problems/",Github!C$791), Github!B$791)</f>
        <v>Domino and Tromino Tiling</v>
      </c>
      <c r="C711" s="13">
        <f>Github!F$791</f>
        <v>2707</v>
      </c>
      <c r="D711" s="13">
        <f>Github!G$791</f>
        <v>840</v>
      </c>
      <c r="E711" s="13">
        <f>Github!F$791+Github!G$791</f>
        <v>3547</v>
      </c>
      <c r="F711" s="15">
        <f t="shared" si="1"/>
        <v>3.22</v>
      </c>
      <c r="G711" s="13" t="str">
        <f>ROUND(Github!O$791, 2)&amp;"%"</f>
        <v>53.05%</v>
      </c>
      <c r="H711" s="13" t="str">
        <f>Github!H$791</f>
        <v>Algorithms</v>
      </c>
      <c r="I711" s="16" t="str">
        <f>SUBSTITUTE(Github!L$791, ";", ", ")</f>
        <v>Dynamic Programming, </v>
      </c>
      <c r="J711" s="13" t="str">
        <f>Github!E$791</f>
        <v>Medium</v>
      </c>
      <c r="K711" s="13" t="str">
        <f>IF(TRIM(Github!D$791)="TRUE","FALSE","TRUE")</f>
        <v>TRUE</v>
      </c>
      <c r="L711" s="13" t="b">
        <f>Github!M$791</f>
        <v>1</v>
      </c>
      <c r="M711" s="13" t="b">
        <f>Github!N$791</f>
        <v>0</v>
      </c>
      <c r="N711" s="13">
        <f>Github!P$791</f>
        <v>90216</v>
      </c>
      <c r="O711" s="13">
        <f>Github!Q$791</f>
        <v>170048</v>
      </c>
    </row>
    <row r="712">
      <c r="A712" s="13">
        <f>Github!J$167</f>
        <v>166</v>
      </c>
      <c r="B712" s="14" t="str">
        <f>HYPERLINK(CONCAT("http://leetcode.com/problems/",Github!C$167), Github!B$167)</f>
        <v>Fraction to Recurring Decimal</v>
      </c>
      <c r="C712" s="13">
        <f>Github!F$167</f>
        <v>1815</v>
      </c>
      <c r="D712" s="13">
        <f>Github!G$167</f>
        <v>3309</v>
      </c>
      <c r="E712" s="13">
        <f>Github!F$167+Github!G$167</f>
        <v>5124</v>
      </c>
      <c r="F712" s="15">
        <f t="shared" si="1"/>
        <v>0.55</v>
      </c>
      <c r="G712" s="13" t="str">
        <f>ROUND(Github!O$167, 2)&amp;"%"</f>
        <v>24.15%</v>
      </c>
      <c r="H712" s="13" t="str">
        <f>Github!H$167</f>
        <v>Algorithms</v>
      </c>
      <c r="I712" s="16" t="str">
        <f>SUBSTITUTE(Github!L$167, ";", ", ")</f>
        <v>Hash Table, Math, String, </v>
      </c>
      <c r="J712" s="13" t="str">
        <f>Github!E$167</f>
        <v>Medium</v>
      </c>
      <c r="K712" s="13" t="str">
        <f>IF(TRIM(Github!D$167)="TRUE","FALSE","TRUE")</f>
        <v>TRUE</v>
      </c>
      <c r="L712" s="13" t="b">
        <f>Github!M$167</f>
        <v>1</v>
      </c>
      <c r="M712" s="13" t="b">
        <f>Github!N$167</f>
        <v>0</v>
      </c>
      <c r="N712" s="13">
        <f>Github!P$167</f>
        <v>199901</v>
      </c>
      <c r="O712" s="13">
        <f>Github!Q$167</f>
        <v>827802</v>
      </c>
    </row>
    <row r="713">
      <c r="A713" s="13">
        <f>Github!J$595</f>
        <v>594</v>
      </c>
      <c r="B713" s="14" t="str">
        <f>HYPERLINK(CONCAT("http://leetcode.com/problems/",Github!C$595), Github!B$595)</f>
        <v>Longest Harmonious Subsequence</v>
      </c>
      <c r="C713" s="13">
        <f>Github!F$595</f>
        <v>1816</v>
      </c>
      <c r="D713" s="13">
        <f>Github!G$595</f>
        <v>169</v>
      </c>
      <c r="E713" s="13">
        <f>Github!F$595+Github!G$595</f>
        <v>1985</v>
      </c>
      <c r="F713" s="15">
        <f t="shared" si="1"/>
        <v>10.75</v>
      </c>
      <c r="G713" s="13" t="str">
        <f>ROUND(Github!O$595, 2)&amp;"%"</f>
        <v>53.32%</v>
      </c>
      <c r="H713" s="13" t="str">
        <f>Github!H$595</f>
        <v>Algorithms</v>
      </c>
      <c r="I713" s="16" t="str">
        <f>SUBSTITUTE(Github!L$595, ";", ", ")</f>
        <v>Array, Hash Table, Sorting, </v>
      </c>
      <c r="J713" s="13" t="str">
        <f>Github!E$595</f>
        <v>Easy</v>
      </c>
      <c r="K713" s="13" t="str">
        <f>IF(TRIM(Github!D$595)="TRUE","FALSE","TRUE")</f>
        <v>TRUE</v>
      </c>
      <c r="L713" s="13" t="b">
        <f>Github!M$595</f>
        <v>1</v>
      </c>
      <c r="M713" s="13" t="b">
        <f>Github!N$595</f>
        <v>0</v>
      </c>
      <c r="N713" s="13">
        <f>Github!P$595</f>
        <v>128819</v>
      </c>
      <c r="O713" s="13">
        <f>Github!Q$595</f>
        <v>241598</v>
      </c>
    </row>
    <row r="714">
      <c r="A714" s="13">
        <f>Github!J$1282</f>
        <v>1281</v>
      </c>
      <c r="B714" s="14" t="str">
        <f>HYPERLINK(CONCAT("http://leetcode.com/problems/",Github!C$1282), Github!B$1282)</f>
        <v>Subtract the Product and Sum of Digits of an Integer</v>
      </c>
      <c r="C714" s="13">
        <f>Github!F$1282</f>
        <v>1818</v>
      </c>
      <c r="D714" s="13">
        <f>Github!G$1282</f>
        <v>204</v>
      </c>
      <c r="E714" s="13">
        <f>Github!F$1282+Github!G$1282</f>
        <v>2022</v>
      </c>
      <c r="F714" s="15">
        <f t="shared" si="1"/>
        <v>8.91</v>
      </c>
      <c r="G714" s="13" t="str">
        <f>ROUND(Github!O$1282, 2)&amp;"%"</f>
        <v>86.7%</v>
      </c>
      <c r="H714" s="13" t="str">
        <f>Github!H$1282</f>
        <v>Algorithms</v>
      </c>
      <c r="I714" s="16" t="str">
        <f>SUBSTITUTE(Github!L$1282, ";", ", ")</f>
        <v>Math, </v>
      </c>
      <c r="J714" s="13" t="str">
        <f>Github!E$1282</f>
        <v>Easy</v>
      </c>
      <c r="K714" s="13" t="str">
        <f>IF(TRIM(Github!D$1282)="TRUE","FALSE","TRUE")</f>
        <v>TRUE</v>
      </c>
      <c r="L714" s="13" t="b">
        <f>Github!M$1282</f>
        <v>0</v>
      </c>
      <c r="M714" s="13" t="b">
        <f>Github!N$1282</f>
        <v>0</v>
      </c>
      <c r="N714" s="13">
        <f>Github!P$1282</f>
        <v>331683</v>
      </c>
      <c r="O714" s="13">
        <f>Github!Q$1282</f>
        <v>382545</v>
      </c>
    </row>
    <row r="715">
      <c r="A715" s="13">
        <f>Github!J$363</f>
        <v>362</v>
      </c>
      <c r="B715" s="14" t="str">
        <f>HYPERLINK(CONCAT("http://leetcode.com/problems/",Github!C$363), Github!B$363)</f>
        <v>Design Hit Counter</v>
      </c>
      <c r="C715" s="13">
        <f>Github!F$363</f>
        <v>1796</v>
      </c>
      <c r="D715" s="13">
        <f>Github!G$363</f>
        <v>186</v>
      </c>
      <c r="E715" s="13">
        <f>Github!F$363+Github!G$363</f>
        <v>1982</v>
      </c>
      <c r="F715" s="15">
        <f t="shared" si="1"/>
        <v>9.66</v>
      </c>
      <c r="G715" s="13" t="str">
        <f>ROUND(Github!O$363, 2)&amp;"%"</f>
        <v>68.4%</v>
      </c>
      <c r="H715" s="13" t="str">
        <f>Github!H$363</f>
        <v>Algorithms</v>
      </c>
      <c r="I715" s="16" t="str">
        <f>SUBSTITUTE(Github!L$363, ";", ", ")</f>
        <v>Array, Hash Table, Binary Search, Design, Queue, </v>
      </c>
      <c r="J715" s="13" t="str">
        <f>Github!E$363</f>
        <v>Medium</v>
      </c>
      <c r="K715" s="13" t="str">
        <f>IF(TRIM(Github!D$363)="TRUE","FALSE","TRUE")</f>
        <v>FALSE</v>
      </c>
      <c r="L715" s="13" t="b">
        <f>Github!M$363</f>
        <v>1</v>
      </c>
      <c r="M715" s="13" t="b">
        <f>Github!N$363</f>
        <v>0</v>
      </c>
      <c r="N715" s="13">
        <f>Github!P$363</f>
        <v>195749</v>
      </c>
      <c r="O715" s="13">
        <f>Github!Q$363</f>
        <v>286176</v>
      </c>
    </row>
    <row r="716">
      <c r="A716" s="13">
        <f>Github!J$492</f>
        <v>491</v>
      </c>
      <c r="B716" s="14" t="str">
        <f>HYPERLINK(CONCAT("http://leetcode.com/problems/",Github!C$492), Github!B$492)</f>
        <v>Non-decreasing Subsequences</v>
      </c>
      <c r="C716" s="13">
        <f>Github!F$492</f>
        <v>1798</v>
      </c>
      <c r="D716" s="13">
        <f>Github!G$492</f>
        <v>161</v>
      </c>
      <c r="E716" s="13">
        <f>Github!F$492+Github!G$492</f>
        <v>1959</v>
      </c>
      <c r="F716" s="15">
        <f t="shared" si="1"/>
        <v>11.17</v>
      </c>
      <c r="G716" s="13" t="str">
        <f>ROUND(Github!O$492, 2)&amp;"%"</f>
        <v>52.25%</v>
      </c>
      <c r="H716" s="13" t="str">
        <f>Github!H$492</f>
        <v>Algorithms</v>
      </c>
      <c r="I716" s="16" t="str">
        <f>SUBSTITUTE(Github!L$492, ";", ", ")</f>
        <v>Array, Hash Table, Backtracking, Bit Manipulation, </v>
      </c>
      <c r="J716" s="13" t="str">
        <f>Github!E$492</f>
        <v>Medium</v>
      </c>
      <c r="K716" s="13" t="str">
        <f>IF(TRIM(Github!D$492)="TRUE","FALSE","TRUE")</f>
        <v>TRUE</v>
      </c>
      <c r="L716" s="13" t="b">
        <f>Github!M$492</f>
        <v>1</v>
      </c>
      <c r="M716" s="13" t="b">
        <f>Github!N$492</f>
        <v>0</v>
      </c>
      <c r="N716" s="13">
        <f>Github!P$492</f>
        <v>86704</v>
      </c>
      <c r="O716" s="13">
        <f>Github!Q$492</f>
        <v>165931</v>
      </c>
    </row>
    <row r="717">
      <c r="A717" s="13">
        <f>Github!J$314</f>
        <v>313</v>
      </c>
      <c r="B717" s="14" t="str">
        <f>HYPERLINK(CONCAT("http://leetcode.com/problems/",Github!C$314), Github!B$314)</f>
        <v>Super Ugly Number</v>
      </c>
      <c r="C717" s="13">
        <f>Github!F$314</f>
        <v>1802</v>
      </c>
      <c r="D717" s="13">
        <f>Github!G$314</f>
        <v>328</v>
      </c>
      <c r="E717" s="13">
        <f>Github!F$314+Github!G$314</f>
        <v>2130</v>
      </c>
      <c r="F717" s="15">
        <f t="shared" si="1"/>
        <v>5.49</v>
      </c>
      <c r="G717" s="13" t="str">
        <f>ROUND(Github!O$314, 2)&amp;"%"</f>
        <v>45.67%</v>
      </c>
      <c r="H717" s="13" t="str">
        <f>Github!H$314</f>
        <v>Algorithms</v>
      </c>
      <c r="I717" s="16" t="str">
        <f>SUBSTITUTE(Github!L$314, ";", ", ")</f>
        <v>Array, Math, Dynamic Programming, </v>
      </c>
      <c r="J717" s="13" t="str">
        <f>Github!E$314</f>
        <v>Medium</v>
      </c>
      <c r="K717" s="13" t="str">
        <f>IF(TRIM(Github!D$314)="TRUE","FALSE","TRUE")</f>
        <v>TRUE</v>
      </c>
      <c r="L717" s="13" t="b">
        <f>Github!M$314</f>
        <v>0</v>
      </c>
      <c r="M717" s="13" t="b">
        <f>Github!N$314</f>
        <v>0</v>
      </c>
      <c r="N717" s="13">
        <f>Github!P$314</f>
        <v>113886</v>
      </c>
      <c r="O717" s="13">
        <f>Github!Q$314</f>
        <v>249347</v>
      </c>
    </row>
    <row r="718">
      <c r="A718" s="13">
        <f>Github!J$931</f>
        <v>930</v>
      </c>
      <c r="B718" s="14" t="str">
        <f>HYPERLINK(CONCAT("http://leetcode.com/problems/",Github!C$931), Github!B$931)</f>
        <v>Binary Subarrays With Sum</v>
      </c>
      <c r="C718" s="13">
        <f>Github!F$931</f>
        <v>1805</v>
      </c>
      <c r="D718" s="13">
        <f>Github!G$931</f>
        <v>59</v>
      </c>
      <c r="E718" s="13">
        <f>Github!F$931+Github!G$931</f>
        <v>1864</v>
      </c>
      <c r="F718" s="15">
        <f t="shared" si="1"/>
        <v>30.59</v>
      </c>
      <c r="G718" s="13" t="str">
        <f>ROUND(Github!O$931, 2)&amp;"%"</f>
        <v>51.28%</v>
      </c>
      <c r="H718" s="13" t="str">
        <f>Github!H$931</f>
        <v>Algorithms</v>
      </c>
      <c r="I718" s="16" t="str">
        <f>SUBSTITUTE(Github!L$931, ";", ", ")</f>
        <v>Array, Hash Table, Sliding Window, Prefix Sum, </v>
      </c>
      <c r="J718" s="13" t="str">
        <f>Github!E$931</f>
        <v>Medium</v>
      </c>
      <c r="K718" s="13" t="str">
        <f>IF(TRIM(Github!D$931)="TRUE","FALSE","TRUE")</f>
        <v>TRUE</v>
      </c>
      <c r="L718" s="13" t="b">
        <f>Github!M$931</f>
        <v>1</v>
      </c>
      <c r="M718" s="13" t="b">
        <f>Github!N$931</f>
        <v>0</v>
      </c>
      <c r="N718" s="13">
        <f>Github!P$931</f>
        <v>60357</v>
      </c>
      <c r="O718" s="13">
        <f>Github!Q$931</f>
        <v>117695</v>
      </c>
    </row>
    <row r="719">
      <c r="A719" s="13">
        <f>Github!J$184</f>
        <v>183</v>
      </c>
      <c r="B719" s="14" t="str">
        <f>HYPERLINK(CONCAT("http://leetcode.com/problems/",Github!C$184), Github!B$184)</f>
        <v>Customers Who Never Order</v>
      </c>
      <c r="C719" s="13">
        <f>Github!F$184</f>
        <v>1824</v>
      </c>
      <c r="D719" s="13">
        <f>Github!G$184</f>
        <v>103</v>
      </c>
      <c r="E719" s="13">
        <f>Github!F$184+Github!G$184</f>
        <v>1927</v>
      </c>
      <c r="F719" s="15">
        <f t="shared" si="1"/>
        <v>17.71</v>
      </c>
      <c r="G719" s="13" t="str">
        <f>ROUND(Github!O$184, 2)&amp;"%"</f>
        <v>68.29%</v>
      </c>
      <c r="H719" s="13" t="str">
        <f>Github!H$184</f>
        <v>Database</v>
      </c>
      <c r="I719" s="16" t="str">
        <f>SUBSTITUTE(Github!L$184, ";", ", ")</f>
        <v>Database, </v>
      </c>
      <c r="J719" s="13" t="str">
        <f>Github!E$184</f>
        <v>Easy</v>
      </c>
      <c r="K719" s="13" t="str">
        <f>IF(TRIM(Github!D$184)="TRUE","FALSE","TRUE")</f>
        <v>TRUE</v>
      </c>
      <c r="L719" s="13" t="b">
        <f>Github!M$184</f>
        <v>1</v>
      </c>
      <c r="M719" s="13" t="b">
        <f>Github!N$184</f>
        <v>0</v>
      </c>
      <c r="N719" s="13">
        <f>Github!P$184</f>
        <v>534568</v>
      </c>
      <c r="O719" s="13">
        <f>Github!Q$184</f>
        <v>782794</v>
      </c>
    </row>
    <row r="720">
      <c r="A720" s="13">
        <f>Github!J$1505</f>
        <v>1504</v>
      </c>
      <c r="B720" s="14" t="str">
        <f>HYPERLINK(CONCAT("http://leetcode.com/problems/",Github!C$1505), Github!B$1505)</f>
        <v>Count Submatrices With All Ones</v>
      </c>
      <c r="C720" s="13">
        <f>Github!F$1505</f>
        <v>1775</v>
      </c>
      <c r="D720" s="13">
        <f>Github!G$1505</f>
        <v>142</v>
      </c>
      <c r="E720" s="13">
        <f>Github!F$1505+Github!G$1505</f>
        <v>1917</v>
      </c>
      <c r="F720" s="15">
        <f t="shared" si="1"/>
        <v>12.5</v>
      </c>
      <c r="G720" s="13" t="str">
        <f>ROUND(Github!O$1505, 2)&amp;"%"</f>
        <v>57.71%</v>
      </c>
      <c r="H720" s="13" t="str">
        <f>Github!H$1505</f>
        <v>Algorithms</v>
      </c>
      <c r="I720" s="16" t="str">
        <f>SUBSTITUTE(Github!L$1505, ";", ", ")</f>
        <v>Array, Dynamic Programming, Stack, Matrix, Monotonic Stack, </v>
      </c>
      <c r="J720" s="13" t="str">
        <f>Github!E$1505</f>
        <v>Medium</v>
      </c>
      <c r="K720" s="13" t="str">
        <f>IF(TRIM(Github!D$1505)="TRUE","FALSE","TRUE")</f>
        <v>TRUE</v>
      </c>
      <c r="L720" s="13" t="b">
        <f>Github!M$1505</f>
        <v>0</v>
      </c>
      <c r="M720" s="13" t="b">
        <f>Github!N$1505</f>
        <v>0</v>
      </c>
      <c r="N720" s="13">
        <f>Github!P$1505</f>
        <v>41847</v>
      </c>
      <c r="O720" s="13">
        <f>Github!Q$1505</f>
        <v>72515</v>
      </c>
    </row>
    <row r="721">
      <c r="A721" s="13">
        <f>Github!J$717</f>
        <v>716</v>
      </c>
      <c r="B721" s="14" t="str">
        <f>HYPERLINK(CONCAT("http://leetcode.com/problems/",Github!C$717), Github!B$717)</f>
        <v>Max Stack</v>
      </c>
      <c r="C721" s="13">
        <f>Github!F$717</f>
        <v>1773</v>
      </c>
      <c r="D721" s="13">
        <f>Github!G$717</f>
        <v>491</v>
      </c>
      <c r="E721" s="13">
        <f>Github!F$717+Github!G$717</f>
        <v>2264</v>
      </c>
      <c r="F721" s="15">
        <f t="shared" si="1"/>
        <v>3.61</v>
      </c>
      <c r="G721" s="13" t="str">
        <f>ROUND(Github!O$717, 2)&amp;"%"</f>
        <v>45.29%</v>
      </c>
      <c r="H721" s="13" t="str">
        <f>Github!H$717</f>
        <v>Algorithms</v>
      </c>
      <c r="I721" s="16" t="str">
        <f>SUBSTITUTE(Github!L$717, ";", ", ")</f>
        <v>Linked List, Stack, Design, Doubly-Linked List, Ordered Set, </v>
      </c>
      <c r="J721" s="13" t="str">
        <f>Github!E$717</f>
        <v>Hard</v>
      </c>
      <c r="K721" s="13" t="str">
        <f>IF(TRIM(Github!D$717)="TRUE","FALSE","TRUE")</f>
        <v>FALSE</v>
      </c>
      <c r="L721" s="13" t="b">
        <f>Github!M$717</f>
        <v>1</v>
      </c>
      <c r="M721" s="13" t="b">
        <f>Github!N$717</f>
        <v>0</v>
      </c>
      <c r="N721" s="13">
        <f>Github!P$717</f>
        <v>138937</v>
      </c>
      <c r="O721" s="13">
        <f>Github!Q$717</f>
        <v>306756</v>
      </c>
    </row>
    <row r="722">
      <c r="A722" s="13">
        <f>Github!J$814</f>
        <v>813</v>
      </c>
      <c r="B722" s="14" t="str">
        <f>HYPERLINK(CONCAT("http://leetcode.com/problems/",Github!C$814), Github!B$814)</f>
        <v>Largest Sum of Averages</v>
      </c>
      <c r="C722" s="13">
        <f>Github!F$814</f>
        <v>1777</v>
      </c>
      <c r="D722" s="13">
        <f>Github!G$814</f>
        <v>90</v>
      </c>
      <c r="E722" s="13">
        <f>Github!F$814+Github!G$814</f>
        <v>1867</v>
      </c>
      <c r="F722" s="15">
        <f t="shared" si="1"/>
        <v>19.74</v>
      </c>
      <c r="G722" s="13" t="str">
        <f>ROUND(Github!O$814, 2)&amp;"%"</f>
        <v>53.01%</v>
      </c>
      <c r="H722" s="13" t="str">
        <f>Github!H$814</f>
        <v>Algorithms</v>
      </c>
      <c r="I722" s="16" t="str">
        <f>SUBSTITUTE(Github!L$814, ";", ", ")</f>
        <v>Array, Dynamic Programming, Prefix Sum, </v>
      </c>
      <c r="J722" s="13" t="str">
        <f>Github!E$814</f>
        <v>Medium</v>
      </c>
      <c r="K722" s="13" t="str">
        <f>IF(TRIM(Github!D$814)="TRUE","FALSE","TRUE")</f>
        <v>TRUE</v>
      </c>
      <c r="L722" s="13" t="b">
        <f>Github!M$814</f>
        <v>1</v>
      </c>
      <c r="M722" s="13" t="b">
        <f>Github!N$814</f>
        <v>0</v>
      </c>
      <c r="N722" s="13">
        <f>Github!P$814</f>
        <v>44802</v>
      </c>
      <c r="O722" s="13">
        <f>Github!Q$814</f>
        <v>84513</v>
      </c>
    </row>
    <row r="723">
      <c r="A723" s="13">
        <f>Github!J$847</f>
        <v>846</v>
      </c>
      <c r="B723" s="14" t="str">
        <f>HYPERLINK(CONCAT("http://leetcode.com/problems/",Github!C$847), Github!B$847)</f>
        <v>Hand of Straights</v>
      </c>
      <c r="C723" s="13">
        <f>Github!F$847</f>
        <v>1777</v>
      </c>
      <c r="D723" s="13">
        <f>Github!G$847</f>
        <v>137</v>
      </c>
      <c r="E723" s="13">
        <f>Github!F$847+Github!G$847</f>
        <v>1914</v>
      </c>
      <c r="F723" s="15">
        <f t="shared" si="1"/>
        <v>12.97</v>
      </c>
      <c r="G723" s="13" t="str">
        <f>ROUND(Github!O$847, 2)&amp;"%"</f>
        <v>56.31%</v>
      </c>
      <c r="H723" s="13" t="str">
        <f>Github!H$847</f>
        <v>Algorithms</v>
      </c>
      <c r="I723" s="16" t="str">
        <f>SUBSTITUTE(Github!L$847, ";", ", ")</f>
        <v>Array, Hash Table, Greedy, Sorting, </v>
      </c>
      <c r="J723" s="13" t="str">
        <f>Github!E$847</f>
        <v>Medium</v>
      </c>
      <c r="K723" s="13" t="str">
        <f>IF(TRIM(Github!D$847)="TRUE","FALSE","TRUE")</f>
        <v>TRUE</v>
      </c>
      <c r="L723" s="13" t="b">
        <f>Github!M$847</f>
        <v>0</v>
      </c>
      <c r="M723" s="13" t="b">
        <f>Github!N$847</f>
        <v>0</v>
      </c>
      <c r="N723" s="13">
        <f>Github!P$847</f>
        <v>108347</v>
      </c>
      <c r="O723" s="13">
        <f>Github!Q$847</f>
        <v>192395</v>
      </c>
    </row>
    <row r="724">
      <c r="A724" s="13">
        <f>Github!J$733</f>
        <v>732</v>
      </c>
      <c r="B724" s="14" t="str">
        <f>HYPERLINK(CONCAT("http://leetcode.com/problems/",Github!C$733), Github!B$733)</f>
        <v>My Calendar III</v>
      </c>
      <c r="C724" s="13">
        <f>Github!F$733</f>
        <v>1764</v>
      </c>
      <c r="D724" s="13">
        <f>Github!G$733</f>
        <v>248</v>
      </c>
      <c r="E724" s="13">
        <f>Github!F$733+Github!G$733</f>
        <v>2012</v>
      </c>
      <c r="F724" s="15">
        <f t="shared" si="1"/>
        <v>7.11</v>
      </c>
      <c r="G724" s="13" t="str">
        <f>ROUND(Github!O$733, 2)&amp;"%"</f>
        <v>71.6%</v>
      </c>
      <c r="H724" s="13" t="str">
        <f>Github!H$733</f>
        <v>Algorithms</v>
      </c>
      <c r="I724" s="16" t="str">
        <f>SUBSTITUTE(Github!L$733, ";", ", ")</f>
        <v>Binary Search, Design, Segment Tree, Ordered Set, </v>
      </c>
      <c r="J724" s="13" t="str">
        <f>Github!E$733</f>
        <v>Hard</v>
      </c>
      <c r="K724" s="13" t="str">
        <f>IF(TRIM(Github!D$733)="TRUE","FALSE","TRUE")</f>
        <v>TRUE</v>
      </c>
      <c r="L724" s="13" t="b">
        <f>Github!M$733</f>
        <v>1</v>
      </c>
      <c r="M724" s="13" t="b">
        <f>Github!N$733</f>
        <v>0</v>
      </c>
      <c r="N724" s="13">
        <f>Github!P$733</f>
        <v>81746</v>
      </c>
      <c r="O724" s="13">
        <f>Github!Q$733</f>
        <v>114169</v>
      </c>
    </row>
    <row r="725">
      <c r="A725" s="13">
        <f>Github!J$1770</f>
        <v>1769</v>
      </c>
      <c r="B725" s="14" t="str">
        <f>HYPERLINK(CONCAT("http://leetcode.com/problems/",Github!C$1770), Github!B$1770)</f>
        <v>Minimum Number of Operations to Move All Balls to Each Box</v>
      </c>
      <c r="C725" s="13">
        <f>Github!F$1770</f>
        <v>1775</v>
      </c>
      <c r="D725" s="13">
        <f>Github!G$1770</f>
        <v>66</v>
      </c>
      <c r="E725" s="13">
        <f>Github!F$1770+Github!G$1770</f>
        <v>1841</v>
      </c>
      <c r="F725" s="15">
        <f t="shared" si="1"/>
        <v>26.89</v>
      </c>
      <c r="G725" s="13" t="str">
        <f>ROUND(Github!O$1770, 2)&amp;"%"</f>
        <v>85.21%</v>
      </c>
      <c r="H725" s="13" t="str">
        <f>Github!H$1770</f>
        <v>Algorithms</v>
      </c>
      <c r="I725" s="16" t="str">
        <f>SUBSTITUTE(Github!L$1770, ";", ", ")</f>
        <v>Array, String, </v>
      </c>
      <c r="J725" s="13" t="str">
        <f>Github!E$1770</f>
        <v>Medium</v>
      </c>
      <c r="K725" s="13" t="str">
        <f>IF(TRIM(Github!D$1770)="TRUE","FALSE","TRUE")</f>
        <v>TRUE</v>
      </c>
      <c r="L725" s="13" t="b">
        <f>Github!M$1770</f>
        <v>0</v>
      </c>
      <c r="M725" s="13" t="b">
        <f>Github!N$1770</f>
        <v>0</v>
      </c>
      <c r="N725" s="13">
        <f>Github!P$1770</f>
        <v>93055</v>
      </c>
      <c r="O725" s="13">
        <f>Github!Q$1770</f>
        <v>109209</v>
      </c>
    </row>
    <row r="726">
      <c r="A726" s="13">
        <f>Github!J$1162</f>
        <v>1161</v>
      </c>
      <c r="B726" s="14" t="str">
        <f>HYPERLINK(CONCAT("http://leetcode.com/problems/",Github!C$1162), Github!B$1162)</f>
        <v>Maximum Level Sum of a Binary Tree</v>
      </c>
      <c r="C726" s="13">
        <f>Github!F$1162</f>
        <v>1773</v>
      </c>
      <c r="D726" s="13">
        <f>Github!G$1162</f>
        <v>65</v>
      </c>
      <c r="E726" s="13">
        <f>Github!F$1162+Github!G$1162</f>
        <v>1838</v>
      </c>
      <c r="F726" s="15">
        <f t="shared" si="1"/>
        <v>27.28</v>
      </c>
      <c r="G726" s="13" t="str">
        <f>ROUND(Github!O$1162, 2)&amp;"%"</f>
        <v>66.08%</v>
      </c>
      <c r="H726" s="13" t="str">
        <f>Github!H$1162</f>
        <v>Algorithms</v>
      </c>
      <c r="I726" s="16" t="str">
        <f>SUBSTITUTE(Github!L$1162, ";", ", ")</f>
        <v>Tree, Depth-First Search, Breadth-First Search, Binary Tree, </v>
      </c>
      <c r="J726" s="13" t="str">
        <f>Github!E$1162</f>
        <v>Medium</v>
      </c>
      <c r="K726" s="13" t="str">
        <f>IF(TRIM(Github!D$1162)="TRUE","FALSE","TRUE")</f>
        <v>TRUE</v>
      </c>
      <c r="L726" s="13" t="b">
        <f>Github!M$1162</f>
        <v>1</v>
      </c>
      <c r="M726" s="13" t="b">
        <f>Github!N$1162</f>
        <v>0</v>
      </c>
      <c r="N726" s="13">
        <f>Github!P$1162</f>
        <v>120978</v>
      </c>
      <c r="O726" s="13">
        <f>Github!Q$1162</f>
        <v>183073</v>
      </c>
    </row>
    <row r="727">
      <c r="A727" s="13">
        <f>Github!J$1010</f>
        <v>1009</v>
      </c>
      <c r="B727" s="14" t="str">
        <f>HYPERLINK(CONCAT("http://leetcode.com/problems/",Github!C$1010), Github!B$1010)</f>
        <v>Complement of Base 10 Integer</v>
      </c>
      <c r="C727" s="13">
        <f>Github!F$1010</f>
        <v>1783</v>
      </c>
      <c r="D727" s="13">
        <f>Github!G$1010</f>
        <v>87</v>
      </c>
      <c r="E727" s="13">
        <f>Github!F$1010+Github!G$1010</f>
        <v>1870</v>
      </c>
      <c r="F727" s="15">
        <f t="shared" si="1"/>
        <v>20.49</v>
      </c>
      <c r="G727" s="13" t="str">
        <f>ROUND(Github!O$1010, 2)&amp;"%"</f>
        <v>61.76%</v>
      </c>
      <c r="H727" s="13" t="str">
        <f>Github!H$1010</f>
        <v>Algorithms</v>
      </c>
      <c r="I727" s="16" t="str">
        <f>SUBSTITUTE(Github!L$1010, ";", ", ")</f>
        <v>Bit Manipulation, </v>
      </c>
      <c r="J727" s="13" t="str">
        <f>Github!E$1010</f>
        <v>Easy</v>
      </c>
      <c r="K727" s="13" t="str">
        <f>IF(TRIM(Github!D$1010)="TRUE","FALSE","TRUE")</f>
        <v>TRUE</v>
      </c>
      <c r="L727" s="13" t="b">
        <f>Github!M$1010</f>
        <v>1</v>
      </c>
      <c r="M727" s="13" t="b">
        <f>Github!N$1010</f>
        <v>0</v>
      </c>
      <c r="N727" s="13">
        <f>Github!P$1010</f>
        <v>162360</v>
      </c>
      <c r="O727" s="13">
        <f>Github!Q$1010</f>
        <v>262892</v>
      </c>
    </row>
    <row r="728">
      <c r="A728" s="13">
        <f>Github!J$690</f>
        <v>689</v>
      </c>
      <c r="B728" s="14" t="str">
        <f>HYPERLINK(CONCAT("http://leetcode.com/problems/",Github!C$690), Github!B$690)</f>
        <v>Maximum Sum of 3 Non-Overlapping Subarrays</v>
      </c>
      <c r="C728" s="13">
        <f>Github!F$690</f>
        <v>1764</v>
      </c>
      <c r="D728" s="13">
        <f>Github!G$690</f>
        <v>100</v>
      </c>
      <c r="E728" s="13">
        <f>Github!F$690+Github!G$690</f>
        <v>1864</v>
      </c>
      <c r="F728" s="15">
        <f t="shared" si="1"/>
        <v>17.64</v>
      </c>
      <c r="G728" s="13" t="str">
        <f>ROUND(Github!O$690, 2)&amp;"%"</f>
        <v>48.91%</v>
      </c>
      <c r="H728" s="13" t="str">
        <f>Github!H$690</f>
        <v>Algorithms</v>
      </c>
      <c r="I728" s="16" t="str">
        <f>SUBSTITUTE(Github!L$690, ";", ", ")</f>
        <v>Array, Dynamic Programming, </v>
      </c>
      <c r="J728" s="13" t="str">
        <f>Github!E$690</f>
        <v>Hard</v>
      </c>
      <c r="K728" s="13" t="str">
        <f>IF(TRIM(Github!D$690)="TRUE","FALSE","TRUE")</f>
        <v>TRUE</v>
      </c>
      <c r="L728" s="13" t="b">
        <f>Github!M$690</f>
        <v>1</v>
      </c>
      <c r="M728" s="13" t="b">
        <f>Github!N$690</f>
        <v>0</v>
      </c>
      <c r="N728" s="13">
        <f>Github!P$690</f>
        <v>65887</v>
      </c>
      <c r="O728" s="13">
        <f>Github!Q$690</f>
        <v>134714</v>
      </c>
    </row>
    <row r="729">
      <c r="A729" s="13">
        <f>Github!J$774</f>
        <v>773</v>
      </c>
      <c r="B729" s="14" t="str">
        <f>HYPERLINK(CONCAT("http://leetcode.com/problems/",Github!C$774), Github!B$774)</f>
        <v>Sliding Puzzle</v>
      </c>
      <c r="C729" s="13">
        <f>Github!F$774</f>
        <v>1772</v>
      </c>
      <c r="D729" s="13">
        <f>Github!G$774</f>
        <v>45</v>
      </c>
      <c r="E729" s="13">
        <f>Github!F$774+Github!G$774</f>
        <v>1817</v>
      </c>
      <c r="F729" s="15">
        <f t="shared" si="1"/>
        <v>39.38</v>
      </c>
      <c r="G729" s="13" t="str">
        <f>ROUND(Github!O$774, 2)&amp;"%"</f>
        <v>64.04%</v>
      </c>
      <c r="H729" s="13" t="str">
        <f>Github!H$774</f>
        <v>Algorithms</v>
      </c>
      <c r="I729" s="16" t="str">
        <f>SUBSTITUTE(Github!L$774, ";", ", ")</f>
        <v>Array, Breadth-First Search, Matrix, </v>
      </c>
      <c r="J729" s="13" t="str">
        <f>Github!E$774</f>
        <v>Hard</v>
      </c>
      <c r="K729" s="13" t="str">
        <f>IF(TRIM(Github!D$774)="TRUE","FALSE","TRUE")</f>
        <v>TRUE</v>
      </c>
      <c r="L729" s="13" t="b">
        <f>Github!M$774</f>
        <v>1</v>
      </c>
      <c r="M729" s="13" t="b">
        <f>Github!N$774</f>
        <v>0</v>
      </c>
      <c r="N729" s="13">
        <f>Github!P$774</f>
        <v>81873</v>
      </c>
      <c r="O729" s="13">
        <f>Github!Q$774</f>
        <v>127847</v>
      </c>
    </row>
    <row r="730">
      <c r="A730" s="13">
        <f>Github!J$1972</f>
        <v>1971</v>
      </c>
      <c r="B730" s="14" t="str">
        <f>HYPERLINK(CONCAT("http://leetcode.com/problems/",Github!C$1972), Github!B$1972)</f>
        <v>Find if Path Exists in Graph</v>
      </c>
      <c r="C730" s="13">
        <f>Github!F$1972</f>
        <v>2610</v>
      </c>
      <c r="D730" s="13">
        <f>Github!G$1972</f>
        <v>137</v>
      </c>
      <c r="E730" s="13">
        <f>Github!F$1972+Github!G$1972</f>
        <v>2747</v>
      </c>
      <c r="F730" s="15">
        <f t="shared" si="1"/>
        <v>19.05</v>
      </c>
      <c r="G730" s="13" t="str">
        <f>ROUND(Github!O$1972, 2)&amp;"%"</f>
        <v>52.53%</v>
      </c>
      <c r="H730" s="13" t="str">
        <f>Github!H$1972</f>
        <v>Algorithms</v>
      </c>
      <c r="I730" s="16" t="str">
        <f>SUBSTITUTE(Github!L$1972, ";", ", ")</f>
        <v>Depth-First Search, Breadth-First Search, Union Find, Graph, </v>
      </c>
      <c r="J730" s="13" t="str">
        <f>Github!E$1972</f>
        <v>Easy</v>
      </c>
      <c r="K730" s="13" t="str">
        <f>IF(TRIM(Github!D$1972)="TRUE","FALSE","TRUE")</f>
        <v>TRUE</v>
      </c>
      <c r="L730" s="13" t="b">
        <f>Github!M$1972</f>
        <v>1</v>
      </c>
      <c r="M730" s="13" t="b">
        <f>Github!N$1972</f>
        <v>0</v>
      </c>
      <c r="N730" s="13">
        <f>Github!P$1972</f>
        <v>207841</v>
      </c>
      <c r="O730" s="13">
        <f>Github!Q$1972</f>
        <v>395676</v>
      </c>
    </row>
    <row r="731">
      <c r="A731" s="13">
        <f>Github!J$1022</f>
        <v>1021</v>
      </c>
      <c r="B731" s="14" t="str">
        <f>HYPERLINK(CONCAT("http://leetcode.com/problems/",Github!C$1022), Github!B$1022)</f>
        <v>Remove Outermost Parentheses</v>
      </c>
      <c r="C731" s="13">
        <f>Github!F$1022</f>
        <v>1785</v>
      </c>
      <c r="D731" s="13">
        <f>Github!G$1022</f>
        <v>1330</v>
      </c>
      <c r="E731" s="13">
        <f>Github!F$1022+Github!G$1022</f>
        <v>3115</v>
      </c>
      <c r="F731" s="15">
        <f t="shared" si="1"/>
        <v>1.34</v>
      </c>
      <c r="G731" s="13" t="str">
        <f>ROUND(Github!O$1022, 2)&amp;"%"</f>
        <v>80.33%</v>
      </c>
      <c r="H731" s="13" t="str">
        <f>Github!H$1022</f>
        <v>Algorithms</v>
      </c>
      <c r="I731" s="16" t="str">
        <f>SUBSTITUTE(Github!L$1022, ";", ", ")</f>
        <v>String, Stack, </v>
      </c>
      <c r="J731" s="13" t="str">
        <f>Github!E$1022</f>
        <v>Easy</v>
      </c>
      <c r="K731" s="13" t="str">
        <f>IF(TRIM(Github!D$1022)="TRUE","FALSE","TRUE")</f>
        <v>TRUE</v>
      </c>
      <c r="L731" s="13" t="b">
        <f>Github!M$1022</f>
        <v>0</v>
      </c>
      <c r="M731" s="13" t="b">
        <f>Github!N$1022</f>
        <v>0</v>
      </c>
      <c r="N731" s="13">
        <f>Github!P$1022</f>
        <v>201546</v>
      </c>
      <c r="O731" s="13">
        <f>Github!Q$1022</f>
        <v>250885</v>
      </c>
    </row>
    <row r="732">
      <c r="A732" s="13">
        <f>Github!J$90</f>
        <v>89</v>
      </c>
      <c r="B732" s="14" t="str">
        <f>HYPERLINK(CONCAT("http://leetcode.com/problems/",Github!C$90), Github!B$90)</f>
        <v>Gray Code</v>
      </c>
      <c r="C732" s="13">
        <f>Github!F$90</f>
        <v>1759</v>
      </c>
      <c r="D732" s="13">
        <f>Github!G$90</f>
        <v>2436</v>
      </c>
      <c r="E732" s="13">
        <f>Github!F$90+Github!G$90</f>
        <v>4195</v>
      </c>
      <c r="F732" s="15">
        <f t="shared" si="1"/>
        <v>0.72</v>
      </c>
      <c r="G732" s="13" t="str">
        <f>ROUND(Github!O$90, 2)&amp;"%"</f>
        <v>56.76%</v>
      </c>
      <c r="H732" s="13" t="str">
        <f>Github!H$90</f>
        <v>Algorithms</v>
      </c>
      <c r="I732" s="16" t="str">
        <f>SUBSTITUTE(Github!L$90, ";", ", ")</f>
        <v>Math, Backtracking, Bit Manipulation, </v>
      </c>
      <c r="J732" s="13" t="str">
        <f>Github!E$90</f>
        <v>Medium</v>
      </c>
      <c r="K732" s="13" t="str">
        <f>IF(TRIM(Github!D$90)="TRUE","FALSE","TRUE")</f>
        <v>TRUE</v>
      </c>
      <c r="L732" s="13" t="b">
        <f>Github!M$90</f>
        <v>1</v>
      </c>
      <c r="M732" s="13" t="b">
        <f>Github!N$90</f>
        <v>0</v>
      </c>
      <c r="N732" s="13">
        <f>Github!P$90</f>
        <v>252937</v>
      </c>
      <c r="O732" s="13">
        <f>Github!Q$90</f>
        <v>445614</v>
      </c>
    </row>
    <row r="733">
      <c r="A733" s="13">
        <f>Github!J$1172</f>
        <v>1171</v>
      </c>
      <c r="B733" s="14" t="str">
        <f>HYPERLINK(CONCAT("http://leetcode.com/problems/",Github!C$1172), Github!B$1172)</f>
        <v>Remove Zero Sum Consecutive Nodes from Linked List</v>
      </c>
      <c r="C733" s="13">
        <f>Github!F$1172</f>
        <v>1756</v>
      </c>
      <c r="D733" s="13">
        <f>Github!G$1172</f>
        <v>80</v>
      </c>
      <c r="E733" s="13">
        <f>Github!F$1172+Github!G$1172</f>
        <v>1836</v>
      </c>
      <c r="F733" s="15">
        <f t="shared" si="1"/>
        <v>21.95</v>
      </c>
      <c r="G733" s="13" t="str">
        <f>ROUND(Github!O$1172, 2)&amp;"%"</f>
        <v>43%</v>
      </c>
      <c r="H733" s="13" t="str">
        <f>Github!H$1172</f>
        <v>Algorithms</v>
      </c>
      <c r="I733" s="16" t="str">
        <f>SUBSTITUTE(Github!L$1172, ";", ", ")</f>
        <v>Hash Table, Linked List, </v>
      </c>
      <c r="J733" s="13" t="str">
        <f>Github!E$1172</f>
        <v>Medium</v>
      </c>
      <c r="K733" s="13" t="str">
        <f>IF(TRIM(Github!D$1172)="TRUE","FALSE","TRUE")</f>
        <v>TRUE</v>
      </c>
      <c r="L733" s="13" t="b">
        <f>Github!M$1172</f>
        <v>0</v>
      </c>
      <c r="M733" s="13" t="b">
        <f>Github!N$1172</f>
        <v>0</v>
      </c>
      <c r="N733" s="13">
        <f>Github!P$1172</f>
        <v>42615</v>
      </c>
      <c r="O733" s="13">
        <f>Github!Q$1172</f>
        <v>99101</v>
      </c>
    </row>
    <row r="734">
      <c r="A734" s="13">
        <f>Github!J$376</f>
        <v>375</v>
      </c>
      <c r="B734" s="14" t="str">
        <f>HYPERLINK(CONCAT("http://leetcode.com/problems/",Github!C$376), Github!B$376)</f>
        <v>Guess Number Higher or Lower II</v>
      </c>
      <c r="C734" s="13">
        <f>Github!F$376</f>
        <v>1756</v>
      </c>
      <c r="D734" s="13">
        <f>Github!G$376</f>
        <v>1938</v>
      </c>
      <c r="E734" s="13">
        <f>Github!F$376+Github!G$376</f>
        <v>3694</v>
      </c>
      <c r="F734" s="15">
        <f t="shared" si="1"/>
        <v>0.91</v>
      </c>
      <c r="G734" s="13" t="str">
        <f>ROUND(Github!O$376, 2)&amp;"%"</f>
        <v>46.55%</v>
      </c>
      <c r="H734" s="13" t="str">
        <f>Github!H$376</f>
        <v>Algorithms</v>
      </c>
      <c r="I734" s="16" t="str">
        <f>SUBSTITUTE(Github!L$376, ";", ", ")</f>
        <v>Math, Dynamic Programming, Game Theory, </v>
      </c>
      <c r="J734" s="13" t="str">
        <f>Github!E$376</f>
        <v>Medium</v>
      </c>
      <c r="K734" s="13" t="str">
        <f>IF(TRIM(Github!D$376)="TRUE","FALSE","TRUE")</f>
        <v>TRUE</v>
      </c>
      <c r="L734" s="13" t="b">
        <f>Github!M$376</f>
        <v>0</v>
      </c>
      <c r="M734" s="13" t="b">
        <f>Github!N$376</f>
        <v>0</v>
      </c>
      <c r="N734" s="13">
        <f>Github!P$376</f>
        <v>102056</v>
      </c>
      <c r="O734" s="13">
        <f>Github!Q$376</f>
        <v>219240</v>
      </c>
    </row>
    <row r="735">
      <c r="A735" s="13">
        <f>Github!J$637</f>
        <v>636</v>
      </c>
      <c r="B735" s="14" t="str">
        <f>HYPERLINK(CONCAT("http://leetcode.com/problems/",Github!C$637), Github!B$637)</f>
        <v>Exclusive Time of Functions</v>
      </c>
      <c r="C735" s="13">
        <f>Github!F$637</f>
        <v>1745</v>
      </c>
      <c r="D735" s="13">
        <f>Github!G$637</f>
        <v>2553</v>
      </c>
      <c r="E735" s="13">
        <f>Github!F$637+Github!G$637</f>
        <v>4298</v>
      </c>
      <c r="F735" s="15">
        <f t="shared" si="1"/>
        <v>0.68</v>
      </c>
      <c r="G735" s="13" t="str">
        <f>ROUND(Github!O$637, 2)&amp;"%"</f>
        <v>61.13%</v>
      </c>
      <c r="H735" s="13" t="str">
        <f>Github!H$637</f>
        <v>Algorithms</v>
      </c>
      <c r="I735" s="16" t="str">
        <f>SUBSTITUTE(Github!L$637, ";", ", ")</f>
        <v>Array, Stack, </v>
      </c>
      <c r="J735" s="13" t="str">
        <f>Github!E$637</f>
        <v>Medium</v>
      </c>
      <c r="K735" s="13" t="str">
        <f>IF(TRIM(Github!D$637)="TRUE","FALSE","TRUE")</f>
        <v>TRUE</v>
      </c>
      <c r="L735" s="13" t="b">
        <f>Github!M$637</f>
        <v>0</v>
      </c>
      <c r="M735" s="13" t="b">
        <f>Github!N$637</f>
        <v>0</v>
      </c>
      <c r="N735" s="13">
        <f>Github!P$637</f>
        <v>186170</v>
      </c>
      <c r="O735" s="13">
        <f>Github!Q$637</f>
        <v>304533</v>
      </c>
    </row>
    <row r="736">
      <c r="A736" s="13">
        <f>Github!J$1573</f>
        <v>1572</v>
      </c>
      <c r="B736" s="14" t="str">
        <f>HYPERLINK(CONCAT("http://leetcode.com/problems/",Github!C$1573), Github!B$1573)</f>
        <v>Matrix Diagonal Sum</v>
      </c>
      <c r="C736" s="13">
        <f>Github!F$1573</f>
        <v>1769</v>
      </c>
      <c r="D736" s="13">
        <f>Github!G$1573</f>
        <v>25</v>
      </c>
      <c r="E736" s="13">
        <f>Github!F$1573+Github!G$1573</f>
        <v>1794</v>
      </c>
      <c r="F736" s="15">
        <f t="shared" si="1"/>
        <v>70.76</v>
      </c>
      <c r="G736" s="13" t="str">
        <f>ROUND(Github!O$1573, 2)&amp;"%"</f>
        <v>79.9%</v>
      </c>
      <c r="H736" s="13" t="str">
        <f>Github!H$1573</f>
        <v>Algorithms</v>
      </c>
      <c r="I736" s="16" t="str">
        <f>SUBSTITUTE(Github!L$1573, ";", ", ")</f>
        <v>Array, Matrix, </v>
      </c>
      <c r="J736" s="13" t="str">
        <f>Github!E$1573</f>
        <v>Easy</v>
      </c>
      <c r="K736" s="13" t="str">
        <f>IF(TRIM(Github!D$1573)="TRUE","FALSE","TRUE")</f>
        <v>TRUE</v>
      </c>
      <c r="L736" s="13" t="b">
        <f>Github!M$1573</f>
        <v>0</v>
      </c>
      <c r="M736" s="13" t="b">
        <f>Github!N$1573</f>
        <v>0</v>
      </c>
      <c r="N736" s="13">
        <f>Github!P$1573</f>
        <v>156216</v>
      </c>
      <c r="O736" s="13">
        <f>Github!Q$1573</f>
        <v>195521</v>
      </c>
    </row>
    <row r="737">
      <c r="A737" s="13">
        <f>Github!J$536</f>
        <v>535</v>
      </c>
      <c r="B737" s="14" t="str">
        <f>HYPERLINK(CONCAT("http://leetcode.com/problems/",Github!C$536), Github!B$536)</f>
        <v>Encode and Decode TinyURL</v>
      </c>
      <c r="C737" s="13">
        <f>Github!F$536</f>
        <v>1745</v>
      </c>
      <c r="D737" s="13">
        <f>Github!G$536</f>
        <v>3361</v>
      </c>
      <c r="E737" s="13">
        <f>Github!F$536+Github!G$536</f>
        <v>5106</v>
      </c>
      <c r="F737" s="15">
        <f t="shared" si="1"/>
        <v>0.52</v>
      </c>
      <c r="G737" s="13" t="str">
        <f>ROUND(Github!O$536, 2)&amp;"%"</f>
        <v>85.86%</v>
      </c>
      <c r="H737" s="13" t="str">
        <f>Github!H$536</f>
        <v>Algorithms</v>
      </c>
      <c r="I737" s="16" t="str">
        <f>SUBSTITUTE(Github!L$536, ";", ", ")</f>
        <v>Hash Table, String, Design, Hash Function, </v>
      </c>
      <c r="J737" s="13" t="str">
        <f>Github!E$536</f>
        <v>Medium</v>
      </c>
      <c r="K737" s="13" t="str">
        <f>IF(TRIM(Github!D$536)="TRUE","FALSE","TRUE")</f>
        <v>TRUE</v>
      </c>
      <c r="L737" s="13" t="b">
        <f>Github!M$536</f>
        <v>1</v>
      </c>
      <c r="M737" s="13" t="b">
        <f>Github!N$536</f>
        <v>0</v>
      </c>
      <c r="N737" s="13">
        <f>Github!P$536</f>
        <v>220672</v>
      </c>
      <c r="O737" s="13">
        <f>Github!Q$536</f>
        <v>257026</v>
      </c>
    </row>
    <row r="738">
      <c r="A738" s="13">
        <f>Github!J$874</f>
        <v>873</v>
      </c>
      <c r="B738" s="14" t="str">
        <f>HYPERLINK(CONCAT("http://leetcode.com/problems/",Github!C$874), Github!B$874)</f>
        <v>Length of Longest Fibonacci Subsequence</v>
      </c>
      <c r="C738" s="13">
        <f>Github!F$874</f>
        <v>1742</v>
      </c>
      <c r="D738" s="13">
        <f>Github!G$874</f>
        <v>61</v>
      </c>
      <c r="E738" s="13">
        <f>Github!F$874+Github!G$874</f>
        <v>1803</v>
      </c>
      <c r="F738" s="15">
        <f t="shared" si="1"/>
        <v>28.56</v>
      </c>
      <c r="G738" s="13" t="str">
        <f>ROUND(Github!O$874, 2)&amp;"%"</f>
        <v>48.43%</v>
      </c>
      <c r="H738" s="13" t="str">
        <f>Github!H$874</f>
        <v>Algorithms</v>
      </c>
      <c r="I738" s="16" t="str">
        <f>SUBSTITUTE(Github!L$874, ";", ", ")</f>
        <v>Array, Hash Table, Dynamic Programming, </v>
      </c>
      <c r="J738" s="13" t="str">
        <f>Github!E$874</f>
        <v>Medium</v>
      </c>
      <c r="K738" s="13" t="str">
        <f>IF(TRIM(Github!D$874)="TRUE","FALSE","TRUE")</f>
        <v>TRUE</v>
      </c>
      <c r="L738" s="13" t="b">
        <f>Github!M$874</f>
        <v>1</v>
      </c>
      <c r="M738" s="13" t="b">
        <f>Github!N$874</f>
        <v>0</v>
      </c>
      <c r="N738" s="13">
        <f>Github!P$874</f>
        <v>54312</v>
      </c>
      <c r="O738" s="13">
        <f>Github!Q$874</f>
        <v>112142</v>
      </c>
    </row>
    <row r="739">
      <c r="A739" s="13">
        <f>Github!J$318</f>
        <v>317</v>
      </c>
      <c r="B739" s="14" t="str">
        <f>HYPERLINK(CONCAT("http://leetcode.com/problems/",Github!C$318), Github!B$318)</f>
        <v>Shortest Distance from All Buildings</v>
      </c>
      <c r="C739" s="13">
        <f>Github!F$318</f>
        <v>1727</v>
      </c>
      <c r="D739" s="13">
        <f>Github!G$318</f>
        <v>226</v>
      </c>
      <c r="E739" s="13">
        <f>Github!F$318+Github!G$318</f>
        <v>1953</v>
      </c>
      <c r="F739" s="15">
        <f t="shared" si="1"/>
        <v>7.64</v>
      </c>
      <c r="G739" s="13" t="str">
        <f>ROUND(Github!O$318, 2)&amp;"%"</f>
        <v>42.74%</v>
      </c>
      <c r="H739" s="13" t="str">
        <f>Github!H$318</f>
        <v>Algorithms</v>
      </c>
      <c r="I739" s="16" t="str">
        <f>SUBSTITUTE(Github!L$318, ";", ", ")</f>
        <v>Array, Breadth-First Search, Matrix, </v>
      </c>
      <c r="J739" s="13" t="str">
        <f>Github!E$318</f>
        <v>Hard</v>
      </c>
      <c r="K739" s="13" t="str">
        <f>IF(TRIM(Github!D$318)="TRUE","FALSE","TRUE")</f>
        <v>FALSE</v>
      </c>
      <c r="L739" s="13" t="b">
        <f>Github!M$318</f>
        <v>1</v>
      </c>
      <c r="M739" s="13" t="b">
        <f>Github!N$318</f>
        <v>0</v>
      </c>
      <c r="N739" s="13">
        <f>Github!P$318</f>
        <v>150780</v>
      </c>
      <c r="O739" s="13">
        <f>Github!Q$318</f>
        <v>352744</v>
      </c>
    </row>
    <row r="740">
      <c r="A740" s="13">
        <f>Github!J$1296</f>
        <v>1295</v>
      </c>
      <c r="B740" s="14" t="str">
        <f>HYPERLINK(CONCAT("http://leetcode.com/problems/",Github!C$1296), Github!B$1296)</f>
        <v>Find Numbers with Even Number of Digits</v>
      </c>
      <c r="C740" s="13">
        <f>Github!F$1296</f>
        <v>1744</v>
      </c>
      <c r="D740" s="13">
        <f>Github!G$1296</f>
        <v>107</v>
      </c>
      <c r="E740" s="13">
        <f>Github!F$1296+Github!G$1296</f>
        <v>1851</v>
      </c>
      <c r="F740" s="15">
        <f t="shared" si="1"/>
        <v>16.3</v>
      </c>
      <c r="G740" s="13" t="str">
        <f>ROUND(Github!O$1296, 2)&amp;"%"</f>
        <v>77%</v>
      </c>
      <c r="H740" s="13" t="str">
        <f>Github!H$1296</f>
        <v>Algorithms</v>
      </c>
      <c r="I740" s="16" t="str">
        <f>SUBSTITUTE(Github!L$1296, ";", ", ")</f>
        <v>Array, </v>
      </c>
      <c r="J740" s="13" t="str">
        <f>Github!E$1296</f>
        <v>Easy</v>
      </c>
      <c r="K740" s="13" t="str">
        <f>IF(TRIM(Github!D$1296)="TRUE","FALSE","TRUE")</f>
        <v>TRUE</v>
      </c>
      <c r="L740" s="13" t="b">
        <f>Github!M$1296</f>
        <v>0</v>
      </c>
      <c r="M740" s="13" t="b">
        <f>Github!N$1296</f>
        <v>0</v>
      </c>
      <c r="N740" s="13">
        <f>Github!P$1296</f>
        <v>517666</v>
      </c>
      <c r="O740" s="13">
        <f>Github!Q$1296</f>
        <v>672322</v>
      </c>
    </row>
    <row r="741">
      <c r="A741" s="13">
        <f>Github!J$1300</f>
        <v>1299</v>
      </c>
      <c r="B741" s="14" t="str">
        <f>HYPERLINK(CONCAT("http://leetcode.com/problems/",Github!C$1300), Github!B$1300)</f>
        <v>Replace Elements with Greatest Element on Right Side</v>
      </c>
      <c r="C741" s="13">
        <f>Github!F$1300</f>
        <v>1750</v>
      </c>
      <c r="D741" s="13">
        <f>Github!G$1300</f>
        <v>182</v>
      </c>
      <c r="E741" s="13">
        <f>Github!F$1300+Github!G$1300</f>
        <v>1932</v>
      </c>
      <c r="F741" s="15">
        <f t="shared" si="1"/>
        <v>9.62</v>
      </c>
      <c r="G741" s="13" t="str">
        <f>ROUND(Github!O$1300, 2)&amp;"%"</f>
        <v>74.29%</v>
      </c>
      <c r="H741" s="13" t="str">
        <f>Github!H$1300</f>
        <v>Algorithms</v>
      </c>
      <c r="I741" s="16" t="str">
        <f>SUBSTITUTE(Github!L$1300, ";", ", ")</f>
        <v>Array, </v>
      </c>
      <c r="J741" s="13" t="str">
        <f>Github!E$1300</f>
        <v>Easy</v>
      </c>
      <c r="K741" s="13" t="str">
        <f>IF(TRIM(Github!D$1300)="TRUE","FALSE","TRUE")</f>
        <v>TRUE</v>
      </c>
      <c r="L741" s="13" t="b">
        <f>Github!M$1300</f>
        <v>0</v>
      </c>
      <c r="M741" s="13" t="b">
        <f>Github!N$1300</f>
        <v>0</v>
      </c>
      <c r="N741" s="13">
        <f>Github!P$1300</f>
        <v>262889</v>
      </c>
      <c r="O741" s="13">
        <f>Github!Q$1300</f>
        <v>353872</v>
      </c>
    </row>
    <row r="742">
      <c r="A742" s="13">
        <f>Github!J$253</f>
        <v>252</v>
      </c>
      <c r="B742" s="14" t="str">
        <f>HYPERLINK(CONCAT("http://leetcode.com/problems/",Github!C$253), Github!B$253)</f>
        <v>Meeting Rooms</v>
      </c>
      <c r="C742" s="13">
        <f>Github!F$253</f>
        <v>1727</v>
      </c>
      <c r="D742" s="13">
        <f>Github!G$253</f>
        <v>86</v>
      </c>
      <c r="E742" s="13">
        <f>Github!F$253+Github!G$253</f>
        <v>1813</v>
      </c>
      <c r="F742" s="15">
        <f t="shared" si="1"/>
        <v>20.08</v>
      </c>
      <c r="G742" s="13" t="str">
        <f>ROUND(Github!O$253, 2)&amp;"%"</f>
        <v>57.11%</v>
      </c>
      <c r="H742" s="13" t="str">
        <f>Github!H$253</f>
        <v>Algorithms</v>
      </c>
      <c r="I742" s="16" t="str">
        <f>SUBSTITUTE(Github!L$253, ";", ", ")</f>
        <v>Array, Sorting, </v>
      </c>
      <c r="J742" s="13" t="str">
        <f>Github!E$253</f>
        <v>Easy</v>
      </c>
      <c r="K742" s="13" t="str">
        <f>IF(TRIM(Github!D$253)="TRUE","FALSE","TRUE")</f>
        <v>FALSE</v>
      </c>
      <c r="L742" s="13" t="b">
        <f>Github!M$253</f>
        <v>1</v>
      </c>
      <c r="M742" s="13" t="b">
        <f>Github!N$253</f>
        <v>1</v>
      </c>
      <c r="N742" s="13">
        <f>Github!P$253</f>
        <v>323529</v>
      </c>
      <c r="O742" s="13">
        <f>Github!Q$253</f>
        <v>566458</v>
      </c>
    </row>
    <row r="743">
      <c r="A743" s="13">
        <f>Github!J$1526</f>
        <v>1525</v>
      </c>
      <c r="B743" s="14" t="str">
        <f>HYPERLINK(CONCAT("http://leetcode.com/problems/",Github!C$1526), Github!B$1526)</f>
        <v>Number of Good Ways to Split a String</v>
      </c>
      <c r="C743" s="13">
        <f>Github!F$1526</f>
        <v>1720</v>
      </c>
      <c r="D743" s="13">
        <f>Github!G$1526</f>
        <v>41</v>
      </c>
      <c r="E743" s="13">
        <f>Github!F$1526+Github!G$1526</f>
        <v>1761</v>
      </c>
      <c r="F743" s="15">
        <f t="shared" si="1"/>
        <v>41.95</v>
      </c>
      <c r="G743" s="13" t="str">
        <f>ROUND(Github!O$1526, 2)&amp;"%"</f>
        <v>69.27%</v>
      </c>
      <c r="H743" s="13" t="str">
        <f>Github!H$1526</f>
        <v>Algorithms</v>
      </c>
      <c r="I743" s="16" t="str">
        <f>SUBSTITUTE(Github!L$1526, ";", ", ")</f>
        <v>String, Dynamic Programming, Bit Manipulation, </v>
      </c>
      <c r="J743" s="13" t="str">
        <f>Github!E$1526</f>
        <v>Medium</v>
      </c>
      <c r="K743" s="13" t="str">
        <f>IF(TRIM(Github!D$1526)="TRUE","FALSE","TRUE")</f>
        <v>TRUE</v>
      </c>
      <c r="L743" s="13" t="b">
        <f>Github!M$1526</f>
        <v>0</v>
      </c>
      <c r="M743" s="13" t="b">
        <f>Github!N$1526</f>
        <v>0</v>
      </c>
      <c r="N743" s="13">
        <f>Github!P$1526</f>
        <v>84972</v>
      </c>
      <c r="O743" s="13">
        <f>Github!Q$1526</f>
        <v>122659</v>
      </c>
    </row>
    <row r="744">
      <c r="A744" s="13">
        <f>Github!J$940</f>
        <v>939</v>
      </c>
      <c r="B744" s="14" t="str">
        <f>HYPERLINK(CONCAT("http://leetcode.com/problems/",Github!C$940), Github!B$940)</f>
        <v>Minimum Area Rectangle</v>
      </c>
      <c r="C744" s="13">
        <f>Github!F$940</f>
        <v>1712</v>
      </c>
      <c r="D744" s="13">
        <f>Github!G$940</f>
        <v>258</v>
      </c>
      <c r="E744" s="13">
        <f>Github!F$940+Github!G$940</f>
        <v>1970</v>
      </c>
      <c r="F744" s="15">
        <f t="shared" si="1"/>
        <v>6.64</v>
      </c>
      <c r="G744" s="13" t="str">
        <f>ROUND(Github!O$940, 2)&amp;"%"</f>
        <v>52.95%</v>
      </c>
      <c r="H744" s="13" t="str">
        <f>Github!H$940</f>
        <v>Algorithms</v>
      </c>
      <c r="I744" s="16" t="str">
        <f>SUBSTITUTE(Github!L$940, ";", ", ")</f>
        <v>Array, Hash Table, Math, Geometry, Sorting, </v>
      </c>
      <c r="J744" s="13" t="str">
        <f>Github!E$940</f>
        <v>Medium</v>
      </c>
      <c r="K744" s="13" t="str">
        <f>IF(TRIM(Github!D$940)="TRUE","FALSE","TRUE")</f>
        <v>TRUE</v>
      </c>
      <c r="L744" s="13" t="b">
        <f>Github!M$940</f>
        <v>1</v>
      </c>
      <c r="M744" s="13" t="b">
        <f>Github!N$940</f>
        <v>0</v>
      </c>
      <c r="N744" s="13">
        <f>Github!P$940</f>
        <v>119516</v>
      </c>
      <c r="O744" s="13">
        <f>Github!Q$940</f>
        <v>225698</v>
      </c>
    </row>
    <row r="745">
      <c r="A745" s="13">
        <f>Github!J$224</f>
        <v>223</v>
      </c>
      <c r="B745" s="14" t="str">
        <f>HYPERLINK(CONCAT("http://leetcode.com/problems/",Github!C$224), Github!B$224)</f>
        <v>Rectangle Area</v>
      </c>
      <c r="C745" s="13">
        <f>Github!F$224</f>
        <v>1711</v>
      </c>
      <c r="D745" s="13">
        <f>Github!G$224</f>
        <v>1546</v>
      </c>
      <c r="E745" s="13">
        <f>Github!F$224+Github!G$224</f>
        <v>3257</v>
      </c>
      <c r="F745" s="15">
        <f t="shared" si="1"/>
        <v>1.11</v>
      </c>
      <c r="G745" s="13" t="str">
        <f>ROUND(Github!O$224, 2)&amp;"%"</f>
        <v>44.98%</v>
      </c>
      <c r="H745" s="13" t="str">
        <f>Github!H$224</f>
        <v>Algorithms</v>
      </c>
      <c r="I745" s="16" t="str">
        <f>SUBSTITUTE(Github!L$224, ";", ", ")</f>
        <v>Math, Geometry, </v>
      </c>
      <c r="J745" s="13" t="str">
        <f>Github!E$224</f>
        <v>Medium</v>
      </c>
      <c r="K745" s="13" t="str">
        <f>IF(TRIM(Github!D$224)="TRUE","FALSE","TRUE")</f>
        <v>TRUE</v>
      </c>
      <c r="L745" s="13" t="b">
        <f>Github!M$224</f>
        <v>1</v>
      </c>
      <c r="M745" s="13" t="b">
        <f>Github!N$224</f>
        <v>0</v>
      </c>
      <c r="N745" s="13">
        <f>Github!P$224</f>
        <v>194811</v>
      </c>
      <c r="O745" s="13">
        <f>Github!Q$224</f>
        <v>433114</v>
      </c>
    </row>
    <row r="746">
      <c r="A746" s="13">
        <f>Github!J$837</f>
        <v>836</v>
      </c>
      <c r="B746" s="14" t="str">
        <f>HYPERLINK(CONCAT("http://leetcode.com/problems/",Github!C$837), Github!B$837)</f>
        <v>Rectangle Overlap</v>
      </c>
      <c r="C746" s="13">
        <f>Github!F$837</f>
        <v>1701</v>
      </c>
      <c r="D746" s="13">
        <f>Github!G$837</f>
        <v>421</v>
      </c>
      <c r="E746" s="13">
        <f>Github!F$837+Github!G$837</f>
        <v>2122</v>
      </c>
      <c r="F746" s="15">
        <f t="shared" si="1"/>
        <v>4.04</v>
      </c>
      <c r="G746" s="13" t="str">
        <f>ROUND(Github!O$837, 2)&amp;"%"</f>
        <v>43.71%</v>
      </c>
      <c r="H746" s="13" t="str">
        <f>Github!H$837</f>
        <v>Algorithms</v>
      </c>
      <c r="I746" s="16" t="str">
        <f>SUBSTITUTE(Github!L$837, ";", ", ")</f>
        <v>Math, Geometry, </v>
      </c>
      <c r="J746" s="13" t="str">
        <f>Github!E$837</f>
        <v>Easy</v>
      </c>
      <c r="K746" s="13" t="str">
        <f>IF(TRIM(Github!D$837)="TRUE","FALSE","TRUE")</f>
        <v>TRUE</v>
      </c>
      <c r="L746" s="13" t="b">
        <f>Github!M$837</f>
        <v>1</v>
      </c>
      <c r="M746" s="13" t="b">
        <f>Github!N$837</f>
        <v>0</v>
      </c>
      <c r="N746" s="13">
        <f>Github!P$837</f>
        <v>117892</v>
      </c>
      <c r="O746" s="13">
        <f>Github!Q$837</f>
        <v>269740</v>
      </c>
    </row>
    <row r="747">
      <c r="A747" s="13">
        <f>Github!J$150</f>
        <v>149</v>
      </c>
      <c r="B747" s="14" t="str">
        <f>HYPERLINK(CONCAT("http://leetcode.com/problems/",Github!C$150), Github!B$150)</f>
        <v>Max Points on a Line</v>
      </c>
      <c r="C747" s="13">
        <f>Github!F$150</f>
        <v>1717</v>
      </c>
      <c r="D747" s="13">
        <f>Github!G$150</f>
        <v>257</v>
      </c>
      <c r="E747" s="13">
        <f>Github!F$150+Github!G$150</f>
        <v>1974</v>
      </c>
      <c r="F747" s="15">
        <f t="shared" si="1"/>
        <v>6.68</v>
      </c>
      <c r="G747" s="13" t="str">
        <f>ROUND(Github!O$150, 2)&amp;"%"</f>
        <v>21.94%</v>
      </c>
      <c r="H747" s="13" t="str">
        <f>Github!H$150</f>
        <v>Algorithms</v>
      </c>
      <c r="I747" s="16" t="str">
        <f>SUBSTITUTE(Github!L$150, ";", ", ")</f>
        <v>Array, Hash Table, Math, Geometry, </v>
      </c>
      <c r="J747" s="13" t="str">
        <f>Github!E$150</f>
        <v>Hard</v>
      </c>
      <c r="K747" s="13" t="str">
        <f>IF(TRIM(Github!D$150)="TRUE","FALSE","TRUE")</f>
        <v>TRUE</v>
      </c>
      <c r="L747" s="13" t="b">
        <f>Github!M$150</f>
        <v>1</v>
      </c>
      <c r="M747" s="13" t="b">
        <f>Github!N$150</f>
        <v>0</v>
      </c>
      <c r="N747" s="13">
        <f>Github!P$150</f>
        <v>262001</v>
      </c>
      <c r="O747" s="13">
        <f>Github!Q$150</f>
        <v>1194238</v>
      </c>
    </row>
    <row r="748">
      <c r="A748" s="13">
        <f>Github!J$1676</f>
        <v>1675</v>
      </c>
      <c r="B748" s="14" t="str">
        <f>HYPERLINK(CONCAT("http://leetcode.com/problems/",Github!C$1676), Github!B$1676)</f>
        <v>Minimize Deviation in Array</v>
      </c>
      <c r="C748" s="13">
        <f>Github!F$1676</f>
        <v>1690</v>
      </c>
      <c r="D748" s="13">
        <f>Github!G$1676</f>
        <v>88</v>
      </c>
      <c r="E748" s="13">
        <f>Github!F$1676+Github!G$1676</f>
        <v>1778</v>
      </c>
      <c r="F748" s="15">
        <f t="shared" si="1"/>
        <v>19.2</v>
      </c>
      <c r="G748" s="13" t="str">
        <f>ROUND(Github!O$1676, 2)&amp;"%"</f>
        <v>51.99%</v>
      </c>
      <c r="H748" s="13" t="str">
        <f>Github!H$1676</f>
        <v>Algorithms</v>
      </c>
      <c r="I748" s="16" t="str">
        <f>SUBSTITUTE(Github!L$1676, ";", ", ")</f>
        <v>Array, Greedy, Heap (Priority Queue), Ordered Set, </v>
      </c>
      <c r="J748" s="13" t="str">
        <f>Github!E$1676</f>
        <v>Hard</v>
      </c>
      <c r="K748" s="13" t="str">
        <f>IF(TRIM(Github!D$1676)="TRUE","FALSE","TRUE")</f>
        <v>TRUE</v>
      </c>
      <c r="L748" s="13" t="b">
        <f>Github!M$1676</f>
        <v>1</v>
      </c>
      <c r="M748" s="13" t="b">
        <f>Github!N$1676</f>
        <v>0</v>
      </c>
      <c r="N748" s="13">
        <f>Github!P$1676</f>
        <v>45227</v>
      </c>
      <c r="O748" s="13">
        <f>Github!Q$1676</f>
        <v>86995</v>
      </c>
    </row>
    <row r="749">
      <c r="A749" s="13">
        <f>Github!J$860</f>
        <v>859</v>
      </c>
      <c r="B749" s="14" t="str">
        <f>HYPERLINK(CONCAT("http://leetcode.com/problems/",Github!C$860), Github!B$860)</f>
        <v>Buddy Strings</v>
      </c>
      <c r="C749" s="13">
        <f>Github!F$860</f>
        <v>1703</v>
      </c>
      <c r="D749" s="13">
        <f>Github!G$860</f>
        <v>1082</v>
      </c>
      <c r="E749" s="13">
        <f>Github!F$860+Github!G$860</f>
        <v>2785</v>
      </c>
      <c r="F749" s="15">
        <f t="shared" si="1"/>
        <v>1.57</v>
      </c>
      <c r="G749" s="13" t="str">
        <f>ROUND(Github!O$860, 2)&amp;"%"</f>
        <v>29.13%</v>
      </c>
      <c r="H749" s="13" t="str">
        <f>Github!H$860</f>
        <v>Algorithms</v>
      </c>
      <c r="I749" s="16" t="str">
        <f>SUBSTITUTE(Github!L$860, ";", ", ")</f>
        <v>Hash Table, String, </v>
      </c>
      <c r="J749" s="13" t="str">
        <f>Github!E$860</f>
        <v>Easy</v>
      </c>
      <c r="K749" s="13" t="str">
        <f>IF(TRIM(Github!D$860)="TRUE","FALSE","TRUE")</f>
        <v>TRUE</v>
      </c>
      <c r="L749" s="13" t="b">
        <f>Github!M$860</f>
        <v>1</v>
      </c>
      <c r="M749" s="13" t="b">
        <f>Github!N$860</f>
        <v>0</v>
      </c>
      <c r="N749" s="13">
        <f>Github!P$860</f>
        <v>140086</v>
      </c>
      <c r="O749" s="13">
        <f>Github!Q$860</f>
        <v>480838</v>
      </c>
    </row>
    <row r="750">
      <c r="A750" s="13">
        <f>Github!J$918</f>
        <v>917</v>
      </c>
      <c r="B750" s="14" t="str">
        <f>HYPERLINK(CONCAT("http://leetcode.com/problems/",Github!C$918), Github!B$918)</f>
        <v>Reverse Only Letters</v>
      </c>
      <c r="C750" s="13">
        <f>Github!F$918</f>
        <v>1704</v>
      </c>
      <c r="D750" s="13">
        <f>Github!G$918</f>
        <v>58</v>
      </c>
      <c r="E750" s="13">
        <f>Github!F$918+Github!G$918</f>
        <v>1762</v>
      </c>
      <c r="F750" s="15">
        <f t="shared" si="1"/>
        <v>29.38</v>
      </c>
      <c r="G750" s="13" t="str">
        <f>ROUND(Github!O$918, 2)&amp;"%"</f>
        <v>61.6%</v>
      </c>
      <c r="H750" s="13" t="str">
        <f>Github!H$918</f>
        <v>Algorithms</v>
      </c>
      <c r="I750" s="16" t="str">
        <f>SUBSTITUTE(Github!L$918, ";", ", ")</f>
        <v>Two Pointers, String, </v>
      </c>
      <c r="J750" s="13" t="str">
        <f>Github!E$918</f>
        <v>Easy</v>
      </c>
      <c r="K750" s="13" t="str">
        <f>IF(TRIM(Github!D$918)="TRUE","FALSE","TRUE")</f>
        <v>TRUE</v>
      </c>
      <c r="L750" s="13" t="b">
        <f>Github!M$918</f>
        <v>1</v>
      </c>
      <c r="M750" s="13" t="b">
        <f>Github!N$918</f>
        <v>0</v>
      </c>
      <c r="N750" s="13">
        <f>Github!P$918</f>
        <v>151063</v>
      </c>
      <c r="O750" s="13">
        <f>Github!Q$918</f>
        <v>245239</v>
      </c>
    </row>
    <row r="751">
      <c r="A751" s="13">
        <f>Github!J$1096</f>
        <v>1095</v>
      </c>
      <c r="B751" s="14" t="str">
        <f>HYPERLINK(CONCAT("http://leetcode.com/problems/",Github!C$1096), Github!B$1096)</f>
        <v>Find in Mountain Array</v>
      </c>
      <c r="C751" s="13">
        <f>Github!F$1096</f>
        <v>1715</v>
      </c>
      <c r="D751" s="13">
        <f>Github!G$1096</f>
        <v>68</v>
      </c>
      <c r="E751" s="13">
        <f>Github!F$1096+Github!G$1096</f>
        <v>1783</v>
      </c>
      <c r="F751" s="15">
        <f t="shared" si="1"/>
        <v>25.22</v>
      </c>
      <c r="G751" s="13" t="str">
        <f>ROUND(Github!O$1096, 2)&amp;"%"</f>
        <v>35.7%</v>
      </c>
      <c r="H751" s="13" t="str">
        <f>Github!H$1096</f>
        <v>Algorithms</v>
      </c>
      <c r="I751" s="16" t="str">
        <f>SUBSTITUTE(Github!L$1096, ";", ", ")</f>
        <v>Array, Binary Search, Interactive, </v>
      </c>
      <c r="J751" s="13" t="str">
        <f>Github!E$1096</f>
        <v>Hard</v>
      </c>
      <c r="K751" s="13" t="str">
        <f>IF(TRIM(Github!D$1096)="TRUE","FALSE","TRUE")</f>
        <v>TRUE</v>
      </c>
      <c r="L751" s="13" t="b">
        <f>Github!M$1096</f>
        <v>0</v>
      </c>
      <c r="M751" s="13" t="b">
        <f>Github!N$1096</f>
        <v>0</v>
      </c>
      <c r="N751" s="13">
        <f>Github!P$1096</f>
        <v>55234</v>
      </c>
      <c r="O751" s="13">
        <f>Github!Q$1096</f>
        <v>154734</v>
      </c>
    </row>
    <row r="752">
      <c r="A752" s="13">
        <f>Github!J$1335</f>
        <v>1334</v>
      </c>
      <c r="B752" s="14" t="str">
        <f>HYPERLINK(CONCAT("http://leetcode.com/problems/",Github!C$1335), Github!B$1335)</f>
        <v>Find the City With the Smallest Number of Neighbors at a Threshold Distance</v>
      </c>
      <c r="C752" s="13">
        <f>Github!F$1335</f>
        <v>1721</v>
      </c>
      <c r="D752" s="13">
        <f>Github!G$1335</f>
        <v>70</v>
      </c>
      <c r="E752" s="13">
        <f>Github!F$1335+Github!G$1335</f>
        <v>1791</v>
      </c>
      <c r="F752" s="15">
        <f t="shared" si="1"/>
        <v>24.59</v>
      </c>
      <c r="G752" s="13" t="str">
        <f>ROUND(Github!O$1335, 2)&amp;"%"</f>
        <v>53.53%</v>
      </c>
      <c r="H752" s="13" t="str">
        <f>Github!H$1335</f>
        <v>Algorithms</v>
      </c>
      <c r="I752" s="16" t="str">
        <f>SUBSTITUTE(Github!L$1335, ";", ", ")</f>
        <v>Dynamic Programming, Graph, Shortest Path, </v>
      </c>
      <c r="J752" s="13" t="str">
        <f>Github!E$1335</f>
        <v>Medium</v>
      </c>
      <c r="K752" s="13" t="str">
        <f>IF(TRIM(Github!D$1335)="TRUE","FALSE","TRUE")</f>
        <v>TRUE</v>
      </c>
      <c r="L752" s="13" t="b">
        <f>Github!M$1335</f>
        <v>0</v>
      </c>
      <c r="M752" s="13" t="b">
        <f>Github!N$1335</f>
        <v>0</v>
      </c>
      <c r="N752" s="13">
        <f>Github!P$1335</f>
        <v>55085</v>
      </c>
      <c r="O752" s="13">
        <f>Github!Q$1335</f>
        <v>102901</v>
      </c>
    </row>
    <row r="753">
      <c r="A753" s="13">
        <f>Github!J$990</f>
        <v>989</v>
      </c>
      <c r="B753" s="14" t="str">
        <f>HYPERLINK(CONCAT("http://leetcode.com/problems/",Github!C$990), Github!B$990)</f>
        <v>Add to Array-Form of Integer</v>
      </c>
      <c r="C753" s="13">
        <f>Github!F$990</f>
        <v>1712</v>
      </c>
      <c r="D753" s="13">
        <f>Github!G$990</f>
        <v>166</v>
      </c>
      <c r="E753" s="13">
        <f>Github!F$990+Github!G$990</f>
        <v>1878</v>
      </c>
      <c r="F753" s="15">
        <f t="shared" si="1"/>
        <v>10.31</v>
      </c>
      <c r="G753" s="13" t="str">
        <f>ROUND(Github!O$990, 2)&amp;"%"</f>
        <v>45.49%</v>
      </c>
      <c r="H753" s="13" t="str">
        <f>Github!H$990</f>
        <v>Algorithms</v>
      </c>
      <c r="I753" s="16" t="str">
        <f>SUBSTITUTE(Github!L$990, ";", ", ")</f>
        <v>Array, Math, </v>
      </c>
      <c r="J753" s="13" t="str">
        <f>Github!E$990</f>
        <v>Easy</v>
      </c>
      <c r="K753" s="13" t="str">
        <f>IF(TRIM(Github!D$990)="TRUE","FALSE","TRUE")</f>
        <v>TRUE</v>
      </c>
      <c r="L753" s="13" t="b">
        <f>Github!M$990</f>
        <v>1</v>
      </c>
      <c r="M753" s="13" t="b">
        <f>Github!N$990</f>
        <v>0</v>
      </c>
      <c r="N753" s="13">
        <f>Github!P$990</f>
        <v>139477</v>
      </c>
      <c r="O753" s="13">
        <f>Github!Q$990</f>
        <v>306600</v>
      </c>
    </row>
    <row r="754">
      <c r="A754" s="13">
        <f>Github!J$1026</f>
        <v>1025</v>
      </c>
      <c r="B754" s="14" t="str">
        <f>HYPERLINK(CONCAT("http://leetcode.com/problems/",Github!C$1026), Github!B$1026)</f>
        <v>Divisor Game</v>
      </c>
      <c r="C754" s="13">
        <f>Github!F$1026</f>
        <v>1700</v>
      </c>
      <c r="D754" s="13">
        <f>Github!G$1026</f>
        <v>3591</v>
      </c>
      <c r="E754" s="13">
        <f>Github!F$1026+Github!G$1026</f>
        <v>5291</v>
      </c>
      <c r="F754" s="15">
        <f t="shared" si="1"/>
        <v>0.47</v>
      </c>
      <c r="G754" s="13" t="str">
        <f>ROUND(Github!O$1026, 2)&amp;"%"</f>
        <v>67.28%</v>
      </c>
      <c r="H754" s="13" t="str">
        <f>Github!H$1026</f>
        <v>Algorithms</v>
      </c>
      <c r="I754" s="16" t="str">
        <f>SUBSTITUTE(Github!L$1026, ";", ", ")</f>
        <v>Math, Dynamic Programming, Brainteaser, Game Theory, </v>
      </c>
      <c r="J754" s="13" t="str">
        <f>Github!E$1026</f>
        <v>Easy</v>
      </c>
      <c r="K754" s="13" t="str">
        <f>IF(TRIM(Github!D$1026)="TRUE","FALSE","TRUE")</f>
        <v>TRUE</v>
      </c>
      <c r="L754" s="13" t="b">
        <f>Github!M$1026</f>
        <v>0</v>
      </c>
      <c r="M754" s="13" t="b">
        <f>Github!N$1026</f>
        <v>0</v>
      </c>
      <c r="N754" s="13">
        <f>Github!P$1026</f>
        <v>187489</v>
      </c>
      <c r="O754" s="13">
        <f>Github!Q$1026</f>
        <v>278662</v>
      </c>
    </row>
    <row r="755">
      <c r="A755" s="13">
        <f>Github!J$1360</f>
        <v>1359</v>
      </c>
      <c r="B755" s="14" t="str">
        <f>HYPERLINK(CONCAT("http://leetcode.com/problems/",Github!C$1360), Github!B$1360)</f>
        <v>Count All Valid Pickup and Delivery Options</v>
      </c>
      <c r="C755" s="13">
        <f>Github!F$1360</f>
        <v>1682</v>
      </c>
      <c r="D755" s="13">
        <f>Github!G$1360</f>
        <v>150</v>
      </c>
      <c r="E755" s="13">
        <f>Github!F$1360+Github!G$1360</f>
        <v>1832</v>
      </c>
      <c r="F755" s="15">
        <f t="shared" si="1"/>
        <v>11.21</v>
      </c>
      <c r="G755" s="13" t="str">
        <f>ROUND(Github!O$1360, 2)&amp;"%"</f>
        <v>62.87%</v>
      </c>
      <c r="H755" s="13" t="str">
        <f>Github!H$1360</f>
        <v>Algorithms</v>
      </c>
      <c r="I755" s="16" t="str">
        <f>SUBSTITUTE(Github!L$1360, ";", ", ")</f>
        <v>Math, Dynamic Programming, Combinatorics, </v>
      </c>
      <c r="J755" s="13" t="str">
        <f>Github!E$1360</f>
        <v>Hard</v>
      </c>
      <c r="K755" s="13" t="str">
        <f>IF(TRIM(Github!D$1360)="TRUE","FALSE","TRUE")</f>
        <v>TRUE</v>
      </c>
      <c r="L755" s="13" t="b">
        <f>Github!M$1360</f>
        <v>1</v>
      </c>
      <c r="M755" s="13" t="b">
        <f>Github!N$1360</f>
        <v>0</v>
      </c>
      <c r="N755" s="13">
        <f>Github!P$1360</f>
        <v>57155</v>
      </c>
      <c r="O755" s="13">
        <f>Github!Q$1360</f>
        <v>90908</v>
      </c>
    </row>
    <row r="756">
      <c r="A756" s="13">
        <f>Github!J$1664</f>
        <v>1663</v>
      </c>
      <c r="B756" s="14" t="str">
        <f>HYPERLINK(CONCAT("http://leetcode.com/problems/",Github!C$1664), Github!B$1664)</f>
        <v>Smallest String With A Given Numeric Value</v>
      </c>
      <c r="C756" s="13">
        <f>Github!F$1664</f>
        <v>1683</v>
      </c>
      <c r="D756" s="13">
        <f>Github!G$1664</f>
        <v>53</v>
      </c>
      <c r="E756" s="13">
        <f>Github!F$1664+Github!G$1664</f>
        <v>1736</v>
      </c>
      <c r="F756" s="15">
        <f t="shared" si="1"/>
        <v>31.75</v>
      </c>
      <c r="G756" s="13" t="str">
        <f>ROUND(Github!O$1664, 2)&amp;"%"</f>
        <v>66.83%</v>
      </c>
      <c r="H756" s="13" t="str">
        <f>Github!H$1664</f>
        <v>Algorithms</v>
      </c>
      <c r="I756" s="16" t="str">
        <f>SUBSTITUTE(Github!L$1664, ";", ", ")</f>
        <v>String, Greedy, </v>
      </c>
      <c r="J756" s="13" t="str">
        <f>Github!E$1664</f>
        <v>Medium</v>
      </c>
      <c r="K756" s="13" t="str">
        <f>IF(TRIM(Github!D$1664)="TRUE","FALSE","TRUE")</f>
        <v>TRUE</v>
      </c>
      <c r="L756" s="13" t="b">
        <f>Github!M$1664</f>
        <v>1</v>
      </c>
      <c r="M756" s="13" t="b">
        <f>Github!N$1664</f>
        <v>0</v>
      </c>
      <c r="N756" s="13">
        <f>Github!P$1664</f>
        <v>85744</v>
      </c>
      <c r="O756" s="13">
        <f>Github!Q$1664</f>
        <v>128296</v>
      </c>
    </row>
    <row r="757">
      <c r="A757" s="13">
        <f>Github!J$285</f>
        <v>284</v>
      </c>
      <c r="B757" s="14" t="str">
        <f>HYPERLINK(CONCAT("http://leetcode.com/problems/",Github!C$285), Github!B$285)</f>
        <v>Peeking Iterator</v>
      </c>
      <c r="C757" s="13">
        <f>Github!F$285</f>
        <v>1681</v>
      </c>
      <c r="D757" s="13">
        <f>Github!G$285</f>
        <v>975</v>
      </c>
      <c r="E757" s="13">
        <f>Github!F$285+Github!G$285</f>
        <v>2656</v>
      </c>
      <c r="F757" s="15">
        <f t="shared" si="1"/>
        <v>1.72</v>
      </c>
      <c r="G757" s="13" t="str">
        <f>ROUND(Github!O$285, 2)&amp;"%"</f>
        <v>58.41%</v>
      </c>
      <c r="H757" s="13" t="str">
        <f>Github!H$285</f>
        <v>Algorithms</v>
      </c>
      <c r="I757" s="16" t="str">
        <f>SUBSTITUTE(Github!L$285, ";", ", ")</f>
        <v>Array, Design, Iterator, </v>
      </c>
      <c r="J757" s="13" t="str">
        <f>Github!E$285</f>
        <v>Medium</v>
      </c>
      <c r="K757" s="13" t="str">
        <f>IF(TRIM(Github!D$285)="TRUE","FALSE","TRUE")</f>
        <v>TRUE</v>
      </c>
      <c r="L757" s="13" t="b">
        <f>Github!M$285</f>
        <v>1</v>
      </c>
      <c r="M757" s="13" t="b">
        <f>Github!N$285</f>
        <v>0</v>
      </c>
      <c r="N757" s="13">
        <f>Github!P$285</f>
        <v>202148</v>
      </c>
      <c r="O757" s="13">
        <f>Github!Q$285</f>
        <v>346092</v>
      </c>
    </row>
    <row r="758">
      <c r="A758" s="13">
        <f>Github!J$1927</f>
        <v>1926</v>
      </c>
      <c r="B758" s="14" t="str">
        <f>HYPERLINK(CONCAT("http://leetcode.com/problems/",Github!C$1927), Github!B$1927)</f>
        <v>Nearest Exit from Entrance in Maze</v>
      </c>
      <c r="C758" s="13">
        <f>Github!F$1927</f>
        <v>1682</v>
      </c>
      <c r="D758" s="13">
        <f>Github!G$1927</f>
        <v>60</v>
      </c>
      <c r="E758" s="13">
        <f>Github!F$1927+Github!G$1927</f>
        <v>1742</v>
      </c>
      <c r="F758" s="15">
        <f t="shared" si="1"/>
        <v>28.03</v>
      </c>
      <c r="G758" s="13" t="str">
        <f>ROUND(Github!O$1927, 2)&amp;"%"</f>
        <v>48.95%</v>
      </c>
      <c r="H758" s="13" t="str">
        <f>Github!H$1927</f>
        <v>Algorithms</v>
      </c>
      <c r="I758" s="16" t="str">
        <f>SUBSTITUTE(Github!L$1927, ";", ", ")</f>
        <v>Array, Breadth-First Search, Matrix, </v>
      </c>
      <c r="J758" s="13" t="str">
        <f>Github!E$1927</f>
        <v>Medium</v>
      </c>
      <c r="K758" s="13" t="str">
        <f>IF(TRIM(Github!D$1927)="TRUE","FALSE","TRUE")</f>
        <v>TRUE</v>
      </c>
      <c r="L758" s="13" t="b">
        <f>Github!M$1927</f>
        <v>1</v>
      </c>
      <c r="M758" s="13" t="b">
        <f>Github!N$1927</f>
        <v>0</v>
      </c>
      <c r="N758" s="13">
        <f>Github!P$1927</f>
        <v>72366</v>
      </c>
      <c r="O758" s="13">
        <f>Github!Q$1927</f>
        <v>147849</v>
      </c>
    </row>
    <row r="759">
      <c r="A759" s="13">
        <f>Github!J$976</f>
        <v>975</v>
      </c>
      <c r="B759" s="14" t="str">
        <f>HYPERLINK(CONCAT("http://leetcode.com/problems/",Github!C$976), Github!B$976)</f>
        <v>Odd Even Jump</v>
      </c>
      <c r="C759" s="13">
        <f>Github!F$976</f>
        <v>1678</v>
      </c>
      <c r="D759" s="13">
        <f>Github!G$976</f>
        <v>435</v>
      </c>
      <c r="E759" s="13">
        <f>Github!F$976+Github!G$976</f>
        <v>2113</v>
      </c>
      <c r="F759" s="15">
        <f t="shared" si="1"/>
        <v>3.86</v>
      </c>
      <c r="G759" s="13" t="str">
        <f>ROUND(Github!O$976, 2)&amp;"%"</f>
        <v>38.87%</v>
      </c>
      <c r="H759" s="13" t="str">
        <f>Github!H$976</f>
        <v>Algorithms</v>
      </c>
      <c r="I759" s="16" t="str">
        <f>SUBSTITUTE(Github!L$976, ";", ", ")</f>
        <v>Array, Dynamic Programming, Stack, Monotonic Stack, Ordered Set, </v>
      </c>
      <c r="J759" s="13" t="str">
        <f>Github!E$976</f>
        <v>Hard</v>
      </c>
      <c r="K759" s="13" t="str">
        <f>IF(TRIM(Github!D$976)="TRUE","FALSE","TRUE")</f>
        <v>TRUE</v>
      </c>
      <c r="L759" s="13" t="b">
        <f>Github!M$976</f>
        <v>0</v>
      </c>
      <c r="M759" s="13" t="b">
        <f>Github!N$976</f>
        <v>0</v>
      </c>
      <c r="N759" s="13">
        <f>Github!P$976</f>
        <v>70287</v>
      </c>
      <c r="O759" s="13">
        <f>Github!Q$976</f>
        <v>180838</v>
      </c>
    </row>
    <row r="760">
      <c r="A760" s="13">
        <f>Github!J$760</f>
        <v>759</v>
      </c>
      <c r="B760" s="14" t="str">
        <f>HYPERLINK(CONCAT("http://leetcode.com/problems/",Github!C$760), Github!B$760)</f>
        <v>Employee Free Time</v>
      </c>
      <c r="C760" s="13">
        <f>Github!F$760</f>
        <v>1675</v>
      </c>
      <c r="D760" s="13">
        <f>Github!G$760</f>
        <v>114</v>
      </c>
      <c r="E760" s="13">
        <f>Github!F$760+Github!G$760</f>
        <v>1789</v>
      </c>
      <c r="F760" s="15">
        <f t="shared" si="1"/>
        <v>14.69</v>
      </c>
      <c r="G760" s="13" t="str">
        <f>ROUND(Github!O$760, 2)&amp;"%"</f>
        <v>71.79%</v>
      </c>
      <c r="H760" s="13" t="str">
        <f>Github!H$760</f>
        <v>Algorithms</v>
      </c>
      <c r="I760" s="16" t="str">
        <f>SUBSTITUTE(Github!L$760, ";", ", ")</f>
        <v>Array, Sorting, Heap (Priority Queue), </v>
      </c>
      <c r="J760" s="13" t="str">
        <f>Github!E$760</f>
        <v>Hard</v>
      </c>
      <c r="K760" s="13" t="str">
        <f>IF(TRIM(Github!D$760)="TRUE","FALSE","TRUE")</f>
        <v>FALSE</v>
      </c>
      <c r="L760" s="13" t="b">
        <f>Github!M$760</f>
        <v>0</v>
      </c>
      <c r="M760" s="13" t="b">
        <f>Github!N$760</f>
        <v>0</v>
      </c>
      <c r="N760" s="13">
        <f>Github!P$760</f>
        <v>127811</v>
      </c>
      <c r="O760" s="13">
        <f>Github!Q$760</f>
        <v>178046</v>
      </c>
    </row>
    <row r="761">
      <c r="A761" s="13">
        <f>Github!J$1499</f>
        <v>1498</v>
      </c>
      <c r="B761" s="14" t="str">
        <f>HYPERLINK(CONCAT("http://leetcode.com/problems/",Github!C$1499), Github!B$1499)</f>
        <v>Number of Subsequences That Satisfy the Given Sum Condition</v>
      </c>
      <c r="C761" s="13">
        <f>Github!F$1499</f>
        <v>1680</v>
      </c>
      <c r="D761" s="13">
        <f>Github!G$1499</f>
        <v>155</v>
      </c>
      <c r="E761" s="13">
        <f>Github!F$1499+Github!G$1499</f>
        <v>1835</v>
      </c>
      <c r="F761" s="15">
        <f t="shared" si="1"/>
        <v>10.84</v>
      </c>
      <c r="G761" s="13" t="str">
        <f>ROUND(Github!O$1499, 2)&amp;"%"</f>
        <v>37.81%</v>
      </c>
      <c r="H761" s="13" t="str">
        <f>Github!H$1499</f>
        <v>Algorithms</v>
      </c>
      <c r="I761" s="16" t="str">
        <f>SUBSTITUTE(Github!L$1499, ";", ", ")</f>
        <v>Array, Two Pointers, Binary Search, Sorting, </v>
      </c>
      <c r="J761" s="13" t="str">
        <f>Github!E$1499</f>
        <v>Medium</v>
      </c>
      <c r="K761" s="13" t="str">
        <f>IF(TRIM(Github!D$1499)="TRUE","FALSE","TRUE")</f>
        <v>TRUE</v>
      </c>
      <c r="L761" s="13" t="b">
        <f>Github!M$1499</f>
        <v>0</v>
      </c>
      <c r="M761" s="13" t="b">
        <f>Github!N$1499</f>
        <v>0</v>
      </c>
      <c r="N761" s="13">
        <f>Github!P$1499</f>
        <v>37861</v>
      </c>
      <c r="O761" s="13">
        <f>Github!Q$1499</f>
        <v>100139</v>
      </c>
    </row>
    <row r="762">
      <c r="A762" s="13">
        <f>Github!J$1130</f>
        <v>1129</v>
      </c>
      <c r="B762" s="14" t="str">
        <f>HYPERLINK(CONCAT("http://leetcode.com/problems/",Github!C$1130), Github!B$1130)</f>
        <v>Shortest Path with Alternating Colors</v>
      </c>
      <c r="C762" s="13">
        <f>Github!F$1130</f>
        <v>1679</v>
      </c>
      <c r="D762" s="13">
        <f>Github!G$1130</f>
        <v>83</v>
      </c>
      <c r="E762" s="13">
        <f>Github!F$1130+Github!G$1130</f>
        <v>1762</v>
      </c>
      <c r="F762" s="15">
        <f t="shared" si="1"/>
        <v>20.23</v>
      </c>
      <c r="G762" s="13" t="str">
        <f>ROUND(Github!O$1130, 2)&amp;"%"</f>
        <v>42.95%</v>
      </c>
      <c r="H762" s="13" t="str">
        <f>Github!H$1130</f>
        <v>Algorithms</v>
      </c>
      <c r="I762" s="16" t="str">
        <f>SUBSTITUTE(Github!L$1130, ";", ", ")</f>
        <v>Breadth-First Search, Graph, </v>
      </c>
      <c r="J762" s="13" t="str">
        <f>Github!E$1130</f>
        <v>Medium</v>
      </c>
      <c r="K762" s="13" t="str">
        <f>IF(TRIM(Github!D$1130)="TRUE","FALSE","TRUE")</f>
        <v>TRUE</v>
      </c>
      <c r="L762" s="13" t="b">
        <f>Github!M$1130</f>
        <v>0</v>
      </c>
      <c r="M762" s="13" t="b">
        <f>Github!N$1130</f>
        <v>0</v>
      </c>
      <c r="N762" s="13">
        <f>Github!P$1130</f>
        <v>47507</v>
      </c>
      <c r="O762" s="13">
        <f>Github!Q$1130</f>
        <v>110600</v>
      </c>
    </row>
    <row r="763">
      <c r="A763" s="13">
        <f>Github!J$179</f>
        <v>178</v>
      </c>
      <c r="B763" s="14" t="str">
        <f>HYPERLINK(CONCAT("http://leetcode.com/problems/",Github!C$179), Github!B$179)</f>
        <v>Rank Scores</v>
      </c>
      <c r="C763" s="13">
        <f>Github!F$179</f>
        <v>1667</v>
      </c>
      <c r="D763" s="13">
        <f>Github!G$179</f>
        <v>228</v>
      </c>
      <c r="E763" s="13">
        <f>Github!F$179+Github!G$179</f>
        <v>1895</v>
      </c>
      <c r="F763" s="15">
        <f t="shared" si="1"/>
        <v>7.31</v>
      </c>
      <c r="G763" s="13" t="str">
        <f>ROUND(Github!O$179, 2)&amp;"%"</f>
        <v>60.17%</v>
      </c>
      <c r="H763" s="13" t="str">
        <f>Github!H$179</f>
        <v>Database</v>
      </c>
      <c r="I763" s="16" t="str">
        <f>SUBSTITUTE(Github!L$179, ";", ", ")</f>
        <v>Database, </v>
      </c>
      <c r="J763" s="13" t="str">
        <f>Github!E$179</f>
        <v>Medium</v>
      </c>
      <c r="K763" s="13" t="str">
        <f>IF(TRIM(Github!D$179)="TRUE","FALSE","TRUE")</f>
        <v>TRUE</v>
      </c>
      <c r="L763" s="13" t="b">
        <f>Github!M$179</f>
        <v>1</v>
      </c>
      <c r="M763" s="13" t="b">
        <f>Github!N$179</f>
        <v>0</v>
      </c>
      <c r="N763" s="13">
        <f>Github!P$179</f>
        <v>273790</v>
      </c>
      <c r="O763" s="13">
        <f>Github!Q$179</f>
        <v>455007</v>
      </c>
    </row>
    <row r="764">
      <c r="A764" s="13">
        <f>Github!J$1033</f>
        <v>1032</v>
      </c>
      <c r="B764" s="14" t="str">
        <f>HYPERLINK(CONCAT("http://leetcode.com/problems/",Github!C$1033), Github!B$1033)</f>
        <v>Stream of Characters</v>
      </c>
      <c r="C764" s="13">
        <f>Github!F$1033</f>
        <v>1652</v>
      </c>
      <c r="D764" s="13">
        <f>Github!G$1033</f>
        <v>176</v>
      </c>
      <c r="E764" s="13">
        <f>Github!F$1033+Github!G$1033</f>
        <v>1828</v>
      </c>
      <c r="F764" s="15">
        <f t="shared" si="1"/>
        <v>9.39</v>
      </c>
      <c r="G764" s="13" t="str">
        <f>ROUND(Github!O$1033, 2)&amp;"%"</f>
        <v>51.59%</v>
      </c>
      <c r="H764" s="13" t="str">
        <f>Github!H$1033</f>
        <v>Algorithms</v>
      </c>
      <c r="I764" s="16" t="str">
        <f>SUBSTITUTE(Github!L$1033, ";", ", ")</f>
        <v>Array, String, Design, Trie, Data Stream, </v>
      </c>
      <c r="J764" s="13" t="str">
        <f>Github!E$1033</f>
        <v>Hard</v>
      </c>
      <c r="K764" s="13" t="str">
        <f>IF(TRIM(Github!D$1033)="TRUE","FALSE","TRUE")</f>
        <v>TRUE</v>
      </c>
      <c r="L764" s="13" t="b">
        <f>Github!M$1033</f>
        <v>1</v>
      </c>
      <c r="M764" s="13" t="b">
        <f>Github!N$1033</f>
        <v>0</v>
      </c>
      <c r="N764" s="13">
        <f>Github!P$1033</f>
        <v>80391</v>
      </c>
      <c r="O764" s="13">
        <f>Github!Q$1033</f>
        <v>155840</v>
      </c>
    </row>
    <row r="765">
      <c r="A765" s="13">
        <f>Github!J$530</f>
        <v>529</v>
      </c>
      <c r="B765" s="14" t="str">
        <f>HYPERLINK(CONCAT("http://leetcode.com/problems/",Github!C$530), Github!B$530)</f>
        <v>Minesweeper</v>
      </c>
      <c r="C765" s="13">
        <f>Github!F$530</f>
        <v>1657</v>
      </c>
      <c r="D765" s="13">
        <f>Github!G$530</f>
        <v>951</v>
      </c>
      <c r="E765" s="13">
        <f>Github!F$530+Github!G$530</f>
        <v>2608</v>
      </c>
      <c r="F765" s="15">
        <f t="shared" si="1"/>
        <v>1.74</v>
      </c>
      <c r="G765" s="13" t="str">
        <f>ROUND(Github!O$530, 2)&amp;"%"</f>
        <v>65.61%</v>
      </c>
      <c r="H765" s="13" t="str">
        <f>Github!H$530</f>
        <v>Algorithms</v>
      </c>
      <c r="I765" s="16" t="str">
        <f>SUBSTITUTE(Github!L$530, ";", ", ")</f>
        <v>Array, Depth-First Search, Breadth-First Search, Matrix, </v>
      </c>
      <c r="J765" s="13" t="str">
        <f>Github!E$530</f>
        <v>Medium</v>
      </c>
      <c r="K765" s="13" t="str">
        <f>IF(TRIM(Github!D$530)="TRUE","FALSE","TRUE")</f>
        <v>TRUE</v>
      </c>
      <c r="L765" s="13" t="b">
        <f>Github!M$530</f>
        <v>0</v>
      </c>
      <c r="M765" s="13" t="b">
        <f>Github!N$530</f>
        <v>0</v>
      </c>
      <c r="N765" s="13">
        <f>Github!P$530</f>
        <v>131500</v>
      </c>
      <c r="O765" s="13">
        <f>Github!Q$530</f>
        <v>200441</v>
      </c>
    </row>
    <row r="766">
      <c r="A766" s="13">
        <f>Github!J$2036</f>
        <v>2035</v>
      </c>
      <c r="B766" s="14" t="str">
        <f>HYPERLINK(CONCAT("http://leetcode.com/problems/",Github!C$2036), Github!B$2036)</f>
        <v>Partition Array Into Two Arrays to Minimize Sum Difference</v>
      </c>
      <c r="C766" s="13">
        <f>Github!F$2036</f>
        <v>1670</v>
      </c>
      <c r="D766" s="13">
        <f>Github!G$2036</f>
        <v>94</v>
      </c>
      <c r="E766" s="13">
        <f>Github!F$2036+Github!G$2036</f>
        <v>1764</v>
      </c>
      <c r="F766" s="15">
        <f t="shared" si="1"/>
        <v>17.77</v>
      </c>
      <c r="G766" s="13" t="str">
        <f>ROUND(Github!O$2036, 2)&amp;"%"</f>
        <v>18.55%</v>
      </c>
      <c r="H766" s="13" t="str">
        <f>Github!H$2036</f>
        <v>Algorithms</v>
      </c>
      <c r="I766" s="16" t="str">
        <f>SUBSTITUTE(Github!L$2036, ";", ", ")</f>
        <v>Array, Two Pointers, Binary Search, Dynamic Programming, Bit Manipulation, Ordered Set, Bitmask, </v>
      </c>
      <c r="J766" s="13" t="str">
        <f>Github!E$2036</f>
        <v>Hard</v>
      </c>
      <c r="K766" s="13" t="str">
        <f>IF(TRIM(Github!D$2036)="TRUE","FALSE","TRUE")</f>
        <v>TRUE</v>
      </c>
      <c r="L766" s="13" t="b">
        <f>Github!M$2036</f>
        <v>0</v>
      </c>
      <c r="M766" s="13" t="b">
        <f>Github!N$2036</f>
        <v>0</v>
      </c>
      <c r="N766" s="13">
        <f>Github!P$2036</f>
        <v>11636</v>
      </c>
      <c r="O766" s="13">
        <f>Github!Q$2036</f>
        <v>62750</v>
      </c>
    </row>
    <row r="767">
      <c r="A767" s="13">
        <f>Github!J$821</f>
        <v>820</v>
      </c>
      <c r="B767" s="14" t="str">
        <f>HYPERLINK(CONCAT("http://leetcode.com/problems/",Github!C$821), Github!B$821)</f>
        <v>Short Encoding of Words</v>
      </c>
      <c r="C767" s="13">
        <f>Github!F$821</f>
        <v>1640</v>
      </c>
      <c r="D767" s="13">
        <f>Github!G$821</f>
        <v>629</v>
      </c>
      <c r="E767" s="13">
        <f>Github!F$821+Github!G$821</f>
        <v>2269</v>
      </c>
      <c r="F767" s="15">
        <f t="shared" si="1"/>
        <v>2.61</v>
      </c>
      <c r="G767" s="13" t="str">
        <f>ROUND(Github!O$821, 2)&amp;"%"</f>
        <v>60.62%</v>
      </c>
      <c r="H767" s="13" t="str">
        <f>Github!H$821</f>
        <v>Algorithms</v>
      </c>
      <c r="I767" s="16" t="str">
        <f>SUBSTITUTE(Github!L$821, ";", ", ")</f>
        <v>Array, Hash Table, String, Trie, </v>
      </c>
      <c r="J767" s="13" t="str">
        <f>Github!E$821</f>
        <v>Medium</v>
      </c>
      <c r="K767" s="13" t="str">
        <f>IF(TRIM(Github!D$821)="TRUE","FALSE","TRUE")</f>
        <v>TRUE</v>
      </c>
      <c r="L767" s="13" t="b">
        <f>Github!M$821</f>
        <v>1</v>
      </c>
      <c r="M767" s="13" t="b">
        <f>Github!N$821</f>
        <v>0</v>
      </c>
      <c r="N767" s="13">
        <f>Github!P$821</f>
        <v>90682</v>
      </c>
      <c r="O767" s="13">
        <f>Github!Q$821</f>
        <v>149598</v>
      </c>
    </row>
    <row r="768">
      <c r="A768" s="13">
        <f>Github!J$721</f>
        <v>720</v>
      </c>
      <c r="B768" s="14" t="str">
        <f>HYPERLINK(CONCAT("http://leetcode.com/problems/",Github!C$721), Github!B$721)</f>
        <v>Longest Word in Dictionary</v>
      </c>
      <c r="C768" s="13">
        <f>Github!F$721</f>
        <v>1638</v>
      </c>
      <c r="D768" s="13">
        <f>Github!G$721</f>
        <v>1407</v>
      </c>
      <c r="E768" s="13">
        <f>Github!F$721+Github!G$721</f>
        <v>3045</v>
      </c>
      <c r="F768" s="15">
        <f t="shared" si="1"/>
        <v>1.16</v>
      </c>
      <c r="G768" s="13" t="str">
        <f>ROUND(Github!O$721, 2)&amp;"%"</f>
        <v>51.87%</v>
      </c>
      <c r="H768" s="13" t="str">
        <f>Github!H$721</f>
        <v>Algorithms</v>
      </c>
      <c r="I768" s="16" t="str">
        <f>SUBSTITUTE(Github!L$721, ";", ", ")</f>
        <v>Array, Hash Table, String, Trie, Sorting, </v>
      </c>
      <c r="J768" s="13" t="str">
        <f>Github!E$721</f>
        <v>Medium</v>
      </c>
      <c r="K768" s="13" t="str">
        <f>IF(TRIM(Github!D$721)="TRUE","FALSE","TRUE")</f>
        <v>TRUE</v>
      </c>
      <c r="L768" s="13" t="b">
        <f>Github!M$721</f>
        <v>1</v>
      </c>
      <c r="M768" s="13" t="b">
        <f>Github!N$721</f>
        <v>0</v>
      </c>
      <c r="N768" s="13">
        <f>Github!P$721</f>
        <v>131684</v>
      </c>
      <c r="O768" s="13">
        <f>Github!Q$721</f>
        <v>253860</v>
      </c>
    </row>
    <row r="769">
      <c r="A769" s="13">
        <f>Github!J$476</f>
        <v>475</v>
      </c>
      <c r="B769" s="14" t="str">
        <f>HYPERLINK(CONCAT("http://leetcode.com/problems/",Github!C$476), Github!B$476)</f>
        <v>Heaters</v>
      </c>
      <c r="C769" s="13">
        <f>Github!F$476</f>
        <v>1634</v>
      </c>
      <c r="D769" s="13">
        <f>Github!G$476</f>
        <v>1086</v>
      </c>
      <c r="E769" s="13">
        <f>Github!F$476+Github!G$476</f>
        <v>2720</v>
      </c>
      <c r="F769" s="15">
        <f t="shared" si="1"/>
        <v>1.5</v>
      </c>
      <c r="G769" s="13" t="str">
        <f>ROUND(Github!O$476, 2)&amp;"%"</f>
        <v>36.22%</v>
      </c>
      <c r="H769" s="13" t="str">
        <f>Github!H$476</f>
        <v>Algorithms</v>
      </c>
      <c r="I769" s="16" t="str">
        <f>SUBSTITUTE(Github!L$476, ";", ", ")</f>
        <v>Array, Two Pointers, Binary Search, Sorting, </v>
      </c>
      <c r="J769" s="13" t="str">
        <f>Github!E$476</f>
        <v>Medium</v>
      </c>
      <c r="K769" s="13" t="str">
        <f>IF(TRIM(Github!D$476)="TRUE","FALSE","TRUE")</f>
        <v>TRUE</v>
      </c>
      <c r="L769" s="13" t="b">
        <f>Github!M$476</f>
        <v>0</v>
      </c>
      <c r="M769" s="13" t="b">
        <f>Github!N$476</f>
        <v>0</v>
      </c>
      <c r="N769" s="13">
        <f>Github!P$476</f>
        <v>97664</v>
      </c>
      <c r="O769" s="13">
        <f>Github!Q$476</f>
        <v>269645</v>
      </c>
    </row>
    <row r="770">
      <c r="A770" s="13">
        <f>Github!J$731</f>
        <v>730</v>
      </c>
      <c r="B770" s="14" t="str">
        <f>HYPERLINK(CONCAT("http://leetcode.com/problems/",Github!C$731), Github!B$731)</f>
        <v>Count Different Palindromic Subsequences</v>
      </c>
      <c r="C770" s="13">
        <f>Github!F$731</f>
        <v>1630</v>
      </c>
      <c r="D770" s="13">
        <f>Github!G$731</f>
        <v>85</v>
      </c>
      <c r="E770" s="13">
        <f>Github!F$731+Github!G$731</f>
        <v>1715</v>
      </c>
      <c r="F770" s="15">
        <f t="shared" si="1"/>
        <v>19.18</v>
      </c>
      <c r="G770" s="13" t="str">
        <f>ROUND(Github!O$731, 2)&amp;"%"</f>
        <v>44.68%</v>
      </c>
      <c r="H770" s="13" t="str">
        <f>Github!H$731</f>
        <v>Algorithms</v>
      </c>
      <c r="I770" s="16" t="str">
        <f>SUBSTITUTE(Github!L$731, ";", ", ")</f>
        <v>String, Dynamic Programming, </v>
      </c>
      <c r="J770" s="13" t="str">
        <f>Github!E$731</f>
        <v>Hard</v>
      </c>
      <c r="K770" s="13" t="str">
        <f>IF(TRIM(Github!D$731)="TRUE","FALSE","TRUE")</f>
        <v>TRUE</v>
      </c>
      <c r="L770" s="13" t="b">
        <f>Github!M$731</f>
        <v>0</v>
      </c>
      <c r="M770" s="13" t="b">
        <f>Github!N$731</f>
        <v>0</v>
      </c>
      <c r="N770" s="13">
        <f>Github!P$731</f>
        <v>31375</v>
      </c>
      <c r="O770" s="13">
        <f>Github!Q$731</f>
        <v>70227</v>
      </c>
    </row>
    <row r="771">
      <c r="A771" s="13">
        <f>Github!J$1348</f>
        <v>1347</v>
      </c>
      <c r="B771" s="14" t="str">
        <f>HYPERLINK(CONCAT("http://leetcode.com/problems/",Github!C$1348), Github!B$1348)</f>
        <v>Minimum Number of Steps to Make Two Strings Anagram</v>
      </c>
      <c r="C771" s="13">
        <f>Github!F$1348</f>
        <v>1636</v>
      </c>
      <c r="D771" s="13">
        <f>Github!G$1348</f>
        <v>75</v>
      </c>
      <c r="E771" s="13">
        <f>Github!F$1348+Github!G$1348</f>
        <v>1711</v>
      </c>
      <c r="F771" s="15">
        <f t="shared" si="1"/>
        <v>21.81</v>
      </c>
      <c r="G771" s="13" t="str">
        <f>ROUND(Github!O$1348, 2)&amp;"%"</f>
        <v>77.59%</v>
      </c>
      <c r="H771" s="13" t="str">
        <f>Github!H$1348</f>
        <v>Algorithms</v>
      </c>
      <c r="I771" s="16" t="str">
        <f>SUBSTITUTE(Github!L$1348, ";", ", ")</f>
        <v>Hash Table, String, Counting, </v>
      </c>
      <c r="J771" s="13" t="str">
        <f>Github!E$1348</f>
        <v>Medium</v>
      </c>
      <c r="K771" s="13" t="str">
        <f>IF(TRIM(Github!D$1348)="TRUE","FALSE","TRUE")</f>
        <v>TRUE</v>
      </c>
      <c r="L771" s="13" t="b">
        <f>Github!M$1348</f>
        <v>0</v>
      </c>
      <c r="M771" s="13" t="b">
        <f>Github!N$1348</f>
        <v>0</v>
      </c>
      <c r="N771" s="13">
        <f>Github!P$1348</f>
        <v>119989</v>
      </c>
      <c r="O771" s="13">
        <f>Github!Q$1348</f>
        <v>154644</v>
      </c>
    </row>
    <row r="772">
      <c r="A772" s="13">
        <f>Github!J$889</f>
        <v>888</v>
      </c>
      <c r="B772" s="14" t="str">
        <f>HYPERLINK(CONCAT("http://leetcode.com/problems/",Github!C$889), Github!B$889)</f>
        <v>Fair Candy Swap</v>
      </c>
      <c r="C772" s="13">
        <f>Github!F$889</f>
        <v>1640</v>
      </c>
      <c r="D772" s="13">
        <f>Github!G$889</f>
        <v>299</v>
      </c>
      <c r="E772" s="13">
        <f>Github!F$889+Github!G$889</f>
        <v>1939</v>
      </c>
      <c r="F772" s="15">
        <f t="shared" si="1"/>
        <v>5.48</v>
      </c>
      <c r="G772" s="13" t="str">
        <f>ROUND(Github!O$889, 2)&amp;"%"</f>
        <v>60.61%</v>
      </c>
      <c r="H772" s="13" t="str">
        <f>Github!H$889</f>
        <v>Algorithms</v>
      </c>
      <c r="I772" s="16" t="str">
        <f>SUBSTITUTE(Github!L$889, ";", ", ")</f>
        <v>Array, Hash Table, Binary Search, Sorting, </v>
      </c>
      <c r="J772" s="13" t="str">
        <f>Github!E$889</f>
        <v>Easy</v>
      </c>
      <c r="K772" s="13" t="str">
        <f>IF(TRIM(Github!D$889)="TRUE","FALSE","TRUE")</f>
        <v>TRUE</v>
      </c>
      <c r="L772" s="13" t="b">
        <f>Github!M$889</f>
        <v>1</v>
      </c>
      <c r="M772" s="13" t="b">
        <f>Github!N$889</f>
        <v>0</v>
      </c>
      <c r="N772" s="13">
        <f>Github!P$889</f>
        <v>95745</v>
      </c>
      <c r="O772" s="13">
        <f>Github!Q$889</f>
        <v>157969</v>
      </c>
    </row>
    <row r="773">
      <c r="A773" s="13">
        <f>Github!J$1674</f>
        <v>1673</v>
      </c>
      <c r="B773" s="14" t="str">
        <f>HYPERLINK(CONCAT("http://leetcode.com/problems/",Github!C$1674), Github!B$1674)</f>
        <v>Find the Most Competitive Subsequence</v>
      </c>
      <c r="C773" s="13">
        <f>Github!F$1674</f>
        <v>1617</v>
      </c>
      <c r="D773" s="13">
        <f>Github!G$1674</f>
        <v>78</v>
      </c>
      <c r="E773" s="13">
        <f>Github!F$1674+Github!G$1674</f>
        <v>1695</v>
      </c>
      <c r="F773" s="15">
        <f t="shared" si="1"/>
        <v>20.73</v>
      </c>
      <c r="G773" s="13" t="str">
        <f>ROUND(Github!O$1674, 2)&amp;"%"</f>
        <v>49.28%</v>
      </c>
      <c r="H773" s="13" t="str">
        <f>Github!H$1674</f>
        <v>Algorithms</v>
      </c>
      <c r="I773" s="16" t="str">
        <f>SUBSTITUTE(Github!L$1674, ";", ", ")</f>
        <v>Array, Stack, Greedy, Monotonic Stack, </v>
      </c>
      <c r="J773" s="13" t="str">
        <f>Github!E$1674</f>
        <v>Medium</v>
      </c>
      <c r="K773" s="13" t="str">
        <f>IF(TRIM(Github!D$1674)="TRUE","FALSE","TRUE")</f>
        <v>TRUE</v>
      </c>
      <c r="L773" s="13" t="b">
        <f>Github!M$1674</f>
        <v>1</v>
      </c>
      <c r="M773" s="13" t="b">
        <f>Github!N$1674</f>
        <v>0</v>
      </c>
      <c r="N773" s="13">
        <f>Github!P$1674</f>
        <v>49485</v>
      </c>
      <c r="O773" s="13">
        <f>Github!Q$1674</f>
        <v>100422</v>
      </c>
    </row>
    <row r="774">
      <c r="A774" s="13">
        <f>Github!J$1532</f>
        <v>1531</v>
      </c>
      <c r="B774" s="14" t="str">
        <f>HYPERLINK(CONCAT("http://leetcode.com/problems/",Github!C$1532), Github!B$1532)</f>
        <v>String Compression II</v>
      </c>
      <c r="C774" s="13">
        <f>Github!F$1532</f>
        <v>1596</v>
      </c>
      <c r="D774" s="13">
        <f>Github!G$1532</f>
        <v>117</v>
      </c>
      <c r="E774" s="13">
        <f>Github!F$1532+Github!G$1532</f>
        <v>1713</v>
      </c>
      <c r="F774" s="15">
        <f t="shared" si="1"/>
        <v>13.64</v>
      </c>
      <c r="G774" s="13" t="str">
        <f>ROUND(Github!O$1532, 2)&amp;"%"</f>
        <v>49.77%</v>
      </c>
      <c r="H774" s="13" t="str">
        <f>Github!H$1532</f>
        <v>Algorithms</v>
      </c>
      <c r="I774" s="16" t="str">
        <f>SUBSTITUTE(Github!L$1532, ";", ", ")</f>
        <v>String, Dynamic Programming, </v>
      </c>
      <c r="J774" s="13" t="str">
        <f>Github!E$1532</f>
        <v>Hard</v>
      </c>
      <c r="K774" s="13" t="str">
        <f>IF(TRIM(Github!D$1532)="TRUE","FALSE","TRUE")</f>
        <v>TRUE</v>
      </c>
      <c r="L774" s="13" t="b">
        <f>Github!M$1532</f>
        <v>1</v>
      </c>
      <c r="M774" s="13" t="b">
        <f>Github!N$1532</f>
        <v>0</v>
      </c>
      <c r="N774" s="13">
        <f>Github!P$1532</f>
        <v>42359</v>
      </c>
      <c r="O774" s="13">
        <f>Github!Q$1532</f>
        <v>85112</v>
      </c>
    </row>
    <row r="775">
      <c r="A775" s="13">
        <f>Github!J$271</f>
        <v>270</v>
      </c>
      <c r="B775" s="14" t="str">
        <f>HYPERLINK(CONCAT("http://leetcode.com/problems/",Github!C$271), Github!B$271)</f>
        <v>Closest Binary Search Tree Value</v>
      </c>
      <c r="C775" s="13">
        <f>Github!F$271</f>
        <v>1600</v>
      </c>
      <c r="D775" s="13">
        <f>Github!G$271</f>
        <v>91</v>
      </c>
      <c r="E775" s="13">
        <f>Github!F$271+Github!G$271</f>
        <v>1691</v>
      </c>
      <c r="F775" s="15">
        <f t="shared" si="1"/>
        <v>17.58</v>
      </c>
      <c r="G775" s="13" t="str">
        <f>ROUND(Github!O$271, 2)&amp;"%"</f>
        <v>54.67%</v>
      </c>
      <c r="H775" s="13" t="str">
        <f>Github!H$271</f>
        <v>Algorithms</v>
      </c>
      <c r="I775" s="16" t="str">
        <f>SUBSTITUTE(Github!L$271, ";", ", ")</f>
        <v>Binary Search, Tree, Depth-First Search, Binary Search Tree, Binary Tree, </v>
      </c>
      <c r="J775" s="13" t="str">
        <f>Github!E$271</f>
        <v>Easy</v>
      </c>
      <c r="K775" s="13" t="str">
        <f>IF(TRIM(Github!D$271)="TRUE","FALSE","TRUE")</f>
        <v>FALSE</v>
      </c>
      <c r="L775" s="13" t="b">
        <f>Github!M$271</f>
        <v>1</v>
      </c>
      <c r="M775" s="13" t="b">
        <f>Github!N$271</f>
        <v>0</v>
      </c>
      <c r="N775" s="13">
        <f>Github!P$271</f>
        <v>276894</v>
      </c>
      <c r="O775" s="13">
        <f>Github!Q$271</f>
        <v>506495</v>
      </c>
    </row>
    <row r="776">
      <c r="A776" s="13">
        <f>Github!J$322</f>
        <v>321</v>
      </c>
      <c r="B776" s="14" t="str">
        <f>HYPERLINK(CONCAT("http://leetcode.com/problems/",Github!C$322), Github!B$322)</f>
        <v>Create Maximum Number</v>
      </c>
      <c r="C776" s="13">
        <f>Github!F$322</f>
        <v>1598</v>
      </c>
      <c r="D776" s="13">
        <f>Github!G$322</f>
        <v>331</v>
      </c>
      <c r="E776" s="13">
        <f>Github!F$322+Github!G$322</f>
        <v>1929</v>
      </c>
      <c r="F776" s="15">
        <f t="shared" si="1"/>
        <v>4.83</v>
      </c>
      <c r="G776" s="13" t="str">
        <f>ROUND(Github!O$322, 2)&amp;"%"</f>
        <v>28.86%</v>
      </c>
      <c r="H776" s="13" t="str">
        <f>Github!H$322</f>
        <v>Algorithms</v>
      </c>
      <c r="I776" s="16" t="str">
        <f>SUBSTITUTE(Github!L$322, ";", ", ")</f>
        <v>Stack, Greedy, Monotonic Stack, </v>
      </c>
      <c r="J776" s="13" t="str">
        <f>Github!E$322</f>
        <v>Hard</v>
      </c>
      <c r="K776" s="13" t="str">
        <f>IF(TRIM(Github!D$322)="TRUE","FALSE","TRUE")</f>
        <v>TRUE</v>
      </c>
      <c r="L776" s="13" t="b">
        <f>Github!M$322</f>
        <v>0</v>
      </c>
      <c r="M776" s="13" t="b">
        <f>Github!N$322</f>
        <v>0</v>
      </c>
      <c r="N776" s="13">
        <f>Github!P$322</f>
        <v>52975</v>
      </c>
      <c r="O776" s="13">
        <f>Github!Q$322</f>
        <v>183532</v>
      </c>
    </row>
    <row r="777">
      <c r="A777" s="13">
        <f>Github!J$900</f>
        <v>899</v>
      </c>
      <c r="B777" s="14" t="str">
        <f>HYPERLINK(CONCAT("http://leetcode.com/problems/",Github!C$900), Github!B$900)</f>
        <v>Orderly Queue</v>
      </c>
      <c r="C777" s="13">
        <f>Github!F$900</f>
        <v>1590</v>
      </c>
      <c r="D777" s="13">
        <f>Github!G$900</f>
        <v>582</v>
      </c>
      <c r="E777" s="13">
        <f>Github!F$900+Github!G$900</f>
        <v>2172</v>
      </c>
      <c r="F777" s="15">
        <f t="shared" si="1"/>
        <v>2.73</v>
      </c>
      <c r="G777" s="13" t="str">
        <f>ROUND(Github!O$900, 2)&amp;"%"</f>
        <v>66.48%</v>
      </c>
      <c r="H777" s="13" t="str">
        <f>Github!H$900</f>
        <v>Algorithms</v>
      </c>
      <c r="I777" s="16" t="str">
        <f>SUBSTITUTE(Github!L$900, ";", ", ")</f>
        <v>Math, String, Sorting, </v>
      </c>
      <c r="J777" s="13" t="str">
        <f>Github!E$900</f>
        <v>Hard</v>
      </c>
      <c r="K777" s="13" t="str">
        <f>IF(TRIM(Github!D$900)="TRUE","FALSE","TRUE")</f>
        <v>TRUE</v>
      </c>
      <c r="L777" s="13" t="b">
        <f>Github!M$900</f>
        <v>1</v>
      </c>
      <c r="M777" s="13" t="b">
        <f>Github!N$900</f>
        <v>0</v>
      </c>
      <c r="N777" s="13">
        <f>Github!P$900</f>
        <v>63191</v>
      </c>
      <c r="O777" s="13">
        <f>Github!Q$900</f>
        <v>95046</v>
      </c>
    </row>
    <row r="778">
      <c r="A778" s="13">
        <f>Github!J$1124</f>
        <v>1123</v>
      </c>
      <c r="B778" s="14" t="str">
        <f>HYPERLINK(CONCAT("http://leetcode.com/problems/",Github!C$1124), Github!B$1124)</f>
        <v>Lowest Common Ancestor of Deepest Leaves</v>
      </c>
      <c r="C778" s="13">
        <f>Github!F$1124</f>
        <v>1586</v>
      </c>
      <c r="D778" s="13">
        <f>Github!G$1124</f>
        <v>775</v>
      </c>
      <c r="E778" s="13">
        <f>Github!F$1124+Github!G$1124</f>
        <v>2361</v>
      </c>
      <c r="F778" s="15">
        <f t="shared" si="1"/>
        <v>2.05</v>
      </c>
      <c r="G778" s="13" t="str">
        <f>ROUND(Github!O$1124, 2)&amp;"%"</f>
        <v>70.69%</v>
      </c>
      <c r="H778" s="13" t="str">
        <f>Github!H$1124</f>
        <v>Algorithms</v>
      </c>
      <c r="I778" s="16" t="str">
        <f>SUBSTITUTE(Github!L$1124, ";", ", ")</f>
        <v>Hash Table, Tree, Depth-First Search, Breadth-First Search, Binary Tree, </v>
      </c>
      <c r="J778" s="13" t="str">
        <f>Github!E$1124</f>
        <v>Medium</v>
      </c>
      <c r="K778" s="13" t="str">
        <f>IF(TRIM(Github!D$1124)="TRUE","FALSE","TRUE")</f>
        <v>TRUE</v>
      </c>
      <c r="L778" s="13" t="b">
        <f>Github!M$1124</f>
        <v>0</v>
      </c>
      <c r="M778" s="13" t="b">
        <f>Github!N$1124</f>
        <v>0</v>
      </c>
      <c r="N778" s="13">
        <f>Github!P$1124</f>
        <v>86920</v>
      </c>
      <c r="O778" s="13">
        <f>Github!Q$1124</f>
        <v>122953</v>
      </c>
    </row>
    <row r="779">
      <c r="A779" s="13">
        <f>Github!J$306</f>
        <v>305</v>
      </c>
      <c r="B779" s="14" t="str">
        <f>HYPERLINK(CONCAT("http://leetcode.com/problems/",Github!C$306), Github!B$306)</f>
        <v>Number of Islands II</v>
      </c>
      <c r="C779" s="13">
        <f>Github!F$306</f>
        <v>1575</v>
      </c>
      <c r="D779" s="13">
        <f>Github!G$306</f>
        <v>54</v>
      </c>
      <c r="E779" s="13">
        <f>Github!F$306+Github!G$306</f>
        <v>1629</v>
      </c>
      <c r="F779" s="15">
        <f t="shared" si="1"/>
        <v>29.17</v>
      </c>
      <c r="G779" s="13" t="str">
        <f>ROUND(Github!O$306, 2)&amp;"%"</f>
        <v>39.42%</v>
      </c>
      <c r="H779" s="13" t="str">
        <f>Github!H$306</f>
        <v>Algorithms</v>
      </c>
      <c r="I779" s="16" t="str">
        <f>SUBSTITUTE(Github!L$306, ";", ", ")</f>
        <v>Array, Union Find, </v>
      </c>
      <c r="J779" s="13" t="str">
        <f>Github!E$306</f>
        <v>Hard</v>
      </c>
      <c r="K779" s="13" t="str">
        <f>IF(TRIM(Github!D$306)="TRUE","FALSE","TRUE")</f>
        <v>FALSE</v>
      </c>
      <c r="L779" s="13" t="b">
        <f>Github!M$306</f>
        <v>1</v>
      </c>
      <c r="M779" s="13" t="b">
        <f>Github!N$306</f>
        <v>0</v>
      </c>
      <c r="N779" s="13">
        <f>Github!P$306</f>
        <v>124318</v>
      </c>
      <c r="O779" s="13">
        <f>Github!Q$306</f>
        <v>315350</v>
      </c>
    </row>
    <row r="780">
      <c r="A780" s="13">
        <f>Github!J$819</f>
        <v>818</v>
      </c>
      <c r="B780" s="14" t="str">
        <f>HYPERLINK(CONCAT("http://leetcode.com/problems/",Github!C$819), Github!B$819)</f>
        <v>Race Car</v>
      </c>
      <c r="C780" s="13">
        <f>Github!F$819</f>
        <v>1585</v>
      </c>
      <c r="D780" s="13">
        <f>Github!G$819</f>
        <v>155</v>
      </c>
      <c r="E780" s="13">
        <f>Github!F$819+Github!G$819</f>
        <v>1740</v>
      </c>
      <c r="F780" s="15">
        <f t="shared" si="1"/>
        <v>10.23</v>
      </c>
      <c r="G780" s="13" t="str">
        <f>ROUND(Github!O$819, 2)&amp;"%"</f>
        <v>43.34%</v>
      </c>
      <c r="H780" s="13" t="str">
        <f>Github!H$819</f>
        <v>Algorithms</v>
      </c>
      <c r="I780" s="16" t="str">
        <f>SUBSTITUTE(Github!L$819, ";", ", ")</f>
        <v>Dynamic Programming, </v>
      </c>
      <c r="J780" s="13" t="str">
        <f>Github!E$819</f>
        <v>Hard</v>
      </c>
      <c r="K780" s="13" t="str">
        <f>IF(TRIM(Github!D$819)="TRUE","FALSE","TRUE")</f>
        <v>TRUE</v>
      </c>
      <c r="L780" s="13" t="b">
        <f>Github!M$819</f>
        <v>1</v>
      </c>
      <c r="M780" s="13" t="b">
        <f>Github!N$819</f>
        <v>0</v>
      </c>
      <c r="N780" s="13">
        <f>Github!P$819</f>
        <v>70867</v>
      </c>
      <c r="O780" s="13">
        <f>Github!Q$819</f>
        <v>163520</v>
      </c>
    </row>
    <row r="781">
      <c r="A781" s="13">
        <f>Github!J$1515</f>
        <v>1514</v>
      </c>
      <c r="B781" s="14" t="str">
        <f>HYPERLINK(CONCAT("http://leetcode.com/problems/",Github!C$1515), Github!B$1515)</f>
        <v>Path with Maximum Probability</v>
      </c>
      <c r="C781" s="13">
        <f>Github!F$1515</f>
        <v>1583</v>
      </c>
      <c r="D781" s="13">
        <f>Github!G$1515</f>
        <v>33</v>
      </c>
      <c r="E781" s="13">
        <f>Github!F$1515+Github!G$1515</f>
        <v>1616</v>
      </c>
      <c r="F781" s="15">
        <f t="shared" si="1"/>
        <v>47.97</v>
      </c>
      <c r="G781" s="13" t="str">
        <f>ROUND(Github!O$1515, 2)&amp;"%"</f>
        <v>48.41%</v>
      </c>
      <c r="H781" s="13" t="str">
        <f>Github!H$1515</f>
        <v>Algorithms</v>
      </c>
      <c r="I781" s="16" t="str">
        <f>SUBSTITUTE(Github!L$1515, ";", ", ")</f>
        <v>Array, Graph, Heap (Priority Queue), Shortest Path, </v>
      </c>
      <c r="J781" s="13" t="str">
        <f>Github!E$1515</f>
        <v>Medium</v>
      </c>
      <c r="K781" s="13" t="str">
        <f>IF(TRIM(Github!D$1515)="TRUE","FALSE","TRUE")</f>
        <v>TRUE</v>
      </c>
      <c r="L781" s="13" t="b">
        <f>Github!M$1515</f>
        <v>0</v>
      </c>
      <c r="M781" s="13" t="b">
        <f>Github!N$1515</f>
        <v>0</v>
      </c>
      <c r="N781" s="13">
        <f>Github!P$1515</f>
        <v>59170</v>
      </c>
      <c r="O781" s="13">
        <f>Github!Q$1515</f>
        <v>122230</v>
      </c>
    </row>
    <row r="782">
      <c r="A782" s="13">
        <f>Github!J$1141</f>
        <v>1140</v>
      </c>
      <c r="B782" s="14" t="str">
        <f>HYPERLINK(CONCAT("http://leetcode.com/problems/",Github!C$1141), Github!B$1141)</f>
        <v>Stone Game II</v>
      </c>
      <c r="C782" s="13">
        <f>Github!F$1141</f>
        <v>1581</v>
      </c>
      <c r="D782" s="13">
        <f>Github!G$1141</f>
        <v>279</v>
      </c>
      <c r="E782" s="13">
        <f>Github!F$1141+Github!G$1141</f>
        <v>1860</v>
      </c>
      <c r="F782" s="15">
        <f t="shared" si="1"/>
        <v>5.67</v>
      </c>
      <c r="G782" s="13" t="str">
        <f>ROUND(Github!O$1141, 2)&amp;"%"</f>
        <v>64.8%</v>
      </c>
      <c r="H782" s="13" t="str">
        <f>Github!H$1141</f>
        <v>Algorithms</v>
      </c>
      <c r="I782" s="16" t="str">
        <f>SUBSTITUTE(Github!L$1141, ";", ", ")</f>
        <v>Array, Math, Dynamic Programming, Game Theory, </v>
      </c>
      <c r="J782" s="13" t="str">
        <f>Github!E$1141</f>
        <v>Medium</v>
      </c>
      <c r="K782" s="13" t="str">
        <f>IF(TRIM(Github!D$1141)="TRUE","FALSE","TRUE")</f>
        <v>TRUE</v>
      </c>
      <c r="L782" s="13" t="b">
        <f>Github!M$1141</f>
        <v>0</v>
      </c>
      <c r="M782" s="13" t="b">
        <f>Github!N$1141</f>
        <v>0</v>
      </c>
      <c r="N782" s="13">
        <f>Github!P$1141</f>
        <v>44607</v>
      </c>
      <c r="O782" s="13">
        <f>Github!Q$1141</f>
        <v>68834</v>
      </c>
    </row>
    <row r="783">
      <c r="A783" s="13">
        <f>Github!J$491</f>
        <v>490</v>
      </c>
      <c r="B783" s="14" t="str">
        <f>HYPERLINK(CONCAT("http://leetcode.com/problems/",Github!C$491), Github!B$491)</f>
        <v>The Maze</v>
      </c>
      <c r="C783" s="13">
        <f>Github!F$491</f>
        <v>1575</v>
      </c>
      <c r="D783" s="13">
        <f>Github!G$491</f>
        <v>164</v>
      </c>
      <c r="E783" s="13">
        <f>Github!F$491+Github!G$491</f>
        <v>1739</v>
      </c>
      <c r="F783" s="15">
        <f t="shared" si="1"/>
        <v>9.6</v>
      </c>
      <c r="G783" s="13" t="str">
        <f>ROUND(Github!O$491, 2)&amp;"%"</f>
        <v>55.53%</v>
      </c>
      <c r="H783" s="13" t="str">
        <f>Github!H$491</f>
        <v>Algorithms</v>
      </c>
      <c r="I783" s="16" t="str">
        <f>SUBSTITUTE(Github!L$491, ";", ", ")</f>
        <v>Depth-First Search, Breadth-First Search, Graph, </v>
      </c>
      <c r="J783" s="13" t="str">
        <f>Github!E$491</f>
        <v>Medium</v>
      </c>
      <c r="K783" s="13" t="str">
        <f>IF(TRIM(Github!D$491)="TRUE","FALSE","TRUE")</f>
        <v>FALSE</v>
      </c>
      <c r="L783" s="13" t="b">
        <f>Github!M$491</f>
        <v>1</v>
      </c>
      <c r="M783" s="13" t="b">
        <f>Github!N$491</f>
        <v>0</v>
      </c>
      <c r="N783" s="13">
        <f>Github!P$491</f>
        <v>135777</v>
      </c>
      <c r="O783" s="13">
        <f>Github!Q$491</f>
        <v>244496</v>
      </c>
    </row>
    <row r="784">
      <c r="A784" s="13">
        <f>Github!J$1705</f>
        <v>1704</v>
      </c>
      <c r="B784" s="14" t="str">
        <f>HYPERLINK(CONCAT("http://leetcode.com/problems/",Github!C$1705), Github!B$1705)</f>
        <v>Determine if String Halves Are Alike</v>
      </c>
      <c r="C784" s="13">
        <f>Github!F$1705</f>
        <v>1583</v>
      </c>
      <c r="D784" s="13">
        <f>Github!G$1705</f>
        <v>79</v>
      </c>
      <c r="E784" s="13">
        <f>Github!F$1705+Github!G$1705</f>
        <v>1662</v>
      </c>
      <c r="F784" s="15">
        <f t="shared" si="1"/>
        <v>20.04</v>
      </c>
      <c r="G784" s="13" t="str">
        <f>ROUND(Github!O$1705, 2)&amp;"%"</f>
        <v>77.89%</v>
      </c>
      <c r="H784" s="13" t="str">
        <f>Github!H$1705</f>
        <v>Algorithms</v>
      </c>
      <c r="I784" s="16" t="str">
        <f>SUBSTITUTE(Github!L$1705, ";", ", ")</f>
        <v>String, Counting, </v>
      </c>
      <c r="J784" s="13" t="str">
        <f>Github!E$1705</f>
        <v>Easy</v>
      </c>
      <c r="K784" s="13" t="str">
        <f>IF(TRIM(Github!D$1705)="TRUE","FALSE","TRUE")</f>
        <v>TRUE</v>
      </c>
      <c r="L784" s="13" t="b">
        <f>Github!M$1705</f>
        <v>1</v>
      </c>
      <c r="M784" s="13" t="b">
        <f>Github!N$1705</f>
        <v>0</v>
      </c>
      <c r="N784" s="13">
        <f>Github!P$1705</f>
        <v>180054</v>
      </c>
      <c r="O784" s="13">
        <f>Github!Q$1705</f>
        <v>231158</v>
      </c>
    </row>
    <row r="785">
      <c r="A785" s="13">
        <f>Github!J$600</f>
        <v>599</v>
      </c>
      <c r="B785" s="14" t="str">
        <f>HYPERLINK(CONCAT("http://leetcode.com/problems/",Github!C$600), Github!B$600)</f>
        <v>Minimum Index Sum of Two Lists</v>
      </c>
      <c r="C785" s="13">
        <f>Github!F$600</f>
        <v>1577</v>
      </c>
      <c r="D785" s="13">
        <f>Github!G$600</f>
        <v>354</v>
      </c>
      <c r="E785" s="13">
        <f>Github!F$600+Github!G$600</f>
        <v>1931</v>
      </c>
      <c r="F785" s="15">
        <f t="shared" si="1"/>
        <v>4.45</v>
      </c>
      <c r="G785" s="13" t="str">
        <f>ROUND(Github!O$600, 2)&amp;"%"</f>
        <v>53.12%</v>
      </c>
      <c r="H785" s="13" t="str">
        <f>Github!H$600</f>
        <v>Algorithms</v>
      </c>
      <c r="I785" s="16" t="str">
        <f>SUBSTITUTE(Github!L$600, ";", ", ")</f>
        <v>Array, Hash Table, String, </v>
      </c>
      <c r="J785" s="13" t="str">
        <f>Github!E$600</f>
        <v>Easy</v>
      </c>
      <c r="K785" s="13" t="str">
        <f>IF(TRIM(Github!D$600)="TRUE","FALSE","TRUE")</f>
        <v>TRUE</v>
      </c>
      <c r="L785" s="13" t="b">
        <f>Github!M$600</f>
        <v>1</v>
      </c>
      <c r="M785" s="13" t="b">
        <f>Github!N$600</f>
        <v>0</v>
      </c>
      <c r="N785" s="13">
        <f>Github!P$600</f>
        <v>178416</v>
      </c>
      <c r="O785" s="13">
        <f>Github!Q$600</f>
        <v>335873</v>
      </c>
    </row>
    <row r="786">
      <c r="A786" s="13">
        <f>Github!J$1406</f>
        <v>1405</v>
      </c>
      <c r="B786" s="14" t="str">
        <f>HYPERLINK(CONCAT("http://leetcode.com/problems/",Github!C$1406), Github!B$1406)</f>
        <v>Longest Happy String</v>
      </c>
      <c r="C786" s="13">
        <f>Github!F$1406</f>
        <v>1579</v>
      </c>
      <c r="D786" s="13">
        <f>Github!G$1406</f>
        <v>220</v>
      </c>
      <c r="E786" s="13">
        <f>Github!F$1406+Github!G$1406</f>
        <v>1799</v>
      </c>
      <c r="F786" s="15">
        <f t="shared" si="1"/>
        <v>7.18</v>
      </c>
      <c r="G786" s="13" t="str">
        <f>ROUND(Github!O$1406, 2)&amp;"%"</f>
        <v>57.46%</v>
      </c>
      <c r="H786" s="13" t="str">
        <f>Github!H$1406</f>
        <v>Algorithms</v>
      </c>
      <c r="I786" s="16" t="str">
        <f>SUBSTITUTE(Github!L$1406, ";", ", ")</f>
        <v>String, Greedy, Heap (Priority Queue), </v>
      </c>
      <c r="J786" s="13" t="str">
        <f>Github!E$1406</f>
        <v>Medium</v>
      </c>
      <c r="K786" s="13" t="str">
        <f>IF(TRIM(Github!D$1406)="TRUE","FALSE","TRUE")</f>
        <v>TRUE</v>
      </c>
      <c r="L786" s="13" t="b">
        <f>Github!M$1406</f>
        <v>0</v>
      </c>
      <c r="M786" s="13" t="b">
        <f>Github!N$1406</f>
        <v>0</v>
      </c>
      <c r="N786" s="13">
        <f>Github!P$1406</f>
        <v>61504</v>
      </c>
      <c r="O786" s="13">
        <f>Github!Q$1406</f>
        <v>107049</v>
      </c>
    </row>
    <row r="787">
      <c r="A787" s="13">
        <f>Github!J$340</f>
        <v>339</v>
      </c>
      <c r="B787" s="14" t="str">
        <f>HYPERLINK(CONCAT("http://leetcode.com/problems/",Github!C$340), Github!B$340)</f>
        <v>Nested List Weight Sum</v>
      </c>
      <c r="C787" s="13">
        <f>Github!F$340</f>
        <v>1554</v>
      </c>
      <c r="D787" s="13">
        <f>Github!G$340</f>
        <v>355</v>
      </c>
      <c r="E787" s="13">
        <f>Github!F$340+Github!G$340</f>
        <v>1909</v>
      </c>
      <c r="F787" s="15">
        <f t="shared" si="1"/>
        <v>4.38</v>
      </c>
      <c r="G787" s="13" t="str">
        <f>ROUND(Github!O$340, 2)&amp;"%"</f>
        <v>82.24%</v>
      </c>
      <c r="H787" s="13" t="str">
        <f>Github!H$340</f>
        <v>Algorithms</v>
      </c>
      <c r="I787" s="16" t="str">
        <f>SUBSTITUTE(Github!L$340, ";", ", ")</f>
        <v>Depth-First Search, Breadth-First Search, </v>
      </c>
      <c r="J787" s="13" t="str">
        <f>Github!E$340</f>
        <v>Medium</v>
      </c>
      <c r="K787" s="13" t="str">
        <f>IF(TRIM(Github!D$340)="TRUE","FALSE","TRUE")</f>
        <v>FALSE</v>
      </c>
      <c r="L787" s="13" t="b">
        <f>Github!M$340</f>
        <v>1</v>
      </c>
      <c r="M787" s="13" t="b">
        <f>Github!N$340</f>
        <v>1</v>
      </c>
      <c r="N787" s="13">
        <f>Github!P$340</f>
        <v>220453</v>
      </c>
      <c r="O787" s="13">
        <f>Github!Q$340</f>
        <v>268068</v>
      </c>
    </row>
    <row r="788">
      <c r="A788" s="13">
        <f>Github!J$861</f>
        <v>860</v>
      </c>
      <c r="B788" s="14" t="str">
        <f>HYPERLINK(CONCAT("http://leetcode.com/problems/",Github!C$861), Github!B$861)</f>
        <v>Lemonade Change</v>
      </c>
      <c r="C788" s="13">
        <f>Github!F$861</f>
        <v>1576</v>
      </c>
      <c r="D788" s="13">
        <f>Github!G$861</f>
        <v>134</v>
      </c>
      <c r="E788" s="13">
        <f>Github!F$861+Github!G$861</f>
        <v>1710</v>
      </c>
      <c r="F788" s="15">
        <f t="shared" si="1"/>
        <v>11.76</v>
      </c>
      <c r="G788" s="13" t="str">
        <f>ROUND(Github!O$861, 2)&amp;"%"</f>
        <v>52.83%</v>
      </c>
      <c r="H788" s="13" t="str">
        <f>Github!H$861</f>
        <v>Algorithms</v>
      </c>
      <c r="I788" s="16" t="str">
        <f>SUBSTITUTE(Github!L$861, ";", ", ")</f>
        <v>Array, Greedy, </v>
      </c>
      <c r="J788" s="13" t="str">
        <f>Github!E$861</f>
        <v>Easy</v>
      </c>
      <c r="K788" s="13" t="str">
        <f>IF(TRIM(Github!D$861)="TRUE","FALSE","TRUE")</f>
        <v>TRUE</v>
      </c>
      <c r="L788" s="13" t="b">
        <f>Github!M$861</f>
        <v>1</v>
      </c>
      <c r="M788" s="13" t="b">
        <f>Github!N$861</f>
        <v>0</v>
      </c>
      <c r="N788" s="13">
        <f>Github!P$861</f>
        <v>117783</v>
      </c>
      <c r="O788" s="13">
        <f>Github!Q$861</f>
        <v>222951</v>
      </c>
    </row>
    <row r="789">
      <c r="A789" s="13">
        <f>Github!J$1191</f>
        <v>1190</v>
      </c>
      <c r="B789" s="14" t="str">
        <f>HYPERLINK(CONCAT("http://leetcode.com/problems/",Github!C$1191), Github!B$1191)</f>
        <v>Reverse Substrings Between Each Pair of Parentheses</v>
      </c>
      <c r="C789" s="13">
        <f>Github!F$1191</f>
        <v>1559</v>
      </c>
      <c r="D789" s="13">
        <f>Github!G$1191</f>
        <v>42</v>
      </c>
      <c r="E789" s="13">
        <f>Github!F$1191+Github!G$1191</f>
        <v>1601</v>
      </c>
      <c r="F789" s="15">
        <f t="shared" si="1"/>
        <v>37.12</v>
      </c>
      <c r="G789" s="13" t="str">
        <f>ROUND(Github!O$1191, 2)&amp;"%"</f>
        <v>65.92%</v>
      </c>
      <c r="H789" s="13" t="str">
        <f>Github!H$1191</f>
        <v>Algorithms</v>
      </c>
      <c r="I789" s="16" t="str">
        <f>SUBSTITUTE(Github!L$1191, ";", ", ")</f>
        <v>String, Stack, </v>
      </c>
      <c r="J789" s="13" t="str">
        <f>Github!E$1191</f>
        <v>Medium</v>
      </c>
      <c r="K789" s="13" t="str">
        <f>IF(TRIM(Github!D$1191)="TRUE","FALSE","TRUE")</f>
        <v>TRUE</v>
      </c>
      <c r="L789" s="13" t="b">
        <f>Github!M$1191</f>
        <v>0</v>
      </c>
      <c r="M789" s="13" t="b">
        <f>Github!N$1191</f>
        <v>0</v>
      </c>
      <c r="N789" s="13">
        <f>Github!P$1191</f>
        <v>57780</v>
      </c>
      <c r="O789" s="13">
        <f>Github!Q$1191</f>
        <v>87653</v>
      </c>
    </row>
    <row r="790">
      <c r="A790" s="13">
        <f>Github!J$387</f>
        <v>386</v>
      </c>
      <c r="B790" s="14" t="str">
        <f>HYPERLINK(CONCAT("http://leetcode.com/problems/",Github!C$387), Github!B$387)</f>
        <v>Lexicographical Numbers</v>
      </c>
      <c r="C790" s="13">
        <f>Github!F$387</f>
        <v>1559</v>
      </c>
      <c r="D790" s="13">
        <f>Github!G$387</f>
        <v>125</v>
      </c>
      <c r="E790" s="13">
        <f>Github!F$387+Github!G$387</f>
        <v>1684</v>
      </c>
      <c r="F790" s="15">
        <f t="shared" si="1"/>
        <v>12.47</v>
      </c>
      <c r="G790" s="13" t="str">
        <f>ROUND(Github!O$387, 2)&amp;"%"</f>
        <v>61.04%</v>
      </c>
      <c r="H790" s="13" t="str">
        <f>Github!H$387</f>
        <v>Algorithms</v>
      </c>
      <c r="I790" s="16" t="str">
        <f>SUBSTITUTE(Github!L$387, ";", ", ")</f>
        <v>Depth-First Search, Trie, </v>
      </c>
      <c r="J790" s="13" t="str">
        <f>Github!E$387</f>
        <v>Medium</v>
      </c>
      <c r="K790" s="13" t="str">
        <f>IF(TRIM(Github!D$387)="TRUE","FALSE","TRUE")</f>
        <v>TRUE</v>
      </c>
      <c r="L790" s="13" t="b">
        <f>Github!M$387</f>
        <v>0</v>
      </c>
      <c r="M790" s="13" t="b">
        <f>Github!N$387</f>
        <v>0</v>
      </c>
      <c r="N790" s="13">
        <f>Github!P$387</f>
        <v>96128</v>
      </c>
      <c r="O790" s="13">
        <f>Github!Q$387</f>
        <v>157492</v>
      </c>
    </row>
    <row r="791">
      <c r="A791" s="13">
        <f>Github!J$966</f>
        <v>965</v>
      </c>
      <c r="B791" s="14" t="str">
        <f>HYPERLINK(CONCAT("http://leetcode.com/problems/",Github!C$966), Github!B$966)</f>
        <v>Univalued Binary Tree</v>
      </c>
      <c r="C791" s="13">
        <f>Github!F$966</f>
        <v>1550</v>
      </c>
      <c r="D791" s="13">
        <f>Github!G$966</f>
        <v>59</v>
      </c>
      <c r="E791" s="13">
        <f>Github!F$966+Github!G$966</f>
        <v>1609</v>
      </c>
      <c r="F791" s="15">
        <f t="shared" si="1"/>
        <v>26.27</v>
      </c>
      <c r="G791" s="13" t="str">
        <f>ROUND(Github!O$966, 2)&amp;"%"</f>
        <v>69.42%</v>
      </c>
      <c r="H791" s="13" t="str">
        <f>Github!H$966</f>
        <v>Algorithms</v>
      </c>
      <c r="I791" s="16" t="str">
        <f>SUBSTITUTE(Github!L$966, ";", ", ")</f>
        <v>Tree, Depth-First Search, Breadth-First Search, Binary Tree, </v>
      </c>
      <c r="J791" s="13" t="str">
        <f>Github!E$966</f>
        <v>Easy</v>
      </c>
      <c r="K791" s="13" t="str">
        <f>IF(TRIM(Github!D$966)="TRUE","FALSE","TRUE")</f>
        <v>TRUE</v>
      </c>
      <c r="L791" s="13" t="b">
        <f>Github!M$966</f>
        <v>1</v>
      </c>
      <c r="M791" s="13" t="b">
        <f>Github!N$966</f>
        <v>0</v>
      </c>
      <c r="N791" s="13">
        <f>Github!P$966</f>
        <v>182778</v>
      </c>
      <c r="O791" s="13">
        <f>Github!Q$966</f>
        <v>263287</v>
      </c>
    </row>
    <row r="792">
      <c r="A792" s="13">
        <f>Github!J$979</f>
        <v>978</v>
      </c>
      <c r="B792" s="14" t="str">
        <f>HYPERLINK(CONCAT("http://leetcode.com/problems/",Github!C$979), Github!B$979)</f>
        <v>Longest Turbulent Subarray</v>
      </c>
      <c r="C792" s="13">
        <f>Github!F$979</f>
        <v>1551</v>
      </c>
      <c r="D792" s="13">
        <f>Github!G$979</f>
        <v>187</v>
      </c>
      <c r="E792" s="13">
        <f>Github!F$979+Github!G$979</f>
        <v>1738</v>
      </c>
      <c r="F792" s="15">
        <f t="shared" si="1"/>
        <v>8.29</v>
      </c>
      <c r="G792" s="13" t="str">
        <f>ROUND(Github!O$979, 2)&amp;"%"</f>
        <v>47.32%</v>
      </c>
      <c r="H792" s="13" t="str">
        <f>Github!H$979</f>
        <v>Algorithms</v>
      </c>
      <c r="I792" s="16" t="str">
        <f>SUBSTITUTE(Github!L$979, ";", ", ")</f>
        <v>Array, Dynamic Programming, Sliding Window, </v>
      </c>
      <c r="J792" s="13" t="str">
        <f>Github!E$979</f>
        <v>Medium</v>
      </c>
      <c r="K792" s="13" t="str">
        <f>IF(TRIM(Github!D$979)="TRUE","FALSE","TRUE")</f>
        <v>TRUE</v>
      </c>
      <c r="L792" s="13" t="b">
        <f>Github!M$979</f>
        <v>1</v>
      </c>
      <c r="M792" s="13" t="b">
        <f>Github!N$979</f>
        <v>0</v>
      </c>
      <c r="N792" s="13">
        <f>Github!P$979</f>
        <v>79760</v>
      </c>
      <c r="O792" s="13">
        <f>Github!Q$979</f>
        <v>168547</v>
      </c>
    </row>
    <row r="793">
      <c r="A793" s="13">
        <f>Github!J$1072</f>
        <v>1071</v>
      </c>
      <c r="B793" s="14" t="str">
        <f>HYPERLINK(CONCAT("http://leetcode.com/problems/",Github!C$1072), Github!B$1072)</f>
        <v>Greatest Common Divisor of Strings</v>
      </c>
      <c r="C793" s="13">
        <f>Github!F$1072</f>
        <v>1541</v>
      </c>
      <c r="D793" s="13">
        <f>Github!G$1072</f>
        <v>306</v>
      </c>
      <c r="E793" s="13">
        <f>Github!F$1072+Github!G$1072</f>
        <v>1847</v>
      </c>
      <c r="F793" s="15">
        <f t="shared" si="1"/>
        <v>5.04</v>
      </c>
      <c r="G793" s="13" t="str">
        <f>ROUND(Github!O$1072, 2)&amp;"%"</f>
        <v>51.02%</v>
      </c>
      <c r="H793" s="13" t="str">
        <f>Github!H$1072</f>
        <v>Algorithms</v>
      </c>
      <c r="I793" s="16" t="str">
        <f>SUBSTITUTE(Github!L$1072, ";", ", ")</f>
        <v>Math, String, </v>
      </c>
      <c r="J793" s="13" t="str">
        <f>Github!E$1072</f>
        <v>Easy</v>
      </c>
      <c r="K793" s="13" t="str">
        <f>IF(TRIM(Github!D$1072)="TRUE","FALSE","TRUE")</f>
        <v>TRUE</v>
      </c>
      <c r="L793" s="13" t="b">
        <f>Github!M$1072</f>
        <v>0</v>
      </c>
      <c r="M793" s="13" t="b">
        <f>Github!N$1072</f>
        <v>0</v>
      </c>
      <c r="N793" s="13">
        <f>Github!P$1072</f>
        <v>86075</v>
      </c>
      <c r="O793" s="13">
        <f>Github!Q$1072</f>
        <v>168706</v>
      </c>
    </row>
    <row r="794">
      <c r="A794" s="13">
        <f>Github!J$1261</f>
        <v>1260</v>
      </c>
      <c r="B794" s="14" t="str">
        <f>HYPERLINK(CONCAT("http://leetcode.com/problems/",Github!C$1261), Github!B$1261)</f>
        <v>Shift 2D Grid</v>
      </c>
      <c r="C794" s="13">
        <f>Github!F$1261</f>
        <v>1540</v>
      </c>
      <c r="D794" s="13">
        <f>Github!G$1261</f>
        <v>319</v>
      </c>
      <c r="E794" s="13">
        <f>Github!F$1261+Github!G$1261</f>
        <v>1859</v>
      </c>
      <c r="F794" s="15">
        <f t="shared" si="1"/>
        <v>4.83</v>
      </c>
      <c r="G794" s="13" t="str">
        <f>ROUND(Github!O$1261, 2)&amp;"%"</f>
        <v>67.92%</v>
      </c>
      <c r="H794" s="13" t="str">
        <f>Github!H$1261</f>
        <v>Algorithms</v>
      </c>
      <c r="I794" s="16" t="str">
        <f>SUBSTITUTE(Github!L$1261, ";", ", ")</f>
        <v>Array, Matrix, Simulation, </v>
      </c>
      <c r="J794" s="13" t="str">
        <f>Github!E$1261</f>
        <v>Easy</v>
      </c>
      <c r="K794" s="13" t="str">
        <f>IF(TRIM(Github!D$1261)="TRUE","FALSE","TRUE")</f>
        <v>TRUE</v>
      </c>
      <c r="L794" s="13" t="b">
        <f>Github!M$1261</f>
        <v>1</v>
      </c>
      <c r="M794" s="13" t="b">
        <f>Github!N$1261</f>
        <v>0</v>
      </c>
      <c r="N794" s="13">
        <f>Github!P$1261</f>
        <v>92209</v>
      </c>
      <c r="O794" s="13">
        <f>Github!Q$1261</f>
        <v>135758</v>
      </c>
    </row>
    <row r="795">
      <c r="A795" s="13">
        <f>Github!J$525</f>
        <v>524</v>
      </c>
      <c r="B795" s="14" t="str">
        <f>HYPERLINK(CONCAT("http://leetcode.com/problems/",Github!C$525), Github!B$525)</f>
        <v>Longest Word in Dictionary through Deleting</v>
      </c>
      <c r="C795" s="13">
        <f>Github!F$525</f>
        <v>1536</v>
      </c>
      <c r="D795" s="13">
        <f>Github!G$525</f>
        <v>345</v>
      </c>
      <c r="E795" s="13">
        <f>Github!F$525+Github!G$525</f>
        <v>1881</v>
      </c>
      <c r="F795" s="15">
        <f t="shared" si="1"/>
        <v>4.45</v>
      </c>
      <c r="G795" s="13" t="str">
        <f>ROUND(Github!O$525, 2)&amp;"%"</f>
        <v>51.13%</v>
      </c>
      <c r="H795" s="13" t="str">
        <f>Github!H$525</f>
        <v>Algorithms</v>
      </c>
      <c r="I795" s="16" t="str">
        <f>SUBSTITUTE(Github!L$525, ";", ", ")</f>
        <v>Array, Two Pointers, String, Sorting, </v>
      </c>
      <c r="J795" s="13" t="str">
        <f>Github!E$525</f>
        <v>Medium</v>
      </c>
      <c r="K795" s="13" t="str">
        <f>IF(TRIM(Github!D$525)="TRUE","FALSE","TRUE")</f>
        <v>TRUE</v>
      </c>
      <c r="L795" s="13" t="b">
        <f>Github!M$525</f>
        <v>1</v>
      </c>
      <c r="M795" s="13" t="b">
        <f>Github!N$525</f>
        <v>0</v>
      </c>
      <c r="N795" s="13">
        <f>Github!P$525</f>
        <v>137560</v>
      </c>
      <c r="O795" s="13">
        <f>Github!Q$525</f>
        <v>269061</v>
      </c>
    </row>
    <row r="796">
      <c r="A796" s="13">
        <f>Github!J$1906</f>
        <v>1905</v>
      </c>
      <c r="B796" s="14" t="str">
        <f>HYPERLINK(CONCAT("http://leetcode.com/problems/",Github!C$1906), Github!B$1906)</f>
        <v>Count Sub Islands</v>
      </c>
      <c r="C796" s="13">
        <f>Github!F$1906</f>
        <v>1552</v>
      </c>
      <c r="D796" s="13">
        <f>Github!G$1906</f>
        <v>49</v>
      </c>
      <c r="E796" s="13">
        <f>Github!F$1906+Github!G$1906</f>
        <v>1601</v>
      </c>
      <c r="F796" s="15">
        <f t="shared" si="1"/>
        <v>31.67</v>
      </c>
      <c r="G796" s="13" t="str">
        <f>ROUND(Github!O$1906, 2)&amp;"%"</f>
        <v>67.6%</v>
      </c>
      <c r="H796" s="13" t="str">
        <f>Github!H$1906</f>
        <v>Algorithms</v>
      </c>
      <c r="I796" s="16" t="str">
        <f>SUBSTITUTE(Github!L$1906, ";", ", ")</f>
        <v>Array, Depth-First Search, Breadth-First Search, Union Find, Matrix, </v>
      </c>
      <c r="J796" s="13" t="str">
        <f>Github!E$1906</f>
        <v>Medium</v>
      </c>
      <c r="K796" s="13" t="str">
        <f>IF(TRIM(Github!D$1906)="TRUE","FALSE","TRUE")</f>
        <v>TRUE</v>
      </c>
      <c r="L796" s="13" t="b">
        <f>Github!M$1906</f>
        <v>0</v>
      </c>
      <c r="M796" s="13" t="b">
        <f>Github!N$1906</f>
        <v>0</v>
      </c>
      <c r="N796" s="13">
        <f>Github!P$1906</f>
        <v>58188</v>
      </c>
      <c r="O796" s="13">
        <f>Github!Q$1906</f>
        <v>86078</v>
      </c>
    </row>
    <row r="797">
      <c r="A797" s="13">
        <f>Github!J$769</f>
        <v>768</v>
      </c>
      <c r="B797" s="14" t="str">
        <f>HYPERLINK(CONCAT("http://leetcode.com/problems/",Github!C$769), Github!B$769)</f>
        <v>Max Chunks To Make Sorted II</v>
      </c>
      <c r="C797" s="13">
        <f>Github!F$769</f>
        <v>1539</v>
      </c>
      <c r="D797" s="13">
        <f>Github!G$769</f>
        <v>44</v>
      </c>
      <c r="E797" s="13">
        <f>Github!F$769+Github!G$769</f>
        <v>1583</v>
      </c>
      <c r="F797" s="15">
        <f t="shared" si="1"/>
        <v>34.98</v>
      </c>
      <c r="G797" s="13" t="str">
        <f>ROUND(Github!O$769, 2)&amp;"%"</f>
        <v>52.89%</v>
      </c>
      <c r="H797" s="13" t="str">
        <f>Github!H$769</f>
        <v>Algorithms</v>
      </c>
      <c r="I797" s="16" t="str">
        <f>SUBSTITUTE(Github!L$769, ";", ", ")</f>
        <v>Array, Stack, Greedy, Sorting, Monotonic Stack, </v>
      </c>
      <c r="J797" s="13" t="str">
        <f>Github!E$769</f>
        <v>Hard</v>
      </c>
      <c r="K797" s="13" t="str">
        <f>IF(TRIM(Github!D$769)="TRUE","FALSE","TRUE")</f>
        <v>TRUE</v>
      </c>
      <c r="L797" s="13" t="b">
        <f>Github!M$769</f>
        <v>0</v>
      </c>
      <c r="M797" s="13" t="b">
        <f>Github!N$769</f>
        <v>0</v>
      </c>
      <c r="N797" s="13">
        <f>Github!P$769</f>
        <v>50704</v>
      </c>
      <c r="O797" s="13">
        <f>Github!Q$769</f>
        <v>95866</v>
      </c>
    </row>
    <row r="798">
      <c r="A798" s="13">
        <f>Github!J$1553</f>
        <v>1552</v>
      </c>
      <c r="B798" s="14" t="str">
        <f>HYPERLINK(CONCAT("http://leetcode.com/problems/",Github!C$1553), Github!B$1553)</f>
        <v>Magnetic Force Between Two Balls</v>
      </c>
      <c r="C798" s="13">
        <f>Github!F$1553</f>
        <v>1547</v>
      </c>
      <c r="D798" s="13">
        <f>Github!G$1553</f>
        <v>91</v>
      </c>
      <c r="E798" s="13">
        <f>Github!F$1553+Github!G$1553</f>
        <v>1638</v>
      </c>
      <c r="F798" s="15">
        <f t="shared" si="1"/>
        <v>17</v>
      </c>
      <c r="G798" s="13" t="str">
        <f>ROUND(Github!O$1553, 2)&amp;"%"</f>
        <v>57.3%</v>
      </c>
      <c r="H798" s="13" t="str">
        <f>Github!H$1553</f>
        <v>Algorithms</v>
      </c>
      <c r="I798" s="16" t="str">
        <f>SUBSTITUTE(Github!L$1553, ";", ", ")</f>
        <v>Array, Binary Search, Sorting, </v>
      </c>
      <c r="J798" s="13" t="str">
        <f>Github!E$1553</f>
        <v>Medium</v>
      </c>
      <c r="K798" s="13" t="str">
        <f>IF(TRIM(Github!D$1553)="TRUE","FALSE","TRUE")</f>
        <v>TRUE</v>
      </c>
      <c r="L798" s="13" t="b">
        <f>Github!M$1553</f>
        <v>0</v>
      </c>
      <c r="M798" s="13" t="b">
        <f>Github!N$1553</f>
        <v>0</v>
      </c>
      <c r="N798" s="13">
        <f>Github!P$1553</f>
        <v>36571</v>
      </c>
      <c r="O798" s="13">
        <f>Github!Q$1553</f>
        <v>63818</v>
      </c>
    </row>
    <row r="799">
      <c r="A799" s="13">
        <f>Github!J$2105</f>
        <v>2104</v>
      </c>
      <c r="B799" s="14" t="str">
        <f>HYPERLINK(CONCAT("http://leetcode.com/problems/",Github!C$2105), Github!B$2105)</f>
        <v>Sum of Subarray Ranges</v>
      </c>
      <c r="C799" s="13">
        <f>Github!F$2105</f>
        <v>1543</v>
      </c>
      <c r="D799" s="13">
        <f>Github!G$2105</f>
        <v>83</v>
      </c>
      <c r="E799" s="13">
        <f>Github!F$2105+Github!G$2105</f>
        <v>1626</v>
      </c>
      <c r="F799" s="15">
        <f t="shared" si="1"/>
        <v>18.59</v>
      </c>
      <c r="G799" s="13" t="str">
        <f>ROUND(Github!O$2105, 2)&amp;"%"</f>
        <v>60.23%</v>
      </c>
      <c r="H799" s="13" t="str">
        <f>Github!H$2105</f>
        <v>Algorithms</v>
      </c>
      <c r="I799" s="16" t="str">
        <f>SUBSTITUTE(Github!L$2105, ";", ", ")</f>
        <v>Array, Stack, Monotonic Stack, </v>
      </c>
      <c r="J799" s="13" t="str">
        <f>Github!E$2105</f>
        <v>Medium</v>
      </c>
      <c r="K799" s="13" t="str">
        <f>IF(TRIM(Github!D$2105)="TRUE","FALSE","TRUE")</f>
        <v>TRUE</v>
      </c>
      <c r="L799" s="13" t="b">
        <f>Github!M$2105</f>
        <v>1</v>
      </c>
      <c r="M799" s="13" t="b">
        <f>Github!N$2105</f>
        <v>0</v>
      </c>
      <c r="N799" s="13">
        <f>Github!P$2105</f>
        <v>64183</v>
      </c>
      <c r="O799" s="13">
        <f>Github!Q$2105</f>
        <v>106567</v>
      </c>
    </row>
    <row r="800">
      <c r="A800" s="13">
        <f>Github!J$437</f>
        <v>436</v>
      </c>
      <c r="B800" s="14" t="str">
        <f>HYPERLINK(CONCAT("http://leetcode.com/problems/",Github!C$437), Github!B$437)</f>
        <v>Find Right Interval</v>
      </c>
      <c r="C800" s="13">
        <f>Github!F$437</f>
        <v>1526</v>
      </c>
      <c r="D800" s="13">
        <f>Github!G$437</f>
        <v>280</v>
      </c>
      <c r="E800" s="13">
        <f>Github!F$437+Github!G$437</f>
        <v>1806</v>
      </c>
      <c r="F800" s="15">
        <f t="shared" si="1"/>
        <v>5.45</v>
      </c>
      <c r="G800" s="13" t="str">
        <f>ROUND(Github!O$437, 2)&amp;"%"</f>
        <v>50.42%</v>
      </c>
      <c r="H800" s="13" t="str">
        <f>Github!H$437</f>
        <v>Algorithms</v>
      </c>
      <c r="I800" s="16" t="str">
        <f>SUBSTITUTE(Github!L$437, ";", ", ")</f>
        <v>Array, Binary Search, Sorting, </v>
      </c>
      <c r="J800" s="13" t="str">
        <f>Github!E$437</f>
        <v>Medium</v>
      </c>
      <c r="K800" s="13" t="str">
        <f>IF(TRIM(Github!D$437)="TRUE","FALSE","TRUE")</f>
        <v>TRUE</v>
      </c>
      <c r="L800" s="13" t="b">
        <f>Github!M$437</f>
        <v>1</v>
      </c>
      <c r="M800" s="13" t="b">
        <f>Github!N$437</f>
        <v>0</v>
      </c>
      <c r="N800" s="13">
        <f>Github!P$437</f>
        <v>88754</v>
      </c>
      <c r="O800" s="13">
        <f>Github!Q$437</f>
        <v>176013</v>
      </c>
    </row>
    <row r="801">
      <c r="A801" s="13">
        <f>Github!J$1860</f>
        <v>1859</v>
      </c>
      <c r="B801" s="14" t="str">
        <f>HYPERLINK(CONCAT("http://leetcode.com/problems/",Github!C$1860), Github!B$1860)</f>
        <v>Sorting the Sentence</v>
      </c>
      <c r="C801" s="13">
        <f>Github!F$1860</f>
        <v>1528</v>
      </c>
      <c r="D801" s="13">
        <f>Github!G$1860</f>
        <v>48</v>
      </c>
      <c r="E801" s="13">
        <f>Github!F$1860+Github!G$1860</f>
        <v>1576</v>
      </c>
      <c r="F801" s="15">
        <f t="shared" si="1"/>
        <v>31.83</v>
      </c>
      <c r="G801" s="13" t="str">
        <f>ROUND(Github!O$1860, 2)&amp;"%"</f>
        <v>84.32%</v>
      </c>
      <c r="H801" s="13" t="str">
        <f>Github!H$1860</f>
        <v>Algorithms</v>
      </c>
      <c r="I801" s="16" t="str">
        <f>SUBSTITUTE(Github!L$1860, ";", ", ")</f>
        <v>String, Sorting, </v>
      </c>
      <c r="J801" s="13" t="str">
        <f>Github!E$1860</f>
        <v>Easy</v>
      </c>
      <c r="K801" s="13" t="str">
        <f>IF(TRIM(Github!D$1860)="TRUE","FALSE","TRUE")</f>
        <v>TRUE</v>
      </c>
      <c r="L801" s="13" t="b">
        <f>Github!M$1860</f>
        <v>0</v>
      </c>
      <c r="M801" s="13" t="b">
        <f>Github!N$1860</f>
        <v>0</v>
      </c>
      <c r="N801" s="13">
        <f>Github!P$1860</f>
        <v>98696</v>
      </c>
      <c r="O801" s="13">
        <f>Github!Q$1860</f>
        <v>117043</v>
      </c>
    </row>
    <row r="802">
      <c r="A802" s="13">
        <f>Github!J$672</f>
        <v>671</v>
      </c>
      <c r="B802" s="14" t="str">
        <f>HYPERLINK(CONCAT("http://leetcode.com/problems/",Github!C$672), Github!B$672)</f>
        <v>Second Minimum Node In a Binary Tree</v>
      </c>
      <c r="C802" s="13">
        <f>Github!F$672</f>
        <v>1512</v>
      </c>
      <c r="D802" s="13">
        <f>Github!G$672</f>
        <v>1699</v>
      </c>
      <c r="E802" s="13">
        <f>Github!F$672+Github!G$672</f>
        <v>3211</v>
      </c>
      <c r="F802" s="15">
        <f t="shared" si="1"/>
        <v>0.89</v>
      </c>
      <c r="G802" s="13" t="str">
        <f>ROUND(Github!O$672, 2)&amp;"%"</f>
        <v>44.03%</v>
      </c>
      <c r="H802" s="13" t="str">
        <f>Github!H$672</f>
        <v>Algorithms</v>
      </c>
      <c r="I802" s="16" t="str">
        <f>SUBSTITUTE(Github!L$672, ";", ", ")</f>
        <v>Tree, Depth-First Search, Binary Tree, </v>
      </c>
      <c r="J802" s="13" t="str">
        <f>Github!E$672</f>
        <v>Easy</v>
      </c>
      <c r="K802" s="13" t="str">
        <f>IF(TRIM(Github!D$672)="TRUE","FALSE","TRUE")</f>
        <v>TRUE</v>
      </c>
      <c r="L802" s="13" t="b">
        <f>Github!M$672</f>
        <v>1</v>
      </c>
      <c r="M802" s="13" t="b">
        <f>Github!N$672</f>
        <v>0</v>
      </c>
      <c r="N802" s="13">
        <f>Github!P$672</f>
        <v>161631</v>
      </c>
      <c r="O802" s="13">
        <f>Github!Q$672</f>
        <v>367065</v>
      </c>
    </row>
    <row r="803">
      <c r="A803" s="13">
        <f>Github!J$360</f>
        <v>359</v>
      </c>
      <c r="B803" s="14" t="str">
        <f>HYPERLINK(CONCAT("http://leetcode.com/problems/",Github!C$360), Github!B$360)</f>
        <v>Logger Rate Limiter</v>
      </c>
      <c r="C803" s="13">
        <f>Github!F$360</f>
        <v>1508</v>
      </c>
      <c r="D803" s="13">
        <f>Github!G$360</f>
        <v>180</v>
      </c>
      <c r="E803" s="13">
        <f>Github!F$360+Github!G$360</f>
        <v>1688</v>
      </c>
      <c r="F803" s="15">
        <f t="shared" si="1"/>
        <v>8.38</v>
      </c>
      <c r="G803" s="13" t="str">
        <f>ROUND(Github!O$360, 2)&amp;"%"</f>
        <v>75.58%</v>
      </c>
      <c r="H803" s="13" t="str">
        <f>Github!H$360</f>
        <v>Algorithms</v>
      </c>
      <c r="I803" s="16" t="str">
        <f>SUBSTITUTE(Github!L$360, ";", ", ")</f>
        <v>Hash Table, Design, </v>
      </c>
      <c r="J803" s="13" t="str">
        <f>Github!E$360</f>
        <v>Easy</v>
      </c>
      <c r="K803" s="13" t="str">
        <f>IF(TRIM(Github!D$360)="TRUE","FALSE","TRUE")</f>
        <v>FALSE</v>
      </c>
      <c r="L803" s="13" t="b">
        <f>Github!M$360</f>
        <v>1</v>
      </c>
      <c r="M803" s="13" t="b">
        <f>Github!N$360</f>
        <v>0</v>
      </c>
      <c r="N803" s="13">
        <f>Github!P$360</f>
        <v>266979</v>
      </c>
      <c r="O803" s="13">
        <f>Github!Q$360</f>
        <v>353262</v>
      </c>
    </row>
    <row r="804">
      <c r="A804" s="13">
        <f>Github!J$1305</f>
        <v>1304</v>
      </c>
      <c r="B804" s="14" t="str">
        <f>HYPERLINK(CONCAT("http://leetcode.com/problems/",Github!C$1305), Github!B$1305)</f>
        <v>Find N Unique Integers Sum up to Zero</v>
      </c>
      <c r="C804" s="13">
        <f>Github!F$1305</f>
        <v>1521</v>
      </c>
      <c r="D804" s="13">
        <f>Github!G$1305</f>
        <v>531</v>
      </c>
      <c r="E804" s="13">
        <f>Github!F$1305+Github!G$1305</f>
        <v>2052</v>
      </c>
      <c r="F804" s="15">
        <f t="shared" si="1"/>
        <v>2.86</v>
      </c>
      <c r="G804" s="13" t="str">
        <f>ROUND(Github!O$1305, 2)&amp;"%"</f>
        <v>77.13%</v>
      </c>
      <c r="H804" s="13" t="str">
        <f>Github!H$1305</f>
        <v>Algorithms</v>
      </c>
      <c r="I804" s="16" t="str">
        <f>SUBSTITUTE(Github!L$1305, ";", ", ")</f>
        <v>Array, Math, </v>
      </c>
      <c r="J804" s="13" t="str">
        <f>Github!E$1305</f>
        <v>Easy</v>
      </c>
      <c r="K804" s="13" t="str">
        <f>IF(TRIM(Github!D$1305)="TRUE","FALSE","TRUE")</f>
        <v>TRUE</v>
      </c>
      <c r="L804" s="13" t="b">
        <f>Github!M$1305</f>
        <v>0</v>
      </c>
      <c r="M804" s="13" t="b">
        <f>Github!N$1305</f>
        <v>0</v>
      </c>
      <c r="N804" s="13">
        <f>Github!P$1305</f>
        <v>173235</v>
      </c>
      <c r="O804" s="13">
        <f>Github!Q$1305</f>
        <v>224589</v>
      </c>
    </row>
    <row r="805">
      <c r="A805" s="13">
        <f>Github!J$915</f>
        <v>914</v>
      </c>
      <c r="B805" s="14" t="str">
        <f>HYPERLINK(CONCAT("http://leetcode.com/problems/",Github!C$915), Github!B$915)</f>
        <v>X of a Kind in a Deck of Cards</v>
      </c>
      <c r="C805" s="13">
        <f>Github!F$915</f>
        <v>1517</v>
      </c>
      <c r="D805" s="13">
        <f>Github!G$915</f>
        <v>371</v>
      </c>
      <c r="E805" s="13">
        <f>Github!F$915+Github!G$915</f>
        <v>1888</v>
      </c>
      <c r="F805" s="15">
        <f t="shared" si="1"/>
        <v>4.09</v>
      </c>
      <c r="G805" s="13" t="str">
        <f>ROUND(Github!O$915, 2)&amp;"%"</f>
        <v>31.74%</v>
      </c>
      <c r="H805" s="13" t="str">
        <f>Github!H$915</f>
        <v>Algorithms</v>
      </c>
      <c r="I805" s="16" t="str">
        <f>SUBSTITUTE(Github!L$915, ";", ", ")</f>
        <v>Array, Hash Table, Math, Counting, Number Theory, </v>
      </c>
      <c r="J805" s="13" t="str">
        <f>Github!E$915</f>
        <v>Easy</v>
      </c>
      <c r="K805" s="13" t="str">
        <f>IF(TRIM(Github!D$915)="TRUE","FALSE","TRUE")</f>
        <v>TRUE</v>
      </c>
      <c r="L805" s="13" t="b">
        <f>Github!M$915</f>
        <v>1</v>
      </c>
      <c r="M805" s="13" t="b">
        <f>Github!N$915</f>
        <v>0</v>
      </c>
      <c r="N805" s="13">
        <f>Github!P$915</f>
        <v>99445</v>
      </c>
      <c r="O805" s="13">
        <f>Github!Q$915</f>
        <v>313354</v>
      </c>
    </row>
    <row r="806">
      <c r="A806" s="13">
        <f>Github!J$185</f>
        <v>184</v>
      </c>
      <c r="B806" s="14" t="str">
        <f>HYPERLINK(CONCAT("http://leetcode.com/problems/",Github!C$185), Github!B$185)</f>
        <v>Department Highest Salary</v>
      </c>
      <c r="C806" s="13">
        <f>Github!F$185</f>
        <v>1509</v>
      </c>
      <c r="D806" s="13">
        <f>Github!G$185</f>
        <v>167</v>
      </c>
      <c r="E806" s="13">
        <f>Github!F$185+Github!G$185</f>
        <v>1676</v>
      </c>
      <c r="F806" s="15">
        <f t="shared" si="1"/>
        <v>9.04</v>
      </c>
      <c r="G806" s="13" t="str">
        <f>ROUND(Github!O$185, 2)&amp;"%"</f>
        <v>49.81%</v>
      </c>
      <c r="H806" s="13" t="str">
        <f>Github!H$185</f>
        <v>Database</v>
      </c>
      <c r="I806" s="16" t="str">
        <f>SUBSTITUTE(Github!L$185, ";", ", ")</f>
        <v>Database, </v>
      </c>
      <c r="J806" s="13" t="str">
        <f>Github!E$185</f>
        <v>Medium</v>
      </c>
      <c r="K806" s="13" t="str">
        <f>IF(TRIM(Github!D$185)="TRUE","FALSE","TRUE")</f>
        <v>TRUE</v>
      </c>
      <c r="L806" s="13" t="b">
        <f>Github!M$185</f>
        <v>1</v>
      </c>
      <c r="M806" s="13" t="b">
        <f>Github!N$185</f>
        <v>0</v>
      </c>
      <c r="N806" s="13">
        <f>Github!P$185</f>
        <v>272747</v>
      </c>
      <c r="O806" s="13">
        <f>Github!Q$185</f>
        <v>547521</v>
      </c>
    </row>
    <row r="807">
      <c r="A807" s="13">
        <f>Github!J$1106</f>
        <v>1105</v>
      </c>
      <c r="B807" s="14" t="str">
        <f>HYPERLINK(CONCAT("http://leetcode.com/problems/",Github!C$1106), Github!B$1106)</f>
        <v>Filling Bookcase Shelves</v>
      </c>
      <c r="C807" s="13">
        <f>Github!F$1106</f>
        <v>1508</v>
      </c>
      <c r="D807" s="13">
        <f>Github!G$1106</f>
        <v>99</v>
      </c>
      <c r="E807" s="13">
        <f>Github!F$1106+Github!G$1106</f>
        <v>1607</v>
      </c>
      <c r="F807" s="15">
        <f t="shared" si="1"/>
        <v>15.23</v>
      </c>
      <c r="G807" s="13" t="str">
        <f>ROUND(Github!O$1106, 2)&amp;"%"</f>
        <v>59.22%</v>
      </c>
      <c r="H807" s="13" t="str">
        <f>Github!H$1106</f>
        <v>Algorithms</v>
      </c>
      <c r="I807" s="16" t="str">
        <f>SUBSTITUTE(Github!L$1106, ";", ", ")</f>
        <v>Array, Dynamic Programming, </v>
      </c>
      <c r="J807" s="13" t="str">
        <f>Github!E$1106</f>
        <v>Medium</v>
      </c>
      <c r="K807" s="13" t="str">
        <f>IF(TRIM(Github!D$1106)="TRUE","FALSE","TRUE")</f>
        <v>TRUE</v>
      </c>
      <c r="L807" s="13" t="b">
        <f>Github!M$1106</f>
        <v>0</v>
      </c>
      <c r="M807" s="13" t="b">
        <f>Github!N$1106</f>
        <v>0</v>
      </c>
      <c r="N807" s="13">
        <f>Github!P$1106</f>
        <v>42014</v>
      </c>
      <c r="O807" s="13">
        <f>Github!Q$1106</f>
        <v>70944</v>
      </c>
    </row>
    <row r="808">
      <c r="A808" s="13">
        <f>Github!J$1977</f>
        <v>1976</v>
      </c>
      <c r="B808" s="14" t="str">
        <f>HYPERLINK(CONCAT("http://leetcode.com/problems/",Github!C$1977), Github!B$1977)</f>
        <v>Number of Ways to Arrive at Destination</v>
      </c>
      <c r="C808" s="13">
        <f>Github!F$1977</f>
        <v>1567</v>
      </c>
      <c r="D808" s="13">
        <f>Github!G$1977</f>
        <v>51</v>
      </c>
      <c r="E808" s="13">
        <f>Github!F$1977+Github!G$1977</f>
        <v>1618</v>
      </c>
      <c r="F808" s="15">
        <f t="shared" si="1"/>
        <v>30.73</v>
      </c>
      <c r="G808" s="13" t="str">
        <f>ROUND(Github!O$1977, 2)&amp;"%"</f>
        <v>31.85%</v>
      </c>
      <c r="H808" s="13" t="str">
        <f>Github!H$1977</f>
        <v>Algorithms</v>
      </c>
      <c r="I808" s="16" t="str">
        <f>SUBSTITUTE(Github!L$1977, ";", ", ")</f>
        <v>Dynamic Programming, Graph, Topological Sort, Shortest Path, </v>
      </c>
      <c r="J808" s="13" t="str">
        <f>Github!E$1977</f>
        <v>Medium</v>
      </c>
      <c r="K808" s="13" t="str">
        <f>IF(TRIM(Github!D$1977)="TRUE","FALSE","TRUE")</f>
        <v>TRUE</v>
      </c>
      <c r="L808" s="13" t="b">
        <f>Github!M$1977</f>
        <v>0</v>
      </c>
      <c r="M808" s="13" t="b">
        <f>Github!N$1977</f>
        <v>0</v>
      </c>
      <c r="N808" s="13">
        <f>Github!P$1977</f>
        <v>24393</v>
      </c>
      <c r="O808" s="13">
        <f>Github!Q$1977</f>
        <v>76599</v>
      </c>
    </row>
    <row r="809">
      <c r="A809" s="13">
        <f>Github!J$732</f>
        <v>731</v>
      </c>
      <c r="B809" s="14" t="str">
        <f>HYPERLINK(CONCAT("http://leetcode.com/problems/",Github!C$732), Github!B$732)</f>
        <v>My Calendar II</v>
      </c>
      <c r="C809" s="13">
        <f>Github!F$732</f>
        <v>1497</v>
      </c>
      <c r="D809" s="13">
        <f>Github!G$732</f>
        <v>137</v>
      </c>
      <c r="E809" s="13">
        <f>Github!F$732+Github!G$732</f>
        <v>1634</v>
      </c>
      <c r="F809" s="15">
        <f t="shared" si="1"/>
        <v>10.93</v>
      </c>
      <c r="G809" s="13" t="str">
        <f>ROUND(Github!O$732, 2)&amp;"%"</f>
        <v>54.88%</v>
      </c>
      <c r="H809" s="13" t="str">
        <f>Github!H$732</f>
        <v>Algorithms</v>
      </c>
      <c r="I809" s="16" t="str">
        <f>SUBSTITUTE(Github!L$732, ";", ", ")</f>
        <v>Binary Search, Design, Segment Tree, Ordered Set, </v>
      </c>
      <c r="J809" s="13" t="str">
        <f>Github!E$732</f>
        <v>Medium</v>
      </c>
      <c r="K809" s="13" t="str">
        <f>IF(TRIM(Github!D$732)="TRUE","FALSE","TRUE")</f>
        <v>TRUE</v>
      </c>
      <c r="L809" s="13" t="b">
        <f>Github!M$732</f>
        <v>1</v>
      </c>
      <c r="M809" s="13" t="b">
        <f>Github!N$732</f>
        <v>0</v>
      </c>
      <c r="N809" s="13">
        <f>Github!P$732</f>
        <v>87184</v>
      </c>
      <c r="O809" s="13">
        <f>Github!Q$732</f>
        <v>158853</v>
      </c>
    </row>
    <row r="810">
      <c r="A810" s="13">
        <f>Github!J$1761</f>
        <v>1760</v>
      </c>
      <c r="B810" s="14" t="str">
        <f>HYPERLINK(CONCAT("http://leetcode.com/problems/",Github!C$1761), Github!B$1761)</f>
        <v>Minimum Limit of Balls in a Bag</v>
      </c>
      <c r="C810" s="13">
        <f>Github!F$1761</f>
        <v>1504</v>
      </c>
      <c r="D810" s="13">
        <f>Github!G$1761</f>
        <v>40</v>
      </c>
      <c r="E810" s="13">
        <f>Github!F$1761+Github!G$1761</f>
        <v>1544</v>
      </c>
      <c r="F810" s="15">
        <f t="shared" si="1"/>
        <v>37.6</v>
      </c>
      <c r="G810" s="13" t="str">
        <f>ROUND(Github!O$1761, 2)&amp;"%"</f>
        <v>60.38%</v>
      </c>
      <c r="H810" s="13" t="str">
        <f>Github!H$1761</f>
        <v>Algorithms</v>
      </c>
      <c r="I810" s="16" t="str">
        <f>SUBSTITUTE(Github!L$1761, ";", ", ")</f>
        <v>Array, Binary Search, </v>
      </c>
      <c r="J810" s="13" t="str">
        <f>Github!E$1761</f>
        <v>Medium</v>
      </c>
      <c r="K810" s="13" t="str">
        <f>IF(TRIM(Github!D$1761)="TRUE","FALSE","TRUE")</f>
        <v>TRUE</v>
      </c>
      <c r="L810" s="13" t="b">
        <f>Github!M$1761</f>
        <v>0</v>
      </c>
      <c r="M810" s="13" t="b">
        <f>Github!N$1761</f>
        <v>0</v>
      </c>
      <c r="N810" s="13">
        <f>Github!P$1761</f>
        <v>27217</v>
      </c>
      <c r="O810" s="13">
        <f>Github!Q$1761</f>
        <v>45078</v>
      </c>
    </row>
    <row r="811">
      <c r="A811" s="13">
        <f>Github!J$183</f>
        <v>182</v>
      </c>
      <c r="B811" s="14" t="str">
        <f>HYPERLINK(CONCAT("http://leetcode.com/problems/",Github!C$183), Github!B$183)</f>
        <v>Duplicate Emails</v>
      </c>
      <c r="C811" s="13">
        <f>Github!F$183</f>
        <v>1506</v>
      </c>
      <c r="D811" s="13">
        <f>Github!G$183</f>
        <v>53</v>
      </c>
      <c r="E811" s="13">
        <f>Github!F$183+Github!G$183</f>
        <v>1559</v>
      </c>
      <c r="F811" s="15">
        <f t="shared" si="1"/>
        <v>28.42</v>
      </c>
      <c r="G811" s="13" t="str">
        <f>ROUND(Github!O$183, 2)&amp;"%"</f>
        <v>70.76%</v>
      </c>
      <c r="H811" s="13" t="str">
        <f>Github!H$183</f>
        <v>Database</v>
      </c>
      <c r="I811" s="16" t="str">
        <f>SUBSTITUTE(Github!L$183, ";", ", ")</f>
        <v>Database, </v>
      </c>
      <c r="J811" s="13" t="str">
        <f>Github!E$183</f>
        <v>Easy</v>
      </c>
      <c r="K811" s="13" t="str">
        <f>IF(TRIM(Github!D$183)="TRUE","FALSE","TRUE")</f>
        <v>TRUE</v>
      </c>
      <c r="L811" s="13" t="b">
        <f>Github!M$183</f>
        <v>1</v>
      </c>
      <c r="M811" s="13" t="b">
        <f>Github!N$183</f>
        <v>0</v>
      </c>
      <c r="N811" s="13">
        <f>Github!P$183</f>
        <v>450053</v>
      </c>
      <c r="O811" s="13">
        <f>Github!Q$183</f>
        <v>636017</v>
      </c>
    </row>
    <row r="812">
      <c r="A812" s="13">
        <f>Github!J$776</f>
        <v>775</v>
      </c>
      <c r="B812" s="14" t="str">
        <f>HYPERLINK(CONCAT("http://leetcode.com/problems/",Github!C$776), Github!B$776)</f>
        <v>Global and Local Inversions</v>
      </c>
      <c r="C812" s="13">
        <f>Github!F$776</f>
        <v>1488</v>
      </c>
      <c r="D812" s="13">
        <f>Github!G$776</f>
        <v>345</v>
      </c>
      <c r="E812" s="13">
        <f>Github!F$776+Github!G$776</f>
        <v>1833</v>
      </c>
      <c r="F812" s="15">
        <f t="shared" si="1"/>
        <v>4.31</v>
      </c>
      <c r="G812" s="13" t="str">
        <f>ROUND(Github!O$776, 2)&amp;"%"</f>
        <v>43.54%</v>
      </c>
      <c r="H812" s="13" t="str">
        <f>Github!H$776</f>
        <v>Algorithms</v>
      </c>
      <c r="I812" s="16" t="str">
        <f>SUBSTITUTE(Github!L$776, ";", ", ")</f>
        <v>Array, Math, </v>
      </c>
      <c r="J812" s="13" t="str">
        <f>Github!E$776</f>
        <v>Medium</v>
      </c>
      <c r="K812" s="13" t="str">
        <f>IF(TRIM(Github!D$776)="TRUE","FALSE","TRUE")</f>
        <v>TRUE</v>
      </c>
      <c r="L812" s="13" t="b">
        <f>Github!M$776</f>
        <v>1</v>
      </c>
      <c r="M812" s="13" t="b">
        <f>Github!N$776</f>
        <v>0</v>
      </c>
      <c r="N812" s="13">
        <f>Github!P$776</f>
        <v>62353</v>
      </c>
      <c r="O812" s="13">
        <f>Github!Q$776</f>
        <v>143221</v>
      </c>
    </row>
    <row r="813">
      <c r="A813" s="13">
        <f>Github!J$553</f>
        <v>552</v>
      </c>
      <c r="B813" s="14" t="str">
        <f>HYPERLINK(CONCAT("http://leetcode.com/problems/",Github!C$553), Github!B$553)</f>
        <v>Student Attendance Record II</v>
      </c>
      <c r="C813" s="13">
        <f>Github!F$553</f>
        <v>1491</v>
      </c>
      <c r="D813" s="13">
        <f>Github!G$553</f>
        <v>241</v>
      </c>
      <c r="E813" s="13">
        <f>Github!F$553+Github!G$553</f>
        <v>1732</v>
      </c>
      <c r="F813" s="15">
        <f t="shared" si="1"/>
        <v>6.19</v>
      </c>
      <c r="G813" s="13" t="str">
        <f>ROUND(Github!O$553, 2)&amp;"%"</f>
        <v>41.27%</v>
      </c>
      <c r="H813" s="13" t="str">
        <f>Github!H$553</f>
        <v>Algorithms</v>
      </c>
      <c r="I813" s="16" t="str">
        <f>SUBSTITUTE(Github!L$553, ";", ", ")</f>
        <v>Dynamic Programming, </v>
      </c>
      <c r="J813" s="13" t="str">
        <f>Github!E$553</f>
        <v>Hard</v>
      </c>
      <c r="K813" s="13" t="str">
        <f>IF(TRIM(Github!D$553)="TRUE","FALSE","TRUE")</f>
        <v>TRUE</v>
      </c>
      <c r="L813" s="13" t="b">
        <f>Github!M$553</f>
        <v>1</v>
      </c>
      <c r="M813" s="13" t="b">
        <f>Github!N$553</f>
        <v>0</v>
      </c>
      <c r="N813" s="13">
        <f>Github!P$553</f>
        <v>57381</v>
      </c>
      <c r="O813" s="13">
        <f>Github!Q$553</f>
        <v>139026</v>
      </c>
    </row>
    <row r="814">
      <c r="A814" s="13">
        <f>Github!J$596</f>
        <v>595</v>
      </c>
      <c r="B814" s="14" t="str">
        <f>HYPERLINK(CONCAT("http://leetcode.com/problems/",Github!C$596), Github!B$596)</f>
        <v>Big Countries</v>
      </c>
      <c r="C814" s="13">
        <f>Github!F$596</f>
        <v>1514</v>
      </c>
      <c r="D814" s="13">
        <f>Github!G$596</f>
        <v>1066</v>
      </c>
      <c r="E814" s="13">
        <f>Github!F$596+Github!G$596</f>
        <v>2580</v>
      </c>
      <c r="F814" s="15">
        <f t="shared" si="1"/>
        <v>1.42</v>
      </c>
      <c r="G814" s="13" t="str">
        <f>ROUND(Github!O$596, 2)&amp;"%"</f>
        <v>72.26%</v>
      </c>
      <c r="H814" s="13" t="str">
        <f>Github!H$596</f>
        <v>Database</v>
      </c>
      <c r="I814" s="16" t="str">
        <f>SUBSTITUTE(Github!L$596, ";", ", ")</f>
        <v>Database, </v>
      </c>
      <c r="J814" s="13" t="str">
        <f>Github!E$596</f>
        <v>Easy</v>
      </c>
      <c r="K814" s="13" t="str">
        <f>IF(TRIM(Github!D$596)="TRUE","FALSE","TRUE")</f>
        <v>TRUE</v>
      </c>
      <c r="L814" s="13" t="b">
        <f>Github!M$596</f>
        <v>1</v>
      </c>
      <c r="M814" s="13" t="b">
        <f>Github!N$596</f>
        <v>0</v>
      </c>
      <c r="N814" s="13">
        <f>Github!P$596</f>
        <v>509283</v>
      </c>
      <c r="O814" s="13">
        <f>Github!Q$596</f>
        <v>704755</v>
      </c>
    </row>
    <row r="815">
      <c r="A815" s="13">
        <f>Github!J$1382</f>
        <v>1381</v>
      </c>
      <c r="B815" s="14" t="str">
        <f>HYPERLINK(CONCAT("http://leetcode.com/problems/",Github!C$1382), Github!B$1382)</f>
        <v>Design a Stack With Increment Operation</v>
      </c>
      <c r="C815" s="13">
        <f>Github!F$1382</f>
        <v>1485</v>
      </c>
      <c r="D815" s="13">
        <f>Github!G$1382</f>
        <v>81</v>
      </c>
      <c r="E815" s="13">
        <f>Github!F$1382+Github!G$1382</f>
        <v>1566</v>
      </c>
      <c r="F815" s="15">
        <f t="shared" si="1"/>
        <v>18.33</v>
      </c>
      <c r="G815" s="13" t="str">
        <f>ROUND(Github!O$1382, 2)&amp;"%"</f>
        <v>77.26%</v>
      </c>
      <c r="H815" s="13" t="str">
        <f>Github!H$1382</f>
        <v>Algorithms</v>
      </c>
      <c r="I815" s="16" t="str">
        <f>SUBSTITUTE(Github!L$1382, ";", ", ")</f>
        <v>Array, Stack, Design, </v>
      </c>
      <c r="J815" s="13" t="str">
        <f>Github!E$1382</f>
        <v>Medium</v>
      </c>
      <c r="K815" s="13" t="str">
        <f>IF(TRIM(Github!D$1382)="TRUE","FALSE","TRUE")</f>
        <v>TRUE</v>
      </c>
      <c r="L815" s="13" t="b">
        <f>Github!M$1382</f>
        <v>0</v>
      </c>
      <c r="M815" s="13" t="b">
        <f>Github!N$1382</f>
        <v>0</v>
      </c>
      <c r="N815" s="13">
        <f>Github!P$1382</f>
        <v>86347</v>
      </c>
      <c r="O815" s="13">
        <f>Github!Q$1382</f>
        <v>111757</v>
      </c>
    </row>
    <row r="816">
      <c r="A816" s="13">
        <f>Github!J$371</f>
        <v>370</v>
      </c>
      <c r="B816" s="14" t="str">
        <f>HYPERLINK(CONCAT("http://leetcode.com/problems/",Github!C$371), Github!B$371)</f>
        <v>Range Addition</v>
      </c>
      <c r="C816" s="13">
        <f>Github!F$371</f>
        <v>1472</v>
      </c>
      <c r="D816" s="13">
        <f>Github!G$371</f>
        <v>74</v>
      </c>
      <c r="E816" s="13">
        <f>Github!F$371+Github!G$371</f>
        <v>1546</v>
      </c>
      <c r="F816" s="15">
        <f t="shared" si="1"/>
        <v>19.89</v>
      </c>
      <c r="G816" s="13" t="str">
        <f>ROUND(Github!O$371, 2)&amp;"%"</f>
        <v>71%</v>
      </c>
      <c r="H816" s="13" t="str">
        <f>Github!H$371</f>
        <v>Algorithms</v>
      </c>
      <c r="I816" s="16" t="str">
        <f>SUBSTITUTE(Github!L$371, ";", ", ")</f>
        <v>Array, Prefix Sum, </v>
      </c>
      <c r="J816" s="13" t="str">
        <f>Github!E$371</f>
        <v>Medium</v>
      </c>
      <c r="K816" s="13" t="str">
        <f>IF(TRIM(Github!D$371)="TRUE","FALSE","TRUE")</f>
        <v>FALSE</v>
      </c>
      <c r="L816" s="13" t="b">
        <f>Github!M$371</f>
        <v>1</v>
      </c>
      <c r="M816" s="13" t="b">
        <f>Github!N$371</f>
        <v>0</v>
      </c>
      <c r="N816" s="13">
        <f>Github!P$371</f>
        <v>83593</v>
      </c>
      <c r="O816" s="13">
        <f>Github!Q$371</f>
        <v>117734</v>
      </c>
    </row>
    <row r="817">
      <c r="A817" s="13">
        <f>Github!J$1187</f>
        <v>1186</v>
      </c>
      <c r="B817" s="14" t="str">
        <f>HYPERLINK(CONCAT("http://leetcode.com/problems/",Github!C$1187), Github!B$1187)</f>
        <v>Maximum Subarray Sum with One Deletion</v>
      </c>
      <c r="C817" s="13">
        <f>Github!F$1187</f>
        <v>1480</v>
      </c>
      <c r="D817" s="13">
        <f>Github!G$1187</f>
        <v>52</v>
      </c>
      <c r="E817" s="13">
        <f>Github!F$1187+Github!G$1187</f>
        <v>1532</v>
      </c>
      <c r="F817" s="15">
        <f t="shared" si="1"/>
        <v>28.46</v>
      </c>
      <c r="G817" s="13" t="str">
        <f>ROUND(Github!O$1187, 2)&amp;"%"</f>
        <v>41.34%</v>
      </c>
      <c r="H817" s="13" t="str">
        <f>Github!H$1187</f>
        <v>Algorithms</v>
      </c>
      <c r="I817" s="16" t="str">
        <f>SUBSTITUTE(Github!L$1187, ";", ", ")</f>
        <v>Array, Dynamic Programming, </v>
      </c>
      <c r="J817" s="13" t="str">
        <f>Github!E$1187</f>
        <v>Medium</v>
      </c>
      <c r="K817" s="13" t="str">
        <f>IF(TRIM(Github!D$1187)="TRUE","FALSE","TRUE")</f>
        <v>TRUE</v>
      </c>
      <c r="L817" s="13" t="b">
        <f>Github!M$1187</f>
        <v>0</v>
      </c>
      <c r="M817" s="13" t="b">
        <f>Github!N$1187</f>
        <v>0</v>
      </c>
      <c r="N817" s="13">
        <f>Github!P$1187</f>
        <v>37379</v>
      </c>
      <c r="O817" s="13">
        <f>Github!Q$1187</f>
        <v>90412</v>
      </c>
    </row>
    <row r="818">
      <c r="A818" s="13">
        <f>Github!J$1476</f>
        <v>1475</v>
      </c>
      <c r="B818" s="14" t="str">
        <f>HYPERLINK(CONCAT("http://leetcode.com/problems/",Github!C$1476), Github!B$1476)</f>
        <v>Final Prices With a Special Discount in a Shop</v>
      </c>
      <c r="C818" s="13">
        <f>Github!F$1476</f>
        <v>1487</v>
      </c>
      <c r="D818" s="13">
        <f>Github!G$1476</f>
        <v>88</v>
      </c>
      <c r="E818" s="13">
        <f>Github!F$1476+Github!G$1476</f>
        <v>1575</v>
      </c>
      <c r="F818" s="15">
        <f t="shared" si="1"/>
        <v>16.9</v>
      </c>
      <c r="G818" s="13" t="str">
        <f>ROUND(Github!O$1476, 2)&amp;"%"</f>
        <v>75.65%</v>
      </c>
      <c r="H818" s="13" t="str">
        <f>Github!H$1476</f>
        <v>Algorithms</v>
      </c>
      <c r="I818" s="16" t="str">
        <f>SUBSTITUTE(Github!L$1476, ";", ", ")</f>
        <v>Array, Stack, Monotonic Stack, </v>
      </c>
      <c r="J818" s="13" t="str">
        <f>Github!E$1476</f>
        <v>Easy</v>
      </c>
      <c r="K818" s="13" t="str">
        <f>IF(TRIM(Github!D$1476)="TRUE","FALSE","TRUE")</f>
        <v>TRUE</v>
      </c>
      <c r="L818" s="13" t="b">
        <f>Github!M$1476</f>
        <v>0</v>
      </c>
      <c r="M818" s="13" t="b">
        <f>Github!N$1476</f>
        <v>0</v>
      </c>
      <c r="N818" s="13">
        <f>Github!P$1476</f>
        <v>98013</v>
      </c>
      <c r="O818" s="13">
        <f>Github!Q$1476</f>
        <v>129560</v>
      </c>
    </row>
    <row r="819">
      <c r="A819" s="13">
        <f>Github!J$1263</f>
        <v>1262</v>
      </c>
      <c r="B819" s="14" t="str">
        <f>HYPERLINK(CONCAT("http://leetcode.com/problems/",Github!C$1263), Github!B$1263)</f>
        <v>Greatest Sum Divisible by Three</v>
      </c>
      <c r="C819" s="13">
        <f>Github!F$1263</f>
        <v>1472</v>
      </c>
      <c r="D819" s="13">
        <f>Github!G$1263</f>
        <v>36</v>
      </c>
      <c r="E819" s="13">
        <f>Github!F$1263+Github!G$1263</f>
        <v>1508</v>
      </c>
      <c r="F819" s="15">
        <f t="shared" si="1"/>
        <v>40.89</v>
      </c>
      <c r="G819" s="13" t="str">
        <f>ROUND(Github!O$1263, 2)&amp;"%"</f>
        <v>50.88%</v>
      </c>
      <c r="H819" s="13" t="str">
        <f>Github!H$1263</f>
        <v>Algorithms</v>
      </c>
      <c r="I819" s="16" t="str">
        <f>SUBSTITUTE(Github!L$1263, ";", ", ")</f>
        <v>Array, Dynamic Programming, Greedy, </v>
      </c>
      <c r="J819" s="13" t="str">
        <f>Github!E$1263</f>
        <v>Medium</v>
      </c>
      <c r="K819" s="13" t="str">
        <f>IF(TRIM(Github!D$1263)="TRUE","FALSE","TRUE")</f>
        <v>TRUE</v>
      </c>
      <c r="L819" s="13" t="b">
        <f>Github!M$1263</f>
        <v>0</v>
      </c>
      <c r="M819" s="13" t="b">
        <f>Github!N$1263</f>
        <v>0</v>
      </c>
      <c r="N819" s="13">
        <f>Github!P$1263</f>
        <v>43993</v>
      </c>
      <c r="O819" s="13">
        <f>Github!Q$1263</f>
        <v>86469</v>
      </c>
    </row>
    <row r="820">
      <c r="A820" s="13">
        <f>Github!J$1109</f>
        <v>1108</v>
      </c>
      <c r="B820" s="14" t="str">
        <f>HYPERLINK(CONCAT("http://leetcode.com/problems/",Github!C$1109), Github!B$1109)</f>
        <v>Defanging an IP Address</v>
      </c>
      <c r="C820" s="13">
        <f>Github!F$1109</f>
        <v>1473</v>
      </c>
      <c r="D820" s="13">
        <f>Github!G$1109</f>
        <v>1619</v>
      </c>
      <c r="E820" s="13">
        <f>Github!F$1109+Github!G$1109</f>
        <v>3092</v>
      </c>
      <c r="F820" s="15">
        <f t="shared" si="1"/>
        <v>0.91</v>
      </c>
      <c r="G820" s="13" t="str">
        <f>ROUND(Github!O$1109, 2)&amp;"%"</f>
        <v>89.25%</v>
      </c>
      <c r="H820" s="13" t="str">
        <f>Github!H$1109</f>
        <v>Algorithms</v>
      </c>
      <c r="I820" s="16" t="str">
        <f>SUBSTITUTE(Github!L$1109, ";", ", ")</f>
        <v>String, </v>
      </c>
      <c r="J820" s="13" t="str">
        <f>Github!E$1109</f>
        <v>Easy</v>
      </c>
      <c r="K820" s="13" t="str">
        <f>IF(TRIM(Github!D$1109)="TRUE","FALSE","TRUE")</f>
        <v>TRUE</v>
      </c>
      <c r="L820" s="13" t="b">
        <f>Github!M$1109</f>
        <v>0</v>
      </c>
      <c r="M820" s="13" t="b">
        <f>Github!N$1109</f>
        <v>0</v>
      </c>
      <c r="N820" s="13">
        <f>Github!P$1109</f>
        <v>477311</v>
      </c>
      <c r="O820" s="13">
        <f>Github!Q$1109</f>
        <v>534789</v>
      </c>
    </row>
    <row r="821">
      <c r="A821" s="13">
        <f>Github!J$347</f>
        <v>346</v>
      </c>
      <c r="B821" s="14" t="str">
        <f>HYPERLINK(CONCAT("http://leetcode.com/problems/",Github!C$347), Github!B$347)</f>
        <v>Moving Average from Data Stream</v>
      </c>
      <c r="C821" s="13">
        <f>Github!F$347</f>
        <v>1462</v>
      </c>
      <c r="D821" s="13">
        <f>Github!G$347</f>
        <v>145</v>
      </c>
      <c r="E821" s="13">
        <f>Github!F$347+Github!G$347</f>
        <v>1607</v>
      </c>
      <c r="F821" s="15">
        <f t="shared" si="1"/>
        <v>10.08</v>
      </c>
      <c r="G821" s="13" t="str">
        <f>ROUND(Github!O$347, 2)&amp;"%"</f>
        <v>77.09%</v>
      </c>
      <c r="H821" s="13" t="str">
        <f>Github!H$347</f>
        <v>Algorithms</v>
      </c>
      <c r="I821" s="16" t="str">
        <f>SUBSTITUTE(Github!L$347, ";", ", ")</f>
        <v>Array, Design, Queue, Data Stream, </v>
      </c>
      <c r="J821" s="13" t="str">
        <f>Github!E$347</f>
        <v>Easy</v>
      </c>
      <c r="K821" s="13" t="str">
        <f>IF(TRIM(Github!D$347)="TRUE","FALSE","TRUE")</f>
        <v>FALSE</v>
      </c>
      <c r="L821" s="13" t="b">
        <f>Github!M$347</f>
        <v>1</v>
      </c>
      <c r="M821" s="13" t="b">
        <f>Github!N$347</f>
        <v>1</v>
      </c>
      <c r="N821" s="13">
        <f>Github!P$347</f>
        <v>298176</v>
      </c>
      <c r="O821" s="13">
        <f>Github!Q$347</f>
        <v>386810</v>
      </c>
    </row>
    <row r="822">
      <c r="A822" s="13">
        <f>Github!J$250</f>
        <v>249</v>
      </c>
      <c r="B822" s="14" t="str">
        <f>HYPERLINK(CONCAT("http://leetcode.com/problems/",Github!C$250), Github!B$250)</f>
        <v>Group Shifted Strings</v>
      </c>
      <c r="C822" s="13">
        <f>Github!F$250</f>
        <v>1454</v>
      </c>
      <c r="D822" s="13">
        <f>Github!G$250</f>
        <v>282</v>
      </c>
      <c r="E822" s="13">
        <f>Github!F$250+Github!G$250</f>
        <v>1736</v>
      </c>
      <c r="F822" s="15">
        <f t="shared" si="1"/>
        <v>5.16</v>
      </c>
      <c r="G822" s="13" t="str">
        <f>ROUND(Github!O$250, 2)&amp;"%"</f>
        <v>64.3%</v>
      </c>
      <c r="H822" s="13" t="str">
        <f>Github!H$250</f>
        <v>Algorithms</v>
      </c>
      <c r="I822" s="16" t="str">
        <f>SUBSTITUTE(Github!L$250, ";", ", ")</f>
        <v>Array, Hash Table, String, </v>
      </c>
      <c r="J822" s="13" t="str">
        <f>Github!E$250</f>
        <v>Medium</v>
      </c>
      <c r="K822" s="13" t="str">
        <f>IF(TRIM(Github!D$250)="TRUE","FALSE","TRUE")</f>
        <v>FALSE</v>
      </c>
      <c r="L822" s="13" t="b">
        <f>Github!M$250</f>
        <v>1</v>
      </c>
      <c r="M822" s="13" t="b">
        <f>Github!N$250</f>
        <v>0</v>
      </c>
      <c r="N822" s="13">
        <f>Github!P$250</f>
        <v>187236</v>
      </c>
      <c r="O822" s="13">
        <f>Github!Q$250</f>
        <v>291199</v>
      </c>
    </row>
    <row r="823">
      <c r="A823" s="13">
        <f>Github!J$1478</f>
        <v>1477</v>
      </c>
      <c r="B823" s="14" t="str">
        <f>HYPERLINK(CONCAT("http://leetcode.com/problems/",Github!C$1478), Github!B$1478)</f>
        <v>Find Two Non-overlapping Sub-arrays Each With Target Sum</v>
      </c>
      <c r="C823" s="13">
        <f>Github!F$1478</f>
        <v>1453</v>
      </c>
      <c r="D823" s="13">
        <f>Github!G$1478</f>
        <v>73</v>
      </c>
      <c r="E823" s="13">
        <f>Github!F$1478+Github!G$1478</f>
        <v>1526</v>
      </c>
      <c r="F823" s="15">
        <f t="shared" si="1"/>
        <v>19.9</v>
      </c>
      <c r="G823" s="13" t="str">
        <f>ROUND(Github!O$1478, 2)&amp;"%"</f>
        <v>36.9%</v>
      </c>
      <c r="H823" s="13" t="str">
        <f>Github!H$1478</f>
        <v>Algorithms</v>
      </c>
      <c r="I823" s="16" t="str">
        <f>SUBSTITUTE(Github!L$1478, ";", ", ")</f>
        <v>Array, Hash Table, Binary Search, Dynamic Programming, Sliding Window, </v>
      </c>
      <c r="J823" s="13" t="str">
        <f>Github!E$1478</f>
        <v>Medium</v>
      </c>
      <c r="K823" s="13" t="str">
        <f>IF(TRIM(Github!D$1478)="TRUE","FALSE","TRUE")</f>
        <v>TRUE</v>
      </c>
      <c r="L823" s="13" t="b">
        <f>Github!M$1478</f>
        <v>0</v>
      </c>
      <c r="M823" s="13" t="b">
        <f>Github!N$1478</f>
        <v>0</v>
      </c>
      <c r="N823" s="13">
        <f>Github!P$1478</f>
        <v>42416</v>
      </c>
      <c r="O823" s="13">
        <f>Github!Q$1478</f>
        <v>114953</v>
      </c>
    </row>
    <row r="824">
      <c r="A824" s="13">
        <f>Github!J$1061</f>
        <v>1060</v>
      </c>
      <c r="B824" s="14" t="str">
        <f>HYPERLINK(CONCAT("http://leetcode.com/problems/",Github!C$1061), Github!B$1061)</f>
        <v>Missing Element in Sorted Array</v>
      </c>
      <c r="C824" s="13">
        <f>Github!F$1061</f>
        <v>1450</v>
      </c>
      <c r="D824" s="13">
        <f>Github!G$1061</f>
        <v>57</v>
      </c>
      <c r="E824" s="13">
        <f>Github!F$1061+Github!G$1061</f>
        <v>1507</v>
      </c>
      <c r="F824" s="15">
        <f t="shared" si="1"/>
        <v>25.44</v>
      </c>
      <c r="G824" s="13" t="str">
        <f>ROUND(Github!O$1061, 2)&amp;"%"</f>
        <v>54.6%</v>
      </c>
      <c r="H824" s="13" t="str">
        <f>Github!H$1061</f>
        <v>Algorithms</v>
      </c>
      <c r="I824" s="16" t="str">
        <f>SUBSTITUTE(Github!L$1061, ";", ", ")</f>
        <v>Array, Binary Search, </v>
      </c>
      <c r="J824" s="13" t="str">
        <f>Github!E$1061</f>
        <v>Medium</v>
      </c>
      <c r="K824" s="13" t="str">
        <f>IF(TRIM(Github!D$1061)="TRUE","FALSE","TRUE")</f>
        <v>FALSE</v>
      </c>
      <c r="L824" s="13" t="b">
        <f>Github!M$1061</f>
        <v>1</v>
      </c>
      <c r="M824" s="13" t="b">
        <f>Github!N$1061</f>
        <v>0</v>
      </c>
      <c r="N824" s="13">
        <f>Github!P$1061</f>
        <v>110193</v>
      </c>
      <c r="O824" s="13">
        <f>Github!Q$1061</f>
        <v>201812</v>
      </c>
    </row>
    <row r="825">
      <c r="A825" s="13">
        <f>Github!J$937</f>
        <v>936</v>
      </c>
      <c r="B825" s="14" t="str">
        <f>HYPERLINK(CONCAT("http://leetcode.com/problems/",Github!C$937), Github!B$937)</f>
        <v>Stamping The Sequence</v>
      </c>
      <c r="C825" s="13">
        <f>Github!F$937</f>
        <v>1445</v>
      </c>
      <c r="D825" s="13">
        <f>Github!G$937</f>
        <v>213</v>
      </c>
      <c r="E825" s="13">
        <f>Github!F$937+Github!G$937</f>
        <v>1658</v>
      </c>
      <c r="F825" s="15">
        <f t="shared" si="1"/>
        <v>6.78</v>
      </c>
      <c r="G825" s="13" t="str">
        <f>ROUND(Github!O$937, 2)&amp;"%"</f>
        <v>63.16%</v>
      </c>
      <c r="H825" s="13" t="str">
        <f>Github!H$937</f>
        <v>Algorithms</v>
      </c>
      <c r="I825" s="16" t="str">
        <f>SUBSTITUTE(Github!L$937, ";", ", ")</f>
        <v>String, Stack, Greedy, Queue, </v>
      </c>
      <c r="J825" s="13" t="str">
        <f>Github!E$937</f>
        <v>Hard</v>
      </c>
      <c r="K825" s="13" t="str">
        <f>IF(TRIM(Github!D$937)="TRUE","FALSE","TRUE")</f>
        <v>TRUE</v>
      </c>
      <c r="L825" s="13" t="b">
        <f>Github!M$937</f>
        <v>1</v>
      </c>
      <c r="M825" s="13" t="b">
        <f>Github!N$937</f>
        <v>0</v>
      </c>
      <c r="N825" s="13">
        <f>Github!P$937</f>
        <v>55648</v>
      </c>
      <c r="O825" s="13">
        <f>Github!Q$937</f>
        <v>88103</v>
      </c>
    </row>
    <row r="826">
      <c r="A826" s="13">
        <f>Github!J$1333</f>
        <v>1332</v>
      </c>
      <c r="B826" s="14" t="str">
        <f>HYPERLINK(CONCAT("http://leetcode.com/problems/",Github!C$1333), Github!B$1333)</f>
        <v>Remove Palindromic Subsequences</v>
      </c>
      <c r="C826" s="13">
        <f>Github!F$1333</f>
        <v>1457</v>
      </c>
      <c r="D826" s="13">
        <f>Github!G$1333</f>
        <v>1595</v>
      </c>
      <c r="E826" s="13">
        <f>Github!F$1333+Github!G$1333</f>
        <v>3052</v>
      </c>
      <c r="F826" s="15">
        <f t="shared" si="1"/>
        <v>0.91</v>
      </c>
      <c r="G826" s="13" t="str">
        <f>ROUND(Github!O$1333, 2)&amp;"%"</f>
        <v>76.17%</v>
      </c>
      <c r="H826" s="13" t="str">
        <f>Github!H$1333</f>
        <v>Algorithms</v>
      </c>
      <c r="I826" s="16" t="str">
        <f>SUBSTITUTE(Github!L$1333, ";", ", ")</f>
        <v>Two Pointers, String, </v>
      </c>
      <c r="J826" s="13" t="str">
        <f>Github!E$1333</f>
        <v>Easy</v>
      </c>
      <c r="K826" s="13" t="str">
        <f>IF(TRIM(Github!D$1333)="TRUE","FALSE","TRUE")</f>
        <v>TRUE</v>
      </c>
      <c r="L826" s="13" t="b">
        <f>Github!M$1333</f>
        <v>1</v>
      </c>
      <c r="M826" s="13" t="b">
        <f>Github!N$1333</f>
        <v>0</v>
      </c>
      <c r="N826" s="13">
        <f>Github!P$1333</f>
        <v>117151</v>
      </c>
      <c r="O826" s="13">
        <f>Github!Q$1333</f>
        <v>153802</v>
      </c>
    </row>
    <row r="827">
      <c r="A827" s="13">
        <f>Github!J$820</f>
        <v>819</v>
      </c>
      <c r="B827" s="14" t="str">
        <f>HYPERLINK(CONCAT("http://leetcode.com/problems/",Github!C$820), Github!B$820)</f>
        <v>Most Common Word</v>
      </c>
      <c r="C827" s="13">
        <f>Github!F$820</f>
        <v>1450</v>
      </c>
      <c r="D827" s="13">
        <f>Github!G$820</f>
        <v>2823</v>
      </c>
      <c r="E827" s="13">
        <f>Github!F$820+Github!G$820</f>
        <v>4273</v>
      </c>
      <c r="F827" s="15">
        <f t="shared" si="1"/>
        <v>0.51</v>
      </c>
      <c r="G827" s="13" t="str">
        <f>ROUND(Github!O$820, 2)&amp;"%"</f>
        <v>44.88%</v>
      </c>
      <c r="H827" s="13" t="str">
        <f>Github!H$820</f>
        <v>Algorithms</v>
      </c>
      <c r="I827" s="16" t="str">
        <f>SUBSTITUTE(Github!L$820, ";", ", ")</f>
        <v>Hash Table, String, Counting, </v>
      </c>
      <c r="J827" s="13" t="str">
        <f>Github!E$820</f>
        <v>Easy</v>
      </c>
      <c r="K827" s="13" t="str">
        <f>IF(TRIM(Github!D$820)="TRUE","FALSE","TRUE")</f>
        <v>TRUE</v>
      </c>
      <c r="L827" s="13" t="b">
        <f>Github!M$820</f>
        <v>1</v>
      </c>
      <c r="M827" s="13" t="b">
        <f>Github!N$820</f>
        <v>0</v>
      </c>
      <c r="N827" s="13">
        <f>Github!P$820</f>
        <v>317219</v>
      </c>
      <c r="O827" s="13">
        <f>Github!Q$820</f>
        <v>706744</v>
      </c>
    </row>
    <row r="828">
      <c r="A828" s="13">
        <f>Github!J$1025</f>
        <v>1024</v>
      </c>
      <c r="B828" s="14" t="str">
        <f>HYPERLINK(CONCAT("http://leetcode.com/problems/",Github!C$1025), Github!B$1025)</f>
        <v>Video Stitching</v>
      </c>
      <c r="C828" s="13">
        <f>Github!F$1025</f>
        <v>1440</v>
      </c>
      <c r="D828" s="13">
        <f>Github!G$1025</f>
        <v>51</v>
      </c>
      <c r="E828" s="13">
        <f>Github!F$1025+Github!G$1025</f>
        <v>1491</v>
      </c>
      <c r="F828" s="15">
        <f t="shared" si="1"/>
        <v>28.24</v>
      </c>
      <c r="G828" s="13" t="str">
        <f>ROUND(Github!O$1025, 2)&amp;"%"</f>
        <v>50.51%</v>
      </c>
      <c r="H828" s="13" t="str">
        <f>Github!H$1025</f>
        <v>Algorithms</v>
      </c>
      <c r="I828" s="16" t="str">
        <f>SUBSTITUTE(Github!L$1025, ";", ", ")</f>
        <v>Array, Dynamic Programming, Greedy, </v>
      </c>
      <c r="J828" s="13" t="str">
        <f>Github!E$1025</f>
        <v>Medium</v>
      </c>
      <c r="K828" s="13" t="str">
        <f>IF(TRIM(Github!D$1025)="TRUE","FALSE","TRUE")</f>
        <v>TRUE</v>
      </c>
      <c r="L828" s="13" t="b">
        <f>Github!M$1025</f>
        <v>0</v>
      </c>
      <c r="M828" s="13" t="b">
        <f>Github!N$1025</f>
        <v>0</v>
      </c>
      <c r="N828" s="13">
        <f>Github!P$1025</f>
        <v>54765</v>
      </c>
      <c r="O828" s="13">
        <f>Github!Q$1025</f>
        <v>108425</v>
      </c>
    </row>
    <row r="829">
      <c r="A829" s="13">
        <f>Github!J$1390</f>
        <v>1389</v>
      </c>
      <c r="B829" s="14" t="str">
        <f>HYPERLINK(CONCAT("http://leetcode.com/problems/",Github!C$1390), Github!B$1390)</f>
        <v>Create Target Array in the Given Order</v>
      </c>
      <c r="C829" s="13">
        <f>Github!F$1390</f>
        <v>1449</v>
      </c>
      <c r="D829" s="13">
        <f>Github!G$1390</f>
        <v>1461</v>
      </c>
      <c r="E829" s="13">
        <f>Github!F$1390+Github!G$1390</f>
        <v>2910</v>
      </c>
      <c r="F829" s="15">
        <f t="shared" si="1"/>
        <v>0.99</v>
      </c>
      <c r="G829" s="13" t="str">
        <f>ROUND(Github!O$1390, 2)&amp;"%"</f>
        <v>85.86%</v>
      </c>
      <c r="H829" s="13" t="str">
        <f>Github!H$1390</f>
        <v>Algorithms</v>
      </c>
      <c r="I829" s="16" t="str">
        <f>SUBSTITUTE(Github!L$1390, ";", ", ")</f>
        <v>Array, Simulation, </v>
      </c>
      <c r="J829" s="13" t="str">
        <f>Github!E$1390</f>
        <v>Easy</v>
      </c>
      <c r="K829" s="13" t="str">
        <f>IF(TRIM(Github!D$1390)="TRUE","FALSE","TRUE")</f>
        <v>TRUE</v>
      </c>
      <c r="L829" s="13" t="b">
        <f>Github!M$1390</f>
        <v>0</v>
      </c>
      <c r="M829" s="13" t="b">
        <f>Github!N$1390</f>
        <v>0</v>
      </c>
      <c r="N829" s="13">
        <f>Github!P$1390</f>
        <v>175516</v>
      </c>
      <c r="O829" s="13">
        <f>Github!Q$1390</f>
        <v>204432</v>
      </c>
    </row>
    <row r="830">
      <c r="A830" s="13">
        <f>Github!J$755</f>
        <v>754</v>
      </c>
      <c r="B830" s="14" t="str">
        <f>HYPERLINK(CONCAT("http://leetcode.com/problems/",Github!C$755), Github!B$755)</f>
        <v>Reach a Number</v>
      </c>
      <c r="C830" s="13">
        <f>Github!F$755</f>
        <v>1443</v>
      </c>
      <c r="D830" s="13">
        <f>Github!G$755</f>
        <v>718</v>
      </c>
      <c r="E830" s="13">
        <f>Github!F$755+Github!G$755</f>
        <v>2161</v>
      </c>
      <c r="F830" s="15">
        <f t="shared" si="1"/>
        <v>2.01</v>
      </c>
      <c r="G830" s="13" t="str">
        <f>ROUND(Github!O$755, 2)&amp;"%"</f>
        <v>42.72%</v>
      </c>
      <c r="H830" s="13" t="str">
        <f>Github!H$755</f>
        <v>Algorithms</v>
      </c>
      <c r="I830" s="16" t="str">
        <f>SUBSTITUTE(Github!L$755, ";", ", ")</f>
        <v>Math, Binary Search, </v>
      </c>
      <c r="J830" s="13" t="str">
        <f>Github!E$755</f>
        <v>Medium</v>
      </c>
      <c r="K830" s="13" t="str">
        <f>IF(TRIM(Github!D$755)="TRUE","FALSE","TRUE")</f>
        <v>TRUE</v>
      </c>
      <c r="L830" s="13" t="b">
        <f>Github!M$755</f>
        <v>1</v>
      </c>
      <c r="M830" s="13" t="b">
        <f>Github!N$755</f>
        <v>0</v>
      </c>
      <c r="N830" s="13">
        <f>Github!P$755</f>
        <v>44092</v>
      </c>
      <c r="O830" s="13">
        <f>Github!Q$755</f>
        <v>103221</v>
      </c>
    </row>
    <row r="831">
      <c r="A831" s="13">
        <f>Github!J$1447</f>
        <v>1446</v>
      </c>
      <c r="B831" s="14" t="str">
        <f>HYPERLINK(CONCAT("http://leetcode.com/problems/",Github!C$1447), Github!B$1447)</f>
        <v>Consecutive Characters</v>
      </c>
      <c r="C831" s="13">
        <f>Github!F$1447</f>
        <v>1435</v>
      </c>
      <c r="D831" s="13">
        <f>Github!G$1447</f>
        <v>28</v>
      </c>
      <c r="E831" s="13">
        <f>Github!F$1447+Github!G$1447</f>
        <v>1463</v>
      </c>
      <c r="F831" s="15">
        <f t="shared" si="1"/>
        <v>51.25</v>
      </c>
      <c r="G831" s="13" t="str">
        <f>ROUND(Github!O$1447, 2)&amp;"%"</f>
        <v>61.5%</v>
      </c>
      <c r="H831" s="13" t="str">
        <f>Github!H$1447</f>
        <v>Algorithms</v>
      </c>
      <c r="I831" s="16" t="str">
        <f>SUBSTITUTE(Github!L$1447, ";", ", ")</f>
        <v>String, </v>
      </c>
      <c r="J831" s="13" t="str">
        <f>Github!E$1447</f>
        <v>Easy</v>
      </c>
      <c r="K831" s="13" t="str">
        <f>IF(TRIM(Github!D$1447)="TRUE","FALSE","TRUE")</f>
        <v>TRUE</v>
      </c>
      <c r="L831" s="13" t="b">
        <f>Github!M$1447</f>
        <v>1</v>
      </c>
      <c r="M831" s="13" t="b">
        <f>Github!N$1447</f>
        <v>0</v>
      </c>
      <c r="N831" s="13">
        <f>Github!P$1447</f>
        <v>133769</v>
      </c>
      <c r="O831" s="13">
        <f>Github!Q$1447</f>
        <v>217501</v>
      </c>
    </row>
    <row r="832">
      <c r="A832" s="13">
        <f>Github!J$610</f>
        <v>609</v>
      </c>
      <c r="B832" s="14" t="str">
        <f>HYPERLINK(CONCAT("http://leetcode.com/problems/",Github!C$610), Github!B$610)</f>
        <v>Find Duplicate File in System</v>
      </c>
      <c r="C832" s="13">
        <f>Github!F$610</f>
        <v>1427</v>
      </c>
      <c r="D832" s="13">
        <f>Github!G$610</f>
        <v>1601</v>
      </c>
      <c r="E832" s="13">
        <f>Github!F$610+Github!G$610</f>
        <v>3028</v>
      </c>
      <c r="F832" s="15">
        <f t="shared" si="1"/>
        <v>0.89</v>
      </c>
      <c r="G832" s="13" t="str">
        <f>ROUND(Github!O$610, 2)&amp;"%"</f>
        <v>67.8%</v>
      </c>
      <c r="H832" s="13" t="str">
        <f>Github!H$610</f>
        <v>Algorithms</v>
      </c>
      <c r="I832" s="16" t="str">
        <f>SUBSTITUTE(Github!L$610, ";", ", ")</f>
        <v>Array, Hash Table, String, </v>
      </c>
      <c r="J832" s="13" t="str">
        <f>Github!E$610</f>
        <v>Medium</v>
      </c>
      <c r="K832" s="13" t="str">
        <f>IF(TRIM(Github!D$610)="TRUE","FALSE","TRUE")</f>
        <v>TRUE</v>
      </c>
      <c r="L832" s="13" t="b">
        <f>Github!M$610</f>
        <v>1</v>
      </c>
      <c r="M832" s="13" t="b">
        <f>Github!N$610</f>
        <v>0</v>
      </c>
      <c r="N832" s="13">
        <f>Github!P$610</f>
        <v>142080</v>
      </c>
      <c r="O832" s="13">
        <f>Github!Q$610</f>
        <v>209562</v>
      </c>
    </row>
    <row r="833">
      <c r="A833" s="13">
        <f>Github!J$178</f>
        <v>177</v>
      </c>
      <c r="B833" s="14" t="str">
        <f>HYPERLINK(CONCAT("http://leetcode.com/problems/",Github!C$178), Github!B$178)</f>
        <v>Nth Highest Salary</v>
      </c>
      <c r="C833" s="13">
        <f>Github!F$178</f>
        <v>1446</v>
      </c>
      <c r="D833" s="13">
        <f>Github!G$178</f>
        <v>782</v>
      </c>
      <c r="E833" s="13">
        <f>Github!F$178+Github!G$178</f>
        <v>2228</v>
      </c>
      <c r="F833" s="15">
        <f t="shared" si="1"/>
        <v>1.85</v>
      </c>
      <c r="G833" s="13" t="str">
        <f>ROUND(Github!O$178, 2)&amp;"%"</f>
        <v>37.48%</v>
      </c>
      <c r="H833" s="13" t="str">
        <f>Github!H$178</f>
        <v>Database</v>
      </c>
      <c r="I833" s="16" t="str">
        <f>SUBSTITUTE(Github!L$178, ";", ", ")</f>
        <v>Database, </v>
      </c>
      <c r="J833" s="13" t="str">
        <f>Github!E$178</f>
        <v>Medium</v>
      </c>
      <c r="K833" s="13" t="str">
        <f>IF(TRIM(Github!D$178)="TRUE","FALSE","TRUE")</f>
        <v>TRUE</v>
      </c>
      <c r="L833" s="13" t="b">
        <f>Github!M$178</f>
        <v>0</v>
      </c>
      <c r="M833" s="13" t="b">
        <f>Github!N$178</f>
        <v>0</v>
      </c>
      <c r="N833" s="13">
        <f>Github!P$178</f>
        <v>283911</v>
      </c>
      <c r="O833" s="13">
        <f>Github!Q$178</f>
        <v>757472</v>
      </c>
    </row>
    <row r="834">
      <c r="A834" s="13">
        <f>Github!J$275</f>
        <v>274</v>
      </c>
      <c r="B834" s="14" t="str">
        <f>HYPERLINK(CONCAT("http://leetcode.com/problems/",Github!C$275), Github!B$275)</f>
        <v>H-Index</v>
      </c>
      <c r="C834" s="13">
        <f>Github!F$275</f>
        <v>1424</v>
      </c>
      <c r="D834" s="13">
        <f>Github!G$275</f>
        <v>2048</v>
      </c>
      <c r="E834" s="13">
        <f>Github!F$275+Github!G$275</f>
        <v>3472</v>
      </c>
      <c r="F834" s="15">
        <f t="shared" si="1"/>
        <v>0.7</v>
      </c>
      <c r="G834" s="13" t="str">
        <f>ROUND(Github!O$275, 2)&amp;"%"</f>
        <v>38.22%</v>
      </c>
      <c r="H834" s="13" t="str">
        <f>Github!H$275</f>
        <v>Algorithms</v>
      </c>
      <c r="I834" s="16" t="str">
        <f>SUBSTITUTE(Github!L$275, ";", ", ")</f>
        <v>Array, Sorting, Counting Sort, </v>
      </c>
      <c r="J834" s="13" t="str">
        <f>Github!E$275</f>
        <v>Medium</v>
      </c>
      <c r="K834" s="13" t="str">
        <f>IF(TRIM(Github!D$275)="TRUE","FALSE","TRUE")</f>
        <v>TRUE</v>
      </c>
      <c r="L834" s="13" t="b">
        <f>Github!M$275</f>
        <v>1</v>
      </c>
      <c r="M834" s="13" t="b">
        <f>Github!N$275</f>
        <v>0</v>
      </c>
      <c r="N834" s="13">
        <f>Github!P$275</f>
        <v>253428</v>
      </c>
      <c r="O834" s="13">
        <f>Github!Q$275</f>
        <v>663082</v>
      </c>
    </row>
    <row r="835">
      <c r="A835" s="13">
        <f>Github!J$678</f>
        <v>677</v>
      </c>
      <c r="B835" s="14" t="str">
        <f>HYPERLINK(CONCAT("http://leetcode.com/problems/",Github!C$678), Github!B$678)</f>
        <v>Map Sum Pairs</v>
      </c>
      <c r="C835" s="13">
        <f>Github!F$678</f>
        <v>1422</v>
      </c>
      <c r="D835" s="13">
        <f>Github!G$678</f>
        <v>138</v>
      </c>
      <c r="E835" s="13">
        <f>Github!F$678+Github!G$678</f>
        <v>1560</v>
      </c>
      <c r="F835" s="15">
        <f t="shared" si="1"/>
        <v>10.3</v>
      </c>
      <c r="G835" s="13" t="str">
        <f>ROUND(Github!O$678, 2)&amp;"%"</f>
        <v>56.87%</v>
      </c>
      <c r="H835" s="13" t="str">
        <f>Github!H$678</f>
        <v>Algorithms</v>
      </c>
      <c r="I835" s="16" t="str">
        <f>SUBSTITUTE(Github!L$678, ";", ", ")</f>
        <v>Hash Table, String, Design, Trie, </v>
      </c>
      <c r="J835" s="13" t="str">
        <f>Github!E$678</f>
        <v>Medium</v>
      </c>
      <c r="K835" s="13" t="str">
        <f>IF(TRIM(Github!D$678)="TRUE","FALSE","TRUE")</f>
        <v>TRUE</v>
      </c>
      <c r="L835" s="13" t="b">
        <f>Github!M$678</f>
        <v>1</v>
      </c>
      <c r="M835" s="13" t="b">
        <f>Github!N$678</f>
        <v>0</v>
      </c>
      <c r="N835" s="13">
        <f>Github!P$678</f>
        <v>99427</v>
      </c>
      <c r="O835" s="13">
        <f>Github!Q$678</f>
        <v>174826</v>
      </c>
    </row>
    <row r="836">
      <c r="A836" s="13">
        <f>Github!J$953</f>
        <v>952</v>
      </c>
      <c r="B836" s="14" t="str">
        <f>HYPERLINK(CONCAT("http://leetcode.com/problems/",Github!C$953), Github!B$953)</f>
        <v>Largest Component Size by Common Factor</v>
      </c>
      <c r="C836" s="13">
        <f>Github!F$953</f>
        <v>1417</v>
      </c>
      <c r="D836" s="13">
        <f>Github!G$953</f>
        <v>87</v>
      </c>
      <c r="E836" s="13">
        <f>Github!F$953+Github!G$953</f>
        <v>1504</v>
      </c>
      <c r="F836" s="15">
        <f t="shared" si="1"/>
        <v>16.29</v>
      </c>
      <c r="G836" s="13" t="str">
        <f>ROUND(Github!O$953, 2)&amp;"%"</f>
        <v>40.28%</v>
      </c>
      <c r="H836" s="13" t="str">
        <f>Github!H$953</f>
        <v>Algorithms</v>
      </c>
      <c r="I836" s="16" t="str">
        <f>SUBSTITUTE(Github!L$953, ";", ", ")</f>
        <v>Array, Math, Union Find, </v>
      </c>
      <c r="J836" s="13" t="str">
        <f>Github!E$953</f>
        <v>Hard</v>
      </c>
      <c r="K836" s="13" t="str">
        <f>IF(TRIM(Github!D$953)="TRUE","FALSE","TRUE")</f>
        <v>TRUE</v>
      </c>
      <c r="L836" s="13" t="b">
        <f>Github!M$953</f>
        <v>1</v>
      </c>
      <c r="M836" s="13" t="b">
        <f>Github!N$953</f>
        <v>0</v>
      </c>
      <c r="N836" s="13">
        <f>Github!P$953</f>
        <v>47680</v>
      </c>
      <c r="O836" s="13">
        <f>Github!Q$953</f>
        <v>118369</v>
      </c>
    </row>
    <row r="837">
      <c r="A837" s="13">
        <f>Github!J$1357</f>
        <v>1356</v>
      </c>
      <c r="B837" s="14" t="str">
        <f>HYPERLINK(CONCAT("http://leetcode.com/problems/",Github!C$1357), Github!B$1357)</f>
        <v>Sort Integers by The Number of 1 Bits</v>
      </c>
      <c r="C837" s="13">
        <f>Github!F$1357</f>
        <v>1429</v>
      </c>
      <c r="D837" s="13">
        <f>Github!G$1357</f>
        <v>63</v>
      </c>
      <c r="E837" s="13">
        <f>Github!F$1357+Github!G$1357</f>
        <v>1492</v>
      </c>
      <c r="F837" s="15">
        <f t="shared" si="1"/>
        <v>22.68</v>
      </c>
      <c r="G837" s="13" t="str">
        <f>ROUND(Github!O$1357, 2)&amp;"%"</f>
        <v>72.26%</v>
      </c>
      <c r="H837" s="13" t="str">
        <f>Github!H$1357</f>
        <v>Algorithms</v>
      </c>
      <c r="I837" s="16" t="str">
        <f>SUBSTITUTE(Github!L$1357, ";", ", ")</f>
        <v>Array, Bit Manipulation, Sorting, Counting, </v>
      </c>
      <c r="J837" s="13" t="str">
        <f>Github!E$1357</f>
        <v>Easy</v>
      </c>
      <c r="K837" s="13" t="str">
        <f>IF(TRIM(Github!D$1357)="TRUE","FALSE","TRUE")</f>
        <v>TRUE</v>
      </c>
      <c r="L837" s="13" t="b">
        <f>Github!M$1357</f>
        <v>0</v>
      </c>
      <c r="M837" s="13" t="b">
        <f>Github!N$1357</f>
        <v>0</v>
      </c>
      <c r="N837" s="13">
        <f>Github!P$1357</f>
        <v>97246</v>
      </c>
      <c r="O837" s="13">
        <f>Github!Q$1357</f>
        <v>134576</v>
      </c>
    </row>
    <row r="838">
      <c r="A838" s="13">
        <f>Github!J$871</f>
        <v>870</v>
      </c>
      <c r="B838" s="14" t="str">
        <f>HYPERLINK(CONCAT("http://leetcode.com/problems/",Github!C$871), Github!B$871)</f>
        <v>Advantage Shuffle</v>
      </c>
      <c r="C838" s="13">
        <f>Github!F$871</f>
        <v>1415</v>
      </c>
      <c r="D838" s="13">
        <f>Github!G$871</f>
        <v>89</v>
      </c>
      <c r="E838" s="13">
        <f>Github!F$871+Github!G$871</f>
        <v>1504</v>
      </c>
      <c r="F838" s="15">
        <f t="shared" si="1"/>
        <v>15.9</v>
      </c>
      <c r="G838" s="13" t="str">
        <f>ROUND(Github!O$871, 2)&amp;"%"</f>
        <v>51.76%</v>
      </c>
      <c r="H838" s="13" t="str">
        <f>Github!H$871</f>
        <v>Algorithms</v>
      </c>
      <c r="I838" s="16" t="str">
        <f>SUBSTITUTE(Github!L$871, ";", ", ")</f>
        <v>Array, Two Pointers, Greedy, Sorting, </v>
      </c>
      <c r="J838" s="13" t="str">
        <f>Github!E$871</f>
        <v>Medium</v>
      </c>
      <c r="K838" s="13" t="str">
        <f>IF(TRIM(Github!D$871)="TRUE","FALSE","TRUE")</f>
        <v>TRUE</v>
      </c>
      <c r="L838" s="13" t="b">
        <f>Github!M$871</f>
        <v>1</v>
      </c>
      <c r="M838" s="13" t="b">
        <f>Github!N$871</f>
        <v>0</v>
      </c>
      <c r="N838" s="13">
        <f>Github!P$871</f>
        <v>58592</v>
      </c>
      <c r="O838" s="13">
        <f>Github!Q$871</f>
        <v>113191</v>
      </c>
    </row>
    <row r="839">
      <c r="A839" s="13">
        <f>Github!J$1531</f>
        <v>1530</v>
      </c>
      <c r="B839" s="14" t="str">
        <f>HYPERLINK(CONCAT("http://leetcode.com/problems/",Github!C$1531), Github!B$1531)</f>
        <v>Number of Good Leaf Nodes Pairs</v>
      </c>
      <c r="C839" s="13">
        <f>Github!F$1531</f>
        <v>1417</v>
      </c>
      <c r="D839" s="13">
        <f>Github!G$1531</f>
        <v>34</v>
      </c>
      <c r="E839" s="13">
        <f>Github!F$1531+Github!G$1531</f>
        <v>1451</v>
      </c>
      <c r="F839" s="15">
        <f t="shared" si="1"/>
        <v>41.68</v>
      </c>
      <c r="G839" s="13" t="str">
        <f>ROUND(Github!O$1531, 2)&amp;"%"</f>
        <v>60.9%</v>
      </c>
      <c r="H839" s="13" t="str">
        <f>Github!H$1531</f>
        <v>Algorithms</v>
      </c>
      <c r="I839" s="16" t="str">
        <f>SUBSTITUTE(Github!L$1531, ";", ", ")</f>
        <v>Tree, Depth-First Search, Binary Tree, </v>
      </c>
      <c r="J839" s="13" t="str">
        <f>Github!E$1531</f>
        <v>Medium</v>
      </c>
      <c r="K839" s="13" t="str">
        <f>IF(TRIM(Github!D$1531)="TRUE","FALSE","TRUE")</f>
        <v>TRUE</v>
      </c>
      <c r="L839" s="13" t="b">
        <f>Github!M$1531</f>
        <v>0</v>
      </c>
      <c r="M839" s="13" t="b">
        <f>Github!N$1531</f>
        <v>0</v>
      </c>
      <c r="N839" s="13">
        <f>Github!P$1531</f>
        <v>32623</v>
      </c>
      <c r="O839" s="13">
        <f>Github!Q$1531</f>
        <v>53565</v>
      </c>
    </row>
    <row r="840">
      <c r="A840" s="13">
        <f>Github!J$1373</f>
        <v>1372</v>
      </c>
      <c r="B840" s="14" t="str">
        <f>HYPERLINK(CONCAT("http://leetcode.com/problems/",Github!C$1373), Github!B$1373)</f>
        <v>Longest ZigZag Path in a Binary Tree</v>
      </c>
      <c r="C840" s="13">
        <f>Github!F$1373</f>
        <v>1416</v>
      </c>
      <c r="D840" s="13">
        <f>Github!G$1373</f>
        <v>26</v>
      </c>
      <c r="E840" s="13">
        <f>Github!F$1373+Github!G$1373</f>
        <v>1442</v>
      </c>
      <c r="F840" s="15">
        <f t="shared" si="1"/>
        <v>54.46</v>
      </c>
      <c r="G840" s="13" t="str">
        <f>ROUND(Github!O$1373, 2)&amp;"%"</f>
        <v>59.97%</v>
      </c>
      <c r="H840" s="13" t="str">
        <f>Github!H$1373</f>
        <v>Algorithms</v>
      </c>
      <c r="I840" s="16" t="str">
        <f>SUBSTITUTE(Github!L$1373, ";", ", ")</f>
        <v>Dynamic Programming, Tree, Depth-First Search, Binary Tree, </v>
      </c>
      <c r="J840" s="13" t="str">
        <f>Github!E$1373</f>
        <v>Medium</v>
      </c>
      <c r="K840" s="13" t="str">
        <f>IF(TRIM(Github!D$1373)="TRUE","FALSE","TRUE")</f>
        <v>TRUE</v>
      </c>
      <c r="L840" s="13" t="b">
        <f>Github!M$1373</f>
        <v>0</v>
      </c>
      <c r="M840" s="13" t="b">
        <f>Github!N$1373</f>
        <v>0</v>
      </c>
      <c r="N840" s="13">
        <f>Github!P$1373</f>
        <v>44074</v>
      </c>
      <c r="O840" s="13">
        <f>Github!Q$1373</f>
        <v>73495</v>
      </c>
    </row>
    <row r="841">
      <c r="A841" s="13">
        <f>Github!J$1380</f>
        <v>1379</v>
      </c>
      <c r="B841" s="14" t="str">
        <f>HYPERLINK(CONCAT("http://leetcode.com/problems/",Github!C$1380), Github!B$1380)</f>
        <v>Find a Corresponding Node of a Binary Tree in a Clone of That Tree</v>
      </c>
      <c r="C841" s="13">
        <f>Github!F$1380</f>
        <v>1414</v>
      </c>
      <c r="D841" s="13">
        <f>Github!G$1380</f>
        <v>1745</v>
      </c>
      <c r="E841" s="13">
        <f>Github!F$1380+Github!G$1380</f>
        <v>3159</v>
      </c>
      <c r="F841" s="15">
        <f t="shared" si="1"/>
        <v>0.81</v>
      </c>
      <c r="G841" s="13" t="str">
        <f>ROUND(Github!O$1380, 2)&amp;"%"</f>
        <v>86.89%</v>
      </c>
      <c r="H841" s="13" t="str">
        <f>Github!H$1380</f>
        <v>Algorithms</v>
      </c>
      <c r="I841" s="16" t="str">
        <f>SUBSTITUTE(Github!L$1380, ";", ", ")</f>
        <v>Tree, Depth-First Search, Breadth-First Search, Binary Tree, </v>
      </c>
      <c r="J841" s="13" t="str">
        <f>Github!E$1380</f>
        <v>Easy</v>
      </c>
      <c r="K841" s="13" t="str">
        <f>IF(TRIM(Github!D$1380)="TRUE","FALSE","TRUE")</f>
        <v>TRUE</v>
      </c>
      <c r="L841" s="13" t="b">
        <f>Github!M$1380</f>
        <v>1</v>
      </c>
      <c r="M841" s="13" t="b">
        <f>Github!N$1380</f>
        <v>0</v>
      </c>
      <c r="N841" s="13">
        <f>Github!P$1380</f>
        <v>179802</v>
      </c>
      <c r="O841" s="13">
        <f>Github!Q$1380</f>
        <v>206934</v>
      </c>
    </row>
    <row r="842">
      <c r="A842" s="13">
        <f>Github!J$1369</f>
        <v>1368</v>
      </c>
      <c r="B842" s="14" t="str">
        <f>HYPERLINK(CONCAT("http://leetcode.com/problems/",Github!C$1369), Github!B$1369)</f>
        <v>Minimum Cost to Make at Least One Valid Path in a Grid</v>
      </c>
      <c r="C842" s="13">
        <f>Github!F$1369</f>
        <v>1405</v>
      </c>
      <c r="D842" s="13">
        <f>Github!G$1369</f>
        <v>14</v>
      </c>
      <c r="E842" s="13">
        <f>Github!F$1369+Github!G$1369</f>
        <v>1419</v>
      </c>
      <c r="F842" s="15">
        <f t="shared" si="1"/>
        <v>100.36</v>
      </c>
      <c r="G842" s="13" t="str">
        <f>ROUND(Github!O$1369, 2)&amp;"%"</f>
        <v>61.35%</v>
      </c>
      <c r="H842" s="13" t="str">
        <f>Github!H$1369</f>
        <v>Algorithms</v>
      </c>
      <c r="I842" s="16" t="str">
        <f>SUBSTITUTE(Github!L$1369, ";", ", ")</f>
        <v>Array, Breadth-First Search, Graph, Heap (Priority Queue), Matrix, Shortest Path, </v>
      </c>
      <c r="J842" s="13" t="str">
        <f>Github!E$1369</f>
        <v>Hard</v>
      </c>
      <c r="K842" s="13" t="str">
        <f>IF(TRIM(Github!D$1369)="TRUE","FALSE","TRUE")</f>
        <v>TRUE</v>
      </c>
      <c r="L842" s="13" t="b">
        <f>Github!M$1369</f>
        <v>0</v>
      </c>
      <c r="M842" s="13" t="b">
        <f>Github!N$1369</f>
        <v>0</v>
      </c>
      <c r="N842" s="13">
        <f>Github!P$1369</f>
        <v>37772</v>
      </c>
      <c r="O842" s="13">
        <f>Github!Q$1369</f>
        <v>61566</v>
      </c>
    </row>
    <row r="843">
      <c r="A843" s="13">
        <f>Github!J$2131</f>
        <v>2130</v>
      </c>
      <c r="B843" s="14" t="str">
        <f>HYPERLINK(CONCAT("http://leetcode.com/problems/",Github!C$2131), Github!B$2131)</f>
        <v>Maximum Twin Sum of a Linked List</v>
      </c>
      <c r="C843" s="13">
        <f>Github!F$2131</f>
        <v>1417</v>
      </c>
      <c r="D843" s="13">
        <f>Github!G$2131</f>
        <v>39</v>
      </c>
      <c r="E843" s="13">
        <f>Github!F$2131+Github!G$2131</f>
        <v>1456</v>
      </c>
      <c r="F843" s="15">
        <f t="shared" si="1"/>
        <v>36.33</v>
      </c>
      <c r="G843" s="13" t="str">
        <f>ROUND(Github!O$2131, 2)&amp;"%"</f>
        <v>81.2%</v>
      </c>
      <c r="H843" s="13" t="str">
        <f>Github!H$2131</f>
        <v>Algorithms</v>
      </c>
      <c r="I843" s="16" t="str">
        <f>SUBSTITUTE(Github!L$2131, ";", ", ")</f>
        <v>Linked List, Two Pointers, Stack, </v>
      </c>
      <c r="J843" s="13" t="str">
        <f>Github!E$2131</f>
        <v>Medium</v>
      </c>
      <c r="K843" s="13" t="str">
        <f>IF(TRIM(Github!D$2131)="TRUE","FALSE","TRUE")</f>
        <v>TRUE</v>
      </c>
      <c r="L843" s="13" t="b">
        <f>Github!M$2131</f>
        <v>0</v>
      </c>
      <c r="M843" s="13" t="b">
        <f>Github!N$2131</f>
        <v>0</v>
      </c>
      <c r="N843" s="13">
        <f>Github!P$2131</f>
        <v>78499</v>
      </c>
      <c r="O843" s="13">
        <f>Github!Q$2131</f>
        <v>96674</v>
      </c>
    </row>
    <row r="844">
      <c r="A844" s="13">
        <f>Github!J$260</f>
        <v>259</v>
      </c>
      <c r="B844" s="14" t="str">
        <f>HYPERLINK(CONCAT("http://leetcode.com/problems/",Github!C$260), Github!B$260)</f>
        <v>3Sum Smaller</v>
      </c>
      <c r="C844" s="13">
        <f>Github!F$260</f>
        <v>1396</v>
      </c>
      <c r="D844" s="13">
        <f>Github!G$260</f>
        <v>130</v>
      </c>
      <c r="E844" s="13">
        <f>Github!F$260+Github!G$260</f>
        <v>1526</v>
      </c>
      <c r="F844" s="15">
        <f t="shared" si="1"/>
        <v>10.74</v>
      </c>
      <c r="G844" s="13" t="str">
        <f>ROUND(Github!O$260, 2)&amp;"%"</f>
        <v>50.68%</v>
      </c>
      <c r="H844" s="13" t="str">
        <f>Github!H$260</f>
        <v>Algorithms</v>
      </c>
      <c r="I844" s="16" t="str">
        <f>SUBSTITUTE(Github!L$260, ";", ", ")</f>
        <v>Array, Two Pointers, Binary Search, Sorting, </v>
      </c>
      <c r="J844" s="13" t="str">
        <f>Github!E$260</f>
        <v>Medium</v>
      </c>
      <c r="K844" s="13" t="str">
        <f>IF(TRIM(Github!D$260)="TRUE","FALSE","TRUE")</f>
        <v>FALSE</v>
      </c>
      <c r="L844" s="13" t="b">
        <f>Github!M$260</f>
        <v>1</v>
      </c>
      <c r="M844" s="13" t="b">
        <f>Github!N$260</f>
        <v>0</v>
      </c>
      <c r="N844" s="13">
        <f>Github!P$260</f>
        <v>130667</v>
      </c>
      <c r="O844" s="13">
        <f>Github!Q$260</f>
        <v>257813</v>
      </c>
    </row>
    <row r="845">
      <c r="A845" s="13">
        <f>Github!J$1511</f>
        <v>1510</v>
      </c>
      <c r="B845" s="14" t="str">
        <f>HYPERLINK(CONCAT("http://leetcode.com/problems/",Github!C$1511), Github!B$1511)</f>
        <v>Stone Game IV</v>
      </c>
      <c r="C845" s="13">
        <f>Github!F$1511</f>
        <v>1392</v>
      </c>
      <c r="D845" s="13">
        <f>Github!G$1511</f>
        <v>63</v>
      </c>
      <c r="E845" s="13">
        <f>Github!F$1511+Github!G$1511</f>
        <v>1455</v>
      </c>
      <c r="F845" s="15">
        <f t="shared" si="1"/>
        <v>22.1</v>
      </c>
      <c r="G845" s="13" t="str">
        <f>ROUND(Github!O$1511, 2)&amp;"%"</f>
        <v>60.48%</v>
      </c>
      <c r="H845" s="13" t="str">
        <f>Github!H$1511</f>
        <v>Algorithms</v>
      </c>
      <c r="I845" s="16" t="str">
        <f>SUBSTITUTE(Github!L$1511, ";", ", ")</f>
        <v>Math, Dynamic Programming, Game Theory, </v>
      </c>
      <c r="J845" s="13" t="str">
        <f>Github!E$1511</f>
        <v>Hard</v>
      </c>
      <c r="K845" s="13" t="str">
        <f>IF(TRIM(Github!D$1511)="TRUE","FALSE","TRUE")</f>
        <v>TRUE</v>
      </c>
      <c r="L845" s="13" t="b">
        <f>Github!M$1511</f>
        <v>1</v>
      </c>
      <c r="M845" s="13" t="b">
        <f>Github!N$1511</f>
        <v>0</v>
      </c>
      <c r="N845" s="13">
        <f>Github!P$1511</f>
        <v>63393</v>
      </c>
      <c r="O845" s="13">
        <f>Github!Q$1511</f>
        <v>104819</v>
      </c>
    </row>
    <row r="846">
      <c r="A846" s="13">
        <f>Github!J$1484</f>
        <v>1483</v>
      </c>
      <c r="B846" s="14" t="str">
        <f>HYPERLINK(CONCAT("http://leetcode.com/problems/",Github!C$1484), Github!B$1484)</f>
        <v>Kth Ancestor of a Tree Node</v>
      </c>
      <c r="C846" s="13">
        <f>Github!F$1484</f>
        <v>1407</v>
      </c>
      <c r="D846" s="13">
        <f>Github!G$1484</f>
        <v>94</v>
      </c>
      <c r="E846" s="13">
        <f>Github!F$1484+Github!G$1484</f>
        <v>1501</v>
      </c>
      <c r="F846" s="15">
        <f t="shared" si="1"/>
        <v>14.97</v>
      </c>
      <c r="G846" s="13" t="str">
        <f>ROUND(Github!O$1484, 2)&amp;"%"</f>
        <v>33.73%</v>
      </c>
      <c r="H846" s="13" t="str">
        <f>Github!H$1484</f>
        <v>Algorithms</v>
      </c>
      <c r="I846" s="16" t="str">
        <f>SUBSTITUTE(Github!L$1484, ";", ", ")</f>
        <v>Binary Search, Dynamic Programming, Tree, Depth-First Search, Breadth-First Search, Design, </v>
      </c>
      <c r="J846" s="13" t="str">
        <f>Github!E$1484</f>
        <v>Hard</v>
      </c>
      <c r="K846" s="13" t="str">
        <f>IF(TRIM(Github!D$1484)="TRUE","FALSE","TRUE")</f>
        <v>TRUE</v>
      </c>
      <c r="L846" s="13" t="b">
        <f>Github!M$1484</f>
        <v>0</v>
      </c>
      <c r="M846" s="13" t="b">
        <f>Github!N$1484</f>
        <v>0</v>
      </c>
      <c r="N846" s="13">
        <f>Github!P$1484</f>
        <v>25429</v>
      </c>
      <c r="O846" s="13">
        <f>Github!Q$1484</f>
        <v>75382</v>
      </c>
    </row>
    <row r="847">
      <c r="A847" s="13">
        <f>Github!J$963</f>
        <v>962</v>
      </c>
      <c r="B847" s="14" t="str">
        <f>HYPERLINK(CONCAT("http://leetcode.com/problems/",Github!C$963), Github!B$963)</f>
        <v>Maximum Width Ramp</v>
      </c>
      <c r="C847" s="13">
        <f>Github!F$963</f>
        <v>1390</v>
      </c>
      <c r="D847" s="13">
        <f>Github!G$963</f>
        <v>43</v>
      </c>
      <c r="E847" s="13">
        <f>Github!F$963+Github!G$963</f>
        <v>1433</v>
      </c>
      <c r="F847" s="15">
        <f t="shared" si="1"/>
        <v>32.33</v>
      </c>
      <c r="G847" s="13" t="str">
        <f>ROUND(Github!O$963, 2)&amp;"%"</f>
        <v>48.93%</v>
      </c>
      <c r="H847" s="13" t="str">
        <f>Github!H$963</f>
        <v>Algorithms</v>
      </c>
      <c r="I847" s="16" t="str">
        <f>SUBSTITUTE(Github!L$963, ";", ", ")</f>
        <v>Array, Stack, Monotonic Stack, </v>
      </c>
      <c r="J847" s="13" t="str">
        <f>Github!E$963</f>
        <v>Medium</v>
      </c>
      <c r="K847" s="13" t="str">
        <f>IF(TRIM(Github!D$963)="TRUE","FALSE","TRUE")</f>
        <v>TRUE</v>
      </c>
      <c r="L847" s="13" t="b">
        <f>Github!M$963</f>
        <v>0</v>
      </c>
      <c r="M847" s="13" t="b">
        <f>Github!N$963</f>
        <v>0</v>
      </c>
      <c r="N847" s="13">
        <f>Github!P$963</f>
        <v>38107</v>
      </c>
      <c r="O847" s="13">
        <f>Github!Q$963</f>
        <v>77876</v>
      </c>
    </row>
    <row r="848">
      <c r="A848" s="13">
        <f>Github!J$277</f>
        <v>276</v>
      </c>
      <c r="B848" s="14" t="str">
        <f>HYPERLINK(CONCAT("http://leetcode.com/problems/",Github!C$277), Github!B$277)</f>
        <v>Paint Fence</v>
      </c>
      <c r="C848" s="13">
        <f>Github!F$277</f>
        <v>1385</v>
      </c>
      <c r="D848" s="13">
        <f>Github!G$277</f>
        <v>370</v>
      </c>
      <c r="E848" s="13">
        <f>Github!F$277+Github!G$277</f>
        <v>1755</v>
      </c>
      <c r="F848" s="15">
        <f t="shared" si="1"/>
        <v>3.74</v>
      </c>
      <c r="G848" s="13" t="str">
        <f>ROUND(Github!O$277, 2)&amp;"%"</f>
        <v>44.27%</v>
      </c>
      <c r="H848" s="13" t="str">
        <f>Github!H$277</f>
        <v>Algorithms</v>
      </c>
      <c r="I848" s="16" t="str">
        <f>SUBSTITUTE(Github!L$277, ";", ", ")</f>
        <v>Dynamic Programming, </v>
      </c>
      <c r="J848" s="13" t="str">
        <f>Github!E$277</f>
        <v>Medium</v>
      </c>
      <c r="K848" s="13" t="str">
        <f>IF(TRIM(Github!D$277)="TRUE","FALSE","TRUE")</f>
        <v>FALSE</v>
      </c>
      <c r="L848" s="13" t="b">
        <f>Github!M$277</f>
        <v>1</v>
      </c>
      <c r="M848" s="13" t="b">
        <f>Github!N$277</f>
        <v>0</v>
      </c>
      <c r="N848" s="13">
        <f>Github!P$277</f>
        <v>95151</v>
      </c>
      <c r="O848" s="13">
        <f>Github!Q$277</f>
        <v>214933</v>
      </c>
    </row>
    <row r="849">
      <c r="A849" s="13">
        <f>Github!J$542</f>
        <v>541</v>
      </c>
      <c r="B849" s="14" t="str">
        <f>HYPERLINK(CONCAT("http://leetcode.com/problems/",Github!C$542), Github!B$542)</f>
        <v>Reverse String II</v>
      </c>
      <c r="C849" s="13">
        <f>Github!F$542</f>
        <v>1389</v>
      </c>
      <c r="D849" s="13">
        <f>Github!G$542</f>
        <v>2943</v>
      </c>
      <c r="E849" s="13">
        <f>Github!F$542+Github!G$542</f>
        <v>4332</v>
      </c>
      <c r="F849" s="15">
        <f t="shared" si="1"/>
        <v>0.47</v>
      </c>
      <c r="G849" s="13" t="str">
        <f>ROUND(Github!O$542, 2)&amp;"%"</f>
        <v>50.56%</v>
      </c>
      <c r="H849" s="13" t="str">
        <f>Github!H$542</f>
        <v>Algorithms</v>
      </c>
      <c r="I849" s="16" t="str">
        <f>SUBSTITUTE(Github!L$542, ";", ", ")</f>
        <v>Two Pointers, String, </v>
      </c>
      <c r="J849" s="13" t="str">
        <f>Github!E$542</f>
        <v>Easy</v>
      </c>
      <c r="K849" s="13" t="str">
        <f>IF(TRIM(Github!D$542)="TRUE","FALSE","TRUE")</f>
        <v>TRUE</v>
      </c>
      <c r="L849" s="13" t="b">
        <f>Github!M$542</f>
        <v>1</v>
      </c>
      <c r="M849" s="13" t="b">
        <f>Github!N$542</f>
        <v>0</v>
      </c>
      <c r="N849" s="13">
        <f>Github!P$542</f>
        <v>182107</v>
      </c>
      <c r="O849" s="13">
        <f>Github!Q$542</f>
        <v>360156</v>
      </c>
    </row>
    <row r="850">
      <c r="A850" s="13">
        <f>Github!J$1297</f>
        <v>1296</v>
      </c>
      <c r="B850" s="14" t="str">
        <f>HYPERLINK(CONCAT("http://leetcode.com/problems/",Github!C$1297), Github!B$1297)</f>
        <v>Divide Array in Sets of K Consecutive Numbers</v>
      </c>
      <c r="C850" s="13">
        <f>Github!F$1297</f>
        <v>1391</v>
      </c>
      <c r="D850" s="13">
        <f>Github!G$1297</f>
        <v>94</v>
      </c>
      <c r="E850" s="13">
        <f>Github!F$1297+Github!G$1297</f>
        <v>1485</v>
      </c>
      <c r="F850" s="15">
        <f t="shared" si="1"/>
        <v>14.8</v>
      </c>
      <c r="G850" s="13" t="str">
        <f>ROUND(Github!O$1297, 2)&amp;"%"</f>
        <v>56.64%</v>
      </c>
      <c r="H850" s="13" t="str">
        <f>Github!H$1297</f>
        <v>Algorithms</v>
      </c>
      <c r="I850" s="16" t="str">
        <f>SUBSTITUTE(Github!L$1297, ";", ", ")</f>
        <v>Array, Hash Table, Greedy, Sorting, </v>
      </c>
      <c r="J850" s="13" t="str">
        <f>Github!E$1297</f>
        <v>Medium</v>
      </c>
      <c r="K850" s="13" t="str">
        <f>IF(TRIM(Github!D$1297)="TRUE","FALSE","TRUE")</f>
        <v>TRUE</v>
      </c>
      <c r="L850" s="13" t="b">
        <f>Github!M$1297</f>
        <v>0</v>
      </c>
      <c r="M850" s="13" t="b">
        <f>Github!N$1297</f>
        <v>0</v>
      </c>
      <c r="N850" s="13">
        <f>Github!P$1297</f>
        <v>69145</v>
      </c>
      <c r="O850" s="13">
        <f>Github!Q$1297</f>
        <v>122084</v>
      </c>
    </row>
    <row r="851">
      <c r="A851" s="13">
        <f>Github!J$710</f>
        <v>709</v>
      </c>
      <c r="B851" s="14" t="str">
        <f>HYPERLINK(CONCAT("http://leetcode.com/problems/",Github!C$710), Github!B$710)</f>
        <v>To Lower Case</v>
      </c>
      <c r="C851" s="13">
        <f>Github!F$710</f>
        <v>1402</v>
      </c>
      <c r="D851" s="13">
        <f>Github!G$710</f>
        <v>2536</v>
      </c>
      <c r="E851" s="13">
        <f>Github!F$710+Github!G$710</f>
        <v>3938</v>
      </c>
      <c r="F851" s="15">
        <f t="shared" si="1"/>
        <v>0.55</v>
      </c>
      <c r="G851" s="13" t="str">
        <f>ROUND(Github!O$710, 2)&amp;"%"</f>
        <v>82.09%</v>
      </c>
      <c r="H851" s="13" t="str">
        <f>Github!H$710</f>
        <v>Algorithms</v>
      </c>
      <c r="I851" s="16" t="str">
        <f>SUBSTITUTE(Github!L$710, ";", ", ")</f>
        <v>String, </v>
      </c>
      <c r="J851" s="13" t="str">
        <f>Github!E$710</f>
        <v>Easy</v>
      </c>
      <c r="K851" s="13" t="str">
        <f>IF(TRIM(Github!D$710)="TRUE","FALSE","TRUE")</f>
        <v>TRUE</v>
      </c>
      <c r="L851" s="13" t="b">
        <f>Github!M$710</f>
        <v>1</v>
      </c>
      <c r="M851" s="13" t="b">
        <f>Github!N$710</f>
        <v>0</v>
      </c>
      <c r="N851" s="13">
        <f>Github!P$710</f>
        <v>391679</v>
      </c>
      <c r="O851" s="13">
        <f>Github!Q$710</f>
        <v>477156</v>
      </c>
    </row>
    <row r="852">
      <c r="A852" s="13">
        <f>Github!J$911</f>
        <v>910</v>
      </c>
      <c r="B852" s="14" t="str">
        <f>HYPERLINK(CONCAT("http://leetcode.com/problems/",Github!C$911), Github!B$911)</f>
        <v>Smallest Range II</v>
      </c>
      <c r="C852" s="13">
        <f>Github!F$911</f>
        <v>1392</v>
      </c>
      <c r="D852" s="13">
        <f>Github!G$911</f>
        <v>397</v>
      </c>
      <c r="E852" s="13">
        <f>Github!F$911+Github!G$911</f>
        <v>1789</v>
      </c>
      <c r="F852" s="15">
        <f t="shared" si="1"/>
        <v>3.51</v>
      </c>
      <c r="G852" s="13" t="str">
        <f>ROUND(Github!O$911, 2)&amp;"%"</f>
        <v>34.75%</v>
      </c>
      <c r="H852" s="13" t="str">
        <f>Github!H$911</f>
        <v>Algorithms</v>
      </c>
      <c r="I852" s="16" t="str">
        <f>SUBSTITUTE(Github!L$911, ";", ", ")</f>
        <v>Array, Math, Greedy, Sorting, </v>
      </c>
      <c r="J852" s="13" t="str">
        <f>Github!E$911</f>
        <v>Medium</v>
      </c>
      <c r="K852" s="13" t="str">
        <f>IF(TRIM(Github!D$911)="TRUE","FALSE","TRUE")</f>
        <v>TRUE</v>
      </c>
      <c r="L852" s="13" t="b">
        <f>Github!M$911</f>
        <v>1</v>
      </c>
      <c r="M852" s="13" t="b">
        <f>Github!N$911</f>
        <v>0</v>
      </c>
      <c r="N852" s="13">
        <f>Github!P$911</f>
        <v>43466</v>
      </c>
      <c r="O852" s="13">
        <f>Github!Q$911</f>
        <v>125096</v>
      </c>
    </row>
    <row r="853">
      <c r="A853" s="13">
        <f>Github!J$540</f>
        <v>539</v>
      </c>
      <c r="B853" s="14" t="str">
        <f>HYPERLINK(CONCAT("http://leetcode.com/problems/",Github!C$540), Github!B$540)</f>
        <v>Minimum Time Difference</v>
      </c>
      <c r="C853" s="13">
        <f>Github!F$540</f>
        <v>1389</v>
      </c>
      <c r="D853" s="13">
        <f>Github!G$540</f>
        <v>233</v>
      </c>
      <c r="E853" s="13">
        <f>Github!F$540+Github!G$540</f>
        <v>1622</v>
      </c>
      <c r="F853" s="15">
        <f t="shared" si="1"/>
        <v>5.96</v>
      </c>
      <c r="G853" s="13" t="str">
        <f>ROUND(Github!O$540, 2)&amp;"%"</f>
        <v>56.26%</v>
      </c>
      <c r="H853" s="13" t="str">
        <f>Github!H$540</f>
        <v>Algorithms</v>
      </c>
      <c r="I853" s="16" t="str">
        <f>SUBSTITUTE(Github!L$540, ";", ", ")</f>
        <v>Array, Math, String, Sorting, </v>
      </c>
      <c r="J853" s="13" t="str">
        <f>Github!E$540</f>
        <v>Medium</v>
      </c>
      <c r="K853" s="13" t="str">
        <f>IF(TRIM(Github!D$540)="TRUE","FALSE","TRUE")</f>
        <v>TRUE</v>
      </c>
      <c r="L853" s="13" t="b">
        <f>Github!M$540</f>
        <v>0</v>
      </c>
      <c r="M853" s="13" t="b">
        <f>Github!N$540</f>
        <v>0</v>
      </c>
      <c r="N853" s="13">
        <f>Github!P$540</f>
        <v>117072</v>
      </c>
      <c r="O853" s="13">
        <f>Github!Q$540</f>
        <v>208073</v>
      </c>
    </row>
    <row r="854">
      <c r="A854" s="13">
        <f>Github!J$916</f>
        <v>915</v>
      </c>
      <c r="B854" s="14" t="str">
        <f>HYPERLINK(CONCAT("http://leetcode.com/problems/",Github!C$916), Github!B$916)</f>
        <v>Partition Array into Disjoint Intervals</v>
      </c>
      <c r="C854" s="13">
        <f>Github!F$916</f>
        <v>1385</v>
      </c>
      <c r="D854" s="13">
        <f>Github!G$916</f>
        <v>70</v>
      </c>
      <c r="E854" s="13">
        <f>Github!F$916+Github!G$916</f>
        <v>1455</v>
      </c>
      <c r="F854" s="15">
        <f t="shared" si="1"/>
        <v>19.79</v>
      </c>
      <c r="G854" s="13" t="str">
        <f>ROUND(Github!O$916, 2)&amp;"%"</f>
        <v>48.59%</v>
      </c>
      <c r="H854" s="13" t="str">
        <f>Github!H$916</f>
        <v>Algorithms</v>
      </c>
      <c r="I854" s="16" t="str">
        <f>SUBSTITUTE(Github!L$916, ";", ", ")</f>
        <v>Array, </v>
      </c>
      <c r="J854" s="13" t="str">
        <f>Github!E$916</f>
        <v>Medium</v>
      </c>
      <c r="K854" s="13" t="str">
        <f>IF(TRIM(Github!D$916)="TRUE","FALSE","TRUE")</f>
        <v>TRUE</v>
      </c>
      <c r="L854" s="13" t="b">
        <f>Github!M$916</f>
        <v>1</v>
      </c>
      <c r="M854" s="13" t="b">
        <f>Github!N$916</f>
        <v>0</v>
      </c>
      <c r="N854" s="13">
        <f>Github!P$916</f>
        <v>72236</v>
      </c>
      <c r="O854" s="13">
        <f>Github!Q$916</f>
        <v>148660</v>
      </c>
    </row>
    <row r="855">
      <c r="A855" s="13">
        <f>Github!J$1347</f>
        <v>1346</v>
      </c>
      <c r="B855" s="14" t="str">
        <f>HYPERLINK(CONCAT("http://leetcode.com/problems/",Github!C$1347), Github!B$1347)</f>
        <v>Check If N and Its Double Exist</v>
      </c>
      <c r="C855" s="13">
        <f>Github!F$1347</f>
        <v>1400</v>
      </c>
      <c r="D855" s="13">
        <f>Github!G$1347</f>
        <v>155</v>
      </c>
      <c r="E855" s="13">
        <f>Github!F$1347+Github!G$1347</f>
        <v>1555</v>
      </c>
      <c r="F855" s="15">
        <f t="shared" si="1"/>
        <v>9.03</v>
      </c>
      <c r="G855" s="13" t="str">
        <f>ROUND(Github!O$1347, 2)&amp;"%"</f>
        <v>36.34%</v>
      </c>
      <c r="H855" s="13" t="str">
        <f>Github!H$1347</f>
        <v>Algorithms</v>
      </c>
      <c r="I855" s="16" t="str">
        <f>SUBSTITUTE(Github!L$1347, ";", ", ")</f>
        <v>Array, Hash Table, Two Pointers, Binary Search, Sorting, </v>
      </c>
      <c r="J855" s="13" t="str">
        <f>Github!E$1347</f>
        <v>Easy</v>
      </c>
      <c r="K855" s="13" t="str">
        <f>IF(TRIM(Github!D$1347)="TRUE","FALSE","TRUE")</f>
        <v>TRUE</v>
      </c>
      <c r="L855" s="13" t="b">
        <f>Github!M$1347</f>
        <v>0</v>
      </c>
      <c r="M855" s="13" t="b">
        <f>Github!N$1347</f>
        <v>0</v>
      </c>
      <c r="N855" s="13">
        <f>Github!P$1347</f>
        <v>257678</v>
      </c>
      <c r="O855" s="13">
        <f>Github!Q$1347</f>
        <v>709147</v>
      </c>
    </row>
    <row r="856">
      <c r="A856" s="13">
        <f>Github!J$1014</f>
        <v>1013</v>
      </c>
      <c r="B856" s="14" t="str">
        <f>HYPERLINK(CONCAT("http://leetcode.com/problems/",Github!C$1014), Github!B$1014)</f>
        <v>Partition Array Into Three Parts With Equal Sum</v>
      </c>
      <c r="C856" s="13">
        <f>Github!F$1014</f>
        <v>1390</v>
      </c>
      <c r="D856" s="13">
        <f>Github!G$1014</f>
        <v>134</v>
      </c>
      <c r="E856" s="13">
        <f>Github!F$1014+Github!G$1014</f>
        <v>1524</v>
      </c>
      <c r="F856" s="15">
        <f t="shared" si="1"/>
        <v>10.37</v>
      </c>
      <c r="G856" s="13" t="str">
        <f>ROUND(Github!O$1014, 2)&amp;"%"</f>
        <v>43.05%</v>
      </c>
      <c r="H856" s="13" t="str">
        <f>Github!H$1014</f>
        <v>Algorithms</v>
      </c>
      <c r="I856" s="16" t="str">
        <f>SUBSTITUTE(Github!L$1014, ";", ", ")</f>
        <v>Array, Greedy, </v>
      </c>
      <c r="J856" s="13" t="str">
        <f>Github!E$1014</f>
        <v>Easy</v>
      </c>
      <c r="K856" s="13" t="str">
        <f>IF(TRIM(Github!D$1014)="TRUE","FALSE","TRUE")</f>
        <v>TRUE</v>
      </c>
      <c r="L856" s="13" t="b">
        <f>Github!M$1014</f>
        <v>0</v>
      </c>
      <c r="M856" s="13" t="b">
        <f>Github!N$1014</f>
        <v>0</v>
      </c>
      <c r="N856" s="13">
        <f>Github!P$1014</f>
        <v>74620</v>
      </c>
      <c r="O856" s="13">
        <f>Github!Q$1014</f>
        <v>173350</v>
      </c>
    </row>
    <row r="857">
      <c r="A857" s="13">
        <f>Github!J$729</f>
        <v>728</v>
      </c>
      <c r="B857" s="14" t="str">
        <f>HYPERLINK(CONCAT("http://leetcode.com/problems/",Github!C$729), Github!B$729)</f>
        <v>Self Dividing Numbers</v>
      </c>
      <c r="C857" s="13">
        <f>Github!F$729</f>
        <v>1387</v>
      </c>
      <c r="D857" s="13">
        <f>Github!G$729</f>
        <v>355</v>
      </c>
      <c r="E857" s="13">
        <f>Github!F$729+Github!G$729</f>
        <v>1742</v>
      </c>
      <c r="F857" s="15">
        <f t="shared" si="1"/>
        <v>3.91</v>
      </c>
      <c r="G857" s="13" t="str">
        <f>ROUND(Github!O$729, 2)&amp;"%"</f>
        <v>77.73%</v>
      </c>
      <c r="H857" s="13" t="str">
        <f>Github!H$729</f>
        <v>Algorithms</v>
      </c>
      <c r="I857" s="16" t="str">
        <f>SUBSTITUTE(Github!L$729, ";", ", ")</f>
        <v>Math, </v>
      </c>
      <c r="J857" s="13" t="str">
        <f>Github!E$729</f>
        <v>Easy</v>
      </c>
      <c r="K857" s="13" t="str">
        <f>IF(TRIM(Github!D$729)="TRUE","FALSE","TRUE")</f>
        <v>TRUE</v>
      </c>
      <c r="L857" s="13" t="b">
        <f>Github!M$729</f>
        <v>1</v>
      </c>
      <c r="M857" s="13" t="b">
        <f>Github!N$729</f>
        <v>0</v>
      </c>
      <c r="N857" s="13">
        <f>Github!P$729</f>
        <v>194492</v>
      </c>
      <c r="O857" s="13">
        <f>Github!Q$729</f>
        <v>250203</v>
      </c>
    </row>
    <row r="858">
      <c r="A858" s="13">
        <f>Github!J$1283</f>
        <v>1282</v>
      </c>
      <c r="B858" s="14" t="str">
        <f>HYPERLINK(CONCAT("http://leetcode.com/problems/",Github!C$1283), Github!B$1283)</f>
        <v>Group the People Given the Group Size They Belong To</v>
      </c>
      <c r="C858" s="13">
        <f>Github!F$1283</f>
        <v>1380</v>
      </c>
      <c r="D858" s="13">
        <f>Github!G$1283</f>
        <v>512</v>
      </c>
      <c r="E858" s="13">
        <f>Github!F$1283+Github!G$1283</f>
        <v>1892</v>
      </c>
      <c r="F858" s="15">
        <f t="shared" si="1"/>
        <v>2.7</v>
      </c>
      <c r="G858" s="13" t="str">
        <f>ROUND(Github!O$1283, 2)&amp;"%"</f>
        <v>85.65%</v>
      </c>
      <c r="H858" s="13" t="str">
        <f>Github!H$1283</f>
        <v>Algorithms</v>
      </c>
      <c r="I858" s="16" t="str">
        <f>SUBSTITUTE(Github!L$1283, ";", ", ")</f>
        <v>Array, Hash Table, </v>
      </c>
      <c r="J858" s="13" t="str">
        <f>Github!E$1283</f>
        <v>Medium</v>
      </c>
      <c r="K858" s="13" t="str">
        <f>IF(TRIM(Github!D$1283)="TRUE","FALSE","TRUE")</f>
        <v>TRUE</v>
      </c>
      <c r="L858" s="13" t="b">
        <f>Github!M$1283</f>
        <v>0</v>
      </c>
      <c r="M858" s="13" t="b">
        <f>Github!N$1283</f>
        <v>0</v>
      </c>
      <c r="N858" s="13">
        <f>Github!P$1283</f>
        <v>94725</v>
      </c>
      <c r="O858" s="13">
        <f>Github!Q$1283</f>
        <v>110596</v>
      </c>
    </row>
    <row r="859">
      <c r="A859" s="13">
        <f>Github!J$941</f>
        <v>940</v>
      </c>
      <c r="B859" s="14" t="str">
        <f>HYPERLINK(CONCAT("http://leetcode.com/problems/",Github!C$941), Github!B$941)</f>
        <v>Distinct Subsequences II</v>
      </c>
      <c r="C859" s="13">
        <f>Github!F$941</f>
        <v>1380</v>
      </c>
      <c r="D859" s="13">
        <f>Github!G$941</f>
        <v>29</v>
      </c>
      <c r="E859" s="13">
        <f>Github!F$941+Github!G$941</f>
        <v>1409</v>
      </c>
      <c r="F859" s="15">
        <f t="shared" si="1"/>
        <v>47.59</v>
      </c>
      <c r="G859" s="13" t="str">
        <f>ROUND(Github!O$941, 2)&amp;"%"</f>
        <v>44.2%</v>
      </c>
      <c r="H859" s="13" t="str">
        <f>Github!H$941</f>
        <v>Algorithms</v>
      </c>
      <c r="I859" s="16" t="str">
        <f>SUBSTITUTE(Github!L$941, ";", ", ")</f>
        <v>String, Dynamic Programming, </v>
      </c>
      <c r="J859" s="13" t="str">
        <f>Github!E$941</f>
        <v>Hard</v>
      </c>
      <c r="K859" s="13" t="str">
        <f>IF(TRIM(Github!D$941)="TRUE","FALSE","TRUE")</f>
        <v>TRUE</v>
      </c>
      <c r="L859" s="13" t="b">
        <f>Github!M$941</f>
        <v>1</v>
      </c>
      <c r="M859" s="13" t="b">
        <f>Github!N$941</f>
        <v>0</v>
      </c>
      <c r="N859" s="13">
        <f>Github!P$941</f>
        <v>31729</v>
      </c>
      <c r="O859" s="13">
        <f>Github!Q$941</f>
        <v>71789</v>
      </c>
    </row>
    <row r="860">
      <c r="A860" s="13">
        <f>Github!J$1053</f>
        <v>1052</v>
      </c>
      <c r="B860" s="14" t="str">
        <f>HYPERLINK(CONCAT("http://leetcode.com/problems/",Github!C$1053), Github!B$1053)</f>
        <v>Grumpy Bookstore Owner</v>
      </c>
      <c r="C860" s="13">
        <f>Github!F$1053</f>
        <v>1378</v>
      </c>
      <c r="D860" s="13">
        <f>Github!G$1053</f>
        <v>114</v>
      </c>
      <c r="E860" s="13">
        <f>Github!F$1053+Github!G$1053</f>
        <v>1492</v>
      </c>
      <c r="F860" s="15">
        <f t="shared" si="1"/>
        <v>12.09</v>
      </c>
      <c r="G860" s="13" t="str">
        <f>ROUND(Github!O$1053, 2)&amp;"%"</f>
        <v>57.08%</v>
      </c>
      <c r="H860" s="13" t="str">
        <f>Github!H$1053</f>
        <v>Algorithms</v>
      </c>
      <c r="I860" s="16" t="str">
        <f>SUBSTITUTE(Github!L$1053, ";", ", ")</f>
        <v>Array, Sliding Window, </v>
      </c>
      <c r="J860" s="13" t="str">
        <f>Github!E$1053</f>
        <v>Medium</v>
      </c>
      <c r="K860" s="13" t="str">
        <f>IF(TRIM(Github!D$1053)="TRUE","FALSE","TRUE")</f>
        <v>TRUE</v>
      </c>
      <c r="L860" s="13" t="b">
        <f>Github!M$1053</f>
        <v>0</v>
      </c>
      <c r="M860" s="13" t="b">
        <f>Github!N$1053</f>
        <v>0</v>
      </c>
      <c r="N860" s="13">
        <f>Github!P$1053</f>
        <v>60037</v>
      </c>
      <c r="O860" s="13">
        <f>Github!Q$1053</f>
        <v>105186</v>
      </c>
    </row>
    <row r="861">
      <c r="A861" s="13">
        <f>Github!J$1267</f>
        <v>1266</v>
      </c>
      <c r="B861" s="14" t="str">
        <f>HYPERLINK(CONCAT("http://leetcode.com/problems/",Github!C$1267), Github!B$1267)</f>
        <v>Minimum Time Visiting All Points</v>
      </c>
      <c r="C861" s="13">
        <f>Github!F$1267</f>
        <v>1362</v>
      </c>
      <c r="D861" s="13">
        <f>Github!G$1267</f>
        <v>173</v>
      </c>
      <c r="E861" s="13">
        <f>Github!F$1267+Github!G$1267</f>
        <v>1535</v>
      </c>
      <c r="F861" s="15">
        <f t="shared" si="1"/>
        <v>7.87</v>
      </c>
      <c r="G861" s="13" t="str">
        <f>ROUND(Github!O$1267, 2)&amp;"%"</f>
        <v>79.12%</v>
      </c>
      <c r="H861" s="13" t="str">
        <f>Github!H$1267</f>
        <v>Algorithms</v>
      </c>
      <c r="I861" s="16" t="str">
        <f>SUBSTITUTE(Github!L$1267, ";", ", ")</f>
        <v>Array, Math, Geometry, </v>
      </c>
      <c r="J861" s="13" t="str">
        <f>Github!E$1267</f>
        <v>Easy</v>
      </c>
      <c r="K861" s="13" t="str">
        <f>IF(TRIM(Github!D$1267)="TRUE","FALSE","TRUE")</f>
        <v>TRUE</v>
      </c>
      <c r="L861" s="13" t="b">
        <f>Github!M$1267</f>
        <v>0</v>
      </c>
      <c r="M861" s="13" t="b">
        <f>Github!N$1267</f>
        <v>0</v>
      </c>
      <c r="N861" s="13">
        <f>Github!P$1267</f>
        <v>129590</v>
      </c>
      <c r="O861" s="13">
        <f>Github!Q$1267</f>
        <v>163797</v>
      </c>
    </row>
    <row r="862">
      <c r="A862" s="13">
        <f>Github!J$1040</f>
        <v>1039</v>
      </c>
      <c r="B862" s="14" t="str">
        <f>HYPERLINK(CONCAT("http://leetcode.com/problems/",Github!C$1040), Github!B$1040)</f>
        <v>Minimum Score Triangulation of Polygon</v>
      </c>
      <c r="C862" s="13">
        <f>Github!F$1040</f>
        <v>1369</v>
      </c>
      <c r="D862" s="13">
        <f>Github!G$1040</f>
        <v>135</v>
      </c>
      <c r="E862" s="13">
        <f>Github!F$1040+Github!G$1040</f>
        <v>1504</v>
      </c>
      <c r="F862" s="15">
        <f t="shared" si="1"/>
        <v>10.14</v>
      </c>
      <c r="G862" s="13" t="str">
        <f>ROUND(Github!O$1040, 2)&amp;"%"</f>
        <v>54.86%</v>
      </c>
      <c r="H862" s="13" t="str">
        <f>Github!H$1040</f>
        <v>Algorithms</v>
      </c>
      <c r="I862" s="16" t="str">
        <f>SUBSTITUTE(Github!L$1040, ";", ", ")</f>
        <v>Array, Dynamic Programming, </v>
      </c>
      <c r="J862" s="13" t="str">
        <f>Github!E$1040</f>
        <v>Medium</v>
      </c>
      <c r="K862" s="13" t="str">
        <f>IF(TRIM(Github!D$1040)="TRUE","FALSE","TRUE")</f>
        <v>TRUE</v>
      </c>
      <c r="L862" s="13" t="b">
        <f>Github!M$1040</f>
        <v>0</v>
      </c>
      <c r="M862" s="13" t="b">
        <f>Github!N$1040</f>
        <v>0</v>
      </c>
      <c r="N862" s="13">
        <f>Github!P$1040</f>
        <v>30642</v>
      </c>
      <c r="O862" s="13">
        <f>Github!Q$1040</f>
        <v>55857</v>
      </c>
    </row>
    <row r="863">
      <c r="A863" s="13">
        <f>Github!J$989</f>
        <v>988</v>
      </c>
      <c r="B863" s="14" t="str">
        <f>HYPERLINK(CONCAT("http://leetcode.com/problems/",Github!C$989), Github!B$989)</f>
        <v>Smallest String Starting From Leaf</v>
      </c>
      <c r="C863" s="13">
        <f>Github!F$989</f>
        <v>1364</v>
      </c>
      <c r="D863" s="13">
        <f>Github!G$989</f>
        <v>193</v>
      </c>
      <c r="E863" s="13">
        <f>Github!F$989+Github!G$989</f>
        <v>1557</v>
      </c>
      <c r="F863" s="15">
        <f t="shared" si="1"/>
        <v>7.07</v>
      </c>
      <c r="G863" s="13" t="str">
        <f>ROUND(Github!O$989, 2)&amp;"%"</f>
        <v>49.84%</v>
      </c>
      <c r="H863" s="13" t="str">
        <f>Github!H$989</f>
        <v>Algorithms</v>
      </c>
      <c r="I863" s="16" t="str">
        <f>SUBSTITUTE(Github!L$989, ";", ", ")</f>
        <v>String, Tree, Depth-First Search, Binary Tree, </v>
      </c>
      <c r="J863" s="13" t="str">
        <f>Github!E$989</f>
        <v>Medium</v>
      </c>
      <c r="K863" s="13" t="str">
        <f>IF(TRIM(Github!D$989)="TRUE","FALSE","TRUE")</f>
        <v>TRUE</v>
      </c>
      <c r="L863" s="13" t="b">
        <f>Github!M$989</f>
        <v>1</v>
      </c>
      <c r="M863" s="13" t="b">
        <f>Github!N$989</f>
        <v>0</v>
      </c>
      <c r="N863" s="13">
        <f>Github!P$989</f>
        <v>62883</v>
      </c>
      <c r="O863" s="13">
        <f>Github!Q$989</f>
        <v>126166</v>
      </c>
    </row>
    <row r="864">
      <c r="A864" s="13">
        <f>Github!J$334</f>
        <v>333</v>
      </c>
      <c r="B864" s="14" t="str">
        <f>HYPERLINK(CONCAT("http://leetcode.com/problems/",Github!C$334), Github!B$334)</f>
        <v>Largest BST Subtree</v>
      </c>
      <c r="C864" s="13">
        <f>Github!F$334</f>
        <v>1355</v>
      </c>
      <c r="D864" s="13">
        <f>Github!G$334</f>
        <v>108</v>
      </c>
      <c r="E864" s="13">
        <f>Github!F$334+Github!G$334</f>
        <v>1463</v>
      </c>
      <c r="F864" s="15">
        <f t="shared" si="1"/>
        <v>12.55</v>
      </c>
      <c r="G864" s="13" t="str">
        <f>ROUND(Github!O$334, 2)&amp;"%"</f>
        <v>42.61%</v>
      </c>
      <c r="H864" s="13" t="str">
        <f>Github!H$334</f>
        <v>Algorithms</v>
      </c>
      <c r="I864" s="16" t="str">
        <f>SUBSTITUTE(Github!L$334, ";", ", ")</f>
        <v>Dynamic Programming, Tree, Depth-First Search, Binary Search Tree, Binary Tree, </v>
      </c>
      <c r="J864" s="13" t="str">
        <f>Github!E$334</f>
        <v>Medium</v>
      </c>
      <c r="K864" s="13" t="str">
        <f>IF(TRIM(Github!D$334)="TRUE","FALSE","TRUE")</f>
        <v>FALSE</v>
      </c>
      <c r="L864" s="13" t="b">
        <f>Github!M$334</f>
        <v>1</v>
      </c>
      <c r="M864" s="13" t="b">
        <f>Github!N$334</f>
        <v>0</v>
      </c>
      <c r="N864" s="13">
        <f>Github!P$334</f>
        <v>93619</v>
      </c>
      <c r="O864" s="13">
        <f>Github!Q$334</f>
        <v>219686</v>
      </c>
    </row>
    <row r="865">
      <c r="A865" s="13">
        <f>Github!J$1465</f>
        <v>1464</v>
      </c>
      <c r="B865" s="14" t="str">
        <f>HYPERLINK(CONCAT("http://leetcode.com/problems/",Github!C$1465), Github!B$1465)</f>
        <v>Maximum Product of Two Elements in an Array</v>
      </c>
      <c r="C865" s="13">
        <f>Github!F$1465</f>
        <v>1378</v>
      </c>
      <c r="D865" s="13">
        <f>Github!G$1465</f>
        <v>175</v>
      </c>
      <c r="E865" s="13">
        <f>Github!F$1465+Github!G$1465</f>
        <v>1553</v>
      </c>
      <c r="F865" s="15">
        <f t="shared" si="1"/>
        <v>7.87</v>
      </c>
      <c r="G865" s="13" t="str">
        <f>ROUND(Github!O$1465, 2)&amp;"%"</f>
        <v>79.56%</v>
      </c>
      <c r="H865" s="13" t="str">
        <f>Github!H$1465</f>
        <v>Algorithms</v>
      </c>
      <c r="I865" s="16" t="str">
        <f>SUBSTITUTE(Github!L$1465, ";", ", ")</f>
        <v>Array, Sorting, Heap (Priority Queue), </v>
      </c>
      <c r="J865" s="13" t="str">
        <f>Github!E$1465</f>
        <v>Easy</v>
      </c>
      <c r="K865" s="13" t="str">
        <f>IF(TRIM(Github!D$1465)="TRUE","FALSE","TRUE")</f>
        <v>TRUE</v>
      </c>
      <c r="L865" s="13" t="b">
        <f>Github!M$1465</f>
        <v>0</v>
      </c>
      <c r="M865" s="13" t="b">
        <f>Github!N$1465</f>
        <v>0</v>
      </c>
      <c r="N865" s="13">
        <f>Github!P$1465</f>
        <v>170893</v>
      </c>
      <c r="O865" s="13">
        <f>Github!Q$1465</f>
        <v>214786</v>
      </c>
    </row>
    <row r="866">
      <c r="A866" s="13">
        <f>Github!J$958</f>
        <v>957</v>
      </c>
      <c r="B866" s="14" t="str">
        <f>HYPERLINK(CONCAT("http://leetcode.com/problems/",Github!C$958), Github!B$958)</f>
        <v>Prison Cells After N Days</v>
      </c>
      <c r="C866" s="13">
        <f>Github!F$958</f>
        <v>1360</v>
      </c>
      <c r="D866" s="13">
        <f>Github!G$958</f>
        <v>1641</v>
      </c>
      <c r="E866" s="13">
        <f>Github!F$958+Github!G$958</f>
        <v>3001</v>
      </c>
      <c r="F866" s="15">
        <f t="shared" si="1"/>
        <v>0.83</v>
      </c>
      <c r="G866" s="13" t="str">
        <f>ROUND(Github!O$958, 2)&amp;"%"</f>
        <v>39.09%</v>
      </c>
      <c r="H866" s="13" t="str">
        <f>Github!H$958</f>
        <v>Algorithms</v>
      </c>
      <c r="I866" s="16" t="str">
        <f>SUBSTITUTE(Github!L$958, ";", ", ")</f>
        <v>Array, Hash Table, Math, Bit Manipulation, </v>
      </c>
      <c r="J866" s="13" t="str">
        <f>Github!E$958</f>
        <v>Medium</v>
      </c>
      <c r="K866" s="13" t="str">
        <f>IF(TRIM(Github!D$958)="TRUE","FALSE","TRUE")</f>
        <v>TRUE</v>
      </c>
      <c r="L866" s="13" t="b">
        <f>Github!M$958</f>
        <v>1</v>
      </c>
      <c r="M866" s="13" t="b">
        <f>Github!N$958</f>
        <v>0</v>
      </c>
      <c r="N866" s="13">
        <f>Github!P$958</f>
        <v>150195</v>
      </c>
      <c r="O866" s="13">
        <f>Github!Q$958</f>
        <v>384260</v>
      </c>
    </row>
    <row r="867">
      <c r="A867" s="13">
        <f>Github!J$413</f>
        <v>412</v>
      </c>
      <c r="B867" s="14" t="str">
        <f>HYPERLINK(CONCAT("http://leetcode.com/problems/",Github!C$413), Github!B$413)</f>
        <v>Fizz Buzz</v>
      </c>
      <c r="C867" s="13">
        <f>Github!F$413</f>
        <v>1412</v>
      </c>
      <c r="D867" s="13">
        <f>Github!G$413</f>
        <v>206</v>
      </c>
      <c r="E867" s="13">
        <f>Github!F$413+Github!G$413</f>
        <v>1618</v>
      </c>
      <c r="F867" s="15">
        <f t="shared" si="1"/>
        <v>6.85</v>
      </c>
      <c r="G867" s="13" t="str">
        <f>ROUND(Github!O$413, 2)&amp;"%"</f>
        <v>69.22%</v>
      </c>
      <c r="H867" s="13" t="str">
        <f>Github!H$413</f>
        <v>Algorithms</v>
      </c>
      <c r="I867" s="16" t="str">
        <f>SUBSTITUTE(Github!L$413, ";", ", ")</f>
        <v>Math, String, Simulation, </v>
      </c>
      <c r="J867" s="13" t="str">
        <f>Github!E$413</f>
        <v>Easy</v>
      </c>
      <c r="K867" s="13" t="str">
        <f>IF(TRIM(Github!D$413)="TRUE","FALSE","TRUE")</f>
        <v>TRUE</v>
      </c>
      <c r="L867" s="13" t="b">
        <f>Github!M$413</f>
        <v>1</v>
      </c>
      <c r="M867" s="13" t="b">
        <f>Github!N$413</f>
        <v>1</v>
      </c>
      <c r="N867" s="13">
        <f>Github!P$413</f>
        <v>851753</v>
      </c>
      <c r="O867" s="13">
        <f>Github!Q$413</f>
        <v>1230460</v>
      </c>
    </row>
    <row r="868">
      <c r="A868" s="13">
        <f>Github!J$1198</f>
        <v>1197</v>
      </c>
      <c r="B868" s="14" t="str">
        <f>HYPERLINK(CONCAT("http://leetcode.com/problems/",Github!C$1198), Github!B$1198)</f>
        <v>Minimum Knight Moves</v>
      </c>
      <c r="C868" s="13">
        <f>Github!F$1198</f>
        <v>1351</v>
      </c>
      <c r="D868" s="13">
        <f>Github!G$1198</f>
        <v>380</v>
      </c>
      <c r="E868" s="13">
        <f>Github!F$1198+Github!G$1198</f>
        <v>1731</v>
      </c>
      <c r="F868" s="15">
        <f t="shared" si="1"/>
        <v>3.56</v>
      </c>
      <c r="G868" s="13" t="str">
        <f>ROUND(Github!O$1198, 2)&amp;"%"</f>
        <v>39.65%</v>
      </c>
      <c r="H868" s="13" t="str">
        <f>Github!H$1198</f>
        <v>Algorithms</v>
      </c>
      <c r="I868" s="16" t="str">
        <f>SUBSTITUTE(Github!L$1198, ";", ", ")</f>
        <v>Breadth-First Search, </v>
      </c>
      <c r="J868" s="13" t="str">
        <f>Github!E$1198</f>
        <v>Medium</v>
      </c>
      <c r="K868" s="13" t="str">
        <f>IF(TRIM(Github!D$1198)="TRUE","FALSE","TRUE")</f>
        <v>FALSE</v>
      </c>
      <c r="L868" s="13" t="b">
        <f>Github!M$1198</f>
        <v>1</v>
      </c>
      <c r="M868" s="13" t="b">
        <f>Github!N$1198</f>
        <v>0</v>
      </c>
      <c r="N868" s="13">
        <f>Github!P$1198</f>
        <v>131211</v>
      </c>
      <c r="O868" s="13">
        <f>Github!Q$1198</f>
        <v>330943</v>
      </c>
    </row>
    <row r="869">
      <c r="A869" s="13">
        <f>Github!J$1681</f>
        <v>1680</v>
      </c>
      <c r="B869" s="14" t="str">
        <f>HYPERLINK(CONCAT("http://leetcode.com/problems/",Github!C$1681), Github!B$1681)</f>
        <v>Concatenation of Consecutive Binary Numbers</v>
      </c>
      <c r="C869" s="13">
        <f>Github!F$1681</f>
        <v>1349</v>
      </c>
      <c r="D869" s="13">
        <f>Github!G$1681</f>
        <v>421</v>
      </c>
      <c r="E869" s="13">
        <f>Github!F$1681+Github!G$1681</f>
        <v>1770</v>
      </c>
      <c r="F869" s="15">
        <f t="shared" si="1"/>
        <v>3.2</v>
      </c>
      <c r="G869" s="13" t="str">
        <f>ROUND(Github!O$1681, 2)&amp;"%"</f>
        <v>56.97%</v>
      </c>
      <c r="H869" s="13" t="str">
        <f>Github!H$1681</f>
        <v>Algorithms</v>
      </c>
      <c r="I869" s="16" t="str">
        <f>SUBSTITUTE(Github!L$1681, ";", ", ")</f>
        <v>Math, Bit Manipulation, Simulation, </v>
      </c>
      <c r="J869" s="13" t="str">
        <f>Github!E$1681</f>
        <v>Medium</v>
      </c>
      <c r="K869" s="13" t="str">
        <f>IF(TRIM(Github!D$1681)="TRUE","FALSE","TRUE")</f>
        <v>TRUE</v>
      </c>
      <c r="L869" s="13" t="b">
        <f>Github!M$1681</f>
        <v>1</v>
      </c>
      <c r="M869" s="13" t="b">
        <f>Github!N$1681</f>
        <v>0</v>
      </c>
      <c r="N869" s="13">
        <f>Github!P$1681</f>
        <v>85502</v>
      </c>
      <c r="O869" s="13">
        <f>Github!Q$1681</f>
        <v>150085</v>
      </c>
    </row>
    <row r="870">
      <c r="A870" s="13">
        <f>Github!J$844</f>
        <v>843</v>
      </c>
      <c r="B870" s="14" t="str">
        <f>HYPERLINK(CONCAT("http://leetcode.com/problems/",Github!C$844), Github!B$844)</f>
        <v>Guess the Word</v>
      </c>
      <c r="C870" s="13">
        <f>Github!F$844</f>
        <v>1349</v>
      </c>
      <c r="D870" s="13">
        <f>Github!G$844</f>
        <v>1611</v>
      </c>
      <c r="E870" s="13">
        <f>Github!F$844+Github!G$844</f>
        <v>2960</v>
      </c>
      <c r="F870" s="15">
        <f t="shared" si="1"/>
        <v>0.84</v>
      </c>
      <c r="G870" s="13" t="str">
        <f>ROUND(Github!O$844, 2)&amp;"%"</f>
        <v>41.6%</v>
      </c>
      <c r="H870" s="13" t="str">
        <f>Github!H$844</f>
        <v>Algorithms</v>
      </c>
      <c r="I870" s="16" t="str">
        <f>SUBSTITUTE(Github!L$844, ";", ", ")</f>
        <v>Array, Math, String, Interactive, Game Theory, </v>
      </c>
      <c r="J870" s="13" t="str">
        <f>Github!E$844</f>
        <v>Hard</v>
      </c>
      <c r="K870" s="13" t="str">
        <f>IF(TRIM(Github!D$844)="TRUE","FALSE","TRUE")</f>
        <v>TRUE</v>
      </c>
      <c r="L870" s="13" t="b">
        <f>Github!M$844</f>
        <v>0</v>
      </c>
      <c r="M870" s="13" t="b">
        <f>Github!N$844</f>
        <v>0</v>
      </c>
      <c r="N870" s="13">
        <f>Github!P$844</f>
        <v>128878</v>
      </c>
      <c r="O870" s="13">
        <f>Github!Q$844</f>
        <v>309804</v>
      </c>
    </row>
    <row r="871">
      <c r="A871" s="13">
        <f>Github!J$181</f>
        <v>180</v>
      </c>
      <c r="B871" s="14" t="str">
        <f>HYPERLINK(CONCAT("http://leetcode.com/problems/",Github!C$181), Github!B$181)</f>
        <v>Consecutive Numbers</v>
      </c>
      <c r="C871" s="13">
        <f>Github!F$181</f>
        <v>1362</v>
      </c>
      <c r="D871" s="13">
        <f>Github!G$181</f>
        <v>215</v>
      </c>
      <c r="E871" s="13">
        <f>Github!F$181+Github!G$181</f>
        <v>1577</v>
      </c>
      <c r="F871" s="15">
        <f t="shared" si="1"/>
        <v>6.33</v>
      </c>
      <c r="G871" s="13" t="str">
        <f>ROUND(Github!O$181, 2)&amp;"%"</f>
        <v>46.76%</v>
      </c>
      <c r="H871" s="13" t="str">
        <f>Github!H$181</f>
        <v>Database</v>
      </c>
      <c r="I871" s="16" t="str">
        <f>SUBSTITUTE(Github!L$181, ";", ", ")</f>
        <v>Database, </v>
      </c>
      <c r="J871" s="13" t="str">
        <f>Github!E$181</f>
        <v>Medium</v>
      </c>
      <c r="K871" s="13" t="str">
        <f>IF(TRIM(Github!D$181)="TRUE","FALSE","TRUE")</f>
        <v>TRUE</v>
      </c>
      <c r="L871" s="13" t="b">
        <f>Github!M$181</f>
        <v>1</v>
      </c>
      <c r="M871" s="13" t="b">
        <f>Github!N$181</f>
        <v>0</v>
      </c>
      <c r="N871" s="13">
        <f>Github!P$181</f>
        <v>229943</v>
      </c>
      <c r="O871" s="13">
        <f>Github!Q$181</f>
        <v>491797</v>
      </c>
    </row>
    <row r="872">
      <c r="A872" s="13">
        <f>Github!J$186</f>
        <v>185</v>
      </c>
      <c r="B872" s="14" t="str">
        <f>HYPERLINK(CONCAT("http://leetcode.com/problems/",Github!C$186), Github!B$186)</f>
        <v>Department Top Three Salaries</v>
      </c>
      <c r="C872" s="13">
        <f>Github!F$186</f>
        <v>1357</v>
      </c>
      <c r="D872" s="13">
        <f>Github!G$186</f>
        <v>196</v>
      </c>
      <c r="E872" s="13">
        <f>Github!F$186+Github!G$186</f>
        <v>1553</v>
      </c>
      <c r="F872" s="15">
        <f t="shared" si="1"/>
        <v>6.92</v>
      </c>
      <c r="G872" s="13" t="str">
        <f>ROUND(Github!O$186, 2)&amp;"%"</f>
        <v>50.23%</v>
      </c>
      <c r="H872" s="13" t="str">
        <f>Github!H$186</f>
        <v>Database</v>
      </c>
      <c r="I872" s="16" t="str">
        <f>SUBSTITUTE(Github!L$186, ";", ", ")</f>
        <v>Database, </v>
      </c>
      <c r="J872" s="13" t="str">
        <f>Github!E$186</f>
        <v>Hard</v>
      </c>
      <c r="K872" s="13" t="str">
        <f>IF(TRIM(Github!D$186)="TRUE","FALSE","TRUE")</f>
        <v>TRUE</v>
      </c>
      <c r="L872" s="13" t="b">
        <f>Github!M$186</f>
        <v>1</v>
      </c>
      <c r="M872" s="13" t="b">
        <f>Github!N$186</f>
        <v>0</v>
      </c>
      <c r="N872" s="13">
        <f>Github!P$186</f>
        <v>201013</v>
      </c>
      <c r="O872" s="13">
        <f>Github!Q$186</f>
        <v>400175</v>
      </c>
    </row>
    <row r="873">
      <c r="A873" s="13">
        <f>Github!J$459</f>
        <v>458</v>
      </c>
      <c r="B873" s="14" t="str">
        <f>HYPERLINK(CONCAT("http://leetcode.com/problems/",Github!C$459), Github!B$459)</f>
        <v>Poor Pigs</v>
      </c>
      <c r="C873" s="13">
        <f>Github!F$459</f>
        <v>1348</v>
      </c>
      <c r="D873" s="13">
        <f>Github!G$459</f>
        <v>2761</v>
      </c>
      <c r="E873" s="13">
        <f>Github!F$459+Github!G$459</f>
        <v>4109</v>
      </c>
      <c r="F873" s="15">
        <f t="shared" si="1"/>
        <v>0.49</v>
      </c>
      <c r="G873" s="13" t="str">
        <f>ROUND(Github!O$459, 2)&amp;"%"</f>
        <v>63.75%</v>
      </c>
      <c r="H873" s="13" t="str">
        <f>Github!H$459</f>
        <v>Algorithms</v>
      </c>
      <c r="I873" s="16" t="str">
        <f>SUBSTITUTE(Github!L$459, ";", ", ")</f>
        <v>Math, Dynamic Programming, Combinatorics, </v>
      </c>
      <c r="J873" s="13" t="str">
        <f>Github!E$459</f>
        <v>Hard</v>
      </c>
      <c r="K873" s="13" t="str">
        <f>IF(TRIM(Github!D$459)="TRUE","FALSE","TRUE")</f>
        <v>TRUE</v>
      </c>
      <c r="L873" s="13" t="b">
        <f>Github!M$459</f>
        <v>1</v>
      </c>
      <c r="M873" s="13" t="b">
        <f>Github!N$459</f>
        <v>0</v>
      </c>
      <c r="N873" s="13">
        <f>Github!P$459</f>
        <v>72589</v>
      </c>
      <c r="O873" s="13">
        <f>Github!Q$459</f>
        <v>113867</v>
      </c>
    </row>
    <row r="874">
      <c r="A874" s="13">
        <f>Github!J$1510</f>
        <v>1509</v>
      </c>
      <c r="B874" s="14" t="str">
        <f>HYPERLINK(CONCAT("http://leetcode.com/problems/",Github!C$1510), Github!B$1510)</f>
        <v>Minimum Difference Between Largest and Smallest Value in Three Moves</v>
      </c>
      <c r="C874" s="13">
        <f>Github!F$1510</f>
        <v>1345</v>
      </c>
      <c r="D874" s="13">
        <f>Github!G$1510</f>
        <v>159</v>
      </c>
      <c r="E874" s="13">
        <f>Github!F$1510+Github!G$1510</f>
        <v>1504</v>
      </c>
      <c r="F874" s="15">
        <f t="shared" si="1"/>
        <v>8.46</v>
      </c>
      <c r="G874" s="13" t="str">
        <f>ROUND(Github!O$1510, 2)&amp;"%"</f>
        <v>54.65%</v>
      </c>
      <c r="H874" s="13" t="str">
        <f>Github!H$1510</f>
        <v>Algorithms</v>
      </c>
      <c r="I874" s="16" t="str">
        <f>SUBSTITUTE(Github!L$1510, ";", ", ")</f>
        <v>Array, Greedy, Sorting, </v>
      </c>
      <c r="J874" s="13" t="str">
        <f>Github!E$1510</f>
        <v>Medium</v>
      </c>
      <c r="K874" s="13" t="str">
        <f>IF(TRIM(Github!D$1510)="TRUE","FALSE","TRUE")</f>
        <v>TRUE</v>
      </c>
      <c r="L874" s="13" t="b">
        <f>Github!M$1510</f>
        <v>0</v>
      </c>
      <c r="M874" s="13" t="b">
        <f>Github!N$1510</f>
        <v>0</v>
      </c>
      <c r="N874" s="13">
        <f>Github!P$1510</f>
        <v>72909</v>
      </c>
      <c r="O874" s="13">
        <f>Github!Q$1510</f>
        <v>133420</v>
      </c>
    </row>
    <row r="875">
      <c r="A875" s="13">
        <f>Github!J$628</f>
        <v>627</v>
      </c>
      <c r="B875" s="14" t="str">
        <f>HYPERLINK(CONCAT("http://leetcode.com/problems/",Github!C$628), Github!B$628)</f>
        <v>Swap Salary</v>
      </c>
      <c r="C875" s="13">
        <f>Github!F$628</f>
        <v>1351</v>
      </c>
      <c r="D875" s="13">
        <f>Github!G$628</f>
        <v>543</v>
      </c>
      <c r="E875" s="13">
        <f>Github!F$628+Github!G$628</f>
        <v>1894</v>
      </c>
      <c r="F875" s="15">
        <f t="shared" si="1"/>
        <v>2.49</v>
      </c>
      <c r="G875" s="13" t="str">
        <f>ROUND(Github!O$628, 2)&amp;"%"</f>
        <v>83.15%</v>
      </c>
      <c r="H875" s="13" t="str">
        <f>Github!H$628</f>
        <v>Database</v>
      </c>
      <c r="I875" s="16" t="str">
        <f>SUBSTITUTE(Github!L$628, ";", ", ")</f>
        <v>Database, </v>
      </c>
      <c r="J875" s="13" t="str">
        <f>Github!E$628</f>
        <v>Easy</v>
      </c>
      <c r="K875" s="13" t="str">
        <f>IF(TRIM(Github!D$628)="TRUE","FALSE","TRUE")</f>
        <v>TRUE</v>
      </c>
      <c r="L875" s="13" t="b">
        <f>Github!M$628</f>
        <v>1</v>
      </c>
      <c r="M875" s="13" t="b">
        <f>Github!N$628</f>
        <v>0</v>
      </c>
      <c r="N875" s="13">
        <f>Github!P$628</f>
        <v>295021</v>
      </c>
      <c r="O875" s="13">
        <f>Github!Q$628</f>
        <v>354793</v>
      </c>
    </row>
    <row r="876">
      <c r="A876" s="13">
        <f>Github!J$946</f>
        <v>945</v>
      </c>
      <c r="B876" s="14" t="str">
        <f>HYPERLINK(CONCAT("http://leetcode.com/problems/",Github!C$946), Github!B$946)</f>
        <v>Minimum Increment to Make Array Unique</v>
      </c>
      <c r="C876" s="13">
        <f>Github!F$946</f>
        <v>1346</v>
      </c>
      <c r="D876" s="13">
        <f>Github!G$946</f>
        <v>48</v>
      </c>
      <c r="E876" s="13">
        <f>Github!F$946+Github!G$946</f>
        <v>1394</v>
      </c>
      <c r="F876" s="15">
        <f t="shared" si="1"/>
        <v>28.04</v>
      </c>
      <c r="G876" s="13" t="str">
        <f>ROUND(Github!O$946, 2)&amp;"%"</f>
        <v>50.62%</v>
      </c>
      <c r="H876" s="13" t="str">
        <f>Github!H$946</f>
        <v>Algorithms</v>
      </c>
      <c r="I876" s="16" t="str">
        <f>SUBSTITUTE(Github!L$946, ";", ", ")</f>
        <v>Array, Greedy, Sorting, Counting, </v>
      </c>
      <c r="J876" s="13" t="str">
        <f>Github!E$946</f>
        <v>Medium</v>
      </c>
      <c r="K876" s="13" t="str">
        <f>IF(TRIM(Github!D$946)="TRUE","FALSE","TRUE")</f>
        <v>TRUE</v>
      </c>
      <c r="L876" s="13" t="b">
        <f>Github!M$946</f>
        <v>1</v>
      </c>
      <c r="M876" s="13" t="b">
        <f>Github!N$946</f>
        <v>0</v>
      </c>
      <c r="N876" s="13">
        <f>Github!P$946</f>
        <v>66816</v>
      </c>
      <c r="O876" s="13">
        <f>Github!Q$946</f>
        <v>131993</v>
      </c>
    </row>
    <row r="877">
      <c r="A877" s="13">
        <f>Github!J$562</f>
        <v>561</v>
      </c>
      <c r="B877" s="14" t="str">
        <f>HYPERLINK(CONCAT("http://leetcode.com/problems/",Github!C$562), Github!B$562)</f>
        <v>Array Partition</v>
      </c>
      <c r="C877" s="13">
        <f>Github!F$562</f>
        <v>1361</v>
      </c>
      <c r="D877" s="13">
        <f>Github!G$562</f>
        <v>190</v>
      </c>
      <c r="E877" s="13">
        <f>Github!F$562+Github!G$562</f>
        <v>1551</v>
      </c>
      <c r="F877" s="15">
        <f t="shared" si="1"/>
        <v>7.16</v>
      </c>
      <c r="G877" s="13" t="str">
        <f>ROUND(Github!O$562, 2)&amp;"%"</f>
        <v>76.83%</v>
      </c>
      <c r="H877" s="13" t="str">
        <f>Github!H$562</f>
        <v>Algorithms</v>
      </c>
      <c r="I877" s="16" t="str">
        <f>SUBSTITUTE(Github!L$562, ";", ", ")</f>
        <v>Array, Greedy, Sorting, Counting Sort, </v>
      </c>
      <c r="J877" s="13" t="str">
        <f>Github!E$562</f>
        <v>Easy</v>
      </c>
      <c r="K877" s="13" t="str">
        <f>IF(TRIM(Github!D$562)="TRUE","FALSE","TRUE")</f>
        <v>TRUE</v>
      </c>
      <c r="L877" s="13" t="b">
        <f>Github!M$562</f>
        <v>1</v>
      </c>
      <c r="M877" s="13" t="b">
        <f>Github!N$562</f>
        <v>0</v>
      </c>
      <c r="N877" s="13">
        <f>Github!P$562</f>
        <v>375424</v>
      </c>
      <c r="O877" s="13">
        <f>Github!Q$562</f>
        <v>488618</v>
      </c>
    </row>
    <row r="878">
      <c r="A878" s="13">
        <f>Github!J$2137</f>
        <v>2136</v>
      </c>
      <c r="B878" s="14" t="str">
        <f>HYPERLINK(CONCAT("http://leetcode.com/problems/",Github!C$2137), Github!B$2137)</f>
        <v>Earliest Possible Day of Full Bloom</v>
      </c>
      <c r="C878" s="13">
        <f>Github!F$2137</f>
        <v>1339</v>
      </c>
      <c r="D878" s="13">
        <f>Github!G$2137</f>
        <v>74</v>
      </c>
      <c r="E878" s="13">
        <f>Github!F$2137+Github!G$2137</f>
        <v>1413</v>
      </c>
      <c r="F878" s="15">
        <f t="shared" si="1"/>
        <v>18.09</v>
      </c>
      <c r="G878" s="13" t="str">
        <f>ROUND(Github!O$2137, 2)&amp;"%"</f>
        <v>74.47%</v>
      </c>
      <c r="H878" s="13" t="str">
        <f>Github!H$2137</f>
        <v>Algorithms</v>
      </c>
      <c r="I878" s="16" t="str">
        <f>SUBSTITUTE(Github!L$2137, ";", ", ")</f>
        <v>Array, Greedy, Sorting, </v>
      </c>
      <c r="J878" s="13" t="str">
        <f>Github!E$2137</f>
        <v>Hard</v>
      </c>
      <c r="K878" s="13" t="str">
        <f>IF(TRIM(Github!D$2137)="TRUE","FALSE","TRUE")</f>
        <v>TRUE</v>
      </c>
      <c r="L878" s="13" t="b">
        <f>Github!M$2137</f>
        <v>1</v>
      </c>
      <c r="M878" s="13" t="b">
        <f>Github!N$2137</f>
        <v>0</v>
      </c>
      <c r="N878" s="13">
        <f>Github!P$2137</f>
        <v>45037</v>
      </c>
      <c r="O878" s="13">
        <f>Github!Q$2137</f>
        <v>60475</v>
      </c>
    </row>
    <row r="879">
      <c r="A879" s="13">
        <f>Github!J$1498</f>
        <v>1497</v>
      </c>
      <c r="B879" s="14" t="str">
        <f>HYPERLINK(CONCAT("http://leetcode.com/problems/",Github!C$1498), Github!B$1498)</f>
        <v>Check If Array Pairs Are Divisible by k</v>
      </c>
      <c r="C879" s="13">
        <f>Github!F$1498</f>
        <v>1338</v>
      </c>
      <c r="D879" s="13">
        <f>Github!G$1498</f>
        <v>78</v>
      </c>
      <c r="E879" s="13">
        <f>Github!F$1498+Github!G$1498</f>
        <v>1416</v>
      </c>
      <c r="F879" s="15">
        <f t="shared" si="1"/>
        <v>17.15</v>
      </c>
      <c r="G879" s="13" t="str">
        <f>ROUND(Github!O$1498, 2)&amp;"%"</f>
        <v>39.4%</v>
      </c>
      <c r="H879" s="13" t="str">
        <f>Github!H$1498</f>
        <v>Algorithms</v>
      </c>
      <c r="I879" s="16" t="str">
        <f>SUBSTITUTE(Github!L$1498, ";", ", ")</f>
        <v>Array, Hash Table, Counting, </v>
      </c>
      <c r="J879" s="13" t="str">
        <f>Github!E$1498</f>
        <v>Medium</v>
      </c>
      <c r="K879" s="13" t="str">
        <f>IF(TRIM(Github!D$1498)="TRUE","FALSE","TRUE")</f>
        <v>TRUE</v>
      </c>
      <c r="L879" s="13" t="b">
        <f>Github!M$1498</f>
        <v>0</v>
      </c>
      <c r="M879" s="13" t="b">
        <f>Github!N$1498</f>
        <v>0</v>
      </c>
      <c r="N879" s="13">
        <f>Github!P$1498</f>
        <v>38516</v>
      </c>
      <c r="O879" s="13">
        <f>Github!Q$1498</f>
        <v>97753</v>
      </c>
    </row>
    <row r="880">
      <c r="A880" s="13">
        <f>Github!J$728</f>
        <v>727</v>
      </c>
      <c r="B880" s="14" t="str">
        <f>HYPERLINK(CONCAT("http://leetcode.com/problems/",Github!C$728), Github!B$728)</f>
        <v>Minimum Window Subsequence</v>
      </c>
      <c r="C880" s="13">
        <f>Github!F$728</f>
        <v>1334</v>
      </c>
      <c r="D880" s="13">
        <f>Github!G$728</f>
        <v>81</v>
      </c>
      <c r="E880" s="13">
        <f>Github!F$728+Github!G$728</f>
        <v>1415</v>
      </c>
      <c r="F880" s="15">
        <f t="shared" si="1"/>
        <v>16.47</v>
      </c>
      <c r="G880" s="13" t="str">
        <f>ROUND(Github!O$728, 2)&amp;"%"</f>
        <v>42.81%</v>
      </c>
      <c r="H880" s="13" t="str">
        <f>Github!H$728</f>
        <v>Algorithms</v>
      </c>
      <c r="I880" s="16" t="str">
        <f>SUBSTITUTE(Github!L$728, ";", ", ")</f>
        <v>String, Dynamic Programming, Sliding Window, </v>
      </c>
      <c r="J880" s="13" t="str">
        <f>Github!E$728</f>
        <v>Hard</v>
      </c>
      <c r="K880" s="13" t="str">
        <f>IF(TRIM(Github!D$728)="TRUE","FALSE","TRUE")</f>
        <v>FALSE</v>
      </c>
      <c r="L880" s="13" t="b">
        <f>Github!M$728</f>
        <v>1</v>
      </c>
      <c r="M880" s="13" t="b">
        <f>Github!N$728</f>
        <v>0</v>
      </c>
      <c r="N880" s="13">
        <f>Github!P$728</f>
        <v>81724</v>
      </c>
      <c r="O880" s="13">
        <f>Github!Q$728</f>
        <v>190881</v>
      </c>
    </row>
    <row r="881">
      <c r="A881" s="13">
        <f>Github!J$812</f>
        <v>811</v>
      </c>
      <c r="B881" s="14" t="str">
        <f>HYPERLINK(CONCAT("http://leetcode.com/problems/",Github!C$812), Github!B$812)</f>
        <v>Subdomain Visit Count</v>
      </c>
      <c r="C881" s="13">
        <f>Github!F$812</f>
        <v>1333</v>
      </c>
      <c r="D881" s="13">
        <f>Github!G$812</f>
        <v>1231</v>
      </c>
      <c r="E881" s="13">
        <f>Github!F$812+Github!G$812</f>
        <v>2564</v>
      </c>
      <c r="F881" s="15">
        <f t="shared" si="1"/>
        <v>1.08</v>
      </c>
      <c r="G881" s="13" t="str">
        <f>ROUND(Github!O$812, 2)&amp;"%"</f>
        <v>75.32%</v>
      </c>
      <c r="H881" s="13" t="str">
        <f>Github!H$812</f>
        <v>Algorithms</v>
      </c>
      <c r="I881" s="16" t="str">
        <f>SUBSTITUTE(Github!L$812, ";", ", ")</f>
        <v>Array, Hash Table, String, Counting, </v>
      </c>
      <c r="J881" s="13" t="str">
        <f>Github!E$812</f>
        <v>Medium</v>
      </c>
      <c r="K881" s="13" t="str">
        <f>IF(TRIM(Github!D$812)="TRUE","FALSE","TRUE")</f>
        <v>TRUE</v>
      </c>
      <c r="L881" s="13" t="b">
        <f>Github!M$812</f>
        <v>1</v>
      </c>
      <c r="M881" s="13" t="b">
        <f>Github!N$812</f>
        <v>0</v>
      </c>
      <c r="N881" s="13">
        <f>Github!P$812</f>
        <v>202038</v>
      </c>
      <c r="O881" s="13">
        <f>Github!Q$812</f>
        <v>268249</v>
      </c>
    </row>
    <row r="882">
      <c r="A882" s="13">
        <f>Github!J$1372</f>
        <v>1371</v>
      </c>
      <c r="B882" s="14" t="str">
        <f>HYPERLINK(CONCAT("http://leetcode.com/problems/",Github!C$1372), Github!B$1372)</f>
        <v>Find the Longest Substring Containing Vowels in Even Counts</v>
      </c>
      <c r="C882" s="13">
        <f>Github!F$1372</f>
        <v>1336</v>
      </c>
      <c r="D882" s="13">
        <f>Github!G$1372</f>
        <v>47</v>
      </c>
      <c r="E882" s="13">
        <f>Github!F$1372+Github!G$1372</f>
        <v>1383</v>
      </c>
      <c r="F882" s="15">
        <f t="shared" si="1"/>
        <v>28.43</v>
      </c>
      <c r="G882" s="13" t="str">
        <f>ROUND(Github!O$1372, 2)&amp;"%"</f>
        <v>63.17%</v>
      </c>
      <c r="H882" s="13" t="str">
        <f>Github!H$1372</f>
        <v>Algorithms</v>
      </c>
      <c r="I882" s="16" t="str">
        <f>SUBSTITUTE(Github!L$1372, ";", ", ")</f>
        <v>Hash Table, String, Bit Manipulation, Prefix Sum, </v>
      </c>
      <c r="J882" s="13" t="str">
        <f>Github!E$1372</f>
        <v>Medium</v>
      </c>
      <c r="K882" s="13" t="str">
        <f>IF(TRIM(Github!D$1372)="TRUE","FALSE","TRUE")</f>
        <v>TRUE</v>
      </c>
      <c r="L882" s="13" t="b">
        <f>Github!M$1372</f>
        <v>0</v>
      </c>
      <c r="M882" s="13" t="b">
        <f>Github!N$1372</f>
        <v>0</v>
      </c>
      <c r="N882" s="13">
        <f>Github!P$1372</f>
        <v>21449</v>
      </c>
      <c r="O882" s="13">
        <f>Github!Q$1372</f>
        <v>33954</v>
      </c>
    </row>
    <row r="883">
      <c r="A883" s="13">
        <f>Github!J$198</f>
        <v>197</v>
      </c>
      <c r="B883" s="14" t="str">
        <f>HYPERLINK(CONCAT("http://leetcode.com/problems/",Github!C$198), Github!B$198)</f>
        <v>Rising Temperature</v>
      </c>
      <c r="C883" s="13">
        <f>Github!F$198</f>
        <v>1348</v>
      </c>
      <c r="D883" s="13">
        <f>Github!G$198</f>
        <v>439</v>
      </c>
      <c r="E883" s="13">
        <f>Github!F$198+Github!G$198</f>
        <v>1787</v>
      </c>
      <c r="F883" s="15">
        <f t="shared" si="1"/>
        <v>3.07</v>
      </c>
      <c r="G883" s="13" t="str">
        <f>ROUND(Github!O$198, 2)&amp;"%"</f>
        <v>44.67%</v>
      </c>
      <c r="H883" s="13" t="str">
        <f>Github!H$198</f>
        <v>Database</v>
      </c>
      <c r="I883" s="16" t="str">
        <f>SUBSTITUTE(Github!L$198, ";", ", ")</f>
        <v>Database, </v>
      </c>
      <c r="J883" s="13" t="str">
        <f>Github!E$198</f>
        <v>Easy</v>
      </c>
      <c r="K883" s="13" t="str">
        <f>IF(TRIM(Github!D$198)="TRUE","FALSE","TRUE")</f>
        <v>TRUE</v>
      </c>
      <c r="L883" s="13" t="b">
        <f>Github!M$198</f>
        <v>1</v>
      </c>
      <c r="M883" s="13" t="b">
        <f>Github!N$198</f>
        <v>0</v>
      </c>
      <c r="N883" s="13">
        <f>Github!P$198</f>
        <v>291720</v>
      </c>
      <c r="O883" s="13">
        <f>Github!Q$198</f>
        <v>653042</v>
      </c>
    </row>
    <row r="884">
      <c r="A884" s="13">
        <f>Github!J$1403</f>
        <v>1402</v>
      </c>
      <c r="B884" s="14" t="str">
        <f>HYPERLINK(CONCAT("http://leetcode.com/problems/",Github!C$1403), Github!B$1403)</f>
        <v>Reducing Dishes</v>
      </c>
      <c r="C884" s="13">
        <f>Github!F$1403</f>
        <v>1332</v>
      </c>
      <c r="D884" s="13">
        <f>Github!G$1403</f>
        <v>163</v>
      </c>
      <c r="E884" s="13">
        <f>Github!F$1403+Github!G$1403</f>
        <v>1495</v>
      </c>
      <c r="F884" s="15">
        <f t="shared" si="1"/>
        <v>8.17</v>
      </c>
      <c r="G884" s="13" t="str">
        <f>ROUND(Github!O$1403, 2)&amp;"%"</f>
        <v>72.03%</v>
      </c>
      <c r="H884" s="13" t="str">
        <f>Github!H$1403</f>
        <v>Algorithms</v>
      </c>
      <c r="I884" s="16" t="str">
        <f>SUBSTITUTE(Github!L$1403, ";", ", ")</f>
        <v>Array, Dynamic Programming, Greedy, Sorting, </v>
      </c>
      <c r="J884" s="13" t="str">
        <f>Github!E$1403</f>
        <v>Hard</v>
      </c>
      <c r="K884" s="13" t="str">
        <f>IF(TRIM(Github!D$1403)="TRUE","FALSE","TRUE")</f>
        <v>TRUE</v>
      </c>
      <c r="L884" s="13" t="b">
        <f>Github!M$1403</f>
        <v>0</v>
      </c>
      <c r="M884" s="13" t="b">
        <f>Github!N$1403</f>
        <v>0</v>
      </c>
      <c r="N884" s="13">
        <f>Github!P$1403</f>
        <v>50546</v>
      </c>
      <c r="O884" s="13">
        <f>Github!Q$1403</f>
        <v>70170</v>
      </c>
    </row>
    <row r="885">
      <c r="A885" s="13">
        <f>Github!J$680</f>
        <v>679</v>
      </c>
      <c r="B885" s="14" t="str">
        <f>HYPERLINK(CONCAT("http://leetcode.com/problems/",Github!C$680), Github!B$680)</f>
        <v>24 Game</v>
      </c>
      <c r="C885" s="13">
        <f>Github!F$680</f>
        <v>1326</v>
      </c>
      <c r="D885" s="13">
        <f>Github!G$680</f>
        <v>230</v>
      </c>
      <c r="E885" s="13">
        <f>Github!F$680+Github!G$680</f>
        <v>1556</v>
      </c>
      <c r="F885" s="15">
        <f t="shared" si="1"/>
        <v>5.77</v>
      </c>
      <c r="G885" s="13" t="str">
        <f>ROUND(Github!O$680, 2)&amp;"%"</f>
        <v>49.17%</v>
      </c>
      <c r="H885" s="13" t="str">
        <f>Github!H$680</f>
        <v>Algorithms</v>
      </c>
      <c r="I885" s="16" t="str">
        <f>SUBSTITUTE(Github!L$680, ";", ", ")</f>
        <v>Array, Math, Backtracking, </v>
      </c>
      <c r="J885" s="13" t="str">
        <f>Github!E$680</f>
        <v>Hard</v>
      </c>
      <c r="K885" s="13" t="str">
        <f>IF(TRIM(Github!D$680)="TRUE","FALSE","TRUE")</f>
        <v>TRUE</v>
      </c>
      <c r="L885" s="13" t="b">
        <f>Github!M$680</f>
        <v>1</v>
      </c>
      <c r="M885" s="13" t="b">
        <f>Github!N$680</f>
        <v>0</v>
      </c>
      <c r="N885" s="13">
        <f>Github!P$680</f>
        <v>69439</v>
      </c>
      <c r="O885" s="13">
        <f>Github!Q$680</f>
        <v>141224</v>
      </c>
    </row>
    <row r="886">
      <c r="A886" s="13">
        <f>Github!J$488</f>
        <v>487</v>
      </c>
      <c r="B886" s="14" t="str">
        <f>HYPERLINK(CONCAT("http://leetcode.com/problems/",Github!C$488), Github!B$488)</f>
        <v>Max Consecutive Ones II</v>
      </c>
      <c r="C886" s="13">
        <f>Github!F$488</f>
        <v>1325</v>
      </c>
      <c r="D886" s="13">
        <f>Github!G$488</f>
        <v>22</v>
      </c>
      <c r="E886" s="13">
        <f>Github!F$488+Github!G$488</f>
        <v>1347</v>
      </c>
      <c r="F886" s="15">
        <f t="shared" si="1"/>
        <v>60.23</v>
      </c>
      <c r="G886" s="13" t="str">
        <f>ROUND(Github!O$488, 2)&amp;"%"</f>
        <v>49.64%</v>
      </c>
      <c r="H886" s="13" t="str">
        <f>Github!H$488</f>
        <v>Algorithms</v>
      </c>
      <c r="I886" s="16" t="str">
        <f>SUBSTITUTE(Github!L$488, ";", ", ")</f>
        <v>Array, Dynamic Programming, Sliding Window, </v>
      </c>
      <c r="J886" s="13" t="str">
        <f>Github!E$488</f>
        <v>Medium</v>
      </c>
      <c r="K886" s="13" t="str">
        <f>IF(TRIM(Github!D$488)="TRUE","FALSE","TRUE")</f>
        <v>FALSE</v>
      </c>
      <c r="L886" s="13" t="b">
        <f>Github!M$488</f>
        <v>1</v>
      </c>
      <c r="M886" s="13" t="b">
        <f>Github!N$488</f>
        <v>0</v>
      </c>
      <c r="N886" s="13">
        <f>Github!P$488</f>
        <v>115358</v>
      </c>
      <c r="O886" s="13">
        <f>Github!Q$488</f>
        <v>232411</v>
      </c>
    </row>
    <row r="887">
      <c r="A887" s="13">
        <f>Github!J$1029</f>
        <v>1028</v>
      </c>
      <c r="B887" s="14" t="str">
        <f>HYPERLINK(CONCAT("http://leetcode.com/problems/",Github!C$1029), Github!B$1029)</f>
        <v>Recover a Tree From Preorder Traversal</v>
      </c>
      <c r="C887" s="13">
        <f>Github!F$1029</f>
        <v>1330</v>
      </c>
      <c r="D887" s="13">
        <f>Github!G$1029</f>
        <v>36</v>
      </c>
      <c r="E887" s="13">
        <f>Github!F$1029+Github!G$1029</f>
        <v>1366</v>
      </c>
      <c r="F887" s="15">
        <f t="shared" si="1"/>
        <v>36.94</v>
      </c>
      <c r="G887" s="13" t="str">
        <f>ROUND(Github!O$1029, 2)&amp;"%"</f>
        <v>73.1%</v>
      </c>
      <c r="H887" s="13" t="str">
        <f>Github!H$1029</f>
        <v>Algorithms</v>
      </c>
      <c r="I887" s="16" t="str">
        <f>SUBSTITUTE(Github!L$1029, ";", ", ")</f>
        <v>String, Tree, Depth-First Search, Binary Tree, </v>
      </c>
      <c r="J887" s="13" t="str">
        <f>Github!E$1029</f>
        <v>Hard</v>
      </c>
      <c r="K887" s="13" t="str">
        <f>IF(TRIM(Github!D$1029)="TRUE","FALSE","TRUE")</f>
        <v>TRUE</v>
      </c>
      <c r="L887" s="13" t="b">
        <f>Github!M$1029</f>
        <v>0</v>
      </c>
      <c r="M887" s="13" t="b">
        <f>Github!N$1029</f>
        <v>0</v>
      </c>
      <c r="N887" s="13">
        <f>Github!P$1029</f>
        <v>40672</v>
      </c>
      <c r="O887" s="13">
        <f>Github!Q$1029</f>
        <v>55637</v>
      </c>
    </row>
    <row r="888">
      <c r="A888" s="13">
        <f>Github!J$2116</f>
        <v>2115</v>
      </c>
      <c r="B888" s="14" t="str">
        <f>HYPERLINK(CONCAT("http://leetcode.com/problems/",Github!C$2116), Github!B$2116)</f>
        <v>Find All Possible Recipes from Given Supplies</v>
      </c>
      <c r="C888" s="13">
        <f>Github!F$2116</f>
        <v>1337</v>
      </c>
      <c r="D888" s="13">
        <f>Github!G$2116</f>
        <v>75</v>
      </c>
      <c r="E888" s="13">
        <f>Github!F$2116+Github!G$2116</f>
        <v>1412</v>
      </c>
      <c r="F888" s="15">
        <f t="shared" si="1"/>
        <v>17.83</v>
      </c>
      <c r="G888" s="13" t="str">
        <f>ROUND(Github!O$2116, 2)&amp;"%"</f>
        <v>48.56%</v>
      </c>
      <c r="H888" s="13" t="str">
        <f>Github!H$2116</f>
        <v>Algorithms</v>
      </c>
      <c r="I888" s="16" t="str">
        <f>SUBSTITUTE(Github!L$2116, ";", ", ")</f>
        <v>Array, Hash Table, String, Graph, Topological Sort, </v>
      </c>
      <c r="J888" s="13" t="str">
        <f>Github!E$2116</f>
        <v>Medium</v>
      </c>
      <c r="K888" s="13" t="str">
        <f>IF(TRIM(Github!D$2116)="TRUE","FALSE","TRUE")</f>
        <v>TRUE</v>
      </c>
      <c r="L888" s="13" t="b">
        <f>Github!M$2116</f>
        <v>0</v>
      </c>
      <c r="M888" s="13" t="b">
        <f>Github!N$2116</f>
        <v>0</v>
      </c>
      <c r="N888" s="13">
        <f>Github!P$2116</f>
        <v>60438</v>
      </c>
      <c r="O888" s="13">
        <f>Github!Q$2116</f>
        <v>124454</v>
      </c>
    </row>
    <row r="889">
      <c r="A889" s="13">
        <f>Github!J$955</f>
        <v>954</v>
      </c>
      <c r="B889" s="14" t="str">
        <f>HYPERLINK(CONCAT("http://leetcode.com/problems/",Github!C$955), Github!B$955)</f>
        <v>Array of Doubled Pairs</v>
      </c>
      <c r="C889" s="13">
        <f>Github!F$955</f>
        <v>1313</v>
      </c>
      <c r="D889" s="13">
        <f>Github!G$955</f>
        <v>132</v>
      </c>
      <c r="E889" s="13">
        <f>Github!F$955+Github!G$955</f>
        <v>1445</v>
      </c>
      <c r="F889" s="15">
        <f t="shared" si="1"/>
        <v>9.95</v>
      </c>
      <c r="G889" s="13" t="str">
        <f>ROUND(Github!O$955, 2)&amp;"%"</f>
        <v>39.1%</v>
      </c>
      <c r="H889" s="13" t="str">
        <f>Github!H$955</f>
        <v>Algorithms</v>
      </c>
      <c r="I889" s="16" t="str">
        <f>SUBSTITUTE(Github!L$955, ";", ", ")</f>
        <v>Array, Hash Table, Greedy, Sorting, </v>
      </c>
      <c r="J889" s="13" t="str">
        <f>Github!E$955</f>
        <v>Medium</v>
      </c>
      <c r="K889" s="13" t="str">
        <f>IF(TRIM(Github!D$955)="TRUE","FALSE","TRUE")</f>
        <v>TRUE</v>
      </c>
      <c r="L889" s="13" t="b">
        <f>Github!M$955</f>
        <v>1</v>
      </c>
      <c r="M889" s="13" t="b">
        <f>Github!N$955</f>
        <v>0</v>
      </c>
      <c r="N889" s="13">
        <f>Github!P$955</f>
        <v>78498</v>
      </c>
      <c r="O889" s="13">
        <f>Github!Q$955</f>
        <v>200767</v>
      </c>
    </row>
    <row r="890">
      <c r="A890" s="13">
        <f>Github!J$2257</f>
        <v>2256</v>
      </c>
      <c r="B890" s="14" t="str">
        <f>HYPERLINK(CONCAT("http://leetcode.com/problems/",Github!C$2257), Github!B$2257)</f>
        <v>Minimum Average Difference</v>
      </c>
      <c r="C890" s="13">
        <f>Github!F$2257</f>
        <v>1324</v>
      </c>
      <c r="D890" s="13">
        <f>Github!G$2257</f>
        <v>150</v>
      </c>
      <c r="E890" s="13">
        <f>Github!F$2257+Github!G$2257</f>
        <v>1474</v>
      </c>
      <c r="F890" s="15">
        <f t="shared" si="1"/>
        <v>8.83</v>
      </c>
      <c r="G890" s="13" t="str">
        <f>ROUND(Github!O$2257, 2)&amp;"%"</f>
        <v>43.15%</v>
      </c>
      <c r="H890" s="13" t="str">
        <f>Github!H$2257</f>
        <v>Algorithms</v>
      </c>
      <c r="I890" s="16" t="str">
        <f>SUBSTITUTE(Github!L$2257, ";", ", ")</f>
        <v>Array, Prefix Sum, </v>
      </c>
      <c r="J890" s="13" t="str">
        <f>Github!E$2257</f>
        <v>Medium</v>
      </c>
      <c r="K890" s="13" t="str">
        <f>IF(TRIM(Github!D$2257)="TRUE","FALSE","TRUE")</f>
        <v>TRUE</v>
      </c>
      <c r="L890" s="13" t="b">
        <f>Github!M$2257</f>
        <v>1</v>
      </c>
      <c r="M890" s="13" t="b">
        <f>Github!N$2257</f>
        <v>0</v>
      </c>
      <c r="N890" s="13">
        <f>Github!P$2257</f>
        <v>72969</v>
      </c>
      <c r="O890" s="13">
        <f>Github!Q$2257</f>
        <v>169108</v>
      </c>
    </row>
    <row r="891">
      <c r="A891" s="13">
        <f>Github!J$588</f>
        <v>587</v>
      </c>
      <c r="B891" s="14" t="str">
        <f>HYPERLINK(CONCAT("http://leetcode.com/problems/",Github!C$588), Github!B$588)</f>
        <v>Erect the Fence</v>
      </c>
      <c r="C891" s="13">
        <f>Github!F$588</f>
        <v>1311</v>
      </c>
      <c r="D891" s="13">
        <f>Github!G$588</f>
        <v>627</v>
      </c>
      <c r="E891" s="13">
        <f>Github!F$588+Github!G$588</f>
        <v>1938</v>
      </c>
      <c r="F891" s="15">
        <f t="shared" si="1"/>
        <v>2.09</v>
      </c>
      <c r="G891" s="13" t="str">
        <f>ROUND(Github!O$588, 2)&amp;"%"</f>
        <v>52.35%</v>
      </c>
      <c r="H891" s="13" t="str">
        <f>Github!H$588</f>
        <v>Algorithms</v>
      </c>
      <c r="I891" s="16" t="str">
        <f>SUBSTITUTE(Github!L$588, ";", ", ")</f>
        <v>Array, Math, Geometry, </v>
      </c>
      <c r="J891" s="13" t="str">
        <f>Github!E$588</f>
        <v>Hard</v>
      </c>
      <c r="K891" s="13" t="str">
        <f>IF(TRIM(Github!D$588)="TRUE","FALSE","TRUE")</f>
        <v>TRUE</v>
      </c>
      <c r="L891" s="13" t="b">
        <f>Github!M$588</f>
        <v>1</v>
      </c>
      <c r="M891" s="13" t="b">
        <f>Github!N$588</f>
        <v>0</v>
      </c>
      <c r="N891" s="13">
        <f>Github!P$588</f>
        <v>53033</v>
      </c>
      <c r="O891" s="13">
        <f>Github!Q$588</f>
        <v>101312</v>
      </c>
    </row>
    <row r="892">
      <c r="A892" s="13">
        <f>Github!J$433</f>
        <v>432</v>
      </c>
      <c r="B892" s="14" t="str">
        <f>HYPERLINK(CONCAT("http://leetcode.com/problems/",Github!C$433), Github!B$433)</f>
        <v>All O`one Data Structure</v>
      </c>
      <c r="C892" s="13">
        <f>Github!F$433</f>
        <v>1318</v>
      </c>
      <c r="D892" s="13">
        <f>Github!G$433</f>
        <v>151</v>
      </c>
      <c r="E892" s="13">
        <f>Github!F$433+Github!G$433</f>
        <v>1469</v>
      </c>
      <c r="F892" s="15">
        <f t="shared" si="1"/>
        <v>8.73</v>
      </c>
      <c r="G892" s="13" t="str">
        <f>ROUND(Github!O$433, 2)&amp;"%"</f>
        <v>36.63%</v>
      </c>
      <c r="H892" s="13" t="str">
        <f>Github!H$433</f>
        <v>Algorithms</v>
      </c>
      <c r="I892" s="16" t="str">
        <f>SUBSTITUTE(Github!L$433, ";", ", ")</f>
        <v>Hash Table, Linked List, Design, Doubly-Linked List, </v>
      </c>
      <c r="J892" s="13" t="str">
        <f>Github!E$433</f>
        <v>Hard</v>
      </c>
      <c r="K892" s="13" t="str">
        <f>IF(TRIM(Github!D$433)="TRUE","FALSE","TRUE")</f>
        <v>TRUE</v>
      </c>
      <c r="L892" s="13" t="b">
        <f>Github!M$433</f>
        <v>0</v>
      </c>
      <c r="M892" s="13" t="b">
        <f>Github!N$433</f>
        <v>0</v>
      </c>
      <c r="N892" s="13">
        <f>Github!P$433</f>
        <v>66408</v>
      </c>
      <c r="O892" s="13">
        <f>Github!Q$433</f>
        <v>181317</v>
      </c>
    </row>
    <row r="893">
      <c r="A893" s="13">
        <f>Github!J$640</f>
        <v>639</v>
      </c>
      <c r="B893" s="14" t="str">
        <f>HYPERLINK(CONCAT("http://leetcode.com/problems/",Github!C$640), Github!B$640)</f>
        <v>Decode Ways II</v>
      </c>
      <c r="C893" s="13">
        <f>Github!F$640</f>
        <v>1308</v>
      </c>
      <c r="D893" s="13">
        <f>Github!G$640</f>
        <v>781</v>
      </c>
      <c r="E893" s="13">
        <f>Github!F$640+Github!G$640</f>
        <v>2089</v>
      </c>
      <c r="F893" s="15">
        <f t="shared" si="1"/>
        <v>1.67</v>
      </c>
      <c r="G893" s="13" t="str">
        <f>ROUND(Github!O$640, 2)&amp;"%"</f>
        <v>30.41%</v>
      </c>
      <c r="H893" s="13" t="str">
        <f>Github!H$640</f>
        <v>Algorithms</v>
      </c>
      <c r="I893" s="16" t="str">
        <f>SUBSTITUTE(Github!L$640, ";", ", ")</f>
        <v>String, Dynamic Programming, </v>
      </c>
      <c r="J893" s="13" t="str">
        <f>Github!E$640</f>
        <v>Hard</v>
      </c>
      <c r="K893" s="13" t="str">
        <f>IF(TRIM(Github!D$640)="TRUE","FALSE","TRUE")</f>
        <v>TRUE</v>
      </c>
      <c r="L893" s="13" t="b">
        <f>Github!M$640</f>
        <v>1</v>
      </c>
      <c r="M893" s="13" t="b">
        <f>Github!N$640</f>
        <v>0</v>
      </c>
      <c r="N893" s="13">
        <f>Github!P$640</f>
        <v>65674</v>
      </c>
      <c r="O893" s="13">
        <f>Github!Q$640</f>
        <v>215969</v>
      </c>
    </row>
    <row r="894">
      <c r="A894" s="13">
        <f>Github!J$1774</f>
        <v>1773</v>
      </c>
      <c r="B894" s="14" t="str">
        <f>HYPERLINK(CONCAT("http://leetcode.com/problems/",Github!C$1774), Github!B$1774)</f>
        <v>Count Items Matching a Rule</v>
      </c>
      <c r="C894" s="13">
        <f>Github!F$1774</f>
        <v>1322</v>
      </c>
      <c r="D894" s="13">
        <f>Github!G$1774</f>
        <v>139</v>
      </c>
      <c r="E894" s="13">
        <f>Github!F$1774+Github!G$1774</f>
        <v>1461</v>
      </c>
      <c r="F894" s="15">
        <f t="shared" si="1"/>
        <v>9.51</v>
      </c>
      <c r="G894" s="13" t="str">
        <f>ROUND(Github!O$1774, 2)&amp;"%"</f>
        <v>84.31%</v>
      </c>
      <c r="H894" s="13" t="str">
        <f>Github!H$1774</f>
        <v>Algorithms</v>
      </c>
      <c r="I894" s="16" t="str">
        <f>SUBSTITUTE(Github!L$1774, ";", ", ")</f>
        <v>Array, String, </v>
      </c>
      <c r="J894" s="13" t="str">
        <f>Github!E$1774</f>
        <v>Easy</v>
      </c>
      <c r="K894" s="13" t="str">
        <f>IF(TRIM(Github!D$1774)="TRUE","FALSE","TRUE")</f>
        <v>TRUE</v>
      </c>
      <c r="L894" s="13" t="b">
        <f>Github!M$1774</f>
        <v>0</v>
      </c>
      <c r="M894" s="13" t="b">
        <f>Github!N$1774</f>
        <v>0</v>
      </c>
      <c r="N894" s="13">
        <f>Github!P$1774</f>
        <v>139495</v>
      </c>
      <c r="O894" s="13">
        <f>Github!Q$1774</f>
        <v>165452</v>
      </c>
    </row>
    <row r="895">
      <c r="A895" s="13">
        <f>Github!J$589</f>
        <v>588</v>
      </c>
      <c r="B895" s="14" t="str">
        <f>HYPERLINK(CONCAT("http://leetcode.com/problems/",Github!C$589), Github!B$589)</f>
        <v>Design In-Memory File System</v>
      </c>
      <c r="C895" s="13">
        <f>Github!F$589</f>
        <v>1302</v>
      </c>
      <c r="D895" s="13">
        <f>Github!G$589</f>
        <v>140</v>
      </c>
      <c r="E895" s="13">
        <f>Github!F$589+Github!G$589</f>
        <v>1442</v>
      </c>
      <c r="F895" s="15">
        <f t="shared" si="1"/>
        <v>9.3</v>
      </c>
      <c r="G895" s="13" t="str">
        <f>ROUND(Github!O$589, 2)&amp;"%"</f>
        <v>48.74%</v>
      </c>
      <c r="H895" s="13" t="str">
        <f>Github!H$589</f>
        <v>Algorithms</v>
      </c>
      <c r="I895" s="16" t="str">
        <f>SUBSTITUTE(Github!L$589, ";", ", ")</f>
        <v>Hash Table, String, Design, Trie, </v>
      </c>
      <c r="J895" s="13" t="str">
        <f>Github!E$589</f>
        <v>Hard</v>
      </c>
      <c r="K895" s="13" t="str">
        <f>IF(TRIM(Github!D$589)="TRUE","FALSE","TRUE")</f>
        <v>FALSE</v>
      </c>
      <c r="L895" s="13" t="b">
        <f>Github!M$589</f>
        <v>1</v>
      </c>
      <c r="M895" s="13" t="b">
        <f>Github!N$589</f>
        <v>0</v>
      </c>
      <c r="N895" s="13">
        <f>Github!P$589</f>
        <v>82210</v>
      </c>
      <c r="O895" s="13">
        <f>Github!Q$589</f>
        <v>168673</v>
      </c>
    </row>
    <row r="896">
      <c r="A896" s="13">
        <f>Github!J$1219</f>
        <v>1218</v>
      </c>
      <c r="B896" s="14" t="str">
        <f>HYPERLINK(CONCAT("http://leetcode.com/problems/",Github!C$1219), Github!B$1219)</f>
        <v>Longest Arithmetic Subsequence of Given Difference</v>
      </c>
      <c r="C896" s="13">
        <f>Github!F$1219</f>
        <v>1315</v>
      </c>
      <c r="D896" s="13">
        <f>Github!G$1219</f>
        <v>47</v>
      </c>
      <c r="E896" s="13">
        <f>Github!F$1219+Github!G$1219</f>
        <v>1362</v>
      </c>
      <c r="F896" s="15">
        <f t="shared" si="1"/>
        <v>27.98</v>
      </c>
      <c r="G896" s="13" t="str">
        <f>ROUND(Github!O$1219, 2)&amp;"%"</f>
        <v>51.89%</v>
      </c>
      <c r="H896" s="13" t="str">
        <f>Github!H$1219</f>
        <v>Algorithms</v>
      </c>
      <c r="I896" s="16" t="str">
        <f>SUBSTITUTE(Github!L$1219, ";", ", ")</f>
        <v>Array, Hash Table, Dynamic Programming, </v>
      </c>
      <c r="J896" s="13" t="str">
        <f>Github!E$1219</f>
        <v>Medium</v>
      </c>
      <c r="K896" s="13" t="str">
        <f>IF(TRIM(Github!D$1219)="TRUE","FALSE","TRUE")</f>
        <v>TRUE</v>
      </c>
      <c r="L896" s="13" t="b">
        <f>Github!M$1219</f>
        <v>0</v>
      </c>
      <c r="M896" s="13" t="b">
        <f>Github!N$1219</f>
        <v>0</v>
      </c>
      <c r="N896" s="13">
        <f>Github!P$1219</f>
        <v>57973</v>
      </c>
      <c r="O896" s="13">
        <f>Github!Q$1219</f>
        <v>111724</v>
      </c>
    </row>
    <row r="897">
      <c r="A897" s="13">
        <f>Github!J$1575</f>
        <v>1574</v>
      </c>
      <c r="B897" s="14" t="str">
        <f>HYPERLINK(CONCAT("http://leetcode.com/problems/",Github!C$1575), Github!B$1575)</f>
        <v>Shortest Subarray to be Removed to Make Array Sorted</v>
      </c>
      <c r="C897" s="13">
        <f>Github!F$1575</f>
        <v>1300</v>
      </c>
      <c r="D897" s="13">
        <f>Github!G$1575</f>
        <v>45</v>
      </c>
      <c r="E897" s="13">
        <f>Github!F$1575+Github!G$1575</f>
        <v>1345</v>
      </c>
      <c r="F897" s="15">
        <f t="shared" si="1"/>
        <v>28.89</v>
      </c>
      <c r="G897" s="13" t="str">
        <f>ROUND(Github!O$1575, 2)&amp;"%"</f>
        <v>36.75%</v>
      </c>
      <c r="H897" s="13" t="str">
        <f>Github!H$1575</f>
        <v>Algorithms</v>
      </c>
      <c r="I897" s="16" t="str">
        <f>SUBSTITUTE(Github!L$1575, ";", ", ")</f>
        <v>Array, Two Pointers, Binary Search, Stack, Monotonic Stack, </v>
      </c>
      <c r="J897" s="13" t="str">
        <f>Github!E$1575</f>
        <v>Medium</v>
      </c>
      <c r="K897" s="13" t="str">
        <f>IF(TRIM(Github!D$1575)="TRUE","FALSE","TRUE")</f>
        <v>TRUE</v>
      </c>
      <c r="L897" s="13" t="b">
        <f>Github!M$1575</f>
        <v>0</v>
      </c>
      <c r="M897" s="13" t="b">
        <f>Github!N$1575</f>
        <v>0</v>
      </c>
      <c r="N897" s="13">
        <f>Github!P$1575</f>
        <v>23501</v>
      </c>
      <c r="O897" s="13">
        <f>Github!Q$1575</f>
        <v>63949</v>
      </c>
    </row>
    <row r="898">
      <c r="A898" s="13">
        <f>Github!J$862</f>
        <v>861</v>
      </c>
      <c r="B898" s="14" t="str">
        <f>HYPERLINK(CONCAT("http://leetcode.com/problems/",Github!C$862), Github!B$862)</f>
        <v>Score After Flipping Matrix</v>
      </c>
      <c r="C898" s="13">
        <f>Github!F$862</f>
        <v>1295</v>
      </c>
      <c r="D898" s="13">
        <f>Github!G$862</f>
        <v>170</v>
      </c>
      <c r="E898" s="13">
        <f>Github!F$862+Github!G$862</f>
        <v>1465</v>
      </c>
      <c r="F898" s="15">
        <f t="shared" si="1"/>
        <v>7.62</v>
      </c>
      <c r="G898" s="13" t="str">
        <f>ROUND(Github!O$862, 2)&amp;"%"</f>
        <v>75.05%</v>
      </c>
      <c r="H898" s="13" t="str">
        <f>Github!H$862</f>
        <v>Algorithms</v>
      </c>
      <c r="I898" s="16" t="str">
        <f>SUBSTITUTE(Github!L$862, ";", ", ")</f>
        <v>Array, Greedy, Bit Manipulation, Matrix, </v>
      </c>
      <c r="J898" s="13" t="str">
        <f>Github!E$862</f>
        <v>Medium</v>
      </c>
      <c r="K898" s="13" t="str">
        <f>IF(TRIM(Github!D$862)="TRUE","FALSE","TRUE")</f>
        <v>TRUE</v>
      </c>
      <c r="L898" s="13" t="b">
        <f>Github!M$862</f>
        <v>1</v>
      </c>
      <c r="M898" s="13" t="b">
        <f>Github!N$862</f>
        <v>0</v>
      </c>
      <c r="N898" s="13">
        <f>Github!P$862</f>
        <v>39509</v>
      </c>
      <c r="O898" s="13">
        <f>Github!Q$862</f>
        <v>52641</v>
      </c>
    </row>
    <row r="899">
      <c r="A899" s="13">
        <f>Github!J$293</f>
        <v>292</v>
      </c>
      <c r="B899" s="14" t="str">
        <f>HYPERLINK(CONCAT("http://leetcode.com/problems/",Github!C$293), Github!B$293)</f>
        <v>Nim Game</v>
      </c>
      <c r="C899" s="13">
        <f>Github!F$293</f>
        <v>1296</v>
      </c>
      <c r="D899" s="13">
        <f>Github!G$293</f>
        <v>2437</v>
      </c>
      <c r="E899" s="13">
        <f>Github!F$293+Github!G$293</f>
        <v>3733</v>
      </c>
      <c r="F899" s="15">
        <f t="shared" si="1"/>
        <v>0.53</v>
      </c>
      <c r="G899" s="13" t="str">
        <f>ROUND(Github!O$293, 2)&amp;"%"</f>
        <v>55.96%</v>
      </c>
      <c r="H899" s="13" t="str">
        <f>Github!H$293</f>
        <v>Algorithms</v>
      </c>
      <c r="I899" s="16" t="str">
        <f>SUBSTITUTE(Github!L$293, ";", ", ")</f>
        <v>Math, Brainteaser, Game Theory, </v>
      </c>
      <c r="J899" s="13" t="str">
        <f>Github!E$293</f>
        <v>Easy</v>
      </c>
      <c r="K899" s="13" t="str">
        <f>IF(TRIM(Github!D$293)="TRUE","FALSE","TRUE")</f>
        <v>TRUE</v>
      </c>
      <c r="L899" s="13" t="b">
        <f>Github!M$293</f>
        <v>1</v>
      </c>
      <c r="M899" s="13" t="b">
        <f>Github!N$293</f>
        <v>0</v>
      </c>
      <c r="N899" s="13">
        <f>Github!P$293</f>
        <v>306346</v>
      </c>
      <c r="O899" s="13">
        <f>Github!Q$293</f>
        <v>547444</v>
      </c>
    </row>
    <row r="900">
      <c r="A900" s="13">
        <f>Github!J$1753</f>
        <v>1752</v>
      </c>
      <c r="B900" s="14" t="str">
        <f>HYPERLINK(CONCAT("http://leetcode.com/problems/",Github!C$1753), Github!B$1753)</f>
        <v>Check if Array Is Sorted and Rotated</v>
      </c>
      <c r="C900" s="13">
        <f>Github!F$1753</f>
        <v>1321</v>
      </c>
      <c r="D900" s="13">
        <f>Github!G$1753</f>
        <v>64</v>
      </c>
      <c r="E900" s="13">
        <f>Github!F$1753+Github!G$1753</f>
        <v>1385</v>
      </c>
      <c r="F900" s="15">
        <f t="shared" si="1"/>
        <v>20.64</v>
      </c>
      <c r="G900" s="13" t="str">
        <f>ROUND(Github!O$1753, 2)&amp;"%"</f>
        <v>49.57%</v>
      </c>
      <c r="H900" s="13" t="str">
        <f>Github!H$1753</f>
        <v>Algorithms</v>
      </c>
      <c r="I900" s="16" t="str">
        <f>SUBSTITUTE(Github!L$1753, ";", ", ")</f>
        <v>Array, </v>
      </c>
      <c r="J900" s="13" t="str">
        <f>Github!E$1753</f>
        <v>Easy</v>
      </c>
      <c r="K900" s="13" t="str">
        <f>IF(TRIM(Github!D$1753)="TRUE","FALSE","TRUE")</f>
        <v>TRUE</v>
      </c>
      <c r="L900" s="13" t="b">
        <f>Github!M$1753</f>
        <v>0</v>
      </c>
      <c r="M900" s="13" t="b">
        <f>Github!N$1753</f>
        <v>0</v>
      </c>
      <c r="N900" s="13">
        <f>Github!P$1753</f>
        <v>67820</v>
      </c>
      <c r="O900" s="13">
        <f>Github!Q$1753</f>
        <v>136832</v>
      </c>
    </row>
    <row r="901">
      <c r="A901" s="13">
        <f>Github!J$881</f>
        <v>880</v>
      </c>
      <c r="B901" s="14" t="str">
        <f>HYPERLINK(CONCAT("http://leetcode.com/problems/",Github!C$881), Github!B$881)</f>
        <v>Decoded String at Index</v>
      </c>
      <c r="C901" s="13">
        <f>Github!F$881</f>
        <v>1280</v>
      </c>
      <c r="D901" s="13">
        <f>Github!G$881</f>
        <v>202</v>
      </c>
      <c r="E901" s="13">
        <f>Github!F$881+Github!G$881</f>
        <v>1482</v>
      </c>
      <c r="F901" s="15">
        <f t="shared" si="1"/>
        <v>6.34</v>
      </c>
      <c r="G901" s="13" t="str">
        <f>ROUND(Github!O$881, 2)&amp;"%"</f>
        <v>28.32%</v>
      </c>
      <c r="H901" s="13" t="str">
        <f>Github!H$881</f>
        <v>Algorithms</v>
      </c>
      <c r="I901" s="16" t="str">
        <f>SUBSTITUTE(Github!L$881, ";", ", ")</f>
        <v>String, Stack, </v>
      </c>
      <c r="J901" s="13" t="str">
        <f>Github!E$881</f>
        <v>Medium</v>
      </c>
      <c r="K901" s="13" t="str">
        <f>IF(TRIM(Github!D$881)="TRUE","FALSE","TRUE")</f>
        <v>TRUE</v>
      </c>
      <c r="L901" s="13" t="b">
        <f>Github!M$881</f>
        <v>1</v>
      </c>
      <c r="M901" s="13" t="b">
        <f>Github!N$881</f>
        <v>0</v>
      </c>
      <c r="N901" s="13">
        <f>Github!P$881</f>
        <v>35584</v>
      </c>
      <c r="O901" s="13">
        <f>Github!Q$881</f>
        <v>125631</v>
      </c>
    </row>
    <row r="902">
      <c r="A902" s="13">
        <f>Github!J$1110</f>
        <v>1109</v>
      </c>
      <c r="B902" s="14" t="str">
        <f>HYPERLINK(CONCAT("http://leetcode.com/problems/",Github!C$1110), Github!B$1110)</f>
        <v>Corporate Flight Bookings</v>
      </c>
      <c r="C902" s="13">
        <f>Github!F$1110</f>
        <v>1280</v>
      </c>
      <c r="D902" s="13">
        <f>Github!G$1110</f>
        <v>148</v>
      </c>
      <c r="E902" s="13">
        <f>Github!F$1110+Github!G$1110</f>
        <v>1428</v>
      </c>
      <c r="F902" s="15">
        <f t="shared" si="1"/>
        <v>8.65</v>
      </c>
      <c r="G902" s="13" t="str">
        <f>ROUND(Github!O$1110, 2)&amp;"%"</f>
        <v>60.52%</v>
      </c>
      <c r="H902" s="13" t="str">
        <f>Github!H$1110</f>
        <v>Algorithms</v>
      </c>
      <c r="I902" s="16" t="str">
        <f>SUBSTITUTE(Github!L$1110, ";", ", ")</f>
        <v>Array, Prefix Sum, </v>
      </c>
      <c r="J902" s="13" t="str">
        <f>Github!E$1110</f>
        <v>Medium</v>
      </c>
      <c r="K902" s="13" t="str">
        <f>IF(TRIM(Github!D$1110)="TRUE","FALSE","TRUE")</f>
        <v>TRUE</v>
      </c>
      <c r="L902" s="13" t="b">
        <f>Github!M$1110</f>
        <v>0</v>
      </c>
      <c r="M902" s="13" t="b">
        <f>Github!N$1110</f>
        <v>0</v>
      </c>
      <c r="N902" s="13">
        <f>Github!P$1110</f>
        <v>48316</v>
      </c>
      <c r="O902" s="13">
        <f>Github!Q$1110</f>
        <v>79833</v>
      </c>
    </row>
    <row r="903">
      <c r="A903" s="13">
        <f>Github!J$1381</f>
        <v>1380</v>
      </c>
      <c r="B903" s="14" t="str">
        <f>HYPERLINK(CONCAT("http://leetcode.com/problems/",Github!C$1381), Github!B$1381)</f>
        <v>Lucky Numbers in a Matrix</v>
      </c>
      <c r="C903" s="13">
        <f>Github!F$1381</f>
        <v>1284</v>
      </c>
      <c r="D903" s="13">
        <f>Github!G$1381</f>
        <v>73</v>
      </c>
      <c r="E903" s="13">
        <f>Github!F$1381+Github!G$1381</f>
        <v>1357</v>
      </c>
      <c r="F903" s="15">
        <f t="shared" si="1"/>
        <v>17.59</v>
      </c>
      <c r="G903" s="13" t="str">
        <f>ROUND(Github!O$1381, 2)&amp;"%"</f>
        <v>70.49%</v>
      </c>
      <c r="H903" s="13" t="str">
        <f>Github!H$1381</f>
        <v>Algorithms</v>
      </c>
      <c r="I903" s="16" t="str">
        <f>SUBSTITUTE(Github!L$1381, ";", ", ")</f>
        <v>Array, Matrix, </v>
      </c>
      <c r="J903" s="13" t="str">
        <f>Github!E$1381</f>
        <v>Easy</v>
      </c>
      <c r="K903" s="13" t="str">
        <f>IF(TRIM(Github!D$1381)="TRUE","FALSE","TRUE")</f>
        <v>TRUE</v>
      </c>
      <c r="L903" s="13" t="b">
        <f>Github!M$1381</f>
        <v>0</v>
      </c>
      <c r="M903" s="13" t="b">
        <f>Github!N$1381</f>
        <v>0</v>
      </c>
      <c r="N903" s="13">
        <f>Github!P$1381</f>
        <v>77621</v>
      </c>
      <c r="O903" s="13">
        <f>Github!Q$1381</f>
        <v>110112</v>
      </c>
    </row>
    <row r="904">
      <c r="A904" s="13">
        <f>Github!J$765</f>
        <v>764</v>
      </c>
      <c r="B904" s="14" t="str">
        <f>HYPERLINK(CONCAT("http://leetcode.com/problems/",Github!C$765), Github!B$765)</f>
        <v>Largest Plus Sign</v>
      </c>
      <c r="C904" s="13">
        <f>Github!F$765</f>
        <v>1265</v>
      </c>
      <c r="D904" s="13">
        <f>Github!G$765</f>
        <v>207</v>
      </c>
      <c r="E904" s="13">
        <f>Github!F$765+Github!G$765</f>
        <v>1472</v>
      </c>
      <c r="F904" s="15">
        <f t="shared" si="1"/>
        <v>6.11</v>
      </c>
      <c r="G904" s="13" t="str">
        <f>ROUND(Github!O$765, 2)&amp;"%"</f>
        <v>48.41%</v>
      </c>
      <c r="H904" s="13" t="str">
        <f>Github!H$765</f>
        <v>Algorithms</v>
      </c>
      <c r="I904" s="16" t="str">
        <f>SUBSTITUTE(Github!L$765, ";", ", ")</f>
        <v>Array, Dynamic Programming, </v>
      </c>
      <c r="J904" s="13" t="str">
        <f>Github!E$765</f>
        <v>Medium</v>
      </c>
      <c r="K904" s="13" t="str">
        <f>IF(TRIM(Github!D$765)="TRUE","FALSE","TRUE")</f>
        <v>TRUE</v>
      </c>
      <c r="L904" s="13" t="b">
        <f>Github!M$765</f>
        <v>1</v>
      </c>
      <c r="M904" s="13" t="b">
        <f>Github!N$765</f>
        <v>0</v>
      </c>
      <c r="N904" s="13">
        <f>Github!P$765</f>
        <v>51766</v>
      </c>
      <c r="O904" s="13">
        <f>Github!Q$765</f>
        <v>106923</v>
      </c>
    </row>
    <row r="905">
      <c r="A905" s="13">
        <f>Github!J$1190</f>
        <v>1189</v>
      </c>
      <c r="B905" s="14" t="str">
        <f>HYPERLINK(CONCAT("http://leetcode.com/problems/",Github!C$1190), Github!B$1190)</f>
        <v>Maximum Number of Balloons</v>
      </c>
      <c r="C905" s="13">
        <f>Github!F$1190</f>
        <v>1278</v>
      </c>
      <c r="D905" s="13">
        <f>Github!G$1190</f>
        <v>77</v>
      </c>
      <c r="E905" s="13">
        <f>Github!F$1190+Github!G$1190</f>
        <v>1355</v>
      </c>
      <c r="F905" s="15">
        <f t="shared" si="1"/>
        <v>16.6</v>
      </c>
      <c r="G905" s="13" t="str">
        <f>ROUND(Github!O$1190, 2)&amp;"%"</f>
        <v>61.57%</v>
      </c>
      <c r="H905" s="13" t="str">
        <f>Github!H$1190</f>
        <v>Algorithms</v>
      </c>
      <c r="I905" s="16" t="str">
        <f>SUBSTITUTE(Github!L$1190, ";", ", ")</f>
        <v>Hash Table, String, Counting, </v>
      </c>
      <c r="J905" s="13" t="str">
        <f>Github!E$1190</f>
        <v>Easy</v>
      </c>
      <c r="K905" s="13" t="str">
        <f>IF(TRIM(Github!D$1190)="TRUE","FALSE","TRUE")</f>
        <v>TRUE</v>
      </c>
      <c r="L905" s="13" t="b">
        <f>Github!M$1190</f>
        <v>1</v>
      </c>
      <c r="M905" s="13" t="b">
        <f>Github!N$1190</f>
        <v>0</v>
      </c>
      <c r="N905" s="13">
        <f>Github!P$1190</f>
        <v>132110</v>
      </c>
      <c r="O905" s="13">
        <f>Github!Q$1190</f>
        <v>214565</v>
      </c>
    </row>
    <row r="906">
      <c r="A906" s="13">
        <f>Github!J$466</f>
        <v>465</v>
      </c>
      <c r="B906" s="14" t="str">
        <f>HYPERLINK(CONCAT("http://leetcode.com/problems/",Github!C$466), Github!B$466)</f>
        <v>Optimal Account Balancing</v>
      </c>
      <c r="C906" s="13">
        <f>Github!F$466</f>
        <v>1255</v>
      </c>
      <c r="D906" s="13">
        <f>Github!G$466</f>
        <v>120</v>
      </c>
      <c r="E906" s="13">
        <f>Github!F$466+Github!G$466</f>
        <v>1375</v>
      </c>
      <c r="F906" s="15">
        <f t="shared" si="1"/>
        <v>10.46</v>
      </c>
      <c r="G906" s="13" t="str">
        <f>ROUND(Github!O$466, 2)&amp;"%"</f>
        <v>49.26%</v>
      </c>
      <c r="H906" s="13" t="str">
        <f>Github!H$466</f>
        <v>Algorithms</v>
      </c>
      <c r="I906" s="16" t="str">
        <f>SUBSTITUTE(Github!L$466, ";", ", ")</f>
        <v>Array, Dynamic Programming, Backtracking, Bit Manipulation, Bitmask, </v>
      </c>
      <c r="J906" s="13" t="str">
        <f>Github!E$466</f>
        <v>Hard</v>
      </c>
      <c r="K906" s="13" t="str">
        <f>IF(TRIM(Github!D$466)="TRUE","FALSE","TRUE")</f>
        <v>FALSE</v>
      </c>
      <c r="L906" s="13" t="b">
        <f>Github!M$466</f>
        <v>0</v>
      </c>
      <c r="M906" s="13" t="b">
        <f>Github!N$466</f>
        <v>0</v>
      </c>
      <c r="N906" s="13">
        <f>Github!P$466</f>
        <v>77085</v>
      </c>
      <c r="O906" s="13">
        <f>Github!Q$466</f>
        <v>156473</v>
      </c>
    </row>
    <row r="907">
      <c r="A907" s="13">
        <f>Github!J$1290</f>
        <v>1289</v>
      </c>
      <c r="B907" s="14" t="str">
        <f>HYPERLINK(CONCAT("http://leetcode.com/problems/",Github!C$1290), Github!B$1290)</f>
        <v>Minimum Falling Path Sum II</v>
      </c>
      <c r="C907" s="13">
        <f>Github!F$1290</f>
        <v>1268</v>
      </c>
      <c r="D907" s="13">
        <f>Github!G$1290</f>
        <v>76</v>
      </c>
      <c r="E907" s="13">
        <f>Github!F$1290+Github!G$1290</f>
        <v>1344</v>
      </c>
      <c r="F907" s="15">
        <f t="shared" si="1"/>
        <v>16.68</v>
      </c>
      <c r="G907" s="13" t="str">
        <f>ROUND(Github!O$1290, 2)&amp;"%"</f>
        <v>58.79%</v>
      </c>
      <c r="H907" s="13" t="str">
        <f>Github!H$1290</f>
        <v>Algorithms</v>
      </c>
      <c r="I907" s="16" t="str">
        <f>SUBSTITUTE(Github!L$1290, ";", ", ")</f>
        <v>Array, Dynamic Programming, Matrix, </v>
      </c>
      <c r="J907" s="13" t="str">
        <f>Github!E$1290</f>
        <v>Hard</v>
      </c>
      <c r="K907" s="13" t="str">
        <f>IF(TRIM(Github!D$1290)="TRUE","FALSE","TRUE")</f>
        <v>TRUE</v>
      </c>
      <c r="L907" s="13" t="b">
        <f>Github!M$1290</f>
        <v>0</v>
      </c>
      <c r="M907" s="13" t="b">
        <f>Github!N$1290</f>
        <v>0</v>
      </c>
      <c r="N907" s="13">
        <f>Github!P$1290</f>
        <v>38373</v>
      </c>
      <c r="O907" s="13">
        <f>Github!Q$1290</f>
        <v>65273</v>
      </c>
    </row>
    <row r="908">
      <c r="A908" s="13">
        <f>Github!J$1332</f>
        <v>1331</v>
      </c>
      <c r="B908" s="14" t="str">
        <f>HYPERLINK(CONCAT("http://leetcode.com/problems/",Github!C$1332), Github!B$1332)</f>
        <v>Rank Transform of an Array</v>
      </c>
      <c r="C908" s="13">
        <f>Github!F$1332</f>
        <v>1272</v>
      </c>
      <c r="D908" s="13">
        <f>Github!G$1332</f>
        <v>63</v>
      </c>
      <c r="E908" s="13">
        <f>Github!F$1332+Github!G$1332</f>
        <v>1335</v>
      </c>
      <c r="F908" s="15">
        <f t="shared" si="1"/>
        <v>20.19</v>
      </c>
      <c r="G908" s="13" t="str">
        <f>ROUND(Github!O$1332, 2)&amp;"%"</f>
        <v>59.1%</v>
      </c>
      <c r="H908" s="13" t="str">
        <f>Github!H$1332</f>
        <v>Algorithms</v>
      </c>
      <c r="I908" s="16" t="str">
        <f>SUBSTITUTE(Github!L$1332, ";", ", ")</f>
        <v>Array, Hash Table, Sorting, </v>
      </c>
      <c r="J908" s="13" t="str">
        <f>Github!E$1332</f>
        <v>Easy</v>
      </c>
      <c r="K908" s="13" t="str">
        <f>IF(TRIM(Github!D$1332)="TRUE","FALSE","TRUE")</f>
        <v>TRUE</v>
      </c>
      <c r="L908" s="13" t="b">
        <f>Github!M$1332</f>
        <v>0</v>
      </c>
      <c r="M908" s="13" t="b">
        <f>Github!N$1332</f>
        <v>0</v>
      </c>
      <c r="N908" s="13">
        <f>Github!P$1332</f>
        <v>77778</v>
      </c>
      <c r="O908" s="13">
        <f>Github!Q$1332</f>
        <v>131597</v>
      </c>
    </row>
    <row r="909">
      <c r="A909" s="13">
        <f>Github!J$1524</f>
        <v>1523</v>
      </c>
      <c r="B909" s="14" t="str">
        <f>HYPERLINK(CONCAT("http://leetcode.com/problems/",Github!C$1524), Github!B$1524)</f>
        <v>Count Odd Numbers in an Interval Range</v>
      </c>
      <c r="C909" s="13">
        <f>Github!F$1524</f>
        <v>1275</v>
      </c>
      <c r="D909" s="13">
        <f>Github!G$1524</f>
        <v>89</v>
      </c>
      <c r="E909" s="13">
        <f>Github!F$1524+Github!G$1524</f>
        <v>1364</v>
      </c>
      <c r="F909" s="15">
        <f t="shared" si="1"/>
        <v>14.33</v>
      </c>
      <c r="G909" s="13" t="str">
        <f>ROUND(Github!O$1524, 2)&amp;"%"</f>
        <v>46.1%</v>
      </c>
      <c r="H909" s="13" t="str">
        <f>Github!H$1524</f>
        <v>Algorithms</v>
      </c>
      <c r="I909" s="16" t="str">
        <f>SUBSTITUTE(Github!L$1524, ";", ", ")</f>
        <v>Math, </v>
      </c>
      <c r="J909" s="13" t="str">
        <f>Github!E$1524</f>
        <v>Easy</v>
      </c>
      <c r="K909" s="13" t="str">
        <f>IF(TRIM(Github!D$1524)="TRUE","FALSE","TRUE")</f>
        <v>TRUE</v>
      </c>
      <c r="L909" s="13" t="b">
        <f>Github!M$1524</f>
        <v>1</v>
      </c>
      <c r="M909" s="13" t="b">
        <f>Github!N$1524</f>
        <v>0</v>
      </c>
      <c r="N909" s="13">
        <f>Github!P$1524</f>
        <v>171254</v>
      </c>
      <c r="O909" s="13">
        <f>Github!Q$1524</f>
        <v>371461</v>
      </c>
    </row>
    <row r="910">
      <c r="A910" s="13">
        <f>Github!J$970</f>
        <v>969</v>
      </c>
      <c r="B910" s="14" t="str">
        <f>HYPERLINK(CONCAT("http://leetcode.com/problems/",Github!C$970), Github!B$970)</f>
        <v>Pancake Sorting</v>
      </c>
      <c r="C910" s="13">
        <f>Github!F$970</f>
        <v>1260</v>
      </c>
      <c r="D910" s="13">
        <f>Github!G$970</f>
        <v>1354</v>
      </c>
      <c r="E910" s="13">
        <f>Github!F$970+Github!G$970</f>
        <v>2614</v>
      </c>
      <c r="F910" s="15">
        <f t="shared" si="1"/>
        <v>0.93</v>
      </c>
      <c r="G910" s="13" t="str">
        <f>ROUND(Github!O$970, 2)&amp;"%"</f>
        <v>69.99%</v>
      </c>
      <c r="H910" s="13" t="str">
        <f>Github!H$970</f>
        <v>Algorithms</v>
      </c>
      <c r="I910" s="16" t="str">
        <f>SUBSTITUTE(Github!L$970, ";", ", ")</f>
        <v>Array, Two Pointers, Greedy, Sorting, </v>
      </c>
      <c r="J910" s="13" t="str">
        <f>Github!E$970</f>
        <v>Medium</v>
      </c>
      <c r="K910" s="13" t="str">
        <f>IF(TRIM(Github!D$970)="TRUE","FALSE","TRUE")</f>
        <v>TRUE</v>
      </c>
      <c r="L910" s="13" t="b">
        <f>Github!M$970</f>
        <v>1</v>
      </c>
      <c r="M910" s="13" t="b">
        <f>Github!N$970</f>
        <v>0</v>
      </c>
      <c r="N910" s="13">
        <f>Github!P$970</f>
        <v>80676</v>
      </c>
      <c r="O910" s="13">
        <f>Github!Q$970</f>
        <v>115276</v>
      </c>
    </row>
    <row r="911">
      <c r="A911" s="13">
        <f>Github!J$1494</f>
        <v>1493</v>
      </c>
      <c r="B911" s="14" t="str">
        <f>HYPERLINK(CONCAT("http://leetcode.com/problems/",Github!C$1494), Github!B$1494)</f>
        <v>Longest Subarray of 1's After Deleting One Element</v>
      </c>
      <c r="C911" s="13">
        <f>Github!F$1494</f>
        <v>1269</v>
      </c>
      <c r="D911" s="13">
        <f>Github!G$1494</f>
        <v>26</v>
      </c>
      <c r="E911" s="13">
        <f>Github!F$1494+Github!G$1494</f>
        <v>1295</v>
      </c>
      <c r="F911" s="15">
        <f t="shared" si="1"/>
        <v>48.81</v>
      </c>
      <c r="G911" s="13" t="str">
        <f>ROUND(Github!O$1494, 2)&amp;"%"</f>
        <v>60.25%</v>
      </c>
      <c r="H911" s="13" t="str">
        <f>Github!H$1494</f>
        <v>Algorithms</v>
      </c>
      <c r="I911" s="16" t="str">
        <f>SUBSTITUTE(Github!L$1494, ";", ", ")</f>
        <v>Array, Dynamic Programming, Sliding Window, </v>
      </c>
      <c r="J911" s="13" t="str">
        <f>Github!E$1494</f>
        <v>Medium</v>
      </c>
      <c r="K911" s="13" t="str">
        <f>IF(TRIM(Github!D$1494)="TRUE","FALSE","TRUE")</f>
        <v>TRUE</v>
      </c>
      <c r="L911" s="13" t="b">
        <f>Github!M$1494</f>
        <v>0</v>
      </c>
      <c r="M911" s="13" t="b">
        <f>Github!N$1494</f>
        <v>0</v>
      </c>
      <c r="N911" s="13">
        <f>Github!P$1494</f>
        <v>53554</v>
      </c>
      <c r="O911" s="13">
        <f>Github!Q$1494</f>
        <v>88889</v>
      </c>
    </row>
    <row r="912">
      <c r="A912" s="13">
        <f>Github!J$1685</f>
        <v>1684</v>
      </c>
      <c r="B912" s="14" t="str">
        <f>HYPERLINK(CONCAT("http://leetcode.com/problems/",Github!C$1685), Github!B$1685)</f>
        <v>Count the Number of Consistent Strings</v>
      </c>
      <c r="C912" s="13">
        <f>Github!F$1685</f>
        <v>1265</v>
      </c>
      <c r="D912" s="13">
        <f>Github!G$1685</f>
        <v>53</v>
      </c>
      <c r="E912" s="13">
        <f>Github!F$1685+Github!G$1685</f>
        <v>1318</v>
      </c>
      <c r="F912" s="15">
        <f t="shared" si="1"/>
        <v>23.87</v>
      </c>
      <c r="G912" s="13" t="str">
        <f>ROUND(Github!O$1685, 2)&amp;"%"</f>
        <v>82.01%</v>
      </c>
      <c r="H912" s="13" t="str">
        <f>Github!H$1685</f>
        <v>Algorithms</v>
      </c>
      <c r="I912" s="16" t="str">
        <f>SUBSTITUTE(Github!L$1685, ";", ", ")</f>
        <v>Array, Hash Table, String, Bit Manipulation, </v>
      </c>
      <c r="J912" s="13" t="str">
        <f>Github!E$1685</f>
        <v>Easy</v>
      </c>
      <c r="K912" s="13" t="str">
        <f>IF(TRIM(Github!D$1685)="TRUE","FALSE","TRUE")</f>
        <v>TRUE</v>
      </c>
      <c r="L912" s="13" t="b">
        <f>Github!M$1685</f>
        <v>0</v>
      </c>
      <c r="M912" s="13" t="b">
        <f>Github!N$1685</f>
        <v>0</v>
      </c>
      <c r="N912" s="13">
        <f>Github!P$1685</f>
        <v>115677</v>
      </c>
      <c r="O912" s="13">
        <f>Github!Q$1685</f>
        <v>141054</v>
      </c>
    </row>
    <row r="913">
      <c r="A913" s="13">
        <f>Github!J$1287</f>
        <v>1286</v>
      </c>
      <c r="B913" s="14" t="str">
        <f>HYPERLINK(CONCAT("http://leetcode.com/problems/",Github!C$1287), Github!B$1287)</f>
        <v>Iterator for Combination</v>
      </c>
      <c r="C913" s="13">
        <f>Github!F$1287</f>
        <v>1246</v>
      </c>
      <c r="D913" s="13">
        <f>Github!G$1287</f>
        <v>99</v>
      </c>
      <c r="E913" s="13">
        <f>Github!F$1287+Github!G$1287</f>
        <v>1345</v>
      </c>
      <c r="F913" s="15">
        <f t="shared" si="1"/>
        <v>12.59</v>
      </c>
      <c r="G913" s="13" t="str">
        <f>ROUND(Github!O$1287, 2)&amp;"%"</f>
        <v>73.46%</v>
      </c>
      <c r="H913" s="13" t="str">
        <f>Github!H$1287</f>
        <v>Algorithms</v>
      </c>
      <c r="I913" s="16" t="str">
        <f>SUBSTITUTE(Github!L$1287, ";", ", ")</f>
        <v>String, Backtracking, Design, Iterator, </v>
      </c>
      <c r="J913" s="13" t="str">
        <f>Github!E$1287</f>
        <v>Medium</v>
      </c>
      <c r="K913" s="13" t="str">
        <f>IF(TRIM(Github!D$1287)="TRUE","FALSE","TRUE")</f>
        <v>TRUE</v>
      </c>
      <c r="L913" s="13" t="b">
        <f>Github!M$1287</f>
        <v>1</v>
      </c>
      <c r="M913" s="13" t="b">
        <f>Github!N$1287</f>
        <v>0</v>
      </c>
      <c r="N913" s="13">
        <f>Github!P$1287</f>
        <v>66610</v>
      </c>
      <c r="O913" s="13">
        <f>Github!Q$1287</f>
        <v>90679</v>
      </c>
    </row>
    <row r="914">
      <c r="A914" s="13">
        <f>Github!J$601</f>
        <v>600</v>
      </c>
      <c r="B914" s="14" t="str">
        <f>HYPERLINK(CONCAT("http://leetcode.com/problems/",Github!C$601), Github!B$601)</f>
        <v>Non-negative Integers without Consecutive Ones</v>
      </c>
      <c r="C914" s="13">
        <f>Github!F$601</f>
        <v>1247</v>
      </c>
      <c r="D914" s="13">
        <f>Github!G$601</f>
        <v>120</v>
      </c>
      <c r="E914" s="13">
        <f>Github!F$601+Github!G$601</f>
        <v>1367</v>
      </c>
      <c r="F914" s="15">
        <f t="shared" si="1"/>
        <v>10.39</v>
      </c>
      <c r="G914" s="13" t="str">
        <f>ROUND(Github!O$601, 2)&amp;"%"</f>
        <v>39.03%</v>
      </c>
      <c r="H914" s="13" t="str">
        <f>Github!H$601</f>
        <v>Algorithms</v>
      </c>
      <c r="I914" s="16" t="str">
        <f>SUBSTITUTE(Github!L$601, ";", ", ")</f>
        <v>Dynamic Programming, </v>
      </c>
      <c r="J914" s="13" t="str">
        <f>Github!E$601</f>
        <v>Hard</v>
      </c>
      <c r="K914" s="13" t="str">
        <f>IF(TRIM(Github!D$601)="TRUE","FALSE","TRUE")</f>
        <v>TRUE</v>
      </c>
      <c r="L914" s="13" t="b">
        <f>Github!M$601</f>
        <v>1</v>
      </c>
      <c r="M914" s="13" t="b">
        <f>Github!N$601</f>
        <v>0</v>
      </c>
      <c r="N914" s="13">
        <f>Github!P$601</f>
        <v>33184</v>
      </c>
      <c r="O914" s="13">
        <f>Github!Q$601</f>
        <v>85030</v>
      </c>
    </row>
    <row r="915">
      <c r="A915" s="13">
        <f>Github!J$1414</f>
        <v>1413</v>
      </c>
      <c r="B915" s="14" t="str">
        <f>HYPERLINK(CONCAT("http://leetcode.com/problems/",Github!C$1414), Github!B$1414)</f>
        <v>Minimum Value to Get Positive Step by Step Sum</v>
      </c>
      <c r="C915" s="13">
        <f>Github!F$1414</f>
        <v>1248</v>
      </c>
      <c r="D915" s="13">
        <f>Github!G$1414</f>
        <v>258</v>
      </c>
      <c r="E915" s="13">
        <f>Github!F$1414+Github!G$1414</f>
        <v>1506</v>
      </c>
      <c r="F915" s="15">
        <f t="shared" si="1"/>
        <v>4.84</v>
      </c>
      <c r="G915" s="13" t="str">
        <f>ROUND(Github!O$1414, 2)&amp;"%"</f>
        <v>67.81%</v>
      </c>
      <c r="H915" s="13" t="str">
        <f>Github!H$1414</f>
        <v>Algorithms</v>
      </c>
      <c r="I915" s="16" t="str">
        <f>SUBSTITUTE(Github!L$1414, ";", ", ")</f>
        <v>Array, Prefix Sum, </v>
      </c>
      <c r="J915" s="13" t="str">
        <f>Github!E$1414</f>
        <v>Easy</v>
      </c>
      <c r="K915" s="13" t="str">
        <f>IF(TRIM(Github!D$1414)="TRUE","FALSE","TRUE")</f>
        <v>TRUE</v>
      </c>
      <c r="L915" s="13" t="b">
        <f>Github!M$1414</f>
        <v>1</v>
      </c>
      <c r="M915" s="13" t="b">
        <f>Github!N$1414</f>
        <v>0</v>
      </c>
      <c r="N915" s="13">
        <f>Github!P$1414</f>
        <v>88581</v>
      </c>
      <c r="O915" s="13">
        <f>Github!Q$1414</f>
        <v>130629</v>
      </c>
    </row>
    <row r="916">
      <c r="A916" s="13">
        <f>Github!J$1489</f>
        <v>1488</v>
      </c>
      <c r="B916" s="14" t="str">
        <f>HYPERLINK(CONCAT("http://leetcode.com/problems/",Github!C$1489), Github!B$1489)</f>
        <v>Avoid Flood in The City</v>
      </c>
      <c r="C916" s="13">
        <f>Github!F$1489</f>
        <v>1247</v>
      </c>
      <c r="D916" s="13">
        <f>Github!G$1489</f>
        <v>241</v>
      </c>
      <c r="E916" s="13">
        <f>Github!F$1489+Github!G$1489</f>
        <v>1488</v>
      </c>
      <c r="F916" s="15">
        <f t="shared" si="1"/>
        <v>5.17</v>
      </c>
      <c r="G916" s="13" t="str">
        <f>ROUND(Github!O$1489, 2)&amp;"%"</f>
        <v>26.2%</v>
      </c>
      <c r="H916" s="13" t="str">
        <f>Github!H$1489</f>
        <v>Algorithms</v>
      </c>
      <c r="I916" s="16" t="str">
        <f>SUBSTITUTE(Github!L$1489, ";", ", ")</f>
        <v>Array, Hash Table, Binary Search, Greedy, Heap (Priority Queue), </v>
      </c>
      <c r="J916" s="13" t="str">
        <f>Github!E$1489</f>
        <v>Medium</v>
      </c>
      <c r="K916" s="13" t="str">
        <f>IF(TRIM(Github!D$1489)="TRUE","FALSE","TRUE")</f>
        <v>TRUE</v>
      </c>
      <c r="L916" s="13" t="b">
        <f>Github!M$1489</f>
        <v>0</v>
      </c>
      <c r="M916" s="13" t="b">
        <f>Github!N$1489</f>
        <v>0</v>
      </c>
      <c r="N916" s="13">
        <f>Github!P$1489</f>
        <v>28835</v>
      </c>
      <c r="O916" s="13">
        <f>Github!Q$1489</f>
        <v>110078</v>
      </c>
    </row>
    <row r="917">
      <c r="A917" s="13">
        <f>Github!J$331</f>
        <v>330</v>
      </c>
      <c r="B917" s="14" t="str">
        <f>HYPERLINK(CONCAT("http://leetcode.com/problems/",Github!C$331), Github!B$331)</f>
        <v>Patching Array</v>
      </c>
      <c r="C917" s="13">
        <f>Github!F$331</f>
        <v>1247</v>
      </c>
      <c r="D917" s="13">
        <f>Github!G$331</f>
        <v>122</v>
      </c>
      <c r="E917" s="13">
        <f>Github!F$331+Github!G$331</f>
        <v>1369</v>
      </c>
      <c r="F917" s="15">
        <f t="shared" si="1"/>
        <v>10.22</v>
      </c>
      <c r="G917" s="13" t="str">
        <f>ROUND(Github!O$331, 2)&amp;"%"</f>
        <v>40.11%</v>
      </c>
      <c r="H917" s="13" t="str">
        <f>Github!H$331</f>
        <v>Algorithms</v>
      </c>
      <c r="I917" s="16" t="str">
        <f>SUBSTITUTE(Github!L$331, ";", ", ")</f>
        <v>Array, Greedy, </v>
      </c>
      <c r="J917" s="13" t="str">
        <f>Github!E$331</f>
        <v>Hard</v>
      </c>
      <c r="K917" s="13" t="str">
        <f>IF(TRIM(Github!D$331)="TRUE","FALSE","TRUE")</f>
        <v>TRUE</v>
      </c>
      <c r="L917" s="13" t="b">
        <f>Github!M$331</f>
        <v>1</v>
      </c>
      <c r="M917" s="13" t="b">
        <f>Github!N$331</f>
        <v>0</v>
      </c>
      <c r="N917" s="13">
        <f>Github!P$331</f>
        <v>59914</v>
      </c>
      <c r="O917" s="13">
        <f>Github!Q$331</f>
        <v>149381</v>
      </c>
    </row>
    <row r="918">
      <c r="A918" s="13">
        <f>Github!J$162</f>
        <v>161</v>
      </c>
      <c r="B918" s="14" t="str">
        <f>HYPERLINK(CONCAT("http://leetcode.com/problems/",Github!C$162), Github!B$162)</f>
        <v>One Edit Distance</v>
      </c>
      <c r="C918" s="13">
        <f>Github!F$162</f>
        <v>1238</v>
      </c>
      <c r="D918" s="13">
        <f>Github!G$162</f>
        <v>173</v>
      </c>
      <c r="E918" s="13">
        <f>Github!F$162+Github!G$162</f>
        <v>1411</v>
      </c>
      <c r="F918" s="15">
        <f t="shared" si="1"/>
        <v>7.16</v>
      </c>
      <c r="G918" s="13" t="str">
        <f>ROUND(Github!O$162, 2)&amp;"%"</f>
        <v>34.13%</v>
      </c>
      <c r="H918" s="13" t="str">
        <f>Github!H$162</f>
        <v>Algorithms</v>
      </c>
      <c r="I918" s="16" t="str">
        <f>SUBSTITUTE(Github!L$162, ";", ", ")</f>
        <v>Two Pointers, String, </v>
      </c>
      <c r="J918" s="13" t="str">
        <f>Github!E$162</f>
        <v>Medium</v>
      </c>
      <c r="K918" s="13" t="str">
        <f>IF(TRIM(Github!D$162)="TRUE","FALSE","TRUE")</f>
        <v>FALSE</v>
      </c>
      <c r="L918" s="13" t="b">
        <f>Github!M$162</f>
        <v>1</v>
      </c>
      <c r="M918" s="13" t="b">
        <f>Github!N$162</f>
        <v>0</v>
      </c>
      <c r="N918" s="13">
        <f>Github!P$162</f>
        <v>184635</v>
      </c>
      <c r="O918" s="13">
        <f>Github!Q$162</f>
        <v>541032</v>
      </c>
    </row>
    <row r="919">
      <c r="A919" s="13">
        <f>Github!J$1310</f>
        <v>1309</v>
      </c>
      <c r="B919" s="14" t="str">
        <f>HYPERLINK(CONCAT("http://leetcode.com/problems/",Github!C$1310), Github!B$1310)</f>
        <v>Decrypt String from Alphabet to Integer Mapping</v>
      </c>
      <c r="C919" s="13">
        <f>Github!F$1310</f>
        <v>1248</v>
      </c>
      <c r="D919" s="13">
        <f>Github!G$1310</f>
        <v>85</v>
      </c>
      <c r="E919" s="13">
        <f>Github!F$1310+Github!G$1310</f>
        <v>1333</v>
      </c>
      <c r="F919" s="15">
        <f t="shared" si="1"/>
        <v>14.68</v>
      </c>
      <c r="G919" s="13" t="str">
        <f>ROUND(Github!O$1310, 2)&amp;"%"</f>
        <v>79.53%</v>
      </c>
      <c r="H919" s="13" t="str">
        <f>Github!H$1310</f>
        <v>Algorithms</v>
      </c>
      <c r="I919" s="16" t="str">
        <f>SUBSTITUTE(Github!L$1310, ";", ", ")</f>
        <v>String, </v>
      </c>
      <c r="J919" s="13" t="str">
        <f>Github!E$1310</f>
        <v>Easy</v>
      </c>
      <c r="K919" s="13" t="str">
        <f>IF(TRIM(Github!D$1310)="TRUE","FALSE","TRUE")</f>
        <v>TRUE</v>
      </c>
      <c r="L919" s="13" t="b">
        <f>Github!M$1310</f>
        <v>0</v>
      </c>
      <c r="M919" s="13" t="b">
        <f>Github!N$1310</f>
        <v>0</v>
      </c>
      <c r="N919" s="13">
        <f>Github!P$1310</f>
        <v>98596</v>
      </c>
      <c r="O919" s="13">
        <f>Github!Q$1310</f>
        <v>123972</v>
      </c>
    </row>
    <row r="920">
      <c r="A920" s="13">
        <f>Github!J$2226</f>
        <v>2225</v>
      </c>
      <c r="B920" s="14" t="str">
        <f>HYPERLINK(CONCAT("http://leetcode.com/problems/",Github!C$2226), Github!B$2226)</f>
        <v>Find Players With Zero or One Losses</v>
      </c>
      <c r="C920" s="13">
        <f>Github!F$2226</f>
        <v>1250</v>
      </c>
      <c r="D920" s="13">
        <f>Github!G$2226</f>
        <v>87</v>
      </c>
      <c r="E920" s="13">
        <f>Github!F$2226+Github!G$2226</f>
        <v>1337</v>
      </c>
      <c r="F920" s="15">
        <f t="shared" si="1"/>
        <v>14.37</v>
      </c>
      <c r="G920" s="13" t="str">
        <f>ROUND(Github!O$2226, 2)&amp;"%"</f>
        <v>73.26%</v>
      </c>
      <c r="H920" s="13" t="str">
        <f>Github!H$2226</f>
        <v>Algorithms</v>
      </c>
      <c r="I920" s="16" t="str">
        <f>SUBSTITUTE(Github!L$2226, ";", ", ")</f>
        <v>Array, Hash Table, Sorting, Counting, </v>
      </c>
      <c r="J920" s="13" t="str">
        <f>Github!E$2226</f>
        <v>Medium</v>
      </c>
      <c r="K920" s="13" t="str">
        <f>IF(TRIM(Github!D$2226)="TRUE","FALSE","TRUE")</f>
        <v>TRUE</v>
      </c>
      <c r="L920" s="13" t="b">
        <f>Github!M$2226</f>
        <v>1</v>
      </c>
      <c r="M920" s="13" t="b">
        <f>Github!N$2226</f>
        <v>0</v>
      </c>
      <c r="N920" s="13">
        <f>Github!P$2226</f>
        <v>82997</v>
      </c>
      <c r="O920" s="13">
        <f>Github!Q$2226</f>
        <v>113285</v>
      </c>
    </row>
    <row r="921">
      <c r="A921" s="13">
        <f>Github!J$468</f>
        <v>467</v>
      </c>
      <c r="B921" s="14" t="str">
        <f>HYPERLINK(CONCAT("http://leetcode.com/problems/",Github!C$468), Github!B$468)</f>
        <v>Unique Substrings in Wraparound String</v>
      </c>
      <c r="C921" s="13">
        <f>Github!F$468</f>
        <v>1229</v>
      </c>
      <c r="D921" s="13">
        <f>Github!G$468</f>
        <v>153</v>
      </c>
      <c r="E921" s="13">
        <f>Github!F$468+Github!G$468</f>
        <v>1382</v>
      </c>
      <c r="F921" s="15">
        <f t="shared" si="1"/>
        <v>8.03</v>
      </c>
      <c r="G921" s="13" t="str">
        <f>ROUND(Github!O$468, 2)&amp;"%"</f>
        <v>38.39%</v>
      </c>
      <c r="H921" s="13" t="str">
        <f>Github!H$468</f>
        <v>Algorithms</v>
      </c>
      <c r="I921" s="16" t="str">
        <f>SUBSTITUTE(Github!L$468, ";", ", ")</f>
        <v>String, Dynamic Programming, </v>
      </c>
      <c r="J921" s="13" t="str">
        <f>Github!E$468</f>
        <v>Medium</v>
      </c>
      <c r="K921" s="13" t="str">
        <f>IF(TRIM(Github!D$468)="TRUE","FALSE","TRUE")</f>
        <v>TRUE</v>
      </c>
      <c r="L921" s="13" t="b">
        <f>Github!M$468</f>
        <v>0</v>
      </c>
      <c r="M921" s="13" t="b">
        <f>Github!N$468</f>
        <v>0</v>
      </c>
      <c r="N921" s="13">
        <f>Github!P$468</f>
        <v>38503</v>
      </c>
      <c r="O921" s="13">
        <f>Github!Q$468</f>
        <v>100305</v>
      </c>
    </row>
    <row r="922">
      <c r="A922" s="13">
        <f>Github!J$1105</f>
        <v>1104</v>
      </c>
      <c r="B922" s="14" t="str">
        <f>HYPERLINK(CONCAT("http://leetcode.com/problems/",Github!C$1105), Github!B$1105)</f>
        <v>Path In Zigzag Labelled Binary Tree</v>
      </c>
      <c r="C922" s="13">
        <f>Github!F$1105</f>
        <v>1236</v>
      </c>
      <c r="D922" s="13">
        <f>Github!G$1105</f>
        <v>290</v>
      </c>
      <c r="E922" s="13">
        <f>Github!F$1105+Github!G$1105</f>
        <v>1526</v>
      </c>
      <c r="F922" s="15">
        <f t="shared" si="1"/>
        <v>4.26</v>
      </c>
      <c r="G922" s="13" t="str">
        <f>ROUND(Github!O$1105, 2)&amp;"%"</f>
        <v>75.02%</v>
      </c>
      <c r="H922" s="13" t="str">
        <f>Github!H$1105</f>
        <v>Algorithms</v>
      </c>
      <c r="I922" s="16" t="str">
        <f>SUBSTITUTE(Github!L$1105, ";", ", ")</f>
        <v>Math, Tree, Binary Tree, </v>
      </c>
      <c r="J922" s="13" t="str">
        <f>Github!E$1105</f>
        <v>Medium</v>
      </c>
      <c r="K922" s="13" t="str">
        <f>IF(TRIM(Github!D$1105)="TRUE","FALSE","TRUE")</f>
        <v>TRUE</v>
      </c>
      <c r="L922" s="13" t="b">
        <f>Github!M$1105</f>
        <v>0</v>
      </c>
      <c r="M922" s="13" t="b">
        <f>Github!N$1105</f>
        <v>0</v>
      </c>
      <c r="N922" s="13">
        <f>Github!P$1105</f>
        <v>37815</v>
      </c>
      <c r="O922" s="13">
        <f>Github!Q$1105</f>
        <v>50408</v>
      </c>
    </row>
    <row r="923">
      <c r="A923" s="13">
        <f>Github!J$1615</f>
        <v>1614</v>
      </c>
      <c r="B923" s="14" t="str">
        <f>HYPERLINK(CONCAT("http://leetcode.com/problems/",Github!C$1615), Github!B$1615)</f>
        <v>Maximum Nesting Depth of the Parentheses</v>
      </c>
      <c r="C923" s="13">
        <f>Github!F$1615</f>
        <v>1241</v>
      </c>
      <c r="D923" s="13">
        <f>Github!G$1615</f>
        <v>218</v>
      </c>
      <c r="E923" s="13">
        <f>Github!F$1615+Github!G$1615</f>
        <v>1459</v>
      </c>
      <c r="F923" s="15">
        <f t="shared" si="1"/>
        <v>5.69</v>
      </c>
      <c r="G923" s="13" t="str">
        <f>ROUND(Github!O$1615, 2)&amp;"%"</f>
        <v>82.52%</v>
      </c>
      <c r="H923" s="13" t="str">
        <f>Github!H$1615</f>
        <v>Algorithms</v>
      </c>
      <c r="I923" s="16" t="str">
        <f>SUBSTITUTE(Github!L$1615, ";", ", ")</f>
        <v>String, Stack, </v>
      </c>
      <c r="J923" s="13" t="str">
        <f>Github!E$1615</f>
        <v>Easy</v>
      </c>
      <c r="K923" s="13" t="str">
        <f>IF(TRIM(Github!D$1615)="TRUE","FALSE","TRUE")</f>
        <v>TRUE</v>
      </c>
      <c r="L923" s="13" t="b">
        <f>Github!M$1615</f>
        <v>0</v>
      </c>
      <c r="M923" s="13" t="b">
        <f>Github!N$1615</f>
        <v>0</v>
      </c>
      <c r="N923" s="13">
        <f>Github!P$1615</f>
        <v>115633</v>
      </c>
      <c r="O923" s="13">
        <f>Github!Q$1615</f>
        <v>140121</v>
      </c>
    </row>
    <row r="924">
      <c r="A924" s="13">
        <f>Github!J$546</f>
        <v>545</v>
      </c>
      <c r="B924" s="14" t="str">
        <f>HYPERLINK(CONCAT("http://leetcode.com/problems/",Github!C$546), Github!B$546)</f>
        <v>Boundary of Binary Tree</v>
      </c>
      <c r="C924" s="13">
        <f>Github!F$546</f>
        <v>1227</v>
      </c>
      <c r="D924" s="13">
        <f>Github!G$546</f>
        <v>1964</v>
      </c>
      <c r="E924" s="13">
        <f>Github!F$546+Github!G$546</f>
        <v>3191</v>
      </c>
      <c r="F924" s="15">
        <f t="shared" si="1"/>
        <v>0.62</v>
      </c>
      <c r="G924" s="13" t="str">
        <f>ROUND(Github!O$546, 2)&amp;"%"</f>
        <v>44.38%</v>
      </c>
      <c r="H924" s="13" t="str">
        <f>Github!H$546</f>
        <v>Algorithms</v>
      </c>
      <c r="I924" s="16" t="str">
        <f>SUBSTITUTE(Github!L$546, ";", ", ")</f>
        <v>Tree, Depth-First Search, Binary Tree, </v>
      </c>
      <c r="J924" s="13" t="str">
        <f>Github!E$546</f>
        <v>Medium</v>
      </c>
      <c r="K924" s="13" t="str">
        <f>IF(TRIM(Github!D$546)="TRUE","FALSE","TRUE")</f>
        <v>FALSE</v>
      </c>
      <c r="L924" s="13" t="b">
        <f>Github!M$546</f>
        <v>1</v>
      </c>
      <c r="M924" s="13" t="b">
        <f>Github!N$546</f>
        <v>0</v>
      </c>
      <c r="N924" s="13">
        <f>Github!P$546</f>
        <v>117277</v>
      </c>
      <c r="O924" s="13">
        <f>Github!Q$546</f>
        <v>264272</v>
      </c>
    </row>
    <row r="925">
      <c r="A925" s="13">
        <f>Github!J$529</f>
        <v>528</v>
      </c>
      <c r="B925" s="14" t="str">
        <f>HYPERLINK(CONCAT("http://leetcode.com/problems/",Github!C$529), Github!B$529)</f>
        <v>Random Pick with Weight</v>
      </c>
      <c r="C925" s="13">
        <f>Github!F$529</f>
        <v>1236</v>
      </c>
      <c r="D925" s="13">
        <f>Github!G$529</f>
        <v>536</v>
      </c>
      <c r="E925" s="13">
        <f>Github!F$529+Github!G$529</f>
        <v>1772</v>
      </c>
      <c r="F925" s="15">
        <f t="shared" si="1"/>
        <v>2.31</v>
      </c>
      <c r="G925" s="13" t="str">
        <f>ROUND(Github!O$529, 2)&amp;"%"</f>
        <v>46.09%</v>
      </c>
      <c r="H925" s="13" t="str">
        <f>Github!H$529</f>
        <v>Algorithms</v>
      </c>
      <c r="I925" s="16" t="str">
        <f>SUBSTITUTE(Github!L$529, ";", ", ")</f>
        <v>Math, Binary Search, Prefix Sum, Randomized, </v>
      </c>
      <c r="J925" s="13" t="str">
        <f>Github!E$529</f>
        <v>Medium</v>
      </c>
      <c r="K925" s="13" t="str">
        <f>IF(TRIM(Github!D$529)="TRUE","FALSE","TRUE")</f>
        <v>TRUE</v>
      </c>
      <c r="L925" s="13" t="b">
        <f>Github!M$529</f>
        <v>1</v>
      </c>
      <c r="M925" s="13" t="b">
        <f>Github!N$529</f>
        <v>0</v>
      </c>
      <c r="N925" s="13">
        <f>Github!P$529</f>
        <v>348632</v>
      </c>
      <c r="O925" s="13">
        <f>Github!Q$529</f>
        <v>756485</v>
      </c>
    </row>
    <row r="926">
      <c r="A926" s="13">
        <f>Github!J$1161</f>
        <v>1160</v>
      </c>
      <c r="B926" s="14" t="str">
        <f>HYPERLINK(CONCAT("http://leetcode.com/problems/",Github!C$1161), Github!B$1161)</f>
        <v>Find Words That Can Be Formed by Characters</v>
      </c>
      <c r="C926" s="13">
        <f>Github!F$1161</f>
        <v>1224</v>
      </c>
      <c r="D926" s="13">
        <f>Github!G$1161</f>
        <v>140</v>
      </c>
      <c r="E926" s="13">
        <f>Github!F$1161+Github!G$1161</f>
        <v>1364</v>
      </c>
      <c r="F926" s="15">
        <f t="shared" si="1"/>
        <v>8.74</v>
      </c>
      <c r="G926" s="13" t="str">
        <f>ROUND(Github!O$1161, 2)&amp;"%"</f>
        <v>67.69%</v>
      </c>
      <c r="H926" s="13" t="str">
        <f>Github!H$1161</f>
        <v>Algorithms</v>
      </c>
      <c r="I926" s="16" t="str">
        <f>SUBSTITUTE(Github!L$1161, ";", ", ")</f>
        <v>Array, Hash Table, String, </v>
      </c>
      <c r="J926" s="13" t="str">
        <f>Github!E$1161</f>
        <v>Easy</v>
      </c>
      <c r="K926" s="13" t="str">
        <f>IF(TRIM(Github!D$1161)="TRUE","FALSE","TRUE")</f>
        <v>TRUE</v>
      </c>
      <c r="L926" s="13" t="b">
        <f>Github!M$1161</f>
        <v>0</v>
      </c>
      <c r="M926" s="13" t="b">
        <f>Github!N$1161</f>
        <v>0</v>
      </c>
      <c r="N926" s="13">
        <f>Github!P$1161</f>
        <v>137708</v>
      </c>
      <c r="O926" s="13">
        <f>Github!Q$1161</f>
        <v>203450</v>
      </c>
    </row>
    <row r="927">
      <c r="A927" s="13">
        <f>Github!J$944</f>
        <v>943</v>
      </c>
      <c r="B927" s="14" t="str">
        <f>HYPERLINK(CONCAT("http://leetcode.com/problems/",Github!C$944), Github!B$944)</f>
        <v>Find the Shortest Superstring</v>
      </c>
      <c r="C927" s="13">
        <f>Github!F$944</f>
        <v>1213</v>
      </c>
      <c r="D927" s="13">
        <f>Github!G$944</f>
        <v>135</v>
      </c>
      <c r="E927" s="13">
        <f>Github!F$944+Github!G$944</f>
        <v>1348</v>
      </c>
      <c r="F927" s="15">
        <f t="shared" si="1"/>
        <v>8.99</v>
      </c>
      <c r="G927" s="13" t="str">
        <f>ROUND(Github!O$944, 2)&amp;"%"</f>
        <v>44.69%</v>
      </c>
      <c r="H927" s="13" t="str">
        <f>Github!H$944</f>
        <v>Algorithms</v>
      </c>
      <c r="I927" s="16" t="str">
        <f>SUBSTITUTE(Github!L$944, ";", ", ")</f>
        <v>Array, String, Dynamic Programming, Bit Manipulation, Bitmask, </v>
      </c>
      <c r="J927" s="13" t="str">
        <f>Github!E$944</f>
        <v>Hard</v>
      </c>
      <c r="K927" s="13" t="str">
        <f>IF(TRIM(Github!D$944)="TRUE","FALSE","TRUE")</f>
        <v>TRUE</v>
      </c>
      <c r="L927" s="13" t="b">
        <f>Github!M$944</f>
        <v>1</v>
      </c>
      <c r="M927" s="13" t="b">
        <f>Github!N$944</f>
        <v>0</v>
      </c>
      <c r="N927" s="13">
        <f>Github!P$944</f>
        <v>25323</v>
      </c>
      <c r="O927" s="13">
        <f>Github!Q$944</f>
        <v>56670</v>
      </c>
    </row>
    <row r="928">
      <c r="A928" s="13">
        <f>Github!J$639</f>
        <v>638</v>
      </c>
      <c r="B928" s="14" t="str">
        <f>HYPERLINK(CONCAT("http://leetcode.com/problems/",Github!C$639), Github!B$639)</f>
        <v>Shopping Offers</v>
      </c>
      <c r="C928" s="13">
        <f>Github!F$639</f>
        <v>1215</v>
      </c>
      <c r="D928" s="13">
        <f>Github!G$639</f>
        <v>691</v>
      </c>
      <c r="E928" s="13">
        <f>Github!F$639+Github!G$639</f>
        <v>1906</v>
      </c>
      <c r="F928" s="15">
        <f t="shared" si="1"/>
        <v>1.76</v>
      </c>
      <c r="G928" s="13" t="str">
        <f>ROUND(Github!O$639, 2)&amp;"%"</f>
        <v>53.87%</v>
      </c>
      <c r="H928" s="13" t="str">
        <f>Github!H$639</f>
        <v>Algorithms</v>
      </c>
      <c r="I928" s="16" t="str">
        <f>SUBSTITUTE(Github!L$639, ";", ", ")</f>
        <v>Array, Dynamic Programming, Backtracking, Bit Manipulation, Memoization, Bitmask, </v>
      </c>
      <c r="J928" s="13" t="str">
        <f>Github!E$639</f>
        <v>Medium</v>
      </c>
      <c r="K928" s="13" t="str">
        <f>IF(TRIM(Github!D$639)="TRUE","FALSE","TRUE")</f>
        <v>TRUE</v>
      </c>
      <c r="L928" s="13" t="b">
        <f>Github!M$639</f>
        <v>1</v>
      </c>
      <c r="M928" s="13" t="b">
        <f>Github!N$639</f>
        <v>0</v>
      </c>
      <c r="N928" s="13">
        <f>Github!P$639</f>
        <v>50899</v>
      </c>
      <c r="O928" s="13">
        <f>Github!Q$639</f>
        <v>94477</v>
      </c>
    </row>
    <row r="929">
      <c r="A929" s="13">
        <f>Github!J$1964</f>
        <v>1963</v>
      </c>
      <c r="B929" s="14" t="str">
        <f>HYPERLINK(CONCAT("http://leetcode.com/problems/",Github!C$1964), Github!B$1964)</f>
        <v>Minimum Number of Swaps to Make the String Balanced</v>
      </c>
      <c r="C929" s="13">
        <f>Github!F$1964</f>
        <v>1244</v>
      </c>
      <c r="D929" s="13">
        <f>Github!G$1964</f>
        <v>42</v>
      </c>
      <c r="E929" s="13">
        <f>Github!F$1964+Github!G$1964</f>
        <v>1286</v>
      </c>
      <c r="F929" s="15">
        <f t="shared" si="1"/>
        <v>29.62</v>
      </c>
      <c r="G929" s="13" t="str">
        <f>ROUND(Github!O$1964, 2)&amp;"%"</f>
        <v>68.71%</v>
      </c>
      <c r="H929" s="13" t="str">
        <f>Github!H$1964</f>
        <v>Algorithms</v>
      </c>
      <c r="I929" s="16" t="str">
        <f>SUBSTITUTE(Github!L$1964, ";", ", ")</f>
        <v>Two Pointers, String, Stack, Greedy, </v>
      </c>
      <c r="J929" s="13" t="str">
        <f>Github!E$1964</f>
        <v>Medium</v>
      </c>
      <c r="K929" s="13" t="str">
        <f>IF(TRIM(Github!D$1964)="TRUE","FALSE","TRUE")</f>
        <v>TRUE</v>
      </c>
      <c r="L929" s="13" t="b">
        <f>Github!M$1964</f>
        <v>0</v>
      </c>
      <c r="M929" s="13" t="b">
        <f>Github!N$1964</f>
        <v>0</v>
      </c>
      <c r="N929" s="13">
        <f>Github!P$1964</f>
        <v>40399</v>
      </c>
      <c r="O929" s="13">
        <f>Github!Q$1964</f>
        <v>58800</v>
      </c>
    </row>
    <row r="930">
      <c r="A930" s="13">
        <f>Github!J$1006</f>
        <v>1005</v>
      </c>
      <c r="B930" s="14" t="str">
        <f>HYPERLINK(CONCAT("http://leetcode.com/problems/",Github!C$1006), Github!B$1006)</f>
        <v>Maximize Sum Of Array After K Negations</v>
      </c>
      <c r="C930" s="13">
        <f>Github!F$1006</f>
        <v>1214</v>
      </c>
      <c r="D930" s="13">
        <f>Github!G$1006</f>
        <v>93</v>
      </c>
      <c r="E930" s="13">
        <f>Github!F$1006+Github!G$1006</f>
        <v>1307</v>
      </c>
      <c r="F930" s="15">
        <f t="shared" si="1"/>
        <v>13.05</v>
      </c>
      <c r="G930" s="13" t="str">
        <f>ROUND(Github!O$1006, 2)&amp;"%"</f>
        <v>50.96%</v>
      </c>
      <c r="H930" s="13" t="str">
        <f>Github!H$1006</f>
        <v>Algorithms</v>
      </c>
      <c r="I930" s="16" t="str">
        <f>SUBSTITUTE(Github!L$1006, ";", ", ")</f>
        <v>Array, Greedy, Sorting, </v>
      </c>
      <c r="J930" s="13" t="str">
        <f>Github!E$1006</f>
        <v>Easy</v>
      </c>
      <c r="K930" s="13" t="str">
        <f>IF(TRIM(Github!D$1006)="TRUE","FALSE","TRUE")</f>
        <v>TRUE</v>
      </c>
      <c r="L930" s="13" t="b">
        <f>Github!M$1006</f>
        <v>0</v>
      </c>
      <c r="M930" s="13" t="b">
        <f>Github!N$1006</f>
        <v>0</v>
      </c>
      <c r="N930" s="13">
        <f>Github!P$1006</f>
        <v>66130</v>
      </c>
      <c r="O930" s="13">
        <f>Github!Q$1006</f>
        <v>129776</v>
      </c>
    </row>
    <row r="931">
      <c r="A931" s="13">
        <f>Github!J$836</f>
        <v>835</v>
      </c>
      <c r="B931" s="14" t="str">
        <f>HYPERLINK(CONCAT("http://leetcode.com/problems/",Github!C$836), Github!B$836)</f>
        <v>Image Overlap</v>
      </c>
      <c r="C931" s="13">
        <f>Github!F$836</f>
        <v>1198</v>
      </c>
      <c r="D931" s="13">
        <f>Github!G$836</f>
        <v>434</v>
      </c>
      <c r="E931" s="13">
        <f>Github!F$836+Github!G$836</f>
        <v>1632</v>
      </c>
      <c r="F931" s="15">
        <f t="shared" si="1"/>
        <v>2.76</v>
      </c>
      <c r="G931" s="13" t="str">
        <f>ROUND(Github!O$836, 2)&amp;"%"</f>
        <v>63.98%</v>
      </c>
      <c r="H931" s="13" t="str">
        <f>Github!H$836</f>
        <v>Algorithms</v>
      </c>
      <c r="I931" s="16" t="str">
        <f>SUBSTITUTE(Github!L$836, ";", ", ")</f>
        <v>Array, Matrix, </v>
      </c>
      <c r="J931" s="13" t="str">
        <f>Github!E$836</f>
        <v>Medium</v>
      </c>
      <c r="K931" s="13" t="str">
        <f>IF(TRIM(Github!D$836)="TRUE","FALSE","TRUE")</f>
        <v>TRUE</v>
      </c>
      <c r="L931" s="13" t="b">
        <f>Github!M$836</f>
        <v>1</v>
      </c>
      <c r="M931" s="13" t="b">
        <f>Github!N$836</f>
        <v>0</v>
      </c>
      <c r="N931" s="13">
        <f>Github!P$836</f>
        <v>86864</v>
      </c>
      <c r="O931" s="13">
        <f>Github!Q$836</f>
        <v>135770</v>
      </c>
    </row>
    <row r="932">
      <c r="A932" s="13">
        <f>Github!J$273</f>
        <v>272</v>
      </c>
      <c r="B932" s="14" t="str">
        <f>HYPERLINK(CONCAT("http://leetcode.com/problems/",Github!C$273), Github!B$273)</f>
        <v>Closest Binary Search Tree Value II</v>
      </c>
      <c r="C932" s="13">
        <f>Github!F$273</f>
        <v>1193</v>
      </c>
      <c r="D932" s="13">
        <f>Github!G$273</f>
        <v>38</v>
      </c>
      <c r="E932" s="13">
        <f>Github!F$273+Github!G$273</f>
        <v>1231</v>
      </c>
      <c r="F932" s="15">
        <f t="shared" si="1"/>
        <v>31.39</v>
      </c>
      <c r="G932" s="13" t="str">
        <f>ROUND(Github!O$273, 2)&amp;"%"</f>
        <v>58.33%</v>
      </c>
      <c r="H932" s="13" t="str">
        <f>Github!H$273</f>
        <v>Algorithms</v>
      </c>
      <c r="I932" s="16" t="str">
        <f>SUBSTITUTE(Github!L$273, ";", ", ")</f>
        <v>Two Pointers, Stack, Tree, Depth-First Search, Binary Search Tree, Heap (Priority Queue), Binary Tree, </v>
      </c>
      <c r="J932" s="13" t="str">
        <f>Github!E$273</f>
        <v>Hard</v>
      </c>
      <c r="K932" s="13" t="str">
        <f>IF(TRIM(Github!D$273)="TRUE","FALSE","TRUE")</f>
        <v>FALSE</v>
      </c>
      <c r="L932" s="13" t="b">
        <f>Github!M$273</f>
        <v>1</v>
      </c>
      <c r="M932" s="13" t="b">
        <f>Github!N$273</f>
        <v>0</v>
      </c>
      <c r="N932" s="13">
        <f>Github!P$273</f>
        <v>109024</v>
      </c>
      <c r="O932" s="13">
        <f>Github!Q$273</f>
        <v>186913</v>
      </c>
    </row>
    <row r="933">
      <c r="A933" s="13">
        <f>Github!J$716</f>
        <v>715</v>
      </c>
      <c r="B933" s="14" t="str">
        <f>HYPERLINK(CONCAT("http://leetcode.com/problems/",Github!C$716), Github!B$716)</f>
        <v>Range Module</v>
      </c>
      <c r="C933" s="13">
        <f>Github!F$716</f>
        <v>1203</v>
      </c>
      <c r="D933" s="13">
        <f>Github!G$716</f>
        <v>93</v>
      </c>
      <c r="E933" s="13">
        <f>Github!F$716+Github!G$716</f>
        <v>1296</v>
      </c>
      <c r="F933" s="15">
        <f t="shared" si="1"/>
        <v>12.94</v>
      </c>
      <c r="G933" s="13" t="str">
        <f>ROUND(Github!O$716, 2)&amp;"%"</f>
        <v>44.63%</v>
      </c>
      <c r="H933" s="13" t="str">
        <f>Github!H$716</f>
        <v>Algorithms</v>
      </c>
      <c r="I933" s="16" t="str">
        <f>SUBSTITUTE(Github!L$716, ";", ", ")</f>
        <v>Design, Segment Tree, Ordered Set, </v>
      </c>
      <c r="J933" s="13" t="str">
        <f>Github!E$716</f>
        <v>Hard</v>
      </c>
      <c r="K933" s="13" t="str">
        <f>IF(TRIM(Github!D$716)="TRUE","FALSE","TRUE")</f>
        <v>TRUE</v>
      </c>
      <c r="L933" s="13" t="b">
        <f>Github!M$716</f>
        <v>0</v>
      </c>
      <c r="M933" s="13" t="b">
        <f>Github!N$716</f>
        <v>0</v>
      </c>
      <c r="N933" s="13">
        <f>Github!P$716</f>
        <v>55280</v>
      </c>
      <c r="O933" s="13">
        <f>Github!Q$716</f>
        <v>123872</v>
      </c>
    </row>
    <row r="934">
      <c r="A934" s="13">
        <f>Github!J$1872</f>
        <v>1871</v>
      </c>
      <c r="B934" s="14" t="str">
        <f>HYPERLINK(CONCAT("http://leetcode.com/problems/",Github!C$1872), Github!B$1872)</f>
        <v>Jump Game VII</v>
      </c>
      <c r="C934" s="13">
        <f>Github!F$1872</f>
        <v>1229</v>
      </c>
      <c r="D934" s="13">
        <f>Github!G$1872</f>
        <v>70</v>
      </c>
      <c r="E934" s="13">
        <f>Github!F$1872+Github!G$1872</f>
        <v>1299</v>
      </c>
      <c r="F934" s="15">
        <f t="shared" si="1"/>
        <v>17.56</v>
      </c>
      <c r="G934" s="13" t="str">
        <f>ROUND(Github!O$1872, 2)&amp;"%"</f>
        <v>25.12%</v>
      </c>
      <c r="H934" s="13" t="str">
        <f>Github!H$1872</f>
        <v>Algorithms</v>
      </c>
      <c r="I934" s="16" t="str">
        <f>SUBSTITUTE(Github!L$1872, ";", ", ")</f>
        <v>Two Pointers, String, Prefix Sum, </v>
      </c>
      <c r="J934" s="13" t="str">
        <f>Github!E$1872</f>
        <v>Medium</v>
      </c>
      <c r="K934" s="13" t="str">
        <f>IF(TRIM(Github!D$1872)="TRUE","FALSE","TRUE")</f>
        <v>TRUE</v>
      </c>
      <c r="L934" s="13" t="b">
        <f>Github!M$1872</f>
        <v>0</v>
      </c>
      <c r="M934" s="13" t="b">
        <f>Github!N$1872</f>
        <v>0</v>
      </c>
      <c r="N934" s="13">
        <f>Github!P$1872</f>
        <v>31172</v>
      </c>
      <c r="O934" s="13">
        <f>Github!Q$1872</f>
        <v>124089</v>
      </c>
    </row>
    <row r="935">
      <c r="A935" s="13">
        <f>Github!J$677</f>
        <v>676</v>
      </c>
      <c r="B935" s="14" t="str">
        <f>HYPERLINK(CONCAT("http://leetcode.com/problems/",Github!C$677), Github!B$677)</f>
        <v>Implement Magic Dictionary</v>
      </c>
      <c r="C935" s="13">
        <f>Github!F$677</f>
        <v>1198</v>
      </c>
      <c r="D935" s="13">
        <f>Github!G$677</f>
        <v>192</v>
      </c>
      <c r="E935" s="13">
        <f>Github!F$677+Github!G$677</f>
        <v>1390</v>
      </c>
      <c r="F935" s="15">
        <f t="shared" si="1"/>
        <v>6.24</v>
      </c>
      <c r="G935" s="13" t="str">
        <f>ROUND(Github!O$677, 2)&amp;"%"</f>
        <v>56.91%</v>
      </c>
      <c r="H935" s="13" t="str">
        <f>Github!H$677</f>
        <v>Algorithms</v>
      </c>
      <c r="I935" s="16" t="str">
        <f>SUBSTITUTE(Github!L$677, ";", ", ")</f>
        <v>Hash Table, String, Design, Trie, </v>
      </c>
      <c r="J935" s="13" t="str">
        <f>Github!E$677</f>
        <v>Medium</v>
      </c>
      <c r="K935" s="13" t="str">
        <f>IF(TRIM(Github!D$677)="TRUE","FALSE","TRUE")</f>
        <v>TRUE</v>
      </c>
      <c r="L935" s="13" t="b">
        <f>Github!M$677</f>
        <v>1</v>
      </c>
      <c r="M935" s="13" t="b">
        <f>Github!N$677</f>
        <v>0</v>
      </c>
      <c r="N935" s="13">
        <f>Github!P$677</f>
        <v>69665</v>
      </c>
      <c r="O935" s="13">
        <f>Github!Q$677</f>
        <v>122422</v>
      </c>
    </row>
    <row r="936">
      <c r="A936" s="13">
        <f>Github!J$1609</f>
        <v>1608</v>
      </c>
      <c r="B936" s="14" t="str">
        <f>HYPERLINK(CONCAT("http://leetcode.com/problems/",Github!C$1609), Github!B$1609)</f>
        <v>Special Array With X Elements Greater Than or Equal X</v>
      </c>
      <c r="C936" s="13">
        <f>Github!F$1609</f>
        <v>1208</v>
      </c>
      <c r="D936" s="13">
        <f>Github!G$1609</f>
        <v>190</v>
      </c>
      <c r="E936" s="13">
        <f>Github!F$1609+Github!G$1609</f>
        <v>1398</v>
      </c>
      <c r="F936" s="15">
        <f t="shared" si="1"/>
        <v>6.36</v>
      </c>
      <c r="G936" s="13" t="str">
        <f>ROUND(Github!O$1609, 2)&amp;"%"</f>
        <v>60.21%</v>
      </c>
      <c r="H936" s="13" t="str">
        <f>Github!H$1609</f>
        <v>Algorithms</v>
      </c>
      <c r="I936" s="16" t="str">
        <f>SUBSTITUTE(Github!L$1609, ";", ", ")</f>
        <v>Array, Binary Search, Sorting, </v>
      </c>
      <c r="J936" s="13" t="str">
        <f>Github!E$1609</f>
        <v>Easy</v>
      </c>
      <c r="K936" s="13" t="str">
        <f>IF(TRIM(Github!D$1609)="TRUE","FALSE","TRUE")</f>
        <v>TRUE</v>
      </c>
      <c r="L936" s="13" t="b">
        <f>Github!M$1609</f>
        <v>0</v>
      </c>
      <c r="M936" s="13" t="b">
        <f>Github!N$1609</f>
        <v>0</v>
      </c>
      <c r="N936" s="13">
        <f>Github!P$1609</f>
        <v>58657</v>
      </c>
      <c r="O936" s="13">
        <f>Github!Q$1609</f>
        <v>97424</v>
      </c>
    </row>
    <row r="937">
      <c r="A937" s="13">
        <f>Github!J$827</f>
        <v>826</v>
      </c>
      <c r="B937" s="14" t="str">
        <f>HYPERLINK(CONCAT("http://leetcode.com/problems/",Github!C$827), Github!B$827)</f>
        <v>Most Profit Assigning Work</v>
      </c>
      <c r="C937" s="13">
        <f>Github!F$827</f>
        <v>1204</v>
      </c>
      <c r="D937" s="13">
        <f>Github!G$827</f>
        <v>118</v>
      </c>
      <c r="E937" s="13">
        <f>Github!F$827+Github!G$827</f>
        <v>1322</v>
      </c>
      <c r="F937" s="15">
        <f t="shared" si="1"/>
        <v>10.2</v>
      </c>
      <c r="G937" s="13" t="str">
        <f>ROUND(Github!O$827, 2)&amp;"%"</f>
        <v>44.68%</v>
      </c>
      <c r="H937" s="13" t="str">
        <f>Github!H$827</f>
        <v>Algorithms</v>
      </c>
      <c r="I937" s="16" t="str">
        <f>SUBSTITUTE(Github!L$827, ";", ", ")</f>
        <v>Array, Two Pointers, Binary Search, Greedy, Sorting, </v>
      </c>
      <c r="J937" s="13" t="str">
        <f>Github!E$827</f>
        <v>Medium</v>
      </c>
      <c r="K937" s="13" t="str">
        <f>IF(TRIM(Github!D$827)="TRUE","FALSE","TRUE")</f>
        <v>TRUE</v>
      </c>
      <c r="L937" s="13" t="b">
        <f>Github!M$827</f>
        <v>1</v>
      </c>
      <c r="M937" s="13" t="b">
        <f>Github!N$827</f>
        <v>0</v>
      </c>
      <c r="N937" s="13">
        <f>Github!P$827</f>
        <v>50804</v>
      </c>
      <c r="O937" s="13">
        <f>Github!Q$827</f>
        <v>113696</v>
      </c>
    </row>
    <row r="938">
      <c r="A938" s="13">
        <f>Github!J$1945</f>
        <v>1944</v>
      </c>
      <c r="B938" s="14" t="str">
        <f>HYPERLINK(CONCAT("http://leetcode.com/problems/",Github!C$1945), Github!B$1945)</f>
        <v>Number of Visible People in a Queue</v>
      </c>
      <c r="C938" s="13">
        <f>Github!F$1945</f>
        <v>1206</v>
      </c>
      <c r="D938" s="13">
        <f>Github!G$1945</f>
        <v>32</v>
      </c>
      <c r="E938" s="13">
        <f>Github!F$1945+Github!G$1945</f>
        <v>1238</v>
      </c>
      <c r="F938" s="15">
        <f t="shared" si="1"/>
        <v>37.69</v>
      </c>
      <c r="G938" s="13" t="str">
        <f>ROUND(Github!O$1945, 2)&amp;"%"</f>
        <v>69.56%</v>
      </c>
      <c r="H938" s="13" t="str">
        <f>Github!H$1945</f>
        <v>Algorithms</v>
      </c>
      <c r="I938" s="16" t="str">
        <f>SUBSTITUTE(Github!L$1945, ";", ", ")</f>
        <v>Array, Stack, Monotonic Stack, </v>
      </c>
      <c r="J938" s="13" t="str">
        <f>Github!E$1945</f>
        <v>Hard</v>
      </c>
      <c r="K938" s="13" t="str">
        <f>IF(TRIM(Github!D$1945)="TRUE","FALSE","TRUE")</f>
        <v>TRUE</v>
      </c>
      <c r="L938" s="13" t="b">
        <f>Github!M$1945</f>
        <v>0</v>
      </c>
      <c r="M938" s="13" t="b">
        <f>Github!N$1945</f>
        <v>0</v>
      </c>
      <c r="N938" s="13">
        <f>Github!P$1945</f>
        <v>30324</v>
      </c>
      <c r="O938" s="13">
        <f>Github!Q$1945</f>
        <v>43595</v>
      </c>
    </row>
    <row r="939">
      <c r="A939" s="13">
        <f>Github!J$1437</f>
        <v>1436</v>
      </c>
      <c r="B939" s="14" t="str">
        <f>HYPERLINK(CONCAT("http://leetcode.com/problems/",Github!C$1437), Github!B$1437)</f>
        <v>Destination City</v>
      </c>
      <c r="C939" s="13">
        <f>Github!F$1437</f>
        <v>1196</v>
      </c>
      <c r="D939" s="13">
        <f>Github!G$1437</f>
        <v>62</v>
      </c>
      <c r="E939" s="13">
        <f>Github!F$1437+Github!G$1437</f>
        <v>1258</v>
      </c>
      <c r="F939" s="15">
        <f t="shared" si="1"/>
        <v>19.29</v>
      </c>
      <c r="G939" s="13" t="str">
        <f>ROUND(Github!O$1437, 2)&amp;"%"</f>
        <v>77.6%</v>
      </c>
      <c r="H939" s="13" t="str">
        <f>Github!H$1437</f>
        <v>Algorithms</v>
      </c>
      <c r="I939" s="16" t="str">
        <f>SUBSTITUTE(Github!L$1437, ";", ", ")</f>
        <v>Hash Table, String, </v>
      </c>
      <c r="J939" s="13" t="str">
        <f>Github!E$1437</f>
        <v>Easy</v>
      </c>
      <c r="K939" s="13" t="str">
        <f>IF(TRIM(Github!D$1437)="TRUE","FALSE","TRUE")</f>
        <v>TRUE</v>
      </c>
      <c r="L939" s="13" t="b">
        <f>Github!M$1437</f>
        <v>0</v>
      </c>
      <c r="M939" s="13" t="b">
        <f>Github!N$1437</f>
        <v>0</v>
      </c>
      <c r="N939" s="13">
        <f>Github!P$1437</f>
        <v>116799</v>
      </c>
      <c r="O939" s="13">
        <f>Github!Q$1437</f>
        <v>150521</v>
      </c>
    </row>
    <row r="940">
      <c r="A940" s="13">
        <f>Github!J$830</f>
        <v>829</v>
      </c>
      <c r="B940" s="14" t="str">
        <f>HYPERLINK(CONCAT("http://leetcode.com/problems/",Github!C$830), Github!B$830)</f>
        <v>Consecutive Numbers Sum</v>
      </c>
      <c r="C940" s="13">
        <f>Github!F$830</f>
        <v>1185</v>
      </c>
      <c r="D940" s="13">
        <f>Github!G$830</f>
        <v>1326</v>
      </c>
      <c r="E940" s="13">
        <f>Github!F$830+Github!G$830</f>
        <v>2511</v>
      </c>
      <c r="F940" s="15">
        <f t="shared" si="1"/>
        <v>0.89</v>
      </c>
      <c r="G940" s="13" t="str">
        <f>ROUND(Github!O$830, 2)&amp;"%"</f>
        <v>41.54%</v>
      </c>
      <c r="H940" s="13" t="str">
        <f>Github!H$830</f>
        <v>Algorithms</v>
      </c>
      <c r="I940" s="16" t="str">
        <f>SUBSTITUTE(Github!L$830, ";", ", ")</f>
        <v>Math, Enumeration, </v>
      </c>
      <c r="J940" s="13" t="str">
        <f>Github!E$830</f>
        <v>Hard</v>
      </c>
      <c r="K940" s="13" t="str">
        <f>IF(TRIM(Github!D$830)="TRUE","FALSE","TRUE")</f>
        <v>TRUE</v>
      </c>
      <c r="L940" s="13" t="b">
        <f>Github!M$830</f>
        <v>1</v>
      </c>
      <c r="M940" s="13" t="b">
        <f>Github!N$830</f>
        <v>0</v>
      </c>
      <c r="N940" s="13">
        <f>Github!P$830</f>
        <v>76426</v>
      </c>
      <c r="O940" s="13">
        <f>Github!Q$830</f>
        <v>183966</v>
      </c>
    </row>
    <row r="941">
      <c r="A941" s="13">
        <f>Github!J$1655</f>
        <v>1654</v>
      </c>
      <c r="B941" s="14" t="str">
        <f>HYPERLINK(CONCAT("http://leetcode.com/problems/",Github!C$1655), Github!B$1655)</f>
        <v>Minimum Jumps to Reach Home</v>
      </c>
      <c r="C941" s="13">
        <f>Github!F$1655</f>
        <v>1194</v>
      </c>
      <c r="D941" s="13">
        <f>Github!G$1655</f>
        <v>225</v>
      </c>
      <c r="E941" s="13">
        <f>Github!F$1655+Github!G$1655</f>
        <v>1419</v>
      </c>
      <c r="F941" s="15">
        <f t="shared" si="1"/>
        <v>5.31</v>
      </c>
      <c r="G941" s="13" t="str">
        <f>ROUND(Github!O$1655, 2)&amp;"%"</f>
        <v>28.79%</v>
      </c>
      <c r="H941" s="13" t="str">
        <f>Github!H$1655</f>
        <v>Algorithms</v>
      </c>
      <c r="I941" s="16" t="str">
        <f>SUBSTITUTE(Github!L$1655, ";", ", ")</f>
        <v>Array, Dynamic Programming, Breadth-First Search, </v>
      </c>
      <c r="J941" s="13" t="str">
        <f>Github!E$1655</f>
        <v>Medium</v>
      </c>
      <c r="K941" s="13" t="str">
        <f>IF(TRIM(Github!D$1655)="TRUE","FALSE","TRUE")</f>
        <v>TRUE</v>
      </c>
      <c r="L941" s="13" t="b">
        <f>Github!M$1655</f>
        <v>0</v>
      </c>
      <c r="M941" s="13" t="b">
        <f>Github!N$1655</f>
        <v>0</v>
      </c>
      <c r="N941" s="13">
        <f>Github!P$1655</f>
        <v>32421</v>
      </c>
      <c r="O941" s="13">
        <f>Github!Q$1655</f>
        <v>112600</v>
      </c>
    </row>
    <row r="942">
      <c r="A942" s="13">
        <f>Github!J$1444</f>
        <v>1443</v>
      </c>
      <c r="B942" s="14" t="str">
        <f>HYPERLINK(CONCAT("http://leetcode.com/problems/",Github!C$1444), Github!B$1444)</f>
        <v>Minimum Time to Collect All Apples in a Tree</v>
      </c>
      <c r="C942" s="13">
        <f>Github!F$1444</f>
        <v>1182</v>
      </c>
      <c r="D942" s="13">
        <f>Github!G$1444</f>
        <v>94</v>
      </c>
      <c r="E942" s="13">
        <f>Github!F$1444+Github!G$1444</f>
        <v>1276</v>
      </c>
      <c r="F942" s="15">
        <f t="shared" si="1"/>
        <v>12.57</v>
      </c>
      <c r="G942" s="13" t="str">
        <f>ROUND(Github!O$1444, 2)&amp;"%"</f>
        <v>56.08%</v>
      </c>
      <c r="H942" s="13" t="str">
        <f>Github!H$1444</f>
        <v>Algorithms</v>
      </c>
      <c r="I942" s="16" t="str">
        <f>SUBSTITUTE(Github!L$1444, ";", ", ")</f>
        <v>Hash Table, Tree, Depth-First Search, Breadth-First Search, </v>
      </c>
      <c r="J942" s="13" t="str">
        <f>Github!E$1444</f>
        <v>Medium</v>
      </c>
      <c r="K942" s="13" t="str">
        <f>IF(TRIM(Github!D$1444)="TRUE","FALSE","TRUE")</f>
        <v>TRUE</v>
      </c>
      <c r="L942" s="13" t="b">
        <f>Github!M$1444</f>
        <v>1</v>
      </c>
      <c r="M942" s="13" t="b">
        <f>Github!N$1444</f>
        <v>0</v>
      </c>
      <c r="N942" s="13">
        <f>Github!P$1444</f>
        <v>33190</v>
      </c>
      <c r="O942" s="13">
        <f>Github!Q$1444</f>
        <v>59185</v>
      </c>
    </row>
    <row r="943">
      <c r="A943" s="13">
        <f>Github!J$1353</f>
        <v>1352</v>
      </c>
      <c r="B943" s="14" t="str">
        <f>HYPERLINK(CONCAT("http://leetcode.com/problems/",Github!C$1353), Github!B$1353)</f>
        <v>Product of the Last K Numbers</v>
      </c>
      <c r="C943" s="13">
        <f>Github!F$1353</f>
        <v>1184</v>
      </c>
      <c r="D943" s="13">
        <f>Github!G$1353</f>
        <v>58</v>
      </c>
      <c r="E943" s="13">
        <f>Github!F$1353+Github!G$1353</f>
        <v>1242</v>
      </c>
      <c r="F943" s="15">
        <f t="shared" si="1"/>
        <v>20.41</v>
      </c>
      <c r="G943" s="13" t="str">
        <f>ROUND(Github!O$1353, 2)&amp;"%"</f>
        <v>49.92%</v>
      </c>
      <c r="H943" s="13" t="str">
        <f>Github!H$1353</f>
        <v>Algorithms</v>
      </c>
      <c r="I943" s="16" t="str">
        <f>SUBSTITUTE(Github!L$1353, ";", ", ")</f>
        <v>Array, Math, Design, Queue, Data Stream, </v>
      </c>
      <c r="J943" s="13" t="str">
        <f>Github!E$1353</f>
        <v>Medium</v>
      </c>
      <c r="K943" s="13" t="str">
        <f>IF(TRIM(Github!D$1353)="TRUE","FALSE","TRUE")</f>
        <v>TRUE</v>
      </c>
      <c r="L943" s="13" t="b">
        <f>Github!M$1353</f>
        <v>0</v>
      </c>
      <c r="M943" s="13" t="b">
        <f>Github!N$1353</f>
        <v>0</v>
      </c>
      <c r="N943" s="13">
        <f>Github!P$1353</f>
        <v>64358</v>
      </c>
      <c r="O943" s="13">
        <f>Github!Q$1353</f>
        <v>128927</v>
      </c>
    </row>
    <row r="944">
      <c r="A944" s="13">
        <f>Github!J$781</f>
        <v>780</v>
      </c>
      <c r="B944" s="14" t="str">
        <f>HYPERLINK(CONCAT("http://leetcode.com/problems/",Github!C$781), Github!B$781)</f>
        <v>Reaching Points</v>
      </c>
      <c r="C944" s="13">
        <f>Github!F$781</f>
        <v>1188</v>
      </c>
      <c r="D944" s="13">
        <f>Github!G$781</f>
        <v>190</v>
      </c>
      <c r="E944" s="13">
        <f>Github!F$781+Github!G$781</f>
        <v>1378</v>
      </c>
      <c r="F944" s="15">
        <f t="shared" si="1"/>
        <v>6.25</v>
      </c>
      <c r="G944" s="13" t="str">
        <f>ROUND(Github!O$781, 2)&amp;"%"</f>
        <v>32.53%</v>
      </c>
      <c r="H944" s="13" t="str">
        <f>Github!H$781</f>
        <v>Algorithms</v>
      </c>
      <c r="I944" s="16" t="str">
        <f>SUBSTITUTE(Github!L$781, ";", ", ")</f>
        <v>Math, </v>
      </c>
      <c r="J944" s="13" t="str">
        <f>Github!E$781</f>
        <v>Hard</v>
      </c>
      <c r="K944" s="13" t="str">
        <f>IF(TRIM(Github!D$781)="TRUE","FALSE","TRUE")</f>
        <v>TRUE</v>
      </c>
      <c r="L944" s="13" t="b">
        <f>Github!M$781</f>
        <v>1</v>
      </c>
      <c r="M944" s="13" t="b">
        <f>Github!N$781</f>
        <v>0</v>
      </c>
      <c r="N944" s="13">
        <f>Github!P$781</f>
        <v>50955</v>
      </c>
      <c r="O944" s="13">
        <f>Github!Q$781</f>
        <v>156617</v>
      </c>
    </row>
    <row r="945">
      <c r="A945" s="13">
        <f>Github!J$899</f>
        <v>898</v>
      </c>
      <c r="B945" s="14" t="str">
        <f>HYPERLINK(CONCAT("http://leetcode.com/problems/",Github!C$899), Github!B$899)</f>
        <v>Bitwise ORs of Subarrays</v>
      </c>
      <c r="C945" s="13">
        <f>Github!F$899</f>
        <v>1183</v>
      </c>
      <c r="D945" s="13">
        <f>Github!G$899</f>
        <v>192</v>
      </c>
      <c r="E945" s="13">
        <f>Github!F$899+Github!G$899</f>
        <v>1375</v>
      </c>
      <c r="F945" s="15">
        <f t="shared" si="1"/>
        <v>6.16</v>
      </c>
      <c r="G945" s="13" t="str">
        <f>ROUND(Github!O$899, 2)&amp;"%"</f>
        <v>36.98%</v>
      </c>
      <c r="H945" s="13" t="str">
        <f>Github!H$899</f>
        <v>Algorithms</v>
      </c>
      <c r="I945" s="16" t="str">
        <f>SUBSTITUTE(Github!L$899, ";", ", ")</f>
        <v>Array, Dynamic Programming, Bit Manipulation, </v>
      </c>
      <c r="J945" s="13" t="str">
        <f>Github!E$899</f>
        <v>Medium</v>
      </c>
      <c r="K945" s="13" t="str">
        <f>IF(TRIM(Github!D$899)="TRUE","FALSE","TRUE")</f>
        <v>TRUE</v>
      </c>
      <c r="L945" s="13" t="b">
        <f>Github!M$899</f>
        <v>1</v>
      </c>
      <c r="M945" s="13" t="b">
        <f>Github!N$899</f>
        <v>0</v>
      </c>
      <c r="N945" s="13">
        <f>Github!P$899</f>
        <v>29745</v>
      </c>
      <c r="O945" s="13">
        <f>Github!Q$899</f>
        <v>80445</v>
      </c>
    </row>
    <row r="946">
      <c r="A946" s="13">
        <f>Github!J$501</f>
        <v>500</v>
      </c>
      <c r="B946" s="14" t="str">
        <f>HYPERLINK(CONCAT("http://leetcode.com/problems/",Github!C$501), Github!B$501)</f>
        <v>Keyboard Row</v>
      </c>
      <c r="C946" s="13">
        <f>Github!F$501</f>
        <v>1186</v>
      </c>
      <c r="D946" s="13">
        <f>Github!G$501</f>
        <v>1015</v>
      </c>
      <c r="E946" s="13">
        <f>Github!F$501+Github!G$501</f>
        <v>2201</v>
      </c>
      <c r="F946" s="15">
        <f t="shared" si="1"/>
        <v>1.17</v>
      </c>
      <c r="G946" s="13" t="str">
        <f>ROUND(Github!O$501, 2)&amp;"%"</f>
        <v>69.33%</v>
      </c>
      <c r="H946" s="13" t="str">
        <f>Github!H$501</f>
        <v>Algorithms</v>
      </c>
      <c r="I946" s="16" t="str">
        <f>SUBSTITUTE(Github!L$501, ";", ", ")</f>
        <v>Array, Hash Table, String, </v>
      </c>
      <c r="J946" s="13" t="str">
        <f>Github!E$501</f>
        <v>Easy</v>
      </c>
      <c r="K946" s="13" t="str">
        <f>IF(TRIM(Github!D$501)="TRUE","FALSE","TRUE")</f>
        <v>TRUE</v>
      </c>
      <c r="L946" s="13" t="b">
        <f>Github!M$501</f>
        <v>0</v>
      </c>
      <c r="M946" s="13" t="b">
        <f>Github!N$501</f>
        <v>0</v>
      </c>
      <c r="N946" s="13">
        <f>Github!P$501</f>
        <v>173983</v>
      </c>
      <c r="O946" s="13">
        <f>Github!Q$501</f>
        <v>250967</v>
      </c>
    </row>
    <row r="947">
      <c r="A947" s="13">
        <f>Github!J$1670</f>
        <v>1669</v>
      </c>
      <c r="B947" s="14" t="str">
        <f>HYPERLINK(CONCAT("http://leetcode.com/problems/",Github!C$1670), Github!B$1670)</f>
        <v>Merge In Between Linked Lists</v>
      </c>
      <c r="C947" s="13">
        <f>Github!F$1670</f>
        <v>1181</v>
      </c>
      <c r="D947" s="13">
        <f>Github!G$1670</f>
        <v>155</v>
      </c>
      <c r="E947" s="13">
        <f>Github!F$1670+Github!G$1670</f>
        <v>1336</v>
      </c>
      <c r="F947" s="15">
        <f t="shared" si="1"/>
        <v>7.62</v>
      </c>
      <c r="G947" s="13" t="str">
        <f>ROUND(Github!O$1670, 2)&amp;"%"</f>
        <v>74.28%</v>
      </c>
      <c r="H947" s="13" t="str">
        <f>Github!H$1670</f>
        <v>Algorithms</v>
      </c>
      <c r="I947" s="16" t="str">
        <f>SUBSTITUTE(Github!L$1670, ";", ", ")</f>
        <v>Linked List, </v>
      </c>
      <c r="J947" s="13" t="str">
        <f>Github!E$1670</f>
        <v>Medium</v>
      </c>
      <c r="K947" s="13" t="str">
        <f>IF(TRIM(Github!D$1670)="TRUE","FALSE","TRUE")</f>
        <v>TRUE</v>
      </c>
      <c r="L947" s="13" t="b">
        <f>Github!M$1670</f>
        <v>0</v>
      </c>
      <c r="M947" s="13" t="b">
        <f>Github!N$1670</f>
        <v>0</v>
      </c>
      <c r="N947" s="13">
        <f>Github!P$1670</f>
        <v>64859</v>
      </c>
      <c r="O947" s="13">
        <f>Github!Q$1670</f>
        <v>87314</v>
      </c>
    </row>
    <row r="948">
      <c r="A948" s="13">
        <f>Github!J$903</f>
        <v>902</v>
      </c>
      <c r="B948" s="14" t="str">
        <f>HYPERLINK(CONCAT("http://leetcode.com/problems/",Github!C$903), Github!B$903)</f>
        <v>Numbers At Most N Given Digit Set</v>
      </c>
      <c r="C948" s="13">
        <f>Github!F$903</f>
        <v>1170</v>
      </c>
      <c r="D948" s="13">
        <f>Github!G$903</f>
        <v>94</v>
      </c>
      <c r="E948" s="13">
        <f>Github!F$903+Github!G$903</f>
        <v>1264</v>
      </c>
      <c r="F948" s="15">
        <f t="shared" si="1"/>
        <v>12.45</v>
      </c>
      <c r="G948" s="13" t="str">
        <f>ROUND(Github!O$903, 2)&amp;"%"</f>
        <v>41.45%</v>
      </c>
      <c r="H948" s="13" t="str">
        <f>Github!H$903</f>
        <v>Algorithms</v>
      </c>
      <c r="I948" s="16" t="str">
        <f>SUBSTITUTE(Github!L$903, ";", ", ")</f>
        <v>Array, Math, String, Binary Search, Dynamic Programming, </v>
      </c>
      <c r="J948" s="13" t="str">
        <f>Github!E$903</f>
        <v>Hard</v>
      </c>
      <c r="K948" s="13" t="str">
        <f>IF(TRIM(Github!D$903)="TRUE","FALSE","TRUE")</f>
        <v>TRUE</v>
      </c>
      <c r="L948" s="13" t="b">
        <f>Github!M$903</f>
        <v>1</v>
      </c>
      <c r="M948" s="13" t="b">
        <f>Github!N$903</f>
        <v>0</v>
      </c>
      <c r="N948" s="13">
        <f>Github!P$903</f>
        <v>39115</v>
      </c>
      <c r="O948" s="13">
        <f>Github!Q$903</f>
        <v>94366</v>
      </c>
    </row>
    <row r="949">
      <c r="A949" s="13">
        <f>Github!J$506</f>
        <v>505</v>
      </c>
      <c r="B949" s="14" t="str">
        <f>HYPERLINK(CONCAT("http://leetcode.com/problems/",Github!C$506), Github!B$506)</f>
        <v>The Maze II</v>
      </c>
      <c r="C949" s="13">
        <f>Github!F$506</f>
        <v>1171</v>
      </c>
      <c r="D949" s="13">
        <f>Github!G$506</f>
        <v>51</v>
      </c>
      <c r="E949" s="13">
        <f>Github!F$506+Github!G$506</f>
        <v>1222</v>
      </c>
      <c r="F949" s="15">
        <f t="shared" si="1"/>
        <v>22.96</v>
      </c>
      <c r="G949" s="13" t="str">
        <f>ROUND(Github!O$506, 2)&amp;"%"</f>
        <v>52.43%</v>
      </c>
      <c r="H949" s="13" t="str">
        <f>Github!H$506</f>
        <v>Algorithms</v>
      </c>
      <c r="I949" s="16" t="str">
        <f>SUBSTITUTE(Github!L$506, ";", ", ")</f>
        <v>Depth-First Search, Breadth-First Search, Graph, Heap (Priority Queue), Shortest Path, </v>
      </c>
      <c r="J949" s="13" t="str">
        <f>Github!E$506</f>
        <v>Medium</v>
      </c>
      <c r="K949" s="13" t="str">
        <f>IF(TRIM(Github!D$506)="TRUE","FALSE","TRUE")</f>
        <v>FALSE</v>
      </c>
      <c r="L949" s="13" t="b">
        <f>Github!M$506</f>
        <v>1</v>
      </c>
      <c r="M949" s="13" t="b">
        <f>Github!N$506</f>
        <v>0</v>
      </c>
      <c r="N949" s="13">
        <f>Github!P$506</f>
        <v>92890</v>
      </c>
      <c r="O949" s="13">
        <f>Github!Q$506</f>
        <v>177185</v>
      </c>
    </row>
    <row r="950">
      <c r="A950" s="13">
        <f>Github!J$1233</f>
        <v>1232</v>
      </c>
      <c r="B950" s="14" t="str">
        <f>HYPERLINK(CONCAT("http://leetcode.com/problems/",Github!C$1233), Github!B$1233)</f>
        <v>Check If It Is a Straight Line</v>
      </c>
      <c r="C950" s="13">
        <f>Github!F$1233</f>
        <v>1180</v>
      </c>
      <c r="D950" s="13">
        <f>Github!G$1233</f>
        <v>173</v>
      </c>
      <c r="E950" s="13">
        <f>Github!F$1233+Github!G$1233</f>
        <v>1353</v>
      </c>
      <c r="F950" s="15">
        <f t="shared" si="1"/>
        <v>6.82</v>
      </c>
      <c r="G950" s="13" t="str">
        <f>ROUND(Github!O$1233, 2)&amp;"%"</f>
        <v>40.81%</v>
      </c>
      <c r="H950" s="13" t="str">
        <f>Github!H$1233</f>
        <v>Algorithms</v>
      </c>
      <c r="I950" s="16" t="str">
        <f>SUBSTITUTE(Github!L$1233, ";", ", ")</f>
        <v>Array, Math, Geometry, </v>
      </c>
      <c r="J950" s="13" t="str">
        <f>Github!E$1233</f>
        <v>Easy</v>
      </c>
      <c r="K950" s="13" t="str">
        <f>IF(TRIM(Github!D$1233)="TRUE","FALSE","TRUE")</f>
        <v>TRUE</v>
      </c>
      <c r="L950" s="13" t="b">
        <f>Github!M$1233</f>
        <v>0</v>
      </c>
      <c r="M950" s="13" t="b">
        <f>Github!N$1233</f>
        <v>0</v>
      </c>
      <c r="N950" s="13">
        <f>Github!P$1233</f>
        <v>138877</v>
      </c>
      <c r="O950" s="13">
        <f>Github!Q$1233</f>
        <v>340288</v>
      </c>
    </row>
    <row r="951">
      <c r="A951" s="13">
        <f>Github!J$1311</f>
        <v>1310</v>
      </c>
      <c r="B951" s="14" t="str">
        <f>HYPERLINK(CONCAT("http://leetcode.com/problems/",Github!C$1311), Github!B$1311)</f>
        <v>XOR Queries of a Subarray</v>
      </c>
      <c r="C951" s="13">
        <f>Github!F$1311</f>
        <v>1180</v>
      </c>
      <c r="D951" s="13">
        <f>Github!G$1311</f>
        <v>36</v>
      </c>
      <c r="E951" s="13">
        <f>Github!F$1311+Github!G$1311</f>
        <v>1216</v>
      </c>
      <c r="F951" s="15">
        <f t="shared" si="1"/>
        <v>32.78</v>
      </c>
      <c r="G951" s="13" t="str">
        <f>ROUND(Github!O$1311, 2)&amp;"%"</f>
        <v>72.21%</v>
      </c>
      <c r="H951" s="13" t="str">
        <f>Github!H$1311</f>
        <v>Algorithms</v>
      </c>
      <c r="I951" s="16" t="str">
        <f>SUBSTITUTE(Github!L$1311, ";", ", ")</f>
        <v>Array, Bit Manipulation, Prefix Sum, </v>
      </c>
      <c r="J951" s="13" t="str">
        <f>Github!E$1311</f>
        <v>Medium</v>
      </c>
      <c r="K951" s="13" t="str">
        <f>IF(TRIM(Github!D$1311)="TRUE","FALSE","TRUE")</f>
        <v>TRUE</v>
      </c>
      <c r="L951" s="13" t="b">
        <f>Github!M$1311</f>
        <v>0</v>
      </c>
      <c r="M951" s="13" t="b">
        <f>Github!N$1311</f>
        <v>0</v>
      </c>
      <c r="N951" s="13">
        <f>Github!P$1311</f>
        <v>44302</v>
      </c>
      <c r="O951" s="13">
        <f>Github!Q$1311</f>
        <v>61356</v>
      </c>
    </row>
    <row r="952">
      <c r="A952" s="13">
        <f>Github!J$2090</f>
        <v>2089</v>
      </c>
      <c r="B952" s="14" t="str">
        <f>HYPERLINK(CONCAT("http://leetcode.com/problems/",Github!C$2090), Github!B$2090)</f>
        <v>Find Target Indices After Sorting Array</v>
      </c>
      <c r="C952" s="13">
        <f>Github!F$2090</f>
        <v>1178</v>
      </c>
      <c r="D952" s="13">
        <f>Github!G$2090</f>
        <v>51</v>
      </c>
      <c r="E952" s="13">
        <f>Github!F$2090+Github!G$2090</f>
        <v>1229</v>
      </c>
      <c r="F952" s="15">
        <f t="shared" si="1"/>
        <v>23.1</v>
      </c>
      <c r="G952" s="13" t="str">
        <f>ROUND(Github!O$2090, 2)&amp;"%"</f>
        <v>76.55%</v>
      </c>
      <c r="H952" s="13" t="str">
        <f>Github!H$2090</f>
        <v>Algorithms</v>
      </c>
      <c r="I952" s="16" t="str">
        <f>SUBSTITUTE(Github!L$2090, ";", ", ")</f>
        <v>Array, Binary Search, Sorting, </v>
      </c>
      <c r="J952" s="13" t="str">
        <f>Github!E$2090</f>
        <v>Easy</v>
      </c>
      <c r="K952" s="13" t="str">
        <f>IF(TRIM(Github!D$2090)="TRUE","FALSE","TRUE")</f>
        <v>TRUE</v>
      </c>
      <c r="L952" s="13" t="b">
        <f>Github!M$2090</f>
        <v>0</v>
      </c>
      <c r="M952" s="13" t="b">
        <f>Github!N$2090</f>
        <v>0</v>
      </c>
      <c r="N952" s="13">
        <f>Github!P$2090</f>
        <v>98025</v>
      </c>
      <c r="O952" s="13">
        <f>Github!Q$2090</f>
        <v>128047</v>
      </c>
    </row>
    <row r="953">
      <c r="A953" s="13">
        <f>Github!J$1179</f>
        <v>1178</v>
      </c>
      <c r="B953" s="14" t="str">
        <f>HYPERLINK(CONCAT("http://leetcode.com/problems/",Github!C$1179), Github!B$1179)</f>
        <v>Number of Valid Words for Each Puzzle</v>
      </c>
      <c r="C953" s="13">
        <f>Github!F$1179</f>
        <v>1163</v>
      </c>
      <c r="D953" s="13">
        <f>Github!G$1179</f>
        <v>78</v>
      </c>
      <c r="E953" s="13">
        <f>Github!F$1179+Github!G$1179</f>
        <v>1241</v>
      </c>
      <c r="F953" s="15">
        <f t="shared" si="1"/>
        <v>14.91</v>
      </c>
      <c r="G953" s="13" t="str">
        <f>ROUND(Github!O$1179, 2)&amp;"%"</f>
        <v>46.47%</v>
      </c>
      <c r="H953" s="13" t="str">
        <f>Github!H$1179</f>
        <v>Algorithms</v>
      </c>
      <c r="I953" s="16" t="str">
        <f>SUBSTITUTE(Github!L$1179, ";", ", ")</f>
        <v>Array, Hash Table, String, Bit Manipulation, Trie, </v>
      </c>
      <c r="J953" s="13" t="str">
        <f>Github!E$1179</f>
        <v>Hard</v>
      </c>
      <c r="K953" s="13" t="str">
        <f>IF(TRIM(Github!D$1179)="TRUE","FALSE","TRUE")</f>
        <v>TRUE</v>
      </c>
      <c r="L953" s="13" t="b">
        <f>Github!M$1179</f>
        <v>1</v>
      </c>
      <c r="M953" s="13" t="b">
        <f>Github!N$1179</f>
        <v>0</v>
      </c>
      <c r="N953" s="13">
        <f>Github!P$1179</f>
        <v>28121</v>
      </c>
      <c r="O953" s="13">
        <f>Github!Q$1179</f>
        <v>60520</v>
      </c>
    </row>
    <row r="954">
      <c r="A954" s="13">
        <f>Github!J$1125</f>
        <v>1124</v>
      </c>
      <c r="B954" s="14" t="str">
        <f>HYPERLINK(CONCAT("http://leetcode.com/problems/",Github!C$1125), Github!B$1125)</f>
        <v>Longest Well-Performing Interval</v>
      </c>
      <c r="C954" s="13">
        <f>Github!F$1125</f>
        <v>1166</v>
      </c>
      <c r="D954" s="13">
        <f>Github!G$1125</f>
        <v>99</v>
      </c>
      <c r="E954" s="13">
        <f>Github!F$1125+Github!G$1125</f>
        <v>1265</v>
      </c>
      <c r="F954" s="15">
        <f t="shared" si="1"/>
        <v>11.78</v>
      </c>
      <c r="G954" s="13" t="str">
        <f>ROUND(Github!O$1125, 2)&amp;"%"</f>
        <v>34.57%</v>
      </c>
      <c r="H954" s="13" t="str">
        <f>Github!H$1125</f>
        <v>Algorithms</v>
      </c>
      <c r="I954" s="16" t="str">
        <f>SUBSTITUTE(Github!L$1125, ";", ", ")</f>
        <v>Array, Hash Table, Stack, Monotonic Stack, Prefix Sum, </v>
      </c>
      <c r="J954" s="13" t="str">
        <f>Github!E$1125</f>
        <v>Medium</v>
      </c>
      <c r="K954" s="13" t="str">
        <f>IF(TRIM(Github!D$1125)="TRUE","FALSE","TRUE")</f>
        <v>TRUE</v>
      </c>
      <c r="L954" s="13" t="b">
        <f>Github!M$1125</f>
        <v>0</v>
      </c>
      <c r="M954" s="13" t="b">
        <f>Github!N$1125</f>
        <v>0</v>
      </c>
      <c r="N954" s="13">
        <f>Github!P$1125</f>
        <v>25246</v>
      </c>
      <c r="O954" s="13">
        <f>Github!Q$1125</f>
        <v>73020</v>
      </c>
    </row>
    <row r="955">
      <c r="A955" s="13">
        <f>Github!J$244</f>
        <v>243</v>
      </c>
      <c r="B955" s="14" t="str">
        <f>HYPERLINK(CONCAT("http://leetcode.com/problems/",Github!C$244), Github!B$244)</f>
        <v>Shortest Word Distance</v>
      </c>
      <c r="C955" s="13">
        <f>Github!F$244</f>
        <v>1163</v>
      </c>
      <c r="D955" s="13">
        <f>Github!G$244</f>
        <v>100</v>
      </c>
      <c r="E955" s="13">
        <f>Github!F$244+Github!G$244</f>
        <v>1263</v>
      </c>
      <c r="F955" s="15">
        <f t="shared" si="1"/>
        <v>11.63</v>
      </c>
      <c r="G955" s="13" t="str">
        <f>ROUND(Github!O$244, 2)&amp;"%"</f>
        <v>64.95%</v>
      </c>
      <c r="H955" s="13" t="str">
        <f>Github!H$244</f>
        <v>Algorithms</v>
      </c>
      <c r="I955" s="16" t="str">
        <f>SUBSTITUTE(Github!L$244, ";", ", ")</f>
        <v>Array, String, </v>
      </c>
      <c r="J955" s="13" t="str">
        <f>Github!E$244</f>
        <v>Easy</v>
      </c>
      <c r="K955" s="13" t="str">
        <f>IF(TRIM(Github!D$244)="TRUE","FALSE","TRUE")</f>
        <v>FALSE</v>
      </c>
      <c r="L955" s="13" t="b">
        <f>Github!M$244</f>
        <v>1</v>
      </c>
      <c r="M955" s="13" t="b">
        <f>Github!N$244</f>
        <v>0</v>
      </c>
      <c r="N955" s="13">
        <f>Github!P$244</f>
        <v>196036</v>
      </c>
      <c r="O955" s="13">
        <f>Github!Q$244</f>
        <v>301811</v>
      </c>
    </row>
    <row r="956">
      <c r="A956" s="13">
        <f>Github!J$1482</f>
        <v>1481</v>
      </c>
      <c r="B956" s="14" t="str">
        <f>HYPERLINK(CONCAT("http://leetcode.com/problems/",Github!C$1482), Github!B$1482)</f>
        <v>Least Number of Unique Integers after K Removals</v>
      </c>
      <c r="C956" s="13">
        <f>Github!F$1482</f>
        <v>1170</v>
      </c>
      <c r="D956" s="13">
        <f>Github!G$1482</f>
        <v>108</v>
      </c>
      <c r="E956" s="13">
        <f>Github!F$1482+Github!G$1482</f>
        <v>1278</v>
      </c>
      <c r="F956" s="15">
        <f t="shared" si="1"/>
        <v>10.83</v>
      </c>
      <c r="G956" s="13" t="str">
        <f>ROUND(Github!O$1482, 2)&amp;"%"</f>
        <v>56.57%</v>
      </c>
      <c r="H956" s="13" t="str">
        <f>Github!H$1482</f>
        <v>Algorithms</v>
      </c>
      <c r="I956" s="16" t="str">
        <f>SUBSTITUTE(Github!L$1482, ";", ", ")</f>
        <v>Array, Hash Table, Greedy, Sorting, Counting, </v>
      </c>
      <c r="J956" s="13" t="str">
        <f>Github!E$1482</f>
        <v>Medium</v>
      </c>
      <c r="K956" s="13" t="str">
        <f>IF(TRIM(Github!D$1482)="TRUE","FALSE","TRUE")</f>
        <v>TRUE</v>
      </c>
      <c r="L956" s="13" t="b">
        <f>Github!M$1482</f>
        <v>0</v>
      </c>
      <c r="M956" s="13" t="b">
        <f>Github!N$1482</f>
        <v>0</v>
      </c>
      <c r="N956" s="13">
        <f>Github!P$1482</f>
        <v>89125</v>
      </c>
      <c r="O956" s="13">
        <f>Github!Q$1482</f>
        <v>157556</v>
      </c>
    </row>
    <row r="957">
      <c r="A957" s="13">
        <f>Github!J$1115</f>
        <v>1114</v>
      </c>
      <c r="B957" s="14" t="str">
        <f>HYPERLINK(CONCAT("http://leetcode.com/problems/",Github!C$1115), Github!B$1115)</f>
        <v>Print in Order</v>
      </c>
      <c r="C957" s="13">
        <f>Github!F$1115</f>
        <v>1161</v>
      </c>
      <c r="D957" s="13">
        <f>Github!G$1115</f>
        <v>182</v>
      </c>
      <c r="E957" s="13">
        <f>Github!F$1115+Github!G$1115</f>
        <v>1343</v>
      </c>
      <c r="F957" s="15">
        <f t="shared" si="1"/>
        <v>6.38</v>
      </c>
      <c r="G957" s="13" t="str">
        <f>ROUND(Github!O$1115, 2)&amp;"%"</f>
        <v>68.27%</v>
      </c>
      <c r="H957" s="13" t="str">
        <f>Github!H$1115</f>
        <v>Concurrency</v>
      </c>
      <c r="I957" s="16" t="str">
        <f>SUBSTITUTE(Github!L$1115, ";", ", ")</f>
        <v>Concurrency, </v>
      </c>
      <c r="J957" s="13" t="str">
        <f>Github!E$1115</f>
        <v>Easy</v>
      </c>
      <c r="K957" s="13" t="str">
        <f>IF(TRIM(Github!D$1115)="TRUE","FALSE","TRUE")</f>
        <v>TRUE</v>
      </c>
      <c r="L957" s="13" t="b">
        <f>Github!M$1115</f>
        <v>1</v>
      </c>
      <c r="M957" s="13" t="b">
        <f>Github!N$1115</f>
        <v>0</v>
      </c>
      <c r="N957" s="13">
        <f>Github!P$1115</f>
        <v>121871</v>
      </c>
      <c r="O957" s="13">
        <f>Github!Q$1115</f>
        <v>178523</v>
      </c>
    </row>
    <row r="958">
      <c r="A958" s="13">
        <f>Github!J$1407</f>
        <v>1406</v>
      </c>
      <c r="B958" s="14" t="str">
        <f>HYPERLINK(CONCAT("http://leetcode.com/problems/",Github!C$1407), Github!B$1407)</f>
        <v>Stone Game III</v>
      </c>
      <c r="C958" s="13">
        <f>Github!F$1407</f>
        <v>1168</v>
      </c>
      <c r="D958" s="13">
        <f>Github!G$1407</f>
        <v>27</v>
      </c>
      <c r="E958" s="13">
        <f>Github!F$1407+Github!G$1407</f>
        <v>1195</v>
      </c>
      <c r="F958" s="15">
        <f t="shared" si="1"/>
        <v>43.26</v>
      </c>
      <c r="G958" s="13" t="str">
        <f>ROUND(Github!O$1407, 2)&amp;"%"</f>
        <v>59.51%</v>
      </c>
      <c r="H958" s="13" t="str">
        <f>Github!H$1407</f>
        <v>Algorithms</v>
      </c>
      <c r="I958" s="16" t="str">
        <f>SUBSTITUTE(Github!L$1407, ";", ", ")</f>
        <v>Array, Math, Dynamic Programming, Game Theory, </v>
      </c>
      <c r="J958" s="13" t="str">
        <f>Github!E$1407</f>
        <v>Hard</v>
      </c>
      <c r="K958" s="13" t="str">
        <f>IF(TRIM(Github!D$1407)="TRUE","FALSE","TRUE")</f>
        <v>TRUE</v>
      </c>
      <c r="L958" s="13" t="b">
        <f>Github!M$1407</f>
        <v>0</v>
      </c>
      <c r="M958" s="13" t="b">
        <f>Github!N$1407</f>
        <v>0</v>
      </c>
      <c r="N958" s="13">
        <f>Github!P$1407</f>
        <v>41250</v>
      </c>
      <c r="O958" s="13">
        <f>Github!Q$1407</f>
        <v>69312</v>
      </c>
    </row>
    <row r="959">
      <c r="A959" s="13">
        <f>Github!J$358</f>
        <v>357</v>
      </c>
      <c r="B959" s="14" t="str">
        <f>HYPERLINK(CONCAT("http://leetcode.com/problems/",Github!C$358), Github!B$358)</f>
        <v>Count Numbers with Unique Digits</v>
      </c>
      <c r="C959" s="13">
        <f>Github!F$358</f>
        <v>1160</v>
      </c>
      <c r="D959" s="13">
        <f>Github!G$358</f>
        <v>1352</v>
      </c>
      <c r="E959" s="13">
        <f>Github!F$358+Github!G$358</f>
        <v>2512</v>
      </c>
      <c r="F959" s="15">
        <f t="shared" si="1"/>
        <v>0.86</v>
      </c>
      <c r="G959" s="13" t="str">
        <f>ROUND(Github!O$358, 2)&amp;"%"</f>
        <v>51.65%</v>
      </c>
      <c r="H959" s="13" t="str">
        <f>Github!H$358</f>
        <v>Algorithms</v>
      </c>
      <c r="I959" s="16" t="str">
        <f>SUBSTITUTE(Github!L$358, ";", ", ")</f>
        <v>Math, Dynamic Programming, Backtracking, </v>
      </c>
      <c r="J959" s="13" t="str">
        <f>Github!E$358</f>
        <v>Medium</v>
      </c>
      <c r="K959" s="13" t="str">
        <f>IF(TRIM(Github!D$358)="TRUE","FALSE","TRUE")</f>
        <v>TRUE</v>
      </c>
      <c r="L959" s="13" t="b">
        <f>Github!M$358</f>
        <v>0</v>
      </c>
      <c r="M959" s="13" t="b">
        <f>Github!N$358</f>
        <v>0</v>
      </c>
      <c r="N959" s="13">
        <f>Github!P$358</f>
        <v>113100</v>
      </c>
      <c r="O959" s="13">
        <f>Github!Q$358</f>
        <v>218981</v>
      </c>
    </row>
    <row r="960">
      <c r="A960" s="13">
        <f>Github!J$1103</f>
        <v>1102</v>
      </c>
      <c r="B960" s="14" t="str">
        <f>HYPERLINK(CONCAT("http://leetcode.com/problems/",Github!C$1103), Github!B$1103)</f>
        <v>Path With Maximum Minimum Value</v>
      </c>
      <c r="C960" s="13">
        <f>Github!F$1103</f>
        <v>1161</v>
      </c>
      <c r="D960" s="13">
        <f>Github!G$1103</f>
        <v>115</v>
      </c>
      <c r="E960" s="13">
        <f>Github!F$1103+Github!G$1103</f>
        <v>1276</v>
      </c>
      <c r="F960" s="15">
        <f t="shared" si="1"/>
        <v>10.1</v>
      </c>
      <c r="G960" s="13" t="str">
        <f>ROUND(Github!O$1103, 2)&amp;"%"</f>
        <v>53.31%</v>
      </c>
      <c r="H960" s="13" t="str">
        <f>Github!H$1103</f>
        <v>Algorithms</v>
      </c>
      <c r="I960" s="16" t="str">
        <f>SUBSTITUTE(Github!L$1103, ";", ", ")</f>
        <v>Array, Depth-First Search, Breadth-First Search, Union Find, Heap (Priority Queue), Matrix, </v>
      </c>
      <c r="J960" s="13" t="str">
        <f>Github!E$1103</f>
        <v>Medium</v>
      </c>
      <c r="K960" s="13" t="str">
        <f>IF(TRIM(Github!D$1103)="TRUE","FALSE","TRUE")</f>
        <v>FALSE</v>
      </c>
      <c r="L960" s="13" t="b">
        <f>Github!M$1103</f>
        <v>1</v>
      </c>
      <c r="M960" s="13" t="b">
        <f>Github!N$1103</f>
        <v>0</v>
      </c>
      <c r="N960" s="13">
        <f>Github!P$1103</f>
        <v>54714</v>
      </c>
      <c r="O960" s="13">
        <f>Github!Q$1103</f>
        <v>102626</v>
      </c>
    </row>
    <row r="961">
      <c r="A961" s="13">
        <f>Github!J$1192</f>
        <v>1191</v>
      </c>
      <c r="B961" s="14" t="str">
        <f>HYPERLINK(CONCAT("http://leetcode.com/problems/",Github!C$1192), Github!B$1192)</f>
        <v>K-Concatenation Maximum Sum</v>
      </c>
      <c r="C961" s="13">
        <f>Github!F$1192</f>
        <v>1166</v>
      </c>
      <c r="D961" s="13">
        <f>Github!G$1192</f>
        <v>96</v>
      </c>
      <c r="E961" s="13">
        <f>Github!F$1192+Github!G$1192</f>
        <v>1262</v>
      </c>
      <c r="F961" s="15">
        <f t="shared" si="1"/>
        <v>12.15</v>
      </c>
      <c r="G961" s="13" t="str">
        <f>ROUND(Github!O$1192, 2)&amp;"%"</f>
        <v>23.91%</v>
      </c>
      <c r="H961" s="13" t="str">
        <f>Github!H$1192</f>
        <v>Algorithms</v>
      </c>
      <c r="I961" s="16" t="str">
        <f>SUBSTITUTE(Github!L$1192, ";", ", ")</f>
        <v>Array, Dynamic Programming, </v>
      </c>
      <c r="J961" s="13" t="str">
        <f>Github!E$1192</f>
        <v>Medium</v>
      </c>
      <c r="K961" s="13" t="str">
        <f>IF(TRIM(Github!D$1192)="TRUE","FALSE","TRUE")</f>
        <v>TRUE</v>
      </c>
      <c r="L961" s="13" t="b">
        <f>Github!M$1192</f>
        <v>0</v>
      </c>
      <c r="M961" s="13" t="b">
        <f>Github!N$1192</f>
        <v>0</v>
      </c>
      <c r="N961" s="13">
        <f>Github!P$1192</f>
        <v>28699</v>
      </c>
      <c r="O961" s="13">
        <f>Github!Q$1192</f>
        <v>120032</v>
      </c>
    </row>
    <row r="962">
      <c r="A962" s="13">
        <f>Github!J$1902</f>
        <v>1901</v>
      </c>
      <c r="B962" s="14" t="str">
        <f>HYPERLINK(CONCAT("http://leetcode.com/problems/",Github!C$1902), Github!B$1902)</f>
        <v>Find a Peak Element II</v>
      </c>
      <c r="C962" s="13">
        <f>Github!F$1902</f>
        <v>1174</v>
      </c>
      <c r="D962" s="13">
        <f>Github!G$1902</f>
        <v>87</v>
      </c>
      <c r="E962" s="13">
        <f>Github!F$1902+Github!G$1902</f>
        <v>1261</v>
      </c>
      <c r="F962" s="15">
        <f t="shared" si="1"/>
        <v>13.49</v>
      </c>
      <c r="G962" s="13" t="str">
        <f>ROUND(Github!O$1902, 2)&amp;"%"</f>
        <v>52.95%</v>
      </c>
      <c r="H962" s="13" t="str">
        <f>Github!H$1902</f>
        <v>Algorithms</v>
      </c>
      <c r="I962" s="16" t="str">
        <f>SUBSTITUTE(Github!L$1902, ";", ", ")</f>
        <v>Array, Binary Search, Matrix, </v>
      </c>
      <c r="J962" s="13" t="str">
        <f>Github!E$1902</f>
        <v>Medium</v>
      </c>
      <c r="K962" s="13" t="str">
        <f>IF(TRIM(Github!D$1902)="TRUE","FALSE","TRUE")</f>
        <v>TRUE</v>
      </c>
      <c r="L962" s="13" t="b">
        <f>Github!M$1902</f>
        <v>0</v>
      </c>
      <c r="M962" s="13" t="b">
        <f>Github!N$1902</f>
        <v>0</v>
      </c>
      <c r="N962" s="13">
        <f>Github!P$1902</f>
        <v>32077</v>
      </c>
      <c r="O962" s="13">
        <f>Github!Q$1902</f>
        <v>60581</v>
      </c>
    </row>
    <row r="963">
      <c r="A963" s="13">
        <f>Github!J$1146</f>
        <v>1145</v>
      </c>
      <c r="B963" s="14" t="str">
        <f>HYPERLINK(CONCAT("http://leetcode.com/problems/",Github!C$1146), Github!B$1146)</f>
        <v>Binary Tree Coloring Game</v>
      </c>
      <c r="C963" s="13">
        <f>Github!F$1146</f>
        <v>1153</v>
      </c>
      <c r="D963" s="13">
        <f>Github!G$1146</f>
        <v>195</v>
      </c>
      <c r="E963" s="13">
        <f>Github!F$1146+Github!G$1146</f>
        <v>1348</v>
      </c>
      <c r="F963" s="15">
        <f t="shared" si="1"/>
        <v>5.91</v>
      </c>
      <c r="G963" s="13" t="str">
        <f>ROUND(Github!O$1146, 2)&amp;"%"</f>
        <v>51.54%</v>
      </c>
      <c r="H963" s="13" t="str">
        <f>Github!H$1146</f>
        <v>Algorithms</v>
      </c>
      <c r="I963" s="16" t="str">
        <f>SUBSTITUTE(Github!L$1146, ";", ", ")</f>
        <v>Tree, Depth-First Search, Binary Tree, </v>
      </c>
      <c r="J963" s="13" t="str">
        <f>Github!E$1146</f>
        <v>Medium</v>
      </c>
      <c r="K963" s="13" t="str">
        <f>IF(TRIM(Github!D$1146)="TRUE","FALSE","TRUE")</f>
        <v>TRUE</v>
      </c>
      <c r="L963" s="13" t="b">
        <f>Github!M$1146</f>
        <v>0</v>
      </c>
      <c r="M963" s="13" t="b">
        <f>Github!N$1146</f>
        <v>0</v>
      </c>
      <c r="N963" s="13">
        <f>Github!P$1146</f>
        <v>39589</v>
      </c>
      <c r="O963" s="13">
        <f>Github!Q$1146</f>
        <v>76809</v>
      </c>
    </row>
    <row r="964">
      <c r="A964" s="13">
        <f>Github!J$1388</f>
        <v>1387</v>
      </c>
      <c r="B964" s="14" t="str">
        <f>HYPERLINK(CONCAT("http://leetcode.com/problems/",Github!C$1388), Github!B$1388)</f>
        <v>Sort Integers by The Power Value</v>
      </c>
      <c r="C964" s="13">
        <f>Github!F$1388</f>
        <v>1159</v>
      </c>
      <c r="D964" s="13">
        <f>Github!G$1388</f>
        <v>103</v>
      </c>
      <c r="E964" s="13">
        <f>Github!F$1388+Github!G$1388</f>
        <v>1262</v>
      </c>
      <c r="F964" s="15">
        <f t="shared" si="1"/>
        <v>11.25</v>
      </c>
      <c r="G964" s="13" t="str">
        <f>ROUND(Github!O$1388, 2)&amp;"%"</f>
        <v>70.11%</v>
      </c>
      <c r="H964" s="13" t="str">
        <f>Github!H$1388</f>
        <v>Algorithms</v>
      </c>
      <c r="I964" s="16" t="str">
        <f>SUBSTITUTE(Github!L$1388, ";", ", ")</f>
        <v>Dynamic Programming, Memoization, Sorting, </v>
      </c>
      <c r="J964" s="13" t="str">
        <f>Github!E$1388</f>
        <v>Medium</v>
      </c>
      <c r="K964" s="13" t="str">
        <f>IF(TRIM(Github!D$1388)="TRUE","FALSE","TRUE")</f>
        <v>TRUE</v>
      </c>
      <c r="L964" s="13" t="b">
        <f>Github!M$1388</f>
        <v>0</v>
      </c>
      <c r="M964" s="13" t="b">
        <f>Github!N$1388</f>
        <v>0</v>
      </c>
      <c r="N964" s="13">
        <f>Github!P$1388</f>
        <v>71846</v>
      </c>
      <c r="O964" s="13">
        <f>Github!Q$1388</f>
        <v>102474</v>
      </c>
    </row>
    <row r="965">
      <c r="A965" s="13">
        <f>Github!J$1672</f>
        <v>1671</v>
      </c>
      <c r="B965" s="14" t="str">
        <f>HYPERLINK(CONCAT("http://leetcode.com/problems/",Github!C$1672), Github!B$1672)</f>
        <v>Minimum Number of Removals to Make Mountain Array</v>
      </c>
      <c r="C965" s="13">
        <f>Github!F$1672</f>
        <v>1157</v>
      </c>
      <c r="D965" s="13">
        <f>Github!G$1672</f>
        <v>18</v>
      </c>
      <c r="E965" s="13">
        <f>Github!F$1672+Github!G$1672</f>
        <v>1175</v>
      </c>
      <c r="F965" s="15">
        <f t="shared" si="1"/>
        <v>64.28</v>
      </c>
      <c r="G965" s="13" t="str">
        <f>ROUND(Github!O$1672, 2)&amp;"%"</f>
        <v>42.48%</v>
      </c>
      <c r="H965" s="13" t="str">
        <f>Github!H$1672</f>
        <v>Algorithms</v>
      </c>
      <c r="I965" s="16" t="str">
        <f>SUBSTITUTE(Github!L$1672, ";", ", ")</f>
        <v>Array, Binary Search, Dynamic Programming, Greedy, </v>
      </c>
      <c r="J965" s="13" t="str">
        <f>Github!E$1672</f>
        <v>Hard</v>
      </c>
      <c r="K965" s="13" t="str">
        <f>IF(TRIM(Github!D$1672)="TRUE","FALSE","TRUE")</f>
        <v>TRUE</v>
      </c>
      <c r="L965" s="13" t="b">
        <f>Github!M$1672</f>
        <v>0</v>
      </c>
      <c r="M965" s="13" t="b">
        <f>Github!N$1672</f>
        <v>0</v>
      </c>
      <c r="N965" s="13">
        <f>Github!P$1672</f>
        <v>19501</v>
      </c>
      <c r="O965" s="13">
        <f>Github!Q$1672</f>
        <v>45896</v>
      </c>
    </row>
    <row r="966">
      <c r="A966" s="13">
        <f>Github!J$1606</f>
        <v>1605</v>
      </c>
      <c r="B966" s="14" t="str">
        <f>HYPERLINK(CONCAT("http://leetcode.com/problems/",Github!C$1606), Github!B$1606)</f>
        <v>Find Valid Matrix Given Row and Column Sums</v>
      </c>
      <c r="C966" s="13">
        <f>Github!F$1606</f>
        <v>1148</v>
      </c>
      <c r="D966" s="13">
        <f>Github!G$1606</f>
        <v>32</v>
      </c>
      <c r="E966" s="13">
        <f>Github!F$1606+Github!G$1606</f>
        <v>1180</v>
      </c>
      <c r="F966" s="15">
        <f t="shared" si="1"/>
        <v>35.88</v>
      </c>
      <c r="G966" s="13" t="str">
        <f>ROUND(Github!O$1606, 2)&amp;"%"</f>
        <v>77.92%</v>
      </c>
      <c r="H966" s="13" t="str">
        <f>Github!H$1606</f>
        <v>Algorithms</v>
      </c>
      <c r="I966" s="16" t="str">
        <f>SUBSTITUTE(Github!L$1606, ";", ", ")</f>
        <v>Array, Greedy, Matrix, </v>
      </c>
      <c r="J966" s="13" t="str">
        <f>Github!E$1606</f>
        <v>Medium</v>
      </c>
      <c r="K966" s="13" t="str">
        <f>IF(TRIM(Github!D$1606)="TRUE","FALSE","TRUE")</f>
        <v>TRUE</v>
      </c>
      <c r="L966" s="13" t="b">
        <f>Github!M$1606</f>
        <v>0</v>
      </c>
      <c r="M966" s="13" t="b">
        <f>Github!N$1606</f>
        <v>0</v>
      </c>
      <c r="N966" s="13">
        <f>Github!P$1606</f>
        <v>31553</v>
      </c>
      <c r="O966" s="13">
        <f>Github!Q$1606</f>
        <v>40492</v>
      </c>
    </row>
    <row r="967">
      <c r="A967" s="13">
        <f>Github!J$1835</f>
        <v>1834</v>
      </c>
      <c r="B967" s="14" t="str">
        <f>HYPERLINK(CONCAT("http://leetcode.com/problems/",Github!C$1835), Github!B$1835)</f>
        <v>Single-Threaded CPU</v>
      </c>
      <c r="C967" s="13">
        <f>Github!F$1835</f>
        <v>2608</v>
      </c>
      <c r="D967" s="13">
        <f>Github!G$1835</f>
        <v>223</v>
      </c>
      <c r="E967" s="13">
        <f>Github!F$1835+Github!G$1835</f>
        <v>2831</v>
      </c>
      <c r="F967" s="15">
        <f t="shared" si="1"/>
        <v>11.7</v>
      </c>
      <c r="G967" s="13" t="str">
        <f>ROUND(Github!O$1835, 2)&amp;"%"</f>
        <v>45.94%</v>
      </c>
      <c r="H967" s="13" t="str">
        <f>Github!H$1835</f>
        <v>Algorithms</v>
      </c>
      <c r="I967" s="16" t="str">
        <f>SUBSTITUTE(Github!L$1835, ";", ", ")</f>
        <v>Array, Sorting, Heap (Priority Queue), </v>
      </c>
      <c r="J967" s="13" t="str">
        <f>Github!E$1835</f>
        <v>Medium</v>
      </c>
      <c r="K967" s="13" t="str">
        <f>IF(TRIM(Github!D$1835)="TRUE","FALSE","TRUE")</f>
        <v>TRUE</v>
      </c>
      <c r="L967" s="13" t="b">
        <f>Github!M$1835</f>
        <v>1</v>
      </c>
      <c r="M967" s="13" t="b">
        <f>Github!N$1835</f>
        <v>0</v>
      </c>
      <c r="N967" s="13">
        <f>Github!P$1835</f>
        <v>82503</v>
      </c>
      <c r="O967" s="13">
        <f>Github!Q$1835</f>
        <v>179595</v>
      </c>
    </row>
    <row r="968">
      <c r="A968" s="13">
        <f>Github!J$1733</f>
        <v>1732</v>
      </c>
      <c r="B968" s="14" t="str">
        <f>HYPERLINK(CONCAT("http://leetcode.com/problems/",Github!C$1733), Github!B$1733)</f>
        <v>Find the Highest Altitude</v>
      </c>
      <c r="C968" s="13">
        <f>Github!F$1733</f>
        <v>1157</v>
      </c>
      <c r="D968" s="13">
        <f>Github!G$1733</f>
        <v>96</v>
      </c>
      <c r="E968" s="13">
        <f>Github!F$1733+Github!G$1733</f>
        <v>1253</v>
      </c>
      <c r="F968" s="15">
        <f t="shared" si="1"/>
        <v>12.05</v>
      </c>
      <c r="G968" s="13" t="str">
        <f>ROUND(Github!O$1733, 2)&amp;"%"</f>
        <v>78.8%</v>
      </c>
      <c r="H968" s="13" t="str">
        <f>Github!H$1733</f>
        <v>Algorithms</v>
      </c>
      <c r="I968" s="16" t="str">
        <f>SUBSTITUTE(Github!L$1733, ";", ", ")</f>
        <v>Array, Prefix Sum, </v>
      </c>
      <c r="J968" s="13" t="str">
        <f>Github!E$1733</f>
        <v>Easy</v>
      </c>
      <c r="K968" s="13" t="str">
        <f>IF(TRIM(Github!D$1733)="TRUE","FALSE","TRUE")</f>
        <v>TRUE</v>
      </c>
      <c r="L968" s="13" t="b">
        <f>Github!M$1733</f>
        <v>0</v>
      </c>
      <c r="M968" s="13" t="b">
        <f>Github!N$1733</f>
        <v>0</v>
      </c>
      <c r="N968" s="13">
        <f>Github!P$1733</f>
        <v>98490</v>
      </c>
      <c r="O968" s="13">
        <f>Github!Q$1733</f>
        <v>124993</v>
      </c>
    </row>
    <row r="969">
      <c r="A969" s="13">
        <f>Github!J$1168</f>
        <v>1167</v>
      </c>
      <c r="B969" s="14" t="str">
        <f>HYPERLINK(CONCAT("http://leetcode.com/problems/",Github!C$1168), Github!B$1168)</f>
        <v>Minimum Cost to Connect Sticks</v>
      </c>
      <c r="C969" s="13">
        <f>Github!F$1168</f>
        <v>1194</v>
      </c>
      <c r="D969" s="13">
        <f>Github!G$1168</f>
        <v>151</v>
      </c>
      <c r="E969" s="13">
        <f>Github!F$1168+Github!G$1168</f>
        <v>1345</v>
      </c>
      <c r="F969" s="15">
        <f t="shared" si="1"/>
        <v>7.91</v>
      </c>
      <c r="G969" s="13" t="str">
        <f>ROUND(Github!O$1168, 2)&amp;"%"</f>
        <v>68.21%</v>
      </c>
      <c r="H969" s="13" t="str">
        <f>Github!H$1168</f>
        <v>Algorithms</v>
      </c>
      <c r="I969" s="16" t="str">
        <f>SUBSTITUTE(Github!L$1168, ";", ", ")</f>
        <v>Array, Greedy, Heap (Priority Queue), </v>
      </c>
      <c r="J969" s="13" t="str">
        <f>Github!E$1168</f>
        <v>Medium</v>
      </c>
      <c r="K969" s="13" t="str">
        <f>IF(TRIM(Github!D$1168)="TRUE","FALSE","TRUE")</f>
        <v>FALSE</v>
      </c>
      <c r="L969" s="13" t="b">
        <f>Github!M$1168</f>
        <v>1</v>
      </c>
      <c r="M969" s="13" t="b">
        <f>Github!N$1168</f>
        <v>1</v>
      </c>
      <c r="N969" s="13">
        <f>Github!P$1168</f>
        <v>100976</v>
      </c>
      <c r="O969" s="13">
        <f>Github!Q$1168</f>
        <v>148040</v>
      </c>
    </row>
    <row r="970">
      <c r="A970" s="13">
        <f>Github!J$1527</f>
        <v>1526</v>
      </c>
      <c r="B970" s="14" t="str">
        <f>HYPERLINK(CONCAT("http://leetcode.com/problems/",Github!C$1527), Github!B$1527)</f>
        <v>Minimum Number of Increments on Subarrays to Form a Target Array</v>
      </c>
      <c r="C970" s="13">
        <f>Github!F$1527</f>
        <v>1140</v>
      </c>
      <c r="D970" s="13">
        <f>Github!G$1527</f>
        <v>57</v>
      </c>
      <c r="E970" s="13">
        <f>Github!F$1527+Github!G$1527</f>
        <v>1197</v>
      </c>
      <c r="F970" s="15">
        <f t="shared" si="1"/>
        <v>20</v>
      </c>
      <c r="G970" s="13" t="str">
        <f>ROUND(Github!O$1527, 2)&amp;"%"</f>
        <v>68.7%</v>
      </c>
      <c r="H970" s="13" t="str">
        <f>Github!H$1527</f>
        <v>Algorithms</v>
      </c>
      <c r="I970" s="16" t="str">
        <f>SUBSTITUTE(Github!L$1527, ";", ", ")</f>
        <v>Array, Dynamic Programming, Stack, Greedy, Monotonic Stack, </v>
      </c>
      <c r="J970" s="13" t="str">
        <f>Github!E$1527</f>
        <v>Hard</v>
      </c>
      <c r="K970" s="13" t="str">
        <f>IF(TRIM(Github!D$1527)="TRUE","FALSE","TRUE")</f>
        <v>TRUE</v>
      </c>
      <c r="L970" s="13" t="b">
        <f>Github!M$1527</f>
        <v>0</v>
      </c>
      <c r="M970" s="13" t="b">
        <f>Github!N$1527</f>
        <v>0</v>
      </c>
      <c r="N970" s="13">
        <f>Github!P$1527</f>
        <v>29561</v>
      </c>
      <c r="O970" s="13">
        <f>Github!Q$1527</f>
        <v>43030</v>
      </c>
    </row>
    <row r="971">
      <c r="A971" s="13">
        <f>Github!J$1591</f>
        <v>1590</v>
      </c>
      <c r="B971" s="14" t="str">
        <f>HYPERLINK(CONCAT("http://leetcode.com/problems/",Github!C$1591), Github!B$1591)</f>
        <v>Make Sum Divisible by P</v>
      </c>
      <c r="C971" s="13">
        <f>Github!F$1591</f>
        <v>1143</v>
      </c>
      <c r="D971" s="13">
        <f>Github!G$1591</f>
        <v>48</v>
      </c>
      <c r="E971" s="13">
        <f>Github!F$1591+Github!G$1591</f>
        <v>1191</v>
      </c>
      <c r="F971" s="15">
        <f t="shared" si="1"/>
        <v>23.81</v>
      </c>
      <c r="G971" s="13" t="str">
        <f>ROUND(Github!O$1591, 2)&amp;"%"</f>
        <v>28.14%</v>
      </c>
      <c r="H971" s="13" t="str">
        <f>Github!H$1591</f>
        <v>Algorithms</v>
      </c>
      <c r="I971" s="16" t="str">
        <f>SUBSTITUTE(Github!L$1591, ";", ", ")</f>
        <v>Array, Hash Table, Prefix Sum, </v>
      </c>
      <c r="J971" s="13" t="str">
        <f>Github!E$1591</f>
        <v>Medium</v>
      </c>
      <c r="K971" s="13" t="str">
        <f>IF(TRIM(Github!D$1591)="TRUE","FALSE","TRUE")</f>
        <v>TRUE</v>
      </c>
      <c r="L971" s="13" t="b">
        <f>Github!M$1591</f>
        <v>0</v>
      </c>
      <c r="M971" s="13" t="b">
        <f>Github!N$1591</f>
        <v>0</v>
      </c>
      <c r="N971" s="13">
        <f>Github!P$1591</f>
        <v>19677</v>
      </c>
      <c r="O971" s="13">
        <f>Github!Q$1591</f>
        <v>69927</v>
      </c>
    </row>
    <row r="972">
      <c r="A972" s="13">
        <f>Github!J$576</f>
        <v>575</v>
      </c>
      <c r="B972" s="14" t="str">
        <f>HYPERLINK(CONCAT("http://leetcode.com/problems/",Github!C$576), Github!B$576)</f>
        <v>Distribute Candies</v>
      </c>
      <c r="C972" s="13">
        <f>Github!F$576</f>
        <v>1144</v>
      </c>
      <c r="D972" s="13">
        <f>Github!G$576</f>
        <v>1227</v>
      </c>
      <c r="E972" s="13">
        <f>Github!F$576+Github!G$576</f>
        <v>2371</v>
      </c>
      <c r="F972" s="15">
        <f t="shared" si="1"/>
        <v>0.93</v>
      </c>
      <c r="G972" s="13" t="str">
        <f>ROUND(Github!O$576, 2)&amp;"%"</f>
        <v>66.25%</v>
      </c>
      <c r="H972" s="13" t="str">
        <f>Github!H$576</f>
        <v>Algorithms</v>
      </c>
      <c r="I972" s="16" t="str">
        <f>SUBSTITUTE(Github!L$576, ";", ", ")</f>
        <v>Array, Hash Table, </v>
      </c>
      <c r="J972" s="13" t="str">
        <f>Github!E$576</f>
        <v>Easy</v>
      </c>
      <c r="K972" s="13" t="str">
        <f>IF(TRIM(Github!D$576)="TRUE","FALSE","TRUE")</f>
        <v>TRUE</v>
      </c>
      <c r="L972" s="13" t="b">
        <f>Github!M$576</f>
        <v>1</v>
      </c>
      <c r="M972" s="13" t="b">
        <f>Github!N$576</f>
        <v>0</v>
      </c>
      <c r="N972" s="13">
        <f>Github!P$576</f>
        <v>230170</v>
      </c>
      <c r="O972" s="13">
        <f>Github!Q$576</f>
        <v>347417</v>
      </c>
    </row>
    <row r="973">
      <c r="A973" s="13">
        <f>Github!J$1276</f>
        <v>1275</v>
      </c>
      <c r="B973" s="14" t="str">
        <f>HYPERLINK(CONCAT("http://leetcode.com/problems/",Github!C$1276), Github!B$1276)</f>
        <v>Find Winner on a Tic Tac Toe Game</v>
      </c>
      <c r="C973" s="13">
        <f>Github!F$1276</f>
        <v>1145</v>
      </c>
      <c r="D973" s="13">
        <f>Github!G$1276</f>
        <v>282</v>
      </c>
      <c r="E973" s="13">
        <f>Github!F$1276+Github!G$1276</f>
        <v>1427</v>
      </c>
      <c r="F973" s="15">
        <f t="shared" si="1"/>
        <v>4.06</v>
      </c>
      <c r="G973" s="13" t="str">
        <f>ROUND(Github!O$1276, 2)&amp;"%"</f>
        <v>54.28%</v>
      </c>
      <c r="H973" s="13" t="str">
        <f>Github!H$1276</f>
        <v>Algorithms</v>
      </c>
      <c r="I973" s="16" t="str">
        <f>SUBSTITUTE(Github!L$1276, ";", ", ")</f>
        <v>Array, Hash Table, Matrix, Simulation, </v>
      </c>
      <c r="J973" s="13" t="str">
        <f>Github!E$1276</f>
        <v>Easy</v>
      </c>
      <c r="K973" s="13" t="str">
        <f>IF(TRIM(Github!D$1276)="TRUE","FALSE","TRUE")</f>
        <v>TRUE</v>
      </c>
      <c r="L973" s="13" t="b">
        <f>Github!M$1276</f>
        <v>1</v>
      </c>
      <c r="M973" s="13" t="b">
        <f>Github!N$1276</f>
        <v>0</v>
      </c>
      <c r="N973" s="13">
        <f>Github!P$1276</f>
        <v>96405</v>
      </c>
      <c r="O973" s="13">
        <f>Github!Q$1276</f>
        <v>177596</v>
      </c>
    </row>
    <row r="974">
      <c r="A974" s="13">
        <f>Github!J$266</f>
        <v>265</v>
      </c>
      <c r="B974" s="14" t="str">
        <f>HYPERLINK(CONCAT("http://leetcode.com/problems/",Github!C$266), Github!B$266)</f>
        <v>Paint House II</v>
      </c>
      <c r="C974" s="13">
        <f>Github!F$266</f>
        <v>1128</v>
      </c>
      <c r="D974" s="13">
        <f>Github!G$266</f>
        <v>33</v>
      </c>
      <c r="E974" s="13">
        <f>Github!F$266+Github!G$266</f>
        <v>1161</v>
      </c>
      <c r="F974" s="15">
        <f t="shared" si="1"/>
        <v>34.18</v>
      </c>
      <c r="G974" s="13" t="str">
        <f>ROUND(Github!O$266, 2)&amp;"%"</f>
        <v>52.59%</v>
      </c>
      <c r="H974" s="13" t="str">
        <f>Github!H$266</f>
        <v>Algorithms</v>
      </c>
      <c r="I974" s="16" t="str">
        <f>SUBSTITUTE(Github!L$266, ";", ", ")</f>
        <v>Array, Dynamic Programming, </v>
      </c>
      <c r="J974" s="13" t="str">
        <f>Github!E$266</f>
        <v>Hard</v>
      </c>
      <c r="K974" s="13" t="str">
        <f>IF(TRIM(Github!D$266)="TRUE","FALSE","TRUE")</f>
        <v>FALSE</v>
      </c>
      <c r="L974" s="13" t="b">
        <f>Github!M$266</f>
        <v>1</v>
      </c>
      <c r="M974" s="13" t="b">
        <f>Github!N$266</f>
        <v>0</v>
      </c>
      <c r="N974" s="13">
        <f>Github!P$266</f>
        <v>106255</v>
      </c>
      <c r="O974" s="13">
        <f>Github!Q$266</f>
        <v>202032</v>
      </c>
    </row>
    <row r="975">
      <c r="A975" s="13">
        <f>Github!J$1721</f>
        <v>1720</v>
      </c>
      <c r="B975" s="14" t="str">
        <f>HYPERLINK(CONCAT("http://leetcode.com/problems/",Github!C$1721), Github!B$1721)</f>
        <v>Decode XORed Array</v>
      </c>
      <c r="C975" s="13">
        <f>Github!F$1721</f>
        <v>1144</v>
      </c>
      <c r="D975" s="13">
        <f>Github!G$1721</f>
        <v>177</v>
      </c>
      <c r="E975" s="13">
        <f>Github!F$1721+Github!G$1721</f>
        <v>1321</v>
      </c>
      <c r="F975" s="15">
        <f t="shared" si="1"/>
        <v>6.46</v>
      </c>
      <c r="G975" s="13" t="str">
        <f>ROUND(Github!O$1721, 2)&amp;"%"</f>
        <v>85.94%</v>
      </c>
      <c r="H975" s="13" t="str">
        <f>Github!H$1721</f>
        <v>Algorithms</v>
      </c>
      <c r="I975" s="16" t="str">
        <f>SUBSTITUTE(Github!L$1721, ";", ", ")</f>
        <v>Array, Bit Manipulation, </v>
      </c>
      <c r="J975" s="13" t="str">
        <f>Github!E$1721</f>
        <v>Easy</v>
      </c>
      <c r="K975" s="13" t="str">
        <f>IF(TRIM(Github!D$1721)="TRUE","FALSE","TRUE")</f>
        <v>TRUE</v>
      </c>
      <c r="L975" s="13" t="b">
        <f>Github!M$1721</f>
        <v>0</v>
      </c>
      <c r="M975" s="13" t="b">
        <f>Github!N$1721</f>
        <v>0</v>
      </c>
      <c r="N975" s="13">
        <f>Github!P$1721</f>
        <v>99495</v>
      </c>
      <c r="O975" s="13">
        <f>Github!Q$1721</f>
        <v>115768</v>
      </c>
    </row>
    <row r="976">
      <c r="A976" s="13">
        <f>Github!J$1701</f>
        <v>1700</v>
      </c>
      <c r="B976" s="14" t="str">
        <f>HYPERLINK(CONCAT("http://leetcode.com/problems/",Github!C$1701), Github!B$1701)</f>
        <v>Number of Students Unable to Eat Lunch</v>
      </c>
      <c r="C976" s="13">
        <f>Github!F$1701</f>
        <v>1136</v>
      </c>
      <c r="D976" s="13">
        <f>Github!G$1701</f>
        <v>71</v>
      </c>
      <c r="E976" s="13">
        <f>Github!F$1701+Github!G$1701</f>
        <v>1207</v>
      </c>
      <c r="F976" s="15">
        <f t="shared" si="1"/>
        <v>16</v>
      </c>
      <c r="G976" s="13" t="str">
        <f>ROUND(Github!O$1701, 2)&amp;"%"</f>
        <v>68.11%</v>
      </c>
      <c r="H976" s="13" t="str">
        <f>Github!H$1701</f>
        <v>Algorithms</v>
      </c>
      <c r="I976" s="16" t="str">
        <f>SUBSTITUTE(Github!L$1701, ";", ", ")</f>
        <v>Array, Stack, Queue, Simulation, </v>
      </c>
      <c r="J976" s="13" t="str">
        <f>Github!E$1701</f>
        <v>Easy</v>
      </c>
      <c r="K976" s="13" t="str">
        <f>IF(TRIM(Github!D$1701)="TRUE","FALSE","TRUE")</f>
        <v>TRUE</v>
      </c>
      <c r="L976" s="13" t="b">
        <f>Github!M$1701</f>
        <v>0</v>
      </c>
      <c r="M976" s="13" t="b">
        <f>Github!N$1701</f>
        <v>0</v>
      </c>
      <c r="N976" s="13">
        <f>Github!P$1701</f>
        <v>56041</v>
      </c>
      <c r="O976" s="13">
        <f>Github!Q$1701</f>
        <v>82282</v>
      </c>
    </row>
    <row r="977">
      <c r="A977" s="13">
        <f>Github!J$389</f>
        <v>388</v>
      </c>
      <c r="B977" s="14" t="str">
        <f>HYPERLINK(CONCAT("http://leetcode.com/problems/",Github!C$389), Github!B$389)</f>
        <v>Longest Absolute File Path</v>
      </c>
      <c r="C977" s="13">
        <f>Github!F$389</f>
        <v>1122</v>
      </c>
      <c r="D977" s="13">
        <f>Github!G$389</f>
        <v>2295</v>
      </c>
      <c r="E977" s="13">
        <f>Github!F$389+Github!G$389</f>
        <v>3417</v>
      </c>
      <c r="F977" s="15">
        <f t="shared" si="1"/>
        <v>0.49</v>
      </c>
      <c r="G977" s="13" t="str">
        <f>ROUND(Github!O$389, 2)&amp;"%"</f>
        <v>46.58%</v>
      </c>
      <c r="H977" s="13" t="str">
        <f>Github!H$389</f>
        <v>Algorithms</v>
      </c>
      <c r="I977" s="16" t="str">
        <f>SUBSTITUTE(Github!L$389, ";", ", ")</f>
        <v>String, Stack, Depth-First Search, </v>
      </c>
      <c r="J977" s="13" t="str">
        <f>Github!E$389</f>
        <v>Medium</v>
      </c>
      <c r="K977" s="13" t="str">
        <f>IF(TRIM(Github!D$389)="TRUE","FALSE","TRUE")</f>
        <v>TRUE</v>
      </c>
      <c r="L977" s="13" t="b">
        <f>Github!M$389</f>
        <v>0</v>
      </c>
      <c r="M977" s="13" t="b">
        <f>Github!N$389</f>
        <v>0</v>
      </c>
      <c r="N977" s="13">
        <f>Github!P$389</f>
        <v>139407</v>
      </c>
      <c r="O977" s="13">
        <f>Github!Q$389</f>
        <v>299275</v>
      </c>
    </row>
    <row r="978">
      <c r="A978" s="13">
        <f>Github!J$1443</f>
        <v>1442</v>
      </c>
      <c r="B978" s="14" t="str">
        <f>HYPERLINK(CONCAT("http://leetcode.com/problems/",Github!C$1443), Github!B$1443)</f>
        <v>Count Triplets That Can Form Two Arrays of Equal XOR</v>
      </c>
      <c r="C978" s="13">
        <f>Github!F$1443</f>
        <v>1130</v>
      </c>
      <c r="D978" s="13">
        <f>Github!G$1443</f>
        <v>52</v>
      </c>
      <c r="E978" s="13">
        <f>Github!F$1443+Github!G$1443</f>
        <v>1182</v>
      </c>
      <c r="F978" s="15">
        <f t="shared" si="1"/>
        <v>21.73</v>
      </c>
      <c r="G978" s="13" t="str">
        <f>ROUND(Github!O$1443, 2)&amp;"%"</f>
        <v>75.78%</v>
      </c>
      <c r="H978" s="13" t="str">
        <f>Github!H$1443</f>
        <v>Algorithms</v>
      </c>
      <c r="I978" s="16" t="str">
        <f>SUBSTITUTE(Github!L$1443, ";", ", ")</f>
        <v>Array, Hash Table, Math, Bit Manipulation, Prefix Sum, </v>
      </c>
      <c r="J978" s="13" t="str">
        <f>Github!E$1443</f>
        <v>Medium</v>
      </c>
      <c r="K978" s="13" t="str">
        <f>IF(TRIM(Github!D$1443)="TRUE","FALSE","TRUE")</f>
        <v>TRUE</v>
      </c>
      <c r="L978" s="13" t="b">
        <f>Github!M$1443</f>
        <v>0</v>
      </c>
      <c r="M978" s="13" t="b">
        <f>Github!N$1443</f>
        <v>0</v>
      </c>
      <c r="N978" s="13">
        <f>Github!P$1443</f>
        <v>30266</v>
      </c>
      <c r="O978" s="13">
        <f>Github!Q$1443</f>
        <v>39937</v>
      </c>
    </row>
    <row r="979">
      <c r="A979" s="13">
        <f>Github!J$1651</f>
        <v>1650</v>
      </c>
      <c r="B979" s="14" t="str">
        <f>HYPERLINK(CONCAT("http://leetcode.com/problems/",Github!C$1651), Github!B$1651)</f>
        <v>Lowest Common Ancestor of a Binary Tree III</v>
      </c>
      <c r="C979" s="13">
        <f>Github!F$1651</f>
        <v>1119</v>
      </c>
      <c r="D979" s="13">
        <f>Github!G$1651</f>
        <v>39</v>
      </c>
      <c r="E979" s="13">
        <f>Github!F$1651+Github!G$1651</f>
        <v>1158</v>
      </c>
      <c r="F979" s="15">
        <f t="shared" si="1"/>
        <v>28.69</v>
      </c>
      <c r="G979" s="13" t="str">
        <f>ROUND(Github!O$1651, 2)&amp;"%"</f>
        <v>77.31%</v>
      </c>
      <c r="H979" s="13" t="str">
        <f>Github!H$1651</f>
        <v>Algorithms</v>
      </c>
      <c r="I979" s="16" t="str">
        <f>SUBSTITUTE(Github!L$1651, ";", ", ")</f>
        <v>Hash Table, Tree, Binary Tree, </v>
      </c>
      <c r="J979" s="13" t="str">
        <f>Github!E$1651</f>
        <v>Medium</v>
      </c>
      <c r="K979" s="13" t="str">
        <f>IF(TRIM(Github!D$1651)="TRUE","FALSE","TRUE")</f>
        <v>FALSE</v>
      </c>
      <c r="L979" s="13" t="b">
        <f>Github!M$1651</f>
        <v>0</v>
      </c>
      <c r="M979" s="13" t="b">
        <f>Github!N$1651</f>
        <v>0</v>
      </c>
      <c r="N979" s="13">
        <f>Github!P$1651</f>
        <v>154625</v>
      </c>
      <c r="O979" s="13">
        <f>Github!Q$1651</f>
        <v>200019</v>
      </c>
    </row>
    <row r="980">
      <c r="A980" s="13">
        <f>Github!J$849</f>
        <v>848</v>
      </c>
      <c r="B980" s="14" t="str">
        <f>HYPERLINK(CONCAT("http://leetcode.com/problems/",Github!C$849), Github!B$849)</f>
        <v>Shifting Letters</v>
      </c>
      <c r="C980" s="13">
        <f>Github!F$849</f>
        <v>1122</v>
      </c>
      <c r="D980" s="13">
        <f>Github!G$849</f>
        <v>110</v>
      </c>
      <c r="E980" s="13">
        <f>Github!F$849+Github!G$849</f>
        <v>1232</v>
      </c>
      <c r="F980" s="15">
        <f t="shared" si="1"/>
        <v>10.2</v>
      </c>
      <c r="G980" s="13" t="str">
        <f>ROUND(Github!O$849, 2)&amp;"%"</f>
        <v>45.34%</v>
      </c>
      <c r="H980" s="13" t="str">
        <f>Github!H$849</f>
        <v>Algorithms</v>
      </c>
      <c r="I980" s="16" t="str">
        <f>SUBSTITUTE(Github!L$849, ";", ", ")</f>
        <v>Array, String, </v>
      </c>
      <c r="J980" s="13" t="str">
        <f>Github!E$849</f>
        <v>Medium</v>
      </c>
      <c r="K980" s="13" t="str">
        <f>IF(TRIM(Github!D$849)="TRUE","FALSE","TRUE")</f>
        <v>TRUE</v>
      </c>
      <c r="L980" s="13" t="b">
        <f>Github!M$849</f>
        <v>1</v>
      </c>
      <c r="M980" s="13" t="b">
        <f>Github!N$849</f>
        <v>0</v>
      </c>
      <c r="N980" s="13">
        <f>Github!P$849</f>
        <v>82367</v>
      </c>
      <c r="O980" s="13">
        <f>Github!Q$849</f>
        <v>181662</v>
      </c>
    </row>
    <row r="981">
      <c r="A981" s="13">
        <f>Github!J$320</f>
        <v>319</v>
      </c>
      <c r="B981" s="14" t="str">
        <f>HYPERLINK(CONCAT("http://leetcode.com/problems/",Github!C$320), Github!B$320)</f>
        <v>Bulb Switcher</v>
      </c>
      <c r="C981" s="13">
        <f>Github!F$320</f>
        <v>1119</v>
      </c>
      <c r="D981" s="13">
        <f>Github!G$320</f>
        <v>1836</v>
      </c>
      <c r="E981" s="13">
        <f>Github!F$320+Github!G$320</f>
        <v>2955</v>
      </c>
      <c r="F981" s="15">
        <f t="shared" si="1"/>
        <v>0.61</v>
      </c>
      <c r="G981" s="13" t="str">
        <f>ROUND(Github!O$320, 2)&amp;"%"</f>
        <v>48.15%</v>
      </c>
      <c r="H981" s="13" t="str">
        <f>Github!H$320</f>
        <v>Algorithms</v>
      </c>
      <c r="I981" s="16" t="str">
        <f>SUBSTITUTE(Github!L$320, ";", ", ")</f>
        <v>Math, Brainteaser, </v>
      </c>
      <c r="J981" s="13" t="str">
        <f>Github!E$320</f>
        <v>Medium</v>
      </c>
      <c r="K981" s="13" t="str">
        <f>IF(TRIM(Github!D$320)="TRUE","FALSE","TRUE")</f>
        <v>TRUE</v>
      </c>
      <c r="L981" s="13" t="b">
        <f>Github!M$320</f>
        <v>0</v>
      </c>
      <c r="M981" s="13" t="b">
        <f>Github!N$320</f>
        <v>0</v>
      </c>
      <c r="N981" s="13">
        <f>Github!P$320</f>
        <v>126524</v>
      </c>
      <c r="O981" s="13">
        <f>Github!Q$320</f>
        <v>262790</v>
      </c>
    </row>
    <row r="982">
      <c r="A982" s="13">
        <f>Github!J$1864</f>
        <v>1863</v>
      </c>
      <c r="B982" s="14" t="str">
        <f>HYPERLINK(CONCAT("http://leetcode.com/problems/",Github!C$1864), Github!B$1864)</f>
        <v>Sum of All Subset XOR Totals</v>
      </c>
      <c r="C982" s="13">
        <f>Github!F$1864</f>
        <v>1136</v>
      </c>
      <c r="D982" s="13">
        <f>Github!G$1864</f>
        <v>100</v>
      </c>
      <c r="E982" s="13">
        <f>Github!F$1864+Github!G$1864</f>
        <v>1236</v>
      </c>
      <c r="F982" s="15">
        <f t="shared" si="1"/>
        <v>11.36</v>
      </c>
      <c r="G982" s="13" t="str">
        <f>ROUND(Github!O$1864, 2)&amp;"%"</f>
        <v>79.26%</v>
      </c>
      <c r="H982" s="13" t="str">
        <f>Github!H$1864</f>
        <v>Algorithms</v>
      </c>
      <c r="I982" s="16" t="str">
        <f>SUBSTITUTE(Github!L$1864, ";", ", ")</f>
        <v>Array, Math, Backtracking, Bit Manipulation, Combinatorics, </v>
      </c>
      <c r="J982" s="13" t="str">
        <f>Github!E$1864</f>
        <v>Easy</v>
      </c>
      <c r="K982" s="13" t="str">
        <f>IF(TRIM(Github!D$1864)="TRUE","FALSE","TRUE")</f>
        <v>TRUE</v>
      </c>
      <c r="L982" s="13" t="b">
        <f>Github!M$1864</f>
        <v>0</v>
      </c>
      <c r="M982" s="13" t="b">
        <f>Github!N$1864</f>
        <v>0</v>
      </c>
      <c r="N982" s="13">
        <f>Github!P$1864</f>
        <v>47403</v>
      </c>
      <c r="O982" s="13">
        <f>Github!Q$1864</f>
        <v>59809</v>
      </c>
    </row>
    <row r="983">
      <c r="A983" s="13">
        <f>Github!J$1345</f>
        <v>1344</v>
      </c>
      <c r="B983" s="14" t="str">
        <f>HYPERLINK(CONCAT("http://leetcode.com/problems/",Github!C$1345), Github!B$1345)</f>
        <v>Angle Between Hands of a Clock</v>
      </c>
      <c r="C983" s="13">
        <f>Github!F$1345</f>
        <v>1114</v>
      </c>
      <c r="D983" s="13">
        <f>Github!G$1345</f>
        <v>223</v>
      </c>
      <c r="E983" s="13">
        <f>Github!F$1345+Github!G$1345</f>
        <v>1337</v>
      </c>
      <c r="F983" s="15">
        <f t="shared" si="1"/>
        <v>5</v>
      </c>
      <c r="G983" s="13" t="str">
        <f>ROUND(Github!O$1345, 2)&amp;"%"</f>
        <v>63.32%</v>
      </c>
      <c r="H983" s="13" t="str">
        <f>Github!H$1345</f>
        <v>Algorithms</v>
      </c>
      <c r="I983" s="16" t="str">
        <f>SUBSTITUTE(Github!L$1345, ";", ", ")</f>
        <v>Math, </v>
      </c>
      <c r="J983" s="13" t="str">
        <f>Github!E$1345</f>
        <v>Medium</v>
      </c>
      <c r="K983" s="13" t="str">
        <f>IF(TRIM(Github!D$1345)="TRUE","FALSE","TRUE")</f>
        <v>TRUE</v>
      </c>
      <c r="L983" s="13" t="b">
        <f>Github!M$1345</f>
        <v>1</v>
      </c>
      <c r="M983" s="13" t="b">
        <f>Github!N$1345</f>
        <v>0</v>
      </c>
      <c r="N983" s="13">
        <f>Github!P$1345</f>
        <v>102241</v>
      </c>
      <c r="O983" s="13">
        <f>Github!Q$1345</f>
        <v>161460</v>
      </c>
    </row>
    <row r="984">
      <c r="A984" s="13">
        <f>Github!J$402</f>
        <v>401</v>
      </c>
      <c r="B984" s="14" t="str">
        <f>HYPERLINK(CONCAT("http://leetcode.com/problems/",Github!C$402), Github!B$402)</f>
        <v>Binary Watch</v>
      </c>
      <c r="C984" s="13">
        <f>Github!F$402</f>
        <v>1115</v>
      </c>
      <c r="D984" s="13">
        <f>Github!G$402</f>
        <v>2082</v>
      </c>
      <c r="E984" s="13">
        <f>Github!F$402+Github!G$402</f>
        <v>3197</v>
      </c>
      <c r="F984" s="15">
        <f t="shared" si="1"/>
        <v>0.54</v>
      </c>
      <c r="G984" s="13" t="str">
        <f>ROUND(Github!O$402, 2)&amp;"%"</f>
        <v>51.82%</v>
      </c>
      <c r="H984" s="13" t="str">
        <f>Github!H$402</f>
        <v>Algorithms</v>
      </c>
      <c r="I984" s="16" t="str">
        <f>SUBSTITUTE(Github!L$402, ";", ", ")</f>
        <v>Backtracking, Bit Manipulation, </v>
      </c>
      <c r="J984" s="13" t="str">
        <f>Github!E$402</f>
        <v>Easy</v>
      </c>
      <c r="K984" s="13" t="str">
        <f>IF(TRIM(Github!D$402)="TRUE","FALSE","TRUE")</f>
        <v>TRUE</v>
      </c>
      <c r="L984" s="13" t="b">
        <f>Github!M$402</f>
        <v>0</v>
      </c>
      <c r="M984" s="13" t="b">
        <f>Github!N$402</f>
        <v>0</v>
      </c>
      <c r="N984" s="13">
        <f>Github!P$402</f>
        <v>119970</v>
      </c>
      <c r="O984" s="13">
        <f>Github!Q$402</f>
        <v>231512</v>
      </c>
    </row>
    <row r="985">
      <c r="A985" s="13">
        <f>Github!J$856</f>
        <v>855</v>
      </c>
      <c r="B985" s="14" t="str">
        <f>HYPERLINK(CONCAT("http://leetcode.com/problems/",Github!C$856), Github!B$856)</f>
        <v>Exam Room</v>
      </c>
      <c r="C985" s="13">
        <f>Github!F$856</f>
        <v>1121</v>
      </c>
      <c r="D985" s="13">
        <f>Github!G$856</f>
        <v>428</v>
      </c>
      <c r="E985" s="13">
        <f>Github!F$856+Github!G$856</f>
        <v>1549</v>
      </c>
      <c r="F985" s="15">
        <f t="shared" si="1"/>
        <v>2.62</v>
      </c>
      <c r="G985" s="13" t="str">
        <f>ROUND(Github!O$856, 2)&amp;"%"</f>
        <v>43.4%</v>
      </c>
      <c r="H985" s="13" t="str">
        <f>Github!H$856</f>
        <v>Algorithms</v>
      </c>
      <c r="I985" s="16" t="str">
        <f>SUBSTITUTE(Github!L$856, ";", ", ")</f>
        <v>Design, Heap (Priority Queue), Ordered Set, </v>
      </c>
      <c r="J985" s="13" t="str">
        <f>Github!E$856</f>
        <v>Medium</v>
      </c>
      <c r="K985" s="13" t="str">
        <f>IF(TRIM(Github!D$856)="TRUE","FALSE","TRUE")</f>
        <v>TRUE</v>
      </c>
      <c r="L985" s="13" t="b">
        <f>Github!M$856</f>
        <v>0</v>
      </c>
      <c r="M985" s="13" t="b">
        <f>Github!N$856</f>
        <v>0</v>
      </c>
      <c r="N985" s="13">
        <f>Github!P$856</f>
        <v>52616</v>
      </c>
      <c r="O985" s="13">
        <f>Github!Q$856</f>
        <v>121222</v>
      </c>
    </row>
    <row r="986">
      <c r="A986" s="13">
        <f>Github!J$1713</f>
        <v>1712</v>
      </c>
      <c r="B986" s="14" t="str">
        <f>HYPERLINK(CONCAT("http://leetcode.com/problems/",Github!C$1713), Github!B$1713)</f>
        <v>Ways to Split Array Into Three Subarrays</v>
      </c>
      <c r="C986" s="13">
        <f>Github!F$1713</f>
        <v>1113</v>
      </c>
      <c r="D986" s="13">
        <f>Github!G$1713</f>
        <v>88</v>
      </c>
      <c r="E986" s="13">
        <f>Github!F$1713+Github!G$1713</f>
        <v>1201</v>
      </c>
      <c r="F986" s="15">
        <f t="shared" si="1"/>
        <v>12.65</v>
      </c>
      <c r="G986" s="13" t="str">
        <f>ROUND(Github!O$1713, 2)&amp;"%"</f>
        <v>32.58%</v>
      </c>
      <c r="H986" s="13" t="str">
        <f>Github!H$1713</f>
        <v>Algorithms</v>
      </c>
      <c r="I986" s="16" t="str">
        <f>SUBSTITUTE(Github!L$1713, ";", ", ")</f>
        <v>Array, Two Pointers, Binary Search, Prefix Sum, </v>
      </c>
      <c r="J986" s="13" t="str">
        <f>Github!E$1713</f>
        <v>Medium</v>
      </c>
      <c r="K986" s="13" t="str">
        <f>IF(TRIM(Github!D$1713)="TRUE","FALSE","TRUE")</f>
        <v>TRUE</v>
      </c>
      <c r="L986" s="13" t="b">
        <f>Github!M$1713</f>
        <v>0</v>
      </c>
      <c r="M986" s="13" t="b">
        <f>Github!N$1713</f>
        <v>0</v>
      </c>
      <c r="N986" s="13">
        <f>Github!P$1713</f>
        <v>25640</v>
      </c>
      <c r="O986" s="13">
        <f>Github!Q$1713</f>
        <v>78692</v>
      </c>
    </row>
    <row r="987">
      <c r="A987" s="13">
        <f>Github!J$739</f>
        <v>738</v>
      </c>
      <c r="B987" s="14" t="str">
        <f>HYPERLINK(CONCAT("http://leetcode.com/problems/",Github!C$739), Github!B$739)</f>
        <v>Monotone Increasing Digits</v>
      </c>
      <c r="C987" s="13">
        <f>Github!F$739</f>
        <v>1106</v>
      </c>
      <c r="D987" s="13">
        <f>Github!G$739</f>
        <v>92</v>
      </c>
      <c r="E987" s="13">
        <f>Github!F$739+Github!G$739</f>
        <v>1198</v>
      </c>
      <c r="F987" s="15">
        <f t="shared" si="1"/>
        <v>12.02</v>
      </c>
      <c r="G987" s="13" t="str">
        <f>ROUND(Github!O$739, 2)&amp;"%"</f>
        <v>47.14%</v>
      </c>
      <c r="H987" s="13" t="str">
        <f>Github!H$739</f>
        <v>Algorithms</v>
      </c>
      <c r="I987" s="16" t="str">
        <f>SUBSTITUTE(Github!L$739, ";", ", ")</f>
        <v>Math, Greedy, </v>
      </c>
      <c r="J987" s="13" t="str">
        <f>Github!E$739</f>
        <v>Medium</v>
      </c>
      <c r="K987" s="13" t="str">
        <f>IF(TRIM(Github!D$739)="TRUE","FALSE","TRUE")</f>
        <v>TRUE</v>
      </c>
      <c r="L987" s="13" t="b">
        <f>Github!M$739</f>
        <v>0</v>
      </c>
      <c r="M987" s="13" t="b">
        <f>Github!N$739</f>
        <v>0</v>
      </c>
      <c r="N987" s="13">
        <f>Github!P$739</f>
        <v>43000</v>
      </c>
      <c r="O987" s="13">
        <f>Github!Q$739</f>
        <v>91209</v>
      </c>
    </row>
    <row r="988">
      <c r="A988" s="13">
        <f>Github!J$2115</f>
        <v>2114</v>
      </c>
      <c r="B988" s="14" t="str">
        <f>HYPERLINK(CONCAT("http://leetcode.com/problems/",Github!C$2115), Github!B$2115)</f>
        <v>Maximum Number of Words Found in Sentences</v>
      </c>
      <c r="C988" s="13">
        <f>Github!F$2115</f>
        <v>1119</v>
      </c>
      <c r="D988" s="13">
        <f>Github!G$2115</f>
        <v>32</v>
      </c>
      <c r="E988" s="13">
        <f>Github!F$2115+Github!G$2115</f>
        <v>1151</v>
      </c>
      <c r="F988" s="15">
        <f t="shared" si="1"/>
        <v>34.97</v>
      </c>
      <c r="G988" s="13" t="str">
        <f>ROUND(Github!O$2115, 2)&amp;"%"</f>
        <v>87.83%</v>
      </c>
      <c r="H988" s="13" t="str">
        <f>Github!H$2115</f>
        <v>Algorithms</v>
      </c>
      <c r="I988" s="16" t="str">
        <f>SUBSTITUTE(Github!L$2115, ";", ", ")</f>
        <v>Array, String, </v>
      </c>
      <c r="J988" s="13" t="str">
        <f>Github!E$2115</f>
        <v>Easy</v>
      </c>
      <c r="K988" s="13" t="str">
        <f>IF(TRIM(Github!D$2115)="TRUE","FALSE","TRUE")</f>
        <v>TRUE</v>
      </c>
      <c r="L988" s="13" t="b">
        <f>Github!M$2115</f>
        <v>0</v>
      </c>
      <c r="M988" s="13" t="b">
        <f>Github!N$2115</f>
        <v>0</v>
      </c>
      <c r="N988" s="13">
        <f>Github!P$2115</f>
        <v>147155</v>
      </c>
      <c r="O988" s="13">
        <f>Github!Q$2115</f>
        <v>167540</v>
      </c>
    </row>
    <row r="989">
      <c r="A989" s="13">
        <f>Github!J$694</f>
        <v>693</v>
      </c>
      <c r="B989" s="14" t="str">
        <f>HYPERLINK(CONCAT("http://leetcode.com/problems/",Github!C$694), Github!B$694)</f>
        <v>Binary Number with Alternating Bits</v>
      </c>
      <c r="C989" s="13">
        <f>Github!F$694</f>
        <v>1105</v>
      </c>
      <c r="D989" s="13">
        <f>Github!G$694</f>
        <v>106</v>
      </c>
      <c r="E989" s="13">
        <f>Github!F$694+Github!G$694</f>
        <v>1211</v>
      </c>
      <c r="F989" s="15">
        <f t="shared" si="1"/>
        <v>10.42</v>
      </c>
      <c r="G989" s="13" t="str">
        <f>ROUND(Github!O$694, 2)&amp;"%"</f>
        <v>61.37%</v>
      </c>
      <c r="H989" s="13" t="str">
        <f>Github!H$694</f>
        <v>Algorithms</v>
      </c>
      <c r="I989" s="16" t="str">
        <f>SUBSTITUTE(Github!L$694, ";", ", ")</f>
        <v>Bit Manipulation, </v>
      </c>
      <c r="J989" s="13" t="str">
        <f>Github!E$694</f>
        <v>Easy</v>
      </c>
      <c r="K989" s="13" t="str">
        <f>IF(TRIM(Github!D$694)="TRUE","FALSE","TRUE")</f>
        <v>TRUE</v>
      </c>
      <c r="L989" s="13" t="b">
        <f>Github!M$694</f>
        <v>1</v>
      </c>
      <c r="M989" s="13" t="b">
        <f>Github!N$694</f>
        <v>0</v>
      </c>
      <c r="N989" s="13">
        <f>Github!P$694</f>
        <v>106595</v>
      </c>
      <c r="O989" s="13">
        <f>Github!Q$694</f>
        <v>173695</v>
      </c>
    </row>
    <row r="990">
      <c r="A990" s="13">
        <f>Github!J$29</f>
        <v>28</v>
      </c>
      <c r="B990" s="14" t="str">
        <f>HYPERLINK(CONCAT("http://leetcode.com/problems/",Github!C$29), Github!B$29)</f>
        <v>Find the Index of the First Occurrence in a String</v>
      </c>
      <c r="C990" s="13">
        <f>Github!F$29</f>
        <v>1168</v>
      </c>
      <c r="D990" s="13">
        <f>Github!G$29</f>
        <v>89</v>
      </c>
      <c r="E990" s="13">
        <f>Github!F$29+Github!G$29</f>
        <v>1257</v>
      </c>
      <c r="F990" s="15">
        <f t="shared" si="1"/>
        <v>13.12</v>
      </c>
      <c r="G990" s="13" t="str">
        <f>ROUND(Github!O$29, 2)&amp;"%"</f>
        <v>37.81%</v>
      </c>
      <c r="H990" s="13" t="str">
        <f>Github!H$29</f>
        <v>Algorithms</v>
      </c>
      <c r="I990" s="16" t="str">
        <f>SUBSTITUTE(Github!L$29, ";", ", ")</f>
        <v>Two Pointers, String, String Matching, </v>
      </c>
      <c r="J990" s="13" t="str">
        <f>Github!E$29</f>
        <v>Medium</v>
      </c>
      <c r="K990" s="13" t="str">
        <f>IF(TRIM(Github!D$29)="TRUE","FALSE","TRUE")</f>
        <v>TRUE</v>
      </c>
      <c r="L990" s="13" t="b">
        <f>Github!M$29</f>
        <v>0</v>
      </c>
      <c r="M990" s="13" t="b">
        <f>Github!N$29</f>
        <v>0</v>
      </c>
      <c r="N990" s="13">
        <f>Github!P$29</f>
        <v>1497475</v>
      </c>
      <c r="O990" s="13">
        <f>Github!Q$29</f>
        <v>3960482</v>
      </c>
    </row>
    <row r="991">
      <c r="A991" s="13">
        <f>Github!J$1552</f>
        <v>1551</v>
      </c>
      <c r="B991" s="14" t="str">
        <f>HYPERLINK(CONCAT("http://leetcode.com/problems/",Github!C$1552), Github!B$1552)</f>
        <v>Minimum Operations to Make Array Equal</v>
      </c>
      <c r="C991" s="13">
        <f>Github!F$1552</f>
        <v>1102</v>
      </c>
      <c r="D991" s="13">
        <f>Github!G$1552</f>
        <v>155</v>
      </c>
      <c r="E991" s="13">
        <f>Github!F$1552+Github!G$1552</f>
        <v>1257</v>
      </c>
      <c r="F991" s="15">
        <f t="shared" si="1"/>
        <v>7.11</v>
      </c>
      <c r="G991" s="13" t="str">
        <f>ROUND(Github!O$1552, 2)&amp;"%"</f>
        <v>81.2%</v>
      </c>
      <c r="H991" s="13" t="str">
        <f>Github!H$1552</f>
        <v>Algorithms</v>
      </c>
      <c r="I991" s="16" t="str">
        <f>SUBSTITUTE(Github!L$1552, ";", ", ")</f>
        <v>Math, </v>
      </c>
      <c r="J991" s="13" t="str">
        <f>Github!E$1552</f>
        <v>Medium</v>
      </c>
      <c r="K991" s="13" t="str">
        <f>IF(TRIM(Github!D$1552)="TRUE","FALSE","TRUE")</f>
        <v>TRUE</v>
      </c>
      <c r="L991" s="13" t="b">
        <f>Github!M$1552</f>
        <v>1</v>
      </c>
      <c r="M991" s="13" t="b">
        <f>Github!N$1552</f>
        <v>0</v>
      </c>
      <c r="N991" s="13">
        <f>Github!P$1552</f>
        <v>76638</v>
      </c>
      <c r="O991" s="13">
        <f>Github!Q$1552</f>
        <v>94380</v>
      </c>
    </row>
    <row r="992">
      <c r="A992" s="13">
        <f>Github!J$272</f>
        <v>271</v>
      </c>
      <c r="B992" s="14" t="str">
        <f>HYPERLINK(CONCAT("http://leetcode.com/problems/",Github!C$272), Github!B$272)</f>
        <v>Encode and Decode Strings</v>
      </c>
      <c r="C992" s="13">
        <f>Github!F$272</f>
        <v>1099</v>
      </c>
      <c r="D992" s="13">
        <f>Github!G$272</f>
        <v>307</v>
      </c>
      <c r="E992" s="13">
        <f>Github!F$272+Github!G$272</f>
        <v>1406</v>
      </c>
      <c r="F992" s="15">
        <f t="shared" si="1"/>
        <v>3.58</v>
      </c>
      <c r="G992" s="13" t="str">
        <f>ROUND(Github!O$272, 2)&amp;"%"</f>
        <v>42.1%</v>
      </c>
      <c r="H992" s="13" t="str">
        <f>Github!H$272</f>
        <v>Algorithms</v>
      </c>
      <c r="I992" s="16" t="str">
        <f>SUBSTITUTE(Github!L$272, ";", ", ")</f>
        <v>Array, String, Design, </v>
      </c>
      <c r="J992" s="13" t="str">
        <f>Github!E$272</f>
        <v>Medium</v>
      </c>
      <c r="K992" s="13" t="str">
        <f>IF(TRIM(Github!D$272)="TRUE","FALSE","TRUE")</f>
        <v>FALSE</v>
      </c>
      <c r="L992" s="13" t="b">
        <f>Github!M$272</f>
        <v>1</v>
      </c>
      <c r="M992" s="13" t="b">
        <f>Github!N$272</f>
        <v>0</v>
      </c>
      <c r="N992" s="13">
        <f>Github!P$272</f>
        <v>130551</v>
      </c>
      <c r="O992" s="13">
        <f>Github!Q$272</f>
        <v>310082</v>
      </c>
    </row>
    <row r="993">
      <c r="A993" s="13">
        <f>Github!J$727</f>
        <v>726</v>
      </c>
      <c r="B993" s="14" t="str">
        <f>HYPERLINK(CONCAT("http://leetcode.com/problems/",Github!C$727), Github!B$727)</f>
        <v>Number of Atoms</v>
      </c>
      <c r="C993" s="13">
        <f>Github!F$727</f>
        <v>1098</v>
      </c>
      <c r="D993" s="13">
        <f>Github!G$727</f>
        <v>270</v>
      </c>
      <c r="E993" s="13">
        <f>Github!F$727+Github!G$727</f>
        <v>1368</v>
      </c>
      <c r="F993" s="15">
        <f t="shared" si="1"/>
        <v>4.07</v>
      </c>
      <c r="G993" s="13" t="str">
        <f>ROUND(Github!O$727, 2)&amp;"%"</f>
        <v>52.24%</v>
      </c>
      <c r="H993" s="13" t="str">
        <f>Github!H$727</f>
        <v>Algorithms</v>
      </c>
      <c r="I993" s="16" t="str">
        <f>SUBSTITUTE(Github!L$727, ";", ", ")</f>
        <v>Hash Table, String, Stack, Sorting, </v>
      </c>
      <c r="J993" s="13" t="str">
        <f>Github!E$727</f>
        <v>Hard</v>
      </c>
      <c r="K993" s="13" t="str">
        <f>IF(TRIM(Github!D$727)="TRUE","FALSE","TRUE")</f>
        <v>TRUE</v>
      </c>
      <c r="L993" s="13" t="b">
        <f>Github!M$727</f>
        <v>1</v>
      </c>
      <c r="M993" s="13" t="b">
        <f>Github!N$727</f>
        <v>0</v>
      </c>
      <c r="N993" s="13">
        <f>Github!P$727</f>
        <v>51145</v>
      </c>
      <c r="O993" s="13">
        <f>Github!Q$727</f>
        <v>97906</v>
      </c>
    </row>
    <row r="994">
      <c r="A994" s="13">
        <f>Github!J$391</f>
        <v>390</v>
      </c>
      <c r="B994" s="14" t="str">
        <f>HYPERLINK(CONCAT("http://leetcode.com/problems/",Github!C$391), Github!B$391)</f>
        <v>Elimination Game</v>
      </c>
      <c r="C994" s="13">
        <f>Github!F$391</f>
        <v>1104</v>
      </c>
      <c r="D994" s="13">
        <f>Github!G$391</f>
        <v>603</v>
      </c>
      <c r="E994" s="13">
        <f>Github!F$391+Github!G$391</f>
        <v>1707</v>
      </c>
      <c r="F994" s="15">
        <f t="shared" si="1"/>
        <v>1.83</v>
      </c>
      <c r="G994" s="13" t="str">
        <f>ROUND(Github!O$391, 2)&amp;"%"</f>
        <v>46.45%</v>
      </c>
      <c r="H994" s="13" t="str">
        <f>Github!H$391</f>
        <v>Algorithms</v>
      </c>
      <c r="I994" s="16" t="str">
        <f>SUBSTITUTE(Github!L$391, ";", ", ")</f>
        <v>Math, Recursion, </v>
      </c>
      <c r="J994" s="13" t="str">
        <f>Github!E$391</f>
        <v>Medium</v>
      </c>
      <c r="K994" s="13" t="str">
        <f>IF(TRIM(Github!D$391)="TRUE","FALSE","TRUE")</f>
        <v>TRUE</v>
      </c>
      <c r="L994" s="13" t="b">
        <f>Github!M$391</f>
        <v>0</v>
      </c>
      <c r="M994" s="13" t="b">
        <f>Github!N$391</f>
        <v>0</v>
      </c>
      <c r="N994" s="13">
        <f>Github!P$391</f>
        <v>54082</v>
      </c>
      <c r="O994" s="13">
        <f>Github!Q$391</f>
        <v>116434</v>
      </c>
    </row>
    <row r="995">
      <c r="A995" s="13">
        <f>Github!J$879</f>
        <v>878</v>
      </c>
      <c r="B995" s="14" t="str">
        <f>HYPERLINK(CONCAT("http://leetcode.com/problems/",Github!C$879), Github!B$879)</f>
        <v>Nth Magical Number</v>
      </c>
      <c r="C995" s="13">
        <f>Github!F$879</f>
        <v>1091</v>
      </c>
      <c r="D995" s="13">
        <f>Github!G$879</f>
        <v>144</v>
      </c>
      <c r="E995" s="13">
        <f>Github!F$879+Github!G$879</f>
        <v>1235</v>
      </c>
      <c r="F995" s="15">
        <f t="shared" si="1"/>
        <v>7.58</v>
      </c>
      <c r="G995" s="13" t="str">
        <f>ROUND(Github!O$879, 2)&amp;"%"</f>
        <v>35.54%</v>
      </c>
      <c r="H995" s="13" t="str">
        <f>Github!H$879</f>
        <v>Algorithms</v>
      </c>
      <c r="I995" s="16" t="str">
        <f>SUBSTITUTE(Github!L$879, ";", ", ")</f>
        <v>Math, Binary Search, </v>
      </c>
      <c r="J995" s="13" t="str">
        <f>Github!E$879</f>
        <v>Hard</v>
      </c>
      <c r="K995" s="13" t="str">
        <f>IF(TRIM(Github!D$879)="TRUE","FALSE","TRUE")</f>
        <v>TRUE</v>
      </c>
      <c r="L995" s="13" t="b">
        <f>Github!M$879</f>
        <v>1</v>
      </c>
      <c r="M995" s="13" t="b">
        <f>Github!N$879</f>
        <v>0</v>
      </c>
      <c r="N995" s="13">
        <f>Github!P$879</f>
        <v>32142</v>
      </c>
      <c r="O995" s="13">
        <f>Github!Q$879</f>
        <v>90436</v>
      </c>
    </row>
    <row r="996">
      <c r="A996" s="13">
        <f>Github!J$1679</f>
        <v>1678</v>
      </c>
      <c r="B996" s="14" t="str">
        <f>HYPERLINK(CONCAT("http://leetcode.com/problems/",Github!C$1679), Github!B$1679)</f>
        <v>Goal Parser Interpretation</v>
      </c>
      <c r="C996" s="13">
        <f>Github!F$1679</f>
        <v>1101</v>
      </c>
      <c r="D996" s="13">
        <f>Github!G$1679</f>
        <v>78</v>
      </c>
      <c r="E996" s="13">
        <f>Github!F$1679+Github!G$1679</f>
        <v>1179</v>
      </c>
      <c r="F996" s="15">
        <f t="shared" si="1"/>
        <v>14.12</v>
      </c>
      <c r="G996" s="13" t="str">
        <f>ROUND(Github!O$1679, 2)&amp;"%"</f>
        <v>86.2%</v>
      </c>
      <c r="H996" s="13" t="str">
        <f>Github!H$1679</f>
        <v>Algorithms</v>
      </c>
      <c r="I996" s="16" t="str">
        <f>SUBSTITUTE(Github!L$1679, ";", ", ")</f>
        <v>String, </v>
      </c>
      <c r="J996" s="13" t="str">
        <f>Github!E$1679</f>
        <v>Easy</v>
      </c>
      <c r="K996" s="13" t="str">
        <f>IF(TRIM(Github!D$1679)="TRUE","FALSE","TRUE")</f>
        <v>TRUE</v>
      </c>
      <c r="L996" s="13" t="b">
        <f>Github!M$1679</f>
        <v>0</v>
      </c>
      <c r="M996" s="13" t="b">
        <f>Github!N$1679</f>
        <v>0</v>
      </c>
      <c r="N996" s="13">
        <f>Github!P$1679</f>
        <v>156173</v>
      </c>
      <c r="O996" s="13">
        <f>Github!Q$1679</f>
        <v>181186</v>
      </c>
    </row>
    <row r="997">
      <c r="A997" s="13">
        <f>Github!J$962</f>
        <v>961</v>
      </c>
      <c r="B997" s="14" t="str">
        <f>HYPERLINK(CONCAT("http://leetcode.com/problems/",Github!C$962), Github!B$962)</f>
        <v>N-Repeated Element in Size 2N Array</v>
      </c>
      <c r="C997" s="13">
        <f>Github!F$962</f>
        <v>1090</v>
      </c>
      <c r="D997" s="13">
        <f>Github!G$962</f>
        <v>311</v>
      </c>
      <c r="E997" s="13">
        <f>Github!F$962+Github!G$962</f>
        <v>1401</v>
      </c>
      <c r="F997" s="15">
        <f t="shared" si="1"/>
        <v>3.5</v>
      </c>
      <c r="G997" s="13" t="str">
        <f>ROUND(Github!O$962, 2)&amp;"%"</f>
        <v>75.9%</v>
      </c>
      <c r="H997" s="13" t="str">
        <f>Github!H$962</f>
        <v>Algorithms</v>
      </c>
      <c r="I997" s="16" t="str">
        <f>SUBSTITUTE(Github!L$962, ";", ", ")</f>
        <v>Array, Hash Table, </v>
      </c>
      <c r="J997" s="13" t="str">
        <f>Github!E$962</f>
        <v>Easy</v>
      </c>
      <c r="K997" s="13" t="str">
        <f>IF(TRIM(Github!D$962)="TRUE","FALSE","TRUE")</f>
        <v>TRUE</v>
      </c>
      <c r="L997" s="13" t="b">
        <f>Github!M$962</f>
        <v>1</v>
      </c>
      <c r="M997" s="13" t="b">
        <f>Github!N$962</f>
        <v>0</v>
      </c>
      <c r="N997" s="13">
        <f>Github!P$962</f>
        <v>196115</v>
      </c>
      <c r="O997" s="13">
        <f>Github!Q$962</f>
        <v>258375</v>
      </c>
    </row>
    <row r="998">
      <c r="A998" s="13">
        <f>Github!J$885</f>
        <v>884</v>
      </c>
      <c r="B998" s="14" t="str">
        <f>HYPERLINK(CONCAT("http://leetcode.com/problems/",Github!C$885), Github!B$885)</f>
        <v>Uncommon Words from Two Sentences</v>
      </c>
      <c r="C998" s="13">
        <f>Github!F$885</f>
        <v>1092</v>
      </c>
      <c r="D998" s="13">
        <f>Github!G$885</f>
        <v>151</v>
      </c>
      <c r="E998" s="13">
        <f>Github!F$885+Github!G$885</f>
        <v>1243</v>
      </c>
      <c r="F998" s="15">
        <f t="shared" si="1"/>
        <v>7.23</v>
      </c>
      <c r="G998" s="13" t="str">
        <f>ROUND(Github!O$885, 2)&amp;"%"</f>
        <v>66.11%</v>
      </c>
      <c r="H998" s="13" t="str">
        <f>Github!H$885</f>
        <v>Algorithms</v>
      </c>
      <c r="I998" s="16" t="str">
        <f>SUBSTITUTE(Github!L$885, ";", ", ")</f>
        <v>Hash Table, String, </v>
      </c>
      <c r="J998" s="13" t="str">
        <f>Github!E$885</f>
        <v>Easy</v>
      </c>
      <c r="K998" s="13" t="str">
        <f>IF(TRIM(Github!D$885)="TRUE","FALSE","TRUE")</f>
        <v>TRUE</v>
      </c>
      <c r="L998" s="13" t="b">
        <f>Github!M$885</f>
        <v>1</v>
      </c>
      <c r="M998" s="13" t="b">
        <f>Github!N$885</f>
        <v>0</v>
      </c>
      <c r="N998" s="13">
        <f>Github!P$885</f>
        <v>111509</v>
      </c>
      <c r="O998" s="13">
        <f>Github!Q$885</f>
        <v>168679</v>
      </c>
    </row>
    <row r="999">
      <c r="A999" s="13">
        <f>Github!J$365</f>
        <v>364</v>
      </c>
      <c r="B999" s="14" t="str">
        <f>HYPERLINK(CONCAT("http://leetcode.com/problems/",Github!C$365), Github!B$365)</f>
        <v>Nested List Weight Sum II</v>
      </c>
      <c r="C999" s="13">
        <f>Github!F$365</f>
        <v>1080</v>
      </c>
      <c r="D999" s="13">
        <f>Github!G$365</f>
        <v>387</v>
      </c>
      <c r="E999" s="13">
        <f>Github!F$365+Github!G$365</f>
        <v>1467</v>
      </c>
      <c r="F999" s="15">
        <f t="shared" si="1"/>
        <v>2.79</v>
      </c>
      <c r="G999" s="13" t="str">
        <f>ROUND(Github!O$365, 2)&amp;"%"</f>
        <v>66.83%</v>
      </c>
      <c r="H999" s="13" t="str">
        <f>Github!H$365</f>
        <v>Algorithms</v>
      </c>
      <c r="I999" s="16" t="str">
        <f>SUBSTITUTE(Github!L$365, ";", ", ")</f>
        <v>Stack, Depth-First Search, Breadth-First Search, </v>
      </c>
      <c r="J999" s="13" t="str">
        <f>Github!E$365</f>
        <v>Medium</v>
      </c>
      <c r="K999" s="13" t="str">
        <f>IF(TRIM(Github!D$365)="TRUE","FALSE","TRUE")</f>
        <v>FALSE</v>
      </c>
      <c r="L999" s="13" t="b">
        <f>Github!M$365</f>
        <v>1</v>
      </c>
      <c r="M999" s="13" t="b">
        <f>Github!N$365</f>
        <v>0</v>
      </c>
      <c r="N999" s="13">
        <f>Github!P$365</f>
        <v>128042</v>
      </c>
      <c r="O999" s="13">
        <f>Github!Q$365</f>
        <v>191591</v>
      </c>
    </row>
    <row r="1000">
      <c r="A1000" s="13">
        <f>Github!J$1248</f>
        <v>1247</v>
      </c>
      <c r="B1000" s="14" t="str">
        <f>HYPERLINK(CONCAT("http://leetcode.com/problems/",Github!C$1248), Github!B$1248)</f>
        <v>Minimum Swaps to Make Strings Equal</v>
      </c>
      <c r="C1000" s="13">
        <f>Github!F$1248</f>
        <v>1090</v>
      </c>
      <c r="D1000" s="13">
        <f>Github!G$1248</f>
        <v>226</v>
      </c>
      <c r="E1000" s="13">
        <f>Github!F$1248+Github!G$1248</f>
        <v>1316</v>
      </c>
      <c r="F1000" s="15">
        <f t="shared" si="1"/>
        <v>4.82</v>
      </c>
      <c r="G1000" s="13" t="str">
        <f>ROUND(Github!O$1248, 2)&amp;"%"</f>
        <v>63.85%</v>
      </c>
      <c r="H1000" s="13" t="str">
        <f>Github!H$1248</f>
        <v>Algorithms</v>
      </c>
      <c r="I1000" s="16" t="str">
        <f>SUBSTITUTE(Github!L$1248, ";", ", ")</f>
        <v>Math, String, Greedy, </v>
      </c>
      <c r="J1000" s="13" t="str">
        <f>Github!E$1248</f>
        <v>Medium</v>
      </c>
      <c r="K1000" s="13" t="str">
        <f>IF(TRIM(Github!D$1248)="TRUE","FALSE","TRUE")</f>
        <v>TRUE</v>
      </c>
      <c r="L1000" s="13" t="b">
        <f>Github!M$1248</f>
        <v>0</v>
      </c>
      <c r="M1000" s="13" t="b">
        <f>Github!N$1248</f>
        <v>0</v>
      </c>
      <c r="N1000" s="13">
        <f>Github!P$1248</f>
        <v>31864</v>
      </c>
      <c r="O1000" s="13">
        <f>Github!Q$1248</f>
        <v>49901</v>
      </c>
    </row>
    <row r="1001">
      <c r="A1001" s="13">
        <f>Github!J$1043</f>
        <v>1042</v>
      </c>
      <c r="B1001" s="14" t="str">
        <f>HYPERLINK(CONCAT("http://leetcode.com/problems/",Github!C$1043), Github!B$1043)</f>
        <v>Flower Planting With No Adjacent</v>
      </c>
      <c r="C1001" s="13">
        <f>Github!F$1043</f>
        <v>1089</v>
      </c>
      <c r="D1001" s="13">
        <f>Github!G$1043</f>
        <v>682</v>
      </c>
      <c r="E1001" s="13">
        <f>Github!F$1043+Github!G$1043</f>
        <v>1771</v>
      </c>
      <c r="F1001" s="15">
        <f t="shared" si="1"/>
        <v>1.6</v>
      </c>
      <c r="G1001" s="13" t="str">
        <f>ROUND(Github!O$1043, 2)&amp;"%"</f>
        <v>50.48%</v>
      </c>
      <c r="H1001" s="13" t="str">
        <f>Github!H$1043</f>
        <v>Algorithms</v>
      </c>
      <c r="I1001" s="16" t="str">
        <f>SUBSTITUTE(Github!L$1043, ";", ", ")</f>
        <v>Depth-First Search, Breadth-First Search, Graph, </v>
      </c>
      <c r="J1001" s="13" t="str">
        <f>Github!E$1043</f>
        <v>Medium</v>
      </c>
      <c r="K1001" s="13" t="str">
        <f>IF(TRIM(Github!D$1043)="TRUE","FALSE","TRUE")</f>
        <v>TRUE</v>
      </c>
      <c r="L1001" s="13" t="b">
        <f>Github!M$1043</f>
        <v>0</v>
      </c>
      <c r="M1001" s="13" t="b">
        <f>Github!N$1043</f>
        <v>0</v>
      </c>
      <c r="N1001" s="13">
        <f>Github!P$1043</f>
        <v>63522</v>
      </c>
      <c r="O1001" s="13">
        <f>Github!Q$1043</f>
        <v>125848</v>
      </c>
    </row>
    <row r="1002">
      <c r="A1002" s="13">
        <f>Github!J$2150</f>
        <v>2149</v>
      </c>
      <c r="B1002" s="14" t="str">
        <f>HYPERLINK(CONCAT("http://leetcode.com/problems/",Github!C$2150), Github!B$2150)</f>
        <v>Rearrange Array Elements by Sign</v>
      </c>
      <c r="C1002" s="13">
        <f>Github!F$2150</f>
        <v>1126</v>
      </c>
      <c r="D1002" s="13">
        <f>Github!G$2150</f>
        <v>64</v>
      </c>
      <c r="E1002" s="13">
        <f>Github!F$2150+Github!G$2150</f>
        <v>1190</v>
      </c>
      <c r="F1002" s="15">
        <f t="shared" si="1"/>
        <v>17.59</v>
      </c>
      <c r="G1002" s="13" t="str">
        <f>ROUND(Github!O$2150, 2)&amp;"%"</f>
        <v>80.93%</v>
      </c>
      <c r="H1002" s="13" t="str">
        <f>Github!H$2150</f>
        <v>Algorithms</v>
      </c>
      <c r="I1002" s="16" t="str">
        <f>SUBSTITUTE(Github!L$2150, ";", ", ")</f>
        <v>Array, Two Pointers, Simulation, </v>
      </c>
      <c r="J1002" s="13" t="str">
        <f>Github!E$2150</f>
        <v>Medium</v>
      </c>
      <c r="K1002" s="13" t="str">
        <f>IF(TRIM(Github!D$2150)="TRUE","FALSE","TRUE")</f>
        <v>TRUE</v>
      </c>
      <c r="L1002" s="13" t="b">
        <f>Github!M$2150</f>
        <v>0</v>
      </c>
      <c r="M1002" s="13" t="b">
        <f>Github!N$2150</f>
        <v>0</v>
      </c>
      <c r="N1002" s="13">
        <f>Github!P$2150</f>
        <v>59942</v>
      </c>
      <c r="O1002" s="13">
        <f>Github!Q$2150</f>
        <v>74070</v>
      </c>
    </row>
    <row r="1003">
      <c r="A1003" s="13">
        <f>Github!J$910</f>
        <v>909</v>
      </c>
      <c r="B1003" s="14" t="str">
        <f>HYPERLINK(CONCAT("http://leetcode.com/problems/",Github!C$910), Github!B$910)</f>
        <v>Snakes and Ladders</v>
      </c>
      <c r="C1003" s="13">
        <f>Github!F$910</f>
        <v>1083</v>
      </c>
      <c r="D1003" s="13">
        <f>Github!G$910</f>
        <v>281</v>
      </c>
      <c r="E1003" s="13">
        <f>Github!F$910+Github!G$910</f>
        <v>1364</v>
      </c>
      <c r="F1003" s="15">
        <f t="shared" si="1"/>
        <v>3.85</v>
      </c>
      <c r="G1003" s="13" t="str">
        <f>ROUND(Github!O$910, 2)&amp;"%"</f>
        <v>40.86%</v>
      </c>
      <c r="H1003" s="13" t="str">
        <f>Github!H$910</f>
        <v>Algorithms</v>
      </c>
      <c r="I1003" s="16" t="str">
        <f>SUBSTITUTE(Github!L$910, ";", ", ")</f>
        <v>Array, Breadth-First Search, Matrix, </v>
      </c>
      <c r="J1003" s="13" t="str">
        <f>Github!E$910</f>
        <v>Medium</v>
      </c>
      <c r="K1003" s="13" t="str">
        <f>IF(TRIM(Github!D$910)="TRUE","FALSE","TRUE")</f>
        <v>TRUE</v>
      </c>
      <c r="L1003" s="13" t="b">
        <f>Github!M$910</f>
        <v>1</v>
      </c>
      <c r="M1003" s="13" t="b">
        <f>Github!N$910</f>
        <v>0</v>
      </c>
      <c r="N1003" s="13">
        <f>Github!P$910</f>
        <v>88796</v>
      </c>
      <c r="O1003" s="13">
        <f>Github!Q$910</f>
        <v>217319</v>
      </c>
    </row>
    <row r="1004">
      <c r="A1004" s="13">
        <f>Github!J$550</f>
        <v>549</v>
      </c>
      <c r="B1004" s="14" t="str">
        <f>HYPERLINK(CONCAT("http://leetcode.com/problems/",Github!C$550), Github!B$550)</f>
        <v>Binary Tree Longest Consecutive Sequence II</v>
      </c>
      <c r="C1004" s="13">
        <f>Github!F$550</f>
        <v>1065</v>
      </c>
      <c r="D1004" s="13">
        <f>Github!G$550</f>
        <v>85</v>
      </c>
      <c r="E1004" s="13">
        <f>Github!F$550+Github!G$550</f>
        <v>1150</v>
      </c>
      <c r="F1004" s="15">
        <f t="shared" si="1"/>
        <v>12.53</v>
      </c>
      <c r="G1004" s="13" t="str">
        <f>ROUND(Github!O$550, 2)&amp;"%"</f>
        <v>49.45%</v>
      </c>
      <c r="H1004" s="13" t="str">
        <f>Github!H$550</f>
        <v>Algorithms</v>
      </c>
      <c r="I1004" s="16" t="str">
        <f>SUBSTITUTE(Github!L$550, ";", ", ")</f>
        <v>Tree, Depth-First Search, Binary Tree, </v>
      </c>
      <c r="J1004" s="13" t="str">
        <f>Github!E$550</f>
        <v>Medium</v>
      </c>
      <c r="K1004" s="13" t="str">
        <f>IF(TRIM(Github!D$550)="TRUE","FALSE","TRUE")</f>
        <v>FALSE</v>
      </c>
      <c r="L1004" s="13" t="b">
        <f>Github!M$550</f>
        <v>1</v>
      </c>
      <c r="M1004" s="13" t="b">
        <f>Github!N$550</f>
        <v>0</v>
      </c>
      <c r="N1004" s="13">
        <f>Github!P$550</f>
        <v>49202</v>
      </c>
      <c r="O1004" s="13">
        <f>Github!Q$550</f>
        <v>99504</v>
      </c>
    </row>
    <row r="1005">
      <c r="A1005" s="13">
        <f>Github!J$1268</f>
        <v>1267</v>
      </c>
      <c r="B1005" s="14" t="str">
        <f>HYPERLINK(CONCAT("http://leetcode.com/problems/",Github!C$1268), Github!B$1268)</f>
        <v>Count Servers that Communicate</v>
      </c>
      <c r="C1005" s="13">
        <f>Github!F$1268</f>
        <v>1073</v>
      </c>
      <c r="D1005" s="13">
        <f>Github!G$1268</f>
        <v>76</v>
      </c>
      <c r="E1005" s="13">
        <f>Github!F$1268+Github!G$1268</f>
        <v>1149</v>
      </c>
      <c r="F1005" s="15">
        <f t="shared" si="1"/>
        <v>14.12</v>
      </c>
      <c r="G1005" s="13" t="str">
        <f>ROUND(Github!O$1268, 2)&amp;"%"</f>
        <v>59.33%</v>
      </c>
      <c r="H1005" s="13" t="str">
        <f>Github!H$1268</f>
        <v>Algorithms</v>
      </c>
      <c r="I1005" s="16" t="str">
        <f>SUBSTITUTE(Github!L$1268, ";", ", ")</f>
        <v>Array, Depth-First Search, Breadth-First Search, Union Find, Matrix, Counting, </v>
      </c>
      <c r="J1005" s="13" t="str">
        <f>Github!E$1268</f>
        <v>Medium</v>
      </c>
      <c r="K1005" s="13" t="str">
        <f>IF(TRIM(Github!D$1268)="TRUE","FALSE","TRUE")</f>
        <v>TRUE</v>
      </c>
      <c r="L1005" s="13" t="b">
        <f>Github!M$1268</f>
        <v>0</v>
      </c>
      <c r="M1005" s="13" t="b">
        <f>Github!N$1268</f>
        <v>0</v>
      </c>
      <c r="N1005" s="13">
        <f>Github!P$1268</f>
        <v>49513</v>
      </c>
      <c r="O1005" s="13">
        <f>Github!Q$1268</f>
        <v>83458</v>
      </c>
    </row>
    <row r="1006">
      <c r="A1006" s="13">
        <f>Github!J$399</f>
        <v>398</v>
      </c>
      <c r="B1006" s="14" t="str">
        <f>HYPERLINK(CONCAT("http://leetcode.com/problems/",Github!C$399), Github!B$399)</f>
        <v>Random Pick Index</v>
      </c>
      <c r="C1006" s="13">
        <f>Github!F$399</f>
        <v>1068</v>
      </c>
      <c r="D1006" s="13">
        <f>Github!G$399</f>
        <v>1170</v>
      </c>
      <c r="E1006" s="13">
        <f>Github!F$399+Github!G$399</f>
        <v>2238</v>
      </c>
      <c r="F1006" s="15">
        <f t="shared" si="1"/>
        <v>0.91</v>
      </c>
      <c r="G1006" s="13" t="str">
        <f>ROUND(Github!O$399, 2)&amp;"%"</f>
        <v>62.67%</v>
      </c>
      <c r="H1006" s="13" t="str">
        <f>Github!H$399</f>
        <v>Algorithms</v>
      </c>
      <c r="I1006" s="16" t="str">
        <f>SUBSTITUTE(Github!L$399, ";", ", ")</f>
        <v>Hash Table, Math, Reservoir Sampling, Randomized, </v>
      </c>
      <c r="J1006" s="13" t="str">
        <f>Github!E$399</f>
        <v>Medium</v>
      </c>
      <c r="K1006" s="13" t="str">
        <f>IF(TRIM(Github!D$399)="TRUE","FALSE","TRUE")</f>
        <v>TRUE</v>
      </c>
      <c r="L1006" s="13" t="b">
        <f>Github!M$399</f>
        <v>1</v>
      </c>
      <c r="M1006" s="13" t="b">
        <f>Github!N$399</f>
        <v>0</v>
      </c>
      <c r="N1006" s="13">
        <f>Github!P$399</f>
        <v>183971</v>
      </c>
      <c r="O1006" s="13">
        <f>Github!Q$399</f>
        <v>293550</v>
      </c>
    </row>
    <row r="1007">
      <c r="A1007" s="13">
        <f>Github!J$1500</f>
        <v>1499</v>
      </c>
      <c r="B1007" s="14" t="str">
        <f>HYPERLINK(CONCAT("http://leetcode.com/problems/",Github!C$1500), Github!B$1500)</f>
        <v>Max Value of Equation</v>
      </c>
      <c r="C1007" s="13">
        <f>Github!F$1500</f>
        <v>1068</v>
      </c>
      <c r="D1007" s="13">
        <f>Github!G$1500</f>
        <v>36</v>
      </c>
      <c r="E1007" s="13">
        <f>Github!F$1500+Github!G$1500</f>
        <v>1104</v>
      </c>
      <c r="F1007" s="15">
        <f t="shared" si="1"/>
        <v>29.67</v>
      </c>
      <c r="G1007" s="13" t="str">
        <f>ROUND(Github!O$1500, 2)&amp;"%"</f>
        <v>46.15%</v>
      </c>
      <c r="H1007" s="13" t="str">
        <f>Github!H$1500</f>
        <v>Algorithms</v>
      </c>
      <c r="I1007" s="16" t="str">
        <f>SUBSTITUTE(Github!L$1500, ";", ", ")</f>
        <v>Array, Queue, Sliding Window, Heap (Priority Queue), Monotonic Queue, </v>
      </c>
      <c r="J1007" s="13" t="str">
        <f>Github!E$1500</f>
        <v>Hard</v>
      </c>
      <c r="K1007" s="13" t="str">
        <f>IF(TRIM(Github!D$1500)="TRUE","FALSE","TRUE")</f>
        <v>TRUE</v>
      </c>
      <c r="L1007" s="13" t="b">
        <f>Github!M$1500</f>
        <v>0</v>
      </c>
      <c r="M1007" s="13" t="b">
        <f>Github!N$1500</f>
        <v>0</v>
      </c>
      <c r="N1007" s="13">
        <f>Github!P$1500</f>
        <v>35918</v>
      </c>
      <c r="O1007" s="13">
        <f>Github!Q$1500</f>
        <v>77837</v>
      </c>
    </row>
    <row r="1008">
      <c r="A1008" s="13">
        <f>Github!J$397</f>
        <v>396</v>
      </c>
      <c r="B1008" s="14" t="str">
        <f>HYPERLINK(CONCAT("http://leetcode.com/problems/",Github!C$397), Github!B$397)</f>
        <v>Rotate Function</v>
      </c>
      <c r="C1008" s="13">
        <f>Github!F$397</f>
        <v>1116</v>
      </c>
      <c r="D1008" s="13">
        <f>Github!G$397</f>
        <v>234</v>
      </c>
      <c r="E1008" s="13">
        <f>Github!F$397+Github!G$397</f>
        <v>1350</v>
      </c>
      <c r="F1008" s="15">
        <f t="shared" si="1"/>
        <v>4.77</v>
      </c>
      <c r="G1008" s="13" t="str">
        <f>ROUND(Github!O$397, 2)&amp;"%"</f>
        <v>40.63%</v>
      </c>
      <c r="H1008" s="13" t="str">
        <f>Github!H$397</f>
        <v>Algorithms</v>
      </c>
      <c r="I1008" s="16" t="str">
        <f>SUBSTITUTE(Github!L$397, ";", ", ")</f>
        <v>Array, Math, Dynamic Programming, </v>
      </c>
      <c r="J1008" s="13" t="str">
        <f>Github!E$397</f>
        <v>Medium</v>
      </c>
      <c r="K1008" s="13" t="str">
        <f>IF(TRIM(Github!D$397)="TRUE","FALSE","TRUE")</f>
        <v>TRUE</v>
      </c>
      <c r="L1008" s="13" t="b">
        <f>Github!M$397</f>
        <v>0</v>
      </c>
      <c r="M1008" s="13" t="b">
        <f>Github!N$397</f>
        <v>0</v>
      </c>
      <c r="N1008" s="13">
        <f>Github!P$397</f>
        <v>68780</v>
      </c>
      <c r="O1008" s="13">
        <f>Github!Q$397</f>
        <v>169294</v>
      </c>
    </row>
    <row r="1009">
      <c r="A1009" s="13">
        <f>Github!J$1857</f>
        <v>1856</v>
      </c>
      <c r="B1009" s="14" t="str">
        <f>HYPERLINK(CONCAT("http://leetcode.com/problems/",Github!C$1857), Github!B$1857)</f>
        <v>Maximum Subarray Min-Product</v>
      </c>
      <c r="C1009" s="13">
        <f>Github!F$1857</f>
        <v>1078</v>
      </c>
      <c r="D1009" s="13">
        <f>Github!G$1857</f>
        <v>79</v>
      </c>
      <c r="E1009" s="13">
        <f>Github!F$1857+Github!G$1857</f>
        <v>1157</v>
      </c>
      <c r="F1009" s="15">
        <f t="shared" si="1"/>
        <v>13.65</v>
      </c>
      <c r="G1009" s="13" t="str">
        <f>ROUND(Github!O$1857, 2)&amp;"%"</f>
        <v>37.77%</v>
      </c>
      <c r="H1009" s="13" t="str">
        <f>Github!H$1857</f>
        <v>Algorithms</v>
      </c>
      <c r="I1009" s="16" t="str">
        <f>SUBSTITUTE(Github!L$1857, ";", ", ")</f>
        <v>Array, Stack, Monotonic Stack, Prefix Sum, </v>
      </c>
      <c r="J1009" s="13" t="str">
        <f>Github!E$1857</f>
        <v>Medium</v>
      </c>
      <c r="K1009" s="13" t="str">
        <f>IF(TRIM(Github!D$1857)="TRUE","FALSE","TRUE")</f>
        <v>TRUE</v>
      </c>
      <c r="L1009" s="13" t="b">
        <f>Github!M$1857</f>
        <v>0</v>
      </c>
      <c r="M1009" s="13" t="b">
        <f>Github!N$1857</f>
        <v>0</v>
      </c>
      <c r="N1009" s="13">
        <f>Github!P$1857</f>
        <v>19278</v>
      </c>
      <c r="O1009" s="13">
        <f>Github!Q$1857</f>
        <v>51041</v>
      </c>
    </row>
    <row r="1010">
      <c r="A1010" s="13">
        <f>Github!J$1665</f>
        <v>1664</v>
      </c>
      <c r="B1010" s="14" t="str">
        <f>HYPERLINK(CONCAT("http://leetcode.com/problems/",Github!C$1665), Github!B$1665)</f>
        <v>Ways to Make a Fair Array</v>
      </c>
      <c r="C1010" s="13">
        <f>Github!F$1665</f>
        <v>1065</v>
      </c>
      <c r="D1010" s="13">
        <f>Github!G$1665</f>
        <v>30</v>
      </c>
      <c r="E1010" s="13">
        <f>Github!F$1665+Github!G$1665</f>
        <v>1095</v>
      </c>
      <c r="F1010" s="15">
        <f t="shared" si="1"/>
        <v>35.5</v>
      </c>
      <c r="G1010" s="13" t="str">
        <f>ROUND(Github!O$1665, 2)&amp;"%"</f>
        <v>63.31%</v>
      </c>
      <c r="H1010" s="13" t="str">
        <f>Github!H$1665</f>
        <v>Algorithms</v>
      </c>
      <c r="I1010" s="16" t="str">
        <f>SUBSTITUTE(Github!L$1665, ";", ", ")</f>
        <v>Array, Dynamic Programming, </v>
      </c>
      <c r="J1010" s="13" t="str">
        <f>Github!E$1665</f>
        <v>Medium</v>
      </c>
      <c r="K1010" s="13" t="str">
        <f>IF(TRIM(Github!D$1665)="TRUE","FALSE","TRUE")</f>
        <v>TRUE</v>
      </c>
      <c r="L1010" s="13" t="b">
        <f>Github!M$1665</f>
        <v>0</v>
      </c>
      <c r="M1010" s="13" t="b">
        <f>Github!N$1665</f>
        <v>0</v>
      </c>
      <c r="N1010" s="13">
        <f>Github!P$1665</f>
        <v>28723</v>
      </c>
      <c r="O1010" s="13">
        <f>Github!Q$1665</f>
        <v>45370</v>
      </c>
    </row>
    <row r="1011">
      <c r="A1011" s="13">
        <f>Github!J$1463</f>
        <v>1462</v>
      </c>
      <c r="B1011" s="14" t="str">
        <f>HYPERLINK(CONCAT("http://leetcode.com/problems/",Github!C$1463), Github!B$1463)</f>
        <v>Course Schedule IV</v>
      </c>
      <c r="C1011" s="13">
        <f>Github!F$1463</f>
        <v>1068</v>
      </c>
      <c r="D1011" s="13">
        <f>Github!G$1463</f>
        <v>53</v>
      </c>
      <c r="E1011" s="13">
        <f>Github!F$1463+Github!G$1463</f>
        <v>1121</v>
      </c>
      <c r="F1011" s="15">
        <f t="shared" si="1"/>
        <v>20.15</v>
      </c>
      <c r="G1011" s="13" t="str">
        <f>ROUND(Github!O$1463, 2)&amp;"%"</f>
        <v>48.91%</v>
      </c>
      <c r="H1011" s="13" t="str">
        <f>Github!H$1463</f>
        <v>Algorithms</v>
      </c>
      <c r="I1011" s="16" t="str">
        <f>SUBSTITUTE(Github!L$1463, ";", ", ")</f>
        <v>Depth-First Search, Breadth-First Search, Graph, Topological Sort, </v>
      </c>
      <c r="J1011" s="13" t="str">
        <f>Github!E$1463</f>
        <v>Medium</v>
      </c>
      <c r="K1011" s="13" t="str">
        <f>IF(TRIM(Github!D$1463)="TRUE","FALSE","TRUE")</f>
        <v>TRUE</v>
      </c>
      <c r="L1011" s="13" t="b">
        <f>Github!M$1463</f>
        <v>0</v>
      </c>
      <c r="M1011" s="13" t="b">
        <f>Github!N$1463</f>
        <v>0</v>
      </c>
      <c r="N1011" s="13">
        <f>Github!P$1463</f>
        <v>39840</v>
      </c>
      <c r="O1011" s="13">
        <f>Github!Q$1463</f>
        <v>81460</v>
      </c>
    </row>
    <row r="1012">
      <c r="A1012" s="13">
        <f>Github!J$1152</f>
        <v>1151</v>
      </c>
      <c r="B1012" s="14" t="str">
        <f>HYPERLINK(CONCAT("http://leetcode.com/problems/",Github!C$1152), Github!B$1152)</f>
        <v>Minimum Swaps to Group All 1's Together</v>
      </c>
      <c r="C1012" s="13">
        <f>Github!F$1152</f>
        <v>1058</v>
      </c>
      <c r="D1012" s="13">
        <f>Github!G$1152</f>
        <v>14</v>
      </c>
      <c r="E1012" s="13">
        <f>Github!F$1152+Github!G$1152</f>
        <v>1072</v>
      </c>
      <c r="F1012" s="15">
        <f t="shared" si="1"/>
        <v>75.57</v>
      </c>
      <c r="G1012" s="13" t="str">
        <f>ROUND(Github!O$1152, 2)&amp;"%"</f>
        <v>60.86%</v>
      </c>
      <c r="H1012" s="13" t="str">
        <f>Github!H$1152</f>
        <v>Algorithms</v>
      </c>
      <c r="I1012" s="16" t="str">
        <f>SUBSTITUTE(Github!L$1152, ";", ", ")</f>
        <v>Array, Sliding Window, </v>
      </c>
      <c r="J1012" s="13" t="str">
        <f>Github!E$1152</f>
        <v>Medium</v>
      </c>
      <c r="K1012" s="13" t="str">
        <f>IF(TRIM(Github!D$1152)="TRUE","FALSE","TRUE")</f>
        <v>FALSE</v>
      </c>
      <c r="L1012" s="13" t="b">
        <f>Github!M$1152</f>
        <v>1</v>
      </c>
      <c r="M1012" s="13" t="b">
        <f>Github!N$1152</f>
        <v>1</v>
      </c>
      <c r="N1012" s="13">
        <f>Github!P$1152</f>
        <v>54101</v>
      </c>
      <c r="O1012" s="13">
        <f>Github!Q$1152</f>
        <v>88897</v>
      </c>
    </row>
    <row r="1013">
      <c r="A1013" s="13">
        <f>Github!J$1487</f>
        <v>1486</v>
      </c>
      <c r="B1013" s="14" t="str">
        <f>HYPERLINK(CONCAT("http://leetcode.com/problems/",Github!C$1487), Github!B$1487)</f>
        <v>XOR Operation in an Array</v>
      </c>
      <c r="C1013" s="13">
        <f>Github!F$1487</f>
        <v>1062</v>
      </c>
      <c r="D1013" s="13">
        <f>Github!G$1487</f>
        <v>306</v>
      </c>
      <c r="E1013" s="13">
        <f>Github!F$1487+Github!G$1487</f>
        <v>1368</v>
      </c>
      <c r="F1013" s="15">
        <f t="shared" si="1"/>
        <v>3.47</v>
      </c>
      <c r="G1013" s="13" t="str">
        <f>ROUND(Github!O$1487, 2)&amp;"%"</f>
        <v>84.35%</v>
      </c>
      <c r="H1013" s="13" t="str">
        <f>Github!H$1487</f>
        <v>Algorithms</v>
      </c>
      <c r="I1013" s="16" t="str">
        <f>SUBSTITUTE(Github!L$1487, ";", ", ")</f>
        <v>Math, Bit Manipulation, </v>
      </c>
      <c r="J1013" s="13" t="str">
        <f>Github!E$1487</f>
        <v>Easy</v>
      </c>
      <c r="K1013" s="13" t="str">
        <f>IF(TRIM(Github!D$1487)="TRUE","FALSE","TRUE")</f>
        <v>TRUE</v>
      </c>
      <c r="L1013" s="13" t="b">
        <f>Github!M$1487</f>
        <v>0</v>
      </c>
      <c r="M1013" s="13" t="b">
        <f>Github!N$1487</f>
        <v>0</v>
      </c>
      <c r="N1013" s="13">
        <f>Github!P$1487</f>
        <v>143706</v>
      </c>
      <c r="O1013" s="13">
        <f>Github!Q$1487</f>
        <v>170372</v>
      </c>
    </row>
    <row r="1014">
      <c r="A1014" s="13">
        <f>Github!J$1492</f>
        <v>1491</v>
      </c>
      <c r="B1014" s="14" t="str">
        <f>HYPERLINK(CONCAT("http://leetcode.com/problems/",Github!C$1492), Github!B$1492)</f>
        <v>Average Salary Excluding the Minimum and Maximum Salary</v>
      </c>
      <c r="C1014" s="13">
        <f>Github!F$1492</f>
        <v>1068</v>
      </c>
      <c r="D1014" s="13">
        <f>Github!G$1492</f>
        <v>124</v>
      </c>
      <c r="E1014" s="13">
        <f>Github!F$1492+Github!G$1492</f>
        <v>1192</v>
      </c>
      <c r="F1014" s="15">
        <f t="shared" si="1"/>
        <v>8.61</v>
      </c>
      <c r="G1014" s="13" t="str">
        <f>ROUND(Github!O$1492, 2)&amp;"%"</f>
        <v>62.32%</v>
      </c>
      <c r="H1014" s="13" t="str">
        <f>Github!H$1492</f>
        <v>Algorithms</v>
      </c>
      <c r="I1014" s="16" t="str">
        <f>SUBSTITUTE(Github!L$1492, ";", ", ")</f>
        <v>Array, Sorting, </v>
      </c>
      <c r="J1014" s="13" t="str">
        <f>Github!E$1492</f>
        <v>Easy</v>
      </c>
      <c r="K1014" s="13" t="str">
        <f>IF(TRIM(Github!D$1492)="TRUE","FALSE","TRUE")</f>
        <v>TRUE</v>
      </c>
      <c r="L1014" s="13" t="b">
        <f>Github!M$1492</f>
        <v>0</v>
      </c>
      <c r="M1014" s="13" t="b">
        <f>Github!N$1492</f>
        <v>0</v>
      </c>
      <c r="N1014" s="13">
        <f>Github!P$1492</f>
        <v>174052</v>
      </c>
      <c r="O1014" s="13">
        <f>Github!Q$1492</f>
        <v>279297</v>
      </c>
    </row>
    <row r="1015">
      <c r="A1015" s="13">
        <f>Github!J$1367</f>
        <v>1366</v>
      </c>
      <c r="B1015" s="14" t="str">
        <f>HYPERLINK(CONCAT("http://leetcode.com/problems/",Github!C$1367), Github!B$1367)</f>
        <v>Rank Teams by Votes</v>
      </c>
      <c r="C1015" s="13">
        <f>Github!F$1367</f>
        <v>1064</v>
      </c>
      <c r="D1015" s="13">
        <f>Github!G$1367</f>
        <v>124</v>
      </c>
      <c r="E1015" s="13">
        <f>Github!F$1367+Github!G$1367</f>
        <v>1188</v>
      </c>
      <c r="F1015" s="15">
        <f t="shared" si="1"/>
        <v>8.58</v>
      </c>
      <c r="G1015" s="13" t="str">
        <f>ROUND(Github!O$1367, 2)&amp;"%"</f>
        <v>58.09%</v>
      </c>
      <c r="H1015" s="13" t="str">
        <f>Github!H$1367</f>
        <v>Algorithms</v>
      </c>
      <c r="I1015" s="16" t="str">
        <f>SUBSTITUTE(Github!L$1367, ";", ", ")</f>
        <v>Array, Hash Table, String, Sorting, Counting, </v>
      </c>
      <c r="J1015" s="13" t="str">
        <f>Github!E$1367</f>
        <v>Medium</v>
      </c>
      <c r="K1015" s="13" t="str">
        <f>IF(TRIM(Github!D$1367)="TRUE","FALSE","TRUE")</f>
        <v>TRUE</v>
      </c>
      <c r="L1015" s="13" t="b">
        <f>Github!M$1367</f>
        <v>0</v>
      </c>
      <c r="M1015" s="13" t="b">
        <f>Github!N$1367</f>
        <v>0</v>
      </c>
      <c r="N1015" s="13">
        <f>Github!P$1367</f>
        <v>49004</v>
      </c>
      <c r="O1015" s="13">
        <f>Github!Q$1367</f>
        <v>84360</v>
      </c>
    </row>
    <row r="1016">
      <c r="A1016" s="13">
        <f>Github!J$251</f>
        <v>250</v>
      </c>
      <c r="B1016" s="14" t="str">
        <f>HYPERLINK(CONCAT("http://leetcode.com/problems/",Github!C$251), Github!B$251)</f>
        <v>Count Univalue Subtrees</v>
      </c>
      <c r="C1016" s="13">
        <f>Github!F$251</f>
        <v>1055</v>
      </c>
      <c r="D1016" s="13">
        <f>Github!G$251</f>
        <v>365</v>
      </c>
      <c r="E1016" s="13">
        <f>Github!F$251+Github!G$251</f>
        <v>1420</v>
      </c>
      <c r="F1016" s="15">
        <f t="shared" si="1"/>
        <v>2.89</v>
      </c>
      <c r="G1016" s="13" t="str">
        <f>ROUND(Github!O$251, 2)&amp;"%"</f>
        <v>55.3%</v>
      </c>
      <c r="H1016" s="13" t="str">
        <f>Github!H$251</f>
        <v>Algorithms</v>
      </c>
      <c r="I1016" s="16" t="str">
        <f>SUBSTITUTE(Github!L$251, ";", ", ")</f>
        <v>Tree, Depth-First Search, Binary Tree, </v>
      </c>
      <c r="J1016" s="13" t="str">
        <f>Github!E$251</f>
        <v>Medium</v>
      </c>
      <c r="K1016" s="13" t="str">
        <f>IF(TRIM(Github!D$251)="TRUE","FALSE","TRUE")</f>
        <v>FALSE</v>
      </c>
      <c r="L1016" s="13" t="b">
        <f>Github!M$251</f>
        <v>1</v>
      </c>
      <c r="M1016" s="13" t="b">
        <f>Github!N$251</f>
        <v>0</v>
      </c>
      <c r="N1016" s="13">
        <f>Github!P$251</f>
        <v>134587</v>
      </c>
      <c r="O1016" s="13">
        <f>Github!Q$251</f>
        <v>243369</v>
      </c>
    </row>
    <row r="1017">
      <c r="A1017" s="13">
        <f>Github!J$366</f>
        <v>365</v>
      </c>
      <c r="B1017" s="14" t="str">
        <f>HYPERLINK(CONCAT("http://leetcode.com/problems/",Github!C$366), Github!B$366)</f>
        <v>Water and Jug Problem</v>
      </c>
      <c r="C1017" s="13">
        <f>Github!F$366</f>
        <v>1070</v>
      </c>
      <c r="D1017" s="13">
        <f>Github!G$366</f>
        <v>1288</v>
      </c>
      <c r="E1017" s="13">
        <f>Github!F$366+Github!G$366</f>
        <v>2358</v>
      </c>
      <c r="F1017" s="15">
        <f t="shared" si="1"/>
        <v>0.83</v>
      </c>
      <c r="G1017" s="13" t="str">
        <f>ROUND(Github!O$366, 2)&amp;"%"</f>
        <v>36.92%</v>
      </c>
      <c r="H1017" s="13" t="str">
        <f>Github!H$366</f>
        <v>Algorithms</v>
      </c>
      <c r="I1017" s="16" t="str">
        <f>SUBSTITUTE(Github!L$366, ";", ", ")</f>
        <v>Math, Depth-First Search, Breadth-First Search, </v>
      </c>
      <c r="J1017" s="13" t="str">
        <f>Github!E$366</f>
        <v>Medium</v>
      </c>
      <c r="K1017" s="13" t="str">
        <f>IF(TRIM(Github!D$366)="TRUE","FALSE","TRUE")</f>
        <v>TRUE</v>
      </c>
      <c r="L1017" s="13" t="b">
        <f>Github!M$366</f>
        <v>0</v>
      </c>
      <c r="M1017" s="13" t="b">
        <f>Github!N$366</f>
        <v>0</v>
      </c>
      <c r="N1017" s="13">
        <f>Github!P$366</f>
        <v>75580</v>
      </c>
      <c r="O1017" s="13">
        <f>Github!Q$366</f>
        <v>204723</v>
      </c>
    </row>
    <row r="1018">
      <c r="A1018" s="13">
        <f>Github!J$2007</f>
        <v>2006</v>
      </c>
      <c r="B1018" s="14" t="str">
        <f>HYPERLINK(CONCAT("http://leetcode.com/problems/",Github!C$2007), Github!B$2007)</f>
        <v>Count Number of Pairs With Absolute Difference K</v>
      </c>
      <c r="C1018" s="13">
        <f>Github!F$2007</f>
        <v>1068</v>
      </c>
      <c r="D1018" s="13">
        <f>Github!G$2007</f>
        <v>23</v>
      </c>
      <c r="E1018" s="13">
        <f>Github!F$2007+Github!G$2007</f>
        <v>1091</v>
      </c>
      <c r="F1018" s="15">
        <f t="shared" si="1"/>
        <v>46.43</v>
      </c>
      <c r="G1018" s="13" t="str">
        <f>ROUND(Github!O$2007, 2)&amp;"%"</f>
        <v>82.46%</v>
      </c>
      <c r="H1018" s="13" t="str">
        <f>Github!H$2007</f>
        <v>Algorithms</v>
      </c>
      <c r="I1018" s="16" t="str">
        <f>SUBSTITUTE(Github!L$2007, ";", ", ")</f>
        <v>Array, Hash Table, Counting, </v>
      </c>
      <c r="J1018" s="13" t="str">
        <f>Github!E$2007</f>
        <v>Easy</v>
      </c>
      <c r="K1018" s="13" t="str">
        <f>IF(TRIM(Github!D$2007)="TRUE","FALSE","TRUE")</f>
        <v>TRUE</v>
      </c>
      <c r="L1018" s="13" t="b">
        <f>Github!M$2007</f>
        <v>0</v>
      </c>
      <c r="M1018" s="13" t="b">
        <f>Github!N$2007</f>
        <v>0</v>
      </c>
      <c r="N1018" s="13">
        <f>Github!P$2007</f>
        <v>81232</v>
      </c>
      <c r="O1018" s="13">
        <f>Github!Q$2007</f>
        <v>98515</v>
      </c>
    </row>
    <row r="1019">
      <c r="A1019" s="13">
        <f>Github!J$406</f>
        <v>405</v>
      </c>
      <c r="B1019" s="14" t="str">
        <f>HYPERLINK(CONCAT("http://leetcode.com/problems/",Github!C$406), Github!B$406)</f>
        <v>Convert a Number to Hexadecimal</v>
      </c>
      <c r="C1019" s="13">
        <f>Github!F$406</f>
        <v>1054</v>
      </c>
      <c r="D1019" s="13">
        <f>Github!G$406</f>
        <v>188</v>
      </c>
      <c r="E1019" s="13">
        <f>Github!F$406+Github!G$406</f>
        <v>1242</v>
      </c>
      <c r="F1019" s="15">
        <f t="shared" si="1"/>
        <v>5.61</v>
      </c>
      <c r="G1019" s="13" t="str">
        <f>ROUND(Github!O$406, 2)&amp;"%"</f>
        <v>46.31%</v>
      </c>
      <c r="H1019" s="13" t="str">
        <f>Github!H$406</f>
        <v>Algorithms</v>
      </c>
      <c r="I1019" s="16" t="str">
        <f>SUBSTITUTE(Github!L$406, ";", ", ")</f>
        <v>Math, Bit Manipulation, </v>
      </c>
      <c r="J1019" s="13" t="str">
        <f>Github!E$406</f>
        <v>Easy</v>
      </c>
      <c r="K1019" s="13" t="str">
        <f>IF(TRIM(Github!D$406)="TRUE","FALSE","TRUE")</f>
        <v>TRUE</v>
      </c>
      <c r="L1019" s="13" t="b">
        <f>Github!M$406</f>
        <v>0</v>
      </c>
      <c r="M1019" s="13" t="b">
        <f>Github!N$406</f>
        <v>0</v>
      </c>
      <c r="N1019" s="13">
        <f>Github!P$406</f>
        <v>112596</v>
      </c>
      <c r="O1019" s="13">
        <f>Github!Q$406</f>
        <v>243149</v>
      </c>
    </row>
    <row r="1020">
      <c r="A1020" s="13">
        <f>Github!J$1429</f>
        <v>1428</v>
      </c>
      <c r="B1020" s="14" t="str">
        <f>HYPERLINK(CONCAT("http://leetcode.com/problems/",Github!C$1429), Github!B$1429)</f>
        <v>Leftmost Column with at Least a One</v>
      </c>
      <c r="C1020" s="13">
        <f>Github!F$1429</f>
        <v>1101</v>
      </c>
      <c r="D1020" s="13">
        <f>Github!G$1429</f>
        <v>128</v>
      </c>
      <c r="E1020" s="13">
        <f>Github!F$1429+Github!G$1429</f>
        <v>1229</v>
      </c>
      <c r="F1020" s="15">
        <f t="shared" si="1"/>
        <v>8.6</v>
      </c>
      <c r="G1020" s="13" t="str">
        <f>ROUND(Github!O$1429, 2)&amp;"%"</f>
        <v>53.37%</v>
      </c>
      <c r="H1020" s="13" t="str">
        <f>Github!H$1429</f>
        <v>Algorithms</v>
      </c>
      <c r="I1020" s="16" t="str">
        <f>SUBSTITUTE(Github!L$1429, ";", ", ")</f>
        <v>Array, Binary Search, Matrix, Interactive, </v>
      </c>
      <c r="J1020" s="13" t="str">
        <f>Github!E$1429</f>
        <v>Medium</v>
      </c>
      <c r="K1020" s="13" t="str">
        <f>IF(TRIM(Github!D$1429)="TRUE","FALSE","TRUE")</f>
        <v>FALSE</v>
      </c>
      <c r="L1020" s="13" t="b">
        <f>Github!M$1429</f>
        <v>1</v>
      </c>
      <c r="M1020" s="13" t="b">
        <f>Github!N$1429</f>
        <v>0</v>
      </c>
      <c r="N1020" s="13">
        <f>Github!P$1429</f>
        <v>162704</v>
      </c>
      <c r="O1020" s="13">
        <f>Github!Q$1429</f>
        <v>304874</v>
      </c>
    </row>
    <row r="1021">
      <c r="A1021" s="13">
        <f>Github!J$1885</f>
        <v>1884</v>
      </c>
      <c r="B1021" s="14" t="str">
        <f>HYPERLINK(CONCAT("http://leetcode.com/problems/",Github!C$1885), Github!B$1885)</f>
        <v>Egg Drop With 2 Eggs and N Floors</v>
      </c>
      <c r="C1021" s="13">
        <f>Github!F$1885</f>
        <v>1061</v>
      </c>
      <c r="D1021" s="13">
        <f>Github!G$1885</f>
        <v>91</v>
      </c>
      <c r="E1021" s="13">
        <f>Github!F$1885+Github!G$1885</f>
        <v>1152</v>
      </c>
      <c r="F1021" s="15">
        <f t="shared" si="1"/>
        <v>11.66</v>
      </c>
      <c r="G1021" s="13" t="str">
        <f>ROUND(Github!O$1885, 2)&amp;"%"</f>
        <v>70.34%</v>
      </c>
      <c r="H1021" s="13" t="str">
        <f>Github!H$1885</f>
        <v>Algorithms</v>
      </c>
      <c r="I1021" s="16" t="str">
        <f>SUBSTITUTE(Github!L$1885, ";", ", ")</f>
        <v>Math, Dynamic Programming, </v>
      </c>
      <c r="J1021" s="13" t="str">
        <f>Github!E$1885</f>
        <v>Medium</v>
      </c>
      <c r="K1021" s="13" t="str">
        <f>IF(TRIM(Github!D$1885)="TRUE","FALSE","TRUE")</f>
        <v>TRUE</v>
      </c>
      <c r="L1021" s="13" t="b">
        <f>Github!M$1885</f>
        <v>0</v>
      </c>
      <c r="M1021" s="13" t="b">
        <f>Github!N$1885</f>
        <v>0</v>
      </c>
      <c r="N1021" s="13">
        <f>Github!P$1885</f>
        <v>30884</v>
      </c>
      <c r="O1021" s="13">
        <f>Github!Q$1885</f>
        <v>43908</v>
      </c>
    </row>
    <row r="1022">
      <c r="A1022" s="13">
        <f>Github!J$299</f>
        <v>298</v>
      </c>
      <c r="B1022" s="14" t="str">
        <f>HYPERLINK(CONCAT("http://leetcode.com/problems/",Github!C$299), Github!B$299)</f>
        <v>Binary Tree Longest Consecutive Sequence</v>
      </c>
      <c r="C1022" s="13">
        <f>Github!F$299</f>
        <v>1042</v>
      </c>
      <c r="D1022" s="13">
        <f>Github!G$299</f>
        <v>230</v>
      </c>
      <c r="E1022" s="13">
        <f>Github!F$299+Github!G$299</f>
        <v>1272</v>
      </c>
      <c r="F1022" s="15">
        <f t="shared" si="1"/>
        <v>4.53</v>
      </c>
      <c r="G1022" s="13" t="str">
        <f>ROUND(Github!O$299, 2)&amp;"%"</f>
        <v>52.61%</v>
      </c>
      <c r="H1022" s="13" t="str">
        <f>Github!H$299</f>
        <v>Algorithms</v>
      </c>
      <c r="I1022" s="16" t="str">
        <f>SUBSTITUTE(Github!L$299, ";", ", ")</f>
        <v>Tree, Depth-First Search, Binary Tree, </v>
      </c>
      <c r="J1022" s="13" t="str">
        <f>Github!E$299</f>
        <v>Medium</v>
      </c>
      <c r="K1022" s="13" t="str">
        <f>IF(TRIM(Github!D$299)="TRUE","FALSE","TRUE")</f>
        <v>FALSE</v>
      </c>
      <c r="L1022" s="13" t="b">
        <f>Github!M$299</f>
        <v>1</v>
      </c>
      <c r="M1022" s="13" t="b">
        <f>Github!N$299</f>
        <v>0</v>
      </c>
      <c r="N1022" s="13">
        <f>Github!P$299</f>
        <v>135500</v>
      </c>
      <c r="O1022" s="13">
        <f>Github!Q$299</f>
        <v>257550</v>
      </c>
    </row>
    <row r="1023">
      <c r="A1023" s="13">
        <f>Github!J$838</f>
        <v>837</v>
      </c>
      <c r="B1023" s="14" t="str">
        <f>HYPERLINK(CONCAT("http://leetcode.com/problems/",Github!C$838), Github!B$838)</f>
        <v>New 21 Game</v>
      </c>
      <c r="C1023" s="13">
        <f>Github!F$838</f>
        <v>1043</v>
      </c>
      <c r="D1023" s="13">
        <f>Github!G$838</f>
        <v>702</v>
      </c>
      <c r="E1023" s="13">
        <f>Github!F$838+Github!G$838</f>
        <v>1745</v>
      </c>
      <c r="F1023" s="15">
        <f t="shared" si="1"/>
        <v>1.49</v>
      </c>
      <c r="G1023" s="13" t="str">
        <f>ROUND(Github!O$838, 2)&amp;"%"</f>
        <v>36.1%</v>
      </c>
      <c r="H1023" s="13" t="str">
        <f>Github!H$838</f>
        <v>Algorithms</v>
      </c>
      <c r="I1023" s="16" t="str">
        <f>SUBSTITUTE(Github!L$838, ";", ", ")</f>
        <v>Math, Dynamic Programming, Sliding Window, Probability and Statistics, </v>
      </c>
      <c r="J1023" s="13" t="str">
        <f>Github!E$838</f>
        <v>Medium</v>
      </c>
      <c r="K1023" s="13" t="str">
        <f>IF(TRIM(Github!D$838)="TRUE","FALSE","TRUE")</f>
        <v>TRUE</v>
      </c>
      <c r="L1023" s="13" t="b">
        <f>Github!M$838</f>
        <v>1</v>
      </c>
      <c r="M1023" s="13" t="b">
        <f>Github!N$838</f>
        <v>0</v>
      </c>
      <c r="N1023" s="13">
        <f>Github!P$838</f>
        <v>33812</v>
      </c>
      <c r="O1023" s="13">
        <f>Github!Q$838</f>
        <v>93665</v>
      </c>
    </row>
    <row r="1024">
      <c r="A1024" s="13">
        <f>Github!J$806</f>
        <v>805</v>
      </c>
      <c r="B1024" s="14" t="str">
        <f>HYPERLINK(CONCAT("http://leetcode.com/problems/",Github!C$806), Github!B$806)</f>
        <v>Split Array With Same Average</v>
      </c>
      <c r="C1024" s="13">
        <f>Github!F$806</f>
        <v>1048</v>
      </c>
      <c r="D1024" s="13">
        <f>Github!G$806</f>
        <v>126</v>
      </c>
      <c r="E1024" s="13">
        <f>Github!F$806+Github!G$806</f>
        <v>1174</v>
      </c>
      <c r="F1024" s="15">
        <f t="shared" si="1"/>
        <v>8.32</v>
      </c>
      <c r="G1024" s="13" t="str">
        <f>ROUND(Github!O$806, 2)&amp;"%"</f>
        <v>25.76%</v>
      </c>
      <c r="H1024" s="13" t="str">
        <f>Github!H$806</f>
        <v>Algorithms</v>
      </c>
      <c r="I1024" s="16" t="str">
        <f>SUBSTITUTE(Github!L$806, ";", ", ")</f>
        <v>Array, Math, Dynamic Programming, Bit Manipulation, Bitmask, </v>
      </c>
      <c r="J1024" s="13" t="str">
        <f>Github!E$806</f>
        <v>Hard</v>
      </c>
      <c r="K1024" s="13" t="str">
        <f>IF(TRIM(Github!D$806)="TRUE","FALSE","TRUE")</f>
        <v>TRUE</v>
      </c>
      <c r="L1024" s="13" t="b">
        <f>Github!M$806</f>
        <v>0</v>
      </c>
      <c r="M1024" s="13" t="b">
        <f>Github!N$806</f>
        <v>0</v>
      </c>
      <c r="N1024" s="13">
        <f>Github!P$806</f>
        <v>29142</v>
      </c>
      <c r="O1024" s="13">
        <f>Github!Q$806</f>
        <v>113123</v>
      </c>
    </row>
    <row r="1025">
      <c r="A1025" s="13">
        <f>Github!J$676</f>
        <v>675</v>
      </c>
      <c r="B1025" s="14" t="str">
        <f>HYPERLINK(CONCAT("http://leetcode.com/problems/",Github!C$676), Github!B$676)</f>
        <v>Cut Off Trees for Golf Event</v>
      </c>
      <c r="C1025" s="13">
        <f>Github!F$676</f>
        <v>1049</v>
      </c>
      <c r="D1025" s="13">
        <f>Github!G$676</f>
        <v>620</v>
      </c>
      <c r="E1025" s="13">
        <f>Github!F$676+Github!G$676</f>
        <v>1669</v>
      </c>
      <c r="F1025" s="15">
        <f t="shared" si="1"/>
        <v>1.69</v>
      </c>
      <c r="G1025" s="13" t="str">
        <f>ROUND(Github!O$676, 2)&amp;"%"</f>
        <v>34.15%</v>
      </c>
      <c r="H1025" s="13" t="str">
        <f>Github!H$676</f>
        <v>Algorithms</v>
      </c>
      <c r="I1025" s="16" t="str">
        <f>SUBSTITUTE(Github!L$676, ";", ", ")</f>
        <v>Array, Breadth-First Search, Heap (Priority Queue), Matrix, </v>
      </c>
      <c r="J1025" s="13" t="str">
        <f>Github!E$676</f>
        <v>Hard</v>
      </c>
      <c r="K1025" s="13" t="str">
        <f>IF(TRIM(Github!D$676)="TRUE","FALSE","TRUE")</f>
        <v>TRUE</v>
      </c>
      <c r="L1025" s="13" t="b">
        <f>Github!M$676</f>
        <v>1</v>
      </c>
      <c r="M1025" s="13" t="b">
        <f>Github!N$676</f>
        <v>0</v>
      </c>
      <c r="N1025" s="13">
        <f>Github!P$676</f>
        <v>60754</v>
      </c>
      <c r="O1025" s="13">
        <f>Github!Q$676</f>
        <v>177918</v>
      </c>
    </row>
    <row r="1026">
      <c r="A1026" s="13">
        <f>Github!J$778</f>
        <v>777</v>
      </c>
      <c r="B1026" s="14" t="str">
        <f>HYPERLINK(CONCAT("http://leetcode.com/problems/",Github!C$778), Github!B$778)</f>
        <v>Swap Adjacent in LR String</v>
      </c>
      <c r="C1026" s="13">
        <f>Github!F$778</f>
        <v>1041</v>
      </c>
      <c r="D1026" s="13">
        <f>Github!G$778</f>
        <v>855</v>
      </c>
      <c r="E1026" s="13">
        <f>Github!F$778+Github!G$778</f>
        <v>1896</v>
      </c>
      <c r="F1026" s="15">
        <f t="shared" si="1"/>
        <v>1.22</v>
      </c>
      <c r="G1026" s="13" t="str">
        <f>ROUND(Github!O$778, 2)&amp;"%"</f>
        <v>37%</v>
      </c>
      <c r="H1026" s="13" t="str">
        <f>Github!H$778</f>
        <v>Algorithms</v>
      </c>
      <c r="I1026" s="16" t="str">
        <f>SUBSTITUTE(Github!L$778, ";", ", ")</f>
        <v>Two Pointers, String, </v>
      </c>
      <c r="J1026" s="13" t="str">
        <f>Github!E$778</f>
        <v>Medium</v>
      </c>
      <c r="K1026" s="13" t="str">
        <f>IF(TRIM(Github!D$778)="TRUE","FALSE","TRUE")</f>
        <v>TRUE</v>
      </c>
      <c r="L1026" s="13" t="b">
        <f>Github!M$778</f>
        <v>0</v>
      </c>
      <c r="M1026" s="13" t="b">
        <f>Github!N$778</f>
        <v>0</v>
      </c>
      <c r="N1026" s="13">
        <f>Github!P$778</f>
        <v>67743</v>
      </c>
      <c r="O1026" s="13">
        <f>Github!Q$778</f>
        <v>183098</v>
      </c>
    </row>
    <row r="1027">
      <c r="A1027" s="13">
        <f>Github!J$1056</f>
        <v>1055</v>
      </c>
      <c r="B1027" s="14" t="str">
        <f>HYPERLINK(CONCAT("http://leetcode.com/problems/",Github!C$1056), Github!B$1056)</f>
        <v>Shortest Way to Form String</v>
      </c>
      <c r="C1027" s="13">
        <f>Github!F$1056</f>
        <v>1042</v>
      </c>
      <c r="D1027" s="13">
        <f>Github!G$1056</f>
        <v>60</v>
      </c>
      <c r="E1027" s="13">
        <f>Github!F$1056+Github!G$1056</f>
        <v>1102</v>
      </c>
      <c r="F1027" s="15">
        <f t="shared" si="1"/>
        <v>17.37</v>
      </c>
      <c r="G1027" s="13" t="str">
        <f>ROUND(Github!O$1056, 2)&amp;"%"</f>
        <v>59.18%</v>
      </c>
      <c r="H1027" s="13" t="str">
        <f>Github!H$1056</f>
        <v>Algorithms</v>
      </c>
      <c r="I1027" s="16" t="str">
        <f>SUBSTITUTE(Github!L$1056, ";", ", ")</f>
        <v>String, Dynamic Programming, Greedy, </v>
      </c>
      <c r="J1027" s="13" t="str">
        <f>Github!E$1056</f>
        <v>Medium</v>
      </c>
      <c r="K1027" s="13" t="str">
        <f>IF(TRIM(Github!D$1056)="TRUE","FALSE","TRUE")</f>
        <v>FALSE</v>
      </c>
      <c r="L1027" s="13" t="b">
        <f>Github!M$1056</f>
        <v>0</v>
      </c>
      <c r="M1027" s="13" t="b">
        <f>Github!N$1056</f>
        <v>0</v>
      </c>
      <c r="N1027" s="13">
        <f>Github!P$1056</f>
        <v>73610</v>
      </c>
      <c r="O1027" s="13">
        <f>Github!Q$1056</f>
        <v>124382</v>
      </c>
    </row>
    <row r="1028">
      <c r="A1028" s="13">
        <f>Github!J$859</f>
        <v>858</v>
      </c>
      <c r="B1028" s="14" t="str">
        <f>HYPERLINK(CONCAT("http://leetcode.com/problems/",Github!C$859), Github!B$859)</f>
        <v>Mirror Reflection</v>
      </c>
      <c r="C1028" s="13">
        <f>Github!F$859</f>
        <v>1033</v>
      </c>
      <c r="D1028" s="13">
        <f>Github!G$859</f>
        <v>2475</v>
      </c>
      <c r="E1028" s="13">
        <f>Github!F$859+Github!G$859</f>
        <v>3508</v>
      </c>
      <c r="F1028" s="15">
        <f t="shared" si="1"/>
        <v>0.42</v>
      </c>
      <c r="G1028" s="13" t="str">
        <f>ROUND(Github!O$859, 2)&amp;"%"</f>
        <v>63.3%</v>
      </c>
      <c r="H1028" s="13" t="str">
        <f>Github!H$859</f>
        <v>Algorithms</v>
      </c>
      <c r="I1028" s="16" t="str">
        <f>SUBSTITUTE(Github!L$859, ";", ", ")</f>
        <v>Math, Geometry, </v>
      </c>
      <c r="J1028" s="13" t="str">
        <f>Github!E$859</f>
        <v>Medium</v>
      </c>
      <c r="K1028" s="13" t="str">
        <f>IF(TRIM(Github!D$859)="TRUE","FALSE","TRUE")</f>
        <v>TRUE</v>
      </c>
      <c r="L1028" s="13" t="b">
        <f>Github!M$859</f>
        <v>0</v>
      </c>
      <c r="M1028" s="13" t="b">
        <f>Github!N$859</f>
        <v>0</v>
      </c>
      <c r="N1028" s="13">
        <f>Github!P$859</f>
        <v>74793</v>
      </c>
      <c r="O1028" s="13">
        <f>Github!Q$859</f>
        <v>118152</v>
      </c>
    </row>
    <row r="1029">
      <c r="A1029" s="13">
        <f>Github!J$256</f>
        <v>255</v>
      </c>
      <c r="B1029" s="14" t="str">
        <f>HYPERLINK(CONCAT("http://leetcode.com/problems/",Github!C$256), Github!B$256)</f>
        <v>Verify Preorder Sequence in Binary Search Tree</v>
      </c>
      <c r="C1029" s="13">
        <f>Github!F$256</f>
        <v>1039</v>
      </c>
      <c r="D1029" s="13">
        <f>Github!G$256</f>
        <v>76</v>
      </c>
      <c r="E1029" s="13">
        <f>Github!F$256+Github!G$256</f>
        <v>1115</v>
      </c>
      <c r="F1029" s="15">
        <f t="shared" si="1"/>
        <v>13.67</v>
      </c>
      <c r="G1029" s="13" t="str">
        <f>ROUND(Github!O$256, 2)&amp;"%"</f>
        <v>48.11%</v>
      </c>
      <c r="H1029" s="13" t="str">
        <f>Github!H$256</f>
        <v>Algorithms</v>
      </c>
      <c r="I1029" s="16" t="str">
        <f>SUBSTITUTE(Github!L$256, ";", ", ")</f>
        <v>Stack, Tree, Binary Search Tree, Recursion, Monotonic Stack, Binary Tree, </v>
      </c>
      <c r="J1029" s="13" t="str">
        <f>Github!E$256</f>
        <v>Medium</v>
      </c>
      <c r="K1029" s="13" t="str">
        <f>IF(TRIM(Github!D$256)="TRUE","FALSE","TRUE")</f>
        <v>FALSE</v>
      </c>
      <c r="L1029" s="13" t="b">
        <f>Github!M$256</f>
        <v>0</v>
      </c>
      <c r="M1029" s="13" t="b">
        <f>Github!N$256</f>
        <v>0</v>
      </c>
      <c r="N1029" s="13">
        <f>Github!P$256</f>
        <v>69085</v>
      </c>
      <c r="O1029" s="13">
        <f>Github!Q$256</f>
        <v>143602</v>
      </c>
    </row>
    <row r="1030">
      <c r="A1030" s="13">
        <f>Github!J$385</f>
        <v>384</v>
      </c>
      <c r="B1030" s="14" t="str">
        <f>HYPERLINK(CONCAT("http://leetcode.com/problems/",Github!C$385), Github!B$385)</f>
        <v>Shuffle an Array</v>
      </c>
      <c r="C1030" s="13">
        <f>Github!F$385</f>
        <v>1051</v>
      </c>
      <c r="D1030" s="13">
        <f>Github!G$385</f>
        <v>805</v>
      </c>
      <c r="E1030" s="13">
        <f>Github!F$385+Github!G$385</f>
        <v>1856</v>
      </c>
      <c r="F1030" s="15">
        <f t="shared" si="1"/>
        <v>1.31</v>
      </c>
      <c r="G1030" s="13" t="str">
        <f>ROUND(Github!O$385, 2)&amp;"%"</f>
        <v>57.78%</v>
      </c>
      <c r="H1030" s="13" t="str">
        <f>Github!H$385</f>
        <v>Algorithms</v>
      </c>
      <c r="I1030" s="16" t="str">
        <f>SUBSTITUTE(Github!L$385, ";", ", ")</f>
        <v>Array, Math, Randomized, </v>
      </c>
      <c r="J1030" s="13" t="str">
        <f>Github!E$385</f>
        <v>Medium</v>
      </c>
      <c r="K1030" s="13" t="str">
        <f>IF(TRIM(Github!D$385)="TRUE","FALSE","TRUE")</f>
        <v>TRUE</v>
      </c>
      <c r="L1030" s="13" t="b">
        <f>Github!M$385</f>
        <v>1</v>
      </c>
      <c r="M1030" s="13" t="b">
        <f>Github!N$385</f>
        <v>0</v>
      </c>
      <c r="N1030" s="13">
        <f>Github!P$385</f>
        <v>292171</v>
      </c>
      <c r="O1030" s="13">
        <f>Github!Q$385</f>
        <v>505690</v>
      </c>
    </row>
    <row r="1031">
      <c r="A1031" s="13">
        <f>Github!J$1911</f>
        <v>1910</v>
      </c>
      <c r="B1031" s="14" t="str">
        <f>HYPERLINK(CONCAT("http://leetcode.com/problems/",Github!C$1911), Github!B$1911)</f>
        <v>Remove All Occurrences of a Substring</v>
      </c>
      <c r="C1031" s="13">
        <f>Github!F$1911</f>
        <v>1066</v>
      </c>
      <c r="D1031" s="13">
        <f>Github!G$1911</f>
        <v>44</v>
      </c>
      <c r="E1031" s="13">
        <f>Github!F$1911+Github!G$1911</f>
        <v>1110</v>
      </c>
      <c r="F1031" s="15">
        <f t="shared" si="1"/>
        <v>24.23</v>
      </c>
      <c r="G1031" s="13" t="str">
        <f>ROUND(Github!O$1911, 2)&amp;"%"</f>
        <v>74.12%</v>
      </c>
      <c r="H1031" s="13" t="str">
        <f>Github!H$1911</f>
        <v>Algorithms</v>
      </c>
      <c r="I1031" s="16" t="str">
        <f>SUBSTITUTE(Github!L$1911, ";", ", ")</f>
        <v>String, </v>
      </c>
      <c r="J1031" s="13" t="str">
        <f>Github!E$1911</f>
        <v>Medium</v>
      </c>
      <c r="K1031" s="13" t="str">
        <f>IF(TRIM(Github!D$1911)="TRUE","FALSE","TRUE")</f>
        <v>TRUE</v>
      </c>
      <c r="L1031" s="13" t="b">
        <f>Github!M$1911</f>
        <v>0</v>
      </c>
      <c r="M1031" s="13" t="b">
        <f>Github!N$1911</f>
        <v>0</v>
      </c>
      <c r="N1031" s="13">
        <f>Github!P$1911</f>
        <v>48596</v>
      </c>
      <c r="O1031" s="13">
        <f>Github!Q$1911</f>
        <v>65566</v>
      </c>
    </row>
    <row r="1032">
      <c r="A1032" s="13">
        <f>Github!J$398</f>
        <v>397</v>
      </c>
      <c r="B1032" s="14" t="str">
        <f>HYPERLINK(CONCAT("http://leetcode.com/problems/",Github!C$398), Github!B$398)</f>
        <v>Integer Replacement</v>
      </c>
      <c r="C1032" s="13">
        <f>Github!F$398</f>
        <v>1038</v>
      </c>
      <c r="D1032" s="13">
        <f>Github!G$398</f>
        <v>456</v>
      </c>
      <c r="E1032" s="13">
        <f>Github!F$398+Github!G$398</f>
        <v>1494</v>
      </c>
      <c r="F1032" s="15">
        <f t="shared" si="1"/>
        <v>2.28</v>
      </c>
      <c r="G1032" s="13" t="str">
        <f>ROUND(Github!O$398, 2)&amp;"%"</f>
        <v>35.19%</v>
      </c>
      <c r="H1032" s="13" t="str">
        <f>Github!H$398</f>
        <v>Algorithms</v>
      </c>
      <c r="I1032" s="16" t="str">
        <f>SUBSTITUTE(Github!L$398, ";", ", ")</f>
        <v>Dynamic Programming, Greedy, Bit Manipulation, Memoization, </v>
      </c>
      <c r="J1032" s="13" t="str">
        <f>Github!E$398</f>
        <v>Medium</v>
      </c>
      <c r="K1032" s="13" t="str">
        <f>IF(TRIM(Github!D$398)="TRUE","FALSE","TRUE")</f>
        <v>TRUE</v>
      </c>
      <c r="L1032" s="13" t="b">
        <f>Github!M$398</f>
        <v>0</v>
      </c>
      <c r="M1032" s="13" t="b">
        <f>Github!N$398</f>
        <v>0</v>
      </c>
      <c r="N1032" s="13">
        <f>Github!P$398</f>
        <v>93803</v>
      </c>
      <c r="O1032" s="13">
        <f>Github!Q$398</f>
        <v>266556</v>
      </c>
    </row>
    <row r="1033">
      <c r="A1033" s="13">
        <f>Github!J$709</f>
        <v>708</v>
      </c>
      <c r="B1033" s="14" t="str">
        <f>HYPERLINK(CONCAT("http://leetcode.com/problems/",Github!C$709), Github!B$709)</f>
        <v>Insert into a Sorted Circular Linked List</v>
      </c>
      <c r="C1033" s="13">
        <f>Github!F$709</f>
        <v>1026</v>
      </c>
      <c r="D1033" s="13">
        <f>Github!G$709</f>
        <v>685</v>
      </c>
      <c r="E1033" s="13">
        <f>Github!F$709+Github!G$709</f>
        <v>1711</v>
      </c>
      <c r="F1033" s="15">
        <f t="shared" si="1"/>
        <v>1.5</v>
      </c>
      <c r="G1033" s="13" t="str">
        <f>ROUND(Github!O$709, 2)&amp;"%"</f>
        <v>34.51%</v>
      </c>
      <c r="H1033" s="13" t="str">
        <f>Github!H$709</f>
        <v>Algorithms</v>
      </c>
      <c r="I1033" s="16" t="str">
        <f>SUBSTITUTE(Github!L$709, ";", ", ")</f>
        <v>Linked List, </v>
      </c>
      <c r="J1033" s="13" t="str">
        <f>Github!E$709</f>
        <v>Medium</v>
      </c>
      <c r="K1033" s="13" t="str">
        <f>IF(TRIM(Github!D$709)="TRUE","FALSE","TRUE")</f>
        <v>FALSE</v>
      </c>
      <c r="L1033" s="13" t="b">
        <f>Github!M$709</f>
        <v>1</v>
      </c>
      <c r="M1033" s="13" t="b">
        <f>Github!N$709</f>
        <v>0</v>
      </c>
      <c r="N1033" s="13">
        <f>Github!P$709</f>
        <v>127254</v>
      </c>
      <c r="O1033" s="13">
        <f>Github!Q$709</f>
        <v>368743</v>
      </c>
    </row>
    <row r="1034">
      <c r="A1034" s="13">
        <f>Github!J$1749</f>
        <v>1748</v>
      </c>
      <c r="B1034" s="14" t="str">
        <f>HYPERLINK(CONCAT("http://leetcode.com/problems/",Github!C$1749), Github!B$1749)</f>
        <v>Sum of Unique Elements</v>
      </c>
      <c r="C1034" s="13">
        <f>Github!F$1749</f>
        <v>1038</v>
      </c>
      <c r="D1034" s="13">
        <f>Github!G$1749</f>
        <v>22</v>
      </c>
      <c r="E1034" s="13">
        <f>Github!F$1749+Github!G$1749</f>
        <v>1060</v>
      </c>
      <c r="F1034" s="15">
        <f t="shared" si="1"/>
        <v>47.18</v>
      </c>
      <c r="G1034" s="13" t="str">
        <f>ROUND(Github!O$1749, 2)&amp;"%"</f>
        <v>75.84%</v>
      </c>
      <c r="H1034" s="13" t="str">
        <f>Github!H$1749</f>
        <v>Algorithms</v>
      </c>
      <c r="I1034" s="16" t="str">
        <f>SUBSTITUTE(Github!L$1749, ";", ", ")</f>
        <v>Array, Hash Table, Counting, </v>
      </c>
      <c r="J1034" s="13" t="str">
        <f>Github!E$1749</f>
        <v>Easy</v>
      </c>
      <c r="K1034" s="13" t="str">
        <f>IF(TRIM(Github!D$1749)="TRUE","FALSE","TRUE")</f>
        <v>TRUE</v>
      </c>
      <c r="L1034" s="13" t="b">
        <f>Github!M$1749</f>
        <v>0</v>
      </c>
      <c r="M1034" s="13" t="b">
        <f>Github!N$1749</f>
        <v>0</v>
      </c>
      <c r="N1034" s="13">
        <f>Github!P$1749</f>
        <v>101625</v>
      </c>
      <c r="O1034" s="13">
        <f>Github!Q$1749</f>
        <v>133993</v>
      </c>
    </row>
    <row r="1035">
      <c r="A1035" s="13">
        <f>Github!J$1016</f>
        <v>1015</v>
      </c>
      <c r="B1035" s="14" t="str">
        <f>HYPERLINK(CONCAT("http://leetcode.com/problems/",Github!C$1016), Github!B$1016)</f>
        <v>Smallest Integer Divisible by K</v>
      </c>
      <c r="C1035" s="13">
        <f>Github!F$1016</f>
        <v>1028</v>
      </c>
      <c r="D1035" s="13">
        <f>Github!G$1016</f>
        <v>833</v>
      </c>
      <c r="E1035" s="13">
        <f>Github!F$1016+Github!G$1016</f>
        <v>1861</v>
      </c>
      <c r="F1035" s="15">
        <f t="shared" si="1"/>
        <v>1.23</v>
      </c>
      <c r="G1035" s="13" t="str">
        <f>ROUND(Github!O$1016, 2)&amp;"%"</f>
        <v>47%</v>
      </c>
      <c r="H1035" s="13" t="str">
        <f>Github!H$1016</f>
        <v>Algorithms</v>
      </c>
      <c r="I1035" s="16" t="str">
        <f>SUBSTITUTE(Github!L$1016, ";", ", ")</f>
        <v>Hash Table, Math, </v>
      </c>
      <c r="J1035" s="13" t="str">
        <f>Github!E$1016</f>
        <v>Medium</v>
      </c>
      <c r="K1035" s="13" t="str">
        <f>IF(TRIM(Github!D$1016)="TRUE","FALSE","TRUE")</f>
        <v>TRUE</v>
      </c>
      <c r="L1035" s="13" t="b">
        <f>Github!M$1016</f>
        <v>1</v>
      </c>
      <c r="M1035" s="13" t="b">
        <f>Github!N$1016</f>
        <v>0</v>
      </c>
      <c r="N1035" s="13">
        <f>Github!P$1016</f>
        <v>57950</v>
      </c>
      <c r="O1035" s="13">
        <f>Github!Q$1016</f>
        <v>123296</v>
      </c>
    </row>
    <row r="1036">
      <c r="A1036" s="13">
        <f>Github!J$1887</f>
        <v>1886</v>
      </c>
      <c r="B1036" s="14" t="str">
        <f>HYPERLINK(CONCAT("http://leetcode.com/problems/",Github!C$1887), Github!B$1887)</f>
        <v>Determine Whether Matrix Can Be Obtained By Rotation</v>
      </c>
      <c r="C1036" s="13">
        <f>Github!F$1887</f>
        <v>1047</v>
      </c>
      <c r="D1036" s="13">
        <f>Github!G$1887</f>
        <v>85</v>
      </c>
      <c r="E1036" s="13">
        <f>Github!F$1887+Github!G$1887</f>
        <v>1132</v>
      </c>
      <c r="F1036" s="15">
        <f t="shared" si="1"/>
        <v>12.32</v>
      </c>
      <c r="G1036" s="13" t="str">
        <f>ROUND(Github!O$1887, 2)&amp;"%"</f>
        <v>55.44%</v>
      </c>
      <c r="H1036" s="13" t="str">
        <f>Github!H$1887</f>
        <v>Algorithms</v>
      </c>
      <c r="I1036" s="16" t="str">
        <f>SUBSTITUTE(Github!L$1887, ";", ", ")</f>
        <v>Array, Matrix, </v>
      </c>
      <c r="J1036" s="13" t="str">
        <f>Github!E$1887</f>
        <v>Easy</v>
      </c>
      <c r="K1036" s="13" t="str">
        <f>IF(TRIM(Github!D$1887)="TRUE","FALSE","TRUE")</f>
        <v>TRUE</v>
      </c>
      <c r="L1036" s="13" t="b">
        <f>Github!M$1887</f>
        <v>0</v>
      </c>
      <c r="M1036" s="13" t="b">
        <f>Github!N$1887</f>
        <v>0</v>
      </c>
      <c r="N1036" s="13">
        <f>Github!P$1887</f>
        <v>47420</v>
      </c>
      <c r="O1036" s="13">
        <f>Github!Q$1887</f>
        <v>85530</v>
      </c>
    </row>
    <row r="1037">
      <c r="A1037" s="13">
        <f>Github!J$297</f>
        <v>296</v>
      </c>
      <c r="B1037" s="14" t="str">
        <f>HYPERLINK(CONCAT("http://leetcode.com/problems/",Github!C$297), Github!B$297)</f>
        <v>Best Meeting Point</v>
      </c>
      <c r="C1037" s="13">
        <f>Github!F$297</f>
        <v>1023</v>
      </c>
      <c r="D1037" s="13">
        <f>Github!G$297</f>
        <v>85</v>
      </c>
      <c r="E1037" s="13">
        <f>Github!F$297+Github!G$297</f>
        <v>1108</v>
      </c>
      <c r="F1037" s="15">
        <f t="shared" si="1"/>
        <v>12.04</v>
      </c>
      <c r="G1037" s="13" t="str">
        <f>ROUND(Github!O$297, 2)&amp;"%"</f>
        <v>60.08%</v>
      </c>
      <c r="H1037" s="13" t="str">
        <f>Github!H$297</f>
        <v>Algorithms</v>
      </c>
      <c r="I1037" s="16" t="str">
        <f>SUBSTITUTE(Github!L$297, ";", ", ")</f>
        <v>Array, Math, Sorting, Matrix, </v>
      </c>
      <c r="J1037" s="13" t="str">
        <f>Github!E$297</f>
        <v>Hard</v>
      </c>
      <c r="K1037" s="13" t="str">
        <f>IF(TRIM(Github!D$297)="TRUE","FALSE","TRUE")</f>
        <v>FALSE</v>
      </c>
      <c r="L1037" s="13" t="b">
        <f>Github!M$297</f>
        <v>1</v>
      </c>
      <c r="M1037" s="13" t="b">
        <f>Github!N$297</f>
        <v>0</v>
      </c>
      <c r="N1037" s="13">
        <f>Github!P$297</f>
        <v>65879</v>
      </c>
      <c r="O1037" s="13">
        <f>Github!Q$297</f>
        <v>109647</v>
      </c>
    </row>
    <row r="1038">
      <c r="A1038" s="13">
        <f>Github!J$583</f>
        <v>582</v>
      </c>
      <c r="B1038" s="14" t="str">
        <f>HYPERLINK(CONCAT("http://leetcode.com/problems/",Github!C$583), Github!B$583)</f>
        <v>Kill Process</v>
      </c>
      <c r="C1038" s="13">
        <f>Github!F$583</f>
        <v>1026</v>
      </c>
      <c r="D1038" s="13">
        <f>Github!G$583</f>
        <v>19</v>
      </c>
      <c r="E1038" s="13">
        <f>Github!F$583+Github!G$583</f>
        <v>1045</v>
      </c>
      <c r="F1038" s="15">
        <f t="shared" si="1"/>
        <v>54</v>
      </c>
      <c r="G1038" s="13" t="str">
        <f>ROUND(Github!O$583, 2)&amp;"%"</f>
        <v>68.58%</v>
      </c>
      <c r="H1038" s="13" t="str">
        <f>Github!H$583</f>
        <v>Algorithms</v>
      </c>
      <c r="I1038" s="16" t="str">
        <f>SUBSTITUTE(Github!L$583, ";", ", ")</f>
        <v>Array, Hash Table, Tree, Depth-First Search, Breadth-First Search, </v>
      </c>
      <c r="J1038" s="13" t="str">
        <f>Github!E$583</f>
        <v>Medium</v>
      </c>
      <c r="K1038" s="13" t="str">
        <f>IF(TRIM(Github!D$583)="TRUE","FALSE","TRUE")</f>
        <v>FALSE</v>
      </c>
      <c r="L1038" s="13" t="b">
        <f>Github!M$583</f>
        <v>1</v>
      </c>
      <c r="M1038" s="13" t="b">
        <f>Github!N$583</f>
        <v>1</v>
      </c>
      <c r="N1038" s="13">
        <f>Github!P$583</f>
        <v>77174</v>
      </c>
      <c r="O1038" s="13">
        <f>Github!Q$583</f>
        <v>112534</v>
      </c>
    </row>
    <row r="1039">
      <c r="A1039" s="13">
        <f>Github!J$2182</f>
        <v>2181</v>
      </c>
      <c r="B1039" s="14" t="str">
        <f>HYPERLINK(CONCAT("http://leetcode.com/problems/",Github!C$2182), Github!B$2182)</f>
        <v>Merge Nodes in Between Zeros</v>
      </c>
      <c r="C1039" s="13">
        <f>Github!F$2182</f>
        <v>1049</v>
      </c>
      <c r="D1039" s="13">
        <f>Github!G$2182</f>
        <v>20</v>
      </c>
      <c r="E1039" s="13">
        <f>Github!F$2182+Github!G$2182</f>
        <v>1069</v>
      </c>
      <c r="F1039" s="15">
        <f t="shared" si="1"/>
        <v>52.45</v>
      </c>
      <c r="G1039" s="13" t="str">
        <f>ROUND(Github!O$2182, 2)&amp;"%"</f>
        <v>86.71%</v>
      </c>
      <c r="H1039" s="13" t="str">
        <f>Github!H$2182</f>
        <v>Algorithms</v>
      </c>
      <c r="I1039" s="16" t="str">
        <f>SUBSTITUTE(Github!L$2182, ";", ", ")</f>
        <v>Linked List, Simulation, </v>
      </c>
      <c r="J1039" s="13" t="str">
        <f>Github!E$2182</f>
        <v>Medium</v>
      </c>
      <c r="K1039" s="13" t="str">
        <f>IF(TRIM(Github!D$2182)="TRUE","FALSE","TRUE")</f>
        <v>TRUE</v>
      </c>
      <c r="L1039" s="13" t="b">
        <f>Github!M$2182</f>
        <v>0</v>
      </c>
      <c r="M1039" s="13" t="b">
        <f>Github!N$2182</f>
        <v>0</v>
      </c>
      <c r="N1039" s="13">
        <f>Github!P$2182</f>
        <v>61811</v>
      </c>
      <c r="O1039" s="13">
        <f>Github!Q$2182</f>
        <v>71286</v>
      </c>
    </row>
    <row r="1040">
      <c r="A1040" s="13">
        <f>Github!J$1571</f>
        <v>1570</v>
      </c>
      <c r="B1040" s="14" t="str">
        <f>HYPERLINK(CONCAT("http://leetcode.com/problems/",Github!C$1571), Github!B$1571)</f>
        <v>Dot Product of Two Sparse Vectors</v>
      </c>
      <c r="C1040" s="13">
        <f>Github!F$1571</f>
        <v>1023</v>
      </c>
      <c r="D1040" s="13">
        <f>Github!G$1571</f>
        <v>136</v>
      </c>
      <c r="E1040" s="13">
        <f>Github!F$1571+Github!G$1571</f>
        <v>1159</v>
      </c>
      <c r="F1040" s="15">
        <f t="shared" si="1"/>
        <v>7.52</v>
      </c>
      <c r="G1040" s="13" t="str">
        <f>ROUND(Github!O$1571, 2)&amp;"%"</f>
        <v>90.36%</v>
      </c>
      <c r="H1040" s="13" t="str">
        <f>Github!H$1571</f>
        <v>Algorithms</v>
      </c>
      <c r="I1040" s="16" t="str">
        <f>SUBSTITUTE(Github!L$1571, ";", ", ")</f>
        <v>Array, Hash Table, Two Pointers, Design, </v>
      </c>
      <c r="J1040" s="13" t="str">
        <f>Github!E$1571</f>
        <v>Medium</v>
      </c>
      <c r="K1040" s="13" t="str">
        <f>IF(TRIM(Github!D$1571)="TRUE","FALSE","TRUE")</f>
        <v>FALSE</v>
      </c>
      <c r="L1040" s="13" t="b">
        <f>Github!M$1571</f>
        <v>1</v>
      </c>
      <c r="M1040" s="13" t="b">
        <f>Github!N$1571</f>
        <v>0</v>
      </c>
      <c r="N1040" s="13">
        <f>Github!P$1571</f>
        <v>179468</v>
      </c>
      <c r="O1040" s="13">
        <f>Github!Q$1571</f>
        <v>198612</v>
      </c>
    </row>
    <row r="1041">
      <c r="A1041" s="13">
        <f>Github!J$840</f>
        <v>839</v>
      </c>
      <c r="B1041" s="14" t="str">
        <f>HYPERLINK(CONCAT("http://leetcode.com/problems/",Github!C$840), Github!B$840)</f>
        <v>Similar String Groups</v>
      </c>
      <c r="C1041" s="13">
        <f>Github!F$840</f>
        <v>1021</v>
      </c>
      <c r="D1041" s="13">
        <f>Github!G$840</f>
        <v>180</v>
      </c>
      <c r="E1041" s="13">
        <f>Github!F$840+Github!G$840</f>
        <v>1201</v>
      </c>
      <c r="F1041" s="15">
        <f t="shared" si="1"/>
        <v>5.67</v>
      </c>
      <c r="G1041" s="13" t="str">
        <f>ROUND(Github!O$840, 2)&amp;"%"</f>
        <v>47.82%</v>
      </c>
      <c r="H1041" s="13" t="str">
        <f>Github!H$840</f>
        <v>Algorithms</v>
      </c>
      <c r="I1041" s="16" t="str">
        <f>SUBSTITUTE(Github!L$840, ";", ", ")</f>
        <v>Array, String, Depth-First Search, Breadth-First Search, Union Find, </v>
      </c>
      <c r="J1041" s="13" t="str">
        <f>Github!E$840</f>
        <v>Hard</v>
      </c>
      <c r="K1041" s="13" t="str">
        <f>IF(TRIM(Github!D$840)="TRUE","FALSE","TRUE")</f>
        <v>TRUE</v>
      </c>
      <c r="L1041" s="13" t="b">
        <f>Github!M$840</f>
        <v>0</v>
      </c>
      <c r="M1041" s="13" t="b">
        <f>Github!N$840</f>
        <v>0</v>
      </c>
      <c r="N1041" s="13">
        <f>Github!P$840</f>
        <v>62671</v>
      </c>
      <c r="O1041" s="13">
        <f>Github!Q$840</f>
        <v>131061</v>
      </c>
    </row>
    <row r="1042">
      <c r="A1042" s="13">
        <f>Github!J$1055</f>
        <v>1054</v>
      </c>
      <c r="B1042" s="14" t="str">
        <f>HYPERLINK(CONCAT("http://leetcode.com/problems/",Github!C$1055), Github!B$1055)</f>
        <v>Distant Barcodes</v>
      </c>
      <c r="C1042" s="13">
        <f>Github!F$1055</f>
        <v>1023</v>
      </c>
      <c r="D1042" s="13">
        <f>Github!G$1055</f>
        <v>41</v>
      </c>
      <c r="E1042" s="13">
        <f>Github!F$1055+Github!G$1055</f>
        <v>1064</v>
      </c>
      <c r="F1042" s="15">
        <f t="shared" si="1"/>
        <v>24.95</v>
      </c>
      <c r="G1042" s="13" t="str">
        <f>ROUND(Github!O$1055, 2)&amp;"%"</f>
        <v>45.74%</v>
      </c>
      <c r="H1042" s="13" t="str">
        <f>Github!H$1055</f>
        <v>Algorithms</v>
      </c>
      <c r="I1042" s="16" t="str">
        <f>SUBSTITUTE(Github!L$1055, ";", ", ")</f>
        <v>Array, Hash Table, Greedy, Sorting, Heap (Priority Queue), Counting, </v>
      </c>
      <c r="J1042" s="13" t="str">
        <f>Github!E$1055</f>
        <v>Medium</v>
      </c>
      <c r="K1042" s="13" t="str">
        <f>IF(TRIM(Github!D$1055)="TRUE","FALSE","TRUE")</f>
        <v>TRUE</v>
      </c>
      <c r="L1042" s="13" t="b">
        <f>Github!M$1055</f>
        <v>0</v>
      </c>
      <c r="M1042" s="13" t="b">
        <f>Github!N$1055</f>
        <v>0</v>
      </c>
      <c r="N1042" s="13">
        <f>Github!P$1055</f>
        <v>34539</v>
      </c>
      <c r="O1042" s="13">
        <f>Github!Q$1055</f>
        <v>75508</v>
      </c>
    </row>
    <row r="1043">
      <c r="A1043" s="13">
        <f>Github!J$1654</f>
        <v>1653</v>
      </c>
      <c r="B1043" s="14" t="str">
        <f>HYPERLINK(CONCAT("http://leetcode.com/problems/",Github!C$1654), Github!B$1654)</f>
        <v>Minimum Deletions to Make String Balanced</v>
      </c>
      <c r="C1043" s="13">
        <f>Github!F$1654</f>
        <v>1022</v>
      </c>
      <c r="D1043" s="13">
        <f>Github!G$1654</f>
        <v>28</v>
      </c>
      <c r="E1043" s="13">
        <f>Github!F$1654+Github!G$1654</f>
        <v>1050</v>
      </c>
      <c r="F1043" s="15">
        <f t="shared" si="1"/>
        <v>36.5</v>
      </c>
      <c r="G1043" s="13" t="str">
        <f>ROUND(Github!O$1654, 2)&amp;"%"</f>
        <v>58.92%</v>
      </c>
      <c r="H1043" s="13" t="str">
        <f>Github!H$1654</f>
        <v>Algorithms</v>
      </c>
      <c r="I1043" s="16" t="str">
        <f>SUBSTITUTE(Github!L$1654, ";", ", ")</f>
        <v>String, Dynamic Programming, Stack, </v>
      </c>
      <c r="J1043" s="13" t="str">
        <f>Github!E$1654</f>
        <v>Medium</v>
      </c>
      <c r="K1043" s="13" t="str">
        <f>IF(TRIM(Github!D$1654)="TRUE","FALSE","TRUE")</f>
        <v>TRUE</v>
      </c>
      <c r="L1043" s="13" t="b">
        <f>Github!M$1654</f>
        <v>0</v>
      </c>
      <c r="M1043" s="13" t="b">
        <f>Github!N$1654</f>
        <v>0</v>
      </c>
      <c r="N1043" s="13">
        <f>Github!P$1654</f>
        <v>31387</v>
      </c>
      <c r="O1043" s="13">
        <f>Github!Q$1654</f>
        <v>53270</v>
      </c>
    </row>
    <row r="1044">
      <c r="A1044" s="13">
        <f>Github!J$255</f>
        <v>254</v>
      </c>
      <c r="B1044" s="14" t="str">
        <f>HYPERLINK(CONCAT("http://leetcode.com/problems/",Github!C$255), Github!B$255)</f>
        <v>Factor Combinations</v>
      </c>
      <c r="C1044" s="13">
        <f>Github!F$255</f>
        <v>1019</v>
      </c>
      <c r="D1044" s="13">
        <f>Github!G$255</f>
        <v>60</v>
      </c>
      <c r="E1044" s="13">
        <f>Github!F$255+Github!G$255</f>
        <v>1079</v>
      </c>
      <c r="F1044" s="15">
        <f t="shared" si="1"/>
        <v>16.98</v>
      </c>
      <c r="G1044" s="13" t="str">
        <f>ROUND(Github!O$255, 2)&amp;"%"</f>
        <v>48.93%</v>
      </c>
      <c r="H1044" s="13" t="str">
        <f>Github!H$255</f>
        <v>Algorithms</v>
      </c>
      <c r="I1044" s="16" t="str">
        <f>SUBSTITUTE(Github!L$255, ";", ", ")</f>
        <v>Array, Backtracking, </v>
      </c>
      <c r="J1044" s="13" t="str">
        <f>Github!E$255</f>
        <v>Medium</v>
      </c>
      <c r="K1044" s="13" t="str">
        <f>IF(TRIM(Github!D$255)="TRUE","FALSE","TRUE")</f>
        <v>FALSE</v>
      </c>
      <c r="L1044" s="13" t="b">
        <f>Github!M$255</f>
        <v>0</v>
      </c>
      <c r="M1044" s="13" t="b">
        <f>Github!N$255</f>
        <v>0</v>
      </c>
      <c r="N1044" s="13">
        <f>Github!P$255</f>
        <v>117524</v>
      </c>
      <c r="O1044" s="13">
        <f>Github!Q$255</f>
        <v>240208</v>
      </c>
    </row>
    <row r="1045">
      <c r="A1045" s="13">
        <f>Github!J$426</f>
        <v>425</v>
      </c>
      <c r="B1045" s="14" t="str">
        <f>HYPERLINK(CONCAT("http://leetcode.com/problems/",Github!C$426), Github!B$426)</f>
        <v>Word Squares</v>
      </c>
      <c r="C1045" s="13">
        <f>Github!F$426</f>
        <v>1011</v>
      </c>
      <c r="D1045" s="13">
        <f>Github!G$426</f>
        <v>66</v>
      </c>
      <c r="E1045" s="13">
        <f>Github!F$426+Github!G$426</f>
        <v>1077</v>
      </c>
      <c r="F1045" s="15">
        <f t="shared" si="1"/>
        <v>15.32</v>
      </c>
      <c r="G1045" s="13" t="str">
        <f>ROUND(Github!O$426, 2)&amp;"%"</f>
        <v>52.66%</v>
      </c>
      <c r="H1045" s="13" t="str">
        <f>Github!H$426</f>
        <v>Algorithms</v>
      </c>
      <c r="I1045" s="16" t="str">
        <f>SUBSTITUTE(Github!L$426, ";", ", ")</f>
        <v>Array, String, Backtracking, Trie, </v>
      </c>
      <c r="J1045" s="13" t="str">
        <f>Github!E$426</f>
        <v>Hard</v>
      </c>
      <c r="K1045" s="13" t="str">
        <f>IF(TRIM(Github!D$426)="TRUE","FALSE","TRUE")</f>
        <v>FALSE</v>
      </c>
      <c r="L1045" s="13" t="b">
        <f>Github!M$426</f>
        <v>1</v>
      </c>
      <c r="M1045" s="13" t="b">
        <f>Github!N$426</f>
        <v>0</v>
      </c>
      <c r="N1045" s="13">
        <f>Github!P$426</f>
        <v>68278</v>
      </c>
      <c r="O1045" s="13">
        <f>Github!Q$426</f>
        <v>129647</v>
      </c>
    </row>
    <row r="1046">
      <c r="A1046" s="13">
        <f>Github!J$1627</f>
        <v>1626</v>
      </c>
      <c r="B1046" s="14" t="str">
        <f>HYPERLINK(CONCAT("http://leetcode.com/problems/",Github!C$1627), Github!B$1627)</f>
        <v>Best Team With No Conflicts</v>
      </c>
      <c r="C1046" s="13">
        <f>Github!F$1627</f>
        <v>1014</v>
      </c>
      <c r="D1046" s="13">
        <f>Github!G$1627</f>
        <v>31</v>
      </c>
      <c r="E1046" s="13">
        <f>Github!F$1627+Github!G$1627</f>
        <v>1045</v>
      </c>
      <c r="F1046" s="15">
        <f t="shared" si="1"/>
        <v>32.71</v>
      </c>
      <c r="G1046" s="13" t="str">
        <f>ROUND(Github!O$1627, 2)&amp;"%"</f>
        <v>41.17%</v>
      </c>
      <c r="H1046" s="13" t="str">
        <f>Github!H$1627</f>
        <v>Algorithms</v>
      </c>
      <c r="I1046" s="16" t="str">
        <f>SUBSTITUTE(Github!L$1627, ";", ", ")</f>
        <v>Array, Dynamic Programming, Sorting, </v>
      </c>
      <c r="J1046" s="13" t="str">
        <f>Github!E$1627</f>
        <v>Medium</v>
      </c>
      <c r="K1046" s="13" t="str">
        <f>IF(TRIM(Github!D$1627)="TRUE","FALSE","TRUE")</f>
        <v>TRUE</v>
      </c>
      <c r="L1046" s="13" t="b">
        <f>Github!M$1627</f>
        <v>1</v>
      </c>
      <c r="M1046" s="13" t="b">
        <f>Github!N$1627</f>
        <v>0</v>
      </c>
      <c r="N1046" s="13">
        <f>Github!P$1627</f>
        <v>22703</v>
      </c>
      <c r="O1046" s="13">
        <f>Github!Q$1627</f>
        <v>55146</v>
      </c>
    </row>
    <row r="1047">
      <c r="A1047" s="13">
        <f>Github!J$1426</f>
        <v>1425</v>
      </c>
      <c r="B1047" s="14" t="str">
        <f>HYPERLINK(CONCAT("http://leetcode.com/problems/",Github!C$1426), Github!B$1426)</f>
        <v>Constrained Subsequence Sum</v>
      </c>
      <c r="C1047" s="13">
        <f>Github!F$1426</f>
        <v>1013</v>
      </c>
      <c r="D1047" s="13">
        <f>Github!G$1426</f>
        <v>41</v>
      </c>
      <c r="E1047" s="13">
        <f>Github!F$1426+Github!G$1426</f>
        <v>1054</v>
      </c>
      <c r="F1047" s="15">
        <f t="shared" si="1"/>
        <v>24.71</v>
      </c>
      <c r="G1047" s="13" t="str">
        <f>ROUND(Github!O$1426, 2)&amp;"%"</f>
        <v>47.41%</v>
      </c>
      <c r="H1047" s="13" t="str">
        <f>Github!H$1426</f>
        <v>Algorithms</v>
      </c>
      <c r="I1047" s="16" t="str">
        <f>SUBSTITUTE(Github!L$1426, ";", ", ")</f>
        <v>Array, Dynamic Programming, Queue, Sliding Window, Heap (Priority Queue), Monotonic Queue, </v>
      </c>
      <c r="J1047" s="13" t="str">
        <f>Github!E$1426</f>
        <v>Hard</v>
      </c>
      <c r="K1047" s="13" t="str">
        <f>IF(TRIM(Github!D$1426)="TRUE","FALSE","TRUE")</f>
        <v>TRUE</v>
      </c>
      <c r="L1047" s="13" t="b">
        <f>Github!M$1426</f>
        <v>0</v>
      </c>
      <c r="M1047" s="13" t="b">
        <f>Github!N$1426</f>
        <v>0</v>
      </c>
      <c r="N1047" s="13">
        <f>Github!P$1426</f>
        <v>22978</v>
      </c>
      <c r="O1047" s="13">
        <f>Github!Q$1426</f>
        <v>48465</v>
      </c>
    </row>
    <row r="1048">
      <c r="A1048" s="13">
        <f>Github!J$1440</f>
        <v>1439</v>
      </c>
      <c r="B1048" s="14" t="str">
        <f>HYPERLINK(CONCAT("http://leetcode.com/problems/",Github!C$1440), Github!B$1440)</f>
        <v>Find the Kth Smallest Sum of a Matrix With Sorted Rows</v>
      </c>
      <c r="C1048" s="13">
        <f>Github!F$1440</f>
        <v>1011</v>
      </c>
      <c r="D1048" s="13">
        <f>Github!G$1440</f>
        <v>14</v>
      </c>
      <c r="E1048" s="13">
        <f>Github!F$1440+Github!G$1440</f>
        <v>1025</v>
      </c>
      <c r="F1048" s="15">
        <f t="shared" si="1"/>
        <v>72.21</v>
      </c>
      <c r="G1048" s="13" t="str">
        <f>ROUND(Github!O$1440, 2)&amp;"%"</f>
        <v>61.45%</v>
      </c>
      <c r="H1048" s="13" t="str">
        <f>Github!H$1440</f>
        <v>Algorithms</v>
      </c>
      <c r="I1048" s="16" t="str">
        <f>SUBSTITUTE(Github!L$1440, ";", ", ")</f>
        <v>Array, Binary Search, Heap (Priority Queue), Matrix, </v>
      </c>
      <c r="J1048" s="13" t="str">
        <f>Github!E$1440</f>
        <v>Hard</v>
      </c>
      <c r="K1048" s="13" t="str">
        <f>IF(TRIM(Github!D$1440)="TRUE","FALSE","TRUE")</f>
        <v>TRUE</v>
      </c>
      <c r="L1048" s="13" t="b">
        <f>Github!M$1440</f>
        <v>0</v>
      </c>
      <c r="M1048" s="13" t="b">
        <f>Github!N$1440</f>
        <v>0</v>
      </c>
      <c r="N1048" s="13">
        <f>Github!P$1440</f>
        <v>27895</v>
      </c>
      <c r="O1048" s="13">
        <f>Github!Q$1440</f>
        <v>45392</v>
      </c>
    </row>
    <row r="1049">
      <c r="A1049" s="13">
        <f>Github!J$419</f>
        <v>418</v>
      </c>
      <c r="B1049" s="14" t="str">
        <f>HYPERLINK(CONCAT("http://leetcode.com/problems/",Github!C$419), Github!B$419)</f>
        <v>Sentence Screen Fitting</v>
      </c>
      <c r="C1049" s="13">
        <f>Github!F$419</f>
        <v>1013</v>
      </c>
      <c r="D1049" s="13">
        <f>Github!G$419</f>
        <v>506</v>
      </c>
      <c r="E1049" s="13">
        <f>Github!F$419+Github!G$419</f>
        <v>1519</v>
      </c>
      <c r="F1049" s="15">
        <f t="shared" si="1"/>
        <v>2</v>
      </c>
      <c r="G1049" s="13" t="str">
        <f>ROUND(Github!O$419, 2)&amp;"%"</f>
        <v>35.55%</v>
      </c>
      <c r="H1049" s="13" t="str">
        <f>Github!H$419</f>
        <v>Algorithms</v>
      </c>
      <c r="I1049" s="16" t="str">
        <f>SUBSTITUTE(Github!L$419, ";", ", ")</f>
        <v>String, Dynamic Programming, Simulation, </v>
      </c>
      <c r="J1049" s="13" t="str">
        <f>Github!E$419</f>
        <v>Medium</v>
      </c>
      <c r="K1049" s="13" t="str">
        <f>IF(TRIM(Github!D$419)="TRUE","FALSE","TRUE")</f>
        <v>FALSE</v>
      </c>
      <c r="L1049" s="13" t="b">
        <f>Github!M$419</f>
        <v>0</v>
      </c>
      <c r="M1049" s="13" t="b">
        <f>Github!N$419</f>
        <v>0</v>
      </c>
      <c r="N1049" s="13">
        <f>Github!P$419</f>
        <v>91187</v>
      </c>
      <c r="O1049" s="13">
        <f>Github!Q$419</f>
        <v>256497</v>
      </c>
    </row>
    <row r="1050">
      <c r="A1050" s="13">
        <f>Github!J$665</f>
        <v>664</v>
      </c>
      <c r="B1050" s="14" t="str">
        <f>HYPERLINK(CONCAT("http://leetcode.com/problems/",Github!C$665), Github!B$665)</f>
        <v>Strange Printer</v>
      </c>
      <c r="C1050" s="13">
        <f>Github!F$665</f>
        <v>1009</v>
      </c>
      <c r="D1050" s="13">
        <f>Github!G$665</f>
        <v>92</v>
      </c>
      <c r="E1050" s="13">
        <f>Github!F$665+Github!G$665</f>
        <v>1101</v>
      </c>
      <c r="F1050" s="15">
        <f t="shared" si="1"/>
        <v>10.97</v>
      </c>
      <c r="G1050" s="13" t="str">
        <f>ROUND(Github!O$665, 2)&amp;"%"</f>
        <v>46.78%</v>
      </c>
      <c r="H1050" s="13" t="str">
        <f>Github!H$665</f>
        <v>Algorithms</v>
      </c>
      <c r="I1050" s="16" t="str">
        <f>SUBSTITUTE(Github!L$665, ";", ", ")</f>
        <v>String, Dynamic Programming, </v>
      </c>
      <c r="J1050" s="13" t="str">
        <f>Github!E$665</f>
        <v>Hard</v>
      </c>
      <c r="K1050" s="13" t="str">
        <f>IF(TRIM(Github!D$665)="TRUE","FALSE","TRUE")</f>
        <v>TRUE</v>
      </c>
      <c r="L1050" s="13" t="b">
        <f>Github!M$665</f>
        <v>0</v>
      </c>
      <c r="M1050" s="13" t="b">
        <f>Github!N$665</f>
        <v>0</v>
      </c>
      <c r="N1050" s="13">
        <f>Github!P$665</f>
        <v>30930</v>
      </c>
      <c r="O1050" s="13">
        <f>Github!Q$665</f>
        <v>66122</v>
      </c>
    </row>
    <row r="1051">
      <c r="A1051" s="13">
        <f>Github!J$834</f>
        <v>833</v>
      </c>
      <c r="B1051" s="14" t="str">
        <f>HYPERLINK(CONCAT("http://leetcode.com/problems/",Github!C$834), Github!B$834)</f>
        <v>Find And Replace in String</v>
      </c>
      <c r="C1051" s="13">
        <f>Github!F$834</f>
        <v>1004</v>
      </c>
      <c r="D1051" s="13">
        <f>Github!G$834</f>
        <v>902</v>
      </c>
      <c r="E1051" s="13">
        <f>Github!F$834+Github!G$834</f>
        <v>1906</v>
      </c>
      <c r="F1051" s="15">
        <f t="shared" si="1"/>
        <v>1.11</v>
      </c>
      <c r="G1051" s="13" t="str">
        <f>ROUND(Github!O$834, 2)&amp;"%"</f>
        <v>54.08%</v>
      </c>
      <c r="H1051" s="13" t="str">
        <f>Github!H$834</f>
        <v>Algorithms</v>
      </c>
      <c r="I1051" s="16" t="str">
        <f>SUBSTITUTE(Github!L$834, ";", ", ")</f>
        <v>Array, String, Sorting, </v>
      </c>
      <c r="J1051" s="13" t="str">
        <f>Github!E$834</f>
        <v>Medium</v>
      </c>
      <c r="K1051" s="13" t="str">
        <f>IF(TRIM(Github!D$834)="TRUE","FALSE","TRUE")</f>
        <v>TRUE</v>
      </c>
      <c r="L1051" s="13" t="b">
        <f>Github!M$834</f>
        <v>0</v>
      </c>
      <c r="M1051" s="13" t="b">
        <f>Github!N$834</f>
        <v>0</v>
      </c>
      <c r="N1051" s="13">
        <f>Github!P$834</f>
        <v>131234</v>
      </c>
      <c r="O1051" s="13">
        <f>Github!Q$834</f>
        <v>242674</v>
      </c>
    </row>
    <row r="1052">
      <c r="A1052" s="13">
        <f>Github!J$1362</f>
        <v>1361</v>
      </c>
      <c r="B1052" s="14" t="str">
        <f>HYPERLINK(CONCAT("http://leetcode.com/problems/",Github!C$1362), Github!B$1362)</f>
        <v>Validate Binary Tree Nodes</v>
      </c>
      <c r="C1052" s="13">
        <f>Github!F$1362</f>
        <v>1014</v>
      </c>
      <c r="D1052" s="13">
        <f>Github!G$1362</f>
        <v>296</v>
      </c>
      <c r="E1052" s="13">
        <f>Github!F$1362+Github!G$1362</f>
        <v>1310</v>
      </c>
      <c r="F1052" s="15">
        <f t="shared" si="1"/>
        <v>3.43</v>
      </c>
      <c r="G1052" s="13" t="str">
        <f>ROUND(Github!O$1362, 2)&amp;"%"</f>
        <v>40.1%</v>
      </c>
      <c r="H1052" s="13" t="str">
        <f>Github!H$1362</f>
        <v>Algorithms</v>
      </c>
      <c r="I1052" s="16" t="str">
        <f>SUBSTITUTE(Github!L$1362, ";", ", ")</f>
        <v>Tree, Depth-First Search, Breadth-First Search, Union Find, Graph, Binary Tree, </v>
      </c>
      <c r="J1052" s="13" t="str">
        <f>Github!E$1362</f>
        <v>Medium</v>
      </c>
      <c r="K1052" s="13" t="str">
        <f>IF(TRIM(Github!D$1362)="TRUE","FALSE","TRUE")</f>
        <v>TRUE</v>
      </c>
      <c r="L1052" s="13" t="b">
        <f>Github!M$1362</f>
        <v>0</v>
      </c>
      <c r="M1052" s="13" t="b">
        <f>Github!N$1362</f>
        <v>0</v>
      </c>
      <c r="N1052" s="13">
        <f>Github!P$1362</f>
        <v>41167</v>
      </c>
      <c r="O1052" s="13">
        <f>Github!Q$1362</f>
        <v>102664</v>
      </c>
    </row>
    <row r="1053">
      <c r="A1053" s="13">
        <f>Github!J$281</f>
        <v>280</v>
      </c>
      <c r="B1053" s="14" t="str">
        <f>HYPERLINK(CONCAT("http://leetcode.com/problems/",Github!C$281), Github!B$281)</f>
        <v>Wiggle Sort</v>
      </c>
      <c r="C1053" s="13">
        <f>Github!F$281</f>
        <v>1001</v>
      </c>
      <c r="D1053" s="13">
        <f>Github!G$281</f>
        <v>85</v>
      </c>
      <c r="E1053" s="13">
        <f>Github!F$281+Github!G$281</f>
        <v>1086</v>
      </c>
      <c r="F1053" s="15">
        <f t="shared" si="1"/>
        <v>11.78</v>
      </c>
      <c r="G1053" s="13" t="str">
        <f>ROUND(Github!O$281, 2)&amp;"%"</f>
        <v>66.5%</v>
      </c>
      <c r="H1053" s="13" t="str">
        <f>Github!H$281</f>
        <v>Algorithms</v>
      </c>
      <c r="I1053" s="16" t="str">
        <f>SUBSTITUTE(Github!L$281, ";", ", ")</f>
        <v>Array, Greedy, Sorting, </v>
      </c>
      <c r="J1053" s="13" t="str">
        <f>Github!E$281</f>
        <v>Medium</v>
      </c>
      <c r="K1053" s="13" t="str">
        <f>IF(TRIM(Github!D$281)="TRUE","FALSE","TRUE")</f>
        <v>FALSE</v>
      </c>
      <c r="L1053" s="13" t="b">
        <f>Github!M$281</f>
        <v>1</v>
      </c>
      <c r="M1053" s="13" t="b">
        <f>Github!N$281</f>
        <v>0</v>
      </c>
      <c r="N1053" s="13">
        <f>Github!P$281</f>
        <v>121749</v>
      </c>
      <c r="O1053" s="13">
        <f>Github!Q$281</f>
        <v>183071</v>
      </c>
    </row>
    <row r="1054">
      <c r="A1054" s="13">
        <f>Github!J$503</f>
        <v>502</v>
      </c>
      <c r="B1054" s="14" t="str">
        <f>HYPERLINK(CONCAT("http://leetcode.com/problems/",Github!C$503), Github!B$503)</f>
        <v>IPO</v>
      </c>
      <c r="C1054" s="13">
        <f>Github!F$503</f>
        <v>1006</v>
      </c>
      <c r="D1054" s="13">
        <f>Github!G$503</f>
        <v>90</v>
      </c>
      <c r="E1054" s="13">
        <f>Github!F$503+Github!G$503</f>
        <v>1096</v>
      </c>
      <c r="F1054" s="15">
        <f t="shared" si="1"/>
        <v>11.18</v>
      </c>
      <c r="G1054" s="13" t="str">
        <f>ROUND(Github!O$503, 2)&amp;"%"</f>
        <v>45.01%</v>
      </c>
      <c r="H1054" s="13" t="str">
        <f>Github!H$503</f>
        <v>Algorithms</v>
      </c>
      <c r="I1054" s="16" t="str">
        <f>SUBSTITUTE(Github!L$503, ";", ", ")</f>
        <v>Array, Greedy, Sorting, Heap (Priority Queue), </v>
      </c>
      <c r="J1054" s="13" t="str">
        <f>Github!E$503</f>
        <v>Hard</v>
      </c>
      <c r="K1054" s="13" t="str">
        <f>IF(TRIM(Github!D$503)="TRUE","FALSE","TRUE")</f>
        <v>TRUE</v>
      </c>
      <c r="L1054" s="13" t="b">
        <f>Github!M$503</f>
        <v>1</v>
      </c>
      <c r="M1054" s="13" t="b">
        <f>Github!N$503</f>
        <v>0</v>
      </c>
      <c r="N1054" s="13">
        <f>Github!P$503</f>
        <v>39673</v>
      </c>
      <c r="O1054" s="13">
        <f>Github!Q$503</f>
        <v>88141</v>
      </c>
    </row>
    <row r="1055">
      <c r="A1055" s="13">
        <f>Github!J$1136</f>
        <v>1135</v>
      </c>
      <c r="B1055" s="14" t="str">
        <f>HYPERLINK(CONCAT("http://leetcode.com/problems/",Github!C$1136), Github!B$1136)</f>
        <v>Connecting Cities With Minimum Cost</v>
      </c>
      <c r="C1055" s="13">
        <f>Github!F$1136</f>
        <v>996</v>
      </c>
      <c r="D1055" s="13">
        <f>Github!G$1136</f>
        <v>57</v>
      </c>
      <c r="E1055" s="13">
        <f>Github!F$1136+Github!G$1136</f>
        <v>1053</v>
      </c>
      <c r="F1055" s="15">
        <f t="shared" si="1"/>
        <v>17.47</v>
      </c>
      <c r="G1055" s="13" t="str">
        <f>ROUND(Github!O$1136, 2)&amp;"%"</f>
        <v>61.21%</v>
      </c>
      <c r="H1055" s="13" t="str">
        <f>Github!H$1136</f>
        <v>Algorithms</v>
      </c>
      <c r="I1055" s="16" t="str">
        <f>SUBSTITUTE(Github!L$1136, ";", ", ")</f>
        <v>Union Find, Graph, Heap (Priority Queue), Minimum Spanning Tree, </v>
      </c>
      <c r="J1055" s="13" t="str">
        <f>Github!E$1136</f>
        <v>Medium</v>
      </c>
      <c r="K1055" s="13" t="str">
        <f>IF(TRIM(Github!D$1136)="TRUE","FALSE","TRUE")</f>
        <v>FALSE</v>
      </c>
      <c r="L1055" s="13" t="b">
        <f>Github!M$1136</f>
        <v>1</v>
      </c>
      <c r="M1055" s="13" t="b">
        <f>Github!N$1136</f>
        <v>0</v>
      </c>
      <c r="N1055" s="13">
        <f>Github!P$1136</f>
        <v>64041</v>
      </c>
      <c r="O1055" s="13">
        <f>Github!Q$1136</f>
        <v>104620</v>
      </c>
    </row>
    <row r="1056">
      <c r="A1056" s="13">
        <f>Github!J$1525</f>
        <v>1524</v>
      </c>
      <c r="B1056" s="14" t="str">
        <f>HYPERLINK(CONCAT("http://leetcode.com/problems/",Github!C$1525), Github!B$1525)</f>
        <v>Number of Sub-arrays With Odd Sum</v>
      </c>
      <c r="C1056" s="13">
        <f>Github!F$1525</f>
        <v>992</v>
      </c>
      <c r="D1056" s="13">
        <f>Github!G$1525</f>
        <v>48</v>
      </c>
      <c r="E1056" s="13">
        <f>Github!F$1525+Github!G$1525</f>
        <v>1040</v>
      </c>
      <c r="F1056" s="15">
        <f t="shared" si="1"/>
        <v>20.67</v>
      </c>
      <c r="G1056" s="13" t="str">
        <f>ROUND(Github!O$1525, 2)&amp;"%"</f>
        <v>43.68%</v>
      </c>
      <c r="H1056" s="13" t="str">
        <f>Github!H$1525</f>
        <v>Algorithms</v>
      </c>
      <c r="I1056" s="16" t="str">
        <f>SUBSTITUTE(Github!L$1525, ";", ", ")</f>
        <v>Array, Math, Dynamic Programming, Prefix Sum, </v>
      </c>
      <c r="J1056" s="13" t="str">
        <f>Github!E$1525</f>
        <v>Medium</v>
      </c>
      <c r="K1056" s="13" t="str">
        <f>IF(TRIM(Github!D$1525)="TRUE","FALSE","TRUE")</f>
        <v>TRUE</v>
      </c>
      <c r="L1056" s="13" t="b">
        <f>Github!M$1525</f>
        <v>0</v>
      </c>
      <c r="M1056" s="13" t="b">
        <f>Github!N$1525</f>
        <v>0</v>
      </c>
      <c r="N1056" s="13">
        <f>Github!P$1525</f>
        <v>29269</v>
      </c>
      <c r="O1056" s="13">
        <f>Github!Q$1525</f>
        <v>67010</v>
      </c>
    </row>
    <row r="1057">
      <c r="A1057" s="13">
        <f>Github!J$1616</f>
        <v>1615</v>
      </c>
      <c r="B1057" s="14" t="str">
        <f>HYPERLINK(CONCAT("http://leetcode.com/problems/",Github!C$1616), Github!B$1616)</f>
        <v>Maximal Network Rank</v>
      </c>
      <c r="C1057" s="13">
        <f>Github!F$1616</f>
        <v>1006</v>
      </c>
      <c r="D1057" s="13">
        <f>Github!G$1616</f>
        <v>182</v>
      </c>
      <c r="E1057" s="13">
        <f>Github!F$1616+Github!G$1616</f>
        <v>1188</v>
      </c>
      <c r="F1057" s="15">
        <f t="shared" si="1"/>
        <v>5.53</v>
      </c>
      <c r="G1057" s="13" t="str">
        <f>ROUND(Github!O$1616, 2)&amp;"%"</f>
        <v>58.23%</v>
      </c>
      <c r="H1057" s="13" t="str">
        <f>Github!H$1616</f>
        <v>Algorithms</v>
      </c>
      <c r="I1057" s="16" t="str">
        <f>SUBSTITUTE(Github!L$1616, ";", ", ")</f>
        <v>Graph, </v>
      </c>
      <c r="J1057" s="13" t="str">
        <f>Github!E$1616</f>
        <v>Medium</v>
      </c>
      <c r="K1057" s="13" t="str">
        <f>IF(TRIM(Github!D$1616)="TRUE","FALSE","TRUE")</f>
        <v>TRUE</v>
      </c>
      <c r="L1057" s="13" t="b">
        <f>Github!M$1616</f>
        <v>0</v>
      </c>
      <c r="M1057" s="13" t="b">
        <f>Github!N$1616</f>
        <v>0</v>
      </c>
      <c r="N1057" s="13">
        <f>Github!P$1616</f>
        <v>57106</v>
      </c>
      <c r="O1057" s="13">
        <f>Github!Q$1616</f>
        <v>98073</v>
      </c>
    </row>
    <row r="1058">
      <c r="A1058" s="13">
        <f>Github!J$773</f>
        <v>772</v>
      </c>
      <c r="B1058" s="14" t="str">
        <f>HYPERLINK(CONCAT("http://leetcode.com/problems/",Github!C$773), Github!B$773)</f>
        <v>Basic Calculator III</v>
      </c>
      <c r="C1058" s="13">
        <f>Github!F$773</f>
        <v>991</v>
      </c>
      <c r="D1058" s="13">
        <f>Github!G$773</f>
        <v>263</v>
      </c>
      <c r="E1058" s="13">
        <f>Github!F$773+Github!G$773</f>
        <v>1254</v>
      </c>
      <c r="F1058" s="15">
        <f t="shared" si="1"/>
        <v>3.77</v>
      </c>
      <c r="G1058" s="13" t="str">
        <f>ROUND(Github!O$773, 2)&amp;"%"</f>
        <v>48.63%</v>
      </c>
      <c r="H1058" s="13" t="str">
        <f>Github!H$773</f>
        <v>Algorithms</v>
      </c>
      <c r="I1058" s="16" t="str">
        <f>SUBSTITUTE(Github!L$773, ";", ", ")</f>
        <v>Math, String, Stack, Recursion, </v>
      </c>
      <c r="J1058" s="13" t="str">
        <f>Github!E$773</f>
        <v>Hard</v>
      </c>
      <c r="K1058" s="13" t="str">
        <f>IF(TRIM(Github!D$773)="TRUE","FALSE","TRUE")</f>
        <v>FALSE</v>
      </c>
      <c r="L1058" s="13" t="b">
        <f>Github!M$773</f>
        <v>0</v>
      </c>
      <c r="M1058" s="13" t="b">
        <f>Github!N$773</f>
        <v>0</v>
      </c>
      <c r="N1058" s="13">
        <f>Github!P$773</f>
        <v>99626</v>
      </c>
      <c r="O1058" s="13">
        <f>Github!Q$773</f>
        <v>204883</v>
      </c>
    </row>
    <row r="1059">
      <c r="A1059" s="13">
        <f>Github!J$234</f>
        <v>233</v>
      </c>
      <c r="B1059" s="14" t="str">
        <f>HYPERLINK(CONCAT("http://leetcode.com/problems/",Github!C$234), Github!B$234)</f>
        <v>Number of Digit One</v>
      </c>
      <c r="C1059" s="13">
        <f>Github!F$234</f>
        <v>1002</v>
      </c>
      <c r="D1059" s="13">
        <f>Github!G$234</f>
        <v>1242</v>
      </c>
      <c r="E1059" s="13">
        <f>Github!F$234+Github!G$234</f>
        <v>2244</v>
      </c>
      <c r="F1059" s="15">
        <f t="shared" si="1"/>
        <v>0.81</v>
      </c>
      <c r="G1059" s="13" t="str">
        <f>ROUND(Github!O$234, 2)&amp;"%"</f>
        <v>34.09%</v>
      </c>
      <c r="H1059" s="13" t="str">
        <f>Github!H$234</f>
        <v>Algorithms</v>
      </c>
      <c r="I1059" s="16" t="str">
        <f>SUBSTITUTE(Github!L$234, ";", ", ")</f>
        <v>Math, Dynamic Programming, Recursion, </v>
      </c>
      <c r="J1059" s="13" t="str">
        <f>Github!E$234</f>
        <v>Hard</v>
      </c>
      <c r="K1059" s="13" t="str">
        <f>IF(TRIM(Github!D$234)="TRUE","FALSE","TRUE")</f>
        <v>TRUE</v>
      </c>
      <c r="L1059" s="13" t="b">
        <f>Github!M$234</f>
        <v>1</v>
      </c>
      <c r="M1059" s="13" t="b">
        <f>Github!N$234</f>
        <v>0</v>
      </c>
      <c r="N1059" s="13">
        <f>Github!P$234</f>
        <v>72742</v>
      </c>
      <c r="O1059" s="13">
        <f>Github!Q$234</f>
        <v>213411</v>
      </c>
    </row>
    <row r="1060">
      <c r="A1060" s="13">
        <f>Github!J$245</f>
        <v>244</v>
      </c>
      <c r="B1060" s="14" t="str">
        <f>HYPERLINK(CONCAT("http://leetcode.com/problems/",Github!C$245), Github!B$245)</f>
        <v>Shortest Word Distance II</v>
      </c>
      <c r="C1060" s="13">
        <f>Github!F$245</f>
        <v>980</v>
      </c>
      <c r="D1060" s="13">
        <f>Github!G$245</f>
        <v>298</v>
      </c>
      <c r="E1060" s="13">
        <f>Github!F$245+Github!G$245</f>
        <v>1278</v>
      </c>
      <c r="F1060" s="15">
        <f t="shared" si="1"/>
        <v>3.29</v>
      </c>
      <c r="G1060" s="13" t="str">
        <f>ROUND(Github!O$245, 2)&amp;"%"</f>
        <v>60.79%</v>
      </c>
      <c r="H1060" s="13" t="str">
        <f>Github!H$245</f>
        <v>Algorithms</v>
      </c>
      <c r="I1060" s="16" t="str">
        <f>SUBSTITUTE(Github!L$245, ";", ", ")</f>
        <v>Array, Hash Table, Two Pointers, String, Design, </v>
      </c>
      <c r="J1060" s="13" t="str">
        <f>Github!E$245</f>
        <v>Medium</v>
      </c>
      <c r="K1060" s="13" t="str">
        <f>IF(TRIM(Github!D$245)="TRUE","FALSE","TRUE")</f>
        <v>FALSE</v>
      </c>
      <c r="L1060" s="13" t="b">
        <f>Github!M$245</f>
        <v>1</v>
      </c>
      <c r="M1060" s="13" t="b">
        <f>Github!N$245</f>
        <v>0</v>
      </c>
      <c r="N1060" s="13">
        <f>Github!P$245</f>
        <v>144790</v>
      </c>
      <c r="O1060" s="13">
        <f>Github!Q$245</f>
        <v>238195</v>
      </c>
    </row>
    <row r="1061">
      <c r="A1061" s="13">
        <f>Github!J$1425</f>
        <v>1424</v>
      </c>
      <c r="B1061" s="14" t="str">
        <f>HYPERLINK(CONCAT("http://leetcode.com/problems/",Github!C$1425), Github!B$1425)</f>
        <v>Diagonal Traverse II</v>
      </c>
      <c r="C1061" s="13">
        <f>Github!F$1425</f>
        <v>981</v>
      </c>
      <c r="D1061" s="13">
        <f>Github!G$1425</f>
        <v>81</v>
      </c>
      <c r="E1061" s="13">
        <f>Github!F$1425+Github!G$1425</f>
        <v>1062</v>
      </c>
      <c r="F1061" s="15">
        <f t="shared" si="1"/>
        <v>12.11</v>
      </c>
      <c r="G1061" s="13" t="str">
        <f>ROUND(Github!O$1425, 2)&amp;"%"</f>
        <v>50.39%</v>
      </c>
      <c r="H1061" s="13" t="str">
        <f>Github!H$1425</f>
        <v>Algorithms</v>
      </c>
      <c r="I1061" s="16" t="str">
        <f>SUBSTITUTE(Github!L$1425, ";", ", ")</f>
        <v>Array, Sorting, Heap (Priority Queue), </v>
      </c>
      <c r="J1061" s="13" t="str">
        <f>Github!E$1425</f>
        <v>Medium</v>
      </c>
      <c r="K1061" s="13" t="str">
        <f>IF(TRIM(Github!D$1425)="TRUE","FALSE","TRUE")</f>
        <v>TRUE</v>
      </c>
      <c r="L1061" s="13" t="b">
        <f>Github!M$1425</f>
        <v>0</v>
      </c>
      <c r="M1061" s="13" t="b">
        <f>Github!N$1425</f>
        <v>0</v>
      </c>
      <c r="N1061" s="13">
        <f>Github!P$1425</f>
        <v>46316</v>
      </c>
      <c r="O1061" s="13">
        <f>Github!Q$1425</f>
        <v>91920</v>
      </c>
    </row>
    <row r="1062">
      <c r="A1062" s="13">
        <f>Github!J$855</f>
        <v>854</v>
      </c>
      <c r="B1062" s="14" t="str">
        <f>HYPERLINK(CONCAT("http://leetcode.com/problems/",Github!C$855), Github!B$855)</f>
        <v>K-Similar Strings</v>
      </c>
      <c r="C1062" s="13">
        <f>Github!F$855</f>
        <v>982</v>
      </c>
      <c r="D1062" s="13">
        <f>Github!G$855</f>
        <v>56</v>
      </c>
      <c r="E1062" s="13">
        <f>Github!F$855+Github!G$855</f>
        <v>1038</v>
      </c>
      <c r="F1062" s="15">
        <f t="shared" si="1"/>
        <v>17.54</v>
      </c>
      <c r="G1062" s="13" t="str">
        <f>ROUND(Github!O$855, 2)&amp;"%"</f>
        <v>40.13%</v>
      </c>
      <c r="H1062" s="13" t="str">
        <f>Github!H$855</f>
        <v>Algorithms</v>
      </c>
      <c r="I1062" s="16" t="str">
        <f>SUBSTITUTE(Github!L$855, ";", ", ")</f>
        <v>String, Breadth-First Search, </v>
      </c>
      <c r="J1062" s="13" t="str">
        <f>Github!E$855</f>
        <v>Hard</v>
      </c>
      <c r="K1062" s="13" t="str">
        <f>IF(TRIM(Github!D$855)="TRUE","FALSE","TRUE")</f>
        <v>TRUE</v>
      </c>
      <c r="L1062" s="13" t="b">
        <f>Github!M$855</f>
        <v>0</v>
      </c>
      <c r="M1062" s="13" t="b">
        <f>Github!N$855</f>
        <v>0</v>
      </c>
      <c r="N1062" s="13">
        <f>Github!P$855</f>
        <v>39870</v>
      </c>
      <c r="O1062" s="13">
        <f>Github!Q$855</f>
        <v>99344</v>
      </c>
    </row>
    <row r="1063">
      <c r="A1063" s="13">
        <f>Github!J$1202</f>
        <v>1201</v>
      </c>
      <c r="B1063" s="14" t="str">
        <f>HYPERLINK(CONCAT("http://leetcode.com/problems/",Github!C$1202), Github!B$1202)</f>
        <v>Ugly Number III</v>
      </c>
      <c r="C1063" s="13">
        <f>Github!F$1202</f>
        <v>983</v>
      </c>
      <c r="D1063" s="13">
        <f>Github!G$1202</f>
        <v>451</v>
      </c>
      <c r="E1063" s="13">
        <f>Github!F$1202+Github!G$1202</f>
        <v>1434</v>
      </c>
      <c r="F1063" s="15">
        <f t="shared" si="1"/>
        <v>2.18</v>
      </c>
      <c r="G1063" s="13" t="str">
        <f>ROUND(Github!O$1202, 2)&amp;"%"</f>
        <v>28.58%</v>
      </c>
      <c r="H1063" s="13" t="str">
        <f>Github!H$1202</f>
        <v>Algorithms</v>
      </c>
      <c r="I1063" s="16" t="str">
        <f>SUBSTITUTE(Github!L$1202, ";", ", ")</f>
        <v>Math, Binary Search, Number Theory, </v>
      </c>
      <c r="J1063" s="13" t="str">
        <f>Github!E$1202</f>
        <v>Medium</v>
      </c>
      <c r="K1063" s="13" t="str">
        <f>IF(TRIM(Github!D$1202)="TRUE","FALSE","TRUE")</f>
        <v>TRUE</v>
      </c>
      <c r="L1063" s="13" t="b">
        <f>Github!M$1202</f>
        <v>0</v>
      </c>
      <c r="M1063" s="13" t="b">
        <f>Github!N$1202</f>
        <v>0</v>
      </c>
      <c r="N1063" s="13">
        <f>Github!P$1202</f>
        <v>24931</v>
      </c>
      <c r="O1063" s="13">
        <f>Github!Q$1202</f>
        <v>87219</v>
      </c>
    </row>
    <row r="1064">
      <c r="A1064" s="13">
        <f>Github!J$1763</f>
        <v>1762</v>
      </c>
      <c r="B1064" s="14" t="str">
        <f>HYPERLINK(CONCAT("http://leetcode.com/problems/",Github!C$1763), Github!B$1763)</f>
        <v>Buildings With an Ocean View</v>
      </c>
      <c r="C1064" s="13">
        <f>Github!F$1763</f>
        <v>976</v>
      </c>
      <c r="D1064" s="13">
        <f>Github!G$1763</f>
        <v>127</v>
      </c>
      <c r="E1064" s="13">
        <f>Github!F$1763+Github!G$1763</f>
        <v>1103</v>
      </c>
      <c r="F1064" s="15">
        <f t="shared" si="1"/>
        <v>7.69</v>
      </c>
      <c r="G1064" s="13" t="str">
        <f>ROUND(Github!O$1763, 2)&amp;"%"</f>
        <v>79.22%</v>
      </c>
      <c r="H1064" s="13" t="str">
        <f>Github!H$1763</f>
        <v>Algorithms</v>
      </c>
      <c r="I1064" s="16" t="str">
        <f>SUBSTITUTE(Github!L$1763, ";", ", ")</f>
        <v>Array, Stack, Monotonic Stack, </v>
      </c>
      <c r="J1064" s="13" t="str">
        <f>Github!E$1763</f>
        <v>Medium</v>
      </c>
      <c r="K1064" s="13" t="str">
        <f>IF(TRIM(Github!D$1763)="TRUE","FALSE","TRUE")</f>
        <v>FALSE</v>
      </c>
      <c r="L1064" s="13" t="b">
        <f>Github!M$1763</f>
        <v>1</v>
      </c>
      <c r="M1064" s="13" t="b">
        <f>Github!N$1763</f>
        <v>0</v>
      </c>
      <c r="N1064" s="13">
        <f>Github!P$1763</f>
        <v>136724</v>
      </c>
      <c r="O1064" s="13">
        <f>Github!Q$1763</f>
        <v>172592</v>
      </c>
    </row>
    <row r="1065">
      <c r="A1065" s="13">
        <f>Github!J$1100</f>
        <v>1099</v>
      </c>
      <c r="B1065" s="14" t="str">
        <f>HYPERLINK(CONCAT("http://leetcode.com/problems/",Github!C$1100), Github!B$1100)</f>
        <v>Two Sum Less Than K</v>
      </c>
      <c r="C1065" s="13">
        <f>Github!F$1100</f>
        <v>980</v>
      </c>
      <c r="D1065" s="13">
        <f>Github!G$1100</f>
        <v>112</v>
      </c>
      <c r="E1065" s="13">
        <f>Github!F$1100+Github!G$1100</f>
        <v>1092</v>
      </c>
      <c r="F1065" s="15">
        <f t="shared" si="1"/>
        <v>8.75</v>
      </c>
      <c r="G1065" s="13" t="str">
        <f>ROUND(Github!O$1100, 2)&amp;"%"</f>
        <v>60.95%</v>
      </c>
      <c r="H1065" s="13" t="str">
        <f>Github!H$1100</f>
        <v>Algorithms</v>
      </c>
      <c r="I1065" s="16" t="str">
        <f>SUBSTITUTE(Github!L$1100, ";", ", ")</f>
        <v>Array, Two Pointers, Binary Search, Sorting, </v>
      </c>
      <c r="J1065" s="13" t="str">
        <f>Github!E$1100</f>
        <v>Easy</v>
      </c>
      <c r="K1065" s="13" t="str">
        <f>IF(TRIM(Github!D$1100)="TRUE","FALSE","TRUE")</f>
        <v>FALSE</v>
      </c>
      <c r="L1065" s="13" t="b">
        <f>Github!M$1100</f>
        <v>1</v>
      </c>
      <c r="M1065" s="13" t="b">
        <f>Github!N$1100</f>
        <v>1</v>
      </c>
      <c r="N1065" s="13">
        <f>Github!P$1100</f>
        <v>111205</v>
      </c>
      <c r="O1065" s="13">
        <f>Github!Q$1100</f>
        <v>182459</v>
      </c>
    </row>
    <row r="1066">
      <c r="A1066" s="13">
        <f>Github!J$1750</f>
        <v>1749</v>
      </c>
      <c r="B1066" s="14" t="str">
        <f>HYPERLINK(CONCAT("http://leetcode.com/problems/",Github!C$1750), Github!B$1750)</f>
        <v>Maximum Absolute Sum of Any Subarray</v>
      </c>
      <c r="C1066" s="13">
        <f>Github!F$1750</f>
        <v>981</v>
      </c>
      <c r="D1066" s="13">
        <f>Github!G$1750</f>
        <v>15</v>
      </c>
      <c r="E1066" s="13">
        <f>Github!F$1750+Github!G$1750</f>
        <v>996</v>
      </c>
      <c r="F1066" s="15">
        <f t="shared" si="1"/>
        <v>65.4</v>
      </c>
      <c r="G1066" s="13" t="str">
        <f>ROUND(Github!O$1750, 2)&amp;"%"</f>
        <v>58.34%</v>
      </c>
      <c r="H1066" s="13" t="str">
        <f>Github!H$1750</f>
        <v>Algorithms</v>
      </c>
      <c r="I1066" s="16" t="str">
        <f>SUBSTITUTE(Github!L$1750, ";", ", ")</f>
        <v>Array, Dynamic Programming, </v>
      </c>
      <c r="J1066" s="13" t="str">
        <f>Github!E$1750</f>
        <v>Medium</v>
      </c>
      <c r="K1066" s="13" t="str">
        <f>IF(TRIM(Github!D$1750)="TRUE","FALSE","TRUE")</f>
        <v>TRUE</v>
      </c>
      <c r="L1066" s="13" t="b">
        <f>Github!M$1750</f>
        <v>0</v>
      </c>
      <c r="M1066" s="13" t="b">
        <f>Github!N$1750</f>
        <v>0</v>
      </c>
      <c r="N1066" s="13">
        <f>Github!P$1750</f>
        <v>28757</v>
      </c>
      <c r="O1066" s="13">
        <f>Github!Q$1750</f>
        <v>49295</v>
      </c>
    </row>
    <row r="1067">
      <c r="A1067" s="13">
        <f>Github!J$996</f>
        <v>995</v>
      </c>
      <c r="B1067" s="14" t="str">
        <f>HYPERLINK(CONCAT("http://leetcode.com/problems/",Github!C$996), Github!B$996)</f>
        <v>Minimum Number of K Consecutive Bit Flips</v>
      </c>
      <c r="C1067" s="13">
        <f>Github!F$996</f>
        <v>977</v>
      </c>
      <c r="D1067" s="13">
        <f>Github!G$996</f>
        <v>55</v>
      </c>
      <c r="E1067" s="13">
        <f>Github!F$996+Github!G$996</f>
        <v>1032</v>
      </c>
      <c r="F1067" s="15">
        <f t="shared" si="1"/>
        <v>17.76</v>
      </c>
      <c r="G1067" s="13" t="str">
        <f>ROUND(Github!O$996, 2)&amp;"%"</f>
        <v>51.15%</v>
      </c>
      <c r="H1067" s="13" t="str">
        <f>Github!H$996</f>
        <v>Algorithms</v>
      </c>
      <c r="I1067" s="16" t="str">
        <f>SUBSTITUTE(Github!L$996, ";", ", ")</f>
        <v>Array, Bit Manipulation, Queue, Sliding Window, Prefix Sum, </v>
      </c>
      <c r="J1067" s="13" t="str">
        <f>Github!E$996</f>
        <v>Hard</v>
      </c>
      <c r="K1067" s="13" t="str">
        <f>IF(TRIM(Github!D$996)="TRUE","FALSE","TRUE")</f>
        <v>TRUE</v>
      </c>
      <c r="L1067" s="13" t="b">
        <f>Github!M$996</f>
        <v>0</v>
      </c>
      <c r="M1067" s="13" t="b">
        <f>Github!N$996</f>
        <v>0</v>
      </c>
      <c r="N1067" s="13">
        <f>Github!P$996</f>
        <v>29290</v>
      </c>
      <c r="O1067" s="13">
        <f>Github!Q$996</f>
        <v>57264</v>
      </c>
    </row>
    <row r="1068">
      <c r="A1068" s="13">
        <f>Github!J$537</f>
        <v>536</v>
      </c>
      <c r="B1068" s="14" t="str">
        <f>HYPERLINK(CONCAT("http://leetcode.com/problems/",Github!C$537), Github!B$537)</f>
        <v>Construct Binary Tree from String</v>
      </c>
      <c r="C1068" s="13">
        <f>Github!F$537</f>
        <v>973</v>
      </c>
      <c r="D1068" s="13">
        <f>Github!G$537</f>
        <v>150</v>
      </c>
      <c r="E1068" s="13">
        <f>Github!F$537+Github!G$537</f>
        <v>1123</v>
      </c>
      <c r="F1068" s="15">
        <f t="shared" si="1"/>
        <v>6.49</v>
      </c>
      <c r="G1068" s="13" t="str">
        <f>ROUND(Github!O$537, 2)&amp;"%"</f>
        <v>56.2%</v>
      </c>
      <c r="H1068" s="13" t="str">
        <f>Github!H$537</f>
        <v>Algorithms</v>
      </c>
      <c r="I1068" s="16" t="str">
        <f>SUBSTITUTE(Github!L$537, ";", ", ")</f>
        <v>String, Tree, Depth-First Search, Binary Tree, </v>
      </c>
      <c r="J1068" s="13" t="str">
        <f>Github!E$537</f>
        <v>Medium</v>
      </c>
      <c r="K1068" s="13" t="str">
        <f>IF(TRIM(Github!D$537)="TRUE","FALSE","TRUE")</f>
        <v>FALSE</v>
      </c>
      <c r="L1068" s="13" t="b">
        <f>Github!M$537</f>
        <v>1</v>
      </c>
      <c r="M1068" s="13" t="b">
        <f>Github!N$537</f>
        <v>0</v>
      </c>
      <c r="N1068" s="13">
        <f>Github!P$537</f>
        <v>82164</v>
      </c>
      <c r="O1068" s="13">
        <f>Github!Q$537</f>
        <v>146201</v>
      </c>
    </row>
    <row r="1069">
      <c r="A1069" s="13">
        <f>Github!J$787</f>
        <v>786</v>
      </c>
      <c r="B1069" s="14" t="str">
        <f>HYPERLINK(CONCAT("http://leetcode.com/problems/",Github!C$787), Github!B$787)</f>
        <v>K-th Smallest Prime Fraction</v>
      </c>
      <c r="C1069" s="13">
        <f>Github!F$787</f>
        <v>976</v>
      </c>
      <c r="D1069" s="13">
        <f>Github!G$787</f>
        <v>45</v>
      </c>
      <c r="E1069" s="13">
        <f>Github!F$787+Github!G$787</f>
        <v>1021</v>
      </c>
      <c r="F1069" s="15">
        <f t="shared" si="1"/>
        <v>21.69</v>
      </c>
      <c r="G1069" s="13" t="str">
        <f>ROUND(Github!O$787, 2)&amp;"%"</f>
        <v>51%</v>
      </c>
      <c r="H1069" s="13" t="str">
        <f>Github!H$787</f>
        <v>Algorithms</v>
      </c>
      <c r="I1069" s="16" t="str">
        <f>SUBSTITUTE(Github!L$787, ";", ", ")</f>
        <v>Array, Binary Search, Sorting, Heap (Priority Queue), </v>
      </c>
      <c r="J1069" s="13" t="str">
        <f>Github!E$787</f>
        <v>Medium</v>
      </c>
      <c r="K1069" s="13" t="str">
        <f>IF(TRIM(Github!D$787)="TRUE","FALSE","TRUE")</f>
        <v>TRUE</v>
      </c>
      <c r="L1069" s="13" t="b">
        <f>Github!M$787</f>
        <v>1</v>
      </c>
      <c r="M1069" s="13" t="b">
        <f>Github!N$787</f>
        <v>0</v>
      </c>
      <c r="N1069" s="13">
        <f>Github!P$787</f>
        <v>32326</v>
      </c>
      <c r="O1069" s="13">
        <f>Github!Q$787</f>
        <v>63382</v>
      </c>
    </row>
    <row r="1070">
      <c r="A1070" s="13">
        <f>Github!J$617</f>
        <v>616</v>
      </c>
      <c r="B1070" s="14" t="str">
        <f>HYPERLINK(CONCAT("http://leetcode.com/problems/",Github!C$617), Github!B$617)</f>
        <v>Add Bold Tag in String</v>
      </c>
      <c r="C1070" s="13">
        <f>Github!F$617</f>
        <v>962</v>
      </c>
      <c r="D1070" s="13">
        <f>Github!G$617</f>
        <v>172</v>
      </c>
      <c r="E1070" s="13">
        <f>Github!F$617+Github!G$617</f>
        <v>1134</v>
      </c>
      <c r="F1070" s="15">
        <f t="shared" si="1"/>
        <v>5.59</v>
      </c>
      <c r="G1070" s="13" t="str">
        <f>ROUND(Github!O$617, 2)&amp;"%"</f>
        <v>48.74%</v>
      </c>
      <c r="H1070" s="13" t="str">
        <f>Github!H$617</f>
        <v>Algorithms</v>
      </c>
      <c r="I1070" s="16" t="str">
        <f>SUBSTITUTE(Github!L$617, ";", ", ")</f>
        <v>Array, Hash Table, String, Trie, String Matching, </v>
      </c>
      <c r="J1070" s="13" t="str">
        <f>Github!E$617</f>
        <v>Medium</v>
      </c>
      <c r="K1070" s="13" t="str">
        <f>IF(TRIM(Github!D$617)="TRUE","FALSE","TRUE")</f>
        <v>FALSE</v>
      </c>
      <c r="L1070" s="13" t="b">
        <f>Github!M$617</f>
        <v>0</v>
      </c>
      <c r="M1070" s="13" t="b">
        <f>Github!N$617</f>
        <v>0</v>
      </c>
      <c r="N1070" s="13">
        <f>Github!P$617</f>
        <v>81348</v>
      </c>
      <c r="O1070" s="13">
        <f>Github!Q$617</f>
        <v>166903</v>
      </c>
    </row>
    <row r="1071">
      <c r="A1071" s="13">
        <f>Github!J$471</f>
        <v>470</v>
      </c>
      <c r="B1071" s="14" t="str">
        <f>HYPERLINK(CONCAT("http://leetcode.com/problems/",Github!C$471), Github!B$471)</f>
        <v>Implement Rand10() Using Rand7()</v>
      </c>
      <c r="C1071" s="13">
        <f>Github!F$471</f>
        <v>964</v>
      </c>
      <c r="D1071" s="13">
        <f>Github!G$471</f>
        <v>322</v>
      </c>
      <c r="E1071" s="13">
        <f>Github!F$471+Github!G$471</f>
        <v>1286</v>
      </c>
      <c r="F1071" s="15">
        <f t="shared" si="1"/>
        <v>2.99</v>
      </c>
      <c r="G1071" s="13" t="str">
        <f>ROUND(Github!O$471, 2)&amp;"%"</f>
        <v>46.56%</v>
      </c>
      <c r="H1071" s="13" t="str">
        <f>Github!H$471</f>
        <v>Algorithms</v>
      </c>
      <c r="I1071" s="16" t="str">
        <f>SUBSTITUTE(Github!L$471, ";", ", ")</f>
        <v>Math, Rejection Sampling, Randomized, Probability and Statistics, </v>
      </c>
      <c r="J1071" s="13" t="str">
        <f>Github!E$471</f>
        <v>Medium</v>
      </c>
      <c r="K1071" s="13" t="str">
        <f>IF(TRIM(Github!D$471)="TRUE","FALSE","TRUE")</f>
        <v>TRUE</v>
      </c>
      <c r="L1071" s="13" t="b">
        <f>Github!M$471</f>
        <v>1</v>
      </c>
      <c r="M1071" s="13" t="b">
        <f>Github!N$471</f>
        <v>0</v>
      </c>
      <c r="N1071" s="13">
        <f>Github!P$471</f>
        <v>69105</v>
      </c>
      <c r="O1071" s="13">
        <f>Github!Q$471</f>
        <v>148408</v>
      </c>
    </row>
    <row r="1072">
      <c r="A1072" s="13">
        <f>Github!J$429</f>
        <v>428</v>
      </c>
      <c r="B1072" s="14" t="str">
        <f>HYPERLINK(CONCAT("http://leetcode.com/problems/",Github!C$429), Github!B$429)</f>
        <v>Serialize and Deserialize N-ary Tree</v>
      </c>
      <c r="C1072" s="13">
        <f>Github!F$429</f>
        <v>963</v>
      </c>
      <c r="D1072" s="13">
        <f>Github!G$429</f>
        <v>54</v>
      </c>
      <c r="E1072" s="13">
        <f>Github!F$429+Github!G$429</f>
        <v>1017</v>
      </c>
      <c r="F1072" s="15">
        <f t="shared" si="1"/>
        <v>17.83</v>
      </c>
      <c r="G1072" s="13" t="str">
        <f>ROUND(Github!O$429, 2)&amp;"%"</f>
        <v>65.73%</v>
      </c>
      <c r="H1072" s="13" t="str">
        <f>Github!H$429</f>
        <v>Algorithms</v>
      </c>
      <c r="I1072" s="16" t="str">
        <f>SUBSTITUTE(Github!L$429, ";", ", ")</f>
        <v>String, Tree, Depth-First Search, Breadth-First Search, </v>
      </c>
      <c r="J1072" s="13" t="str">
        <f>Github!E$429</f>
        <v>Hard</v>
      </c>
      <c r="K1072" s="13" t="str">
        <f>IF(TRIM(Github!D$429)="TRUE","FALSE","TRUE")</f>
        <v>FALSE</v>
      </c>
      <c r="L1072" s="13" t="b">
        <f>Github!M$429</f>
        <v>1</v>
      </c>
      <c r="M1072" s="13" t="b">
        <f>Github!N$429</f>
        <v>0</v>
      </c>
      <c r="N1072" s="13">
        <f>Github!P$429</f>
        <v>76398</v>
      </c>
      <c r="O1072" s="13">
        <f>Github!Q$429</f>
        <v>116230</v>
      </c>
    </row>
    <row r="1073">
      <c r="A1073" s="13">
        <f>Github!J$1169</f>
        <v>1168</v>
      </c>
      <c r="B1073" s="14" t="str">
        <f>HYPERLINK(CONCAT("http://leetcode.com/problems/",Github!C$1169), Github!B$1169)</f>
        <v>Optimize Water Distribution in a Village</v>
      </c>
      <c r="C1073" s="13">
        <f>Github!F$1169</f>
        <v>961</v>
      </c>
      <c r="D1073" s="13">
        <f>Github!G$1169</f>
        <v>34</v>
      </c>
      <c r="E1073" s="13">
        <f>Github!F$1169+Github!G$1169</f>
        <v>995</v>
      </c>
      <c r="F1073" s="15">
        <f t="shared" si="1"/>
        <v>28.26</v>
      </c>
      <c r="G1073" s="13" t="str">
        <f>ROUND(Github!O$1169, 2)&amp;"%"</f>
        <v>64.45%</v>
      </c>
      <c r="H1073" s="13" t="str">
        <f>Github!H$1169</f>
        <v>Algorithms</v>
      </c>
      <c r="I1073" s="16" t="str">
        <f>SUBSTITUTE(Github!L$1169, ";", ", ")</f>
        <v>Union Find, Graph, Minimum Spanning Tree, </v>
      </c>
      <c r="J1073" s="13" t="str">
        <f>Github!E$1169</f>
        <v>Hard</v>
      </c>
      <c r="K1073" s="13" t="str">
        <f>IF(TRIM(Github!D$1169)="TRUE","FALSE","TRUE")</f>
        <v>FALSE</v>
      </c>
      <c r="L1073" s="13" t="b">
        <f>Github!M$1169</f>
        <v>1</v>
      </c>
      <c r="M1073" s="13" t="b">
        <f>Github!N$1169</f>
        <v>0</v>
      </c>
      <c r="N1073" s="13">
        <f>Github!P$1169</f>
        <v>37363</v>
      </c>
      <c r="O1073" s="13">
        <f>Github!Q$1169</f>
        <v>57972</v>
      </c>
    </row>
    <row r="1074">
      <c r="A1074" s="13">
        <f>Github!J$1314</f>
        <v>1313</v>
      </c>
      <c r="B1074" s="14" t="str">
        <f>HYPERLINK(CONCAT("http://leetcode.com/problems/",Github!C$1314), Github!B$1314)</f>
        <v>Decompress Run-Length Encoded List</v>
      </c>
      <c r="C1074" s="13">
        <f>Github!F$1314</f>
        <v>967</v>
      </c>
      <c r="D1074" s="13">
        <f>Github!G$1314</f>
        <v>1203</v>
      </c>
      <c r="E1074" s="13">
        <f>Github!F$1314+Github!G$1314</f>
        <v>2170</v>
      </c>
      <c r="F1074" s="15">
        <f t="shared" si="1"/>
        <v>0.8</v>
      </c>
      <c r="G1074" s="13" t="str">
        <f>ROUND(Github!O$1314, 2)&amp;"%"</f>
        <v>85.86%</v>
      </c>
      <c r="H1074" s="13" t="str">
        <f>Github!H$1314</f>
        <v>Algorithms</v>
      </c>
      <c r="I1074" s="16" t="str">
        <f>SUBSTITUTE(Github!L$1314, ";", ", ")</f>
        <v>Array, </v>
      </c>
      <c r="J1074" s="13" t="str">
        <f>Github!E$1314</f>
        <v>Easy</v>
      </c>
      <c r="K1074" s="13" t="str">
        <f>IF(TRIM(Github!D$1314)="TRUE","FALSE","TRUE")</f>
        <v>TRUE</v>
      </c>
      <c r="L1074" s="13" t="b">
        <f>Github!M$1314</f>
        <v>0</v>
      </c>
      <c r="M1074" s="13" t="b">
        <f>Github!N$1314</f>
        <v>0</v>
      </c>
      <c r="N1074" s="13">
        <f>Github!P$1314</f>
        <v>212176</v>
      </c>
      <c r="O1074" s="13">
        <f>Github!Q$1314</f>
        <v>247126</v>
      </c>
    </row>
    <row r="1075">
      <c r="A1075" s="13">
        <f>Github!J$843</f>
        <v>842</v>
      </c>
      <c r="B1075" s="14" t="str">
        <f>HYPERLINK(CONCAT("http://leetcode.com/problems/",Github!C$843), Github!B$843)</f>
        <v>Split Array into Fibonacci Sequence</v>
      </c>
      <c r="C1075" s="13">
        <f>Github!F$843</f>
        <v>986</v>
      </c>
      <c r="D1075" s="13">
        <f>Github!G$843</f>
        <v>281</v>
      </c>
      <c r="E1075" s="13">
        <f>Github!F$843+Github!G$843</f>
        <v>1267</v>
      </c>
      <c r="F1075" s="15">
        <f t="shared" si="1"/>
        <v>3.51</v>
      </c>
      <c r="G1075" s="13" t="str">
        <f>ROUND(Github!O$843, 2)&amp;"%"</f>
        <v>38.32%</v>
      </c>
      <c r="H1075" s="13" t="str">
        <f>Github!H$843</f>
        <v>Algorithms</v>
      </c>
      <c r="I1075" s="16" t="str">
        <f>SUBSTITUTE(Github!L$843, ";", ", ")</f>
        <v>String, Backtracking, </v>
      </c>
      <c r="J1075" s="13" t="str">
        <f>Github!E$843</f>
        <v>Medium</v>
      </c>
      <c r="K1075" s="13" t="str">
        <f>IF(TRIM(Github!D$843)="TRUE","FALSE","TRUE")</f>
        <v>TRUE</v>
      </c>
      <c r="L1075" s="13" t="b">
        <f>Github!M$843</f>
        <v>1</v>
      </c>
      <c r="M1075" s="13" t="b">
        <f>Github!N$843</f>
        <v>0</v>
      </c>
      <c r="N1075" s="13">
        <f>Github!P$843</f>
        <v>34189</v>
      </c>
      <c r="O1075" s="13">
        <f>Github!Q$843</f>
        <v>89216</v>
      </c>
    </row>
    <row r="1076">
      <c r="A1076" s="13">
        <f>Github!J$1457</f>
        <v>1456</v>
      </c>
      <c r="B1076" s="14" t="str">
        <f>HYPERLINK(CONCAT("http://leetcode.com/problems/",Github!C$1457), Github!B$1457)</f>
        <v>Maximum Number of Vowels in a Substring of Given Length</v>
      </c>
      <c r="C1076" s="13">
        <f>Github!F$1457</f>
        <v>975</v>
      </c>
      <c r="D1076" s="13">
        <f>Github!G$1457</f>
        <v>46</v>
      </c>
      <c r="E1076" s="13">
        <f>Github!F$1457+Github!G$1457</f>
        <v>1021</v>
      </c>
      <c r="F1076" s="15">
        <f t="shared" si="1"/>
        <v>21.2</v>
      </c>
      <c r="G1076" s="13" t="str">
        <f>ROUND(Github!O$1457, 2)&amp;"%"</f>
        <v>58.12%</v>
      </c>
      <c r="H1076" s="13" t="str">
        <f>Github!H$1457</f>
        <v>Algorithms</v>
      </c>
      <c r="I1076" s="16" t="str">
        <f>SUBSTITUTE(Github!L$1457, ";", ", ")</f>
        <v>String, Sliding Window, </v>
      </c>
      <c r="J1076" s="13" t="str">
        <f>Github!E$1457</f>
        <v>Medium</v>
      </c>
      <c r="K1076" s="13" t="str">
        <f>IF(TRIM(Github!D$1457)="TRUE","FALSE","TRUE")</f>
        <v>TRUE</v>
      </c>
      <c r="L1076" s="13" t="b">
        <f>Github!M$1457</f>
        <v>0</v>
      </c>
      <c r="M1076" s="13" t="b">
        <f>Github!N$1457</f>
        <v>0</v>
      </c>
      <c r="N1076" s="13">
        <f>Github!P$1457</f>
        <v>52971</v>
      </c>
      <c r="O1076" s="13">
        <f>Github!Q$1457</f>
        <v>91134</v>
      </c>
    </row>
    <row r="1077">
      <c r="A1077" s="13">
        <f>Github!J$2012</f>
        <v>2011</v>
      </c>
      <c r="B1077" s="14" t="str">
        <f>HYPERLINK(CONCAT("http://leetcode.com/problems/",Github!C$2012), Github!B$2012)</f>
        <v>Final Value of Variable After Performing Operations</v>
      </c>
      <c r="C1077" s="13">
        <f>Github!F$2012</f>
        <v>966</v>
      </c>
      <c r="D1077" s="13">
        <f>Github!G$2012</f>
        <v>136</v>
      </c>
      <c r="E1077" s="13">
        <f>Github!F$2012+Github!G$2012</f>
        <v>1102</v>
      </c>
      <c r="F1077" s="15">
        <f t="shared" si="1"/>
        <v>7.1</v>
      </c>
      <c r="G1077" s="13" t="str">
        <f>ROUND(Github!O$2012, 2)&amp;"%"</f>
        <v>88.77%</v>
      </c>
      <c r="H1077" s="13" t="str">
        <f>Github!H$2012</f>
        <v>Algorithms</v>
      </c>
      <c r="I1077" s="16" t="str">
        <f>SUBSTITUTE(Github!L$2012, ";", ", ")</f>
        <v>Array, String, Simulation, </v>
      </c>
      <c r="J1077" s="13" t="str">
        <f>Github!E$2012</f>
        <v>Easy</v>
      </c>
      <c r="K1077" s="13" t="str">
        <f>IF(TRIM(Github!D$2012)="TRUE","FALSE","TRUE")</f>
        <v>TRUE</v>
      </c>
      <c r="L1077" s="13" t="b">
        <f>Github!M$2012</f>
        <v>0</v>
      </c>
      <c r="M1077" s="13" t="b">
        <f>Github!N$2012</f>
        <v>0</v>
      </c>
      <c r="N1077" s="13">
        <f>Github!P$2012</f>
        <v>184979</v>
      </c>
      <c r="O1077" s="13">
        <f>Github!Q$2012</f>
        <v>208389</v>
      </c>
    </row>
    <row r="1078">
      <c r="A1078" s="13">
        <f>Github!J$804</f>
        <v>803</v>
      </c>
      <c r="B1078" s="14" t="str">
        <f>HYPERLINK(CONCAT("http://leetcode.com/problems/",Github!C$804), Github!B$804)</f>
        <v>Bricks Falling When Hit</v>
      </c>
      <c r="C1078" s="13">
        <f>Github!F$804</f>
        <v>948</v>
      </c>
      <c r="D1078" s="13">
        <f>Github!G$804</f>
        <v>178</v>
      </c>
      <c r="E1078" s="13">
        <f>Github!F$804+Github!G$804</f>
        <v>1126</v>
      </c>
      <c r="F1078" s="15">
        <f t="shared" si="1"/>
        <v>5.33</v>
      </c>
      <c r="G1078" s="13" t="str">
        <f>ROUND(Github!O$804, 2)&amp;"%"</f>
        <v>34.28%</v>
      </c>
      <c r="H1078" s="13" t="str">
        <f>Github!H$804</f>
        <v>Algorithms</v>
      </c>
      <c r="I1078" s="16" t="str">
        <f>SUBSTITUTE(Github!L$804, ";", ", ")</f>
        <v>Array, Union Find, Matrix, </v>
      </c>
      <c r="J1078" s="13" t="str">
        <f>Github!E$804</f>
        <v>Hard</v>
      </c>
      <c r="K1078" s="13" t="str">
        <f>IF(TRIM(Github!D$804)="TRUE","FALSE","TRUE")</f>
        <v>TRUE</v>
      </c>
      <c r="L1078" s="13" t="b">
        <f>Github!M$804</f>
        <v>1</v>
      </c>
      <c r="M1078" s="13" t="b">
        <f>Github!N$804</f>
        <v>0</v>
      </c>
      <c r="N1078" s="13">
        <f>Github!P$804</f>
        <v>27218</v>
      </c>
      <c r="O1078" s="13">
        <f>Github!Q$804</f>
        <v>79393</v>
      </c>
    </row>
    <row r="1079">
      <c r="A1079" s="13">
        <f>Github!J$267</f>
        <v>266</v>
      </c>
      <c r="B1079" s="14" t="str">
        <f>HYPERLINK(CONCAT("http://leetcode.com/problems/",Github!C$267), Github!B$267)</f>
        <v>Palindrome Permutation</v>
      </c>
      <c r="C1079" s="13">
        <f>Github!F$267</f>
        <v>945</v>
      </c>
      <c r="D1079" s="13">
        <f>Github!G$267</f>
        <v>67</v>
      </c>
      <c r="E1079" s="13">
        <f>Github!F$267+Github!G$267</f>
        <v>1012</v>
      </c>
      <c r="F1079" s="15">
        <f t="shared" si="1"/>
        <v>14.1</v>
      </c>
      <c r="G1079" s="13" t="str">
        <f>ROUND(Github!O$267, 2)&amp;"%"</f>
        <v>65.92%</v>
      </c>
      <c r="H1079" s="13" t="str">
        <f>Github!H$267</f>
        <v>Algorithms</v>
      </c>
      <c r="I1079" s="16" t="str">
        <f>SUBSTITUTE(Github!L$267, ";", ", ")</f>
        <v>Hash Table, String, Bit Manipulation, </v>
      </c>
      <c r="J1079" s="13" t="str">
        <f>Github!E$267</f>
        <v>Easy</v>
      </c>
      <c r="K1079" s="13" t="str">
        <f>IF(TRIM(Github!D$267)="TRUE","FALSE","TRUE")</f>
        <v>FALSE</v>
      </c>
      <c r="L1079" s="13" t="b">
        <f>Github!M$267</f>
        <v>1</v>
      </c>
      <c r="M1079" s="13" t="b">
        <f>Github!N$267</f>
        <v>0</v>
      </c>
      <c r="N1079" s="13">
        <f>Github!P$267</f>
        <v>177103</v>
      </c>
      <c r="O1079" s="13">
        <f>Github!Q$267</f>
        <v>268649</v>
      </c>
    </row>
    <row r="1080">
      <c r="A1080" s="13">
        <f>Github!J$777</f>
        <v>776</v>
      </c>
      <c r="B1080" s="14" t="str">
        <f>HYPERLINK(CONCAT("http://leetcode.com/problems/",Github!C$777), Github!B$777)</f>
        <v>Split BST</v>
      </c>
      <c r="C1080" s="13">
        <f>Github!F$777</f>
        <v>946</v>
      </c>
      <c r="D1080" s="13">
        <f>Github!G$777</f>
        <v>96</v>
      </c>
      <c r="E1080" s="13">
        <f>Github!F$777+Github!G$777</f>
        <v>1042</v>
      </c>
      <c r="F1080" s="15">
        <f t="shared" si="1"/>
        <v>9.85</v>
      </c>
      <c r="G1080" s="13" t="str">
        <f>ROUND(Github!O$777, 2)&amp;"%"</f>
        <v>58.68%</v>
      </c>
      <c r="H1080" s="13" t="str">
        <f>Github!H$777</f>
        <v>Algorithms</v>
      </c>
      <c r="I1080" s="16" t="str">
        <f>SUBSTITUTE(Github!L$777, ";", ", ")</f>
        <v>Tree, Binary Search Tree, Recursion, Binary Tree, </v>
      </c>
      <c r="J1080" s="13" t="str">
        <f>Github!E$777</f>
        <v>Medium</v>
      </c>
      <c r="K1080" s="13" t="str">
        <f>IF(TRIM(Github!D$777)="TRUE","FALSE","TRUE")</f>
        <v>FALSE</v>
      </c>
      <c r="L1080" s="13" t="b">
        <f>Github!M$777</f>
        <v>1</v>
      </c>
      <c r="M1080" s="13" t="b">
        <f>Github!N$777</f>
        <v>0</v>
      </c>
      <c r="N1080" s="13">
        <f>Github!P$777</f>
        <v>28674</v>
      </c>
      <c r="O1080" s="13">
        <f>Github!Q$777</f>
        <v>48868</v>
      </c>
    </row>
    <row r="1081">
      <c r="A1081" s="13">
        <f>Github!J$782</f>
        <v>781</v>
      </c>
      <c r="B1081" s="14" t="str">
        <f>HYPERLINK(CONCAT("http://leetcode.com/problems/",Github!C$782), Github!B$782)</f>
        <v>Rabbits in Forest</v>
      </c>
      <c r="C1081" s="13">
        <f>Github!F$782</f>
        <v>952</v>
      </c>
      <c r="D1081" s="13">
        <f>Github!G$782</f>
        <v>531</v>
      </c>
      <c r="E1081" s="13">
        <f>Github!F$782+Github!G$782</f>
        <v>1483</v>
      </c>
      <c r="F1081" s="15">
        <f t="shared" si="1"/>
        <v>1.79</v>
      </c>
      <c r="G1081" s="13" t="str">
        <f>ROUND(Github!O$782, 2)&amp;"%"</f>
        <v>55.1%</v>
      </c>
      <c r="H1081" s="13" t="str">
        <f>Github!H$782</f>
        <v>Algorithms</v>
      </c>
      <c r="I1081" s="16" t="str">
        <f>SUBSTITUTE(Github!L$782, ";", ", ")</f>
        <v>Array, Hash Table, Math, Greedy, </v>
      </c>
      <c r="J1081" s="13" t="str">
        <f>Github!E$782</f>
        <v>Medium</v>
      </c>
      <c r="K1081" s="13" t="str">
        <f>IF(TRIM(Github!D$782)="TRUE","FALSE","TRUE")</f>
        <v>TRUE</v>
      </c>
      <c r="L1081" s="13" t="b">
        <f>Github!M$782</f>
        <v>1</v>
      </c>
      <c r="M1081" s="13" t="b">
        <f>Github!N$782</f>
        <v>0</v>
      </c>
      <c r="N1081" s="13">
        <f>Github!P$782</f>
        <v>43485</v>
      </c>
      <c r="O1081" s="13">
        <f>Github!Q$782</f>
        <v>78926</v>
      </c>
    </row>
    <row r="1082">
      <c r="A1082" s="13">
        <f>Github!J$1235</f>
        <v>1234</v>
      </c>
      <c r="B1082" s="14" t="str">
        <f>HYPERLINK(CONCAT("http://leetcode.com/problems/",Github!C$1235), Github!B$1235)</f>
        <v>Replace the Substring for Balanced String</v>
      </c>
      <c r="C1082" s="13">
        <f>Github!F$1235</f>
        <v>945</v>
      </c>
      <c r="D1082" s="13">
        <f>Github!G$1235</f>
        <v>180</v>
      </c>
      <c r="E1082" s="13">
        <f>Github!F$1235+Github!G$1235</f>
        <v>1125</v>
      </c>
      <c r="F1082" s="15">
        <f t="shared" si="1"/>
        <v>5.25</v>
      </c>
      <c r="G1082" s="13" t="str">
        <f>ROUND(Github!O$1235, 2)&amp;"%"</f>
        <v>36.89%</v>
      </c>
      <c r="H1082" s="13" t="str">
        <f>Github!H$1235</f>
        <v>Algorithms</v>
      </c>
      <c r="I1082" s="16" t="str">
        <f>SUBSTITUTE(Github!L$1235, ";", ", ")</f>
        <v>String, Sliding Window, </v>
      </c>
      <c r="J1082" s="13" t="str">
        <f>Github!E$1235</f>
        <v>Medium</v>
      </c>
      <c r="K1082" s="13" t="str">
        <f>IF(TRIM(Github!D$1235)="TRUE","FALSE","TRUE")</f>
        <v>TRUE</v>
      </c>
      <c r="L1082" s="13" t="b">
        <f>Github!M$1235</f>
        <v>0</v>
      </c>
      <c r="M1082" s="13" t="b">
        <f>Github!N$1235</f>
        <v>0</v>
      </c>
      <c r="N1082" s="13">
        <f>Github!P$1235</f>
        <v>26542</v>
      </c>
      <c r="O1082" s="13">
        <f>Github!Q$1235</f>
        <v>71953</v>
      </c>
    </row>
    <row r="1083">
      <c r="A1083" s="13">
        <f>Github!J$1877</f>
        <v>1876</v>
      </c>
      <c r="B1083" s="14" t="str">
        <f>HYPERLINK(CONCAT("http://leetcode.com/problems/",Github!C$1877), Github!B$1877)</f>
        <v>Substrings of Size Three with Distinct Characters</v>
      </c>
      <c r="C1083" s="13">
        <f>Github!F$1877</f>
        <v>954</v>
      </c>
      <c r="D1083" s="13">
        <f>Github!G$1877</f>
        <v>27</v>
      </c>
      <c r="E1083" s="13">
        <f>Github!F$1877+Github!G$1877</f>
        <v>981</v>
      </c>
      <c r="F1083" s="15">
        <f t="shared" si="1"/>
        <v>35.33</v>
      </c>
      <c r="G1083" s="13" t="str">
        <f>ROUND(Github!O$1877, 2)&amp;"%"</f>
        <v>70.5%</v>
      </c>
      <c r="H1083" s="13" t="str">
        <f>Github!H$1877</f>
        <v>Algorithms</v>
      </c>
      <c r="I1083" s="16" t="str">
        <f>SUBSTITUTE(Github!L$1877, ";", ", ")</f>
        <v>Hash Table, String, Sliding Window, Counting, </v>
      </c>
      <c r="J1083" s="13" t="str">
        <f>Github!E$1877</f>
        <v>Easy</v>
      </c>
      <c r="K1083" s="13" t="str">
        <f>IF(TRIM(Github!D$1877)="TRUE","FALSE","TRUE")</f>
        <v>TRUE</v>
      </c>
      <c r="L1083" s="13" t="b">
        <f>Github!M$1877</f>
        <v>0</v>
      </c>
      <c r="M1083" s="13" t="b">
        <f>Github!N$1877</f>
        <v>0</v>
      </c>
      <c r="N1083" s="13">
        <f>Github!P$1877</f>
        <v>65993</v>
      </c>
      <c r="O1083" s="13">
        <f>Github!Q$1877</f>
        <v>93609</v>
      </c>
    </row>
    <row r="1084">
      <c r="A1084" s="13">
        <f>Github!J$1293</f>
        <v>1292</v>
      </c>
      <c r="B1084" s="14" t="str">
        <f>HYPERLINK(CONCAT("http://leetcode.com/problems/",Github!C$1293), Github!B$1293)</f>
        <v>Maximum Side Length of a Square with Sum Less than or Equal to Threshold</v>
      </c>
      <c r="C1084" s="13">
        <f>Github!F$1293</f>
        <v>940</v>
      </c>
      <c r="D1084" s="13">
        <f>Github!G$1293</f>
        <v>79</v>
      </c>
      <c r="E1084" s="13">
        <f>Github!F$1293+Github!G$1293</f>
        <v>1019</v>
      </c>
      <c r="F1084" s="15">
        <f t="shared" si="1"/>
        <v>11.9</v>
      </c>
      <c r="G1084" s="13" t="str">
        <f>ROUND(Github!O$1293, 2)&amp;"%"</f>
        <v>53.19%</v>
      </c>
      <c r="H1084" s="13" t="str">
        <f>Github!H$1293</f>
        <v>Algorithms</v>
      </c>
      <c r="I1084" s="16" t="str">
        <f>SUBSTITUTE(Github!L$1293, ";", ", ")</f>
        <v>Array, Binary Search, Matrix, Prefix Sum, </v>
      </c>
      <c r="J1084" s="13" t="str">
        <f>Github!E$1293</f>
        <v>Medium</v>
      </c>
      <c r="K1084" s="13" t="str">
        <f>IF(TRIM(Github!D$1293)="TRUE","FALSE","TRUE")</f>
        <v>TRUE</v>
      </c>
      <c r="L1084" s="13" t="b">
        <f>Github!M$1293</f>
        <v>0</v>
      </c>
      <c r="M1084" s="13" t="b">
        <f>Github!N$1293</f>
        <v>0</v>
      </c>
      <c r="N1084" s="13">
        <f>Github!P$1293</f>
        <v>28657</v>
      </c>
      <c r="O1084" s="13">
        <f>Github!Q$1293</f>
        <v>53875</v>
      </c>
    </row>
    <row r="1085">
      <c r="A1085" s="13">
        <f>Github!J$312</f>
        <v>311</v>
      </c>
      <c r="B1085" s="14" t="str">
        <f>HYPERLINK(CONCAT("http://leetcode.com/problems/",Github!C$312), Github!B$312)</f>
        <v>Sparse Matrix Multiplication</v>
      </c>
      <c r="C1085" s="13">
        <f>Github!F$312</f>
        <v>935</v>
      </c>
      <c r="D1085" s="13">
        <f>Github!G$312</f>
        <v>330</v>
      </c>
      <c r="E1085" s="13">
        <f>Github!F$312+Github!G$312</f>
        <v>1265</v>
      </c>
      <c r="F1085" s="15">
        <f t="shared" si="1"/>
        <v>2.83</v>
      </c>
      <c r="G1085" s="13" t="str">
        <f>ROUND(Github!O$312, 2)&amp;"%"</f>
        <v>67.24%</v>
      </c>
      <c r="H1085" s="13" t="str">
        <f>Github!H$312</f>
        <v>Algorithms</v>
      </c>
      <c r="I1085" s="16" t="str">
        <f>SUBSTITUTE(Github!L$312, ";", ", ")</f>
        <v>Array, Hash Table, Matrix, </v>
      </c>
      <c r="J1085" s="13" t="str">
        <f>Github!E$312</f>
        <v>Medium</v>
      </c>
      <c r="K1085" s="13" t="str">
        <f>IF(TRIM(Github!D$312)="TRUE","FALSE","TRUE")</f>
        <v>FALSE</v>
      </c>
      <c r="L1085" s="13" t="b">
        <f>Github!M$312</f>
        <v>1</v>
      </c>
      <c r="M1085" s="13" t="b">
        <f>Github!N$312</f>
        <v>0</v>
      </c>
      <c r="N1085" s="13">
        <f>Github!P$312</f>
        <v>167406</v>
      </c>
      <c r="O1085" s="13">
        <f>Github!Q$312</f>
        <v>248974</v>
      </c>
    </row>
    <row r="1086">
      <c r="A1086" s="13">
        <f>Github!J$1878</f>
        <v>1877</v>
      </c>
      <c r="B1086" s="14" t="str">
        <f>HYPERLINK(CONCAT("http://leetcode.com/problems/",Github!C$1878), Github!B$1878)</f>
        <v>Minimize Maximum Pair Sum in Array</v>
      </c>
      <c r="C1086" s="13">
        <f>Github!F$1878</f>
        <v>944</v>
      </c>
      <c r="D1086" s="13">
        <f>Github!G$1878</f>
        <v>234</v>
      </c>
      <c r="E1086" s="13">
        <f>Github!F$1878+Github!G$1878</f>
        <v>1178</v>
      </c>
      <c r="F1086" s="15">
        <f t="shared" si="1"/>
        <v>4.03</v>
      </c>
      <c r="G1086" s="13" t="str">
        <f>ROUND(Github!O$1878, 2)&amp;"%"</f>
        <v>80.17%</v>
      </c>
      <c r="H1086" s="13" t="str">
        <f>Github!H$1878</f>
        <v>Algorithms</v>
      </c>
      <c r="I1086" s="16" t="str">
        <f>SUBSTITUTE(Github!L$1878, ";", ", ")</f>
        <v>Array, Two Pointers, Greedy, Sorting, </v>
      </c>
      <c r="J1086" s="13" t="str">
        <f>Github!E$1878</f>
        <v>Medium</v>
      </c>
      <c r="K1086" s="13" t="str">
        <f>IF(TRIM(Github!D$1878)="TRUE","FALSE","TRUE")</f>
        <v>TRUE</v>
      </c>
      <c r="L1086" s="13" t="b">
        <f>Github!M$1878</f>
        <v>0</v>
      </c>
      <c r="M1086" s="13" t="b">
        <f>Github!N$1878</f>
        <v>0</v>
      </c>
      <c r="N1086" s="13">
        <f>Github!P$1878</f>
        <v>65761</v>
      </c>
      <c r="O1086" s="13">
        <f>Github!Q$1878</f>
        <v>82023</v>
      </c>
    </row>
    <row r="1087">
      <c r="A1087" s="13">
        <f>Github!J$187</f>
        <v>186</v>
      </c>
      <c r="B1087" s="14" t="str">
        <f>HYPERLINK(CONCAT("http://leetcode.com/problems/",Github!C$187), Github!B$187)</f>
        <v>Reverse Words in a String II</v>
      </c>
      <c r="C1087" s="13">
        <f>Github!F$187</f>
        <v>935</v>
      </c>
      <c r="D1087" s="13">
        <f>Github!G$187</f>
        <v>135</v>
      </c>
      <c r="E1087" s="13">
        <f>Github!F$187+Github!G$187</f>
        <v>1070</v>
      </c>
      <c r="F1087" s="15">
        <f t="shared" si="1"/>
        <v>6.93</v>
      </c>
      <c r="G1087" s="13" t="str">
        <f>ROUND(Github!O$187, 2)&amp;"%"</f>
        <v>52.61%</v>
      </c>
      <c r="H1087" s="13" t="str">
        <f>Github!H$187</f>
        <v>Algorithms</v>
      </c>
      <c r="I1087" s="16" t="str">
        <f>SUBSTITUTE(Github!L$187, ";", ", ")</f>
        <v>Two Pointers, String, </v>
      </c>
      <c r="J1087" s="13" t="str">
        <f>Github!E$187</f>
        <v>Medium</v>
      </c>
      <c r="K1087" s="13" t="str">
        <f>IF(TRIM(Github!D$187)="TRUE","FALSE","TRUE")</f>
        <v>FALSE</v>
      </c>
      <c r="L1087" s="13" t="b">
        <f>Github!M$187</f>
        <v>1</v>
      </c>
      <c r="M1087" s="13" t="b">
        <f>Github!N$187</f>
        <v>0</v>
      </c>
      <c r="N1087" s="13">
        <f>Github!P$187</f>
        <v>144683</v>
      </c>
      <c r="O1087" s="13">
        <f>Github!Q$187</f>
        <v>275026</v>
      </c>
    </row>
    <row r="1088">
      <c r="A1088" s="13">
        <f>Github!J$263</f>
        <v>262</v>
      </c>
      <c r="B1088" s="14" t="str">
        <f>HYPERLINK(CONCAT("http://leetcode.com/problems/",Github!C$263), Github!B$263)</f>
        <v>Trips and Users</v>
      </c>
      <c r="C1088" s="13">
        <f>Github!F$263</f>
        <v>944</v>
      </c>
      <c r="D1088" s="13">
        <f>Github!G$263</f>
        <v>552</v>
      </c>
      <c r="E1088" s="13">
        <f>Github!F$263+Github!G$263</f>
        <v>1496</v>
      </c>
      <c r="F1088" s="15">
        <f t="shared" si="1"/>
        <v>1.71</v>
      </c>
      <c r="G1088" s="13" t="str">
        <f>ROUND(Github!O$263, 2)&amp;"%"</f>
        <v>38.14%</v>
      </c>
      <c r="H1088" s="13" t="str">
        <f>Github!H$263</f>
        <v>Database</v>
      </c>
      <c r="I1088" s="16" t="str">
        <f>SUBSTITUTE(Github!L$263, ";", ", ")</f>
        <v>Database, </v>
      </c>
      <c r="J1088" s="13" t="str">
        <f>Github!E$263</f>
        <v>Hard</v>
      </c>
      <c r="K1088" s="13" t="str">
        <f>IF(TRIM(Github!D$263)="TRUE","FALSE","TRUE")</f>
        <v>TRUE</v>
      </c>
      <c r="L1088" s="13" t="b">
        <f>Github!M$263</f>
        <v>0</v>
      </c>
      <c r="M1088" s="13" t="b">
        <f>Github!N$263</f>
        <v>0</v>
      </c>
      <c r="N1088" s="13">
        <f>Github!P$263</f>
        <v>136492</v>
      </c>
      <c r="O1088" s="13">
        <f>Github!Q$263</f>
        <v>357833</v>
      </c>
    </row>
    <row r="1089">
      <c r="A1089" s="13">
        <f>Github!J$1503</f>
        <v>1502</v>
      </c>
      <c r="B1089" s="14" t="str">
        <f>HYPERLINK(CONCAT("http://leetcode.com/problems/",Github!C$1503), Github!B$1503)</f>
        <v>Can Make Arithmetic Progression From Sequence</v>
      </c>
      <c r="C1089" s="13">
        <f>Github!F$1503</f>
        <v>939</v>
      </c>
      <c r="D1089" s="13">
        <f>Github!G$1503</f>
        <v>57</v>
      </c>
      <c r="E1089" s="13">
        <f>Github!F$1503+Github!G$1503</f>
        <v>996</v>
      </c>
      <c r="F1089" s="15">
        <f t="shared" si="1"/>
        <v>16.47</v>
      </c>
      <c r="G1089" s="13" t="str">
        <f>ROUND(Github!O$1503, 2)&amp;"%"</f>
        <v>68.03%</v>
      </c>
      <c r="H1089" s="13" t="str">
        <f>Github!H$1503</f>
        <v>Algorithms</v>
      </c>
      <c r="I1089" s="16" t="str">
        <f>SUBSTITUTE(Github!L$1503, ";", ", ")</f>
        <v>Array, Sorting, </v>
      </c>
      <c r="J1089" s="13" t="str">
        <f>Github!E$1503</f>
        <v>Easy</v>
      </c>
      <c r="K1089" s="13" t="str">
        <f>IF(TRIM(Github!D$1503)="TRUE","FALSE","TRUE")</f>
        <v>TRUE</v>
      </c>
      <c r="L1089" s="13" t="b">
        <f>Github!M$1503</f>
        <v>0</v>
      </c>
      <c r="M1089" s="13" t="b">
        <f>Github!N$1503</f>
        <v>0</v>
      </c>
      <c r="N1089" s="13">
        <f>Github!P$1503</f>
        <v>115275</v>
      </c>
      <c r="O1089" s="13">
        <f>Github!Q$1503</f>
        <v>169437</v>
      </c>
    </row>
    <row r="1090">
      <c r="A1090" s="13">
        <f>Github!J$1493</f>
        <v>1492</v>
      </c>
      <c r="B1090" s="14" t="str">
        <f>HYPERLINK(CONCAT("http://leetcode.com/problems/",Github!C$1493), Github!B$1493)</f>
        <v>The kth Factor of n</v>
      </c>
      <c r="C1090" s="13">
        <f>Github!F$1493</f>
        <v>933</v>
      </c>
      <c r="D1090" s="13">
        <f>Github!G$1493</f>
        <v>232</v>
      </c>
      <c r="E1090" s="13">
        <f>Github!F$1493+Github!G$1493</f>
        <v>1165</v>
      </c>
      <c r="F1090" s="15">
        <f t="shared" si="1"/>
        <v>4.02</v>
      </c>
      <c r="G1090" s="13" t="str">
        <f>ROUND(Github!O$1493, 2)&amp;"%"</f>
        <v>62.47%</v>
      </c>
      <c r="H1090" s="13" t="str">
        <f>Github!H$1493</f>
        <v>Algorithms</v>
      </c>
      <c r="I1090" s="16" t="str">
        <f>SUBSTITUTE(Github!L$1493, ";", ", ")</f>
        <v>Math, </v>
      </c>
      <c r="J1090" s="13" t="str">
        <f>Github!E$1493</f>
        <v>Medium</v>
      </c>
      <c r="K1090" s="13" t="str">
        <f>IF(TRIM(Github!D$1493)="TRUE","FALSE","TRUE")</f>
        <v>TRUE</v>
      </c>
      <c r="L1090" s="13" t="b">
        <f>Github!M$1493</f>
        <v>1</v>
      </c>
      <c r="M1090" s="13" t="b">
        <f>Github!N$1493</f>
        <v>0</v>
      </c>
      <c r="N1090" s="13">
        <f>Github!P$1493</f>
        <v>108495</v>
      </c>
      <c r="O1090" s="13">
        <f>Github!Q$1493</f>
        <v>173671</v>
      </c>
    </row>
    <row r="1091">
      <c r="A1091" s="13">
        <f>Github!J$2290</f>
        <v>2289</v>
      </c>
      <c r="B1091" s="14" t="str">
        <f>HYPERLINK(CONCAT("http://leetcode.com/problems/",Github!C$2290), Github!B$2290)</f>
        <v>Steps to Make Array Non-decreasing</v>
      </c>
      <c r="C1091" s="13">
        <f>Github!F$2290</f>
        <v>942</v>
      </c>
      <c r="D1091" s="13">
        <f>Github!G$2290</f>
        <v>103</v>
      </c>
      <c r="E1091" s="13">
        <f>Github!F$2290+Github!G$2290</f>
        <v>1045</v>
      </c>
      <c r="F1091" s="15">
        <f t="shared" si="1"/>
        <v>9.15</v>
      </c>
      <c r="G1091" s="13" t="str">
        <f>ROUND(Github!O$2290, 2)&amp;"%"</f>
        <v>21.29%</v>
      </c>
      <c r="H1091" s="13" t="str">
        <f>Github!H2290</f>
        <v>Algorithms</v>
      </c>
      <c r="I1091" s="16" t="str">
        <f>SUBSTITUTE(Github!L$2290, ";", ", ")</f>
        <v>Array, Linked List, Stack, Monotonic Stack, </v>
      </c>
      <c r="J1091" s="13" t="str">
        <f>Github!E$2290</f>
        <v>Medium</v>
      </c>
      <c r="K1091" s="13" t="str">
        <f>IF(TRIM(Github!D$2290)="TRUE","FALSE","TRUE")</f>
        <v>TRUE</v>
      </c>
      <c r="L1091" s="13" t="b">
        <f>Github!M$2290</f>
        <v>0</v>
      </c>
      <c r="M1091" s="13" t="b">
        <f>Github!N$2290</f>
        <v>0</v>
      </c>
      <c r="N1091" s="13">
        <f>Github!P$2290</f>
        <v>13116</v>
      </c>
      <c r="O1091" s="13">
        <f>Github!Q$2290</f>
        <v>61607</v>
      </c>
    </row>
    <row r="1092">
      <c r="A1092" s="13">
        <f>Github!J$1604</f>
        <v>1603</v>
      </c>
      <c r="B1092" s="14" t="str">
        <f>HYPERLINK(CONCAT("http://leetcode.com/problems/",Github!C$1604), Github!B$1604)</f>
        <v>Design Parking System</v>
      </c>
      <c r="C1092" s="13">
        <f>Github!F$1604</f>
        <v>932</v>
      </c>
      <c r="D1092" s="13">
        <f>Github!G$1604</f>
        <v>349</v>
      </c>
      <c r="E1092" s="13">
        <f>Github!F$1604+Github!G$1604</f>
        <v>1281</v>
      </c>
      <c r="F1092" s="15">
        <f t="shared" si="1"/>
        <v>2.67</v>
      </c>
      <c r="G1092" s="13" t="str">
        <f>ROUND(Github!O$1604, 2)&amp;"%"</f>
        <v>88%</v>
      </c>
      <c r="H1092" s="13" t="str">
        <f>Github!H$1604</f>
        <v>Algorithms</v>
      </c>
      <c r="I1092" s="16" t="str">
        <f>SUBSTITUTE(Github!L$1604, ";", ", ")</f>
        <v>Design, Simulation, Counting, </v>
      </c>
      <c r="J1092" s="13" t="str">
        <f>Github!E$1604</f>
        <v>Easy</v>
      </c>
      <c r="K1092" s="13" t="str">
        <f>IF(TRIM(Github!D$1604)="TRUE","FALSE","TRUE")</f>
        <v>TRUE</v>
      </c>
      <c r="L1092" s="13" t="b">
        <f>Github!M$1604</f>
        <v>0</v>
      </c>
      <c r="M1092" s="13" t="b">
        <f>Github!N$1604</f>
        <v>0</v>
      </c>
      <c r="N1092" s="13">
        <f>Github!P$1604</f>
        <v>160839</v>
      </c>
      <c r="O1092" s="13">
        <f>Github!Q$1604</f>
        <v>182779</v>
      </c>
    </row>
    <row r="1093">
      <c r="A1093" s="13">
        <f>Github!J$1301</f>
        <v>1300</v>
      </c>
      <c r="B1093" s="14" t="str">
        <f>HYPERLINK(CONCAT("http://leetcode.com/problems/",Github!C$1301), Github!B$1301)</f>
        <v>Sum of Mutated Array Closest to Target</v>
      </c>
      <c r="C1093" s="13">
        <f>Github!F$1301</f>
        <v>929</v>
      </c>
      <c r="D1093" s="13">
        <f>Github!G$1301</f>
        <v>125</v>
      </c>
      <c r="E1093" s="13">
        <f>Github!F$1301+Github!G$1301</f>
        <v>1054</v>
      </c>
      <c r="F1093" s="15">
        <f t="shared" si="1"/>
        <v>7.43</v>
      </c>
      <c r="G1093" s="13" t="str">
        <f>ROUND(Github!O$1301, 2)&amp;"%"</f>
        <v>43.22%</v>
      </c>
      <c r="H1093" s="13" t="str">
        <f>Github!H$1301</f>
        <v>Algorithms</v>
      </c>
      <c r="I1093" s="16" t="str">
        <f>SUBSTITUTE(Github!L$1301, ";", ", ")</f>
        <v>Array, Binary Search, Sorting, </v>
      </c>
      <c r="J1093" s="13" t="str">
        <f>Github!E$1301</f>
        <v>Medium</v>
      </c>
      <c r="K1093" s="13" t="str">
        <f>IF(TRIM(Github!D$1301)="TRUE","FALSE","TRUE")</f>
        <v>TRUE</v>
      </c>
      <c r="L1093" s="13" t="b">
        <f>Github!M$1301</f>
        <v>0</v>
      </c>
      <c r="M1093" s="13" t="b">
        <f>Github!N$1301</f>
        <v>0</v>
      </c>
      <c r="N1093" s="13">
        <f>Github!P$1301</f>
        <v>30749</v>
      </c>
      <c r="O1093" s="13">
        <f>Github!Q$1301</f>
        <v>71153</v>
      </c>
    </row>
    <row r="1094">
      <c r="A1094" s="13">
        <f>Github!J$1253</f>
        <v>1252</v>
      </c>
      <c r="B1094" s="14" t="str">
        <f>HYPERLINK(CONCAT("http://leetcode.com/problems/",Github!C$1253), Github!B$1253)</f>
        <v>Cells with Odd Values in a Matrix</v>
      </c>
      <c r="C1094" s="13">
        <f>Github!F$1253</f>
        <v>930</v>
      </c>
      <c r="D1094" s="13">
        <f>Github!G$1253</f>
        <v>1282</v>
      </c>
      <c r="E1094" s="13">
        <f>Github!F$1253+Github!G$1253</f>
        <v>2212</v>
      </c>
      <c r="F1094" s="15">
        <f t="shared" si="1"/>
        <v>0.73</v>
      </c>
      <c r="G1094" s="13" t="str">
        <f>ROUND(Github!O$1253, 2)&amp;"%"</f>
        <v>78.58%</v>
      </c>
      <c r="H1094" s="13" t="str">
        <f>Github!H$1253</f>
        <v>Algorithms</v>
      </c>
      <c r="I1094" s="16" t="str">
        <f>SUBSTITUTE(Github!L$1253, ";", ", ")</f>
        <v>Array, Math, Simulation, </v>
      </c>
      <c r="J1094" s="13" t="str">
        <f>Github!E$1253</f>
        <v>Easy</v>
      </c>
      <c r="K1094" s="13" t="str">
        <f>IF(TRIM(Github!D$1253)="TRUE","FALSE","TRUE")</f>
        <v>TRUE</v>
      </c>
      <c r="L1094" s="13" t="b">
        <f>Github!M$1253</f>
        <v>0</v>
      </c>
      <c r="M1094" s="13" t="b">
        <f>Github!N$1253</f>
        <v>0</v>
      </c>
      <c r="N1094" s="13">
        <f>Github!P$1253</f>
        <v>90051</v>
      </c>
      <c r="O1094" s="13">
        <f>Github!Q$1253</f>
        <v>114605</v>
      </c>
    </row>
    <row r="1095">
      <c r="A1095" s="13">
        <f>Github!J$1792</f>
        <v>1791</v>
      </c>
      <c r="B1095" s="14" t="str">
        <f>HYPERLINK(CONCAT("http://leetcode.com/problems/",Github!C$1792), Github!B$1792)</f>
        <v>Find Center of Star Graph</v>
      </c>
      <c r="C1095" s="13">
        <f>Github!F$1792</f>
        <v>946</v>
      </c>
      <c r="D1095" s="13">
        <f>Github!G$1792</f>
        <v>118</v>
      </c>
      <c r="E1095" s="13">
        <f>Github!F$1792+Github!G$1792</f>
        <v>1064</v>
      </c>
      <c r="F1095" s="15">
        <f t="shared" si="1"/>
        <v>8.02</v>
      </c>
      <c r="G1095" s="13" t="str">
        <f>ROUND(Github!O$1792, 2)&amp;"%"</f>
        <v>83.53%</v>
      </c>
      <c r="H1095" s="13" t="str">
        <f>Github!H$1792</f>
        <v>Algorithms</v>
      </c>
      <c r="I1095" s="16" t="str">
        <f>SUBSTITUTE(Github!L$1792, ";", ", ")</f>
        <v>Graph, </v>
      </c>
      <c r="J1095" s="13" t="str">
        <f>Github!E$1792</f>
        <v>Easy</v>
      </c>
      <c r="K1095" s="13" t="str">
        <f>IF(TRIM(Github!D$1792)="TRUE","FALSE","TRUE")</f>
        <v>TRUE</v>
      </c>
      <c r="L1095" s="13" t="b">
        <f>Github!M$1792</f>
        <v>0</v>
      </c>
      <c r="M1095" s="13" t="b">
        <f>Github!N$1792</f>
        <v>0</v>
      </c>
      <c r="N1095" s="13">
        <f>Github!P$1792</f>
        <v>119804</v>
      </c>
      <c r="O1095" s="13">
        <f>Github!Q$1792</f>
        <v>143419</v>
      </c>
    </row>
    <row r="1096">
      <c r="A1096" s="13">
        <f>Github!J$1856</f>
        <v>1855</v>
      </c>
      <c r="B1096" s="14" t="str">
        <f>HYPERLINK(CONCAT("http://leetcode.com/problems/",Github!C$1856), Github!B$1856)</f>
        <v>Maximum Distance Between a Pair of Values</v>
      </c>
      <c r="C1096" s="13">
        <f>Github!F$1856</f>
        <v>937</v>
      </c>
      <c r="D1096" s="13">
        <f>Github!G$1856</f>
        <v>21</v>
      </c>
      <c r="E1096" s="13">
        <f>Github!F$1856+Github!G$1856</f>
        <v>958</v>
      </c>
      <c r="F1096" s="15">
        <f t="shared" si="1"/>
        <v>44.62</v>
      </c>
      <c r="G1096" s="13" t="str">
        <f>ROUND(Github!O$1856, 2)&amp;"%"</f>
        <v>52.87%</v>
      </c>
      <c r="H1096" s="13" t="str">
        <f>Github!H$1856</f>
        <v>Algorithms</v>
      </c>
      <c r="I1096" s="16" t="str">
        <f>SUBSTITUTE(Github!L$1856, ";", ", ")</f>
        <v>Array, Two Pointers, Binary Search, Greedy, </v>
      </c>
      <c r="J1096" s="13" t="str">
        <f>Github!E$1856</f>
        <v>Medium</v>
      </c>
      <c r="K1096" s="13" t="str">
        <f>IF(TRIM(Github!D$1856)="TRUE","FALSE","TRUE")</f>
        <v>TRUE</v>
      </c>
      <c r="L1096" s="13" t="b">
        <f>Github!M$1856</f>
        <v>1</v>
      </c>
      <c r="M1096" s="13" t="b">
        <f>Github!N$1856</f>
        <v>0</v>
      </c>
      <c r="N1096" s="13">
        <f>Github!P$1856</f>
        <v>36918</v>
      </c>
      <c r="O1096" s="13">
        <f>Github!Q$1856</f>
        <v>69826</v>
      </c>
    </row>
    <row r="1097">
      <c r="A1097" s="13">
        <f>Github!J$1344</f>
        <v>1343</v>
      </c>
      <c r="B1097" s="14" t="str">
        <f>HYPERLINK(CONCAT("http://leetcode.com/problems/",Github!C$1344), Github!B$1344)</f>
        <v>Number of Sub-arrays of Size K and Average Greater than or Equal to Threshold</v>
      </c>
      <c r="C1097" s="13">
        <f>Github!F$1344</f>
        <v>939</v>
      </c>
      <c r="D1097" s="13">
        <f>Github!G$1344</f>
        <v>72</v>
      </c>
      <c r="E1097" s="13">
        <f>Github!F$1344+Github!G$1344</f>
        <v>1011</v>
      </c>
      <c r="F1097" s="15">
        <f t="shared" si="1"/>
        <v>13.04</v>
      </c>
      <c r="G1097" s="13" t="str">
        <f>ROUND(Github!O$1344, 2)&amp;"%"</f>
        <v>67.54%</v>
      </c>
      <c r="H1097" s="13" t="str">
        <f>Github!H$1344</f>
        <v>Algorithms</v>
      </c>
      <c r="I1097" s="16" t="str">
        <f>SUBSTITUTE(Github!L$1344, ";", ", ")</f>
        <v>Array, Sliding Window, </v>
      </c>
      <c r="J1097" s="13" t="str">
        <f>Github!E$1344</f>
        <v>Medium</v>
      </c>
      <c r="K1097" s="13" t="str">
        <f>IF(TRIM(Github!D$1344)="TRUE","FALSE","TRUE")</f>
        <v>TRUE</v>
      </c>
      <c r="L1097" s="13" t="b">
        <f>Github!M$1344</f>
        <v>0</v>
      </c>
      <c r="M1097" s="13" t="b">
        <f>Github!N$1344</f>
        <v>0</v>
      </c>
      <c r="N1097" s="13">
        <f>Github!P$1344</f>
        <v>47721</v>
      </c>
      <c r="O1097" s="13">
        <f>Github!Q$1344</f>
        <v>70658</v>
      </c>
    </row>
    <row r="1098">
      <c r="A1098" s="13">
        <f>Github!J$642</f>
        <v>641</v>
      </c>
      <c r="B1098" s="14" t="str">
        <f>HYPERLINK(CONCAT("http://leetcode.com/problems/",Github!C$642), Github!B$642)</f>
        <v>Design Circular Deque</v>
      </c>
      <c r="C1098" s="13">
        <f>Github!F$642</f>
        <v>929</v>
      </c>
      <c r="D1098" s="13">
        <f>Github!G$642</f>
        <v>67</v>
      </c>
      <c r="E1098" s="13">
        <f>Github!F$642+Github!G$642</f>
        <v>996</v>
      </c>
      <c r="F1098" s="15">
        <f t="shared" si="1"/>
        <v>13.87</v>
      </c>
      <c r="G1098" s="13" t="str">
        <f>ROUND(Github!O$642, 2)&amp;"%"</f>
        <v>57.54%</v>
      </c>
      <c r="H1098" s="13" t="str">
        <f>Github!H$642</f>
        <v>Algorithms</v>
      </c>
      <c r="I1098" s="16" t="str">
        <f>SUBSTITUTE(Github!L$642, ";", ", ")</f>
        <v>Array, Linked List, Design, Queue, </v>
      </c>
      <c r="J1098" s="13" t="str">
        <f>Github!E$642</f>
        <v>Medium</v>
      </c>
      <c r="K1098" s="13" t="str">
        <f>IF(TRIM(Github!D$642)="TRUE","FALSE","TRUE")</f>
        <v>TRUE</v>
      </c>
      <c r="L1098" s="13" t="b">
        <f>Github!M$642</f>
        <v>0</v>
      </c>
      <c r="M1098" s="13" t="b">
        <f>Github!N$642</f>
        <v>0</v>
      </c>
      <c r="N1098" s="13">
        <f>Github!P$642</f>
        <v>52340</v>
      </c>
      <c r="O1098" s="13">
        <f>Github!Q$642</f>
        <v>90971</v>
      </c>
    </row>
    <row r="1099">
      <c r="A1099" s="13">
        <f>Github!J$1279</f>
        <v>1278</v>
      </c>
      <c r="B1099" s="14" t="str">
        <f>HYPERLINK(CONCAT("http://leetcode.com/problems/",Github!C$1279), Github!B$1279)</f>
        <v>Palindrome Partitioning III</v>
      </c>
      <c r="C1099" s="13">
        <f>Github!F$1279</f>
        <v>927</v>
      </c>
      <c r="D1099" s="13">
        <f>Github!G$1279</f>
        <v>15</v>
      </c>
      <c r="E1099" s="13">
        <f>Github!F$1279+Github!G$1279</f>
        <v>942</v>
      </c>
      <c r="F1099" s="15">
        <f t="shared" si="1"/>
        <v>61.8</v>
      </c>
      <c r="G1099" s="13" t="str">
        <f>ROUND(Github!O$1279, 2)&amp;"%"</f>
        <v>60.78%</v>
      </c>
      <c r="H1099" s="13" t="str">
        <f>Github!H$1279</f>
        <v>Algorithms</v>
      </c>
      <c r="I1099" s="16" t="str">
        <f>SUBSTITUTE(Github!L$1279, ";", ", ")</f>
        <v>String, Dynamic Programming, </v>
      </c>
      <c r="J1099" s="13" t="str">
        <f>Github!E$1279</f>
        <v>Hard</v>
      </c>
      <c r="K1099" s="13" t="str">
        <f>IF(TRIM(Github!D$1279)="TRUE","FALSE","TRUE")</f>
        <v>TRUE</v>
      </c>
      <c r="L1099" s="13" t="b">
        <f>Github!M$1279</f>
        <v>0</v>
      </c>
      <c r="M1099" s="13" t="b">
        <f>Github!N$1279</f>
        <v>0</v>
      </c>
      <c r="N1099" s="13">
        <f>Github!P$1279</f>
        <v>22103</v>
      </c>
      <c r="O1099" s="13">
        <f>Github!Q$1279</f>
        <v>36366</v>
      </c>
    </row>
    <row r="1100">
      <c r="A1100" s="13">
        <f>Github!J$692</f>
        <v>691</v>
      </c>
      <c r="B1100" s="14" t="str">
        <f>HYPERLINK(CONCAT("http://leetcode.com/problems/",Github!C$692), Github!B$692)</f>
        <v>Stickers to Spell Word</v>
      </c>
      <c r="C1100" s="13">
        <f>Github!F$692</f>
        <v>923</v>
      </c>
      <c r="D1100" s="13">
        <f>Github!G$692</f>
        <v>77</v>
      </c>
      <c r="E1100" s="13">
        <f>Github!F$692+Github!G$692</f>
        <v>1000</v>
      </c>
      <c r="F1100" s="15">
        <f t="shared" si="1"/>
        <v>11.99</v>
      </c>
      <c r="G1100" s="13" t="str">
        <f>ROUND(Github!O$692, 2)&amp;"%"</f>
        <v>46.26%</v>
      </c>
      <c r="H1100" s="13" t="str">
        <f>Github!H$692</f>
        <v>Algorithms</v>
      </c>
      <c r="I1100" s="16" t="str">
        <f>SUBSTITUTE(Github!L$692, ";", ", ")</f>
        <v>Array, String, Dynamic Programming, Backtracking, Bit Manipulation, Bitmask, </v>
      </c>
      <c r="J1100" s="13" t="str">
        <f>Github!E$692</f>
        <v>Hard</v>
      </c>
      <c r="K1100" s="13" t="str">
        <f>IF(TRIM(Github!D$692)="TRUE","FALSE","TRUE")</f>
        <v>TRUE</v>
      </c>
      <c r="L1100" s="13" t="b">
        <f>Github!M$692</f>
        <v>0</v>
      </c>
      <c r="M1100" s="13" t="b">
        <f>Github!N$692</f>
        <v>0</v>
      </c>
      <c r="N1100" s="13">
        <f>Github!P$692</f>
        <v>36087</v>
      </c>
      <c r="O1100" s="13">
        <f>Github!Q$692</f>
        <v>78009</v>
      </c>
    </row>
    <row r="1101">
      <c r="A1101" s="13">
        <f>Github!J$865</f>
        <v>864</v>
      </c>
      <c r="B1101" s="14" t="str">
        <f>HYPERLINK(CONCAT("http://leetcode.com/problems/",Github!C$865), Github!B$865)</f>
        <v>Shortest Path to Get All Keys</v>
      </c>
      <c r="C1101" s="13">
        <f>Github!F$865</f>
        <v>924</v>
      </c>
      <c r="D1101" s="13">
        <f>Github!G$865</f>
        <v>39</v>
      </c>
      <c r="E1101" s="13">
        <f>Github!F$865+Github!G$865</f>
        <v>963</v>
      </c>
      <c r="F1101" s="15">
        <f t="shared" si="1"/>
        <v>23.69</v>
      </c>
      <c r="G1101" s="13" t="str">
        <f>ROUND(Github!O$865, 2)&amp;"%"</f>
        <v>45.54%</v>
      </c>
      <c r="H1101" s="13" t="str">
        <f>Github!H$865</f>
        <v>Algorithms</v>
      </c>
      <c r="I1101" s="16" t="str">
        <f>SUBSTITUTE(Github!L$865, ";", ", ")</f>
        <v>Array, Bit Manipulation, Breadth-First Search, Matrix, </v>
      </c>
      <c r="J1101" s="13" t="str">
        <f>Github!E$865</f>
        <v>Hard</v>
      </c>
      <c r="K1101" s="13" t="str">
        <f>IF(TRIM(Github!D$865)="TRUE","FALSE","TRUE")</f>
        <v>TRUE</v>
      </c>
      <c r="L1101" s="13" t="b">
        <f>Github!M$865</f>
        <v>0</v>
      </c>
      <c r="M1101" s="13" t="b">
        <f>Github!N$865</f>
        <v>0</v>
      </c>
      <c r="N1101" s="13">
        <f>Github!P$865</f>
        <v>29347</v>
      </c>
      <c r="O1101" s="13">
        <f>Github!Q$865</f>
        <v>64443</v>
      </c>
    </row>
    <row r="1102">
      <c r="A1102" s="13">
        <f>Github!J$1412</f>
        <v>1411</v>
      </c>
      <c r="B1102" s="14" t="str">
        <f>HYPERLINK(CONCAT("http://leetcode.com/problems/",Github!C$1412), Github!B$1412)</f>
        <v>Number of Ways to Paint N × 3 Grid</v>
      </c>
      <c r="C1102" s="13">
        <f>Github!F$1412</f>
        <v>913</v>
      </c>
      <c r="D1102" s="13">
        <f>Github!G$1412</f>
        <v>45</v>
      </c>
      <c r="E1102" s="13">
        <f>Github!F$1412+Github!G$1412</f>
        <v>958</v>
      </c>
      <c r="F1102" s="15">
        <f t="shared" si="1"/>
        <v>20.29</v>
      </c>
      <c r="G1102" s="13" t="str">
        <f>ROUND(Github!O$1412, 2)&amp;"%"</f>
        <v>62.36%</v>
      </c>
      <c r="H1102" s="13" t="str">
        <f>Github!H$1412</f>
        <v>Algorithms</v>
      </c>
      <c r="I1102" s="16" t="str">
        <f>SUBSTITUTE(Github!L$1412, ";", ", ")</f>
        <v>Dynamic Programming, </v>
      </c>
      <c r="J1102" s="13" t="str">
        <f>Github!E$1412</f>
        <v>Hard</v>
      </c>
      <c r="K1102" s="13" t="str">
        <f>IF(TRIM(Github!D$1412)="TRUE","FALSE","TRUE")</f>
        <v>TRUE</v>
      </c>
      <c r="L1102" s="13" t="b">
        <f>Github!M$1412</f>
        <v>0</v>
      </c>
      <c r="M1102" s="13" t="b">
        <f>Github!N$1412</f>
        <v>0</v>
      </c>
      <c r="N1102" s="13">
        <f>Github!P$1412</f>
        <v>27924</v>
      </c>
      <c r="O1102" s="13">
        <f>Github!Q$1412</f>
        <v>44781</v>
      </c>
    </row>
    <row r="1103">
      <c r="A1103" s="13">
        <f>Github!J$1639</f>
        <v>1638</v>
      </c>
      <c r="B1103" s="14" t="str">
        <f>HYPERLINK(CONCAT("http://leetcode.com/problems/",Github!C$1639), Github!B$1639)</f>
        <v>Count Substrings That Differ by One Character</v>
      </c>
      <c r="C1103" s="13">
        <f>Github!F$1639</f>
        <v>919</v>
      </c>
      <c r="D1103" s="13">
        <f>Github!G$1639</f>
        <v>295</v>
      </c>
      <c r="E1103" s="13">
        <f>Github!F$1639+Github!G$1639</f>
        <v>1214</v>
      </c>
      <c r="F1103" s="15">
        <f t="shared" si="1"/>
        <v>3.12</v>
      </c>
      <c r="G1103" s="13" t="str">
        <f>ROUND(Github!O$1639, 2)&amp;"%"</f>
        <v>71.37%</v>
      </c>
      <c r="H1103" s="13" t="str">
        <f>Github!H$1639</f>
        <v>Algorithms</v>
      </c>
      <c r="I1103" s="16" t="str">
        <f>SUBSTITUTE(Github!L$1639, ";", ", ")</f>
        <v>Hash Table, String, Dynamic Programming, </v>
      </c>
      <c r="J1103" s="13" t="str">
        <f>Github!E$1639</f>
        <v>Medium</v>
      </c>
      <c r="K1103" s="13" t="str">
        <f>IF(TRIM(Github!D$1639)="TRUE","FALSE","TRUE")</f>
        <v>TRUE</v>
      </c>
      <c r="L1103" s="13" t="b">
        <f>Github!M$1639</f>
        <v>0</v>
      </c>
      <c r="M1103" s="13" t="b">
        <f>Github!N$1639</f>
        <v>0</v>
      </c>
      <c r="N1103" s="13">
        <f>Github!P$1639</f>
        <v>22733</v>
      </c>
      <c r="O1103" s="13">
        <f>Github!Q$1639</f>
        <v>31851</v>
      </c>
    </row>
    <row r="1104">
      <c r="A1104" s="13">
        <f>Github!J$1610</f>
        <v>1609</v>
      </c>
      <c r="B1104" s="14" t="str">
        <f>HYPERLINK(CONCAT("http://leetcode.com/problems/",Github!C$1610), Github!B$1610)</f>
        <v>Even Odd Tree</v>
      </c>
      <c r="C1104" s="13">
        <f>Github!F$1610</f>
        <v>919</v>
      </c>
      <c r="D1104" s="13">
        <f>Github!G$1610</f>
        <v>50</v>
      </c>
      <c r="E1104" s="13">
        <f>Github!F$1610+Github!G$1610</f>
        <v>969</v>
      </c>
      <c r="F1104" s="15">
        <f t="shared" si="1"/>
        <v>18.38</v>
      </c>
      <c r="G1104" s="13" t="str">
        <f>ROUND(Github!O$1610, 2)&amp;"%"</f>
        <v>53.94%</v>
      </c>
      <c r="H1104" s="13" t="str">
        <f>Github!H$1610</f>
        <v>Algorithms</v>
      </c>
      <c r="I1104" s="16" t="str">
        <f>SUBSTITUTE(Github!L$1610, ";", ", ")</f>
        <v>Tree, Breadth-First Search, Binary Tree, </v>
      </c>
      <c r="J1104" s="13" t="str">
        <f>Github!E$1610</f>
        <v>Medium</v>
      </c>
      <c r="K1104" s="13" t="str">
        <f>IF(TRIM(Github!D$1610)="TRUE","FALSE","TRUE")</f>
        <v>TRUE</v>
      </c>
      <c r="L1104" s="13" t="b">
        <f>Github!M$1610</f>
        <v>0</v>
      </c>
      <c r="M1104" s="13" t="b">
        <f>Github!N$1610</f>
        <v>0</v>
      </c>
      <c r="N1104" s="13">
        <f>Github!P$1610</f>
        <v>40647</v>
      </c>
      <c r="O1104" s="13">
        <f>Github!Q$1610</f>
        <v>75360</v>
      </c>
    </row>
    <row r="1105">
      <c r="A1105" s="13">
        <f>Github!J$933</f>
        <v>932</v>
      </c>
      <c r="B1105" s="14" t="str">
        <f>HYPERLINK(CONCAT("http://leetcode.com/problems/",Github!C$933), Github!B$933)</f>
        <v>Beautiful Array</v>
      </c>
      <c r="C1105" s="13">
        <f>Github!F$933</f>
        <v>913</v>
      </c>
      <c r="D1105" s="13">
        <f>Github!G$933</f>
        <v>1338</v>
      </c>
      <c r="E1105" s="13">
        <f>Github!F$933+Github!G$933</f>
        <v>2251</v>
      </c>
      <c r="F1105" s="15">
        <f t="shared" si="1"/>
        <v>0.68</v>
      </c>
      <c r="G1105" s="13" t="str">
        <f>ROUND(Github!O$933, 2)&amp;"%"</f>
        <v>65.08%</v>
      </c>
      <c r="H1105" s="13" t="str">
        <f>Github!H$933</f>
        <v>Algorithms</v>
      </c>
      <c r="I1105" s="16" t="str">
        <f>SUBSTITUTE(Github!L$933, ";", ", ")</f>
        <v>Array, Math, Divide and Conquer, </v>
      </c>
      <c r="J1105" s="13" t="str">
        <f>Github!E$933</f>
        <v>Medium</v>
      </c>
      <c r="K1105" s="13" t="str">
        <f>IF(TRIM(Github!D$933)="TRUE","FALSE","TRUE")</f>
        <v>TRUE</v>
      </c>
      <c r="L1105" s="13" t="b">
        <f>Github!M$933</f>
        <v>1</v>
      </c>
      <c r="M1105" s="13" t="b">
        <f>Github!N$933</f>
        <v>0</v>
      </c>
      <c r="N1105" s="13">
        <f>Github!P$933</f>
        <v>38643</v>
      </c>
      <c r="O1105" s="13">
        <f>Github!Q$933</f>
        <v>59378</v>
      </c>
    </row>
    <row r="1106">
      <c r="A1106" s="13">
        <f>Github!J$1649</f>
        <v>1648</v>
      </c>
      <c r="B1106" s="14" t="str">
        <f>HYPERLINK(CONCAT("http://leetcode.com/problems/",Github!C$1649), Github!B$1649)</f>
        <v>Sell Diminishing-Valued Colored Balls</v>
      </c>
      <c r="C1106" s="13">
        <f>Github!F$1649</f>
        <v>911</v>
      </c>
      <c r="D1106" s="13">
        <f>Github!G$1649</f>
        <v>347</v>
      </c>
      <c r="E1106" s="13">
        <f>Github!F$1649+Github!G$1649</f>
        <v>1258</v>
      </c>
      <c r="F1106" s="15">
        <f t="shared" si="1"/>
        <v>2.63</v>
      </c>
      <c r="G1106" s="13" t="str">
        <f>ROUND(Github!O$1649, 2)&amp;"%"</f>
        <v>30.42%</v>
      </c>
      <c r="H1106" s="13" t="str">
        <f>Github!H$1649</f>
        <v>Algorithms</v>
      </c>
      <c r="I1106" s="16" t="str">
        <f>SUBSTITUTE(Github!L$1649, ";", ", ")</f>
        <v>Array, Math, Binary Search, Greedy, Sorting, Heap (Priority Queue), </v>
      </c>
      <c r="J1106" s="13" t="str">
        <f>Github!E$1649</f>
        <v>Medium</v>
      </c>
      <c r="K1106" s="13" t="str">
        <f>IF(TRIM(Github!D$1649)="TRUE","FALSE","TRUE")</f>
        <v>TRUE</v>
      </c>
      <c r="L1106" s="13" t="b">
        <f>Github!M$1649</f>
        <v>0</v>
      </c>
      <c r="M1106" s="13" t="b">
        <f>Github!N$1649</f>
        <v>0</v>
      </c>
      <c r="N1106" s="13">
        <f>Github!P$1649</f>
        <v>33800</v>
      </c>
      <c r="O1106" s="13">
        <f>Github!Q$1649</f>
        <v>111093</v>
      </c>
    </row>
    <row r="1107">
      <c r="A1107" s="13">
        <f>Github!J$1479</f>
        <v>1478</v>
      </c>
      <c r="B1107" s="14" t="str">
        <f>HYPERLINK(CONCAT("http://leetcode.com/problems/",Github!C$1479), Github!B$1479)</f>
        <v>Allocate Mailboxes</v>
      </c>
      <c r="C1107" s="13">
        <f>Github!F$1479</f>
        <v>913</v>
      </c>
      <c r="D1107" s="13">
        <f>Github!G$1479</f>
        <v>15</v>
      </c>
      <c r="E1107" s="13">
        <f>Github!F$1479+Github!G$1479</f>
        <v>928</v>
      </c>
      <c r="F1107" s="15">
        <f t="shared" si="1"/>
        <v>60.87</v>
      </c>
      <c r="G1107" s="13" t="str">
        <f>ROUND(Github!O$1479, 2)&amp;"%"</f>
        <v>55.62%</v>
      </c>
      <c r="H1107" s="13" t="str">
        <f>Github!H$1479</f>
        <v>Algorithms</v>
      </c>
      <c r="I1107" s="16" t="str">
        <f>SUBSTITUTE(Github!L$1479, ";", ", ")</f>
        <v>Array, Math, Dynamic Programming, Sorting, </v>
      </c>
      <c r="J1107" s="13" t="str">
        <f>Github!E$1479</f>
        <v>Hard</v>
      </c>
      <c r="K1107" s="13" t="str">
        <f>IF(TRIM(Github!D$1479)="TRUE","FALSE","TRUE")</f>
        <v>TRUE</v>
      </c>
      <c r="L1107" s="13" t="b">
        <f>Github!M$1479</f>
        <v>0</v>
      </c>
      <c r="M1107" s="13" t="b">
        <f>Github!N$1479</f>
        <v>0</v>
      </c>
      <c r="N1107" s="13">
        <f>Github!P$1479</f>
        <v>19195</v>
      </c>
      <c r="O1107" s="13">
        <f>Github!Q$1479</f>
        <v>34512</v>
      </c>
    </row>
    <row r="1108">
      <c r="A1108" s="13">
        <f>Github!J$1686</f>
        <v>1685</v>
      </c>
      <c r="B1108" s="14" t="str">
        <f>HYPERLINK(CONCAT("http://leetcode.com/problems/",Github!C$1686), Github!B$1686)</f>
        <v>Sum of Absolute Differences in a Sorted Array</v>
      </c>
      <c r="C1108" s="13">
        <f>Github!F$1686</f>
        <v>920</v>
      </c>
      <c r="D1108" s="13">
        <f>Github!G$1686</f>
        <v>27</v>
      </c>
      <c r="E1108" s="13">
        <f>Github!F$1686+Github!G$1686</f>
        <v>947</v>
      </c>
      <c r="F1108" s="15">
        <f t="shared" si="1"/>
        <v>34.07</v>
      </c>
      <c r="G1108" s="13" t="str">
        <f>ROUND(Github!O$1686, 2)&amp;"%"</f>
        <v>64.62%</v>
      </c>
      <c r="H1108" s="13" t="str">
        <f>Github!H$1686</f>
        <v>Algorithms</v>
      </c>
      <c r="I1108" s="16" t="str">
        <f>SUBSTITUTE(Github!L$1686, ";", ", ")</f>
        <v>Array, Math, Prefix Sum, </v>
      </c>
      <c r="J1108" s="13" t="str">
        <f>Github!E$1686</f>
        <v>Medium</v>
      </c>
      <c r="K1108" s="13" t="str">
        <f>IF(TRIM(Github!D$1686)="TRUE","FALSE","TRUE")</f>
        <v>TRUE</v>
      </c>
      <c r="L1108" s="13" t="b">
        <f>Github!M$1686</f>
        <v>0</v>
      </c>
      <c r="M1108" s="13" t="b">
        <f>Github!N$1686</f>
        <v>0</v>
      </c>
      <c r="N1108" s="13">
        <f>Github!P$1686</f>
        <v>25144</v>
      </c>
      <c r="O1108" s="13">
        <f>Github!Q$1686</f>
        <v>38908</v>
      </c>
    </row>
    <row r="1109">
      <c r="A1109" s="13">
        <f>Github!J$920</f>
        <v>919</v>
      </c>
      <c r="B1109" s="14" t="str">
        <f>HYPERLINK(CONCAT("http://leetcode.com/problems/",Github!C$920), Github!B$920)</f>
        <v>Complete Binary Tree Inserter</v>
      </c>
      <c r="C1109" s="13">
        <f>Github!F$920</f>
        <v>911</v>
      </c>
      <c r="D1109" s="13">
        <f>Github!G$920</f>
        <v>86</v>
      </c>
      <c r="E1109" s="13">
        <f>Github!F$920+Github!G$920</f>
        <v>997</v>
      </c>
      <c r="F1109" s="15">
        <f t="shared" si="1"/>
        <v>10.59</v>
      </c>
      <c r="G1109" s="13" t="str">
        <f>ROUND(Github!O$920, 2)&amp;"%"</f>
        <v>65.02%</v>
      </c>
      <c r="H1109" s="13" t="str">
        <f>Github!H$920</f>
        <v>Algorithms</v>
      </c>
      <c r="I1109" s="16" t="str">
        <f>SUBSTITUTE(Github!L$920, ";", ", ")</f>
        <v>Tree, Breadth-First Search, Design, Binary Tree, </v>
      </c>
      <c r="J1109" s="13" t="str">
        <f>Github!E$920</f>
        <v>Medium</v>
      </c>
      <c r="K1109" s="13" t="str">
        <f>IF(TRIM(Github!D$920)="TRUE","FALSE","TRUE")</f>
        <v>TRUE</v>
      </c>
      <c r="L1109" s="13" t="b">
        <f>Github!M$920</f>
        <v>1</v>
      </c>
      <c r="M1109" s="13" t="b">
        <f>Github!N$920</f>
        <v>0</v>
      </c>
      <c r="N1109" s="13">
        <f>Github!P$920</f>
        <v>43620</v>
      </c>
      <c r="O1109" s="13">
        <f>Github!Q$920</f>
        <v>67084</v>
      </c>
    </row>
    <row r="1110">
      <c r="A1110" s="13">
        <f>Github!J$1256</f>
        <v>1255</v>
      </c>
      <c r="B1110" s="14" t="str">
        <f>HYPERLINK(CONCAT("http://leetcode.com/problems/",Github!C$1256), Github!B$1256)</f>
        <v>Maximum Score Words Formed by Letters</v>
      </c>
      <c r="C1110" s="13">
        <f>Github!F$1256</f>
        <v>911</v>
      </c>
      <c r="D1110" s="13">
        <f>Github!G$1256</f>
        <v>47</v>
      </c>
      <c r="E1110" s="13">
        <f>Github!F$1256+Github!G$1256</f>
        <v>958</v>
      </c>
      <c r="F1110" s="15">
        <f t="shared" si="1"/>
        <v>19.38</v>
      </c>
      <c r="G1110" s="13" t="str">
        <f>ROUND(Github!O$1256, 2)&amp;"%"</f>
        <v>72.77%</v>
      </c>
      <c r="H1110" s="13" t="str">
        <f>Github!H$1256</f>
        <v>Algorithms</v>
      </c>
      <c r="I1110" s="16" t="str">
        <f>SUBSTITUTE(Github!L$1256, ";", ", ")</f>
        <v>Array, String, Dynamic Programming, Backtracking, Bit Manipulation, Bitmask, </v>
      </c>
      <c r="J1110" s="13" t="str">
        <f>Github!E$1256</f>
        <v>Hard</v>
      </c>
      <c r="K1110" s="13" t="str">
        <f>IF(TRIM(Github!D$1256)="TRUE","FALSE","TRUE")</f>
        <v>TRUE</v>
      </c>
      <c r="L1110" s="13" t="b">
        <f>Github!M$1256</f>
        <v>0</v>
      </c>
      <c r="M1110" s="13" t="b">
        <f>Github!N$1256</f>
        <v>0</v>
      </c>
      <c r="N1110" s="13">
        <f>Github!P$1256</f>
        <v>27862</v>
      </c>
      <c r="O1110" s="13">
        <f>Github!Q$1256</f>
        <v>38290</v>
      </c>
    </row>
    <row r="1111">
      <c r="A1111" s="13">
        <f>Github!J$1562</f>
        <v>1561</v>
      </c>
      <c r="B1111" s="14" t="str">
        <f>HYPERLINK(CONCAT("http://leetcode.com/problems/",Github!C$1562), Github!B$1562)</f>
        <v>Maximum Number of Coins You Can Get</v>
      </c>
      <c r="C1111" s="13">
        <f>Github!F$1562</f>
        <v>912</v>
      </c>
      <c r="D1111" s="13">
        <f>Github!G$1562</f>
        <v>111</v>
      </c>
      <c r="E1111" s="13">
        <f>Github!F$1562+Github!G$1562</f>
        <v>1023</v>
      </c>
      <c r="F1111" s="15">
        <f t="shared" si="1"/>
        <v>8.22</v>
      </c>
      <c r="G1111" s="13" t="str">
        <f>ROUND(Github!O$1562, 2)&amp;"%"</f>
        <v>78.64%</v>
      </c>
      <c r="H1111" s="13" t="str">
        <f>Github!H$1562</f>
        <v>Algorithms</v>
      </c>
      <c r="I1111" s="16" t="str">
        <f>SUBSTITUTE(Github!L$1562, ";", ", ")</f>
        <v>Array, Math, Greedy, Sorting, Game Theory, </v>
      </c>
      <c r="J1111" s="13" t="str">
        <f>Github!E$1562</f>
        <v>Medium</v>
      </c>
      <c r="K1111" s="13" t="str">
        <f>IF(TRIM(Github!D$1562)="TRUE","FALSE","TRUE")</f>
        <v>TRUE</v>
      </c>
      <c r="L1111" s="13" t="b">
        <f>Github!M$1562</f>
        <v>0</v>
      </c>
      <c r="M1111" s="13" t="b">
        <f>Github!N$1562</f>
        <v>0</v>
      </c>
      <c r="N1111" s="13">
        <f>Github!P$1562</f>
        <v>60027</v>
      </c>
      <c r="O1111" s="13">
        <f>Github!Q$1562</f>
        <v>76330</v>
      </c>
    </row>
    <row r="1112">
      <c r="A1112" s="13">
        <f>Github!J$1058</f>
        <v>1057</v>
      </c>
      <c r="B1112" s="14" t="str">
        <f>HYPERLINK(CONCAT("http://leetcode.com/problems/",Github!C$1058), Github!B$1058)</f>
        <v>Campus Bikes</v>
      </c>
      <c r="C1112" s="13">
        <f>Github!F$1058</f>
        <v>898</v>
      </c>
      <c r="D1112" s="13">
        <f>Github!G$1058</f>
        <v>167</v>
      </c>
      <c r="E1112" s="13">
        <f>Github!F$1058+Github!G$1058</f>
        <v>1065</v>
      </c>
      <c r="F1112" s="15">
        <f t="shared" si="1"/>
        <v>5.38</v>
      </c>
      <c r="G1112" s="13" t="str">
        <f>ROUND(Github!O$1058, 2)&amp;"%"</f>
        <v>57.65%</v>
      </c>
      <c r="H1112" s="13" t="str">
        <f>Github!H$1058</f>
        <v>Algorithms</v>
      </c>
      <c r="I1112" s="16" t="str">
        <f>SUBSTITUTE(Github!L$1058, ";", ", ")</f>
        <v>Array, Greedy, Sorting, </v>
      </c>
      <c r="J1112" s="13" t="str">
        <f>Github!E$1058</f>
        <v>Medium</v>
      </c>
      <c r="K1112" s="13" t="str">
        <f>IF(TRIM(Github!D$1058)="TRUE","FALSE","TRUE")</f>
        <v>FALSE</v>
      </c>
      <c r="L1112" s="13" t="b">
        <f>Github!M$1058</f>
        <v>1</v>
      </c>
      <c r="M1112" s="13" t="b">
        <f>Github!N$1058</f>
        <v>0</v>
      </c>
      <c r="N1112" s="13">
        <f>Github!P$1058</f>
        <v>63564</v>
      </c>
      <c r="O1112" s="13">
        <f>Github!Q$1058</f>
        <v>110264</v>
      </c>
    </row>
    <row r="1113">
      <c r="A1113" s="13">
        <f>Github!J$483</f>
        <v>482</v>
      </c>
      <c r="B1113" s="14" t="str">
        <f>HYPERLINK(CONCAT("http://leetcode.com/problems/",Github!C$483), Github!B$483)</f>
        <v>License Key Formatting</v>
      </c>
      <c r="C1113" s="13">
        <f>Github!F$483</f>
        <v>904</v>
      </c>
      <c r="D1113" s="13">
        <f>Github!G$483</f>
        <v>1216</v>
      </c>
      <c r="E1113" s="13">
        <f>Github!F$483+Github!G$483</f>
        <v>2120</v>
      </c>
      <c r="F1113" s="15">
        <f t="shared" si="1"/>
        <v>0.74</v>
      </c>
      <c r="G1113" s="13" t="str">
        <f>ROUND(Github!O$483, 2)&amp;"%"</f>
        <v>43.25%</v>
      </c>
      <c r="H1113" s="13" t="str">
        <f>Github!H$483</f>
        <v>Algorithms</v>
      </c>
      <c r="I1113" s="16" t="str">
        <f>SUBSTITUTE(Github!L$483, ";", ", ")</f>
        <v>String, </v>
      </c>
      <c r="J1113" s="13" t="str">
        <f>Github!E$483</f>
        <v>Easy</v>
      </c>
      <c r="K1113" s="13" t="str">
        <f>IF(TRIM(Github!D$483)="TRUE","FALSE","TRUE")</f>
        <v>TRUE</v>
      </c>
      <c r="L1113" s="13" t="b">
        <f>Github!M$483</f>
        <v>1</v>
      </c>
      <c r="M1113" s="13" t="b">
        <f>Github!N$483</f>
        <v>0</v>
      </c>
      <c r="N1113" s="13">
        <f>Github!P$483</f>
        <v>240120</v>
      </c>
      <c r="O1113" s="13">
        <f>Github!Q$483</f>
        <v>555228</v>
      </c>
    </row>
    <row r="1114">
      <c r="A1114" s="13">
        <f>Github!J$1393</f>
        <v>1392</v>
      </c>
      <c r="B1114" s="14" t="str">
        <f>HYPERLINK(CONCAT("http://leetcode.com/problems/",Github!C$1393), Github!B$1393)</f>
        <v>Longest Happy Prefix</v>
      </c>
      <c r="C1114" s="13">
        <f>Github!F$1393</f>
        <v>897</v>
      </c>
      <c r="D1114" s="13">
        <f>Github!G$1393</f>
        <v>29</v>
      </c>
      <c r="E1114" s="13">
        <f>Github!F$1393+Github!G$1393</f>
        <v>926</v>
      </c>
      <c r="F1114" s="15">
        <f t="shared" si="1"/>
        <v>30.93</v>
      </c>
      <c r="G1114" s="13" t="str">
        <f>ROUND(Github!O$1393, 2)&amp;"%"</f>
        <v>44.87%</v>
      </c>
      <c r="H1114" s="13" t="str">
        <f>Github!H$1393</f>
        <v>Algorithms</v>
      </c>
      <c r="I1114" s="16" t="str">
        <f>SUBSTITUTE(Github!L$1393, ";", ", ")</f>
        <v>String, Rolling Hash, String Matching, Hash Function, </v>
      </c>
      <c r="J1114" s="13" t="str">
        <f>Github!E$1393</f>
        <v>Hard</v>
      </c>
      <c r="K1114" s="13" t="str">
        <f>IF(TRIM(Github!D$1393)="TRUE","FALSE","TRUE")</f>
        <v>TRUE</v>
      </c>
      <c r="L1114" s="13" t="b">
        <f>Github!M$1393</f>
        <v>0</v>
      </c>
      <c r="M1114" s="13" t="b">
        <f>Github!N$1393</f>
        <v>0</v>
      </c>
      <c r="N1114" s="13">
        <f>Github!P$1393</f>
        <v>26637</v>
      </c>
      <c r="O1114" s="13">
        <f>Github!Q$1393</f>
        <v>59371</v>
      </c>
    </row>
    <row r="1115">
      <c r="A1115" s="13">
        <f>Github!J$724</f>
        <v>723</v>
      </c>
      <c r="B1115" s="14" t="str">
        <f>HYPERLINK(CONCAT("http://leetcode.com/problems/",Github!C$724), Github!B$724)</f>
        <v>Candy Crush</v>
      </c>
      <c r="C1115" s="13">
        <f>Github!F$724</f>
        <v>895</v>
      </c>
      <c r="D1115" s="13">
        <f>Github!G$724</f>
        <v>434</v>
      </c>
      <c r="E1115" s="13">
        <f>Github!F$724+Github!G$724</f>
        <v>1329</v>
      </c>
      <c r="F1115" s="15">
        <f t="shared" si="1"/>
        <v>2.06</v>
      </c>
      <c r="G1115" s="13" t="str">
        <f>ROUND(Github!O$724, 2)&amp;"%"</f>
        <v>76.55%</v>
      </c>
      <c r="H1115" s="13" t="str">
        <f>Github!H$724</f>
        <v>Algorithms</v>
      </c>
      <c r="I1115" s="16" t="str">
        <f>SUBSTITUTE(Github!L$724, ";", ", ")</f>
        <v>Array, Two Pointers, Matrix, Simulation, </v>
      </c>
      <c r="J1115" s="13" t="str">
        <f>Github!E$724</f>
        <v>Medium</v>
      </c>
      <c r="K1115" s="13" t="str">
        <f>IF(TRIM(Github!D$724)="TRUE","FALSE","TRUE")</f>
        <v>FALSE</v>
      </c>
      <c r="L1115" s="13" t="b">
        <f>Github!M$724</f>
        <v>1</v>
      </c>
      <c r="M1115" s="13" t="b">
        <f>Github!N$724</f>
        <v>0</v>
      </c>
      <c r="N1115" s="13">
        <f>Github!P$724</f>
        <v>61624</v>
      </c>
      <c r="O1115" s="13">
        <f>Github!Q$724</f>
        <v>80501</v>
      </c>
    </row>
    <row r="1116">
      <c r="A1116" s="13">
        <f>Github!J$2009</f>
        <v>2008</v>
      </c>
      <c r="B1116" s="14" t="str">
        <f>HYPERLINK(CONCAT("http://leetcode.com/problems/",Github!C$2009), Github!B$2009)</f>
        <v>Maximum Earnings From Taxi</v>
      </c>
      <c r="C1116" s="13">
        <f>Github!F$2009</f>
        <v>894</v>
      </c>
      <c r="D1116" s="13">
        <f>Github!G$2009</f>
        <v>17</v>
      </c>
      <c r="E1116" s="13">
        <f>Github!F$2009+Github!G$2009</f>
        <v>911</v>
      </c>
      <c r="F1116" s="15">
        <f t="shared" si="1"/>
        <v>52.59</v>
      </c>
      <c r="G1116" s="13" t="str">
        <f>ROUND(Github!O$2009, 2)&amp;"%"</f>
        <v>43.51%</v>
      </c>
      <c r="H1116" s="13" t="str">
        <f>Github!H$2009</f>
        <v>Algorithms</v>
      </c>
      <c r="I1116" s="16" t="str">
        <f>SUBSTITUTE(Github!L$2009, ";", ", ")</f>
        <v>Array, Binary Search, Dynamic Programming, Sorting, </v>
      </c>
      <c r="J1116" s="13" t="str">
        <f>Github!E$2009</f>
        <v>Medium</v>
      </c>
      <c r="K1116" s="13" t="str">
        <f>IF(TRIM(Github!D$2009)="TRUE","FALSE","TRUE")</f>
        <v>TRUE</v>
      </c>
      <c r="L1116" s="13" t="b">
        <f>Github!M$2009</f>
        <v>0</v>
      </c>
      <c r="M1116" s="13" t="b">
        <f>Github!N$2009</f>
        <v>0</v>
      </c>
      <c r="N1116" s="13">
        <f>Github!P$2009</f>
        <v>19946</v>
      </c>
      <c r="O1116" s="13">
        <f>Github!Q$2009</f>
        <v>45843</v>
      </c>
    </row>
    <row r="1117">
      <c r="A1117" s="13">
        <f>Github!J$1580</f>
        <v>1579</v>
      </c>
      <c r="B1117" s="14" t="str">
        <f>HYPERLINK(CONCAT("http://leetcode.com/problems/",Github!C$1580), Github!B$1580)</f>
        <v>Remove Max Number of Edges to Keep Graph Fully Traversable</v>
      </c>
      <c r="C1117" s="13">
        <f>Github!F$1580</f>
        <v>894</v>
      </c>
      <c r="D1117" s="13">
        <f>Github!G$1580</f>
        <v>9</v>
      </c>
      <c r="E1117" s="13">
        <f>Github!F$1580+Github!G$1580</f>
        <v>903</v>
      </c>
      <c r="F1117" s="15">
        <f t="shared" si="1"/>
        <v>99.33</v>
      </c>
      <c r="G1117" s="13" t="str">
        <f>ROUND(Github!O$1580, 2)&amp;"%"</f>
        <v>52.99%</v>
      </c>
      <c r="H1117" s="13" t="str">
        <f>Github!H$1580</f>
        <v>Algorithms</v>
      </c>
      <c r="I1117" s="16" t="str">
        <f>SUBSTITUTE(Github!L$1580, ";", ", ")</f>
        <v>Union Find, Graph, </v>
      </c>
      <c r="J1117" s="13" t="str">
        <f>Github!E$1580</f>
        <v>Hard</v>
      </c>
      <c r="K1117" s="13" t="str">
        <f>IF(TRIM(Github!D$1580)="TRUE","FALSE","TRUE")</f>
        <v>TRUE</v>
      </c>
      <c r="L1117" s="13" t="b">
        <f>Github!M$1580</f>
        <v>0</v>
      </c>
      <c r="M1117" s="13" t="b">
        <f>Github!N$1580</f>
        <v>0</v>
      </c>
      <c r="N1117" s="13">
        <f>Github!P$1580</f>
        <v>17536</v>
      </c>
      <c r="O1117" s="13">
        <f>Github!Q$1580</f>
        <v>33091</v>
      </c>
    </row>
    <row r="1118">
      <c r="A1118" s="13">
        <f>Github!J$1547</f>
        <v>1546</v>
      </c>
      <c r="B1118" s="14" t="str">
        <f>HYPERLINK(CONCAT("http://leetcode.com/problems/",Github!C$1547), Github!B$1547)</f>
        <v>Maximum Number of Non-Overlapping Subarrays With Sum Equals Target</v>
      </c>
      <c r="C1118" s="13">
        <f>Github!F$1547</f>
        <v>891</v>
      </c>
      <c r="D1118" s="13">
        <f>Github!G$1547</f>
        <v>23</v>
      </c>
      <c r="E1118" s="13">
        <f>Github!F$1547+Github!G$1547</f>
        <v>914</v>
      </c>
      <c r="F1118" s="15">
        <f t="shared" si="1"/>
        <v>38.74</v>
      </c>
      <c r="G1118" s="13" t="str">
        <f>ROUND(Github!O$1547, 2)&amp;"%"</f>
        <v>47.33%</v>
      </c>
      <c r="H1118" s="13" t="str">
        <f>Github!H$1547</f>
        <v>Algorithms</v>
      </c>
      <c r="I1118" s="16" t="str">
        <f>SUBSTITUTE(Github!L$1547, ";", ", ")</f>
        <v>Array, Hash Table, Greedy, Prefix Sum, </v>
      </c>
      <c r="J1118" s="13" t="str">
        <f>Github!E$1547</f>
        <v>Medium</v>
      </c>
      <c r="K1118" s="13" t="str">
        <f>IF(TRIM(Github!D$1547)="TRUE","FALSE","TRUE")</f>
        <v>TRUE</v>
      </c>
      <c r="L1118" s="13" t="b">
        <f>Github!M$1547</f>
        <v>0</v>
      </c>
      <c r="M1118" s="13" t="b">
        <f>Github!N$1547</f>
        <v>0</v>
      </c>
      <c r="N1118" s="13">
        <f>Github!P$1547</f>
        <v>23576</v>
      </c>
      <c r="O1118" s="13">
        <f>Github!Q$1547</f>
        <v>49817</v>
      </c>
    </row>
    <row r="1119">
      <c r="A1119" s="13">
        <f>Github!J$1764</f>
        <v>1763</v>
      </c>
      <c r="B1119" s="14" t="str">
        <f>HYPERLINK(CONCAT("http://leetcode.com/problems/",Github!C$1764), Github!B$1764)</f>
        <v>Longest Nice Substring</v>
      </c>
      <c r="C1119" s="13">
        <f>Github!F$1764</f>
        <v>895</v>
      </c>
      <c r="D1119" s="13">
        <f>Github!G$1764</f>
        <v>636</v>
      </c>
      <c r="E1119" s="13">
        <f>Github!F$1764+Github!G$1764</f>
        <v>1531</v>
      </c>
      <c r="F1119" s="15">
        <f t="shared" si="1"/>
        <v>1.41</v>
      </c>
      <c r="G1119" s="13" t="str">
        <f>ROUND(Github!O$1764, 2)&amp;"%"</f>
        <v>61.58%</v>
      </c>
      <c r="H1119" s="13" t="str">
        <f>Github!H$1764</f>
        <v>Algorithms</v>
      </c>
      <c r="I1119" s="16" t="str">
        <f>SUBSTITUTE(Github!L$1764, ";", ", ")</f>
        <v>Hash Table, String, Divide and Conquer, Bit Manipulation, Sliding Window, </v>
      </c>
      <c r="J1119" s="13" t="str">
        <f>Github!E$1764</f>
        <v>Easy</v>
      </c>
      <c r="K1119" s="13" t="str">
        <f>IF(TRIM(Github!D$1764)="TRUE","FALSE","TRUE")</f>
        <v>TRUE</v>
      </c>
      <c r="L1119" s="13" t="b">
        <f>Github!M$1764</f>
        <v>0</v>
      </c>
      <c r="M1119" s="13" t="b">
        <f>Github!N$1764</f>
        <v>0</v>
      </c>
      <c r="N1119" s="13">
        <f>Github!P$1764</f>
        <v>33699</v>
      </c>
      <c r="O1119" s="13">
        <f>Github!Q$1764</f>
        <v>54726</v>
      </c>
    </row>
    <row r="1120">
      <c r="A1120" s="13">
        <f>Github!J$2266</f>
        <v>2265</v>
      </c>
      <c r="B1120" s="14" t="str">
        <f>HYPERLINK(CONCAT("http://leetcode.com/problems/",Github!C$2266), Github!B$2266)</f>
        <v>Count Nodes Equal to Average of Subtree</v>
      </c>
      <c r="C1120" s="13">
        <f>Github!F$2266</f>
        <v>900</v>
      </c>
      <c r="D1120" s="13">
        <f>Github!G$2266</f>
        <v>21</v>
      </c>
      <c r="E1120" s="13">
        <f>Github!F$2266+Github!G$2266</f>
        <v>921</v>
      </c>
      <c r="F1120" s="15">
        <f t="shared" si="1"/>
        <v>42.86</v>
      </c>
      <c r="G1120" s="13" t="str">
        <f>ROUND(Github!O$2266, 2)&amp;"%"</f>
        <v>85.55%</v>
      </c>
      <c r="H1120" s="13" t="str">
        <f>Github!H$2266</f>
        <v>Algorithms</v>
      </c>
      <c r="I1120" s="16" t="str">
        <f>SUBSTITUTE(Github!L$2266, ";", ", ")</f>
        <v>Tree, Depth-First Search, Binary Tree, </v>
      </c>
      <c r="J1120" s="13" t="str">
        <f>Github!E$2266</f>
        <v>Medium</v>
      </c>
      <c r="K1120" s="13" t="str">
        <f>IF(TRIM(Github!D$2266)="TRUE","FALSE","TRUE")</f>
        <v>TRUE</v>
      </c>
      <c r="L1120" s="13" t="b">
        <f>Github!M$2266</f>
        <v>0</v>
      </c>
      <c r="M1120" s="13" t="b">
        <f>Github!N$2266</f>
        <v>0</v>
      </c>
      <c r="N1120" s="13">
        <f>Github!P$2266</f>
        <v>33499</v>
      </c>
      <c r="O1120" s="13">
        <f>Github!Q$2266</f>
        <v>39153</v>
      </c>
    </row>
    <row r="1121">
      <c r="A1121" s="13">
        <f>Github!J$748</f>
        <v>747</v>
      </c>
      <c r="B1121" s="14" t="str">
        <f>HYPERLINK(CONCAT("http://leetcode.com/problems/",Github!C$748), Github!B$748)</f>
        <v>Largest Number At Least Twice of Others</v>
      </c>
      <c r="C1121" s="13">
        <f>Github!F$748</f>
        <v>898</v>
      </c>
      <c r="D1121" s="13">
        <f>Github!G$748</f>
        <v>821</v>
      </c>
      <c r="E1121" s="13">
        <f>Github!F$748+Github!G$748</f>
        <v>1719</v>
      </c>
      <c r="F1121" s="15">
        <f t="shared" si="1"/>
        <v>1.09</v>
      </c>
      <c r="G1121" s="13" t="str">
        <f>ROUND(Github!O$748, 2)&amp;"%"</f>
        <v>46.64%</v>
      </c>
      <c r="H1121" s="13" t="str">
        <f>Github!H$748</f>
        <v>Algorithms</v>
      </c>
      <c r="I1121" s="16" t="str">
        <f>SUBSTITUTE(Github!L$748, ";", ", ")</f>
        <v>Array, Sorting, </v>
      </c>
      <c r="J1121" s="13" t="str">
        <f>Github!E$748</f>
        <v>Easy</v>
      </c>
      <c r="K1121" s="13" t="str">
        <f>IF(TRIM(Github!D$748)="TRUE","FALSE","TRUE")</f>
        <v>TRUE</v>
      </c>
      <c r="L1121" s="13" t="b">
        <f>Github!M$748</f>
        <v>0</v>
      </c>
      <c r="M1121" s="13" t="b">
        <f>Github!N$748</f>
        <v>0</v>
      </c>
      <c r="N1121" s="13">
        <f>Github!P$748</f>
        <v>189194</v>
      </c>
      <c r="O1121" s="13">
        <f>Github!Q$748</f>
        <v>405621</v>
      </c>
    </row>
    <row r="1122">
      <c r="A1122" s="13">
        <f>Github!J$164</f>
        <v>163</v>
      </c>
      <c r="B1122" s="14" t="str">
        <f>HYPERLINK(CONCAT("http://leetcode.com/problems/",Github!C$164), Github!B$164)</f>
        <v>Missing Ranges</v>
      </c>
      <c r="C1122" s="13">
        <f>Github!F$164</f>
        <v>882</v>
      </c>
      <c r="D1122" s="13">
        <f>Github!G$164</f>
        <v>2733</v>
      </c>
      <c r="E1122" s="13">
        <f>Github!F$164+Github!G$164</f>
        <v>3615</v>
      </c>
      <c r="F1122" s="15">
        <f t="shared" si="1"/>
        <v>0.32</v>
      </c>
      <c r="G1122" s="13" t="str">
        <f>ROUND(Github!O$164, 2)&amp;"%"</f>
        <v>32.08%</v>
      </c>
      <c r="H1122" s="13" t="str">
        <f>Github!H$164</f>
        <v>Algorithms</v>
      </c>
      <c r="I1122" s="16" t="str">
        <f>SUBSTITUTE(Github!L$164, ";", ", ")</f>
        <v>Array, </v>
      </c>
      <c r="J1122" s="13" t="str">
        <f>Github!E$164</f>
        <v>Easy</v>
      </c>
      <c r="K1122" s="13" t="str">
        <f>IF(TRIM(Github!D$164)="TRUE","FALSE","TRUE")</f>
        <v>FALSE</v>
      </c>
      <c r="L1122" s="13" t="b">
        <f>Github!M$164</f>
        <v>1</v>
      </c>
      <c r="M1122" s="13" t="b">
        <f>Github!N$164</f>
        <v>1</v>
      </c>
      <c r="N1122" s="13">
        <f>Github!P$164</f>
        <v>192105</v>
      </c>
      <c r="O1122" s="13">
        <f>Github!Q$164</f>
        <v>598778</v>
      </c>
    </row>
    <row r="1123">
      <c r="A1123" s="13">
        <f>Github!J$1321</f>
        <v>1320</v>
      </c>
      <c r="B1123" s="14" t="str">
        <f>HYPERLINK(CONCAT("http://leetcode.com/problems/",Github!C$1321), Github!B$1321)</f>
        <v>Minimum Distance to Type a Word Using Two Fingers</v>
      </c>
      <c r="C1123" s="13">
        <f>Github!F$1321</f>
        <v>881</v>
      </c>
      <c r="D1123" s="13">
        <f>Github!G$1321</f>
        <v>31</v>
      </c>
      <c r="E1123" s="13">
        <f>Github!F$1321+Github!G$1321</f>
        <v>912</v>
      </c>
      <c r="F1123" s="15">
        <f t="shared" si="1"/>
        <v>28.42</v>
      </c>
      <c r="G1123" s="13" t="str">
        <f>ROUND(Github!O$1321, 2)&amp;"%"</f>
        <v>59.55%</v>
      </c>
      <c r="H1123" s="13" t="str">
        <f>Github!H$1321</f>
        <v>Algorithms</v>
      </c>
      <c r="I1123" s="16" t="str">
        <f>SUBSTITUTE(Github!L$1321, ";", ", ")</f>
        <v>String, Dynamic Programming, </v>
      </c>
      <c r="J1123" s="13" t="str">
        <f>Github!E$1321</f>
        <v>Hard</v>
      </c>
      <c r="K1123" s="13" t="str">
        <f>IF(TRIM(Github!D$1321)="TRUE","FALSE","TRUE")</f>
        <v>TRUE</v>
      </c>
      <c r="L1123" s="13" t="b">
        <f>Github!M$1321</f>
        <v>0</v>
      </c>
      <c r="M1123" s="13" t="b">
        <f>Github!N$1321</f>
        <v>0</v>
      </c>
      <c r="N1123" s="13">
        <f>Github!P$1321</f>
        <v>26983</v>
      </c>
      <c r="O1123" s="13">
        <f>Github!Q$1321</f>
        <v>45310</v>
      </c>
    </row>
    <row r="1124">
      <c r="A1124" s="13">
        <f>Github!J$307</f>
        <v>306</v>
      </c>
      <c r="B1124" s="14" t="str">
        <f>HYPERLINK(CONCAT("http://leetcode.com/problems/",Github!C$307), Github!B$307)</f>
        <v>Additive Number</v>
      </c>
      <c r="C1124" s="13">
        <f>Github!F$307</f>
        <v>891</v>
      </c>
      <c r="D1124" s="13">
        <f>Github!G$307</f>
        <v>702</v>
      </c>
      <c r="E1124" s="13">
        <f>Github!F$307+Github!G$307</f>
        <v>1593</v>
      </c>
      <c r="F1124" s="15">
        <f t="shared" si="1"/>
        <v>1.27</v>
      </c>
      <c r="G1124" s="13" t="str">
        <f>ROUND(Github!O$307, 2)&amp;"%"</f>
        <v>30.98%</v>
      </c>
      <c r="H1124" s="13" t="str">
        <f>Github!H$307</f>
        <v>Algorithms</v>
      </c>
      <c r="I1124" s="16" t="str">
        <f>SUBSTITUTE(Github!L$307, ";", ", ")</f>
        <v>String, Backtracking, </v>
      </c>
      <c r="J1124" s="13" t="str">
        <f>Github!E$307</f>
        <v>Medium</v>
      </c>
      <c r="K1124" s="13" t="str">
        <f>IF(TRIM(Github!D$307)="TRUE","FALSE","TRUE")</f>
        <v>TRUE</v>
      </c>
      <c r="L1124" s="13" t="b">
        <f>Github!M$307</f>
        <v>0</v>
      </c>
      <c r="M1124" s="13" t="b">
        <f>Github!N$307</f>
        <v>0</v>
      </c>
      <c r="N1124" s="13">
        <f>Github!P$307</f>
        <v>76132</v>
      </c>
      <c r="O1124" s="13">
        <f>Github!Q$307</f>
        <v>245731</v>
      </c>
    </row>
    <row r="1125">
      <c r="A1125" s="13">
        <f>Github!J$2035</f>
        <v>2034</v>
      </c>
      <c r="B1125" s="14" t="str">
        <f>HYPERLINK(CONCAT("http://leetcode.com/problems/",Github!C$2035), Github!B$2035)</f>
        <v>Stock Price Fluctuation </v>
      </c>
      <c r="C1125" s="13">
        <f>Github!F$2035</f>
        <v>893</v>
      </c>
      <c r="D1125" s="13">
        <f>Github!G$2035</f>
        <v>50</v>
      </c>
      <c r="E1125" s="13">
        <f>Github!F$2035+Github!G$2035</f>
        <v>943</v>
      </c>
      <c r="F1125" s="15">
        <f t="shared" si="1"/>
        <v>17.86</v>
      </c>
      <c r="G1125" s="13" t="str">
        <f>ROUND(Github!O$2035, 2)&amp;"%"</f>
        <v>49.08%</v>
      </c>
      <c r="H1125" s="13" t="str">
        <f>Github!H$2035</f>
        <v>Algorithms</v>
      </c>
      <c r="I1125" s="16" t="str">
        <f>SUBSTITUTE(Github!L$2035, ";", ", ")</f>
        <v>Hash Table, Design, Heap (Priority Queue), Data Stream, Ordered Set, </v>
      </c>
      <c r="J1125" s="13" t="str">
        <f>Github!E$2035</f>
        <v>Medium</v>
      </c>
      <c r="K1125" s="13" t="str">
        <f>IF(TRIM(Github!D$2035)="TRUE","FALSE","TRUE")</f>
        <v>TRUE</v>
      </c>
      <c r="L1125" s="13" t="b">
        <f>Github!M$2035</f>
        <v>1</v>
      </c>
      <c r="M1125" s="13" t="b">
        <f>Github!N$2035</f>
        <v>0</v>
      </c>
      <c r="N1125" s="13">
        <f>Github!P$2035</f>
        <v>52443</v>
      </c>
      <c r="O1125" s="13">
        <f>Github!Q$2035</f>
        <v>106860</v>
      </c>
    </row>
    <row r="1126">
      <c r="A1126" s="13">
        <f>Github!J$852</f>
        <v>851</v>
      </c>
      <c r="B1126" s="14" t="str">
        <f>HYPERLINK(CONCAT("http://leetcode.com/problems/",Github!C$852), Github!B$852)</f>
        <v>Loud and Rich</v>
      </c>
      <c r="C1126" s="13">
        <f>Github!F$852</f>
        <v>885</v>
      </c>
      <c r="D1126" s="13">
        <f>Github!G$852</f>
        <v>663</v>
      </c>
      <c r="E1126" s="13">
        <f>Github!F$852+Github!G$852</f>
        <v>1548</v>
      </c>
      <c r="F1126" s="15">
        <f t="shared" si="1"/>
        <v>1.33</v>
      </c>
      <c r="G1126" s="13" t="str">
        <f>ROUND(Github!O$852, 2)&amp;"%"</f>
        <v>58.37%</v>
      </c>
      <c r="H1126" s="13" t="str">
        <f>Github!H$852</f>
        <v>Algorithms</v>
      </c>
      <c r="I1126" s="16" t="str">
        <f>SUBSTITUTE(Github!L$852, ";", ", ")</f>
        <v>Array, Depth-First Search, Graph, Topological Sort, </v>
      </c>
      <c r="J1126" s="13" t="str">
        <f>Github!E$852</f>
        <v>Medium</v>
      </c>
      <c r="K1126" s="13" t="str">
        <f>IF(TRIM(Github!D$852)="TRUE","FALSE","TRUE")</f>
        <v>TRUE</v>
      </c>
      <c r="L1126" s="13" t="b">
        <f>Github!M$852</f>
        <v>1</v>
      </c>
      <c r="M1126" s="13" t="b">
        <f>Github!N$852</f>
        <v>0</v>
      </c>
      <c r="N1126" s="13">
        <f>Github!P$852</f>
        <v>30928</v>
      </c>
      <c r="O1126" s="13">
        <f>Github!Q$852</f>
        <v>52983</v>
      </c>
    </row>
    <row r="1127">
      <c r="A1127" s="13">
        <f>Github!J$1341</f>
        <v>1340</v>
      </c>
      <c r="B1127" s="14" t="str">
        <f>HYPERLINK(CONCAT("http://leetcode.com/problems/",Github!C$1341), Github!B$1341)</f>
        <v>Jump Game V</v>
      </c>
      <c r="C1127" s="13">
        <f>Github!F$1341</f>
        <v>885</v>
      </c>
      <c r="D1127" s="13">
        <f>Github!G$1341</f>
        <v>32</v>
      </c>
      <c r="E1127" s="13">
        <f>Github!F$1341+Github!G$1341</f>
        <v>917</v>
      </c>
      <c r="F1127" s="15">
        <f t="shared" si="1"/>
        <v>27.66</v>
      </c>
      <c r="G1127" s="13" t="str">
        <f>ROUND(Github!O$1341, 2)&amp;"%"</f>
        <v>62.52%</v>
      </c>
      <c r="H1127" s="13" t="str">
        <f>Github!H$1341</f>
        <v>Algorithms</v>
      </c>
      <c r="I1127" s="16" t="str">
        <f>SUBSTITUTE(Github!L$1341, ";", ", ")</f>
        <v>Array, Dynamic Programming, Sorting, </v>
      </c>
      <c r="J1127" s="13" t="str">
        <f>Github!E$1341</f>
        <v>Hard</v>
      </c>
      <c r="K1127" s="13" t="str">
        <f>IF(TRIM(Github!D$1341)="TRUE","FALSE","TRUE")</f>
        <v>TRUE</v>
      </c>
      <c r="L1127" s="13" t="b">
        <f>Github!M$1341</f>
        <v>0</v>
      </c>
      <c r="M1127" s="13" t="b">
        <f>Github!N$1341</f>
        <v>0</v>
      </c>
      <c r="N1127" s="13">
        <f>Github!P$1341</f>
        <v>23483</v>
      </c>
      <c r="O1127" s="13">
        <f>Github!Q$1341</f>
        <v>37562</v>
      </c>
    </row>
    <row r="1128">
      <c r="A1128" s="13">
        <f>Github!J$627</f>
        <v>626</v>
      </c>
      <c r="B1128" s="14" t="str">
        <f>HYPERLINK(CONCAT("http://leetcode.com/problems/",Github!C$627), Github!B$627)</f>
        <v>Exchange Seats</v>
      </c>
      <c r="C1128" s="13">
        <f>Github!F$627</f>
        <v>883</v>
      </c>
      <c r="D1128" s="13">
        <f>Github!G$627</f>
        <v>402</v>
      </c>
      <c r="E1128" s="13">
        <f>Github!F$627+Github!G$627</f>
        <v>1285</v>
      </c>
      <c r="F1128" s="15">
        <f t="shared" si="1"/>
        <v>2.2</v>
      </c>
      <c r="G1128" s="13" t="str">
        <f>ROUND(Github!O$627, 2)&amp;"%"</f>
        <v>70.43%</v>
      </c>
      <c r="H1128" s="13" t="str">
        <f>Github!H$627</f>
        <v>Database</v>
      </c>
      <c r="I1128" s="16" t="str">
        <f>SUBSTITUTE(Github!L$627, ";", ", ")</f>
        <v>Database, </v>
      </c>
      <c r="J1128" s="13" t="str">
        <f>Github!E$627</f>
        <v>Medium</v>
      </c>
      <c r="K1128" s="13" t="str">
        <f>IF(TRIM(Github!D$627)="TRUE","FALSE","TRUE")</f>
        <v>TRUE</v>
      </c>
      <c r="L1128" s="13" t="b">
        <f>Github!M$627</f>
        <v>1</v>
      </c>
      <c r="M1128" s="13" t="b">
        <f>Github!N$627</f>
        <v>0</v>
      </c>
      <c r="N1128" s="13">
        <f>Github!P$627</f>
        <v>124049</v>
      </c>
      <c r="O1128" s="13">
        <f>Github!Q$627</f>
        <v>176121</v>
      </c>
    </row>
    <row r="1129">
      <c r="A1129" s="13">
        <f>Github!J$934</f>
        <v>933</v>
      </c>
      <c r="B1129" s="14" t="str">
        <f>HYPERLINK(CONCAT("http://leetcode.com/problems/",Github!C$934), Github!B$934)</f>
        <v>Number of Recent Calls</v>
      </c>
      <c r="C1129" s="13">
        <f>Github!F$934</f>
        <v>881</v>
      </c>
      <c r="D1129" s="13">
        <f>Github!G$934</f>
        <v>2595</v>
      </c>
      <c r="E1129" s="13">
        <f>Github!F$934+Github!G$934</f>
        <v>3476</v>
      </c>
      <c r="F1129" s="15">
        <f t="shared" si="1"/>
        <v>0.34</v>
      </c>
      <c r="G1129" s="13" t="str">
        <f>ROUND(Github!O$934, 2)&amp;"%"</f>
        <v>73.18%</v>
      </c>
      <c r="H1129" s="13" t="str">
        <f>Github!H$934</f>
        <v>Algorithms</v>
      </c>
      <c r="I1129" s="16" t="str">
        <f>SUBSTITUTE(Github!L$934, ";", ", ")</f>
        <v>Design, Queue, Data Stream, </v>
      </c>
      <c r="J1129" s="13" t="str">
        <f>Github!E$934</f>
        <v>Easy</v>
      </c>
      <c r="K1129" s="13" t="str">
        <f>IF(TRIM(Github!D$934)="TRUE","FALSE","TRUE")</f>
        <v>TRUE</v>
      </c>
      <c r="L1129" s="13" t="b">
        <f>Github!M$934</f>
        <v>1</v>
      </c>
      <c r="M1129" s="13" t="b">
        <f>Github!N$934</f>
        <v>0</v>
      </c>
      <c r="N1129" s="13">
        <f>Github!P$934</f>
        <v>135318</v>
      </c>
      <c r="O1129" s="13">
        <f>Github!Q$934</f>
        <v>184911</v>
      </c>
    </row>
    <row r="1130">
      <c r="A1130" s="13">
        <f>Github!J$2102</f>
        <v>2101</v>
      </c>
      <c r="B1130" s="14" t="str">
        <f>HYPERLINK(CONCAT("http://leetcode.com/problems/",Github!C$2102), Github!B$2102)</f>
        <v>Detonate the Maximum Bombs</v>
      </c>
      <c r="C1130" s="13">
        <f>Github!F$2102</f>
        <v>898</v>
      </c>
      <c r="D1130" s="13">
        <f>Github!G$2102</f>
        <v>67</v>
      </c>
      <c r="E1130" s="13">
        <f>Github!F$2102+Github!G$2102</f>
        <v>965</v>
      </c>
      <c r="F1130" s="15">
        <f t="shared" si="1"/>
        <v>13.4</v>
      </c>
      <c r="G1130" s="13" t="str">
        <f>ROUND(Github!O$2102, 2)&amp;"%"</f>
        <v>41.65%</v>
      </c>
      <c r="H1130" s="13" t="str">
        <f>Github!H$2102</f>
        <v>Algorithms</v>
      </c>
      <c r="I1130" s="16" t="str">
        <f>SUBSTITUTE(Github!L$2102, ";", ", ")</f>
        <v>Array, Math, Depth-First Search, Breadth-First Search, Graph, Geometry, </v>
      </c>
      <c r="J1130" s="13" t="str">
        <f>Github!E$2102</f>
        <v>Medium</v>
      </c>
      <c r="K1130" s="13" t="str">
        <f>IF(TRIM(Github!D$2102)="TRUE","FALSE","TRUE")</f>
        <v>TRUE</v>
      </c>
      <c r="L1130" s="13" t="b">
        <f>Github!M$2102</f>
        <v>0</v>
      </c>
      <c r="M1130" s="13" t="b">
        <f>Github!N$2102</f>
        <v>0</v>
      </c>
      <c r="N1130" s="13">
        <f>Github!P$2102</f>
        <v>24558</v>
      </c>
      <c r="O1130" s="13">
        <f>Github!Q$2102</f>
        <v>58952</v>
      </c>
    </row>
    <row r="1131">
      <c r="A1131" s="13">
        <f>Github!J$851</f>
        <v>850</v>
      </c>
      <c r="B1131" s="14" t="str">
        <f>HYPERLINK(CONCAT("http://leetcode.com/problems/",Github!C$851), Github!B$851)</f>
        <v>Rectangle Area II</v>
      </c>
      <c r="C1131" s="13">
        <f>Github!F$851</f>
        <v>871</v>
      </c>
      <c r="D1131" s="13">
        <f>Github!G$851</f>
        <v>56</v>
      </c>
      <c r="E1131" s="13">
        <f>Github!F$851+Github!G$851</f>
        <v>927</v>
      </c>
      <c r="F1131" s="15">
        <f t="shared" si="1"/>
        <v>15.55</v>
      </c>
      <c r="G1131" s="13" t="str">
        <f>ROUND(Github!O$851, 2)&amp;"%"</f>
        <v>53.77%</v>
      </c>
      <c r="H1131" s="13" t="str">
        <f>Github!H$851</f>
        <v>Algorithms</v>
      </c>
      <c r="I1131" s="16" t="str">
        <f>SUBSTITUTE(Github!L$851, ";", ", ")</f>
        <v>Array, Segment Tree, Line Sweep, Ordered Set, </v>
      </c>
      <c r="J1131" s="13" t="str">
        <f>Github!E$851</f>
        <v>Hard</v>
      </c>
      <c r="K1131" s="13" t="str">
        <f>IF(TRIM(Github!D$851)="TRUE","FALSE","TRUE")</f>
        <v>TRUE</v>
      </c>
      <c r="L1131" s="13" t="b">
        <f>Github!M$851</f>
        <v>1</v>
      </c>
      <c r="M1131" s="13" t="b">
        <f>Github!N$851</f>
        <v>0</v>
      </c>
      <c r="N1131" s="13">
        <f>Github!P$851</f>
        <v>31658</v>
      </c>
      <c r="O1131" s="13">
        <f>Github!Q$851</f>
        <v>58877</v>
      </c>
    </row>
    <row r="1132">
      <c r="A1132" s="13">
        <f>Github!J$362</f>
        <v>361</v>
      </c>
      <c r="B1132" s="14" t="str">
        <f>HYPERLINK(CONCAT("http://leetcode.com/problems/",Github!C$362), Github!B$362)</f>
        <v>Bomb Enemy</v>
      </c>
      <c r="C1132" s="13">
        <f>Github!F$362</f>
        <v>872</v>
      </c>
      <c r="D1132" s="13">
        <f>Github!G$362</f>
        <v>102</v>
      </c>
      <c r="E1132" s="13">
        <f>Github!F$362+Github!G$362</f>
        <v>974</v>
      </c>
      <c r="F1132" s="15">
        <f t="shared" si="1"/>
        <v>8.55</v>
      </c>
      <c r="G1132" s="13" t="str">
        <f>ROUND(Github!O$362, 2)&amp;"%"</f>
        <v>51.04%</v>
      </c>
      <c r="H1132" s="13" t="str">
        <f>Github!H$362</f>
        <v>Algorithms</v>
      </c>
      <c r="I1132" s="16" t="str">
        <f>SUBSTITUTE(Github!L$362, ";", ", ")</f>
        <v>Array, Dynamic Programming, Matrix, </v>
      </c>
      <c r="J1132" s="13" t="str">
        <f>Github!E$362</f>
        <v>Medium</v>
      </c>
      <c r="K1132" s="13" t="str">
        <f>IF(TRIM(Github!D$362)="TRUE","FALSE","TRUE")</f>
        <v>FALSE</v>
      </c>
      <c r="L1132" s="13" t="b">
        <f>Github!M$362</f>
        <v>1</v>
      </c>
      <c r="M1132" s="13" t="b">
        <f>Github!N$362</f>
        <v>0</v>
      </c>
      <c r="N1132" s="13">
        <f>Github!P$362</f>
        <v>72057</v>
      </c>
      <c r="O1132" s="13">
        <f>Github!Q$362</f>
        <v>141172</v>
      </c>
    </row>
    <row r="1133">
      <c r="A1133" s="13">
        <f>Github!J$1631</f>
        <v>1630</v>
      </c>
      <c r="B1133" s="14" t="str">
        <f>HYPERLINK(CONCAT("http://leetcode.com/problems/",Github!C$1631), Github!B$1631)</f>
        <v>Arithmetic Subarrays</v>
      </c>
      <c r="C1133" s="13">
        <f>Github!F$1631</f>
        <v>873</v>
      </c>
      <c r="D1133" s="13">
        <f>Github!G$1631</f>
        <v>93</v>
      </c>
      <c r="E1133" s="13">
        <f>Github!F$1631+Github!G$1631</f>
        <v>966</v>
      </c>
      <c r="F1133" s="15">
        <f t="shared" si="1"/>
        <v>9.39</v>
      </c>
      <c r="G1133" s="13" t="str">
        <f>ROUND(Github!O$1631, 2)&amp;"%"</f>
        <v>80.08%</v>
      </c>
      <c r="H1133" s="13" t="str">
        <f>Github!H$1631</f>
        <v>Algorithms</v>
      </c>
      <c r="I1133" s="16" t="str">
        <f>SUBSTITUTE(Github!L$1631, ";", ", ")</f>
        <v>Array, Sorting, </v>
      </c>
      <c r="J1133" s="13" t="str">
        <f>Github!E$1631</f>
        <v>Medium</v>
      </c>
      <c r="K1133" s="13" t="str">
        <f>IF(TRIM(Github!D$1631)="TRUE","FALSE","TRUE")</f>
        <v>TRUE</v>
      </c>
      <c r="L1133" s="13" t="b">
        <f>Github!M$1631</f>
        <v>0</v>
      </c>
      <c r="M1133" s="13" t="b">
        <f>Github!N$1631</f>
        <v>0</v>
      </c>
      <c r="N1133" s="13">
        <f>Github!P$1631</f>
        <v>45447</v>
      </c>
      <c r="O1133" s="13">
        <f>Github!Q$1631</f>
        <v>56752</v>
      </c>
    </row>
    <row r="1134">
      <c r="A1134" s="13">
        <f>Github!J$1461</f>
        <v>1460</v>
      </c>
      <c r="B1134" s="14" t="str">
        <f>HYPERLINK(CONCAT("http://leetcode.com/problems/",Github!C$1461), Github!B$1461)</f>
        <v>Make Two Arrays Equal by Reversing Subarrays</v>
      </c>
      <c r="C1134" s="13">
        <f>Github!F$1461</f>
        <v>870</v>
      </c>
      <c r="D1134" s="13">
        <f>Github!G$1461</f>
        <v>122</v>
      </c>
      <c r="E1134" s="13">
        <f>Github!F$1461+Github!G$1461</f>
        <v>992</v>
      </c>
      <c r="F1134" s="15">
        <f t="shared" si="1"/>
        <v>7.13</v>
      </c>
      <c r="G1134" s="13" t="str">
        <f>ROUND(Github!O$1461, 2)&amp;"%"</f>
        <v>72.19%</v>
      </c>
      <c r="H1134" s="13" t="str">
        <f>Github!H$1461</f>
        <v>Algorithms</v>
      </c>
      <c r="I1134" s="16" t="str">
        <f>SUBSTITUTE(Github!L$1461, ";", ", ")</f>
        <v>Array, Hash Table, Sorting, </v>
      </c>
      <c r="J1134" s="13" t="str">
        <f>Github!E$1461</f>
        <v>Easy</v>
      </c>
      <c r="K1134" s="13" t="str">
        <f>IF(TRIM(Github!D$1461)="TRUE","FALSE","TRUE")</f>
        <v>TRUE</v>
      </c>
      <c r="L1134" s="13" t="b">
        <f>Github!M$1461</f>
        <v>0</v>
      </c>
      <c r="M1134" s="13" t="b">
        <f>Github!N$1461</f>
        <v>0</v>
      </c>
      <c r="N1134" s="13">
        <f>Github!P$1461</f>
        <v>100093</v>
      </c>
      <c r="O1134" s="13">
        <f>Github!Q$1461</f>
        <v>138659</v>
      </c>
    </row>
    <row r="1135">
      <c r="A1135" s="13">
        <f>Github!J$1401</f>
        <v>1400</v>
      </c>
      <c r="B1135" s="14" t="str">
        <f>HYPERLINK(CONCAT("http://leetcode.com/problems/",Github!C$1401), Github!B$1401)</f>
        <v>Construct K Palindrome Strings</v>
      </c>
      <c r="C1135" s="13">
        <f>Github!F$1401</f>
        <v>867</v>
      </c>
      <c r="D1135" s="13">
        <f>Github!G$1401</f>
        <v>81</v>
      </c>
      <c r="E1135" s="13">
        <f>Github!F$1401+Github!G$1401</f>
        <v>948</v>
      </c>
      <c r="F1135" s="15">
        <f t="shared" si="1"/>
        <v>10.7</v>
      </c>
      <c r="G1135" s="13" t="str">
        <f>ROUND(Github!O$1401, 2)&amp;"%"</f>
        <v>63.08%</v>
      </c>
      <c r="H1135" s="13" t="str">
        <f>Github!H$1401</f>
        <v>Algorithms</v>
      </c>
      <c r="I1135" s="16" t="str">
        <f>SUBSTITUTE(Github!L$1401, ";", ", ")</f>
        <v>Hash Table, String, Greedy, Counting, </v>
      </c>
      <c r="J1135" s="13" t="str">
        <f>Github!E$1401</f>
        <v>Medium</v>
      </c>
      <c r="K1135" s="13" t="str">
        <f>IF(TRIM(Github!D$1401)="TRUE","FALSE","TRUE")</f>
        <v>TRUE</v>
      </c>
      <c r="L1135" s="13" t="b">
        <f>Github!M$1401</f>
        <v>0</v>
      </c>
      <c r="M1135" s="13" t="b">
        <f>Github!N$1401</f>
        <v>0</v>
      </c>
      <c r="N1135" s="13">
        <f>Github!P$1401</f>
        <v>43133</v>
      </c>
      <c r="O1135" s="13">
        <f>Github!Q$1401</f>
        <v>68378</v>
      </c>
    </row>
    <row r="1136">
      <c r="A1136" s="13">
        <f>Github!J$1126</f>
        <v>1125</v>
      </c>
      <c r="B1136" s="14" t="str">
        <f>HYPERLINK(CONCAT("http://leetcode.com/problems/",Github!C$1126), Github!B$1126)</f>
        <v>Smallest Sufficient Team</v>
      </c>
      <c r="C1136" s="13">
        <f>Github!F$1126</f>
        <v>863</v>
      </c>
      <c r="D1136" s="13">
        <f>Github!G$1126</f>
        <v>15</v>
      </c>
      <c r="E1136" s="13">
        <f>Github!F$1126+Github!G$1126</f>
        <v>878</v>
      </c>
      <c r="F1136" s="15">
        <f t="shared" si="1"/>
        <v>57.53</v>
      </c>
      <c r="G1136" s="13" t="str">
        <f>ROUND(Github!O$1126, 2)&amp;"%"</f>
        <v>46.92%</v>
      </c>
      <c r="H1136" s="13" t="str">
        <f>Github!H$1126</f>
        <v>Algorithms</v>
      </c>
      <c r="I1136" s="16" t="str">
        <f>SUBSTITUTE(Github!L$1126, ";", ", ")</f>
        <v>Array, Dynamic Programming, Bit Manipulation, Bitmask, </v>
      </c>
      <c r="J1136" s="13" t="str">
        <f>Github!E$1126</f>
        <v>Hard</v>
      </c>
      <c r="K1136" s="13" t="str">
        <f>IF(TRIM(Github!D$1126)="TRUE","FALSE","TRUE")</f>
        <v>TRUE</v>
      </c>
      <c r="L1136" s="13" t="b">
        <f>Github!M$1126</f>
        <v>0</v>
      </c>
      <c r="M1136" s="13" t="b">
        <f>Github!N$1126</f>
        <v>0</v>
      </c>
      <c r="N1136" s="13">
        <f>Github!P$1126</f>
        <v>18188</v>
      </c>
      <c r="O1136" s="13">
        <f>Github!Q$1126</f>
        <v>38760</v>
      </c>
    </row>
    <row r="1137">
      <c r="A1137" s="13">
        <f>Github!J$1137</f>
        <v>1136</v>
      </c>
      <c r="B1137" s="14" t="str">
        <f>HYPERLINK(CONCAT("http://leetcode.com/problems/",Github!C$1137), Github!B$1137)</f>
        <v>Parallel Courses</v>
      </c>
      <c r="C1137" s="13">
        <f>Github!F$1137</f>
        <v>872</v>
      </c>
      <c r="D1137" s="13">
        <f>Github!G$1137</f>
        <v>22</v>
      </c>
      <c r="E1137" s="13">
        <f>Github!F$1137+Github!G$1137</f>
        <v>894</v>
      </c>
      <c r="F1137" s="15">
        <f t="shared" si="1"/>
        <v>39.64</v>
      </c>
      <c r="G1137" s="13" t="str">
        <f>ROUND(Github!O$1137, 2)&amp;"%"</f>
        <v>61.83%</v>
      </c>
      <c r="H1137" s="13" t="str">
        <f>Github!H$1137</f>
        <v>Algorithms</v>
      </c>
      <c r="I1137" s="16" t="str">
        <f>SUBSTITUTE(Github!L$1137, ";", ", ")</f>
        <v>Graph, Topological Sort, </v>
      </c>
      <c r="J1137" s="13" t="str">
        <f>Github!E$1137</f>
        <v>Medium</v>
      </c>
      <c r="K1137" s="13" t="str">
        <f>IF(TRIM(Github!D$1137)="TRUE","FALSE","TRUE")</f>
        <v>FALSE</v>
      </c>
      <c r="L1137" s="13" t="b">
        <f>Github!M$1137</f>
        <v>1</v>
      </c>
      <c r="M1137" s="13" t="b">
        <f>Github!N$1137</f>
        <v>0</v>
      </c>
      <c r="N1137" s="13">
        <f>Github!P$1137</f>
        <v>52938</v>
      </c>
      <c r="O1137" s="13">
        <f>Github!Q$1137</f>
        <v>85613</v>
      </c>
    </row>
    <row r="1138">
      <c r="A1138" s="13">
        <f>Github!J$1889</f>
        <v>1888</v>
      </c>
      <c r="B1138" s="14" t="str">
        <f>HYPERLINK(CONCAT("http://leetcode.com/problems/",Github!C$1889), Github!B$1889)</f>
        <v>Minimum Number of Flips to Make the Binary String Alternating</v>
      </c>
      <c r="C1138" s="13">
        <f>Github!F$1889</f>
        <v>865</v>
      </c>
      <c r="D1138" s="13">
        <f>Github!G$1889</f>
        <v>34</v>
      </c>
      <c r="E1138" s="13">
        <f>Github!F$1889+Github!G$1889</f>
        <v>899</v>
      </c>
      <c r="F1138" s="15">
        <f t="shared" si="1"/>
        <v>25.44</v>
      </c>
      <c r="G1138" s="13" t="str">
        <f>ROUND(Github!O$1889, 2)&amp;"%"</f>
        <v>38.38%</v>
      </c>
      <c r="H1138" s="13" t="str">
        <f>Github!H$1889</f>
        <v>Algorithms</v>
      </c>
      <c r="I1138" s="16" t="str">
        <f>SUBSTITUTE(Github!L$1889, ";", ", ")</f>
        <v>String, Dynamic Programming, Greedy, Sliding Window, </v>
      </c>
      <c r="J1138" s="13" t="str">
        <f>Github!E$1889</f>
        <v>Medium</v>
      </c>
      <c r="K1138" s="13" t="str">
        <f>IF(TRIM(Github!D$1889)="TRUE","FALSE","TRUE")</f>
        <v>TRUE</v>
      </c>
      <c r="L1138" s="13" t="b">
        <f>Github!M$1889</f>
        <v>0</v>
      </c>
      <c r="M1138" s="13" t="b">
        <f>Github!N$1889</f>
        <v>0</v>
      </c>
      <c r="N1138" s="13">
        <f>Github!P$1889</f>
        <v>16379</v>
      </c>
      <c r="O1138" s="13">
        <f>Github!Q$1889</f>
        <v>42676</v>
      </c>
    </row>
    <row r="1139">
      <c r="A1139" s="13">
        <f>Github!J$1912</f>
        <v>1911</v>
      </c>
      <c r="B1139" s="14" t="str">
        <f>HYPERLINK(CONCAT("http://leetcode.com/problems/",Github!C$1912), Github!B$1912)</f>
        <v>Maximum Alternating Subsequence Sum</v>
      </c>
      <c r="C1139" s="13">
        <f>Github!F$1912</f>
        <v>859</v>
      </c>
      <c r="D1139" s="13">
        <f>Github!G$1912</f>
        <v>16</v>
      </c>
      <c r="E1139" s="13">
        <f>Github!F$1912+Github!G$1912</f>
        <v>875</v>
      </c>
      <c r="F1139" s="15">
        <f t="shared" si="1"/>
        <v>53.69</v>
      </c>
      <c r="G1139" s="13" t="str">
        <f>ROUND(Github!O$1912, 2)&amp;"%"</f>
        <v>59.33%</v>
      </c>
      <c r="H1139" s="13" t="str">
        <f>Github!H$1912</f>
        <v>Algorithms</v>
      </c>
      <c r="I1139" s="16" t="str">
        <f>SUBSTITUTE(Github!L$1912, ";", ", ")</f>
        <v>Array, Dynamic Programming, </v>
      </c>
      <c r="J1139" s="13" t="str">
        <f>Github!E$1912</f>
        <v>Medium</v>
      </c>
      <c r="K1139" s="13" t="str">
        <f>IF(TRIM(Github!D$1912)="TRUE","FALSE","TRUE")</f>
        <v>TRUE</v>
      </c>
      <c r="L1139" s="13" t="b">
        <f>Github!M$1912</f>
        <v>0</v>
      </c>
      <c r="M1139" s="13" t="b">
        <f>Github!N$1912</f>
        <v>0</v>
      </c>
      <c r="N1139" s="13">
        <f>Github!P$1912</f>
        <v>22317</v>
      </c>
      <c r="O1139" s="13">
        <f>Github!Q$1912</f>
        <v>37615</v>
      </c>
    </row>
    <row r="1140">
      <c r="A1140" s="13">
        <f>Github!J$1992</f>
        <v>1991</v>
      </c>
      <c r="B1140" s="14" t="str">
        <f>HYPERLINK(CONCAT("http://leetcode.com/problems/",Github!C$1992), Github!B$1992)</f>
        <v>Find the Middle Index in Array</v>
      </c>
      <c r="C1140" s="13">
        <f>Github!F$1992</f>
        <v>877</v>
      </c>
      <c r="D1140" s="13">
        <f>Github!G$1992</f>
        <v>35</v>
      </c>
      <c r="E1140" s="13">
        <f>Github!F$1992+Github!G$1992</f>
        <v>912</v>
      </c>
      <c r="F1140" s="15">
        <f t="shared" si="1"/>
        <v>25.06</v>
      </c>
      <c r="G1140" s="13" t="str">
        <f>ROUND(Github!O$1992, 2)&amp;"%"</f>
        <v>67.33%</v>
      </c>
      <c r="H1140" s="13" t="str">
        <f>Github!H$1992</f>
        <v>Algorithms</v>
      </c>
      <c r="I1140" s="16" t="str">
        <f>SUBSTITUTE(Github!L$1992, ";", ", ")</f>
        <v>Array, Prefix Sum, </v>
      </c>
      <c r="J1140" s="13" t="str">
        <f>Github!E$1992</f>
        <v>Easy</v>
      </c>
      <c r="K1140" s="13" t="str">
        <f>IF(TRIM(Github!D$1992)="TRUE","FALSE","TRUE")</f>
        <v>TRUE</v>
      </c>
      <c r="L1140" s="13" t="b">
        <f>Github!M$1992</f>
        <v>0</v>
      </c>
      <c r="M1140" s="13" t="b">
        <f>Github!N$1992</f>
        <v>0</v>
      </c>
      <c r="N1140" s="13">
        <f>Github!P$1992</f>
        <v>51915</v>
      </c>
      <c r="O1140" s="13">
        <f>Github!Q$1992</f>
        <v>77103</v>
      </c>
    </row>
    <row r="1141">
      <c r="A1141" s="13">
        <f>Github!J$1855</f>
        <v>1854</v>
      </c>
      <c r="B1141" s="14" t="str">
        <f>HYPERLINK(CONCAT("http://leetcode.com/problems/",Github!C$1855), Github!B$1855)</f>
        <v>Maximum Population Year</v>
      </c>
      <c r="C1141" s="13">
        <f>Github!F$1855</f>
        <v>866</v>
      </c>
      <c r="D1141" s="13">
        <f>Github!G$1855</f>
        <v>138</v>
      </c>
      <c r="E1141" s="13">
        <f>Github!F$1855+Github!G$1855</f>
        <v>1004</v>
      </c>
      <c r="F1141" s="15">
        <f t="shared" si="1"/>
        <v>6.28</v>
      </c>
      <c r="G1141" s="13" t="str">
        <f>ROUND(Github!O$1855, 2)&amp;"%"</f>
        <v>59.99%</v>
      </c>
      <c r="H1141" s="13" t="str">
        <f>Github!H$1855</f>
        <v>Algorithms</v>
      </c>
      <c r="I1141" s="16" t="str">
        <f>SUBSTITUTE(Github!L$1855, ";", ", ")</f>
        <v>Array, Counting, </v>
      </c>
      <c r="J1141" s="13" t="str">
        <f>Github!E$1855</f>
        <v>Easy</v>
      </c>
      <c r="K1141" s="13" t="str">
        <f>IF(TRIM(Github!D$1855)="TRUE","FALSE","TRUE")</f>
        <v>TRUE</v>
      </c>
      <c r="L1141" s="13" t="b">
        <f>Github!M$1855</f>
        <v>0</v>
      </c>
      <c r="M1141" s="13" t="b">
        <f>Github!N$1855</f>
        <v>0</v>
      </c>
      <c r="N1141" s="13">
        <f>Github!P$1855</f>
        <v>43805</v>
      </c>
      <c r="O1141" s="13">
        <f>Github!Q$1855</f>
        <v>73021</v>
      </c>
    </row>
    <row r="1142">
      <c r="A1142" s="13">
        <f>Github!J$1828</f>
        <v>1827</v>
      </c>
      <c r="B1142" s="14" t="str">
        <f>HYPERLINK(CONCAT("http://leetcode.com/problems/",Github!C$1828), Github!B$1828)</f>
        <v>Minimum Operations to Make the Array Increasing</v>
      </c>
      <c r="C1142" s="13">
        <f>Github!F$1828</f>
        <v>861</v>
      </c>
      <c r="D1142" s="13">
        <f>Github!G$1828</f>
        <v>39</v>
      </c>
      <c r="E1142" s="13">
        <f>Github!F$1828+Github!G$1828</f>
        <v>900</v>
      </c>
      <c r="F1142" s="15">
        <f t="shared" si="1"/>
        <v>22.08</v>
      </c>
      <c r="G1142" s="13" t="str">
        <f>ROUND(Github!O$1828, 2)&amp;"%"</f>
        <v>78.36%</v>
      </c>
      <c r="H1142" s="13" t="str">
        <f>Github!H$1828</f>
        <v>Algorithms</v>
      </c>
      <c r="I1142" s="16" t="str">
        <f>SUBSTITUTE(Github!L$1828, ";", ", ")</f>
        <v>Array, Greedy, </v>
      </c>
      <c r="J1142" s="13" t="str">
        <f>Github!E$1828</f>
        <v>Easy</v>
      </c>
      <c r="K1142" s="13" t="str">
        <f>IF(TRIM(Github!D$1828)="TRUE","FALSE","TRUE")</f>
        <v>TRUE</v>
      </c>
      <c r="L1142" s="13" t="b">
        <f>Github!M$1828</f>
        <v>0</v>
      </c>
      <c r="M1142" s="13" t="b">
        <f>Github!N$1828</f>
        <v>0</v>
      </c>
      <c r="N1142" s="13">
        <f>Github!P$1828</f>
        <v>59587</v>
      </c>
      <c r="O1142" s="13">
        <f>Github!Q$1828</f>
        <v>76047</v>
      </c>
    </row>
    <row r="1143">
      <c r="A1143" s="13">
        <f>Github!J$2282</f>
        <v>2281</v>
      </c>
      <c r="B1143" s="14" t="str">
        <f>HYPERLINK(CONCAT("http://leetcode.com/problems/",Github!C$2282), Github!B$2282)</f>
        <v>Sum of Total Strength of Wizards</v>
      </c>
      <c r="C1143" s="13">
        <f>Github!F$2282</f>
        <v>857</v>
      </c>
      <c r="D1143" s="13">
        <f>Github!G$2282</f>
        <v>76</v>
      </c>
      <c r="E1143" s="13">
        <f>Github!F$2282+Github!G$2282</f>
        <v>933</v>
      </c>
      <c r="F1143" s="15">
        <f t="shared" si="1"/>
        <v>11.28</v>
      </c>
      <c r="G1143" s="13" t="str">
        <f>ROUND(Github!O$2282, 2)&amp;"%"</f>
        <v>27.78%</v>
      </c>
      <c r="H1143" s="13" t="str">
        <f>Github!H2282</f>
        <v>Algorithms</v>
      </c>
      <c r="I1143" s="16" t="str">
        <f>SUBSTITUTE(Github!L$2282, ";", ", ")</f>
        <v>Array, Stack, Monotonic Stack, Prefix Sum, </v>
      </c>
      <c r="J1143" s="13" t="str">
        <f>Github!E$2282</f>
        <v>Hard</v>
      </c>
      <c r="K1143" s="13" t="str">
        <f>IF(TRIM(Github!D$2282)="TRUE","FALSE","TRUE")</f>
        <v>TRUE</v>
      </c>
      <c r="L1143" s="13" t="b">
        <f>Github!M$2282</f>
        <v>0</v>
      </c>
      <c r="M1143" s="13" t="b">
        <f>Github!N$2282</f>
        <v>0</v>
      </c>
      <c r="N1143" s="13">
        <f>Github!P$2282</f>
        <v>12851</v>
      </c>
      <c r="O1143" s="13">
        <f>Github!Q$2282</f>
        <v>46262</v>
      </c>
    </row>
    <row r="1144">
      <c r="A1144" s="13">
        <f>Github!J$921</f>
        <v>920</v>
      </c>
      <c r="B1144" s="14" t="str">
        <f>HYPERLINK(CONCAT("http://leetcode.com/problems/",Github!C$921), Github!B$921)</f>
        <v>Number of Music Playlists</v>
      </c>
      <c r="C1144" s="13">
        <f>Github!F$921</f>
        <v>852</v>
      </c>
      <c r="D1144" s="13">
        <f>Github!G$921</f>
        <v>87</v>
      </c>
      <c r="E1144" s="13">
        <f>Github!F$921+Github!G$921</f>
        <v>939</v>
      </c>
      <c r="F1144" s="15">
        <f t="shared" si="1"/>
        <v>9.79</v>
      </c>
      <c r="G1144" s="13" t="str">
        <f>ROUND(Github!O$921, 2)&amp;"%"</f>
        <v>50.68%</v>
      </c>
      <c r="H1144" s="13" t="str">
        <f>Github!H$921</f>
        <v>Algorithms</v>
      </c>
      <c r="I1144" s="16" t="str">
        <f>SUBSTITUTE(Github!L$921, ";", ", ")</f>
        <v>Math, Dynamic Programming, Combinatorics, </v>
      </c>
      <c r="J1144" s="13" t="str">
        <f>Github!E$921</f>
        <v>Hard</v>
      </c>
      <c r="K1144" s="13" t="str">
        <f>IF(TRIM(Github!D$921)="TRUE","FALSE","TRUE")</f>
        <v>TRUE</v>
      </c>
      <c r="L1144" s="13" t="b">
        <f>Github!M$921</f>
        <v>1</v>
      </c>
      <c r="M1144" s="13" t="b">
        <f>Github!N$921</f>
        <v>0</v>
      </c>
      <c r="N1144" s="13">
        <f>Github!P$921</f>
        <v>21908</v>
      </c>
      <c r="O1144" s="13">
        <f>Github!Q$921</f>
        <v>43231</v>
      </c>
    </row>
    <row r="1145">
      <c r="A1145" s="13">
        <f>Github!J$1823</f>
        <v>1822</v>
      </c>
      <c r="B1145" s="14" t="str">
        <f>HYPERLINK(CONCAT("http://leetcode.com/problems/",Github!C$1823), Github!B$1823)</f>
        <v>Sign of the Product of an Array</v>
      </c>
      <c r="C1145" s="13">
        <f>Github!F$1823</f>
        <v>858</v>
      </c>
      <c r="D1145" s="13">
        <f>Github!G$1823</f>
        <v>112</v>
      </c>
      <c r="E1145" s="13">
        <f>Github!F$1823+Github!G$1823</f>
        <v>970</v>
      </c>
      <c r="F1145" s="15">
        <f t="shared" si="1"/>
        <v>7.66</v>
      </c>
      <c r="G1145" s="13" t="str">
        <f>ROUND(Github!O$1823, 2)&amp;"%"</f>
        <v>65.85%</v>
      </c>
      <c r="H1145" s="13" t="str">
        <f>Github!H$1823</f>
        <v>Algorithms</v>
      </c>
      <c r="I1145" s="16" t="str">
        <f>SUBSTITUTE(Github!L$1823, ";", ", ")</f>
        <v>Array, Math, </v>
      </c>
      <c r="J1145" s="13" t="str">
        <f>Github!E$1823</f>
        <v>Easy</v>
      </c>
      <c r="K1145" s="13" t="str">
        <f>IF(TRIM(Github!D$1823)="TRUE","FALSE","TRUE")</f>
        <v>TRUE</v>
      </c>
      <c r="L1145" s="13" t="b">
        <f>Github!M$1823</f>
        <v>0</v>
      </c>
      <c r="M1145" s="13" t="b">
        <f>Github!N$1823</f>
        <v>0</v>
      </c>
      <c r="N1145" s="13">
        <f>Github!P$1823</f>
        <v>148740</v>
      </c>
      <c r="O1145" s="13">
        <f>Github!Q$1823</f>
        <v>225873</v>
      </c>
    </row>
    <row r="1146">
      <c r="A1146" s="13">
        <f>Github!J$1910</f>
        <v>1909</v>
      </c>
      <c r="B1146" s="14" t="str">
        <f>HYPERLINK(CONCAT("http://leetcode.com/problems/",Github!C$1910), Github!B$1910)</f>
        <v>Remove One Element to Make the Array Strictly Increasing</v>
      </c>
      <c r="C1146" s="13">
        <f>Github!F$1910</f>
        <v>859</v>
      </c>
      <c r="D1146" s="13">
        <f>Github!G$1910</f>
        <v>262</v>
      </c>
      <c r="E1146" s="13">
        <f>Github!F$1910+Github!G$1910</f>
        <v>1121</v>
      </c>
      <c r="F1146" s="15">
        <f t="shared" si="1"/>
        <v>3.28</v>
      </c>
      <c r="G1146" s="13" t="str">
        <f>ROUND(Github!O$1910, 2)&amp;"%"</f>
        <v>26.02%</v>
      </c>
      <c r="H1146" s="13" t="str">
        <f>Github!H$1910</f>
        <v>Algorithms</v>
      </c>
      <c r="I1146" s="16" t="str">
        <f>SUBSTITUTE(Github!L$1910, ";", ", ")</f>
        <v>Array, </v>
      </c>
      <c r="J1146" s="13" t="str">
        <f>Github!E$1910</f>
        <v>Easy</v>
      </c>
      <c r="K1146" s="13" t="str">
        <f>IF(TRIM(Github!D$1910)="TRUE","FALSE","TRUE")</f>
        <v>TRUE</v>
      </c>
      <c r="L1146" s="13" t="b">
        <f>Github!M$1910</f>
        <v>0</v>
      </c>
      <c r="M1146" s="13" t="b">
        <f>Github!N$1910</f>
        <v>0</v>
      </c>
      <c r="N1146" s="13">
        <f>Github!P$1910</f>
        <v>40813</v>
      </c>
      <c r="O1146" s="13">
        <f>Github!Q$1910</f>
        <v>156852</v>
      </c>
    </row>
    <row r="1147">
      <c r="A1147" s="13">
        <f>Github!J$1728</f>
        <v>1727</v>
      </c>
      <c r="B1147" s="14" t="str">
        <f>HYPERLINK(CONCAT("http://leetcode.com/problems/",Github!C$1728), Github!B$1728)</f>
        <v>Largest Submatrix With Rearrangements</v>
      </c>
      <c r="C1147" s="13">
        <f>Github!F$1728</f>
        <v>853</v>
      </c>
      <c r="D1147" s="13">
        <f>Github!G$1728</f>
        <v>21</v>
      </c>
      <c r="E1147" s="13">
        <f>Github!F$1728+Github!G$1728</f>
        <v>874</v>
      </c>
      <c r="F1147" s="15">
        <f t="shared" si="1"/>
        <v>40.62</v>
      </c>
      <c r="G1147" s="13" t="str">
        <f>ROUND(Github!O$1728, 2)&amp;"%"</f>
        <v>61.14%</v>
      </c>
      <c r="H1147" s="13" t="str">
        <f>Github!H$1728</f>
        <v>Algorithms</v>
      </c>
      <c r="I1147" s="16" t="str">
        <f>SUBSTITUTE(Github!L$1728, ";", ", ")</f>
        <v>Array, Greedy, Sorting, Matrix, </v>
      </c>
      <c r="J1147" s="13" t="str">
        <f>Github!E$1728</f>
        <v>Medium</v>
      </c>
      <c r="K1147" s="13" t="str">
        <f>IF(TRIM(Github!D$1728)="TRUE","FALSE","TRUE")</f>
        <v>TRUE</v>
      </c>
      <c r="L1147" s="13" t="b">
        <f>Github!M$1728</f>
        <v>0</v>
      </c>
      <c r="M1147" s="13" t="b">
        <f>Github!N$1728</f>
        <v>0</v>
      </c>
      <c r="N1147" s="13">
        <f>Github!P$1728</f>
        <v>14440</v>
      </c>
      <c r="O1147" s="13">
        <f>Github!Q$1728</f>
        <v>23617</v>
      </c>
    </row>
    <row r="1148">
      <c r="A1148" s="13">
        <f>Github!J$1769</f>
        <v>1768</v>
      </c>
      <c r="B1148" s="14" t="str">
        <f>HYPERLINK(CONCAT("http://leetcode.com/problems/",Github!C$1769), Github!B$1769)</f>
        <v>Merge Strings Alternately</v>
      </c>
      <c r="C1148" s="13">
        <f>Github!F$1769</f>
        <v>856</v>
      </c>
      <c r="D1148" s="13">
        <f>Github!G$1769</f>
        <v>17</v>
      </c>
      <c r="E1148" s="13">
        <f>Github!F$1769+Github!G$1769</f>
        <v>873</v>
      </c>
      <c r="F1148" s="15">
        <f t="shared" si="1"/>
        <v>50.35</v>
      </c>
      <c r="G1148" s="13" t="str">
        <f>ROUND(Github!O$1769, 2)&amp;"%"</f>
        <v>76.47%</v>
      </c>
      <c r="H1148" s="13" t="str">
        <f>Github!H$1769</f>
        <v>Algorithms</v>
      </c>
      <c r="I1148" s="16" t="str">
        <f>SUBSTITUTE(Github!L$1769, ";", ", ")</f>
        <v>Two Pointers, String, </v>
      </c>
      <c r="J1148" s="13" t="str">
        <f>Github!E$1769</f>
        <v>Easy</v>
      </c>
      <c r="K1148" s="13" t="str">
        <f>IF(TRIM(Github!D$1769)="TRUE","FALSE","TRUE")</f>
        <v>TRUE</v>
      </c>
      <c r="L1148" s="13" t="b">
        <f>Github!M$1769</f>
        <v>0</v>
      </c>
      <c r="M1148" s="13" t="b">
        <f>Github!N$1769</f>
        <v>0</v>
      </c>
      <c r="N1148" s="13">
        <f>Github!P$1769</f>
        <v>86064</v>
      </c>
      <c r="O1148" s="13">
        <f>Github!Q$1769</f>
        <v>112539</v>
      </c>
    </row>
    <row r="1149">
      <c r="A1149" s="13">
        <f>Github!J$1829</f>
        <v>1828</v>
      </c>
      <c r="B1149" s="14" t="str">
        <f>HYPERLINK(CONCAT("http://leetcode.com/problems/",Github!C$1829), Github!B$1829)</f>
        <v>Queries on Number of Points Inside a Circle</v>
      </c>
      <c r="C1149" s="13">
        <f>Github!F$1829</f>
        <v>853</v>
      </c>
      <c r="D1149" s="13">
        <f>Github!G$1829</f>
        <v>68</v>
      </c>
      <c r="E1149" s="13">
        <f>Github!F$1829+Github!G$1829</f>
        <v>921</v>
      </c>
      <c r="F1149" s="15">
        <f t="shared" si="1"/>
        <v>12.54</v>
      </c>
      <c r="G1149" s="13" t="str">
        <f>ROUND(Github!O$1829, 2)&amp;"%"</f>
        <v>86.32%</v>
      </c>
      <c r="H1149" s="13" t="str">
        <f>Github!H$1829</f>
        <v>Algorithms</v>
      </c>
      <c r="I1149" s="16" t="str">
        <f>SUBSTITUTE(Github!L$1829, ";", ", ")</f>
        <v>Array, Math, Geometry, </v>
      </c>
      <c r="J1149" s="13" t="str">
        <f>Github!E$1829</f>
        <v>Medium</v>
      </c>
      <c r="K1149" s="13" t="str">
        <f>IF(TRIM(Github!D$1829)="TRUE","FALSE","TRUE")</f>
        <v>TRUE</v>
      </c>
      <c r="L1149" s="13" t="b">
        <f>Github!M$1829</f>
        <v>0</v>
      </c>
      <c r="M1149" s="13" t="b">
        <f>Github!N$1829</f>
        <v>0</v>
      </c>
      <c r="N1149" s="13">
        <f>Github!P$1829</f>
        <v>53991</v>
      </c>
      <c r="O1149" s="13">
        <f>Github!Q$1829</f>
        <v>62546</v>
      </c>
    </row>
    <row r="1150">
      <c r="A1150" s="13">
        <f>Github!J$594</f>
        <v>593</v>
      </c>
      <c r="B1150" s="14" t="str">
        <f>HYPERLINK(CONCAT("http://leetcode.com/problems/",Github!C$594), Github!B$594)</f>
        <v>Valid Square</v>
      </c>
      <c r="C1150" s="13">
        <f>Github!F$594</f>
        <v>848</v>
      </c>
      <c r="D1150" s="13">
        <f>Github!G$594</f>
        <v>838</v>
      </c>
      <c r="E1150" s="13">
        <f>Github!F$594+Github!G$594</f>
        <v>1686</v>
      </c>
      <c r="F1150" s="15">
        <f t="shared" si="1"/>
        <v>1.01</v>
      </c>
      <c r="G1150" s="13" t="str">
        <f>ROUND(Github!O$594, 2)&amp;"%"</f>
        <v>44.02%</v>
      </c>
      <c r="H1150" s="13" t="str">
        <f>Github!H$594</f>
        <v>Algorithms</v>
      </c>
      <c r="I1150" s="16" t="str">
        <f>SUBSTITUTE(Github!L$594, ";", ", ")</f>
        <v>Math, Geometry, </v>
      </c>
      <c r="J1150" s="13" t="str">
        <f>Github!E$594</f>
        <v>Medium</v>
      </c>
      <c r="K1150" s="13" t="str">
        <f>IF(TRIM(Github!D$594)="TRUE","FALSE","TRUE")</f>
        <v>TRUE</v>
      </c>
      <c r="L1150" s="13" t="b">
        <f>Github!M$594</f>
        <v>1</v>
      </c>
      <c r="M1150" s="13" t="b">
        <f>Github!N$594</f>
        <v>0</v>
      </c>
      <c r="N1150" s="13">
        <f>Github!P$594</f>
        <v>93676</v>
      </c>
      <c r="O1150" s="13">
        <f>Github!Q$594</f>
        <v>212791</v>
      </c>
    </row>
    <row r="1151">
      <c r="A1151" s="13">
        <f>Github!J$370</f>
        <v>369</v>
      </c>
      <c r="B1151" s="14" t="str">
        <f>HYPERLINK(CONCAT("http://leetcode.com/problems/",Github!C$370), Github!B$370)</f>
        <v>Plus One Linked List</v>
      </c>
      <c r="C1151" s="13">
        <f>Github!F$370</f>
        <v>844</v>
      </c>
      <c r="D1151" s="13">
        <f>Github!G$370</f>
        <v>42</v>
      </c>
      <c r="E1151" s="13">
        <f>Github!F$370+Github!G$370</f>
        <v>886</v>
      </c>
      <c r="F1151" s="15">
        <f t="shared" si="1"/>
        <v>20.1</v>
      </c>
      <c r="G1151" s="13" t="str">
        <f>ROUND(Github!O$370, 2)&amp;"%"</f>
        <v>60.97%</v>
      </c>
      <c r="H1151" s="13" t="str">
        <f>Github!H$370</f>
        <v>Algorithms</v>
      </c>
      <c r="I1151" s="16" t="str">
        <f>SUBSTITUTE(Github!L$370, ";", ", ")</f>
        <v>Linked List, Math, </v>
      </c>
      <c r="J1151" s="13" t="str">
        <f>Github!E$370</f>
        <v>Medium</v>
      </c>
      <c r="K1151" s="13" t="str">
        <f>IF(TRIM(Github!D$370)="TRUE","FALSE","TRUE")</f>
        <v>FALSE</v>
      </c>
      <c r="L1151" s="13" t="b">
        <f>Github!M$370</f>
        <v>1</v>
      </c>
      <c r="M1151" s="13" t="b">
        <f>Github!N$370</f>
        <v>1</v>
      </c>
      <c r="N1151" s="13">
        <f>Github!P$370</f>
        <v>72886</v>
      </c>
      <c r="O1151" s="13">
        <f>Github!Q$370</f>
        <v>119550</v>
      </c>
    </row>
    <row r="1152">
      <c r="A1152" s="13">
        <f>Github!J$1157</f>
        <v>1156</v>
      </c>
      <c r="B1152" s="14" t="str">
        <f>HYPERLINK(CONCAT("http://leetcode.com/problems/",Github!C$1157), Github!B$1157)</f>
        <v>Swap For Longest Repeated Character Substring</v>
      </c>
      <c r="C1152" s="13">
        <f>Github!F$1157</f>
        <v>844</v>
      </c>
      <c r="D1152" s="13">
        <f>Github!G$1157</f>
        <v>77</v>
      </c>
      <c r="E1152" s="13">
        <f>Github!F$1157+Github!G$1157</f>
        <v>921</v>
      </c>
      <c r="F1152" s="15">
        <f t="shared" si="1"/>
        <v>10.96</v>
      </c>
      <c r="G1152" s="13" t="str">
        <f>ROUND(Github!O$1157, 2)&amp;"%"</f>
        <v>45.35%</v>
      </c>
      <c r="H1152" s="13" t="str">
        <f>Github!H$1157</f>
        <v>Algorithms</v>
      </c>
      <c r="I1152" s="16" t="str">
        <f>SUBSTITUTE(Github!L$1157, ";", ", ")</f>
        <v>String, Sliding Window, </v>
      </c>
      <c r="J1152" s="13" t="str">
        <f>Github!E$1157</f>
        <v>Medium</v>
      </c>
      <c r="K1152" s="13" t="str">
        <f>IF(TRIM(Github!D$1157)="TRUE","FALSE","TRUE")</f>
        <v>TRUE</v>
      </c>
      <c r="L1152" s="13" t="b">
        <f>Github!M$1157</f>
        <v>0</v>
      </c>
      <c r="M1152" s="13" t="b">
        <f>Github!N$1157</f>
        <v>0</v>
      </c>
      <c r="N1152" s="13">
        <f>Github!P$1157</f>
        <v>26017</v>
      </c>
      <c r="O1152" s="13">
        <f>Github!Q$1157</f>
        <v>57368</v>
      </c>
    </row>
    <row r="1153">
      <c r="A1153" s="13">
        <f>Github!J$1560</f>
        <v>1559</v>
      </c>
      <c r="B1153" s="14" t="str">
        <f>HYPERLINK(CONCAT("http://leetcode.com/problems/",Github!C$1560), Github!B$1560)</f>
        <v>Detect Cycles in 2D Grid</v>
      </c>
      <c r="C1153" s="13">
        <f>Github!F$1560</f>
        <v>856</v>
      </c>
      <c r="D1153" s="13">
        <f>Github!G$1560</f>
        <v>23</v>
      </c>
      <c r="E1153" s="13">
        <f>Github!F$1560+Github!G$1560</f>
        <v>879</v>
      </c>
      <c r="F1153" s="15">
        <f t="shared" si="1"/>
        <v>37.22</v>
      </c>
      <c r="G1153" s="13" t="str">
        <f>ROUND(Github!O$1560, 2)&amp;"%"</f>
        <v>48.08%</v>
      </c>
      <c r="H1153" s="13" t="str">
        <f>Github!H$1560</f>
        <v>Algorithms</v>
      </c>
      <c r="I1153" s="16" t="str">
        <f>SUBSTITUTE(Github!L$1560, ";", ", ")</f>
        <v>Array, Depth-First Search, Breadth-First Search, Union Find, Matrix, </v>
      </c>
      <c r="J1153" s="13" t="str">
        <f>Github!E$1560</f>
        <v>Medium</v>
      </c>
      <c r="K1153" s="13" t="str">
        <f>IF(TRIM(Github!D$1560)="TRUE","FALSE","TRUE")</f>
        <v>TRUE</v>
      </c>
      <c r="L1153" s="13" t="b">
        <f>Github!M$1560</f>
        <v>0</v>
      </c>
      <c r="M1153" s="13" t="b">
        <f>Github!N$1560</f>
        <v>0</v>
      </c>
      <c r="N1153" s="13">
        <f>Github!P$1560</f>
        <v>30534</v>
      </c>
      <c r="O1153" s="13">
        <f>Github!Q$1560</f>
        <v>63510</v>
      </c>
    </row>
    <row r="1154">
      <c r="A1154" s="13">
        <f>Github!J$1154</f>
        <v>1153</v>
      </c>
      <c r="B1154" s="14" t="str">
        <f>HYPERLINK(CONCAT("http://leetcode.com/problems/",Github!C$1154), Github!B$1154)</f>
        <v>String Transforms Into Another String</v>
      </c>
      <c r="C1154" s="13">
        <f>Github!F$1154</f>
        <v>838</v>
      </c>
      <c r="D1154" s="13">
        <f>Github!G$1154</f>
        <v>323</v>
      </c>
      <c r="E1154" s="13">
        <f>Github!F$1154+Github!G$1154</f>
        <v>1161</v>
      </c>
      <c r="F1154" s="15">
        <f t="shared" si="1"/>
        <v>2.59</v>
      </c>
      <c r="G1154" s="13" t="str">
        <f>ROUND(Github!O$1154, 2)&amp;"%"</f>
        <v>35.32%</v>
      </c>
      <c r="H1154" s="13" t="str">
        <f>Github!H$1154</f>
        <v>Algorithms</v>
      </c>
      <c r="I1154" s="16" t="str">
        <f>SUBSTITUTE(Github!L$1154, ";", ", ")</f>
        <v>Hash Table, String, </v>
      </c>
      <c r="J1154" s="13" t="str">
        <f>Github!E$1154</f>
        <v>Hard</v>
      </c>
      <c r="K1154" s="13" t="str">
        <f>IF(TRIM(Github!D$1154)="TRUE","FALSE","TRUE")</f>
        <v>FALSE</v>
      </c>
      <c r="L1154" s="13" t="b">
        <f>Github!M$1154</f>
        <v>1</v>
      </c>
      <c r="M1154" s="13" t="b">
        <f>Github!N$1154</f>
        <v>0</v>
      </c>
      <c r="N1154" s="13">
        <f>Github!P$1154</f>
        <v>50137</v>
      </c>
      <c r="O1154" s="13">
        <f>Github!Q$1154</f>
        <v>141952</v>
      </c>
    </row>
    <row r="1155">
      <c r="A1155" s="13">
        <f>Github!J$248</f>
        <v>247</v>
      </c>
      <c r="B1155" s="14" t="str">
        <f>HYPERLINK(CONCAT("http://leetcode.com/problems/",Github!C$248), Github!B$248)</f>
        <v>Strobogrammatic Number II</v>
      </c>
      <c r="C1155" s="13">
        <f>Github!F$248</f>
        <v>838</v>
      </c>
      <c r="D1155" s="13">
        <f>Github!G$248</f>
        <v>217</v>
      </c>
      <c r="E1155" s="13">
        <f>Github!F$248+Github!G$248</f>
        <v>1055</v>
      </c>
      <c r="F1155" s="15">
        <f t="shared" si="1"/>
        <v>3.86</v>
      </c>
      <c r="G1155" s="13" t="str">
        <f>ROUND(Github!O$248, 2)&amp;"%"</f>
        <v>51.5%</v>
      </c>
      <c r="H1155" s="13" t="str">
        <f>Github!H$248</f>
        <v>Algorithms</v>
      </c>
      <c r="I1155" s="16" t="str">
        <f>SUBSTITUTE(Github!L$248, ";", ", ")</f>
        <v>Array, String, Recursion, </v>
      </c>
      <c r="J1155" s="13" t="str">
        <f>Github!E$248</f>
        <v>Medium</v>
      </c>
      <c r="K1155" s="13" t="str">
        <f>IF(TRIM(Github!D$248)="TRUE","FALSE","TRUE")</f>
        <v>FALSE</v>
      </c>
      <c r="L1155" s="13" t="b">
        <f>Github!M$248</f>
        <v>1</v>
      </c>
      <c r="M1155" s="13" t="b">
        <f>Github!N$248</f>
        <v>0</v>
      </c>
      <c r="N1155" s="13">
        <f>Github!P$248</f>
        <v>127103</v>
      </c>
      <c r="O1155" s="13">
        <f>Github!Q$248</f>
        <v>246813</v>
      </c>
    </row>
    <row r="1156">
      <c r="A1156" s="13">
        <f>Github!J$1794</f>
        <v>1793</v>
      </c>
      <c r="B1156" s="14" t="str">
        <f>HYPERLINK(CONCAT("http://leetcode.com/problems/",Github!C$1794), Github!B$1794)</f>
        <v>Maximum Score of a Good Subarray</v>
      </c>
      <c r="C1156" s="13">
        <f>Github!F$1794</f>
        <v>845</v>
      </c>
      <c r="D1156" s="13">
        <f>Github!G$1794</f>
        <v>27</v>
      </c>
      <c r="E1156" s="13">
        <f>Github!F$1794+Github!G$1794</f>
        <v>872</v>
      </c>
      <c r="F1156" s="15">
        <f t="shared" si="1"/>
        <v>31.3</v>
      </c>
      <c r="G1156" s="13" t="str">
        <f>ROUND(Github!O$1794, 2)&amp;"%"</f>
        <v>53.55%</v>
      </c>
      <c r="H1156" s="13" t="str">
        <f>Github!H$1794</f>
        <v>Algorithms</v>
      </c>
      <c r="I1156" s="16" t="str">
        <f>SUBSTITUTE(Github!L$1794, ";", ", ")</f>
        <v>Array, Two Pointers, Binary Search, Stack, Monotonic Stack, </v>
      </c>
      <c r="J1156" s="13" t="str">
        <f>Github!E$1794</f>
        <v>Hard</v>
      </c>
      <c r="K1156" s="13" t="str">
        <f>IF(TRIM(Github!D$1794)="TRUE","FALSE","TRUE")</f>
        <v>TRUE</v>
      </c>
      <c r="L1156" s="13" t="b">
        <f>Github!M$1794</f>
        <v>0</v>
      </c>
      <c r="M1156" s="13" t="b">
        <f>Github!N$1794</f>
        <v>0</v>
      </c>
      <c r="N1156" s="13">
        <f>Github!P$1794</f>
        <v>18607</v>
      </c>
      <c r="O1156" s="13">
        <f>Github!Q$1794</f>
        <v>34749</v>
      </c>
    </row>
    <row r="1157">
      <c r="A1157" s="13">
        <f>Github!J$394</f>
        <v>393</v>
      </c>
      <c r="B1157" s="14" t="str">
        <f>HYPERLINK(CONCAT("http://leetcode.com/problems/",Github!C$394), Github!B$394)</f>
        <v>UTF-8 Validation</v>
      </c>
      <c r="C1157" s="13">
        <f>Github!F$394</f>
        <v>839</v>
      </c>
      <c r="D1157" s="13">
        <f>Github!G$394</f>
        <v>2777</v>
      </c>
      <c r="E1157" s="13">
        <f>Github!F$394+Github!G$394</f>
        <v>3616</v>
      </c>
      <c r="F1157" s="15">
        <f t="shared" si="1"/>
        <v>0.3</v>
      </c>
      <c r="G1157" s="13" t="str">
        <f>ROUND(Github!O$394, 2)&amp;"%"</f>
        <v>45.14%</v>
      </c>
      <c r="H1157" s="13" t="str">
        <f>Github!H$394</f>
        <v>Algorithms</v>
      </c>
      <c r="I1157" s="16" t="str">
        <f>SUBSTITUTE(Github!L$394, ";", ", ")</f>
        <v>Array, Bit Manipulation, </v>
      </c>
      <c r="J1157" s="13" t="str">
        <f>Github!E$394</f>
        <v>Medium</v>
      </c>
      <c r="K1157" s="13" t="str">
        <f>IF(TRIM(Github!D$394)="TRUE","FALSE","TRUE")</f>
        <v>TRUE</v>
      </c>
      <c r="L1157" s="13" t="b">
        <f>Github!M$394</f>
        <v>1</v>
      </c>
      <c r="M1157" s="13" t="b">
        <f>Github!N$394</f>
        <v>0</v>
      </c>
      <c r="N1157" s="13">
        <f>Github!P$394</f>
        <v>114983</v>
      </c>
      <c r="O1157" s="13">
        <f>Github!Q$394</f>
        <v>254739</v>
      </c>
    </row>
    <row r="1158">
      <c r="A1158" s="13">
        <f>Github!J$818</f>
        <v>817</v>
      </c>
      <c r="B1158" s="14" t="str">
        <f>HYPERLINK(CONCAT("http://leetcode.com/problems/",Github!C$818), Github!B$818)</f>
        <v>Linked List Components</v>
      </c>
      <c r="C1158" s="13">
        <f>Github!F$818</f>
        <v>845</v>
      </c>
      <c r="D1158" s="13">
        <f>Github!G$818</f>
        <v>1959</v>
      </c>
      <c r="E1158" s="13">
        <f>Github!F$818+Github!G$818</f>
        <v>2804</v>
      </c>
      <c r="F1158" s="15">
        <f t="shared" si="1"/>
        <v>0.43</v>
      </c>
      <c r="G1158" s="13" t="str">
        <f>ROUND(Github!O$818, 2)&amp;"%"</f>
        <v>58%</v>
      </c>
      <c r="H1158" s="13" t="str">
        <f>Github!H$818</f>
        <v>Algorithms</v>
      </c>
      <c r="I1158" s="16" t="str">
        <f>SUBSTITUTE(Github!L$818, ";", ", ")</f>
        <v>Array, Hash Table, Linked List, </v>
      </c>
      <c r="J1158" s="13" t="str">
        <f>Github!E$818</f>
        <v>Medium</v>
      </c>
      <c r="K1158" s="13" t="str">
        <f>IF(TRIM(Github!D$818)="TRUE","FALSE","TRUE")</f>
        <v>TRUE</v>
      </c>
      <c r="L1158" s="13" t="b">
        <f>Github!M$818</f>
        <v>0</v>
      </c>
      <c r="M1158" s="13" t="b">
        <f>Github!N$818</f>
        <v>0</v>
      </c>
      <c r="N1158" s="13">
        <f>Github!P$818</f>
        <v>77462</v>
      </c>
      <c r="O1158" s="13">
        <f>Github!Q$818</f>
        <v>133558</v>
      </c>
    </row>
    <row r="1159">
      <c r="A1159" s="13">
        <f>Github!J$1415</f>
        <v>1414</v>
      </c>
      <c r="B1159" s="14" t="str">
        <f>HYPERLINK(CONCAT("http://leetcode.com/problems/",Github!C$1415), Github!B$1415)</f>
        <v>Find the Minimum Number of Fibonacci Numbers Whose Sum Is K</v>
      </c>
      <c r="C1159" s="13">
        <f>Github!F$1415</f>
        <v>836</v>
      </c>
      <c r="D1159" s="13">
        <f>Github!G$1415</f>
        <v>58</v>
      </c>
      <c r="E1159" s="13">
        <f>Github!F$1415+Github!G$1415</f>
        <v>894</v>
      </c>
      <c r="F1159" s="15">
        <f t="shared" si="1"/>
        <v>14.41</v>
      </c>
      <c r="G1159" s="13" t="str">
        <f>ROUND(Github!O$1415, 2)&amp;"%"</f>
        <v>65.52%</v>
      </c>
      <c r="H1159" s="13" t="str">
        <f>Github!H$1415</f>
        <v>Algorithms</v>
      </c>
      <c r="I1159" s="16" t="str">
        <f>SUBSTITUTE(Github!L$1415, ";", ", ")</f>
        <v>Math, Greedy, </v>
      </c>
      <c r="J1159" s="13" t="str">
        <f>Github!E$1415</f>
        <v>Medium</v>
      </c>
      <c r="K1159" s="13" t="str">
        <f>IF(TRIM(Github!D$1415)="TRUE","FALSE","TRUE")</f>
        <v>TRUE</v>
      </c>
      <c r="L1159" s="13" t="b">
        <f>Github!M$1415</f>
        <v>0</v>
      </c>
      <c r="M1159" s="13" t="b">
        <f>Github!N$1415</f>
        <v>0</v>
      </c>
      <c r="N1159" s="13">
        <f>Github!P$1415</f>
        <v>35341</v>
      </c>
      <c r="O1159" s="13">
        <f>Github!Q$1415</f>
        <v>53937</v>
      </c>
    </row>
    <row r="1160">
      <c r="A1160" s="13">
        <f>Github!J$159</f>
        <v>158</v>
      </c>
      <c r="B1160" s="14" t="str">
        <f>HYPERLINK(CONCAT("http://leetcode.com/problems/",Github!C$159), Github!B$159)</f>
        <v>Read N Characters Given read4 II - Call Multiple Times</v>
      </c>
      <c r="C1160" s="13">
        <f>Github!F$159</f>
        <v>831</v>
      </c>
      <c r="D1160" s="13">
        <f>Github!G$159</f>
        <v>1734</v>
      </c>
      <c r="E1160" s="13">
        <f>Github!F$159+Github!G$159</f>
        <v>2565</v>
      </c>
      <c r="F1160" s="15">
        <f t="shared" si="1"/>
        <v>0.48</v>
      </c>
      <c r="G1160" s="13" t="str">
        <f>ROUND(Github!O$159, 2)&amp;"%"</f>
        <v>41.49%</v>
      </c>
      <c r="H1160" s="13" t="str">
        <f>Github!H$159</f>
        <v>Algorithms</v>
      </c>
      <c r="I1160" s="16" t="str">
        <f>SUBSTITUTE(Github!L$159, ";", ", ")</f>
        <v>String, Simulation, Interactive, </v>
      </c>
      <c r="J1160" s="13" t="str">
        <f>Github!E$159</f>
        <v>Hard</v>
      </c>
      <c r="K1160" s="13" t="str">
        <f>IF(TRIM(Github!D$159)="TRUE","FALSE","TRUE")</f>
        <v>FALSE</v>
      </c>
      <c r="L1160" s="13" t="b">
        <f>Github!M$159</f>
        <v>0</v>
      </c>
      <c r="M1160" s="13" t="b">
        <f>Github!N$159</f>
        <v>0</v>
      </c>
      <c r="N1160" s="13">
        <f>Github!P$159</f>
        <v>173571</v>
      </c>
      <c r="O1160" s="13">
        <f>Github!Q$159</f>
        <v>418313</v>
      </c>
    </row>
    <row r="1161">
      <c r="A1161" s="13">
        <f>Github!J$359</f>
        <v>358</v>
      </c>
      <c r="B1161" s="14" t="str">
        <f>HYPERLINK(CONCAT("http://leetcode.com/problems/",Github!C$359), Github!B$359)</f>
        <v>Rearrange String k Distance Apart</v>
      </c>
      <c r="C1161" s="13">
        <f>Github!F$359</f>
        <v>830</v>
      </c>
      <c r="D1161" s="13">
        <f>Github!G$359</f>
        <v>36</v>
      </c>
      <c r="E1161" s="13">
        <f>Github!F$359+Github!G$359</f>
        <v>866</v>
      </c>
      <c r="F1161" s="15">
        <f t="shared" si="1"/>
        <v>23.06</v>
      </c>
      <c r="G1161" s="13" t="str">
        <f>ROUND(Github!O$359, 2)&amp;"%"</f>
        <v>37.61%</v>
      </c>
      <c r="H1161" s="13" t="str">
        <f>Github!H$359</f>
        <v>Algorithms</v>
      </c>
      <c r="I1161" s="16" t="str">
        <f>SUBSTITUTE(Github!L$359, ";", ", ")</f>
        <v>Hash Table, String, Greedy, Sorting, Heap (Priority Queue), Counting, </v>
      </c>
      <c r="J1161" s="13" t="str">
        <f>Github!E$359</f>
        <v>Hard</v>
      </c>
      <c r="K1161" s="13" t="str">
        <f>IF(TRIM(Github!D$359)="TRUE","FALSE","TRUE")</f>
        <v>FALSE</v>
      </c>
      <c r="L1161" s="13" t="b">
        <f>Github!M$359</f>
        <v>0</v>
      </c>
      <c r="M1161" s="13" t="b">
        <f>Github!N$359</f>
        <v>0</v>
      </c>
      <c r="N1161" s="13">
        <f>Github!P$359</f>
        <v>56560</v>
      </c>
      <c r="O1161" s="13">
        <f>Github!Q$359</f>
        <v>150398</v>
      </c>
    </row>
    <row r="1162">
      <c r="A1162" s="13">
        <f>Github!J$276</f>
        <v>275</v>
      </c>
      <c r="B1162" s="14" t="str">
        <f>HYPERLINK(CONCAT("http://leetcode.com/problems/",Github!C$276), Github!B$276)</f>
        <v>H-Index II</v>
      </c>
      <c r="C1162" s="13">
        <f>Github!F$276</f>
        <v>835</v>
      </c>
      <c r="D1162" s="13">
        <f>Github!G$276</f>
        <v>1201</v>
      </c>
      <c r="E1162" s="13">
        <f>Github!F$276+Github!G$276</f>
        <v>2036</v>
      </c>
      <c r="F1162" s="15">
        <f t="shared" si="1"/>
        <v>0.7</v>
      </c>
      <c r="G1162" s="13" t="str">
        <f>ROUND(Github!O$276, 2)&amp;"%"</f>
        <v>37.47%</v>
      </c>
      <c r="H1162" s="13" t="str">
        <f>Github!H$276</f>
        <v>Algorithms</v>
      </c>
      <c r="I1162" s="16" t="str">
        <f>SUBSTITUTE(Github!L$276, ";", ", ")</f>
        <v>Array, Binary Search, </v>
      </c>
      <c r="J1162" s="13" t="str">
        <f>Github!E$276</f>
        <v>Medium</v>
      </c>
      <c r="K1162" s="13" t="str">
        <f>IF(TRIM(Github!D$276)="TRUE","FALSE","TRUE")</f>
        <v>TRUE</v>
      </c>
      <c r="L1162" s="13" t="b">
        <f>Github!M$276</f>
        <v>1</v>
      </c>
      <c r="M1162" s="13" t="b">
        <f>Github!N$276</f>
        <v>0</v>
      </c>
      <c r="N1162" s="13">
        <f>Github!P$276</f>
        <v>170556</v>
      </c>
      <c r="O1162" s="13">
        <f>Github!Q$276</f>
        <v>455215</v>
      </c>
    </row>
    <row r="1163">
      <c r="A1163" s="13">
        <f>Github!J$1209</f>
        <v>1208</v>
      </c>
      <c r="B1163" s="14" t="str">
        <f>HYPERLINK(CONCAT("http://leetcode.com/problems/",Github!C$1209), Github!B$1209)</f>
        <v>Get Equal Substrings Within Budget</v>
      </c>
      <c r="C1163" s="13">
        <f>Github!F$1209</f>
        <v>843</v>
      </c>
      <c r="D1163" s="13">
        <f>Github!G$1209</f>
        <v>53</v>
      </c>
      <c r="E1163" s="13">
        <f>Github!F$1209+Github!G$1209</f>
        <v>896</v>
      </c>
      <c r="F1163" s="15">
        <f t="shared" si="1"/>
        <v>15.91</v>
      </c>
      <c r="G1163" s="13" t="str">
        <f>ROUND(Github!O$1209, 2)&amp;"%"</f>
        <v>47.98%</v>
      </c>
      <c r="H1163" s="13" t="str">
        <f>Github!H$1209</f>
        <v>Algorithms</v>
      </c>
      <c r="I1163" s="16" t="str">
        <f>SUBSTITUTE(Github!L$1209, ";", ", ")</f>
        <v>String, Binary Search, Sliding Window, Prefix Sum, </v>
      </c>
      <c r="J1163" s="13" t="str">
        <f>Github!E$1209</f>
        <v>Medium</v>
      </c>
      <c r="K1163" s="13" t="str">
        <f>IF(TRIM(Github!D$1209)="TRUE","FALSE","TRUE")</f>
        <v>TRUE</v>
      </c>
      <c r="L1163" s="13" t="b">
        <f>Github!M$1209</f>
        <v>0</v>
      </c>
      <c r="M1163" s="13" t="b">
        <f>Github!N$1209</f>
        <v>0</v>
      </c>
      <c r="N1163" s="13">
        <f>Github!P$1209</f>
        <v>34626</v>
      </c>
      <c r="O1163" s="13">
        <f>Github!Q$1209</f>
        <v>72173</v>
      </c>
    </row>
    <row r="1164">
      <c r="A1164" s="13">
        <f>Github!J$1395</f>
        <v>1394</v>
      </c>
      <c r="B1164" s="14" t="str">
        <f>HYPERLINK(CONCAT("http://leetcode.com/problems/",Github!C$1395), Github!B$1395)</f>
        <v>Find Lucky Integer in an Array</v>
      </c>
      <c r="C1164" s="13">
        <f>Github!F$1395</f>
        <v>842</v>
      </c>
      <c r="D1164" s="13">
        <f>Github!G$1395</f>
        <v>24</v>
      </c>
      <c r="E1164" s="13">
        <f>Github!F$1395+Github!G$1395</f>
        <v>866</v>
      </c>
      <c r="F1164" s="15">
        <f t="shared" si="1"/>
        <v>35.08</v>
      </c>
      <c r="G1164" s="13" t="str">
        <f>ROUND(Github!O$1395, 2)&amp;"%"</f>
        <v>63.76%</v>
      </c>
      <c r="H1164" s="13" t="str">
        <f>Github!H$1395</f>
        <v>Algorithms</v>
      </c>
      <c r="I1164" s="16" t="str">
        <f>SUBSTITUTE(Github!L$1395, ";", ", ")</f>
        <v>Array, Hash Table, Counting, </v>
      </c>
      <c r="J1164" s="13" t="str">
        <f>Github!E$1395</f>
        <v>Easy</v>
      </c>
      <c r="K1164" s="13" t="str">
        <f>IF(TRIM(Github!D$1395)="TRUE","FALSE","TRUE")</f>
        <v>TRUE</v>
      </c>
      <c r="L1164" s="13" t="b">
        <f>Github!M$1395</f>
        <v>1</v>
      </c>
      <c r="M1164" s="13" t="b">
        <f>Github!N$1395</f>
        <v>0</v>
      </c>
      <c r="N1164" s="13">
        <f>Github!P$1395</f>
        <v>84688</v>
      </c>
      <c r="O1164" s="13">
        <f>Github!Q$1395</f>
        <v>132815</v>
      </c>
    </row>
    <row r="1165">
      <c r="A1165" s="13">
        <f>Github!J$2161</f>
        <v>2160</v>
      </c>
      <c r="B1165" s="14" t="str">
        <f>HYPERLINK(CONCAT("http://leetcode.com/problems/",Github!C$2161), Github!B$2161)</f>
        <v>Minimum Sum of Four Digit Number After Splitting Digits</v>
      </c>
      <c r="C1165" s="13">
        <f>Github!F$2161</f>
        <v>850</v>
      </c>
      <c r="D1165" s="13">
        <f>Github!G$2161</f>
        <v>79</v>
      </c>
      <c r="E1165" s="13">
        <f>Github!F$2161+Github!G$2161</f>
        <v>929</v>
      </c>
      <c r="F1165" s="15">
        <f t="shared" si="1"/>
        <v>10.76</v>
      </c>
      <c r="G1165" s="13" t="str">
        <f>ROUND(Github!O$2161, 2)&amp;"%"</f>
        <v>87.68%</v>
      </c>
      <c r="H1165" s="13" t="str">
        <f>Github!H$2161</f>
        <v>Algorithms</v>
      </c>
      <c r="I1165" s="16" t="str">
        <f>SUBSTITUTE(Github!L$2161, ";", ", ")</f>
        <v>Math, Greedy, Sorting, </v>
      </c>
      <c r="J1165" s="13" t="str">
        <f>Github!E$2161</f>
        <v>Easy</v>
      </c>
      <c r="K1165" s="13" t="str">
        <f>IF(TRIM(Github!D$2161)="TRUE","FALSE","TRUE")</f>
        <v>TRUE</v>
      </c>
      <c r="L1165" s="13" t="b">
        <f>Github!M$2161</f>
        <v>0</v>
      </c>
      <c r="M1165" s="13" t="b">
        <f>Github!N$2161</f>
        <v>0</v>
      </c>
      <c r="N1165" s="13">
        <f>Github!P$2161</f>
        <v>67956</v>
      </c>
      <c r="O1165" s="13">
        <f>Github!Q$2161</f>
        <v>77501</v>
      </c>
    </row>
    <row r="1166">
      <c r="A1166" s="13">
        <f>Github!J$1232</f>
        <v>1231</v>
      </c>
      <c r="B1166" s="14" t="str">
        <f>HYPERLINK(CONCAT("http://leetcode.com/problems/",Github!C$1232), Github!B$1232)</f>
        <v>Divide Chocolate</v>
      </c>
      <c r="C1166" s="13">
        <f>Github!F$1232</f>
        <v>830</v>
      </c>
      <c r="D1166" s="13">
        <f>Github!G$1232</f>
        <v>49</v>
      </c>
      <c r="E1166" s="13">
        <f>Github!F$1232+Github!G$1232</f>
        <v>879</v>
      </c>
      <c r="F1166" s="15">
        <f t="shared" si="1"/>
        <v>16.94</v>
      </c>
      <c r="G1166" s="13" t="str">
        <f>ROUND(Github!O$1232, 2)&amp;"%"</f>
        <v>57.04%</v>
      </c>
      <c r="H1166" s="13" t="str">
        <f>Github!H$1232</f>
        <v>Algorithms</v>
      </c>
      <c r="I1166" s="16" t="str">
        <f>SUBSTITUTE(Github!L$1232, ";", ", ")</f>
        <v>Array, Binary Search, </v>
      </c>
      <c r="J1166" s="13" t="str">
        <f>Github!E$1232</f>
        <v>Hard</v>
      </c>
      <c r="K1166" s="13" t="str">
        <f>IF(TRIM(Github!D$1232)="TRUE","FALSE","TRUE")</f>
        <v>FALSE</v>
      </c>
      <c r="L1166" s="13" t="b">
        <f>Github!M$1232</f>
        <v>1</v>
      </c>
      <c r="M1166" s="13" t="b">
        <f>Github!N$1232</f>
        <v>0</v>
      </c>
      <c r="N1166" s="13">
        <f>Github!P$1232</f>
        <v>42696</v>
      </c>
      <c r="O1166" s="13">
        <f>Github!Q$1232</f>
        <v>74852</v>
      </c>
    </row>
    <row r="1167">
      <c r="A1167" s="13">
        <f>Github!J$1708</f>
        <v>1707</v>
      </c>
      <c r="B1167" s="14" t="str">
        <f>HYPERLINK(CONCAT("http://leetcode.com/problems/",Github!C$1708), Github!B$1708)</f>
        <v>Maximum XOR With an Element From Array</v>
      </c>
      <c r="C1167" s="13">
        <f>Github!F$1708</f>
        <v>839</v>
      </c>
      <c r="D1167" s="13">
        <f>Github!G$1708</f>
        <v>27</v>
      </c>
      <c r="E1167" s="13">
        <f>Github!F$1708+Github!G$1708</f>
        <v>866</v>
      </c>
      <c r="F1167" s="15">
        <f t="shared" si="1"/>
        <v>31.07</v>
      </c>
      <c r="G1167" s="13" t="str">
        <f>ROUND(Github!O$1708, 2)&amp;"%"</f>
        <v>44.51%</v>
      </c>
      <c r="H1167" s="13" t="str">
        <f>Github!H$1708</f>
        <v>Algorithms</v>
      </c>
      <c r="I1167" s="16" t="str">
        <f>SUBSTITUTE(Github!L$1708, ";", ", ")</f>
        <v>Array, Bit Manipulation, Trie, </v>
      </c>
      <c r="J1167" s="13" t="str">
        <f>Github!E$1708</f>
        <v>Hard</v>
      </c>
      <c r="K1167" s="13" t="str">
        <f>IF(TRIM(Github!D$1708)="TRUE","FALSE","TRUE")</f>
        <v>TRUE</v>
      </c>
      <c r="L1167" s="13" t="b">
        <f>Github!M$1708</f>
        <v>0</v>
      </c>
      <c r="M1167" s="13" t="b">
        <f>Github!N$1708</f>
        <v>0</v>
      </c>
      <c r="N1167" s="13">
        <f>Github!P$1708</f>
        <v>12999</v>
      </c>
      <c r="O1167" s="13">
        <f>Github!Q$1708</f>
        <v>29205</v>
      </c>
    </row>
    <row r="1168">
      <c r="A1168" s="13">
        <f>Github!J$507</f>
        <v>506</v>
      </c>
      <c r="B1168" s="14" t="str">
        <f>HYPERLINK(CONCAT("http://leetcode.com/problems/",Github!C$507), Github!B$507)</f>
        <v>Relative Ranks</v>
      </c>
      <c r="C1168" s="13">
        <f>Github!F$507</f>
        <v>849</v>
      </c>
      <c r="D1168" s="13">
        <f>Github!G$507</f>
        <v>43</v>
      </c>
      <c r="E1168" s="13">
        <f>Github!F$507+Github!G$507</f>
        <v>892</v>
      </c>
      <c r="F1168" s="15">
        <f t="shared" si="1"/>
        <v>19.74</v>
      </c>
      <c r="G1168" s="13" t="str">
        <f>ROUND(Github!O$507, 2)&amp;"%"</f>
        <v>59.52%</v>
      </c>
      <c r="H1168" s="13" t="str">
        <f>Github!H$507</f>
        <v>Algorithms</v>
      </c>
      <c r="I1168" s="16" t="str">
        <f>SUBSTITUTE(Github!L$507, ";", ", ")</f>
        <v>Array, Sorting, Heap (Priority Queue), </v>
      </c>
      <c r="J1168" s="13" t="str">
        <f>Github!E$507</f>
        <v>Easy</v>
      </c>
      <c r="K1168" s="13" t="str">
        <f>IF(TRIM(Github!D$507)="TRUE","FALSE","TRUE")</f>
        <v>TRUE</v>
      </c>
      <c r="L1168" s="13" t="b">
        <f>Github!M$507</f>
        <v>0</v>
      </c>
      <c r="M1168" s="13" t="b">
        <f>Github!N$507</f>
        <v>0</v>
      </c>
      <c r="N1168" s="13">
        <f>Github!P$507</f>
        <v>112473</v>
      </c>
      <c r="O1168" s="13">
        <f>Github!Q$507</f>
        <v>188953</v>
      </c>
    </row>
    <row r="1169">
      <c r="A1169" s="13">
        <f>Github!J$609</f>
        <v>608</v>
      </c>
      <c r="B1169" s="14" t="str">
        <f>HYPERLINK(CONCAT("http://leetcode.com/problems/",Github!C$609), Github!B$609)</f>
        <v>Tree Node</v>
      </c>
      <c r="C1169" s="13">
        <f>Github!F$609</f>
        <v>852</v>
      </c>
      <c r="D1169" s="13">
        <f>Github!G$609</f>
        <v>100</v>
      </c>
      <c r="E1169" s="13">
        <f>Github!F$609+Github!G$609</f>
        <v>952</v>
      </c>
      <c r="F1169" s="15">
        <f t="shared" si="1"/>
        <v>8.52</v>
      </c>
      <c r="G1169" s="13" t="str">
        <f>ROUND(Github!O$609, 2)&amp;"%"</f>
        <v>71.86%</v>
      </c>
      <c r="H1169" s="13" t="str">
        <f>Github!H$609</f>
        <v>Database</v>
      </c>
      <c r="I1169" s="16" t="str">
        <f>SUBSTITUTE(Github!L$609, ";", ", ")</f>
        <v>Database, </v>
      </c>
      <c r="J1169" s="13" t="str">
        <f>Github!E$609</f>
        <v>Medium</v>
      </c>
      <c r="K1169" s="13" t="str">
        <f>IF(TRIM(Github!D$609)="TRUE","FALSE","TRUE")</f>
        <v>TRUE</v>
      </c>
      <c r="L1169" s="13" t="b">
        <f>Github!M$609</f>
        <v>1</v>
      </c>
      <c r="M1169" s="13" t="b">
        <f>Github!N$609</f>
        <v>0</v>
      </c>
      <c r="N1169" s="13">
        <f>Github!P$609</f>
        <v>99740</v>
      </c>
      <c r="O1169" s="13">
        <f>Github!Q$609</f>
        <v>138800</v>
      </c>
    </row>
    <row r="1170">
      <c r="A1170" s="13">
        <f>Github!J$972</f>
        <v>971</v>
      </c>
      <c r="B1170" s="14" t="str">
        <f>HYPERLINK(CONCAT("http://leetcode.com/problems/",Github!C$972), Github!B$972)</f>
        <v>Flip Binary Tree To Match Preorder Traversal</v>
      </c>
      <c r="C1170" s="13">
        <f>Github!F$972</f>
        <v>827</v>
      </c>
      <c r="D1170" s="13">
        <f>Github!G$972</f>
        <v>256</v>
      </c>
      <c r="E1170" s="13">
        <f>Github!F$972+Github!G$972</f>
        <v>1083</v>
      </c>
      <c r="F1170" s="15">
        <f t="shared" si="1"/>
        <v>3.23</v>
      </c>
      <c r="G1170" s="13" t="str">
        <f>ROUND(Github!O$972, 2)&amp;"%"</f>
        <v>49.95%</v>
      </c>
      <c r="H1170" s="13" t="str">
        <f>Github!H$972</f>
        <v>Algorithms</v>
      </c>
      <c r="I1170" s="16" t="str">
        <f>SUBSTITUTE(Github!L$972, ";", ", ")</f>
        <v>Tree, Depth-First Search, Binary Tree, </v>
      </c>
      <c r="J1170" s="13" t="str">
        <f>Github!E$972</f>
        <v>Medium</v>
      </c>
      <c r="K1170" s="13" t="str">
        <f>IF(TRIM(Github!D$972)="TRUE","FALSE","TRUE")</f>
        <v>TRUE</v>
      </c>
      <c r="L1170" s="13" t="b">
        <f>Github!M$972</f>
        <v>1</v>
      </c>
      <c r="M1170" s="13" t="b">
        <f>Github!N$972</f>
        <v>0</v>
      </c>
      <c r="N1170" s="13">
        <f>Github!P$972</f>
        <v>37674</v>
      </c>
      <c r="O1170" s="13">
        <f>Github!Q$972</f>
        <v>75428</v>
      </c>
    </row>
    <row r="1171">
      <c r="A1171" s="13">
        <f>Github!J$1107</f>
        <v>1106</v>
      </c>
      <c r="B1171" s="14" t="str">
        <f>HYPERLINK(CONCAT("http://leetcode.com/problems/",Github!C$1107), Github!B$1107)</f>
        <v>Parsing A Boolean Expression</v>
      </c>
      <c r="C1171" s="13">
        <f>Github!F$1107</f>
        <v>830</v>
      </c>
      <c r="D1171" s="13">
        <f>Github!G$1107</f>
        <v>44</v>
      </c>
      <c r="E1171" s="13">
        <f>Github!F$1107+Github!G$1107</f>
        <v>874</v>
      </c>
      <c r="F1171" s="15">
        <f t="shared" si="1"/>
        <v>18.86</v>
      </c>
      <c r="G1171" s="13" t="str">
        <f>ROUND(Github!O$1107, 2)&amp;"%"</f>
        <v>58.56%</v>
      </c>
      <c r="H1171" s="13" t="str">
        <f>Github!H$1107</f>
        <v>Algorithms</v>
      </c>
      <c r="I1171" s="16" t="str">
        <f>SUBSTITUTE(Github!L$1107, ";", ", ")</f>
        <v>String, Stack, Recursion, </v>
      </c>
      <c r="J1171" s="13" t="str">
        <f>Github!E$1107</f>
        <v>Hard</v>
      </c>
      <c r="K1171" s="13" t="str">
        <f>IF(TRIM(Github!D$1107)="TRUE","FALSE","TRUE")</f>
        <v>TRUE</v>
      </c>
      <c r="L1171" s="13" t="b">
        <f>Github!M$1107</f>
        <v>0</v>
      </c>
      <c r="M1171" s="13" t="b">
        <f>Github!N$1107</f>
        <v>0</v>
      </c>
      <c r="N1171" s="13">
        <f>Github!P$1107</f>
        <v>21795</v>
      </c>
      <c r="O1171" s="13">
        <f>Github!Q$1107</f>
        <v>37219</v>
      </c>
    </row>
    <row r="1172">
      <c r="A1172" s="13">
        <f>Github!J$354</f>
        <v>353</v>
      </c>
      <c r="B1172" s="14" t="str">
        <f>HYPERLINK(CONCAT("http://leetcode.com/problems/",Github!C$354), Github!B$354)</f>
        <v>Design Snake Game</v>
      </c>
      <c r="C1172" s="13">
        <f>Github!F$354</f>
        <v>828</v>
      </c>
      <c r="D1172" s="13">
        <f>Github!G$354</f>
        <v>288</v>
      </c>
      <c r="E1172" s="13">
        <f>Github!F$354+Github!G$354</f>
        <v>1116</v>
      </c>
      <c r="F1172" s="15">
        <f t="shared" si="1"/>
        <v>2.88</v>
      </c>
      <c r="G1172" s="13" t="str">
        <f>ROUND(Github!O$354, 2)&amp;"%"</f>
        <v>39.15%</v>
      </c>
      <c r="H1172" s="13" t="str">
        <f>Github!H$354</f>
        <v>Algorithms</v>
      </c>
      <c r="I1172" s="16" t="str">
        <f>SUBSTITUTE(Github!L$354, ";", ", ")</f>
        <v>Array, Design, Queue, Matrix, </v>
      </c>
      <c r="J1172" s="13" t="str">
        <f>Github!E$354</f>
        <v>Medium</v>
      </c>
      <c r="K1172" s="13" t="str">
        <f>IF(TRIM(Github!D$354)="TRUE","FALSE","TRUE")</f>
        <v>FALSE</v>
      </c>
      <c r="L1172" s="13" t="b">
        <f>Github!M$354</f>
        <v>1</v>
      </c>
      <c r="M1172" s="13" t="b">
        <f>Github!N$354</f>
        <v>0</v>
      </c>
      <c r="N1172" s="13">
        <f>Github!P$354</f>
        <v>69885</v>
      </c>
      <c r="O1172" s="13">
        <f>Github!Q$354</f>
        <v>178505</v>
      </c>
    </row>
    <row r="1173">
      <c r="A1173" s="13">
        <f>Github!J$2135</f>
        <v>2134</v>
      </c>
      <c r="B1173" s="14" t="str">
        <f>HYPERLINK(CONCAT("http://leetcode.com/problems/",Github!C$2135), Github!B$2135)</f>
        <v>Minimum Swaps to Group All 1's Together II</v>
      </c>
      <c r="C1173" s="13">
        <f>Github!F$2135</f>
        <v>833</v>
      </c>
      <c r="D1173" s="13">
        <f>Github!G$2135</f>
        <v>12</v>
      </c>
      <c r="E1173" s="13">
        <f>Github!F$2135+Github!G$2135</f>
        <v>845</v>
      </c>
      <c r="F1173" s="15">
        <f t="shared" si="1"/>
        <v>69.42</v>
      </c>
      <c r="G1173" s="13" t="str">
        <f>ROUND(Github!O$2135, 2)&amp;"%"</f>
        <v>50.94%</v>
      </c>
      <c r="H1173" s="13" t="str">
        <f>Github!H$2135</f>
        <v>Algorithms</v>
      </c>
      <c r="I1173" s="16" t="str">
        <f>SUBSTITUTE(Github!L$2135, ";", ", ")</f>
        <v>Array, Sliding Window, </v>
      </c>
      <c r="J1173" s="13" t="str">
        <f>Github!E$2135</f>
        <v>Medium</v>
      </c>
      <c r="K1173" s="13" t="str">
        <f>IF(TRIM(Github!D$2135)="TRUE","FALSE","TRUE")</f>
        <v>TRUE</v>
      </c>
      <c r="L1173" s="13" t="b">
        <f>Github!M$2135</f>
        <v>0</v>
      </c>
      <c r="M1173" s="13" t="b">
        <f>Github!N$2135</f>
        <v>0</v>
      </c>
      <c r="N1173" s="13">
        <f>Github!P$2135</f>
        <v>20081</v>
      </c>
      <c r="O1173" s="13">
        <f>Github!Q$2135</f>
        <v>39423</v>
      </c>
    </row>
    <row r="1174">
      <c r="A1174" s="13">
        <f>Github!J$912</f>
        <v>911</v>
      </c>
      <c r="B1174" s="14" t="str">
        <f>HYPERLINK(CONCAT("http://leetcode.com/problems/",Github!C$912), Github!B$912)</f>
        <v>Online Election</v>
      </c>
      <c r="C1174" s="13">
        <f>Github!F$912</f>
        <v>826</v>
      </c>
      <c r="D1174" s="13">
        <f>Github!G$912</f>
        <v>581</v>
      </c>
      <c r="E1174" s="13">
        <f>Github!F$912+Github!G$912</f>
        <v>1407</v>
      </c>
      <c r="F1174" s="15">
        <f t="shared" si="1"/>
        <v>1.42</v>
      </c>
      <c r="G1174" s="13" t="str">
        <f>ROUND(Github!O$912, 2)&amp;"%"</f>
        <v>52.06%</v>
      </c>
      <c r="H1174" s="13" t="str">
        <f>Github!H$912</f>
        <v>Algorithms</v>
      </c>
      <c r="I1174" s="16" t="str">
        <f>SUBSTITUTE(Github!L$912, ";", ", ")</f>
        <v>Array, Hash Table, Binary Search, Design, </v>
      </c>
      <c r="J1174" s="13" t="str">
        <f>Github!E$912</f>
        <v>Medium</v>
      </c>
      <c r="K1174" s="13" t="str">
        <f>IF(TRIM(Github!D$912)="TRUE","FALSE","TRUE")</f>
        <v>TRUE</v>
      </c>
      <c r="L1174" s="13" t="b">
        <f>Github!M$912</f>
        <v>1</v>
      </c>
      <c r="M1174" s="13" t="b">
        <f>Github!N$912</f>
        <v>0</v>
      </c>
      <c r="N1174" s="13">
        <f>Github!P$912</f>
        <v>46776</v>
      </c>
      <c r="O1174" s="13">
        <f>Github!Q$912</f>
        <v>89857</v>
      </c>
    </row>
    <row r="1175">
      <c r="A1175" s="13">
        <f>Github!J$563</f>
        <v>562</v>
      </c>
      <c r="B1175" s="14" t="str">
        <f>HYPERLINK(CONCAT("http://leetcode.com/problems/",Github!C$563), Github!B$563)</f>
        <v>Longest Line of Consecutive One in Matrix</v>
      </c>
      <c r="C1175" s="13">
        <f>Github!F$563</f>
        <v>824</v>
      </c>
      <c r="D1175" s="13">
        <f>Github!G$563</f>
        <v>106</v>
      </c>
      <c r="E1175" s="13">
        <f>Github!F$563+Github!G$563</f>
        <v>930</v>
      </c>
      <c r="F1175" s="15">
        <f t="shared" si="1"/>
        <v>7.77</v>
      </c>
      <c r="G1175" s="13" t="str">
        <f>ROUND(Github!O$563, 2)&amp;"%"</f>
        <v>50.12%</v>
      </c>
      <c r="H1175" s="13" t="str">
        <f>Github!H$563</f>
        <v>Algorithms</v>
      </c>
      <c r="I1175" s="16" t="str">
        <f>SUBSTITUTE(Github!L$563, ";", ", ")</f>
        <v>Array, Dynamic Programming, Matrix, </v>
      </c>
      <c r="J1175" s="13" t="str">
        <f>Github!E$563</f>
        <v>Medium</v>
      </c>
      <c r="K1175" s="13" t="str">
        <f>IF(TRIM(Github!D$563)="TRUE","FALSE","TRUE")</f>
        <v>FALSE</v>
      </c>
      <c r="L1175" s="13" t="b">
        <f>Github!M$563</f>
        <v>1</v>
      </c>
      <c r="M1175" s="13" t="b">
        <f>Github!N$563</f>
        <v>0</v>
      </c>
      <c r="N1175" s="13">
        <f>Github!P$563</f>
        <v>70441</v>
      </c>
      <c r="O1175" s="13">
        <f>Github!Q$563</f>
        <v>140544</v>
      </c>
    </row>
    <row r="1176">
      <c r="A1176" s="13">
        <f>Github!J$1744</f>
        <v>1743</v>
      </c>
      <c r="B1176" s="14" t="str">
        <f>HYPERLINK(CONCAT("http://leetcode.com/problems/",Github!C$1744), Github!B$1744)</f>
        <v>Restore the Array From Adjacent Pairs</v>
      </c>
      <c r="C1176" s="13">
        <f>Github!F$1744</f>
        <v>827</v>
      </c>
      <c r="D1176" s="13">
        <f>Github!G$1744</f>
        <v>16</v>
      </c>
      <c r="E1176" s="13">
        <f>Github!F$1744+Github!G$1744</f>
        <v>843</v>
      </c>
      <c r="F1176" s="15">
        <f t="shared" si="1"/>
        <v>51.69</v>
      </c>
      <c r="G1176" s="13" t="str">
        <f>ROUND(Github!O$1744, 2)&amp;"%"</f>
        <v>68.67%</v>
      </c>
      <c r="H1176" s="13" t="str">
        <f>Github!H$1744</f>
        <v>Algorithms</v>
      </c>
      <c r="I1176" s="16" t="str">
        <f>SUBSTITUTE(Github!L$1744, ";", ", ")</f>
        <v>Array, Hash Table, </v>
      </c>
      <c r="J1176" s="13" t="str">
        <f>Github!E$1744</f>
        <v>Medium</v>
      </c>
      <c r="K1176" s="13" t="str">
        <f>IF(TRIM(Github!D$1744)="TRUE","FALSE","TRUE")</f>
        <v>TRUE</v>
      </c>
      <c r="L1176" s="13" t="b">
        <f>Github!M$1744</f>
        <v>0</v>
      </c>
      <c r="M1176" s="13" t="b">
        <f>Github!N$1744</f>
        <v>0</v>
      </c>
      <c r="N1176" s="13">
        <f>Github!P$1744</f>
        <v>32326</v>
      </c>
      <c r="O1176" s="13">
        <f>Github!Q$1744</f>
        <v>47074</v>
      </c>
    </row>
    <row r="1177">
      <c r="A1177" s="13">
        <f>Github!J$703</f>
        <v>702</v>
      </c>
      <c r="B1177" s="14" t="str">
        <f>HYPERLINK(CONCAT("http://leetcode.com/problems/",Github!C$703), Github!B$703)</f>
        <v>Search in a Sorted Array of Unknown Size</v>
      </c>
      <c r="C1177" s="13">
        <f>Github!F$703</f>
        <v>817</v>
      </c>
      <c r="D1177" s="13">
        <f>Github!G$703</f>
        <v>44</v>
      </c>
      <c r="E1177" s="13">
        <f>Github!F$703+Github!G$703</f>
        <v>861</v>
      </c>
      <c r="F1177" s="15">
        <f t="shared" si="1"/>
        <v>18.57</v>
      </c>
      <c r="G1177" s="13" t="str">
        <f>ROUND(Github!O$703, 2)&amp;"%"</f>
        <v>71.39%</v>
      </c>
      <c r="H1177" s="13" t="str">
        <f>Github!H$703</f>
        <v>Algorithms</v>
      </c>
      <c r="I1177" s="16" t="str">
        <f>SUBSTITUTE(Github!L$703, ";", ", ")</f>
        <v>Array, Binary Search, Interactive, </v>
      </c>
      <c r="J1177" s="13" t="str">
        <f>Github!E$703</f>
        <v>Medium</v>
      </c>
      <c r="K1177" s="13" t="str">
        <f>IF(TRIM(Github!D$703)="TRUE","FALSE","TRUE")</f>
        <v>FALSE</v>
      </c>
      <c r="L1177" s="13" t="b">
        <f>Github!M$703</f>
        <v>1</v>
      </c>
      <c r="M1177" s="13" t="b">
        <f>Github!N$703</f>
        <v>0</v>
      </c>
      <c r="N1177" s="13">
        <f>Github!P$703</f>
        <v>83594</v>
      </c>
      <c r="O1177" s="13">
        <f>Github!Q$703</f>
        <v>117088</v>
      </c>
    </row>
    <row r="1178">
      <c r="A1178" s="13">
        <f>Github!J$1554</f>
        <v>1553</v>
      </c>
      <c r="B1178" s="14" t="str">
        <f>HYPERLINK(CONCAT("http://leetcode.com/problems/",Github!C$1554), Github!B$1554)</f>
        <v>Minimum Number of Days to Eat N Oranges</v>
      </c>
      <c r="C1178" s="13">
        <f>Github!F$1554</f>
        <v>818</v>
      </c>
      <c r="D1178" s="13">
        <f>Github!G$1554</f>
        <v>51</v>
      </c>
      <c r="E1178" s="13">
        <f>Github!F$1554+Github!G$1554</f>
        <v>869</v>
      </c>
      <c r="F1178" s="15">
        <f t="shared" si="1"/>
        <v>16.04</v>
      </c>
      <c r="G1178" s="13" t="str">
        <f>ROUND(Github!O$1554, 2)&amp;"%"</f>
        <v>34.68%</v>
      </c>
      <c r="H1178" s="13" t="str">
        <f>Github!H$1554</f>
        <v>Algorithms</v>
      </c>
      <c r="I1178" s="16" t="str">
        <f>SUBSTITUTE(Github!L$1554, ";", ", ")</f>
        <v>Dynamic Programming, Memoization, </v>
      </c>
      <c r="J1178" s="13" t="str">
        <f>Github!E$1554</f>
        <v>Hard</v>
      </c>
      <c r="K1178" s="13" t="str">
        <f>IF(TRIM(Github!D$1554)="TRUE","FALSE","TRUE")</f>
        <v>TRUE</v>
      </c>
      <c r="L1178" s="13" t="b">
        <f>Github!M$1554</f>
        <v>0</v>
      </c>
      <c r="M1178" s="13" t="b">
        <f>Github!N$1554</f>
        <v>0</v>
      </c>
      <c r="N1178" s="13">
        <f>Github!P$1554</f>
        <v>28097</v>
      </c>
      <c r="O1178" s="13">
        <f>Github!Q$1554</f>
        <v>81024</v>
      </c>
    </row>
    <row r="1179">
      <c r="A1179" s="13">
        <f>Github!J$66</f>
        <v>65</v>
      </c>
      <c r="B1179" s="14" t="str">
        <f>HYPERLINK(CONCAT("http://leetcode.com/problems/",Github!C$66), Github!B$66)</f>
        <v>Valid Number</v>
      </c>
      <c r="C1179" s="13">
        <f>Github!F$66</f>
        <v>826</v>
      </c>
      <c r="D1179" s="13">
        <f>Github!G$66</f>
        <v>1424</v>
      </c>
      <c r="E1179" s="13">
        <f>Github!F$66+Github!G$66</f>
        <v>2250</v>
      </c>
      <c r="F1179" s="15">
        <f t="shared" si="1"/>
        <v>0.58</v>
      </c>
      <c r="G1179" s="13" t="str">
        <f>ROUND(Github!O$66, 2)&amp;"%"</f>
        <v>18.64%</v>
      </c>
      <c r="H1179" s="13" t="str">
        <f>Github!H$66</f>
        <v>Algorithms</v>
      </c>
      <c r="I1179" s="16" t="str">
        <f>SUBSTITUTE(Github!L$66, ";", ", ")</f>
        <v>String, </v>
      </c>
      <c r="J1179" s="13" t="str">
        <f>Github!E$66</f>
        <v>Hard</v>
      </c>
      <c r="K1179" s="13" t="str">
        <f>IF(TRIM(Github!D$66)="TRUE","FALSE","TRUE")</f>
        <v>TRUE</v>
      </c>
      <c r="L1179" s="13" t="b">
        <f>Github!M$66</f>
        <v>1</v>
      </c>
      <c r="M1179" s="13" t="b">
        <f>Github!N$66</f>
        <v>0</v>
      </c>
      <c r="N1179" s="13">
        <f>Github!P$66</f>
        <v>296047</v>
      </c>
      <c r="O1179" s="13">
        <f>Github!Q$66</f>
        <v>1588568</v>
      </c>
    </row>
    <row r="1180">
      <c r="A1180" s="13">
        <f>Github!J$957</f>
        <v>956</v>
      </c>
      <c r="B1180" s="14" t="str">
        <f>HYPERLINK(CONCAT("http://leetcode.com/problems/",Github!C$957), Github!B$957)</f>
        <v>Tallest Billboard</v>
      </c>
      <c r="C1180" s="13">
        <f>Github!F$957</f>
        <v>815</v>
      </c>
      <c r="D1180" s="13">
        <f>Github!G$957</f>
        <v>28</v>
      </c>
      <c r="E1180" s="13">
        <f>Github!F$957+Github!G$957</f>
        <v>843</v>
      </c>
      <c r="F1180" s="15">
        <f t="shared" si="1"/>
        <v>29.11</v>
      </c>
      <c r="G1180" s="13" t="str">
        <f>ROUND(Github!O$957, 2)&amp;"%"</f>
        <v>40.01%</v>
      </c>
      <c r="H1180" s="13" t="str">
        <f>Github!H$957</f>
        <v>Algorithms</v>
      </c>
      <c r="I1180" s="16" t="str">
        <f>SUBSTITUTE(Github!L$957, ";", ", ")</f>
        <v>Array, Dynamic Programming, </v>
      </c>
      <c r="J1180" s="13" t="str">
        <f>Github!E$957</f>
        <v>Hard</v>
      </c>
      <c r="K1180" s="13" t="str">
        <f>IF(TRIM(Github!D$957)="TRUE","FALSE","TRUE")</f>
        <v>TRUE</v>
      </c>
      <c r="L1180" s="13" t="b">
        <f>Github!M$957</f>
        <v>0</v>
      </c>
      <c r="M1180" s="13" t="b">
        <f>Github!N$957</f>
        <v>0</v>
      </c>
      <c r="N1180" s="13">
        <f>Github!P$957</f>
        <v>15291</v>
      </c>
      <c r="O1180" s="13">
        <f>Github!Q$957</f>
        <v>38215</v>
      </c>
    </row>
    <row r="1181">
      <c r="A1181" s="13">
        <f>Github!J$1825</f>
        <v>1824</v>
      </c>
      <c r="B1181" s="14" t="str">
        <f>HYPERLINK(CONCAT("http://leetcode.com/problems/",Github!C$1825), Github!B$1825)</f>
        <v>Minimum Sideway Jumps</v>
      </c>
      <c r="C1181" s="13">
        <f>Github!F$1825</f>
        <v>815</v>
      </c>
      <c r="D1181" s="13">
        <f>Github!G$1825</f>
        <v>35</v>
      </c>
      <c r="E1181" s="13">
        <f>Github!F$1825+Github!G$1825</f>
        <v>850</v>
      </c>
      <c r="F1181" s="15">
        <f t="shared" si="1"/>
        <v>23.29</v>
      </c>
      <c r="G1181" s="13" t="str">
        <f>ROUND(Github!O$1825, 2)&amp;"%"</f>
        <v>49.37%</v>
      </c>
      <c r="H1181" s="13" t="str">
        <f>Github!H$1825</f>
        <v>Algorithms</v>
      </c>
      <c r="I1181" s="16" t="str">
        <f>SUBSTITUTE(Github!L$1825, ";", ", ")</f>
        <v>Array, Dynamic Programming, Greedy, </v>
      </c>
      <c r="J1181" s="13" t="str">
        <f>Github!E$1825</f>
        <v>Medium</v>
      </c>
      <c r="K1181" s="13" t="str">
        <f>IF(TRIM(Github!D$1825)="TRUE","FALSE","TRUE")</f>
        <v>TRUE</v>
      </c>
      <c r="L1181" s="13" t="b">
        <f>Github!M$1825</f>
        <v>0</v>
      </c>
      <c r="M1181" s="13" t="b">
        <f>Github!N$1825</f>
        <v>0</v>
      </c>
      <c r="N1181" s="13">
        <f>Github!P$1825</f>
        <v>24382</v>
      </c>
      <c r="O1181" s="13">
        <f>Github!Q$1825</f>
        <v>49390</v>
      </c>
    </row>
    <row r="1182">
      <c r="A1182" s="13">
        <f>Github!J$511</f>
        <v>510</v>
      </c>
      <c r="B1182" s="14" t="str">
        <f>HYPERLINK(CONCAT("http://leetcode.com/problems/",Github!C$511), Github!B$511)</f>
        <v>Inorder Successor in BST II</v>
      </c>
      <c r="C1182" s="13">
        <f>Github!F$511</f>
        <v>809</v>
      </c>
      <c r="D1182" s="13">
        <f>Github!G$511</f>
        <v>39</v>
      </c>
      <c r="E1182" s="13">
        <f>Github!F$511+Github!G$511</f>
        <v>848</v>
      </c>
      <c r="F1182" s="15">
        <f t="shared" si="1"/>
        <v>20.74</v>
      </c>
      <c r="G1182" s="13" t="str">
        <f>ROUND(Github!O$511, 2)&amp;"%"</f>
        <v>61.08%</v>
      </c>
      <c r="H1182" s="13" t="str">
        <f>Github!H$511</f>
        <v>Algorithms</v>
      </c>
      <c r="I1182" s="16" t="str">
        <f>SUBSTITUTE(Github!L$511, ";", ", ")</f>
        <v>Tree, Binary Search Tree, Binary Tree, </v>
      </c>
      <c r="J1182" s="13" t="str">
        <f>Github!E$511</f>
        <v>Medium</v>
      </c>
      <c r="K1182" s="13" t="str">
        <f>IF(TRIM(Github!D$511)="TRUE","FALSE","TRUE")</f>
        <v>FALSE</v>
      </c>
      <c r="L1182" s="13" t="b">
        <f>Github!M$511</f>
        <v>1</v>
      </c>
      <c r="M1182" s="13" t="b">
        <f>Github!N$511</f>
        <v>0</v>
      </c>
      <c r="N1182" s="13">
        <f>Github!P$511</f>
        <v>59210</v>
      </c>
      <c r="O1182" s="13">
        <f>Github!Q$511</f>
        <v>96934</v>
      </c>
    </row>
    <row r="1183">
      <c r="A1183" s="13">
        <f>Github!J$997</f>
        <v>996</v>
      </c>
      <c r="B1183" s="14" t="str">
        <f>HYPERLINK(CONCAT("http://leetcode.com/problems/",Github!C$997), Github!B$997)</f>
        <v>Number of Squareful Arrays</v>
      </c>
      <c r="C1183" s="13">
        <f>Github!F$997</f>
        <v>810</v>
      </c>
      <c r="D1183" s="13">
        <f>Github!G$997</f>
        <v>34</v>
      </c>
      <c r="E1183" s="13">
        <f>Github!F$997+Github!G$997</f>
        <v>844</v>
      </c>
      <c r="F1183" s="15">
        <f t="shared" si="1"/>
        <v>23.82</v>
      </c>
      <c r="G1183" s="13" t="str">
        <f>ROUND(Github!O$997, 2)&amp;"%"</f>
        <v>49.23%</v>
      </c>
      <c r="H1183" s="13" t="str">
        <f>Github!H$997</f>
        <v>Algorithms</v>
      </c>
      <c r="I1183" s="16" t="str">
        <f>SUBSTITUTE(Github!L$997, ";", ", ")</f>
        <v>Array, Math, Dynamic Programming, Backtracking, Bit Manipulation, Bitmask, </v>
      </c>
      <c r="J1183" s="13" t="str">
        <f>Github!E$997</f>
        <v>Hard</v>
      </c>
      <c r="K1183" s="13" t="str">
        <f>IF(TRIM(Github!D$997)="TRUE","FALSE","TRUE")</f>
        <v>TRUE</v>
      </c>
      <c r="L1183" s="13" t="b">
        <f>Github!M$997</f>
        <v>0</v>
      </c>
      <c r="M1183" s="13" t="b">
        <f>Github!N$997</f>
        <v>0</v>
      </c>
      <c r="N1183" s="13">
        <f>Github!P$997</f>
        <v>29543</v>
      </c>
      <c r="O1183" s="13">
        <f>Github!Q$997</f>
        <v>60008</v>
      </c>
    </row>
    <row r="1184">
      <c r="A1184" s="13">
        <f>Github!J$1224</f>
        <v>1223</v>
      </c>
      <c r="B1184" s="14" t="str">
        <f>HYPERLINK(CONCAT("http://leetcode.com/problems/",Github!C$1224), Github!B$1224)</f>
        <v>Dice Roll Simulation</v>
      </c>
      <c r="C1184" s="13">
        <f>Github!F$1224</f>
        <v>809</v>
      </c>
      <c r="D1184" s="13">
        <f>Github!G$1224</f>
        <v>183</v>
      </c>
      <c r="E1184" s="13">
        <f>Github!F$1224+Github!G$1224</f>
        <v>992</v>
      </c>
      <c r="F1184" s="15">
        <f t="shared" si="1"/>
        <v>4.42</v>
      </c>
      <c r="G1184" s="13" t="str">
        <f>ROUND(Github!O$1224, 2)&amp;"%"</f>
        <v>48.55%</v>
      </c>
      <c r="H1184" s="13" t="str">
        <f>Github!H$1224</f>
        <v>Algorithms</v>
      </c>
      <c r="I1184" s="16" t="str">
        <f>SUBSTITUTE(Github!L$1224, ";", ", ")</f>
        <v>Array, Dynamic Programming, </v>
      </c>
      <c r="J1184" s="13" t="str">
        <f>Github!E$1224</f>
        <v>Hard</v>
      </c>
      <c r="K1184" s="13" t="str">
        <f>IF(TRIM(Github!D$1224)="TRUE","FALSE","TRUE")</f>
        <v>TRUE</v>
      </c>
      <c r="L1184" s="13" t="b">
        <f>Github!M$1224</f>
        <v>0</v>
      </c>
      <c r="M1184" s="13" t="b">
        <f>Github!N$1224</f>
        <v>0</v>
      </c>
      <c r="N1184" s="13">
        <f>Github!P$1224</f>
        <v>24651</v>
      </c>
      <c r="O1184" s="13">
        <f>Github!Q$1224</f>
        <v>50776</v>
      </c>
    </row>
    <row r="1185">
      <c r="A1185" s="13">
        <f>Github!J$292</f>
        <v>291</v>
      </c>
      <c r="B1185" s="14" t="str">
        <f>HYPERLINK(CONCAT("http://leetcode.com/problems/",Github!C$292), Github!B$292)</f>
        <v>Word Pattern II</v>
      </c>
      <c r="C1185" s="13">
        <f>Github!F$292</f>
        <v>813</v>
      </c>
      <c r="D1185" s="13">
        <f>Github!G$292</f>
        <v>64</v>
      </c>
      <c r="E1185" s="13">
        <f>Github!F$292+Github!G$292</f>
        <v>877</v>
      </c>
      <c r="F1185" s="15">
        <f t="shared" si="1"/>
        <v>12.7</v>
      </c>
      <c r="G1185" s="13" t="str">
        <f>ROUND(Github!O$292, 2)&amp;"%"</f>
        <v>46.97%</v>
      </c>
      <c r="H1185" s="13" t="str">
        <f>Github!H$292</f>
        <v>Algorithms</v>
      </c>
      <c r="I1185" s="16" t="str">
        <f>SUBSTITUTE(Github!L$292, ";", ", ")</f>
        <v>Hash Table, String, Backtracking, </v>
      </c>
      <c r="J1185" s="13" t="str">
        <f>Github!E$292</f>
        <v>Medium</v>
      </c>
      <c r="K1185" s="13" t="str">
        <f>IF(TRIM(Github!D$292)="TRUE","FALSE","TRUE")</f>
        <v>FALSE</v>
      </c>
      <c r="L1185" s="13" t="b">
        <f>Github!M$292</f>
        <v>0</v>
      </c>
      <c r="M1185" s="13" t="b">
        <f>Github!N$292</f>
        <v>0</v>
      </c>
      <c r="N1185" s="13">
        <f>Github!P$292</f>
        <v>66007</v>
      </c>
      <c r="O1185" s="13">
        <f>Github!Q$292</f>
        <v>140523</v>
      </c>
    </row>
    <row r="1186">
      <c r="A1186" s="13">
        <f>Github!J$2100</f>
        <v>2099</v>
      </c>
      <c r="B1186" s="14" t="str">
        <f>HYPERLINK(CONCAT("http://leetcode.com/problems/",Github!C$2100), Github!B$2100)</f>
        <v>Find Subsequence of Length K With the Largest Sum</v>
      </c>
      <c r="C1186" s="13">
        <f>Github!F$2100</f>
        <v>823</v>
      </c>
      <c r="D1186" s="13">
        <f>Github!G$2100</f>
        <v>79</v>
      </c>
      <c r="E1186" s="13">
        <f>Github!F$2100+Github!G$2100</f>
        <v>902</v>
      </c>
      <c r="F1186" s="15">
        <f t="shared" si="1"/>
        <v>10.42</v>
      </c>
      <c r="G1186" s="13" t="str">
        <f>ROUND(Github!O$2100, 2)&amp;"%"</f>
        <v>42.73%</v>
      </c>
      <c r="H1186" s="13" t="str">
        <f>Github!H$2100</f>
        <v>Algorithms</v>
      </c>
      <c r="I1186" s="16" t="str">
        <f>SUBSTITUTE(Github!L$2100, ";", ", ")</f>
        <v>Array, Hash Table, Sorting, Heap (Priority Queue), </v>
      </c>
      <c r="J1186" s="13" t="str">
        <f>Github!E$2100</f>
        <v>Easy</v>
      </c>
      <c r="K1186" s="13" t="str">
        <f>IF(TRIM(Github!D$2100)="TRUE","FALSE","TRUE")</f>
        <v>TRUE</v>
      </c>
      <c r="L1186" s="13" t="b">
        <f>Github!M$2100</f>
        <v>0</v>
      </c>
      <c r="M1186" s="13" t="b">
        <f>Github!N$2100</f>
        <v>0</v>
      </c>
      <c r="N1186" s="13">
        <f>Github!P$2100</f>
        <v>29220</v>
      </c>
      <c r="O1186" s="13">
        <f>Github!Q$2100</f>
        <v>68382</v>
      </c>
    </row>
    <row r="1187">
      <c r="A1187" s="13">
        <f>Github!J$1691</f>
        <v>1690</v>
      </c>
      <c r="B1187" s="14" t="str">
        <f>HYPERLINK(CONCAT("http://leetcode.com/problems/",Github!C$1691), Github!B$1691)</f>
        <v>Stone Game VII</v>
      </c>
      <c r="C1187" s="13">
        <f>Github!F$1691</f>
        <v>811</v>
      </c>
      <c r="D1187" s="13">
        <f>Github!G$1691</f>
        <v>139</v>
      </c>
      <c r="E1187" s="13">
        <f>Github!F$1691+Github!G$1691</f>
        <v>950</v>
      </c>
      <c r="F1187" s="15">
        <f t="shared" si="1"/>
        <v>5.83</v>
      </c>
      <c r="G1187" s="13" t="str">
        <f>ROUND(Github!O$1691, 2)&amp;"%"</f>
        <v>58.38%</v>
      </c>
      <c r="H1187" s="13" t="str">
        <f>Github!H$1691</f>
        <v>Algorithms</v>
      </c>
      <c r="I1187" s="16" t="str">
        <f>SUBSTITUTE(Github!L$1691, ";", ", ")</f>
        <v>Array, Math, Dynamic Programming, Game Theory, </v>
      </c>
      <c r="J1187" s="13" t="str">
        <f>Github!E$1691</f>
        <v>Medium</v>
      </c>
      <c r="K1187" s="13" t="str">
        <f>IF(TRIM(Github!D$1691)="TRUE","FALSE","TRUE")</f>
        <v>TRUE</v>
      </c>
      <c r="L1187" s="13" t="b">
        <f>Github!M$1691</f>
        <v>1</v>
      </c>
      <c r="M1187" s="13" t="b">
        <f>Github!N$1691</f>
        <v>0</v>
      </c>
      <c r="N1187" s="13">
        <f>Github!P$1691</f>
        <v>29413</v>
      </c>
      <c r="O1187" s="13">
        <f>Github!Q$1691</f>
        <v>50384</v>
      </c>
    </row>
    <row r="1188">
      <c r="A1188" s="13">
        <f>Github!J$743</f>
        <v>742</v>
      </c>
      <c r="B1188" s="14" t="str">
        <f>HYPERLINK(CONCAT("http://leetcode.com/problems/",Github!C$743), Github!B$743)</f>
        <v>Closest Leaf in a Binary Tree</v>
      </c>
      <c r="C1188" s="13">
        <f>Github!F$743</f>
        <v>804</v>
      </c>
      <c r="D1188" s="13">
        <f>Github!G$743</f>
        <v>162</v>
      </c>
      <c r="E1188" s="13">
        <f>Github!F$743+Github!G$743</f>
        <v>966</v>
      </c>
      <c r="F1188" s="15">
        <f t="shared" si="1"/>
        <v>4.96</v>
      </c>
      <c r="G1188" s="13" t="str">
        <f>ROUND(Github!O$743, 2)&amp;"%"</f>
        <v>45.87%</v>
      </c>
      <c r="H1188" s="13" t="str">
        <f>Github!H$743</f>
        <v>Algorithms</v>
      </c>
      <c r="I1188" s="16" t="str">
        <f>SUBSTITUTE(Github!L$743, ";", ", ")</f>
        <v>Tree, Depth-First Search, Breadth-First Search, Binary Tree, </v>
      </c>
      <c r="J1188" s="13" t="str">
        <f>Github!E$743</f>
        <v>Medium</v>
      </c>
      <c r="K1188" s="13" t="str">
        <f>IF(TRIM(Github!D$743)="TRUE","FALSE","TRUE")</f>
        <v>FALSE</v>
      </c>
      <c r="L1188" s="13" t="b">
        <f>Github!M$743</f>
        <v>1</v>
      </c>
      <c r="M1188" s="13" t="b">
        <f>Github!N$743</f>
        <v>0</v>
      </c>
      <c r="N1188" s="13">
        <f>Github!P$743</f>
        <v>41249</v>
      </c>
      <c r="O1188" s="13">
        <f>Github!Q$743</f>
        <v>89917</v>
      </c>
    </row>
    <row r="1189">
      <c r="A1189" s="13">
        <f>Github!J$1542</f>
        <v>1541</v>
      </c>
      <c r="B1189" s="14" t="str">
        <f>HYPERLINK(CONCAT("http://leetcode.com/problems/",Github!C$1542), Github!B$1542)</f>
        <v>Minimum Insertions to Balance a Parentheses String</v>
      </c>
      <c r="C1189" s="13">
        <f>Github!F$1542</f>
        <v>805</v>
      </c>
      <c r="D1189" s="13">
        <f>Github!G$1542</f>
        <v>180</v>
      </c>
      <c r="E1189" s="13">
        <f>Github!F$1542+Github!G$1542</f>
        <v>985</v>
      </c>
      <c r="F1189" s="15">
        <f t="shared" si="1"/>
        <v>4.47</v>
      </c>
      <c r="G1189" s="13" t="str">
        <f>ROUND(Github!O$1542, 2)&amp;"%"</f>
        <v>49.84%</v>
      </c>
      <c r="H1189" s="13" t="str">
        <f>Github!H$1542</f>
        <v>Algorithms</v>
      </c>
      <c r="I1189" s="16" t="str">
        <f>SUBSTITUTE(Github!L$1542, ";", ", ")</f>
        <v>String, Stack, Greedy, </v>
      </c>
      <c r="J1189" s="13" t="str">
        <f>Github!E$1542</f>
        <v>Medium</v>
      </c>
      <c r="K1189" s="13" t="str">
        <f>IF(TRIM(Github!D$1542)="TRUE","FALSE","TRUE")</f>
        <v>TRUE</v>
      </c>
      <c r="L1189" s="13" t="b">
        <f>Github!M$1542</f>
        <v>0</v>
      </c>
      <c r="M1189" s="13" t="b">
        <f>Github!N$1542</f>
        <v>0</v>
      </c>
      <c r="N1189" s="13">
        <f>Github!P$1542</f>
        <v>36687</v>
      </c>
      <c r="O1189" s="13">
        <f>Github!Q$1542</f>
        <v>73606</v>
      </c>
    </row>
    <row r="1190">
      <c r="A1190" s="13">
        <f>Github!J$1230</f>
        <v>1229</v>
      </c>
      <c r="B1190" s="14" t="str">
        <f>HYPERLINK(CONCAT("http://leetcode.com/problems/",Github!C$1230), Github!B$1230)</f>
        <v>Meeting Scheduler</v>
      </c>
      <c r="C1190" s="13">
        <f>Github!F$1230</f>
        <v>805</v>
      </c>
      <c r="D1190" s="13">
        <f>Github!G$1230</f>
        <v>30</v>
      </c>
      <c r="E1190" s="13">
        <f>Github!F$1230+Github!G$1230</f>
        <v>835</v>
      </c>
      <c r="F1190" s="15">
        <f t="shared" si="1"/>
        <v>26.83</v>
      </c>
      <c r="G1190" s="13" t="str">
        <f>ROUND(Github!O$1230, 2)&amp;"%"</f>
        <v>55.28%</v>
      </c>
      <c r="H1190" s="13" t="str">
        <f>Github!H$1230</f>
        <v>Algorithms</v>
      </c>
      <c r="I1190" s="16" t="str">
        <f>SUBSTITUTE(Github!L$1230, ";", ", ")</f>
        <v>Array, Two Pointers, Sorting, </v>
      </c>
      <c r="J1190" s="13" t="str">
        <f>Github!E$1230</f>
        <v>Medium</v>
      </c>
      <c r="K1190" s="13" t="str">
        <f>IF(TRIM(Github!D$1230)="TRUE","FALSE","TRUE")</f>
        <v>FALSE</v>
      </c>
      <c r="L1190" s="13" t="b">
        <f>Github!M$1230</f>
        <v>1</v>
      </c>
      <c r="M1190" s="13" t="b">
        <f>Github!N$1230</f>
        <v>0</v>
      </c>
      <c r="N1190" s="13">
        <f>Github!P$1230</f>
        <v>68173</v>
      </c>
      <c r="O1190" s="13">
        <f>Github!Q$1230</f>
        <v>123313</v>
      </c>
    </row>
    <row r="1191">
      <c r="A1191" s="13">
        <f>Github!J$1987</f>
        <v>1986</v>
      </c>
      <c r="B1191" s="14" t="str">
        <f>HYPERLINK(CONCAT("http://leetcode.com/problems/",Github!C$1987), Github!B$1987)</f>
        <v>Minimum Number of Work Sessions to Finish the Tasks</v>
      </c>
      <c r="C1191" s="13">
        <f>Github!F$1987</f>
        <v>810</v>
      </c>
      <c r="D1191" s="13">
        <f>Github!G$1987</f>
        <v>54</v>
      </c>
      <c r="E1191" s="13">
        <f>Github!F$1987+Github!G$1987</f>
        <v>864</v>
      </c>
      <c r="F1191" s="15">
        <f t="shared" si="1"/>
        <v>15</v>
      </c>
      <c r="G1191" s="13" t="str">
        <f>ROUND(Github!O$1987, 2)&amp;"%"</f>
        <v>33.01%</v>
      </c>
      <c r="H1191" s="13" t="str">
        <f>Github!H$1987</f>
        <v>Algorithms</v>
      </c>
      <c r="I1191" s="16" t="str">
        <f>SUBSTITUTE(Github!L$1987, ";", ", ")</f>
        <v>Array, Dynamic Programming, Backtracking, Bit Manipulation, Bitmask, </v>
      </c>
      <c r="J1191" s="13" t="str">
        <f>Github!E$1987</f>
        <v>Medium</v>
      </c>
      <c r="K1191" s="13" t="str">
        <f>IF(TRIM(Github!D$1987)="TRUE","FALSE","TRUE")</f>
        <v>TRUE</v>
      </c>
      <c r="L1191" s="13" t="b">
        <f>Github!M$1987</f>
        <v>0</v>
      </c>
      <c r="M1191" s="13" t="b">
        <f>Github!N$1987</f>
        <v>0</v>
      </c>
      <c r="N1191" s="13">
        <f>Github!P$1987</f>
        <v>18216</v>
      </c>
      <c r="O1191" s="13">
        <f>Github!Q$1987</f>
        <v>55184</v>
      </c>
    </row>
    <row r="1192">
      <c r="A1192" s="13">
        <f>Github!J$1787</f>
        <v>1786</v>
      </c>
      <c r="B1192" s="14" t="str">
        <f>HYPERLINK(CONCAT("http://leetcode.com/problems/",Github!C$1787), Github!B$1787)</f>
        <v>Number of Restricted Paths From First to Last Node</v>
      </c>
      <c r="C1192" s="13">
        <f>Github!F$1787</f>
        <v>807</v>
      </c>
      <c r="D1192" s="13">
        <f>Github!G$1787</f>
        <v>146</v>
      </c>
      <c r="E1192" s="13">
        <f>Github!F$1787+Github!G$1787</f>
        <v>953</v>
      </c>
      <c r="F1192" s="15">
        <f t="shared" si="1"/>
        <v>5.53</v>
      </c>
      <c r="G1192" s="13" t="str">
        <f>ROUND(Github!O$1787, 2)&amp;"%"</f>
        <v>39.38%</v>
      </c>
      <c r="H1192" s="13" t="str">
        <f>Github!H$1787</f>
        <v>Algorithms</v>
      </c>
      <c r="I1192" s="16" t="str">
        <f>SUBSTITUTE(Github!L$1787, ";", ", ")</f>
        <v>Dynamic Programming, Graph, Topological Sort, Heap (Priority Queue), Shortest Path, </v>
      </c>
      <c r="J1192" s="13" t="str">
        <f>Github!E$1787</f>
        <v>Medium</v>
      </c>
      <c r="K1192" s="13" t="str">
        <f>IF(TRIM(Github!D$1787)="TRUE","FALSE","TRUE")</f>
        <v>TRUE</v>
      </c>
      <c r="L1192" s="13" t="b">
        <f>Github!M$1787</f>
        <v>0</v>
      </c>
      <c r="M1192" s="13" t="b">
        <f>Github!N$1787</f>
        <v>0</v>
      </c>
      <c r="N1192" s="13">
        <f>Github!P$1787</f>
        <v>17301</v>
      </c>
      <c r="O1192" s="13">
        <f>Github!Q$1787</f>
        <v>43938</v>
      </c>
    </row>
    <row r="1193">
      <c r="A1193" s="13">
        <f>Github!J$1986</f>
        <v>1985</v>
      </c>
      <c r="B1193" s="14" t="str">
        <f>HYPERLINK(CONCAT("http://leetcode.com/problems/",Github!C$1986), Github!B$1986)</f>
        <v>Find the Kth Largest Integer in the Array</v>
      </c>
      <c r="C1193" s="13">
        <f>Github!F$1986</f>
        <v>815</v>
      </c>
      <c r="D1193" s="13">
        <f>Github!G$1986</f>
        <v>103</v>
      </c>
      <c r="E1193" s="13">
        <f>Github!F$1986+Github!G$1986</f>
        <v>918</v>
      </c>
      <c r="F1193" s="15">
        <f t="shared" si="1"/>
        <v>7.91</v>
      </c>
      <c r="G1193" s="13" t="str">
        <f>ROUND(Github!O$1986, 2)&amp;"%"</f>
        <v>44.68%</v>
      </c>
      <c r="H1193" s="13" t="str">
        <f>Github!H$1986</f>
        <v>Algorithms</v>
      </c>
      <c r="I1193" s="16" t="str">
        <f>SUBSTITUTE(Github!L$1986, ";", ", ")</f>
        <v>Array, String, Divide and Conquer, Sorting, Heap (Priority Queue), Quickselect, </v>
      </c>
      <c r="J1193" s="13" t="str">
        <f>Github!E$1986</f>
        <v>Medium</v>
      </c>
      <c r="K1193" s="13" t="str">
        <f>IF(TRIM(Github!D$1986)="TRUE","FALSE","TRUE")</f>
        <v>TRUE</v>
      </c>
      <c r="L1193" s="13" t="b">
        <f>Github!M$1986</f>
        <v>0</v>
      </c>
      <c r="M1193" s="13" t="b">
        <f>Github!N$1986</f>
        <v>0</v>
      </c>
      <c r="N1193" s="13">
        <f>Github!P$1986</f>
        <v>41740</v>
      </c>
      <c r="O1193" s="13">
        <f>Github!Q$1986</f>
        <v>93413</v>
      </c>
    </row>
    <row r="1194">
      <c r="A1194" s="13">
        <f>Github!J$1376</f>
        <v>1375</v>
      </c>
      <c r="B1194" s="14" t="str">
        <f>HYPERLINK(CONCAT("http://leetcode.com/problems/",Github!C$1376), Github!B$1376)</f>
        <v>Number of Times Binary String Is Prefix-Aligned</v>
      </c>
      <c r="C1194" s="13">
        <f>Github!F$1376</f>
        <v>803</v>
      </c>
      <c r="D1194" s="13">
        <f>Github!G$1376</f>
        <v>122</v>
      </c>
      <c r="E1194" s="13">
        <f>Github!F$1376+Github!G$1376</f>
        <v>925</v>
      </c>
      <c r="F1194" s="15">
        <f t="shared" si="1"/>
        <v>6.58</v>
      </c>
      <c r="G1194" s="13" t="str">
        <f>ROUND(Github!O$1376, 2)&amp;"%"</f>
        <v>65.88%</v>
      </c>
      <c r="H1194" s="13" t="str">
        <f>Github!H$1376</f>
        <v>Algorithms</v>
      </c>
      <c r="I1194" s="16" t="str">
        <f>SUBSTITUTE(Github!L$1376, ";", ", ")</f>
        <v>Array, </v>
      </c>
      <c r="J1194" s="13" t="str">
        <f>Github!E$1376</f>
        <v>Medium</v>
      </c>
      <c r="K1194" s="13" t="str">
        <f>IF(TRIM(Github!D$1376)="TRUE","FALSE","TRUE")</f>
        <v>TRUE</v>
      </c>
      <c r="L1194" s="13" t="b">
        <f>Github!M$1376</f>
        <v>0</v>
      </c>
      <c r="M1194" s="13" t="b">
        <f>Github!N$1376</f>
        <v>0</v>
      </c>
      <c r="N1194" s="13">
        <f>Github!P$1376</f>
        <v>44720</v>
      </c>
      <c r="O1194" s="13">
        <f>Github!Q$1376</f>
        <v>67884</v>
      </c>
    </row>
    <row r="1195">
      <c r="A1195" s="13">
        <f>Github!J$469</f>
        <v>468</v>
      </c>
      <c r="B1195" s="14" t="str">
        <f>HYPERLINK(CONCAT("http://leetcode.com/problems/",Github!C$469), Github!B$469)</f>
        <v>Validate IP Address</v>
      </c>
      <c r="C1195" s="13">
        <f>Github!F$469</f>
        <v>803</v>
      </c>
      <c r="D1195" s="13">
        <f>Github!G$469</f>
        <v>2546</v>
      </c>
      <c r="E1195" s="13">
        <f>Github!F$469+Github!G$469</f>
        <v>3349</v>
      </c>
      <c r="F1195" s="15">
        <f t="shared" si="1"/>
        <v>0.32</v>
      </c>
      <c r="G1195" s="13" t="str">
        <f>ROUND(Github!O$469, 2)&amp;"%"</f>
        <v>26.57%</v>
      </c>
      <c r="H1195" s="13" t="str">
        <f>Github!H$469</f>
        <v>Algorithms</v>
      </c>
      <c r="I1195" s="16" t="str">
        <f>SUBSTITUTE(Github!L$469, ";", ", ")</f>
        <v>String, </v>
      </c>
      <c r="J1195" s="13" t="str">
        <f>Github!E$469</f>
        <v>Medium</v>
      </c>
      <c r="K1195" s="13" t="str">
        <f>IF(TRIM(Github!D$469)="TRUE","FALSE","TRUE")</f>
        <v>TRUE</v>
      </c>
      <c r="L1195" s="13" t="b">
        <f>Github!M$469</f>
        <v>1</v>
      </c>
      <c r="M1195" s="13" t="b">
        <f>Github!N$469</f>
        <v>0</v>
      </c>
      <c r="N1195" s="13">
        <f>Github!P$469</f>
        <v>138413</v>
      </c>
      <c r="O1195" s="13">
        <f>Github!Q$469</f>
        <v>520976</v>
      </c>
    </row>
    <row r="1196">
      <c r="A1196" s="13">
        <f>Github!J$401</f>
        <v>400</v>
      </c>
      <c r="B1196" s="14" t="str">
        <f>HYPERLINK(CONCAT("http://leetcode.com/problems/",Github!C$401), Github!B$401)</f>
        <v>Nth Digit</v>
      </c>
      <c r="C1196" s="13">
        <f>Github!F$401</f>
        <v>800</v>
      </c>
      <c r="D1196" s="13">
        <f>Github!G$401</f>
        <v>1725</v>
      </c>
      <c r="E1196" s="13">
        <f>Github!F$401+Github!G$401</f>
        <v>2525</v>
      </c>
      <c r="F1196" s="15">
        <f t="shared" si="1"/>
        <v>0.46</v>
      </c>
      <c r="G1196" s="13" t="str">
        <f>ROUND(Github!O$401, 2)&amp;"%"</f>
        <v>34.1%</v>
      </c>
      <c r="H1196" s="13" t="str">
        <f>Github!H$401</f>
        <v>Algorithms</v>
      </c>
      <c r="I1196" s="16" t="str">
        <f>SUBSTITUTE(Github!L$401, ";", ", ")</f>
        <v>Math, Binary Search, </v>
      </c>
      <c r="J1196" s="13" t="str">
        <f>Github!E$401</f>
        <v>Medium</v>
      </c>
      <c r="K1196" s="13" t="str">
        <f>IF(TRIM(Github!D$401)="TRUE","FALSE","TRUE")</f>
        <v>TRUE</v>
      </c>
      <c r="L1196" s="13" t="b">
        <f>Github!M$401</f>
        <v>0</v>
      </c>
      <c r="M1196" s="13" t="b">
        <f>Github!N$401</f>
        <v>0</v>
      </c>
      <c r="N1196" s="13">
        <f>Github!P$401</f>
        <v>82455</v>
      </c>
      <c r="O1196" s="13">
        <f>Github!Q$401</f>
        <v>241813</v>
      </c>
    </row>
    <row r="1197">
      <c r="A1197" s="13">
        <f>Github!J$1223</f>
        <v>1222</v>
      </c>
      <c r="B1197" s="14" t="str">
        <f>HYPERLINK(CONCAT("http://leetcode.com/problems/",Github!C$1223), Github!B$1223)</f>
        <v>Queens That Can Attack the King</v>
      </c>
      <c r="C1197" s="13">
        <f>Github!F$1223</f>
        <v>799</v>
      </c>
      <c r="D1197" s="13">
        <f>Github!G$1223</f>
        <v>139</v>
      </c>
      <c r="E1197" s="13">
        <f>Github!F$1223+Github!G$1223</f>
        <v>938</v>
      </c>
      <c r="F1197" s="15">
        <f t="shared" si="1"/>
        <v>5.75</v>
      </c>
      <c r="G1197" s="13" t="str">
        <f>ROUND(Github!O$1223, 2)&amp;"%"</f>
        <v>71.84%</v>
      </c>
      <c r="H1197" s="13" t="str">
        <f>Github!H$1223</f>
        <v>Algorithms</v>
      </c>
      <c r="I1197" s="16" t="str">
        <f>SUBSTITUTE(Github!L$1223, ";", ", ")</f>
        <v>Array, Matrix, Simulation, </v>
      </c>
      <c r="J1197" s="13" t="str">
        <f>Github!E$1223</f>
        <v>Medium</v>
      </c>
      <c r="K1197" s="13" t="str">
        <f>IF(TRIM(Github!D$1223)="TRUE","FALSE","TRUE")</f>
        <v>TRUE</v>
      </c>
      <c r="L1197" s="13" t="b">
        <f>Github!M$1223</f>
        <v>0</v>
      </c>
      <c r="M1197" s="13" t="b">
        <f>Github!N$1223</f>
        <v>0</v>
      </c>
      <c r="N1197" s="13">
        <f>Github!P$1223</f>
        <v>36027</v>
      </c>
      <c r="O1197" s="13">
        <f>Github!Q$1223</f>
        <v>50149</v>
      </c>
    </row>
    <row r="1198">
      <c r="A1198" s="13">
        <f>Github!J$1262</f>
        <v>1261</v>
      </c>
      <c r="B1198" s="14" t="str">
        <f>HYPERLINK(CONCAT("http://leetcode.com/problems/",Github!C$1262), Github!B$1262)</f>
        <v>Find Elements in a Contaminated Binary Tree</v>
      </c>
      <c r="C1198" s="13">
        <f>Github!F$1262</f>
        <v>804</v>
      </c>
      <c r="D1198" s="13">
        <f>Github!G$1262</f>
        <v>90</v>
      </c>
      <c r="E1198" s="13">
        <f>Github!F$1262+Github!G$1262</f>
        <v>894</v>
      </c>
      <c r="F1198" s="15">
        <f t="shared" si="1"/>
        <v>8.93</v>
      </c>
      <c r="G1198" s="13" t="str">
        <f>ROUND(Github!O$1262, 2)&amp;"%"</f>
        <v>76.15%</v>
      </c>
      <c r="H1198" s="13" t="str">
        <f>Github!H$1262</f>
        <v>Algorithms</v>
      </c>
      <c r="I1198" s="16" t="str">
        <f>SUBSTITUTE(Github!L$1262, ";", ", ")</f>
        <v>Hash Table, Tree, Depth-First Search, Breadth-First Search, Design, Binary Tree, </v>
      </c>
      <c r="J1198" s="13" t="str">
        <f>Github!E$1262</f>
        <v>Medium</v>
      </c>
      <c r="K1198" s="13" t="str">
        <f>IF(TRIM(Github!D$1262)="TRUE","FALSE","TRUE")</f>
        <v>TRUE</v>
      </c>
      <c r="L1198" s="13" t="b">
        <f>Github!M$1262</f>
        <v>0</v>
      </c>
      <c r="M1198" s="13" t="b">
        <f>Github!N$1262</f>
        <v>0</v>
      </c>
      <c r="N1198" s="13">
        <f>Github!P$1262</f>
        <v>52495</v>
      </c>
      <c r="O1198" s="13">
        <f>Github!Q$1262</f>
        <v>68936</v>
      </c>
    </row>
    <row r="1199">
      <c r="A1199" s="13">
        <f>Github!J$1067</f>
        <v>1066</v>
      </c>
      <c r="B1199" s="14" t="str">
        <f>HYPERLINK(CONCAT("http://leetcode.com/problems/",Github!C$1067), Github!B$1067)</f>
        <v>Campus Bikes II</v>
      </c>
      <c r="C1199" s="13">
        <f>Github!F$1067</f>
        <v>833</v>
      </c>
      <c r="D1199" s="13">
        <f>Github!G$1067</f>
        <v>78</v>
      </c>
      <c r="E1199" s="13">
        <f>Github!F$1067+Github!G$1067</f>
        <v>911</v>
      </c>
      <c r="F1199" s="15">
        <f t="shared" si="1"/>
        <v>10.68</v>
      </c>
      <c r="G1199" s="13" t="str">
        <f>ROUND(Github!O$1067, 2)&amp;"%"</f>
        <v>54.81%</v>
      </c>
      <c r="H1199" s="13" t="str">
        <f>Github!H$1067</f>
        <v>Algorithms</v>
      </c>
      <c r="I1199" s="16" t="str">
        <f>SUBSTITUTE(Github!L$1067, ";", ", ")</f>
        <v>Array, Dynamic Programming, Backtracking, Bit Manipulation, Bitmask, </v>
      </c>
      <c r="J1199" s="13" t="str">
        <f>Github!E$1067</f>
        <v>Medium</v>
      </c>
      <c r="K1199" s="13" t="str">
        <f>IF(TRIM(Github!D$1067)="TRUE","FALSE","TRUE")</f>
        <v>FALSE</v>
      </c>
      <c r="L1199" s="13" t="b">
        <f>Github!M$1067</f>
        <v>1</v>
      </c>
      <c r="M1199" s="13" t="b">
        <f>Github!N$1067</f>
        <v>0</v>
      </c>
      <c r="N1199" s="13">
        <f>Github!P$1067</f>
        <v>43838</v>
      </c>
      <c r="O1199" s="13">
        <f>Github!Q$1067</f>
        <v>79985</v>
      </c>
    </row>
    <row r="1200">
      <c r="A1200" s="13">
        <f>Github!J$1285</f>
        <v>1284</v>
      </c>
      <c r="B1200" s="14" t="str">
        <f>HYPERLINK(CONCAT("http://leetcode.com/problems/",Github!C$1285), Github!B$1285)</f>
        <v>Minimum Number of Flips to Convert Binary Matrix to Zero Matrix</v>
      </c>
      <c r="C1200" s="13">
        <f>Github!F$1285</f>
        <v>803</v>
      </c>
      <c r="D1200" s="13">
        <f>Github!G$1285</f>
        <v>80</v>
      </c>
      <c r="E1200" s="13">
        <f>Github!F$1285+Github!G$1285</f>
        <v>883</v>
      </c>
      <c r="F1200" s="15">
        <f t="shared" si="1"/>
        <v>10.04</v>
      </c>
      <c r="G1200" s="13" t="str">
        <f>ROUND(Github!O$1285, 2)&amp;"%"</f>
        <v>72%</v>
      </c>
      <c r="H1200" s="13" t="str">
        <f>Github!H$1285</f>
        <v>Algorithms</v>
      </c>
      <c r="I1200" s="16" t="str">
        <f>SUBSTITUTE(Github!L$1285, ";", ", ")</f>
        <v>Array, Bit Manipulation, Breadth-First Search, Matrix, </v>
      </c>
      <c r="J1200" s="13" t="str">
        <f>Github!E$1285</f>
        <v>Hard</v>
      </c>
      <c r="K1200" s="13" t="str">
        <f>IF(TRIM(Github!D$1285)="TRUE","FALSE","TRUE")</f>
        <v>TRUE</v>
      </c>
      <c r="L1200" s="13" t="b">
        <f>Github!M$1285</f>
        <v>1</v>
      </c>
      <c r="M1200" s="13" t="b">
        <f>Github!N$1285</f>
        <v>0</v>
      </c>
      <c r="N1200" s="13">
        <f>Github!P$1285</f>
        <v>28364</v>
      </c>
      <c r="O1200" s="13">
        <f>Github!Q$1285</f>
        <v>39395</v>
      </c>
    </row>
    <row r="1201">
      <c r="A1201" s="13">
        <f>Github!J$268</f>
        <v>267</v>
      </c>
      <c r="B1201" s="14" t="str">
        <f>HYPERLINK(CONCAT("http://leetcode.com/problems/",Github!C$268), Github!B$268)</f>
        <v>Palindrome Permutation II</v>
      </c>
      <c r="C1201" s="13">
        <f>Github!F$268</f>
        <v>792</v>
      </c>
      <c r="D1201" s="13">
        <f>Github!G$268</f>
        <v>90</v>
      </c>
      <c r="E1201" s="13">
        <f>Github!F$268+Github!G$268</f>
        <v>882</v>
      </c>
      <c r="F1201" s="15">
        <f t="shared" si="1"/>
        <v>8.8</v>
      </c>
      <c r="G1201" s="13" t="str">
        <f>ROUND(Github!O$268, 2)&amp;"%"</f>
        <v>40.6%</v>
      </c>
      <c r="H1201" s="13" t="str">
        <f>Github!H$268</f>
        <v>Algorithms</v>
      </c>
      <c r="I1201" s="16" t="str">
        <f>SUBSTITUTE(Github!L$268, ";", ", ")</f>
        <v>Hash Table, String, Backtracking, </v>
      </c>
      <c r="J1201" s="13" t="str">
        <f>Github!E$268</f>
        <v>Medium</v>
      </c>
      <c r="K1201" s="13" t="str">
        <f>IF(TRIM(Github!D$268)="TRUE","FALSE","TRUE")</f>
        <v>FALSE</v>
      </c>
      <c r="L1201" s="13" t="b">
        <f>Github!M$268</f>
        <v>1</v>
      </c>
      <c r="M1201" s="13" t="b">
        <f>Github!N$268</f>
        <v>0</v>
      </c>
      <c r="N1201" s="13">
        <f>Github!P$268</f>
        <v>59825</v>
      </c>
      <c r="O1201" s="13">
        <f>Github!Q$268</f>
        <v>147360</v>
      </c>
    </row>
    <row r="1202">
      <c r="A1202" s="13">
        <f>Github!J$1519</f>
        <v>1518</v>
      </c>
      <c r="B1202" s="14" t="str">
        <f>HYPERLINK(CONCAT("http://leetcode.com/problems/",Github!C$1519), Github!B$1519)</f>
        <v>Water Bottles</v>
      </c>
      <c r="C1202" s="13">
        <f>Github!F$1519</f>
        <v>791</v>
      </c>
      <c r="D1202" s="13">
        <f>Github!G$1519</f>
        <v>63</v>
      </c>
      <c r="E1202" s="13">
        <f>Github!F$1519+Github!G$1519</f>
        <v>854</v>
      </c>
      <c r="F1202" s="15">
        <f t="shared" si="1"/>
        <v>12.56</v>
      </c>
      <c r="G1202" s="13" t="str">
        <f>ROUND(Github!O$1519, 2)&amp;"%"</f>
        <v>60.27%</v>
      </c>
      <c r="H1202" s="13" t="str">
        <f>Github!H$1519</f>
        <v>Algorithms</v>
      </c>
      <c r="I1202" s="16" t="str">
        <f>SUBSTITUTE(Github!L$1519, ";", ", ")</f>
        <v>Math, Simulation, </v>
      </c>
      <c r="J1202" s="13" t="str">
        <f>Github!E$1519</f>
        <v>Easy</v>
      </c>
      <c r="K1202" s="13" t="str">
        <f>IF(TRIM(Github!D$1519)="TRUE","FALSE","TRUE")</f>
        <v>TRUE</v>
      </c>
      <c r="L1202" s="13" t="b">
        <f>Github!M$1519</f>
        <v>0</v>
      </c>
      <c r="M1202" s="13" t="b">
        <f>Github!N$1519</f>
        <v>0</v>
      </c>
      <c r="N1202" s="13">
        <f>Github!P$1519</f>
        <v>57903</v>
      </c>
      <c r="O1202" s="13">
        <f>Github!Q$1519</f>
        <v>96070</v>
      </c>
    </row>
    <row r="1203">
      <c r="A1203" s="13">
        <f>Github!J$1689</f>
        <v>1688</v>
      </c>
      <c r="B1203" s="14" t="str">
        <f>HYPERLINK(CONCAT("http://leetcode.com/problems/",Github!C$1689), Github!B$1689)</f>
        <v>Count of Matches in Tournament</v>
      </c>
      <c r="C1203" s="13">
        <f>Github!F$1689</f>
        <v>798</v>
      </c>
      <c r="D1203" s="13">
        <f>Github!G$1689</f>
        <v>138</v>
      </c>
      <c r="E1203" s="13">
        <f>Github!F$1689+Github!G$1689</f>
        <v>936</v>
      </c>
      <c r="F1203" s="15">
        <f t="shared" si="1"/>
        <v>5.78</v>
      </c>
      <c r="G1203" s="13" t="str">
        <f>ROUND(Github!O$1689, 2)&amp;"%"</f>
        <v>83.24%</v>
      </c>
      <c r="H1203" s="13" t="str">
        <f>Github!H$1689</f>
        <v>Algorithms</v>
      </c>
      <c r="I1203" s="16" t="str">
        <f>SUBSTITUTE(Github!L$1689, ";", ", ")</f>
        <v>Math, Simulation, </v>
      </c>
      <c r="J1203" s="13" t="str">
        <f>Github!E$1689</f>
        <v>Easy</v>
      </c>
      <c r="K1203" s="13" t="str">
        <f>IF(TRIM(Github!D$1689)="TRUE","FALSE","TRUE")</f>
        <v>TRUE</v>
      </c>
      <c r="L1203" s="13" t="b">
        <f>Github!M$1689</f>
        <v>0</v>
      </c>
      <c r="M1203" s="13" t="b">
        <f>Github!N$1689</f>
        <v>0</v>
      </c>
      <c r="N1203" s="13">
        <f>Github!P$1689</f>
        <v>87283</v>
      </c>
      <c r="O1203" s="13">
        <f>Github!Q$1689</f>
        <v>104859</v>
      </c>
    </row>
    <row r="1204">
      <c r="A1204" s="13">
        <f>Github!J$1104</f>
        <v>1103</v>
      </c>
      <c r="B1204" s="14" t="str">
        <f>HYPERLINK(CONCAT("http://leetcode.com/problems/",Github!C$1104), Github!B$1104)</f>
        <v>Distribute Candies to People</v>
      </c>
      <c r="C1204" s="13">
        <f>Github!F$1104</f>
        <v>797</v>
      </c>
      <c r="D1204" s="13">
        <f>Github!G$1104</f>
        <v>182</v>
      </c>
      <c r="E1204" s="13">
        <f>Github!F$1104+Github!G$1104</f>
        <v>979</v>
      </c>
      <c r="F1204" s="15">
        <f t="shared" si="1"/>
        <v>4.38</v>
      </c>
      <c r="G1204" s="13" t="str">
        <f>ROUND(Github!O$1104, 2)&amp;"%"</f>
        <v>64.03%</v>
      </c>
      <c r="H1204" s="13" t="str">
        <f>Github!H$1104</f>
        <v>Algorithms</v>
      </c>
      <c r="I1204" s="16" t="str">
        <f>SUBSTITUTE(Github!L$1104, ";", ", ")</f>
        <v>Math, Simulation, </v>
      </c>
      <c r="J1204" s="13" t="str">
        <f>Github!E$1104</f>
        <v>Easy</v>
      </c>
      <c r="K1204" s="13" t="str">
        <f>IF(TRIM(Github!D$1104)="TRUE","FALSE","TRUE")</f>
        <v>TRUE</v>
      </c>
      <c r="L1204" s="13" t="b">
        <f>Github!M$1104</f>
        <v>0</v>
      </c>
      <c r="M1204" s="13" t="b">
        <f>Github!N$1104</f>
        <v>0</v>
      </c>
      <c r="N1204" s="13">
        <f>Github!P$1104</f>
        <v>73177</v>
      </c>
      <c r="O1204" s="13">
        <f>Github!Q$1104</f>
        <v>114283</v>
      </c>
    </row>
    <row r="1205">
      <c r="A1205" s="13">
        <f>Github!J$2056</f>
        <v>2055</v>
      </c>
      <c r="B1205" s="14" t="str">
        <f>HYPERLINK(CONCAT("http://leetcode.com/problems/",Github!C$2056), Github!B$2056)</f>
        <v>Plates Between Candles</v>
      </c>
      <c r="C1205" s="13">
        <f>Github!F$2056</f>
        <v>799</v>
      </c>
      <c r="D1205" s="13">
        <f>Github!G$2056</f>
        <v>30</v>
      </c>
      <c r="E1205" s="13">
        <f>Github!F$2056+Github!G$2056</f>
        <v>829</v>
      </c>
      <c r="F1205" s="15">
        <f t="shared" si="1"/>
        <v>26.63</v>
      </c>
      <c r="G1205" s="13" t="str">
        <f>ROUND(Github!O$2056, 2)&amp;"%"</f>
        <v>44.45%</v>
      </c>
      <c r="H1205" s="13" t="str">
        <f>Github!H$2056</f>
        <v>Algorithms</v>
      </c>
      <c r="I1205" s="16" t="str">
        <f>SUBSTITUTE(Github!L$2056, ";", ", ")</f>
        <v>Array, String, Binary Search, Prefix Sum, </v>
      </c>
      <c r="J1205" s="13" t="str">
        <f>Github!E$2056</f>
        <v>Medium</v>
      </c>
      <c r="K1205" s="13" t="str">
        <f>IF(TRIM(Github!D$2056)="TRUE","FALSE","TRUE")</f>
        <v>TRUE</v>
      </c>
      <c r="L1205" s="13" t="b">
        <f>Github!M$2056</f>
        <v>0</v>
      </c>
      <c r="M1205" s="13" t="b">
        <f>Github!N$2056</f>
        <v>0</v>
      </c>
      <c r="N1205" s="13">
        <f>Github!P$2056</f>
        <v>26937</v>
      </c>
      <c r="O1205" s="13">
        <f>Github!Q$2056</f>
        <v>60596</v>
      </c>
    </row>
    <row r="1206">
      <c r="A1206" s="13">
        <f>Github!J$1416</f>
        <v>1415</v>
      </c>
      <c r="B1206" s="14" t="str">
        <f>HYPERLINK(CONCAT("http://leetcode.com/problems/",Github!C$1416), Github!B$1416)</f>
        <v>The k-th Lexicographical String of All Happy Strings of Length n</v>
      </c>
      <c r="C1206" s="13">
        <f>Github!F$1416</f>
        <v>795</v>
      </c>
      <c r="D1206" s="13">
        <f>Github!G$1416</f>
        <v>20</v>
      </c>
      <c r="E1206" s="13">
        <f>Github!F$1416+Github!G$1416</f>
        <v>815</v>
      </c>
      <c r="F1206" s="15">
        <f t="shared" si="1"/>
        <v>39.75</v>
      </c>
      <c r="G1206" s="13" t="str">
        <f>ROUND(Github!O$1416, 2)&amp;"%"</f>
        <v>72.14%</v>
      </c>
      <c r="H1206" s="13" t="str">
        <f>Github!H$1416</f>
        <v>Algorithms</v>
      </c>
      <c r="I1206" s="16" t="str">
        <f>SUBSTITUTE(Github!L$1416, ";", ", ")</f>
        <v>String, Backtracking, </v>
      </c>
      <c r="J1206" s="13" t="str">
        <f>Github!E$1416</f>
        <v>Medium</v>
      </c>
      <c r="K1206" s="13" t="str">
        <f>IF(TRIM(Github!D$1416)="TRUE","FALSE","TRUE")</f>
        <v>TRUE</v>
      </c>
      <c r="L1206" s="13" t="b">
        <f>Github!M$1416</f>
        <v>0</v>
      </c>
      <c r="M1206" s="13" t="b">
        <f>Github!N$1416</f>
        <v>0</v>
      </c>
      <c r="N1206" s="13">
        <f>Github!P$1416</f>
        <v>29986</v>
      </c>
      <c r="O1206" s="13">
        <f>Github!Q$1416</f>
        <v>41566</v>
      </c>
    </row>
    <row r="1207">
      <c r="A1207" s="13">
        <f>Github!J$1530</f>
        <v>1529</v>
      </c>
      <c r="B1207" s="14" t="str">
        <f>HYPERLINK(CONCAT("http://leetcode.com/problems/",Github!C$1530), Github!B$1530)</f>
        <v>Minimum Suffix Flips</v>
      </c>
      <c r="C1207" s="13">
        <f>Github!F$1530</f>
        <v>793</v>
      </c>
      <c r="D1207" s="13">
        <f>Github!G$1530</f>
        <v>34</v>
      </c>
      <c r="E1207" s="13">
        <f>Github!F$1530+Github!G$1530</f>
        <v>827</v>
      </c>
      <c r="F1207" s="15">
        <f t="shared" si="1"/>
        <v>23.32</v>
      </c>
      <c r="G1207" s="13" t="str">
        <f>ROUND(Github!O$1530, 2)&amp;"%"</f>
        <v>72.45%</v>
      </c>
      <c r="H1207" s="13" t="str">
        <f>Github!H$1530</f>
        <v>Algorithms</v>
      </c>
      <c r="I1207" s="16" t="str">
        <f>SUBSTITUTE(Github!L$1530, ";", ", ")</f>
        <v>String, Greedy, </v>
      </c>
      <c r="J1207" s="13" t="str">
        <f>Github!E$1530</f>
        <v>Medium</v>
      </c>
      <c r="K1207" s="13" t="str">
        <f>IF(TRIM(Github!D$1530)="TRUE","FALSE","TRUE")</f>
        <v>TRUE</v>
      </c>
      <c r="L1207" s="13" t="b">
        <f>Github!M$1530</f>
        <v>0</v>
      </c>
      <c r="M1207" s="13" t="b">
        <f>Github!N$1530</f>
        <v>0</v>
      </c>
      <c r="N1207" s="13">
        <f>Github!P$1530</f>
        <v>36967</v>
      </c>
      <c r="O1207" s="13">
        <f>Github!Q$1530</f>
        <v>51027</v>
      </c>
    </row>
    <row r="1208">
      <c r="A1208" s="13">
        <f>Github!J$1420</f>
        <v>1419</v>
      </c>
      <c r="B1208" s="14" t="str">
        <f>HYPERLINK(CONCAT("http://leetcode.com/problems/",Github!C$1420), Github!B$1420)</f>
        <v>Minimum Number of Frogs Croaking</v>
      </c>
      <c r="C1208" s="13">
        <f>Github!F$1420</f>
        <v>802</v>
      </c>
      <c r="D1208" s="13">
        <f>Github!G$1420</f>
        <v>59</v>
      </c>
      <c r="E1208" s="13">
        <f>Github!F$1420+Github!G$1420</f>
        <v>861</v>
      </c>
      <c r="F1208" s="15">
        <f t="shared" si="1"/>
        <v>13.59</v>
      </c>
      <c r="G1208" s="13" t="str">
        <f>ROUND(Github!O$1420, 2)&amp;"%"</f>
        <v>50.11%</v>
      </c>
      <c r="H1208" s="13" t="str">
        <f>Github!H$1420</f>
        <v>Algorithms</v>
      </c>
      <c r="I1208" s="16" t="str">
        <f>SUBSTITUTE(Github!L$1420, ";", ", ")</f>
        <v>String, Counting, </v>
      </c>
      <c r="J1208" s="13" t="str">
        <f>Github!E$1420</f>
        <v>Medium</v>
      </c>
      <c r="K1208" s="13" t="str">
        <f>IF(TRIM(Github!D$1420)="TRUE","FALSE","TRUE")</f>
        <v>TRUE</v>
      </c>
      <c r="L1208" s="13" t="b">
        <f>Github!M$1420</f>
        <v>0</v>
      </c>
      <c r="M1208" s="13" t="b">
        <f>Github!N$1420</f>
        <v>0</v>
      </c>
      <c r="N1208" s="13">
        <f>Github!P$1420</f>
        <v>32840</v>
      </c>
      <c r="O1208" s="13">
        <f>Github!Q$1420</f>
        <v>65532</v>
      </c>
    </row>
    <row r="1209">
      <c r="A1209" s="13">
        <f>Github!J$2025</f>
        <v>2024</v>
      </c>
      <c r="B1209" s="14" t="str">
        <f>HYPERLINK(CONCAT("http://leetcode.com/problems/",Github!C$2025), Github!B$2025)</f>
        <v>Maximize the Confusion of an Exam</v>
      </c>
      <c r="C1209" s="13">
        <f>Github!F$2025</f>
        <v>798</v>
      </c>
      <c r="D1209" s="13">
        <f>Github!G$2025</f>
        <v>18</v>
      </c>
      <c r="E1209" s="13">
        <f>Github!F$2025+Github!G$2025</f>
        <v>816</v>
      </c>
      <c r="F1209" s="15">
        <f t="shared" si="1"/>
        <v>44.33</v>
      </c>
      <c r="G1209" s="13" t="str">
        <f>ROUND(Github!O$2025, 2)&amp;"%"</f>
        <v>59.84%</v>
      </c>
      <c r="H1209" s="13" t="str">
        <f>Github!H$2025</f>
        <v>Algorithms</v>
      </c>
      <c r="I1209" s="16" t="str">
        <f>SUBSTITUTE(Github!L$2025, ";", ", ")</f>
        <v>String, Binary Search, Sliding Window, Prefix Sum, </v>
      </c>
      <c r="J1209" s="13" t="str">
        <f>Github!E$2025</f>
        <v>Medium</v>
      </c>
      <c r="K1209" s="13" t="str">
        <f>IF(TRIM(Github!D$2025)="TRUE","FALSE","TRUE")</f>
        <v>TRUE</v>
      </c>
      <c r="L1209" s="13" t="b">
        <f>Github!M$2025</f>
        <v>0</v>
      </c>
      <c r="M1209" s="13" t="b">
        <f>Github!N$2025</f>
        <v>0</v>
      </c>
      <c r="N1209" s="13">
        <f>Github!P$2025</f>
        <v>22197</v>
      </c>
      <c r="O1209" s="13">
        <f>Github!Q$2025</f>
        <v>37094</v>
      </c>
    </row>
    <row r="1210">
      <c r="A1210" s="13">
        <f>Github!J$1819</f>
        <v>1818</v>
      </c>
      <c r="B1210" s="14" t="str">
        <f>HYPERLINK(CONCAT("http://leetcode.com/problems/",Github!C$1819), Github!B$1819)</f>
        <v>Minimum Absolute Sum Difference</v>
      </c>
      <c r="C1210" s="13">
        <f>Github!F$1819</f>
        <v>794</v>
      </c>
      <c r="D1210" s="13">
        <f>Github!G$1819</f>
        <v>62</v>
      </c>
      <c r="E1210" s="13">
        <f>Github!F$1819+Github!G$1819</f>
        <v>856</v>
      </c>
      <c r="F1210" s="15">
        <f t="shared" si="1"/>
        <v>12.81</v>
      </c>
      <c r="G1210" s="13" t="str">
        <f>ROUND(Github!O$1819, 2)&amp;"%"</f>
        <v>30.25%</v>
      </c>
      <c r="H1210" s="13" t="str">
        <f>Github!H$1819</f>
        <v>Algorithms</v>
      </c>
      <c r="I1210" s="16" t="str">
        <f>SUBSTITUTE(Github!L$1819, ";", ", ")</f>
        <v>Array, Binary Search, Sorting, Ordered Set, </v>
      </c>
      <c r="J1210" s="13" t="str">
        <f>Github!E$1819</f>
        <v>Medium</v>
      </c>
      <c r="K1210" s="13" t="str">
        <f>IF(TRIM(Github!D$1819)="TRUE","FALSE","TRUE")</f>
        <v>TRUE</v>
      </c>
      <c r="L1210" s="13" t="b">
        <f>Github!M$1819</f>
        <v>0</v>
      </c>
      <c r="M1210" s="13" t="b">
        <f>Github!N$1819</f>
        <v>0</v>
      </c>
      <c r="N1210" s="13">
        <f>Github!P$1819</f>
        <v>19200</v>
      </c>
      <c r="O1210" s="13">
        <f>Github!Q$1819</f>
        <v>63473</v>
      </c>
    </row>
    <row r="1211">
      <c r="A1211" s="13">
        <f>Github!J$515</f>
        <v>514</v>
      </c>
      <c r="B1211" s="14" t="str">
        <f>HYPERLINK(CONCAT("http://leetcode.com/problems/",Github!C$515), Github!B$515)</f>
        <v>Freedom Trail</v>
      </c>
      <c r="C1211" s="13">
        <f>Github!F$515</f>
        <v>789</v>
      </c>
      <c r="D1211" s="13">
        <f>Github!G$515</f>
        <v>35</v>
      </c>
      <c r="E1211" s="13">
        <f>Github!F$515+Github!G$515</f>
        <v>824</v>
      </c>
      <c r="F1211" s="15">
        <f t="shared" si="1"/>
        <v>22.54</v>
      </c>
      <c r="G1211" s="13" t="str">
        <f>ROUND(Github!O$515, 2)&amp;"%"</f>
        <v>46.83%</v>
      </c>
      <c r="H1211" s="13" t="str">
        <f>Github!H$515</f>
        <v>Algorithms</v>
      </c>
      <c r="I1211" s="16" t="str">
        <f>SUBSTITUTE(Github!L$515, ";", ", ")</f>
        <v>String, Dynamic Programming, Depth-First Search, Breadth-First Search, </v>
      </c>
      <c r="J1211" s="13" t="str">
        <f>Github!E$515</f>
        <v>Hard</v>
      </c>
      <c r="K1211" s="13" t="str">
        <f>IF(TRIM(Github!D$515)="TRUE","FALSE","TRUE")</f>
        <v>TRUE</v>
      </c>
      <c r="L1211" s="13" t="b">
        <f>Github!M$515</f>
        <v>0</v>
      </c>
      <c r="M1211" s="13" t="b">
        <f>Github!N$515</f>
        <v>0</v>
      </c>
      <c r="N1211" s="13">
        <f>Github!P$515</f>
        <v>30756</v>
      </c>
      <c r="O1211" s="13">
        <f>Github!Q$515</f>
        <v>65678</v>
      </c>
    </row>
    <row r="1212">
      <c r="A1212" s="13">
        <f>Github!J$2117</f>
        <v>2116</v>
      </c>
      <c r="B1212" s="14" t="str">
        <f>HYPERLINK(CONCAT("http://leetcode.com/problems/",Github!C$2117), Github!B$2117)</f>
        <v>Check if a Parentheses String Can Be Valid</v>
      </c>
      <c r="C1212" s="13">
        <f>Github!F$2117</f>
        <v>791</v>
      </c>
      <c r="D1212" s="13">
        <f>Github!G$2117</f>
        <v>26</v>
      </c>
      <c r="E1212" s="13">
        <f>Github!F$2117+Github!G$2117</f>
        <v>817</v>
      </c>
      <c r="F1212" s="15">
        <f t="shared" si="1"/>
        <v>30.42</v>
      </c>
      <c r="G1212" s="13" t="str">
        <f>ROUND(Github!O$2117, 2)&amp;"%"</f>
        <v>31.36%</v>
      </c>
      <c r="H1212" s="13" t="str">
        <f>Github!H$2117</f>
        <v>Algorithms</v>
      </c>
      <c r="I1212" s="16" t="str">
        <f>SUBSTITUTE(Github!L$2117, ";", ", ")</f>
        <v>String, Stack, Greedy, </v>
      </c>
      <c r="J1212" s="13" t="str">
        <f>Github!E$2117</f>
        <v>Medium</v>
      </c>
      <c r="K1212" s="13" t="str">
        <f>IF(TRIM(Github!D$2117)="TRUE","FALSE","TRUE")</f>
        <v>TRUE</v>
      </c>
      <c r="L1212" s="13" t="b">
        <f>Github!M$2117</f>
        <v>0</v>
      </c>
      <c r="M1212" s="13" t="b">
        <f>Github!N$2117</f>
        <v>0</v>
      </c>
      <c r="N1212" s="13">
        <f>Github!P$2117</f>
        <v>14085</v>
      </c>
      <c r="O1212" s="13">
        <f>Github!Q$2117</f>
        <v>44908</v>
      </c>
    </row>
    <row r="1213">
      <c r="A1213" s="13">
        <f>Github!J$1485</f>
        <v>1484</v>
      </c>
      <c r="B1213" s="14" t="str">
        <f>HYPERLINK(CONCAT("http://leetcode.com/problems/",Github!C$1485), Github!B$1485)</f>
        <v>Group Sold Products By The Date</v>
      </c>
      <c r="C1213" s="13">
        <f>Github!F$1485</f>
        <v>807</v>
      </c>
      <c r="D1213" s="13">
        <f>Github!G$1485</f>
        <v>63</v>
      </c>
      <c r="E1213" s="13">
        <f>Github!F$1485+Github!G$1485</f>
        <v>870</v>
      </c>
      <c r="F1213" s="15">
        <f t="shared" si="1"/>
        <v>12.81</v>
      </c>
      <c r="G1213" s="13" t="str">
        <f>ROUND(Github!O$1485, 2)&amp;"%"</f>
        <v>82.37%</v>
      </c>
      <c r="H1213" s="13" t="str">
        <f>Github!H$1485</f>
        <v>Database</v>
      </c>
      <c r="I1213" s="16" t="str">
        <f>SUBSTITUTE(Github!L$1485, ";", ", ")</f>
        <v>Database, </v>
      </c>
      <c r="J1213" s="13" t="str">
        <f>Github!E$1485</f>
        <v>Easy</v>
      </c>
      <c r="K1213" s="13" t="str">
        <f>IF(TRIM(Github!D$1485)="TRUE","FALSE","TRUE")</f>
        <v>TRUE</v>
      </c>
      <c r="L1213" s="13" t="b">
        <f>Github!M$1485</f>
        <v>0</v>
      </c>
      <c r="M1213" s="13" t="b">
        <f>Github!N$1485</f>
        <v>0</v>
      </c>
      <c r="N1213" s="13">
        <f>Github!P$1485</f>
        <v>91278</v>
      </c>
      <c r="O1213" s="13">
        <f>Github!Q$1485</f>
        <v>110818</v>
      </c>
    </row>
    <row r="1214">
      <c r="A1214" s="13">
        <f>Github!J$1981</f>
        <v>1980</v>
      </c>
      <c r="B1214" s="14" t="str">
        <f>HYPERLINK(CONCAT("http://leetcode.com/problems/",Github!C$1981), Github!B$1981)</f>
        <v>Find Unique Binary String</v>
      </c>
      <c r="C1214" s="13">
        <f>Github!F$1981</f>
        <v>797</v>
      </c>
      <c r="D1214" s="13">
        <f>Github!G$1981</f>
        <v>34</v>
      </c>
      <c r="E1214" s="13">
        <f>Github!F$1981+Github!G$1981</f>
        <v>831</v>
      </c>
      <c r="F1214" s="15">
        <f t="shared" si="1"/>
        <v>23.44</v>
      </c>
      <c r="G1214" s="13" t="str">
        <f>ROUND(Github!O$1981, 2)&amp;"%"</f>
        <v>64.48%</v>
      </c>
      <c r="H1214" s="13" t="str">
        <f>Github!H$1981</f>
        <v>Algorithms</v>
      </c>
      <c r="I1214" s="16" t="str">
        <f>SUBSTITUTE(Github!L$1981, ";", ", ")</f>
        <v>Array, String, Backtracking, </v>
      </c>
      <c r="J1214" s="13" t="str">
        <f>Github!E$1981</f>
        <v>Medium</v>
      </c>
      <c r="K1214" s="13" t="str">
        <f>IF(TRIM(Github!D$1981)="TRUE","FALSE","TRUE")</f>
        <v>TRUE</v>
      </c>
      <c r="L1214" s="13" t="b">
        <f>Github!M$1981</f>
        <v>0</v>
      </c>
      <c r="M1214" s="13" t="b">
        <f>Github!N$1981</f>
        <v>0</v>
      </c>
      <c r="N1214" s="13">
        <f>Github!P$1981</f>
        <v>32429</v>
      </c>
      <c r="O1214" s="13">
        <f>Github!Q$1981</f>
        <v>50294</v>
      </c>
    </row>
    <row r="1215">
      <c r="A1215" s="13">
        <f>Github!J$1298</f>
        <v>1297</v>
      </c>
      <c r="B1215" s="14" t="str">
        <f>HYPERLINK(CONCAT("http://leetcode.com/problems/",Github!C$1298), Github!B$1298)</f>
        <v>Maximum Number of Occurrences of a Substring</v>
      </c>
      <c r="C1215" s="13">
        <f>Github!F$1298</f>
        <v>790</v>
      </c>
      <c r="D1215" s="13">
        <f>Github!G$1298</f>
        <v>340</v>
      </c>
      <c r="E1215" s="13">
        <f>Github!F$1298+Github!G$1298</f>
        <v>1130</v>
      </c>
      <c r="F1215" s="15">
        <f t="shared" si="1"/>
        <v>2.32</v>
      </c>
      <c r="G1215" s="13" t="str">
        <f>ROUND(Github!O$1298, 2)&amp;"%"</f>
        <v>52.02%</v>
      </c>
      <c r="H1215" s="13" t="str">
        <f>Github!H$1298</f>
        <v>Algorithms</v>
      </c>
      <c r="I1215" s="16" t="str">
        <f>SUBSTITUTE(Github!L$1298, ";", ", ")</f>
        <v>Hash Table, String, Sliding Window, </v>
      </c>
      <c r="J1215" s="13" t="str">
        <f>Github!E$1298</f>
        <v>Medium</v>
      </c>
      <c r="K1215" s="13" t="str">
        <f>IF(TRIM(Github!D$1298)="TRUE","FALSE","TRUE")</f>
        <v>TRUE</v>
      </c>
      <c r="L1215" s="13" t="b">
        <f>Github!M$1298</f>
        <v>0</v>
      </c>
      <c r="M1215" s="13" t="b">
        <f>Github!N$1298</f>
        <v>0</v>
      </c>
      <c r="N1215" s="13">
        <f>Github!P$1298</f>
        <v>38975</v>
      </c>
      <c r="O1215" s="13">
        <f>Github!Q$1298</f>
        <v>74930</v>
      </c>
    </row>
    <row r="1216">
      <c r="A1216" s="13">
        <f>Github!J$2188</f>
        <v>2187</v>
      </c>
      <c r="B1216" s="14" t="str">
        <f>HYPERLINK(CONCAT("http://leetcode.com/problems/",Github!C$2188), Github!B$2188)</f>
        <v>Minimum Time to Complete Trips</v>
      </c>
      <c r="C1216" s="13">
        <f>Github!F$2188</f>
        <v>789</v>
      </c>
      <c r="D1216" s="13">
        <f>Github!G$2188</f>
        <v>45</v>
      </c>
      <c r="E1216" s="13">
        <f>Github!F$2188+Github!G$2188</f>
        <v>834</v>
      </c>
      <c r="F1216" s="15">
        <f t="shared" si="1"/>
        <v>17.53</v>
      </c>
      <c r="G1216" s="13" t="str">
        <f>ROUND(Github!O$2188, 2)&amp;"%"</f>
        <v>32.12%</v>
      </c>
      <c r="H1216" s="13" t="str">
        <f>Github!H$2188</f>
        <v>Algorithms</v>
      </c>
      <c r="I1216" s="16" t="str">
        <f>SUBSTITUTE(Github!L$2188, ";", ", ")</f>
        <v>Array, Binary Search, </v>
      </c>
      <c r="J1216" s="13" t="str">
        <f>Github!E$2188</f>
        <v>Medium</v>
      </c>
      <c r="K1216" s="13" t="str">
        <f>IF(TRIM(Github!D$2188)="TRUE","FALSE","TRUE")</f>
        <v>TRUE</v>
      </c>
      <c r="L1216" s="13" t="b">
        <f>Github!M$2188</f>
        <v>0</v>
      </c>
      <c r="M1216" s="13" t="b">
        <f>Github!N$2188</f>
        <v>0</v>
      </c>
      <c r="N1216" s="13">
        <f>Github!P$2188</f>
        <v>29717</v>
      </c>
      <c r="O1216" s="13">
        <f>Github!Q$2188</f>
        <v>92512</v>
      </c>
    </row>
    <row r="1217">
      <c r="A1217" s="13">
        <f>Github!J$925</f>
        <v>924</v>
      </c>
      <c r="B1217" s="14" t="str">
        <f>HYPERLINK(CONCAT("http://leetcode.com/problems/",Github!C$925), Github!B$925)</f>
        <v>Minimize Malware Spread</v>
      </c>
      <c r="C1217" s="13">
        <f>Github!F$925</f>
        <v>781</v>
      </c>
      <c r="D1217" s="13">
        <f>Github!G$925</f>
        <v>473</v>
      </c>
      <c r="E1217" s="13">
        <f>Github!F$925+Github!G$925</f>
        <v>1254</v>
      </c>
      <c r="F1217" s="15">
        <f t="shared" si="1"/>
        <v>1.65</v>
      </c>
      <c r="G1217" s="13" t="str">
        <f>ROUND(Github!O$925, 2)&amp;"%"</f>
        <v>42.07%</v>
      </c>
      <c r="H1217" s="13" t="str">
        <f>Github!H$925</f>
        <v>Algorithms</v>
      </c>
      <c r="I1217" s="16" t="str">
        <f>SUBSTITUTE(Github!L$925, ";", ", ")</f>
        <v>Array, Depth-First Search, Breadth-First Search, Union Find, Matrix, </v>
      </c>
      <c r="J1217" s="13" t="str">
        <f>Github!E$925</f>
        <v>Hard</v>
      </c>
      <c r="K1217" s="13" t="str">
        <f>IF(TRIM(Github!D$925)="TRUE","FALSE","TRUE")</f>
        <v>TRUE</v>
      </c>
      <c r="L1217" s="13" t="b">
        <f>Github!M$925</f>
        <v>1</v>
      </c>
      <c r="M1217" s="13" t="b">
        <f>Github!N$925</f>
        <v>0</v>
      </c>
      <c r="N1217" s="13">
        <f>Github!P$925</f>
        <v>41914</v>
      </c>
      <c r="O1217" s="13">
        <f>Github!Q$925</f>
        <v>99618</v>
      </c>
    </row>
    <row r="1218">
      <c r="A1218" s="13">
        <f>Github!J$1781</f>
        <v>1780</v>
      </c>
      <c r="B1218" s="14" t="str">
        <f>HYPERLINK(CONCAT("http://leetcode.com/problems/",Github!C$1781), Github!B$1781)</f>
        <v>Check if Number is a Sum of Powers of Three</v>
      </c>
      <c r="C1218" s="13">
        <f>Github!F$1781</f>
        <v>782</v>
      </c>
      <c r="D1218" s="13">
        <f>Github!G$1781</f>
        <v>27</v>
      </c>
      <c r="E1218" s="13">
        <f>Github!F$1781+Github!G$1781</f>
        <v>809</v>
      </c>
      <c r="F1218" s="15">
        <f t="shared" si="1"/>
        <v>28.96</v>
      </c>
      <c r="G1218" s="13" t="str">
        <f>ROUND(Github!O$1781, 2)&amp;"%"</f>
        <v>65.54%</v>
      </c>
      <c r="H1218" s="13" t="str">
        <f>Github!H$1781</f>
        <v>Algorithms</v>
      </c>
      <c r="I1218" s="16" t="str">
        <f>SUBSTITUTE(Github!L$1781, ";", ", ")</f>
        <v>Math, </v>
      </c>
      <c r="J1218" s="13" t="str">
        <f>Github!E$1781</f>
        <v>Medium</v>
      </c>
      <c r="K1218" s="13" t="str">
        <f>IF(TRIM(Github!D$1781)="TRUE","FALSE","TRUE")</f>
        <v>TRUE</v>
      </c>
      <c r="L1218" s="13" t="b">
        <f>Github!M$1781</f>
        <v>0</v>
      </c>
      <c r="M1218" s="13" t="b">
        <f>Github!N$1781</f>
        <v>0</v>
      </c>
      <c r="N1218" s="13">
        <f>Github!P$1781</f>
        <v>29926</v>
      </c>
      <c r="O1218" s="13">
        <f>Github!Q$1781</f>
        <v>45661</v>
      </c>
    </row>
    <row r="1219">
      <c r="A1219" s="13">
        <f>Github!J$1712</f>
        <v>1711</v>
      </c>
      <c r="B1219" s="14" t="str">
        <f>HYPERLINK(CONCAT("http://leetcode.com/problems/",Github!C$1712), Github!B$1712)</f>
        <v>Count Good Meals</v>
      </c>
      <c r="C1219" s="13">
        <f>Github!F$1712</f>
        <v>786</v>
      </c>
      <c r="D1219" s="13">
        <f>Github!G$1712</f>
        <v>219</v>
      </c>
      <c r="E1219" s="13">
        <f>Github!F$1712+Github!G$1712</f>
        <v>1005</v>
      </c>
      <c r="F1219" s="15">
        <f t="shared" si="1"/>
        <v>3.59</v>
      </c>
      <c r="G1219" s="13" t="str">
        <f>ROUND(Github!O$1712, 2)&amp;"%"</f>
        <v>29.12%</v>
      </c>
      <c r="H1219" s="13" t="str">
        <f>Github!H$1712</f>
        <v>Algorithms</v>
      </c>
      <c r="I1219" s="16" t="str">
        <f>SUBSTITUTE(Github!L$1712, ";", ", ")</f>
        <v>Array, Hash Table, </v>
      </c>
      <c r="J1219" s="13" t="str">
        <f>Github!E$1712</f>
        <v>Medium</v>
      </c>
      <c r="K1219" s="13" t="str">
        <f>IF(TRIM(Github!D$1712)="TRUE","FALSE","TRUE")</f>
        <v>TRUE</v>
      </c>
      <c r="L1219" s="13" t="b">
        <f>Github!M$1712</f>
        <v>0</v>
      </c>
      <c r="M1219" s="13" t="b">
        <f>Github!N$1712</f>
        <v>0</v>
      </c>
      <c r="N1219" s="13">
        <f>Github!P$1712</f>
        <v>30528</v>
      </c>
      <c r="O1219" s="13">
        <f>Github!Q$1712</f>
        <v>104828</v>
      </c>
    </row>
    <row r="1220">
      <c r="A1220" s="13">
        <f>Github!J$810</f>
        <v>809</v>
      </c>
      <c r="B1220" s="14" t="str">
        <f>HYPERLINK(CONCAT("http://leetcode.com/problems/",Github!C$810), Github!B$810)</f>
        <v>Expressive Words</v>
      </c>
      <c r="C1220" s="13">
        <f>Github!F$810</f>
        <v>776</v>
      </c>
      <c r="D1220" s="13">
        <f>Github!G$810</f>
        <v>1776</v>
      </c>
      <c r="E1220" s="13">
        <f>Github!F$810+Github!G$810</f>
        <v>2552</v>
      </c>
      <c r="F1220" s="15">
        <f t="shared" si="1"/>
        <v>0.44</v>
      </c>
      <c r="G1220" s="13" t="str">
        <f>ROUND(Github!O$810, 2)&amp;"%"</f>
        <v>46.26%</v>
      </c>
      <c r="H1220" s="13" t="str">
        <f>Github!H$810</f>
        <v>Algorithms</v>
      </c>
      <c r="I1220" s="16" t="str">
        <f>SUBSTITUTE(Github!L$810, ";", ", ")</f>
        <v>Array, Two Pointers, String, </v>
      </c>
      <c r="J1220" s="13" t="str">
        <f>Github!E$810</f>
        <v>Medium</v>
      </c>
      <c r="K1220" s="13" t="str">
        <f>IF(TRIM(Github!D$810)="TRUE","FALSE","TRUE")</f>
        <v>TRUE</v>
      </c>
      <c r="L1220" s="13" t="b">
        <f>Github!M$810</f>
        <v>0</v>
      </c>
      <c r="M1220" s="13" t="b">
        <f>Github!N$810</f>
        <v>0</v>
      </c>
      <c r="N1220" s="13">
        <f>Github!P$810</f>
        <v>105260</v>
      </c>
      <c r="O1220" s="13">
        <f>Github!Q$810</f>
        <v>227521</v>
      </c>
    </row>
    <row r="1221">
      <c r="A1221" s="13">
        <f>Github!J$738</f>
        <v>737</v>
      </c>
      <c r="B1221" s="14" t="str">
        <f>HYPERLINK(CONCAT("http://leetcode.com/problems/",Github!C$738), Github!B$738)</f>
        <v>Sentence Similarity II</v>
      </c>
      <c r="C1221" s="13">
        <f>Github!F$738</f>
        <v>774</v>
      </c>
      <c r="D1221" s="13">
        <f>Github!G$738</f>
        <v>43</v>
      </c>
      <c r="E1221" s="13">
        <f>Github!F$738+Github!G$738</f>
        <v>817</v>
      </c>
      <c r="F1221" s="15">
        <f t="shared" si="1"/>
        <v>18</v>
      </c>
      <c r="G1221" s="13" t="str">
        <f>ROUND(Github!O$738, 2)&amp;"%"</f>
        <v>48.84%</v>
      </c>
      <c r="H1221" s="13" t="str">
        <f>Github!H$738</f>
        <v>Algorithms</v>
      </c>
      <c r="I1221" s="16" t="str">
        <f>SUBSTITUTE(Github!L$738, ";", ", ")</f>
        <v>Array, Hash Table, String, Depth-First Search, Breadth-First Search, Union Find, </v>
      </c>
      <c r="J1221" s="13" t="str">
        <f>Github!E$738</f>
        <v>Medium</v>
      </c>
      <c r="K1221" s="13" t="str">
        <f>IF(TRIM(Github!D$738)="TRUE","FALSE","TRUE")</f>
        <v>FALSE</v>
      </c>
      <c r="L1221" s="13" t="b">
        <f>Github!M$738</f>
        <v>1</v>
      </c>
      <c r="M1221" s="13" t="b">
        <f>Github!N$738</f>
        <v>0</v>
      </c>
      <c r="N1221" s="13">
        <f>Github!P$738</f>
        <v>64115</v>
      </c>
      <c r="O1221" s="13">
        <f>Github!Q$738</f>
        <v>131265</v>
      </c>
    </row>
    <row r="1222">
      <c r="A1222" s="13">
        <f>Github!J$1791</f>
        <v>1790</v>
      </c>
      <c r="B1222" s="14" t="str">
        <f>HYPERLINK(CONCAT("http://leetcode.com/problems/",Github!C$1791), Github!B$1791)</f>
        <v>Check if One String Swap Can Make Strings Equal</v>
      </c>
      <c r="C1222" s="13">
        <f>Github!F$1791</f>
        <v>780</v>
      </c>
      <c r="D1222" s="13">
        <f>Github!G$1791</f>
        <v>37</v>
      </c>
      <c r="E1222" s="13">
        <f>Github!F$1791+Github!G$1791</f>
        <v>817</v>
      </c>
      <c r="F1222" s="15">
        <f t="shared" si="1"/>
        <v>21.08</v>
      </c>
      <c r="G1222" s="13" t="str">
        <f>ROUND(Github!O$1791, 2)&amp;"%"</f>
        <v>45.57%</v>
      </c>
      <c r="H1222" s="13" t="str">
        <f>Github!H$1791</f>
        <v>Algorithms</v>
      </c>
      <c r="I1222" s="16" t="str">
        <f>SUBSTITUTE(Github!L$1791, ";", ", ")</f>
        <v>Hash Table, String, Counting, </v>
      </c>
      <c r="J1222" s="13" t="str">
        <f>Github!E$1791</f>
        <v>Easy</v>
      </c>
      <c r="K1222" s="13" t="str">
        <f>IF(TRIM(Github!D$1791)="TRUE","FALSE","TRUE")</f>
        <v>TRUE</v>
      </c>
      <c r="L1222" s="13" t="b">
        <f>Github!M$1791</f>
        <v>0</v>
      </c>
      <c r="M1222" s="13" t="b">
        <f>Github!N$1791</f>
        <v>0</v>
      </c>
      <c r="N1222" s="13">
        <f>Github!P$1791</f>
        <v>72536</v>
      </c>
      <c r="O1222" s="13">
        <f>Github!Q$1791</f>
        <v>159161</v>
      </c>
    </row>
    <row r="1223">
      <c r="A1223" s="13">
        <f>Github!J$1692</f>
        <v>1691</v>
      </c>
      <c r="B1223" s="14" t="str">
        <f>HYPERLINK(CONCAT("http://leetcode.com/problems/",Github!C$1692), Github!B$1692)</f>
        <v>Maximum Height by Stacking Cuboids </v>
      </c>
      <c r="C1223" s="13">
        <f>Github!F$1692</f>
        <v>777</v>
      </c>
      <c r="D1223" s="13">
        <f>Github!G$1692</f>
        <v>22</v>
      </c>
      <c r="E1223" s="13">
        <f>Github!F$1692+Github!G$1692</f>
        <v>799</v>
      </c>
      <c r="F1223" s="15">
        <f t="shared" si="1"/>
        <v>35.32</v>
      </c>
      <c r="G1223" s="13" t="str">
        <f>ROUND(Github!O$1692, 2)&amp;"%"</f>
        <v>54.37%</v>
      </c>
      <c r="H1223" s="13" t="str">
        <f>Github!H$1692</f>
        <v>Algorithms</v>
      </c>
      <c r="I1223" s="16" t="str">
        <f>SUBSTITUTE(Github!L$1692, ";", ", ")</f>
        <v>Array, Dynamic Programming, Sorting, </v>
      </c>
      <c r="J1223" s="13" t="str">
        <f>Github!E$1692</f>
        <v>Hard</v>
      </c>
      <c r="K1223" s="13" t="str">
        <f>IF(TRIM(Github!D$1692)="TRUE","FALSE","TRUE")</f>
        <v>TRUE</v>
      </c>
      <c r="L1223" s="13" t="b">
        <f>Github!M$1692</f>
        <v>0</v>
      </c>
      <c r="M1223" s="13" t="b">
        <f>Github!N$1692</f>
        <v>0</v>
      </c>
      <c r="N1223" s="13">
        <f>Github!P$1692</f>
        <v>16123</v>
      </c>
      <c r="O1223" s="13">
        <f>Github!Q$1692</f>
        <v>29652</v>
      </c>
    </row>
    <row r="1224">
      <c r="A1224" s="13">
        <f>Github!J$1641</f>
        <v>1640</v>
      </c>
      <c r="B1224" s="14" t="str">
        <f>HYPERLINK(CONCAT("http://leetcode.com/problems/",Github!C$1641), Github!B$1641)</f>
        <v>Check Array Formation Through Concatenation</v>
      </c>
      <c r="C1224" s="13">
        <f>Github!F$1641</f>
        <v>775</v>
      </c>
      <c r="D1224" s="13">
        <f>Github!G$1641</f>
        <v>125</v>
      </c>
      <c r="E1224" s="13">
        <f>Github!F$1641+Github!G$1641</f>
        <v>900</v>
      </c>
      <c r="F1224" s="15">
        <f t="shared" si="1"/>
        <v>6.2</v>
      </c>
      <c r="G1224" s="13" t="str">
        <f>ROUND(Github!O$1641, 2)&amp;"%"</f>
        <v>56.16%</v>
      </c>
      <c r="H1224" s="13" t="str">
        <f>Github!H$1641</f>
        <v>Algorithms</v>
      </c>
      <c r="I1224" s="16" t="str">
        <f>SUBSTITUTE(Github!L$1641, ";", ", ")</f>
        <v>Array, Hash Table, </v>
      </c>
      <c r="J1224" s="13" t="str">
        <f>Github!E$1641</f>
        <v>Easy</v>
      </c>
      <c r="K1224" s="13" t="str">
        <f>IF(TRIM(Github!D$1641)="TRUE","FALSE","TRUE")</f>
        <v>TRUE</v>
      </c>
      <c r="L1224" s="13" t="b">
        <f>Github!M$1641</f>
        <v>1</v>
      </c>
      <c r="M1224" s="13" t="b">
        <f>Github!N$1641</f>
        <v>0</v>
      </c>
      <c r="N1224" s="13">
        <f>Github!P$1641</f>
        <v>72818</v>
      </c>
      <c r="O1224" s="13">
        <f>Github!Q$1641</f>
        <v>129671</v>
      </c>
    </row>
    <row r="1225">
      <c r="A1225" s="13">
        <f>Github!J$197</f>
        <v>196</v>
      </c>
      <c r="B1225" s="14" t="str">
        <f>HYPERLINK(CONCAT("http://leetcode.com/problems/",Github!C$197), Github!B$197)</f>
        <v>Delete Duplicate Emails</v>
      </c>
      <c r="C1225" s="13">
        <f>Github!F$197</f>
        <v>789</v>
      </c>
      <c r="D1225" s="13">
        <f>Github!G$197</f>
        <v>151</v>
      </c>
      <c r="E1225" s="13">
        <f>Github!F$197+Github!G$197</f>
        <v>940</v>
      </c>
      <c r="F1225" s="15">
        <f t="shared" si="1"/>
        <v>5.23</v>
      </c>
      <c r="G1225" s="13" t="str">
        <f>ROUND(Github!O$197, 2)&amp;"%"</f>
        <v>59.54%</v>
      </c>
      <c r="H1225" s="13" t="str">
        <f>Github!H$197</f>
        <v>Database</v>
      </c>
      <c r="I1225" s="16" t="str">
        <f>SUBSTITUTE(Github!L$197, ";", ", ")</f>
        <v>Database, </v>
      </c>
      <c r="J1225" s="13" t="str">
        <f>Github!E$197</f>
        <v>Easy</v>
      </c>
      <c r="K1225" s="13" t="str">
        <f>IF(TRIM(Github!D$197)="TRUE","FALSE","TRUE")</f>
        <v>TRUE</v>
      </c>
      <c r="L1225" s="13" t="b">
        <f>Github!M$197</f>
        <v>1</v>
      </c>
      <c r="M1225" s="13" t="b">
        <f>Github!N$197</f>
        <v>0</v>
      </c>
      <c r="N1225" s="13">
        <f>Github!P$197</f>
        <v>326864</v>
      </c>
      <c r="O1225" s="13">
        <f>Github!Q$197</f>
        <v>548968</v>
      </c>
    </row>
    <row r="1226">
      <c r="A1226" s="13">
        <f>Github!J$2263</f>
        <v>2262</v>
      </c>
      <c r="B1226" s="14" t="str">
        <f>HYPERLINK(CONCAT("http://leetcode.com/problems/",Github!C$2263), Github!B$2263)</f>
        <v>Total Appeal of A String</v>
      </c>
      <c r="C1226" s="13">
        <f>Github!F$2263</f>
        <v>772</v>
      </c>
      <c r="D1226" s="13">
        <f>Github!G$2263</f>
        <v>17</v>
      </c>
      <c r="E1226" s="13">
        <f>Github!F$2263+Github!G$2263</f>
        <v>789</v>
      </c>
      <c r="F1226" s="15">
        <f t="shared" si="1"/>
        <v>45.41</v>
      </c>
      <c r="G1226" s="13" t="str">
        <f>ROUND(Github!O$2263, 2)&amp;"%"</f>
        <v>57.84%</v>
      </c>
      <c r="H1226" s="13" t="str">
        <f>Github!H$2263</f>
        <v>Algorithms</v>
      </c>
      <c r="I1226" s="16" t="str">
        <f>SUBSTITUTE(Github!L$2263, ";", ", ")</f>
        <v>Hash Table, String, Dynamic Programming, </v>
      </c>
      <c r="J1226" s="13" t="str">
        <f>Github!E$2263</f>
        <v>Hard</v>
      </c>
      <c r="K1226" s="13" t="str">
        <f>IF(TRIM(Github!D$2263)="TRUE","FALSE","TRUE")</f>
        <v>TRUE</v>
      </c>
      <c r="L1226" s="13" t="b">
        <f>Github!M$2263</f>
        <v>0</v>
      </c>
      <c r="M1226" s="13" t="b">
        <f>Github!N$2263</f>
        <v>0</v>
      </c>
      <c r="N1226" s="13">
        <f>Github!P$2263</f>
        <v>21500</v>
      </c>
      <c r="O1226" s="13">
        <f>Github!Q$2263</f>
        <v>37173</v>
      </c>
    </row>
    <row r="1227">
      <c r="A1227" s="13">
        <f>Github!J$1288</f>
        <v>1287</v>
      </c>
      <c r="B1227" s="14" t="str">
        <f>HYPERLINK(CONCAT("http://leetcode.com/problems/",Github!C$1288), Github!B$1288)</f>
        <v>Element Appearing More Than 25% In Sorted Array</v>
      </c>
      <c r="C1227" s="13">
        <f>Github!F$1288</f>
        <v>768</v>
      </c>
      <c r="D1227" s="13">
        <f>Github!G$1288</f>
        <v>40</v>
      </c>
      <c r="E1227" s="13">
        <f>Github!F$1288+Github!G$1288</f>
        <v>808</v>
      </c>
      <c r="F1227" s="15">
        <f t="shared" si="1"/>
        <v>19.2</v>
      </c>
      <c r="G1227" s="13" t="str">
        <f>ROUND(Github!O$1288, 2)&amp;"%"</f>
        <v>59.52%</v>
      </c>
      <c r="H1227" s="13" t="str">
        <f>Github!H$1288</f>
        <v>Algorithms</v>
      </c>
      <c r="I1227" s="16" t="str">
        <f>SUBSTITUTE(Github!L$1288, ";", ", ")</f>
        <v>Array, </v>
      </c>
      <c r="J1227" s="13" t="str">
        <f>Github!E$1288</f>
        <v>Easy</v>
      </c>
      <c r="K1227" s="13" t="str">
        <f>IF(TRIM(Github!D$1288)="TRUE","FALSE","TRUE")</f>
        <v>TRUE</v>
      </c>
      <c r="L1227" s="13" t="b">
        <f>Github!M$1288</f>
        <v>0</v>
      </c>
      <c r="M1227" s="13" t="b">
        <f>Github!N$1288</f>
        <v>0</v>
      </c>
      <c r="N1227" s="13">
        <f>Github!P$1288</f>
        <v>72939</v>
      </c>
      <c r="O1227" s="13">
        <f>Github!Q$1288</f>
        <v>122548</v>
      </c>
    </row>
    <row r="1228">
      <c r="A1228" s="13">
        <f>Github!J$1509</f>
        <v>1508</v>
      </c>
      <c r="B1228" s="14" t="str">
        <f>HYPERLINK(CONCAT("http://leetcode.com/problems/",Github!C$1509), Github!B$1509)</f>
        <v>Range Sum of Sorted Subarray Sums</v>
      </c>
      <c r="C1228" s="13">
        <f>Github!F$1509</f>
        <v>767</v>
      </c>
      <c r="D1228" s="13">
        <f>Github!G$1509</f>
        <v>131</v>
      </c>
      <c r="E1228" s="13">
        <f>Github!F$1509+Github!G$1509</f>
        <v>898</v>
      </c>
      <c r="F1228" s="15">
        <f t="shared" si="1"/>
        <v>5.85</v>
      </c>
      <c r="G1228" s="13" t="str">
        <f>ROUND(Github!O$1509, 2)&amp;"%"</f>
        <v>59.2%</v>
      </c>
      <c r="H1228" s="13" t="str">
        <f>Github!H$1509</f>
        <v>Algorithms</v>
      </c>
      <c r="I1228" s="16" t="str">
        <f>SUBSTITUTE(Github!L$1509, ";", ", ")</f>
        <v>Array, Two Pointers, Binary Search, Sorting, </v>
      </c>
      <c r="J1228" s="13" t="str">
        <f>Github!E$1509</f>
        <v>Medium</v>
      </c>
      <c r="K1228" s="13" t="str">
        <f>IF(TRIM(Github!D$1509)="TRUE","FALSE","TRUE")</f>
        <v>TRUE</v>
      </c>
      <c r="L1228" s="13" t="b">
        <f>Github!M$1509</f>
        <v>0</v>
      </c>
      <c r="M1228" s="13" t="b">
        <f>Github!N$1509</f>
        <v>0</v>
      </c>
      <c r="N1228" s="13">
        <f>Github!P$1509</f>
        <v>30538</v>
      </c>
      <c r="O1228" s="13">
        <f>Github!Q$1509</f>
        <v>51582</v>
      </c>
    </row>
    <row r="1229">
      <c r="A1229" s="13">
        <f>Github!J$825</f>
        <v>824</v>
      </c>
      <c r="B1229" s="14" t="str">
        <f>HYPERLINK(CONCAT("http://leetcode.com/problems/",Github!C$825), Github!B$825)</f>
        <v>Goat Latin</v>
      </c>
      <c r="C1229" s="13">
        <f>Github!F$825</f>
        <v>766</v>
      </c>
      <c r="D1229" s="13">
        <f>Github!G$825</f>
        <v>1162</v>
      </c>
      <c r="E1229" s="13">
        <f>Github!F$825+Github!G$825</f>
        <v>1928</v>
      </c>
      <c r="F1229" s="15">
        <f t="shared" si="1"/>
        <v>0.66</v>
      </c>
      <c r="G1229" s="13" t="str">
        <f>ROUND(Github!O$825, 2)&amp;"%"</f>
        <v>67.87%</v>
      </c>
      <c r="H1229" s="13" t="str">
        <f>Github!H$825</f>
        <v>Algorithms</v>
      </c>
      <c r="I1229" s="16" t="str">
        <f>SUBSTITUTE(Github!L$825, ";", ", ")</f>
        <v>String, </v>
      </c>
      <c r="J1229" s="13" t="str">
        <f>Github!E$825</f>
        <v>Easy</v>
      </c>
      <c r="K1229" s="13" t="str">
        <f>IF(TRIM(Github!D$825)="TRUE","FALSE","TRUE")</f>
        <v>TRUE</v>
      </c>
      <c r="L1229" s="13" t="b">
        <f>Github!M$825</f>
        <v>0</v>
      </c>
      <c r="M1229" s="13" t="b">
        <f>Github!N$825</f>
        <v>0</v>
      </c>
      <c r="N1229" s="13">
        <f>Github!P$825</f>
        <v>152891</v>
      </c>
      <c r="O1229" s="13">
        <f>Github!Q$825</f>
        <v>225281</v>
      </c>
    </row>
    <row r="1230">
      <c r="A1230" s="13">
        <f>Github!J$684</f>
        <v>683</v>
      </c>
      <c r="B1230" s="14" t="str">
        <f>HYPERLINK(CONCAT("http://leetcode.com/problems/",Github!C$684), Github!B$684)</f>
        <v>K Empty Slots</v>
      </c>
      <c r="C1230" s="13">
        <f>Github!F$684</f>
        <v>761</v>
      </c>
      <c r="D1230" s="13">
        <f>Github!G$684</f>
        <v>677</v>
      </c>
      <c r="E1230" s="13">
        <f>Github!F$684+Github!G$684</f>
        <v>1438</v>
      </c>
      <c r="F1230" s="15">
        <f t="shared" si="1"/>
        <v>1.12</v>
      </c>
      <c r="G1230" s="13" t="str">
        <f>ROUND(Github!O$684, 2)&amp;"%"</f>
        <v>36.93%</v>
      </c>
      <c r="H1230" s="13" t="str">
        <f>Github!H$684</f>
        <v>Algorithms</v>
      </c>
      <c r="I1230" s="16" t="str">
        <f>SUBSTITUTE(Github!L$684, ";", ", ")</f>
        <v>Array, Binary Indexed Tree, Sliding Window, Ordered Set, </v>
      </c>
      <c r="J1230" s="13" t="str">
        <f>Github!E$684</f>
        <v>Hard</v>
      </c>
      <c r="K1230" s="13" t="str">
        <f>IF(TRIM(Github!D$684)="TRUE","FALSE","TRUE")</f>
        <v>FALSE</v>
      </c>
      <c r="L1230" s="13" t="b">
        <f>Github!M$684</f>
        <v>0</v>
      </c>
      <c r="M1230" s="13" t="b">
        <f>Github!N$684</f>
        <v>0</v>
      </c>
      <c r="N1230" s="13">
        <f>Github!P$684</f>
        <v>58566</v>
      </c>
      <c r="O1230" s="13">
        <f>Github!Q$684</f>
        <v>158587</v>
      </c>
    </row>
    <row r="1231">
      <c r="A1231" s="13">
        <f>Github!J$914</f>
        <v>913</v>
      </c>
      <c r="B1231" s="14" t="str">
        <f>HYPERLINK(CONCAT("http://leetcode.com/problems/",Github!C$914), Github!B$914)</f>
        <v>Cat and Mouse</v>
      </c>
      <c r="C1231" s="13">
        <f>Github!F$914</f>
        <v>759</v>
      </c>
      <c r="D1231" s="13">
        <f>Github!G$914</f>
        <v>129</v>
      </c>
      <c r="E1231" s="13">
        <f>Github!F$914+Github!G$914</f>
        <v>888</v>
      </c>
      <c r="F1231" s="15">
        <f t="shared" si="1"/>
        <v>5.88</v>
      </c>
      <c r="G1231" s="13" t="str">
        <f>ROUND(Github!O$914, 2)&amp;"%"</f>
        <v>35.09%</v>
      </c>
      <c r="H1231" s="13" t="str">
        <f>Github!H$914</f>
        <v>Algorithms</v>
      </c>
      <c r="I1231" s="16" t="str">
        <f>SUBSTITUTE(Github!L$914, ";", ", ")</f>
        <v>Math, Dynamic Programming, Graph, Topological Sort, Memoization, Game Theory, </v>
      </c>
      <c r="J1231" s="13" t="str">
        <f>Github!E$914</f>
        <v>Hard</v>
      </c>
      <c r="K1231" s="13" t="str">
        <f>IF(TRIM(Github!D$914)="TRUE","FALSE","TRUE")</f>
        <v>TRUE</v>
      </c>
      <c r="L1231" s="13" t="b">
        <f>Github!M$914</f>
        <v>1</v>
      </c>
      <c r="M1231" s="13" t="b">
        <f>Github!N$914</f>
        <v>0</v>
      </c>
      <c r="N1231" s="13">
        <f>Github!P$914</f>
        <v>16498</v>
      </c>
      <c r="O1231" s="13">
        <f>Github!Q$914</f>
        <v>47016</v>
      </c>
    </row>
    <row r="1232">
      <c r="A1232" s="13">
        <f>Github!J$1862</f>
        <v>1861</v>
      </c>
      <c r="B1232" s="14" t="str">
        <f>HYPERLINK(CONCAT("http://leetcode.com/problems/",Github!C$1862), Github!B$1862)</f>
        <v>Rotating the Box</v>
      </c>
      <c r="C1232" s="13">
        <f>Github!F$1862</f>
        <v>766</v>
      </c>
      <c r="D1232" s="13">
        <f>Github!G$1862</f>
        <v>47</v>
      </c>
      <c r="E1232" s="13">
        <f>Github!F$1862+Github!G$1862</f>
        <v>813</v>
      </c>
      <c r="F1232" s="15">
        <f t="shared" si="1"/>
        <v>16.3</v>
      </c>
      <c r="G1232" s="13" t="str">
        <f>ROUND(Github!O$1862, 2)&amp;"%"</f>
        <v>64.81%</v>
      </c>
      <c r="H1232" s="13" t="str">
        <f>Github!H$1862</f>
        <v>Algorithms</v>
      </c>
      <c r="I1232" s="16" t="str">
        <f>SUBSTITUTE(Github!L$1862, ";", ", ")</f>
        <v>Array, Two Pointers, Matrix, </v>
      </c>
      <c r="J1232" s="13" t="str">
        <f>Github!E$1862</f>
        <v>Medium</v>
      </c>
      <c r="K1232" s="13" t="str">
        <f>IF(TRIM(Github!D$1862)="TRUE","FALSE","TRUE")</f>
        <v>TRUE</v>
      </c>
      <c r="L1232" s="13" t="b">
        <f>Github!M$1862</f>
        <v>0</v>
      </c>
      <c r="M1232" s="13" t="b">
        <f>Github!N$1862</f>
        <v>0</v>
      </c>
      <c r="N1232" s="13">
        <f>Github!P$1862</f>
        <v>37663</v>
      </c>
      <c r="O1232" s="13">
        <f>Github!Q$1862</f>
        <v>58112</v>
      </c>
    </row>
    <row r="1233">
      <c r="A1233" s="13">
        <f>Github!J$1538</f>
        <v>1537</v>
      </c>
      <c r="B1233" s="14" t="str">
        <f>HYPERLINK(CONCAT("http://leetcode.com/problems/",Github!C$1538), Github!B$1538)</f>
        <v>Get the Maximum Score</v>
      </c>
      <c r="C1233" s="13">
        <f>Github!F$1538</f>
        <v>765</v>
      </c>
      <c r="D1233" s="13">
        <f>Github!G$1538</f>
        <v>40</v>
      </c>
      <c r="E1233" s="13">
        <f>Github!F$1538+Github!G$1538</f>
        <v>805</v>
      </c>
      <c r="F1233" s="15">
        <f t="shared" si="1"/>
        <v>19.13</v>
      </c>
      <c r="G1233" s="13" t="str">
        <f>ROUND(Github!O$1538, 2)&amp;"%"</f>
        <v>39.28%</v>
      </c>
      <c r="H1233" s="13" t="str">
        <f>Github!H$1538</f>
        <v>Algorithms</v>
      </c>
      <c r="I1233" s="16" t="str">
        <f>SUBSTITUTE(Github!L$1538, ";", ", ")</f>
        <v>Array, Two Pointers, Dynamic Programming, Greedy, </v>
      </c>
      <c r="J1233" s="13" t="str">
        <f>Github!E$1538</f>
        <v>Hard</v>
      </c>
      <c r="K1233" s="13" t="str">
        <f>IF(TRIM(Github!D$1538)="TRUE","FALSE","TRUE")</f>
        <v>TRUE</v>
      </c>
      <c r="L1233" s="13" t="b">
        <f>Github!M$1538</f>
        <v>0</v>
      </c>
      <c r="M1233" s="13" t="b">
        <f>Github!N$1538</f>
        <v>0</v>
      </c>
      <c r="N1233" s="13">
        <f>Github!P$1538</f>
        <v>20448</v>
      </c>
      <c r="O1233" s="13">
        <f>Github!Q$1538</f>
        <v>52051</v>
      </c>
    </row>
    <row r="1234">
      <c r="A1234" s="13">
        <f>Github!J$1916</f>
        <v>1915</v>
      </c>
      <c r="B1234" s="14" t="str">
        <f>HYPERLINK(CONCAT("http://leetcode.com/problems/",Github!C$1916), Github!B$1916)</f>
        <v>Number of Wonderful Substrings</v>
      </c>
      <c r="C1234" s="13">
        <f>Github!F$1916</f>
        <v>760</v>
      </c>
      <c r="D1234" s="13">
        <f>Github!G$1916</f>
        <v>50</v>
      </c>
      <c r="E1234" s="13">
        <f>Github!F$1916+Github!G$1916</f>
        <v>810</v>
      </c>
      <c r="F1234" s="15">
        <f t="shared" si="1"/>
        <v>15.2</v>
      </c>
      <c r="G1234" s="13" t="str">
        <f>ROUND(Github!O$1916, 2)&amp;"%"</f>
        <v>45.36%</v>
      </c>
      <c r="H1234" s="13" t="str">
        <f>Github!H$1916</f>
        <v>Algorithms</v>
      </c>
      <c r="I1234" s="16" t="str">
        <f>SUBSTITUTE(Github!L$1916, ";", ", ")</f>
        <v>Hash Table, String, Bit Manipulation, Prefix Sum, </v>
      </c>
      <c r="J1234" s="13" t="str">
        <f>Github!E$1916</f>
        <v>Medium</v>
      </c>
      <c r="K1234" s="13" t="str">
        <f>IF(TRIM(Github!D$1916)="TRUE","FALSE","TRUE")</f>
        <v>TRUE</v>
      </c>
      <c r="L1234" s="13" t="b">
        <f>Github!M$1916</f>
        <v>0</v>
      </c>
      <c r="M1234" s="13" t="b">
        <f>Github!N$1916</f>
        <v>0</v>
      </c>
      <c r="N1234" s="13">
        <f>Github!P$1916</f>
        <v>10502</v>
      </c>
      <c r="O1234" s="13">
        <f>Github!Q$1916</f>
        <v>23155</v>
      </c>
    </row>
    <row r="1235">
      <c r="A1235" s="13">
        <f>Github!J$599</f>
        <v>598</v>
      </c>
      <c r="B1235" s="14" t="str">
        <f>HYPERLINK(CONCAT("http://leetcode.com/problems/",Github!C$599), Github!B$599)</f>
        <v>Range Addition II</v>
      </c>
      <c r="C1235" s="13">
        <f>Github!F$599</f>
        <v>769</v>
      </c>
      <c r="D1235" s="13">
        <f>Github!G$599</f>
        <v>872</v>
      </c>
      <c r="E1235" s="13">
        <f>Github!F$599+Github!G$599</f>
        <v>1641</v>
      </c>
      <c r="F1235" s="15">
        <f t="shared" si="1"/>
        <v>0.88</v>
      </c>
      <c r="G1235" s="13" t="str">
        <f>ROUND(Github!O$599, 2)&amp;"%"</f>
        <v>55.14%</v>
      </c>
      <c r="H1235" s="13" t="str">
        <f>Github!H$599</f>
        <v>Algorithms</v>
      </c>
      <c r="I1235" s="16" t="str">
        <f>SUBSTITUTE(Github!L$599, ";", ", ")</f>
        <v>Array, Math, </v>
      </c>
      <c r="J1235" s="13" t="str">
        <f>Github!E$599</f>
        <v>Easy</v>
      </c>
      <c r="K1235" s="13" t="str">
        <f>IF(TRIM(Github!D$599)="TRUE","FALSE","TRUE")</f>
        <v>TRUE</v>
      </c>
      <c r="L1235" s="13" t="b">
        <f>Github!M$599</f>
        <v>1</v>
      </c>
      <c r="M1235" s="13" t="b">
        <f>Github!N$599</f>
        <v>0</v>
      </c>
      <c r="N1235" s="13">
        <f>Github!P$599</f>
        <v>85517</v>
      </c>
      <c r="O1235" s="13">
        <f>Github!Q$599</f>
        <v>155087</v>
      </c>
    </row>
    <row r="1236">
      <c r="A1236" s="13">
        <f>Github!J$585</f>
        <v>584</v>
      </c>
      <c r="B1236" s="14" t="str">
        <f>HYPERLINK(CONCAT("http://leetcode.com/problems/",Github!C$585), Github!B$585)</f>
        <v>Find Customer Referee</v>
      </c>
      <c r="C1236" s="13">
        <f>Github!F$585</f>
        <v>790</v>
      </c>
      <c r="D1236" s="13">
        <f>Github!G$585</f>
        <v>260</v>
      </c>
      <c r="E1236" s="13">
        <f>Github!F$585+Github!G$585</f>
        <v>1050</v>
      </c>
      <c r="F1236" s="15">
        <f t="shared" si="1"/>
        <v>3.04</v>
      </c>
      <c r="G1236" s="13" t="str">
        <f>ROUND(Github!O$585, 2)&amp;"%"</f>
        <v>69.7%</v>
      </c>
      <c r="H1236" s="13" t="str">
        <f>Github!H$585</f>
        <v>Database</v>
      </c>
      <c r="I1236" s="16" t="str">
        <f>SUBSTITUTE(Github!L$585, ";", ", ")</f>
        <v>Database, </v>
      </c>
      <c r="J1236" s="13" t="str">
        <f>Github!E$585</f>
        <v>Easy</v>
      </c>
      <c r="K1236" s="13" t="str">
        <f>IF(TRIM(Github!D$585)="TRUE","FALSE","TRUE")</f>
        <v>TRUE</v>
      </c>
      <c r="L1236" s="13" t="b">
        <f>Github!M$585</f>
        <v>1</v>
      </c>
      <c r="M1236" s="13" t="b">
        <f>Github!N$585</f>
        <v>0</v>
      </c>
      <c r="N1236" s="13">
        <f>Github!P$585</f>
        <v>234227</v>
      </c>
      <c r="O1236" s="13">
        <f>Github!Q$585</f>
        <v>336045</v>
      </c>
    </row>
    <row r="1237">
      <c r="A1237" s="13">
        <f>Github!J$1188</f>
        <v>1187</v>
      </c>
      <c r="B1237" s="14" t="str">
        <f>HYPERLINK(CONCAT("http://leetcode.com/problems/",Github!C$1188), Github!B$1188)</f>
        <v>Make Array Strictly Increasing</v>
      </c>
      <c r="C1237" s="13">
        <f>Github!F$1188</f>
        <v>754</v>
      </c>
      <c r="D1237" s="13">
        <f>Github!G$1188</f>
        <v>18</v>
      </c>
      <c r="E1237" s="13">
        <f>Github!F$1188+Github!G$1188</f>
        <v>772</v>
      </c>
      <c r="F1237" s="15">
        <f t="shared" si="1"/>
        <v>41.89</v>
      </c>
      <c r="G1237" s="13" t="str">
        <f>ROUND(Github!O$1188, 2)&amp;"%"</f>
        <v>45.24%</v>
      </c>
      <c r="H1237" s="13" t="str">
        <f>Github!H$1188</f>
        <v>Algorithms</v>
      </c>
      <c r="I1237" s="16" t="str">
        <f>SUBSTITUTE(Github!L$1188, ";", ", ")</f>
        <v>Array, Binary Search, Dynamic Programming, </v>
      </c>
      <c r="J1237" s="13" t="str">
        <f>Github!E$1188</f>
        <v>Hard</v>
      </c>
      <c r="K1237" s="13" t="str">
        <f>IF(TRIM(Github!D$1188)="TRUE","FALSE","TRUE")</f>
        <v>TRUE</v>
      </c>
      <c r="L1237" s="13" t="b">
        <f>Github!M$1188</f>
        <v>0</v>
      </c>
      <c r="M1237" s="13" t="b">
        <f>Github!N$1188</f>
        <v>0</v>
      </c>
      <c r="N1237" s="13">
        <f>Github!P$1188</f>
        <v>13277</v>
      </c>
      <c r="O1237" s="13">
        <f>Github!Q$1188</f>
        <v>29347</v>
      </c>
    </row>
    <row r="1238">
      <c r="A1238" s="13">
        <f>Github!J$1724</f>
        <v>1723</v>
      </c>
      <c r="B1238" s="14" t="str">
        <f>HYPERLINK(CONCAT("http://leetcode.com/problems/",Github!C$1724), Github!B$1724)</f>
        <v>Find Minimum Time to Finish All Jobs</v>
      </c>
      <c r="C1238" s="13">
        <f>Github!F$1724</f>
        <v>755</v>
      </c>
      <c r="D1238" s="13">
        <f>Github!G$1724</f>
        <v>20</v>
      </c>
      <c r="E1238" s="13">
        <f>Github!F$1724+Github!G$1724</f>
        <v>775</v>
      </c>
      <c r="F1238" s="15">
        <f t="shared" si="1"/>
        <v>37.75</v>
      </c>
      <c r="G1238" s="13" t="str">
        <f>ROUND(Github!O$1724, 2)&amp;"%"</f>
        <v>42.61%</v>
      </c>
      <c r="H1238" s="13" t="str">
        <f>Github!H$1724</f>
        <v>Algorithms</v>
      </c>
      <c r="I1238" s="16" t="str">
        <f>SUBSTITUTE(Github!L$1724, ";", ", ")</f>
        <v>Array, Dynamic Programming, Backtracking, Bit Manipulation, Bitmask, </v>
      </c>
      <c r="J1238" s="13" t="str">
        <f>Github!E$1724</f>
        <v>Hard</v>
      </c>
      <c r="K1238" s="13" t="str">
        <f>IF(TRIM(Github!D$1724)="TRUE","FALSE","TRUE")</f>
        <v>TRUE</v>
      </c>
      <c r="L1238" s="13" t="b">
        <f>Github!M$1724</f>
        <v>0</v>
      </c>
      <c r="M1238" s="13" t="b">
        <f>Github!N$1724</f>
        <v>0</v>
      </c>
      <c r="N1238" s="13">
        <f>Github!P$1724</f>
        <v>19624</v>
      </c>
      <c r="O1238" s="13">
        <f>Github!Q$1724</f>
        <v>46053</v>
      </c>
    </row>
    <row r="1239">
      <c r="A1239" s="13">
        <f>Github!J$1389</f>
        <v>1388</v>
      </c>
      <c r="B1239" s="14" t="str">
        <f>HYPERLINK(CONCAT("http://leetcode.com/problems/",Github!C$1389), Github!B$1389)</f>
        <v>Pizza With 3n Slices</v>
      </c>
      <c r="C1239" s="13">
        <f>Github!F$1389</f>
        <v>753</v>
      </c>
      <c r="D1239" s="13">
        <f>Github!G$1389</f>
        <v>13</v>
      </c>
      <c r="E1239" s="13">
        <f>Github!F$1389+Github!G$1389</f>
        <v>766</v>
      </c>
      <c r="F1239" s="15">
        <f t="shared" si="1"/>
        <v>57.92</v>
      </c>
      <c r="G1239" s="13" t="str">
        <f>ROUND(Github!O$1389, 2)&amp;"%"</f>
        <v>50.12%</v>
      </c>
      <c r="H1239" s="13" t="str">
        <f>Github!H$1389</f>
        <v>Algorithms</v>
      </c>
      <c r="I1239" s="16" t="str">
        <f>SUBSTITUTE(Github!L$1389, ";", ", ")</f>
        <v>Array, Dynamic Programming, Greedy, Heap (Priority Queue), </v>
      </c>
      <c r="J1239" s="13" t="str">
        <f>Github!E$1389</f>
        <v>Hard</v>
      </c>
      <c r="K1239" s="13" t="str">
        <f>IF(TRIM(Github!D$1389)="TRUE","FALSE","TRUE")</f>
        <v>TRUE</v>
      </c>
      <c r="L1239" s="13" t="b">
        <f>Github!M$1389</f>
        <v>0</v>
      </c>
      <c r="M1239" s="13" t="b">
        <f>Github!N$1389</f>
        <v>0</v>
      </c>
      <c r="N1239" s="13">
        <f>Github!P$1389</f>
        <v>12551</v>
      </c>
      <c r="O1239" s="13">
        <f>Github!Q$1389</f>
        <v>25043</v>
      </c>
    </row>
    <row r="1240">
      <c r="A1240" s="13">
        <f>Github!J$1495</f>
        <v>1494</v>
      </c>
      <c r="B1240" s="14" t="str">
        <f>HYPERLINK(CONCAT("http://leetcode.com/problems/",Github!C$1495), Github!B$1495)</f>
        <v>Parallel Courses II</v>
      </c>
      <c r="C1240" s="13">
        <f>Github!F$1495</f>
        <v>755</v>
      </c>
      <c r="D1240" s="13">
        <f>Github!G$1495</f>
        <v>60</v>
      </c>
      <c r="E1240" s="13">
        <f>Github!F$1495+Github!G$1495</f>
        <v>815</v>
      </c>
      <c r="F1240" s="15">
        <f t="shared" si="1"/>
        <v>12.58</v>
      </c>
      <c r="G1240" s="13" t="str">
        <f>ROUND(Github!O$1495, 2)&amp;"%"</f>
        <v>30.76%</v>
      </c>
      <c r="H1240" s="13" t="str">
        <f>Github!H$1495</f>
        <v>Algorithms</v>
      </c>
      <c r="I1240" s="16" t="str">
        <f>SUBSTITUTE(Github!L$1495, ";", ", ")</f>
        <v>Dynamic Programming, Bit Manipulation, Graph, Bitmask, </v>
      </c>
      <c r="J1240" s="13" t="str">
        <f>Github!E$1495</f>
        <v>Hard</v>
      </c>
      <c r="K1240" s="13" t="str">
        <f>IF(TRIM(Github!D$1495)="TRUE","FALSE","TRUE")</f>
        <v>TRUE</v>
      </c>
      <c r="L1240" s="13" t="b">
        <f>Github!M$1495</f>
        <v>0</v>
      </c>
      <c r="M1240" s="13" t="b">
        <f>Github!N$1495</f>
        <v>0</v>
      </c>
      <c r="N1240" s="13">
        <f>Github!P$1495</f>
        <v>12927</v>
      </c>
      <c r="O1240" s="13">
        <f>Github!Q$1495</f>
        <v>42026</v>
      </c>
    </row>
    <row r="1241">
      <c r="A1241" s="13">
        <f>Github!J$1776</f>
        <v>1775</v>
      </c>
      <c r="B1241" s="14" t="str">
        <f>HYPERLINK(CONCAT("http://leetcode.com/problems/",Github!C$1776), Github!B$1776)</f>
        <v>Equal Sum Arrays With Minimum Number of Operations</v>
      </c>
      <c r="C1241" s="13">
        <f>Github!F$1776</f>
        <v>750</v>
      </c>
      <c r="D1241" s="13">
        <f>Github!G$1776</f>
        <v>25</v>
      </c>
      <c r="E1241" s="13">
        <f>Github!F$1776+Github!G$1776</f>
        <v>775</v>
      </c>
      <c r="F1241" s="15">
        <f t="shared" si="1"/>
        <v>30</v>
      </c>
      <c r="G1241" s="13" t="str">
        <f>ROUND(Github!O$1776, 2)&amp;"%"</f>
        <v>52.91%</v>
      </c>
      <c r="H1241" s="13" t="str">
        <f>Github!H$1776</f>
        <v>Algorithms</v>
      </c>
      <c r="I1241" s="16" t="str">
        <f>SUBSTITUTE(Github!L$1776, ";", ", ")</f>
        <v>Array, Hash Table, Greedy, Counting, </v>
      </c>
      <c r="J1241" s="13" t="str">
        <f>Github!E$1776</f>
        <v>Medium</v>
      </c>
      <c r="K1241" s="13" t="str">
        <f>IF(TRIM(Github!D$1776)="TRUE","FALSE","TRUE")</f>
        <v>TRUE</v>
      </c>
      <c r="L1241" s="13" t="b">
        <f>Github!M$1776</f>
        <v>0</v>
      </c>
      <c r="M1241" s="13" t="b">
        <f>Github!N$1776</f>
        <v>0</v>
      </c>
      <c r="N1241" s="13">
        <f>Github!P$1776</f>
        <v>23325</v>
      </c>
      <c r="O1241" s="13">
        <f>Github!Q$1776</f>
        <v>44087</v>
      </c>
    </row>
    <row r="1242">
      <c r="A1242" s="13">
        <f>Github!J$928</f>
        <v>927</v>
      </c>
      <c r="B1242" s="14" t="str">
        <f>HYPERLINK(CONCAT("http://leetcode.com/problems/",Github!C$928), Github!B$928)</f>
        <v>Three Equal Parts</v>
      </c>
      <c r="C1242" s="13">
        <f>Github!F$928</f>
        <v>746</v>
      </c>
      <c r="D1242" s="13">
        <f>Github!G$928</f>
        <v>113</v>
      </c>
      <c r="E1242" s="13">
        <f>Github!F$928+Github!G$928</f>
        <v>859</v>
      </c>
      <c r="F1242" s="15">
        <f t="shared" si="1"/>
        <v>6.6</v>
      </c>
      <c r="G1242" s="13" t="str">
        <f>ROUND(Github!O$928, 2)&amp;"%"</f>
        <v>39.64%</v>
      </c>
      <c r="H1242" s="13" t="str">
        <f>Github!H$928</f>
        <v>Algorithms</v>
      </c>
      <c r="I1242" s="16" t="str">
        <f>SUBSTITUTE(Github!L$928, ";", ", ")</f>
        <v>Array, Math, </v>
      </c>
      <c r="J1242" s="13" t="str">
        <f>Github!E$928</f>
        <v>Hard</v>
      </c>
      <c r="K1242" s="13" t="str">
        <f>IF(TRIM(Github!D$928)="TRUE","FALSE","TRUE")</f>
        <v>TRUE</v>
      </c>
      <c r="L1242" s="13" t="b">
        <f>Github!M$928</f>
        <v>1</v>
      </c>
      <c r="M1242" s="13" t="b">
        <f>Github!N$928</f>
        <v>0</v>
      </c>
      <c r="N1242" s="13">
        <f>Github!P$928</f>
        <v>27238</v>
      </c>
      <c r="O1242" s="13">
        <f>Github!Q$928</f>
        <v>68709</v>
      </c>
    </row>
    <row r="1243">
      <c r="A1243" s="13">
        <f>Github!J$1139</f>
        <v>1138</v>
      </c>
      <c r="B1243" s="14" t="str">
        <f>HYPERLINK(CONCAT("http://leetcode.com/problems/",Github!C$1139), Github!B$1139)</f>
        <v>Alphabet Board Path</v>
      </c>
      <c r="C1243" s="13">
        <f>Github!F$1139</f>
        <v>747</v>
      </c>
      <c r="D1243" s="13">
        <f>Github!G$1139</f>
        <v>151</v>
      </c>
      <c r="E1243" s="13">
        <f>Github!F$1139+Github!G$1139</f>
        <v>898</v>
      </c>
      <c r="F1243" s="15">
        <f t="shared" si="1"/>
        <v>4.95</v>
      </c>
      <c r="G1243" s="13" t="str">
        <f>ROUND(Github!O$1139, 2)&amp;"%"</f>
        <v>52.25%</v>
      </c>
      <c r="H1243" s="13" t="str">
        <f>Github!H$1139</f>
        <v>Algorithms</v>
      </c>
      <c r="I1243" s="16" t="str">
        <f>SUBSTITUTE(Github!L$1139, ";", ", ")</f>
        <v>Hash Table, String, </v>
      </c>
      <c r="J1243" s="13" t="str">
        <f>Github!E$1139</f>
        <v>Medium</v>
      </c>
      <c r="K1243" s="13" t="str">
        <f>IF(TRIM(Github!D$1139)="TRUE","FALSE","TRUE")</f>
        <v>TRUE</v>
      </c>
      <c r="L1243" s="13" t="b">
        <f>Github!M$1139</f>
        <v>0</v>
      </c>
      <c r="M1243" s="13" t="b">
        <f>Github!N$1139</f>
        <v>0</v>
      </c>
      <c r="N1243" s="13">
        <f>Github!P$1139</f>
        <v>44221</v>
      </c>
      <c r="O1243" s="13">
        <f>Github!Q$1139</f>
        <v>84632</v>
      </c>
    </row>
    <row r="1244">
      <c r="A1244" s="13">
        <f>Github!J$1052</f>
        <v>1051</v>
      </c>
      <c r="B1244" s="14" t="str">
        <f>HYPERLINK(CONCAT("http://leetcode.com/problems/",Github!C$1052), Github!B$1052)</f>
        <v>Height Checker</v>
      </c>
      <c r="C1244" s="13">
        <f>Github!F$1052</f>
        <v>754</v>
      </c>
      <c r="D1244" s="13">
        <f>Github!G$1052</f>
        <v>62</v>
      </c>
      <c r="E1244" s="13">
        <f>Github!F$1052+Github!G$1052</f>
        <v>816</v>
      </c>
      <c r="F1244" s="15">
        <f t="shared" si="1"/>
        <v>12.16</v>
      </c>
      <c r="G1244" s="13" t="str">
        <f>ROUND(Github!O$1052, 2)&amp;"%"</f>
        <v>75.25%</v>
      </c>
      <c r="H1244" s="13" t="str">
        <f>Github!H$1052</f>
        <v>Algorithms</v>
      </c>
      <c r="I1244" s="16" t="str">
        <f>SUBSTITUTE(Github!L$1052, ";", ", ")</f>
        <v>Array, Sorting, Counting Sort, </v>
      </c>
      <c r="J1244" s="13" t="str">
        <f>Github!E$1052</f>
        <v>Easy</v>
      </c>
      <c r="K1244" s="13" t="str">
        <f>IF(TRIM(Github!D$1052)="TRUE","FALSE","TRUE")</f>
        <v>TRUE</v>
      </c>
      <c r="L1244" s="13" t="b">
        <f>Github!M$1052</f>
        <v>0</v>
      </c>
      <c r="M1244" s="13" t="b">
        <f>Github!N$1052</f>
        <v>0</v>
      </c>
      <c r="N1244" s="13">
        <f>Github!P$1052</f>
        <v>248646</v>
      </c>
      <c r="O1244" s="13">
        <f>Github!Q$1052</f>
        <v>330407</v>
      </c>
    </row>
    <row r="1245">
      <c r="A1245" s="13">
        <f>Github!J$711</f>
        <v>710</v>
      </c>
      <c r="B1245" s="14" t="str">
        <f>HYPERLINK(CONCAT("http://leetcode.com/problems/",Github!C$711), Github!B$711)</f>
        <v>Random Pick with Blacklist</v>
      </c>
      <c r="C1245" s="13">
        <f>Github!F$711</f>
        <v>744</v>
      </c>
      <c r="D1245" s="13">
        <f>Github!G$711</f>
        <v>101</v>
      </c>
      <c r="E1245" s="13">
        <f>Github!F$711+Github!G$711</f>
        <v>845</v>
      </c>
      <c r="F1245" s="15">
        <f t="shared" si="1"/>
        <v>7.37</v>
      </c>
      <c r="G1245" s="13" t="str">
        <f>ROUND(Github!O$711, 2)&amp;"%"</f>
        <v>33.65%</v>
      </c>
      <c r="H1245" s="13" t="str">
        <f>Github!H$711</f>
        <v>Algorithms</v>
      </c>
      <c r="I1245" s="16" t="str">
        <f>SUBSTITUTE(Github!L$711, ";", ", ")</f>
        <v>Hash Table, Math, Binary Search, Sorting, Randomized, </v>
      </c>
      <c r="J1245" s="13" t="str">
        <f>Github!E$711</f>
        <v>Hard</v>
      </c>
      <c r="K1245" s="13" t="str">
        <f>IF(TRIM(Github!D$711)="TRUE","FALSE","TRUE")</f>
        <v>TRUE</v>
      </c>
      <c r="L1245" s="13" t="b">
        <f>Github!M$711</f>
        <v>1</v>
      </c>
      <c r="M1245" s="13" t="b">
        <f>Github!N$711</f>
        <v>0</v>
      </c>
      <c r="N1245" s="13">
        <f>Github!P$711</f>
        <v>34520</v>
      </c>
      <c r="O1245" s="13">
        <f>Github!Q$711</f>
        <v>102578</v>
      </c>
    </row>
    <row r="1246">
      <c r="A1246" s="13">
        <f>Github!J$1004</f>
        <v>1003</v>
      </c>
      <c r="B1246" s="14" t="str">
        <f>HYPERLINK(CONCAT("http://leetcode.com/problems/",Github!C$1004), Github!B$1004)</f>
        <v>Check If Word Is Valid After Substitutions</v>
      </c>
      <c r="C1246" s="13">
        <f>Github!F$1004</f>
        <v>742</v>
      </c>
      <c r="D1246" s="13">
        <f>Github!G$1004</f>
        <v>454</v>
      </c>
      <c r="E1246" s="13">
        <f>Github!F$1004+Github!G$1004</f>
        <v>1196</v>
      </c>
      <c r="F1246" s="15">
        <f t="shared" si="1"/>
        <v>1.63</v>
      </c>
      <c r="G1246" s="13" t="str">
        <f>ROUND(Github!O$1004, 2)&amp;"%"</f>
        <v>58.16%</v>
      </c>
      <c r="H1246" s="13" t="str">
        <f>Github!H$1004</f>
        <v>Algorithms</v>
      </c>
      <c r="I1246" s="16" t="str">
        <f>SUBSTITUTE(Github!L$1004, ";", ", ")</f>
        <v>String, Stack, </v>
      </c>
      <c r="J1246" s="13" t="str">
        <f>Github!E$1004</f>
        <v>Medium</v>
      </c>
      <c r="K1246" s="13" t="str">
        <f>IF(TRIM(Github!D$1004)="TRUE","FALSE","TRUE")</f>
        <v>TRUE</v>
      </c>
      <c r="L1246" s="13" t="b">
        <f>Github!M$1004</f>
        <v>0</v>
      </c>
      <c r="M1246" s="13" t="b">
        <f>Github!N$1004</f>
        <v>0</v>
      </c>
      <c r="N1246" s="13">
        <f>Github!P$1004</f>
        <v>47143</v>
      </c>
      <c r="O1246" s="13">
        <f>Github!Q$1004</f>
        <v>81059</v>
      </c>
    </row>
    <row r="1247">
      <c r="A1247" s="13">
        <f>Github!J$1899</f>
        <v>1898</v>
      </c>
      <c r="B1247" s="14" t="str">
        <f>HYPERLINK(CONCAT("http://leetcode.com/problems/",Github!C$1899), Github!B$1899)</f>
        <v>Maximum Number of Removable Characters</v>
      </c>
      <c r="C1247" s="13">
        <f>Github!F$1899</f>
        <v>745</v>
      </c>
      <c r="D1247" s="13">
        <f>Github!G$1899</f>
        <v>85</v>
      </c>
      <c r="E1247" s="13">
        <f>Github!F$1899+Github!G$1899</f>
        <v>830</v>
      </c>
      <c r="F1247" s="15">
        <f t="shared" si="1"/>
        <v>8.76</v>
      </c>
      <c r="G1247" s="13" t="str">
        <f>ROUND(Github!O$1899, 2)&amp;"%"</f>
        <v>39.66%</v>
      </c>
      <c r="H1247" s="13" t="str">
        <f>Github!H$1899</f>
        <v>Algorithms</v>
      </c>
      <c r="I1247" s="16" t="str">
        <f>SUBSTITUTE(Github!L$1899, ";", ", ")</f>
        <v>Array, String, Binary Search, </v>
      </c>
      <c r="J1247" s="13" t="str">
        <f>Github!E$1899</f>
        <v>Medium</v>
      </c>
      <c r="K1247" s="13" t="str">
        <f>IF(TRIM(Github!D$1899)="TRUE","FALSE","TRUE")</f>
        <v>TRUE</v>
      </c>
      <c r="L1247" s="13" t="b">
        <f>Github!M$1899</f>
        <v>0</v>
      </c>
      <c r="M1247" s="13" t="b">
        <f>Github!N$1899</f>
        <v>0</v>
      </c>
      <c r="N1247" s="13">
        <f>Github!P$1899</f>
        <v>19322</v>
      </c>
      <c r="O1247" s="13">
        <f>Github!Q$1899</f>
        <v>48725</v>
      </c>
    </row>
    <row r="1248">
      <c r="A1248" s="13">
        <f>Github!J$1102</f>
        <v>1101</v>
      </c>
      <c r="B1248" s="14" t="str">
        <f>HYPERLINK(CONCAT("http://leetcode.com/problems/",Github!C$1102), Github!B$1102)</f>
        <v>The Earliest Moment When Everyone Become Friends</v>
      </c>
      <c r="C1248" s="13">
        <f>Github!F$1102</f>
        <v>751</v>
      </c>
      <c r="D1248" s="13">
        <f>Github!G$1102</f>
        <v>19</v>
      </c>
      <c r="E1248" s="13">
        <f>Github!F$1102+Github!G$1102</f>
        <v>770</v>
      </c>
      <c r="F1248" s="15">
        <f t="shared" si="1"/>
        <v>39.53</v>
      </c>
      <c r="G1248" s="13" t="str">
        <f>ROUND(Github!O$1102, 2)&amp;"%"</f>
        <v>64.82%</v>
      </c>
      <c r="H1248" s="13" t="str">
        <f>Github!H$1102</f>
        <v>Algorithms</v>
      </c>
      <c r="I1248" s="16" t="str">
        <f>SUBSTITUTE(Github!L$1102, ";", ", ")</f>
        <v>Array, Union Find, </v>
      </c>
      <c r="J1248" s="13" t="str">
        <f>Github!E$1102</f>
        <v>Medium</v>
      </c>
      <c r="K1248" s="13" t="str">
        <f>IF(TRIM(Github!D$1102)="TRUE","FALSE","TRUE")</f>
        <v>FALSE</v>
      </c>
      <c r="L1248" s="13" t="b">
        <f>Github!M$1102</f>
        <v>1</v>
      </c>
      <c r="M1248" s="13" t="b">
        <f>Github!N$1102</f>
        <v>0</v>
      </c>
      <c r="N1248" s="13">
        <f>Github!P$1102</f>
        <v>58200</v>
      </c>
      <c r="O1248" s="13">
        <f>Github!Q$1102</f>
        <v>89784</v>
      </c>
    </row>
    <row r="1249">
      <c r="A1249" s="13">
        <f>Github!J$2236</f>
        <v>2235</v>
      </c>
      <c r="B1249" s="14" t="str">
        <f>HYPERLINK(CONCAT("http://leetcode.com/problems/",Github!C$2236), Github!B$2236)</f>
        <v>Add Two Integers</v>
      </c>
      <c r="C1249" s="13">
        <f>Github!F$2236</f>
        <v>776</v>
      </c>
      <c r="D1249" s="13">
        <f>Github!G$2236</f>
        <v>2023</v>
      </c>
      <c r="E1249" s="13">
        <f>Github!F$2236+Github!G$2236</f>
        <v>2799</v>
      </c>
      <c r="F1249" s="15">
        <f t="shared" si="1"/>
        <v>0.38</v>
      </c>
      <c r="G1249" s="13" t="str">
        <f>ROUND(Github!O$2236, 2)&amp;"%"</f>
        <v>89.23%</v>
      </c>
      <c r="H1249" s="13" t="str">
        <f>Github!H$2236</f>
        <v>Algorithms</v>
      </c>
      <c r="I1249" s="16" t="str">
        <f>SUBSTITUTE(Github!L$2236, ";", ", ")</f>
        <v>Math, </v>
      </c>
      <c r="J1249" s="13" t="str">
        <f>Github!E$2236</f>
        <v>Easy</v>
      </c>
      <c r="K1249" s="13" t="str">
        <f>IF(TRIM(Github!D$2236)="TRUE","FALSE","TRUE")</f>
        <v>TRUE</v>
      </c>
      <c r="L1249" s="13" t="b">
        <f>Github!M$2236</f>
        <v>0</v>
      </c>
      <c r="M1249" s="13" t="b">
        <f>Github!N$2236</f>
        <v>0</v>
      </c>
      <c r="N1249" s="13">
        <f>Github!P$2236</f>
        <v>192185</v>
      </c>
      <c r="O1249" s="13">
        <f>Github!Q$2236</f>
        <v>215392</v>
      </c>
    </row>
    <row r="1250">
      <c r="A1250" s="13">
        <f>Github!J$1121</f>
        <v>1120</v>
      </c>
      <c r="B1250" s="14" t="str">
        <f>HYPERLINK(CONCAT("http://leetcode.com/problems/",Github!C$1121), Github!B$1121)</f>
        <v>Maximum Average Subtree</v>
      </c>
      <c r="C1250" s="13">
        <f>Github!F$1121</f>
        <v>737</v>
      </c>
      <c r="D1250" s="13">
        <f>Github!G$1121</f>
        <v>32</v>
      </c>
      <c r="E1250" s="13">
        <f>Github!F$1121+Github!G$1121</f>
        <v>769</v>
      </c>
      <c r="F1250" s="15">
        <f t="shared" si="1"/>
        <v>23.03</v>
      </c>
      <c r="G1250" s="13" t="str">
        <f>ROUND(Github!O$1121, 2)&amp;"%"</f>
        <v>65.52%</v>
      </c>
      <c r="H1250" s="13" t="str">
        <f>Github!H$1121</f>
        <v>Algorithms</v>
      </c>
      <c r="I1250" s="16" t="str">
        <f>SUBSTITUTE(Github!L$1121, ";", ", ")</f>
        <v>Tree, Depth-First Search, Binary Tree, </v>
      </c>
      <c r="J1250" s="13" t="str">
        <f>Github!E$1121</f>
        <v>Medium</v>
      </c>
      <c r="K1250" s="13" t="str">
        <f>IF(TRIM(Github!D$1121)="TRUE","FALSE","TRUE")</f>
        <v>FALSE</v>
      </c>
      <c r="L1250" s="13" t="b">
        <f>Github!M$1121</f>
        <v>1</v>
      </c>
      <c r="M1250" s="13" t="b">
        <f>Github!N$1121</f>
        <v>0</v>
      </c>
      <c r="N1250" s="13">
        <f>Github!P$1121</f>
        <v>58312</v>
      </c>
      <c r="O1250" s="13">
        <f>Github!Q$1121</f>
        <v>88995</v>
      </c>
    </row>
    <row r="1251">
      <c r="A1251" s="13">
        <f>Github!J$718</f>
        <v>717</v>
      </c>
      <c r="B1251" s="14" t="str">
        <f>HYPERLINK(CONCAT("http://leetcode.com/problems/",Github!C$718), Github!B$718)</f>
        <v>1-bit and 2-bit Characters</v>
      </c>
      <c r="C1251" s="13">
        <f>Github!F$718</f>
        <v>741</v>
      </c>
      <c r="D1251" s="13">
        <f>Github!G$718</f>
        <v>1877</v>
      </c>
      <c r="E1251" s="13">
        <f>Github!F$718+Github!G$718</f>
        <v>2618</v>
      </c>
      <c r="F1251" s="15">
        <f t="shared" si="1"/>
        <v>0.39</v>
      </c>
      <c r="G1251" s="13" t="str">
        <f>ROUND(Github!O$718, 2)&amp;"%"</f>
        <v>45.89%</v>
      </c>
      <c r="H1251" s="13" t="str">
        <f>Github!H$718</f>
        <v>Algorithms</v>
      </c>
      <c r="I1251" s="16" t="str">
        <f>SUBSTITUTE(Github!L$718, ";", ", ")</f>
        <v>Array, </v>
      </c>
      <c r="J1251" s="13" t="str">
        <f>Github!E$718</f>
        <v>Easy</v>
      </c>
      <c r="K1251" s="13" t="str">
        <f>IF(TRIM(Github!D$718)="TRUE","FALSE","TRUE")</f>
        <v>TRUE</v>
      </c>
      <c r="L1251" s="13" t="b">
        <f>Github!M$718</f>
        <v>0</v>
      </c>
      <c r="M1251" s="13" t="b">
        <f>Github!N$718</f>
        <v>0</v>
      </c>
      <c r="N1251" s="13">
        <f>Github!P$718</f>
        <v>113115</v>
      </c>
      <c r="O1251" s="13">
        <f>Github!Q$718</f>
        <v>246474</v>
      </c>
    </row>
    <row r="1252">
      <c r="A1252" s="13">
        <f>Github!J$1087</f>
        <v>1086</v>
      </c>
      <c r="B1252" s="14" t="str">
        <f>HYPERLINK(CONCAT("http://leetcode.com/problems/",Github!C$1087), Github!B$1087)</f>
        <v>High Five</v>
      </c>
      <c r="C1252" s="13">
        <f>Github!F$1087</f>
        <v>736</v>
      </c>
      <c r="D1252" s="13">
        <f>Github!G$1087</f>
        <v>117</v>
      </c>
      <c r="E1252" s="13">
        <f>Github!F$1087+Github!G$1087</f>
        <v>853</v>
      </c>
      <c r="F1252" s="15">
        <f t="shared" si="1"/>
        <v>6.29</v>
      </c>
      <c r="G1252" s="13" t="str">
        <f>ROUND(Github!O$1087, 2)&amp;"%"</f>
        <v>75.11%</v>
      </c>
      <c r="H1252" s="13" t="str">
        <f>Github!H$1087</f>
        <v>Algorithms</v>
      </c>
      <c r="I1252" s="16" t="str">
        <f>SUBSTITUTE(Github!L$1087, ";", ", ")</f>
        <v>Array, Hash Table, Sorting, </v>
      </c>
      <c r="J1252" s="13" t="str">
        <f>Github!E$1087</f>
        <v>Easy</v>
      </c>
      <c r="K1252" s="13" t="str">
        <f>IF(TRIM(Github!D$1087)="TRUE","FALSE","TRUE")</f>
        <v>FALSE</v>
      </c>
      <c r="L1252" s="13" t="b">
        <f>Github!M$1087</f>
        <v>1</v>
      </c>
      <c r="M1252" s="13" t="b">
        <f>Github!N$1087</f>
        <v>0</v>
      </c>
      <c r="N1252" s="13">
        <f>Github!P$1087</f>
        <v>92074</v>
      </c>
      <c r="O1252" s="13">
        <f>Github!Q$1087</f>
        <v>122586</v>
      </c>
    </row>
    <row r="1253">
      <c r="A1253" s="13">
        <f>Github!J$353</f>
        <v>352</v>
      </c>
      <c r="B1253" s="14" t="str">
        <f>HYPERLINK(CONCAT("http://leetcode.com/problems/",Github!C$353), Github!B$353)</f>
        <v>Data Stream as Disjoint Intervals</v>
      </c>
      <c r="C1253" s="13">
        <f>Github!F$353</f>
        <v>738</v>
      </c>
      <c r="D1253" s="13">
        <f>Github!G$353</f>
        <v>167</v>
      </c>
      <c r="E1253" s="13">
        <f>Github!F$353+Github!G$353</f>
        <v>905</v>
      </c>
      <c r="F1253" s="15">
        <f t="shared" si="1"/>
        <v>4.42</v>
      </c>
      <c r="G1253" s="13" t="str">
        <f>ROUND(Github!O$353, 2)&amp;"%"</f>
        <v>51.69%</v>
      </c>
      <c r="H1253" s="13" t="str">
        <f>Github!H$353</f>
        <v>Algorithms</v>
      </c>
      <c r="I1253" s="16" t="str">
        <f>SUBSTITUTE(Github!L$353, ";", ", ")</f>
        <v>Binary Search, Design, Ordered Set, </v>
      </c>
      <c r="J1253" s="13" t="str">
        <f>Github!E$353</f>
        <v>Hard</v>
      </c>
      <c r="K1253" s="13" t="str">
        <f>IF(TRIM(Github!D$353)="TRUE","FALSE","TRUE")</f>
        <v>TRUE</v>
      </c>
      <c r="L1253" s="13" t="b">
        <f>Github!M$353</f>
        <v>1</v>
      </c>
      <c r="M1253" s="13" t="b">
        <f>Github!N$353</f>
        <v>0</v>
      </c>
      <c r="N1253" s="13">
        <f>Github!P$353</f>
        <v>56027</v>
      </c>
      <c r="O1253" s="13">
        <f>Github!Q$353</f>
        <v>108388</v>
      </c>
    </row>
    <row r="1254">
      <c r="A1254" s="13">
        <f>Github!J$1264</f>
        <v>1263</v>
      </c>
      <c r="B1254" s="14" t="str">
        <f>HYPERLINK(CONCAT("http://leetcode.com/problems/",Github!C$1264), Github!B$1264)</f>
        <v>Minimum Moves to Move a Box to Their Target Location</v>
      </c>
      <c r="C1254" s="13">
        <f>Github!F$1264</f>
        <v>736</v>
      </c>
      <c r="D1254" s="13">
        <f>Github!G$1264</f>
        <v>52</v>
      </c>
      <c r="E1254" s="13">
        <f>Github!F$1264+Github!G$1264</f>
        <v>788</v>
      </c>
      <c r="F1254" s="15">
        <f t="shared" si="1"/>
        <v>14.15</v>
      </c>
      <c r="G1254" s="13" t="str">
        <f>ROUND(Github!O$1264, 2)&amp;"%"</f>
        <v>49.06%</v>
      </c>
      <c r="H1254" s="13" t="str">
        <f>Github!H$1264</f>
        <v>Algorithms</v>
      </c>
      <c r="I1254" s="16" t="str">
        <f>SUBSTITUTE(Github!L$1264, ";", ", ")</f>
        <v>Array, Breadth-First Search, Heap (Priority Queue), Matrix, </v>
      </c>
      <c r="J1254" s="13" t="str">
        <f>Github!E$1264</f>
        <v>Hard</v>
      </c>
      <c r="K1254" s="13" t="str">
        <f>IF(TRIM(Github!D$1264)="TRUE","FALSE","TRUE")</f>
        <v>TRUE</v>
      </c>
      <c r="L1254" s="13" t="b">
        <f>Github!M$1264</f>
        <v>0</v>
      </c>
      <c r="M1254" s="13" t="b">
        <f>Github!N$1264</f>
        <v>0</v>
      </c>
      <c r="N1254" s="13">
        <f>Github!P$1264</f>
        <v>23926</v>
      </c>
      <c r="O1254" s="13">
        <f>Github!Q$1264</f>
        <v>48773</v>
      </c>
    </row>
    <row r="1255">
      <c r="A1255" s="13">
        <f>Github!J$1204</f>
        <v>1203</v>
      </c>
      <c r="B1255" s="14" t="str">
        <f>HYPERLINK(CONCAT("http://leetcode.com/problems/",Github!C$1204), Github!B$1204)</f>
        <v>Sort Items by Groups Respecting Dependencies</v>
      </c>
      <c r="C1255" s="13">
        <f>Github!F$1204</f>
        <v>735</v>
      </c>
      <c r="D1255" s="13">
        <f>Github!G$1204</f>
        <v>101</v>
      </c>
      <c r="E1255" s="13">
        <f>Github!F$1204+Github!G$1204</f>
        <v>836</v>
      </c>
      <c r="F1255" s="15">
        <f t="shared" si="1"/>
        <v>7.28</v>
      </c>
      <c r="G1255" s="13" t="str">
        <f>ROUND(Github!O$1204, 2)&amp;"%"</f>
        <v>50.83%</v>
      </c>
      <c r="H1255" s="13" t="str">
        <f>Github!H$1204</f>
        <v>Algorithms</v>
      </c>
      <c r="I1255" s="16" t="str">
        <f>SUBSTITUTE(Github!L$1204, ";", ", ")</f>
        <v>Depth-First Search, Breadth-First Search, Graph, Topological Sort, </v>
      </c>
      <c r="J1255" s="13" t="str">
        <f>Github!E$1204</f>
        <v>Hard</v>
      </c>
      <c r="K1255" s="13" t="str">
        <f>IF(TRIM(Github!D$1204)="TRUE","FALSE","TRUE")</f>
        <v>TRUE</v>
      </c>
      <c r="L1255" s="13" t="b">
        <f>Github!M$1204</f>
        <v>0</v>
      </c>
      <c r="M1255" s="13" t="b">
        <f>Github!N$1204</f>
        <v>0</v>
      </c>
      <c r="N1255" s="13">
        <f>Github!P$1204</f>
        <v>14418</v>
      </c>
      <c r="O1255" s="13">
        <f>Github!Q$1204</f>
        <v>28364</v>
      </c>
    </row>
    <row r="1256">
      <c r="A1256" s="13">
        <f>Github!J$1633</f>
        <v>1632</v>
      </c>
      <c r="B1256" s="14" t="str">
        <f>HYPERLINK(CONCAT("http://leetcode.com/problems/",Github!C$1633), Github!B$1633)</f>
        <v>Rank Transform of a Matrix</v>
      </c>
      <c r="C1256" s="13">
        <f>Github!F$1633</f>
        <v>738</v>
      </c>
      <c r="D1256" s="13">
        <f>Github!G$1633</f>
        <v>49</v>
      </c>
      <c r="E1256" s="13">
        <f>Github!F$1633+Github!G$1633</f>
        <v>787</v>
      </c>
      <c r="F1256" s="15">
        <f t="shared" si="1"/>
        <v>15.06</v>
      </c>
      <c r="G1256" s="13" t="str">
        <f>ROUND(Github!O$1633, 2)&amp;"%"</f>
        <v>41.01%</v>
      </c>
      <c r="H1256" s="13" t="str">
        <f>Github!H$1633</f>
        <v>Algorithms</v>
      </c>
      <c r="I1256" s="16" t="str">
        <f>SUBSTITUTE(Github!L$1633, ";", ", ")</f>
        <v>Array, Greedy, Union Find, Graph, Topological Sort, Matrix, </v>
      </c>
      <c r="J1256" s="13" t="str">
        <f>Github!E$1633</f>
        <v>Hard</v>
      </c>
      <c r="K1256" s="13" t="str">
        <f>IF(TRIM(Github!D$1633)="TRUE","FALSE","TRUE")</f>
        <v>TRUE</v>
      </c>
      <c r="L1256" s="13" t="b">
        <f>Github!M$1633</f>
        <v>1</v>
      </c>
      <c r="M1256" s="13" t="b">
        <f>Github!N$1633</f>
        <v>0</v>
      </c>
      <c r="N1256" s="13">
        <f>Github!P$1633</f>
        <v>19531</v>
      </c>
      <c r="O1256" s="13">
        <f>Github!Q$1633</f>
        <v>47622</v>
      </c>
    </row>
    <row r="1257">
      <c r="A1257" s="13">
        <f>Github!J$508</f>
        <v>507</v>
      </c>
      <c r="B1257" s="14" t="str">
        <f>HYPERLINK(CONCAT("http://leetcode.com/problems/",Github!C$508), Github!B$508)</f>
        <v>Perfect Number</v>
      </c>
      <c r="C1257" s="13">
        <f>Github!F$508</f>
        <v>742</v>
      </c>
      <c r="D1257" s="13">
        <f>Github!G$508</f>
        <v>975</v>
      </c>
      <c r="E1257" s="13">
        <f>Github!F$508+Github!G$508</f>
        <v>1717</v>
      </c>
      <c r="F1257" s="15">
        <f t="shared" si="1"/>
        <v>0.76</v>
      </c>
      <c r="G1257" s="13" t="str">
        <f>ROUND(Github!O$508, 2)&amp;"%"</f>
        <v>37.73%</v>
      </c>
      <c r="H1257" s="13" t="str">
        <f>Github!H$508</f>
        <v>Algorithms</v>
      </c>
      <c r="I1257" s="16" t="str">
        <f>SUBSTITUTE(Github!L$508, ";", ", ")</f>
        <v>Math, </v>
      </c>
      <c r="J1257" s="13" t="str">
        <f>Github!E$508</f>
        <v>Easy</v>
      </c>
      <c r="K1257" s="13" t="str">
        <f>IF(TRIM(Github!D$508)="TRUE","FALSE","TRUE")</f>
        <v>TRUE</v>
      </c>
      <c r="L1257" s="13" t="b">
        <f>Github!M$508</f>
        <v>1</v>
      </c>
      <c r="M1257" s="13" t="b">
        <f>Github!N$508</f>
        <v>0</v>
      </c>
      <c r="N1257" s="13">
        <f>Github!P$508</f>
        <v>122791</v>
      </c>
      <c r="O1257" s="13">
        <f>Github!Q$508</f>
        <v>325474</v>
      </c>
    </row>
    <row r="1258">
      <c r="A1258" s="13">
        <f>Github!J$309</f>
        <v>308</v>
      </c>
      <c r="B1258" s="14" t="str">
        <f>HYPERLINK(CONCAT("http://leetcode.com/problems/",Github!C$309), Github!B$309)</f>
        <v>Range Sum Query 2D - Mutable</v>
      </c>
      <c r="C1258" s="13">
        <f>Github!F$309</f>
        <v>730</v>
      </c>
      <c r="D1258" s="13">
        <f>Github!G$309</f>
        <v>85</v>
      </c>
      <c r="E1258" s="13">
        <f>Github!F$309+Github!G$309</f>
        <v>815</v>
      </c>
      <c r="F1258" s="15">
        <f t="shared" si="1"/>
        <v>8.59</v>
      </c>
      <c r="G1258" s="13" t="str">
        <f>ROUND(Github!O$309, 2)&amp;"%"</f>
        <v>42.55%</v>
      </c>
      <c r="H1258" s="13" t="str">
        <f>Github!H$309</f>
        <v>Algorithms</v>
      </c>
      <c r="I1258" s="16" t="str">
        <f>SUBSTITUTE(Github!L$309, ";", ", ")</f>
        <v>Array, Design, Binary Indexed Tree, Segment Tree, Matrix, </v>
      </c>
      <c r="J1258" s="13" t="str">
        <f>Github!E$309</f>
        <v>Hard</v>
      </c>
      <c r="K1258" s="13" t="str">
        <f>IF(TRIM(Github!D$309)="TRUE","FALSE","TRUE")</f>
        <v>FALSE</v>
      </c>
      <c r="L1258" s="13" t="b">
        <f>Github!M$309</f>
        <v>1</v>
      </c>
      <c r="M1258" s="13" t="b">
        <f>Github!N$309</f>
        <v>0</v>
      </c>
      <c r="N1258" s="13">
        <f>Github!P$309</f>
        <v>70629</v>
      </c>
      <c r="O1258" s="13">
        <f>Github!Q$309</f>
        <v>166002</v>
      </c>
    </row>
    <row r="1259">
      <c r="A1259" s="13">
        <f>Github!J$1883</f>
        <v>1882</v>
      </c>
      <c r="B1259" s="14" t="str">
        <f>HYPERLINK(CONCAT("http://leetcode.com/problems/",Github!C$1883), Github!B$1883)</f>
        <v>Process Tasks Using Servers</v>
      </c>
      <c r="C1259" s="13">
        <f>Github!F$1883</f>
        <v>731</v>
      </c>
      <c r="D1259" s="13">
        <f>Github!G$1883</f>
        <v>208</v>
      </c>
      <c r="E1259" s="13">
        <f>Github!F$1883+Github!G$1883</f>
        <v>939</v>
      </c>
      <c r="F1259" s="15">
        <f t="shared" si="1"/>
        <v>3.51</v>
      </c>
      <c r="G1259" s="13" t="str">
        <f>ROUND(Github!O$1883, 2)&amp;"%"</f>
        <v>39.61%</v>
      </c>
      <c r="H1259" s="13" t="str">
        <f>Github!H$1883</f>
        <v>Algorithms</v>
      </c>
      <c r="I1259" s="16" t="str">
        <f>SUBSTITUTE(Github!L$1883, ";", ", ")</f>
        <v>Array, Heap (Priority Queue), </v>
      </c>
      <c r="J1259" s="13" t="str">
        <f>Github!E$1883</f>
        <v>Medium</v>
      </c>
      <c r="K1259" s="13" t="str">
        <f>IF(TRIM(Github!D$1883)="TRUE","FALSE","TRUE")</f>
        <v>TRUE</v>
      </c>
      <c r="L1259" s="13" t="b">
        <f>Github!M$1883</f>
        <v>0</v>
      </c>
      <c r="M1259" s="13" t="b">
        <f>Github!N$1883</f>
        <v>0</v>
      </c>
      <c r="N1259" s="13">
        <f>Github!P$1883</f>
        <v>23775</v>
      </c>
      <c r="O1259" s="13">
        <f>Github!Q$1883</f>
        <v>60019</v>
      </c>
    </row>
    <row r="1260">
      <c r="A1260" s="13">
        <f>Github!J$2128</f>
        <v>2127</v>
      </c>
      <c r="B1260" s="14" t="str">
        <f>HYPERLINK(CONCAT("http://leetcode.com/problems/",Github!C$2128), Github!B$2128)</f>
        <v>Maximum Employees to Be Invited to a Meeting</v>
      </c>
      <c r="C1260" s="13">
        <f>Github!F$2128</f>
        <v>730</v>
      </c>
      <c r="D1260" s="13">
        <f>Github!G$2128</f>
        <v>13</v>
      </c>
      <c r="E1260" s="13">
        <f>Github!F$2128+Github!G$2128</f>
        <v>743</v>
      </c>
      <c r="F1260" s="15">
        <f t="shared" si="1"/>
        <v>56.15</v>
      </c>
      <c r="G1260" s="13" t="str">
        <f>ROUND(Github!O$2128, 2)&amp;"%"</f>
        <v>34.26%</v>
      </c>
      <c r="H1260" s="13" t="str">
        <f>Github!H$2128</f>
        <v>Algorithms</v>
      </c>
      <c r="I1260" s="16" t="str">
        <f>SUBSTITUTE(Github!L$2128, ";", ", ")</f>
        <v>Depth-First Search, Graph, Topological Sort, </v>
      </c>
      <c r="J1260" s="13" t="str">
        <f>Github!E$2128</f>
        <v>Hard</v>
      </c>
      <c r="K1260" s="13" t="str">
        <f>IF(TRIM(Github!D$2128)="TRUE","FALSE","TRUE")</f>
        <v>TRUE</v>
      </c>
      <c r="L1260" s="13" t="b">
        <f>Github!M$2128</f>
        <v>0</v>
      </c>
      <c r="M1260" s="13" t="b">
        <f>Github!N$2128</f>
        <v>0</v>
      </c>
      <c r="N1260" s="13">
        <f>Github!P$2128</f>
        <v>7705</v>
      </c>
      <c r="O1260" s="13">
        <f>Github!Q$2128</f>
        <v>22488</v>
      </c>
    </row>
    <row r="1261">
      <c r="A1261" s="13">
        <f>Github!J$2140</f>
        <v>2139</v>
      </c>
      <c r="B1261" s="14" t="str">
        <f>HYPERLINK(CONCAT("http://leetcode.com/problems/",Github!C$2140), Github!B$2140)</f>
        <v>Minimum Moves to Reach Target Score</v>
      </c>
      <c r="C1261" s="13">
        <f>Github!F$2140</f>
        <v>730</v>
      </c>
      <c r="D1261" s="13">
        <f>Github!G$2140</f>
        <v>14</v>
      </c>
      <c r="E1261" s="13">
        <f>Github!F$2140+Github!G$2140</f>
        <v>744</v>
      </c>
      <c r="F1261" s="15">
        <f t="shared" si="1"/>
        <v>52.14</v>
      </c>
      <c r="G1261" s="13" t="str">
        <f>ROUND(Github!O$2140, 2)&amp;"%"</f>
        <v>48.42%</v>
      </c>
      <c r="H1261" s="13" t="str">
        <f>Github!H$2140</f>
        <v>Algorithms</v>
      </c>
      <c r="I1261" s="16" t="str">
        <f>SUBSTITUTE(Github!L$2140, ";", ", ")</f>
        <v>Math, Greedy, </v>
      </c>
      <c r="J1261" s="13" t="str">
        <f>Github!E$2140</f>
        <v>Medium</v>
      </c>
      <c r="K1261" s="13" t="str">
        <f>IF(TRIM(Github!D$2140)="TRUE","FALSE","TRUE")</f>
        <v>TRUE</v>
      </c>
      <c r="L1261" s="13" t="b">
        <f>Github!M$2140</f>
        <v>0</v>
      </c>
      <c r="M1261" s="13" t="b">
        <f>Github!N$2140</f>
        <v>0</v>
      </c>
      <c r="N1261" s="13">
        <f>Github!P$2140</f>
        <v>30472</v>
      </c>
      <c r="O1261" s="13">
        <f>Github!Q$2140</f>
        <v>62926</v>
      </c>
    </row>
    <row r="1262">
      <c r="A1262" s="13">
        <f>Github!J$1435</f>
        <v>1434</v>
      </c>
      <c r="B1262" s="14" t="str">
        <f>HYPERLINK(CONCAT("http://leetcode.com/problems/",Github!C$1435), Github!B$1435)</f>
        <v>Number of Ways to Wear Different Hats to Each Other</v>
      </c>
      <c r="C1262" s="13">
        <f>Github!F$1435</f>
        <v>727</v>
      </c>
      <c r="D1262" s="13">
        <f>Github!G$1435</f>
        <v>8</v>
      </c>
      <c r="E1262" s="13">
        <f>Github!F$1435+Github!G$1435</f>
        <v>735</v>
      </c>
      <c r="F1262" s="15">
        <f t="shared" si="1"/>
        <v>90.88</v>
      </c>
      <c r="G1262" s="13" t="str">
        <f>ROUND(Github!O$1435, 2)&amp;"%"</f>
        <v>42.93%</v>
      </c>
      <c r="H1262" s="13" t="str">
        <f>Github!H$1435</f>
        <v>Algorithms</v>
      </c>
      <c r="I1262" s="16" t="str">
        <f>SUBSTITUTE(Github!L$1435, ";", ", ")</f>
        <v>Array, Dynamic Programming, Bit Manipulation, Bitmask, </v>
      </c>
      <c r="J1262" s="13" t="str">
        <f>Github!E$1435</f>
        <v>Hard</v>
      </c>
      <c r="K1262" s="13" t="str">
        <f>IF(TRIM(Github!D$1435)="TRUE","FALSE","TRUE")</f>
        <v>TRUE</v>
      </c>
      <c r="L1262" s="13" t="b">
        <f>Github!M$1435</f>
        <v>0</v>
      </c>
      <c r="M1262" s="13" t="b">
        <f>Github!N$1435</f>
        <v>0</v>
      </c>
      <c r="N1262" s="13">
        <f>Github!P$1435</f>
        <v>11038</v>
      </c>
      <c r="O1262" s="13">
        <f>Github!Q$1435</f>
        <v>25712</v>
      </c>
    </row>
    <row r="1263">
      <c r="A1263" s="13">
        <f>Github!J$1746</f>
        <v>1745</v>
      </c>
      <c r="B1263" s="14" t="str">
        <f>HYPERLINK(CONCAT("http://leetcode.com/problems/",Github!C$1746), Github!B$1746)</f>
        <v>Palindrome Partitioning IV</v>
      </c>
      <c r="C1263" s="13">
        <f>Github!F$1746</f>
        <v>728</v>
      </c>
      <c r="D1263" s="13">
        <f>Github!G$1746</f>
        <v>20</v>
      </c>
      <c r="E1263" s="13">
        <f>Github!F$1746+Github!G$1746</f>
        <v>748</v>
      </c>
      <c r="F1263" s="15">
        <f t="shared" si="1"/>
        <v>36.4</v>
      </c>
      <c r="G1263" s="13" t="str">
        <f>ROUND(Github!O$1746, 2)&amp;"%"</f>
        <v>45.79%</v>
      </c>
      <c r="H1263" s="13" t="str">
        <f>Github!H$1746</f>
        <v>Algorithms</v>
      </c>
      <c r="I1263" s="16" t="str">
        <f>SUBSTITUTE(Github!L$1746, ";", ", ")</f>
        <v>String, Dynamic Programming, </v>
      </c>
      <c r="J1263" s="13" t="str">
        <f>Github!E$1746</f>
        <v>Hard</v>
      </c>
      <c r="K1263" s="13" t="str">
        <f>IF(TRIM(Github!D$1746)="TRUE","FALSE","TRUE")</f>
        <v>TRUE</v>
      </c>
      <c r="L1263" s="13" t="b">
        <f>Github!M$1746</f>
        <v>0</v>
      </c>
      <c r="M1263" s="13" t="b">
        <f>Github!N$1746</f>
        <v>0</v>
      </c>
      <c r="N1263" s="13">
        <f>Github!P$1746</f>
        <v>18480</v>
      </c>
      <c r="O1263" s="13">
        <f>Github!Q$1746</f>
        <v>40361</v>
      </c>
    </row>
    <row r="1264">
      <c r="A1264" s="13">
        <f>Github!J$1777</f>
        <v>1776</v>
      </c>
      <c r="B1264" s="14" t="str">
        <f>HYPERLINK(CONCAT("http://leetcode.com/problems/",Github!C$1777), Github!B$1777)</f>
        <v>Car Fleet II</v>
      </c>
      <c r="C1264" s="13">
        <f>Github!F$1777</f>
        <v>723</v>
      </c>
      <c r="D1264" s="13">
        <f>Github!G$1777</f>
        <v>19</v>
      </c>
      <c r="E1264" s="13">
        <f>Github!F$1777+Github!G$1777</f>
        <v>742</v>
      </c>
      <c r="F1264" s="15">
        <f t="shared" si="1"/>
        <v>38.05</v>
      </c>
      <c r="G1264" s="13" t="str">
        <f>ROUND(Github!O$1777, 2)&amp;"%"</f>
        <v>53.48%</v>
      </c>
      <c r="H1264" s="13" t="str">
        <f>Github!H$1777</f>
        <v>Algorithms</v>
      </c>
      <c r="I1264" s="16" t="str">
        <f>SUBSTITUTE(Github!L$1777, ";", ", ")</f>
        <v>Array, Math, Stack, Heap (Priority Queue), Monotonic Stack, </v>
      </c>
      <c r="J1264" s="13" t="str">
        <f>Github!E$1777</f>
        <v>Hard</v>
      </c>
      <c r="K1264" s="13" t="str">
        <f>IF(TRIM(Github!D$1777)="TRUE","FALSE","TRUE")</f>
        <v>TRUE</v>
      </c>
      <c r="L1264" s="13" t="b">
        <f>Github!M$1777</f>
        <v>0</v>
      </c>
      <c r="M1264" s="13" t="b">
        <f>Github!N$1777</f>
        <v>0</v>
      </c>
      <c r="N1264" s="13">
        <f>Github!P$1777</f>
        <v>21135</v>
      </c>
      <c r="O1264" s="13">
        <f>Github!Q$1777</f>
        <v>39516</v>
      </c>
    </row>
    <row r="1265">
      <c r="A1265" s="13">
        <f>Github!J$1817</f>
        <v>1816</v>
      </c>
      <c r="B1265" s="14" t="str">
        <f>HYPERLINK(CONCAT("http://leetcode.com/problems/",Github!C$1817), Github!B$1817)</f>
        <v>Truncate Sentence</v>
      </c>
      <c r="C1265" s="13">
        <f>Github!F$1817</f>
        <v>732</v>
      </c>
      <c r="D1265" s="13">
        <f>Github!G$1817</f>
        <v>19</v>
      </c>
      <c r="E1265" s="13">
        <f>Github!F$1817+Github!G$1817</f>
        <v>751</v>
      </c>
      <c r="F1265" s="15">
        <f t="shared" si="1"/>
        <v>38.53</v>
      </c>
      <c r="G1265" s="13" t="str">
        <f>ROUND(Github!O$1817, 2)&amp;"%"</f>
        <v>82.41%</v>
      </c>
      <c r="H1265" s="13" t="str">
        <f>Github!H$1817</f>
        <v>Algorithms</v>
      </c>
      <c r="I1265" s="16" t="str">
        <f>SUBSTITUTE(Github!L$1817, ";", ", ")</f>
        <v>Array, String, </v>
      </c>
      <c r="J1265" s="13" t="str">
        <f>Github!E$1817</f>
        <v>Easy</v>
      </c>
      <c r="K1265" s="13" t="str">
        <f>IF(TRIM(Github!D$1817)="TRUE","FALSE","TRUE")</f>
        <v>TRUE</v>
      </c>
      <c r="L1265" s="13" t="b">
        <f>Github!M$1817</f>
        <v>0</v>
      </c>
      <c r="M1265" s="13" t="b">
        <f>Github!N$1817</f>
        <v>0</v>
      </c>
      <c r="N1265" s="13">
        <f>Github!P$1817</f>
        <v>88147</v>
      </c>
      <c r="O1265" s="13">
        <f>Github!Q$1817</f>
        <v>106964</v>
      </c>
    </row>
    <row r="1266">
      <c r="A1266" s="13">
        <f>Github!J$668</f>
        <v>667</v>
      </c>
      <c r="B1266" s="14" t="str">
        <f>HYPERLINK(CONCAT("http://leetcode.com/problems/",Github!C$668), Github!B$668)</f>
        <v>Beautiful Arrangement II</v>
      </c>
      <c r="C1266" s="13">
        <f>Github!F$668</f>
        <v>720</v>
      </c>
      <c r="D1266" s="13">
        <f>Github!G$668</f>
        <v>1007</v>
      </c>
      <c r="E1266" s="13">
        <f>Github!F$668+Github!G$668</f>
        <v>1727</v>
      </c>
      <c r="F1266" s="15">
        <f t="shared" si="1"/>
        <v>0.71</v>
      </c>
      <c r="G1266" s="13" t="str">
        <f>ROUND(Github!O$668, 2)&amp;"%"</f>
        <v>59.72%</v>
      </c>
      <c r="H1266" s="13" t="str">
        <f>Github!H$668</f>
        <v>Algorithms</v>
      </c>
      <c r="I1266" s="16" t="str">
        <f>SUBSTITUTE(Github!L$668, ";", ", ")</f>
        <v>Array, Math, </v>
      </c>
      <c r="J1266" s="13" t="str">
        <f>Github!E$668</f>
        <v>Medium</v>
      </c>
      <c r="K1266" s="13" t="str">
        <f>IF(TRIM(Github!D$668)="TRUE","FALSE","TRUE")</f>
        <v>TRUE</v>
      </c>
      <c r="L1266" s="13" t="b">
        <f>Github!M$668</f>
        <v>1</v>
      </c>
      <c r="M1266" s="13" t="b">
        <f>Github!N$668</f>
        <v>0</v>
      </c>
      <c r="N1266" s="13">
        <f>Github!P$668</f>
        <v>49730</v>
      </c>
      <c r="O1266" s="13">
        <f>Github!Q$668</f>
        <v>83278</v>
      </c>
    </row>
    <row r="1267">
      <c r="A1267" s="13">
        <f>Github!J$831</f>
        <v>830</v>
      </c>
      <c r="B1267" s="14" t="str">
        <f>HYPERLINK(CONCAT("http://leetcode.com/problems/",Github!C$831), Github!B$831)</f>
        <v>Positions of Large Groups</v>
      </c>
      <c r="C1267" s="13">
        <f>Github!F$831</f>
        <v>727</v>
      </c>
      <c r="D1267" s="13">
        <f>Github!G$831</f>
        <v>115</v>
      </c>
      <c r="E1267" s="13">
        <f>Github!F$831+Github!G$831</f>
        <v>842</v>
      </c>
      <c r="F1267" s="15">
        <f t="shared" si="1"/>
        <v>6.32</v>
      </c>
      <c r="G1267" s="13" t="str">
        <f>ROUND(Github!O$831, 2)&amp;"%"</f>
        <v>51.78%</v>
      </c>
      <c r="H1267" s="13" t="str">
        <f>Github!H$831</f>
        <v>Algorithms</v>
      </c>
      <c r="I1267" s="16" t="str">
        <f>SUBSTITUTE(Github!L$831, ";", ", ")</f>
        <v>String, </v>
      </c>
      <c r="J1267" s="13" t="str">
        <f>Github!E$831</f>
        <v>Easy</v>
      </c>
      <c r="K1267" s="13" t="str">
        <f>IF(TRIM(Github!D$831)="TRUE","FALSE","TRUE")</f>
        <v>TRUE</v>
      </c>
      <c r="L1267" s="13" t="b">
        <f>Github!M$831</f>
        <v>1</v>
      </c>
      <c r="M1267" s="13" t="b">
        <f>Github!N$831</f>
        <v>0</v>
      </c>
      <c r="N1267" s="13">
        <f>Github!P$831</f>
        <v>79471</v>
      </c>
      <c r="O1267" s="13">
        <f>Github!Q$831</f>
        <v>153486</v>
      </c>
    </row>
    <row r="1268">
      <c r="A1268" s="13">
        <f>Github!J$2141</f>
        <v>2140</v>
      </c>
      <c r="B1268" s="14" t="str">
        <f>HYPERLINK(CONCAT("http://leetcode.com/problems/",Github!C$2141), Github!B$2141)</f>
        <v>Solving Questions With Brainpower</v>
      </c>
      <c r="C1268" s="13">
        <f>Github!F$2141</f>
        <v>717</v>
      </c>
      <c r="D1268" s="13">
        <f>Github!G$2141</f>
        <v>14</v>
      </c>
      <c r="E1268" s="13">
        <f>Github!F$2141+Github!G$2141</f>
        <v>731</v>
      </c>
      <c r="F1268" s="15">
        <f t="shared" si="1"/>
        <v>51.21</v>
      </c>
      <c r="G1268" s="13" t="str">
        <f>ROUND(Github!O$2141, 2)&amp;"%"</f>
        <v>46.15%</v>
      </c>
      <c r="H1268" s="13" t="str">
        <f>Github!H$2141</f>
        <v>Algorithms</v>
      </c>
      <c r="I1268" s="16" t="str">
        <f>SUBSTITUTE(Github!L$2141, ";", ", ")</f>
        <v>Array, Dynamic Programming, </v>
      </c>
      <c r="J1268" s="13" t="str">
        <f>Github!E$2141</f>
        <v>Medium</v>
      </c>
      <c r="K1268" s="13" t="str">
        <f>IF(TRIM(Github!D$2141)="TRUE","FALSE","TRUE")</f>
        <v>TRUE</v>
      </c>
      <c r="L1268" s="13" t="b">
        <f>Github!M$2141</f>
        <v>0</v>
      </c>
      <c r="M1268" s="13" t="b">
        <f>Github!N$2141</f>
        <v>0</v>
      </c>
      <c r="N1268" s="13">
        <f>Github!P$2141</f>
        <v>23736</v>
      </c>
      <c r="O1268" s="13">
        <f>Github!Q$2141</f>
        <v>51433</v>
      </c>
    </row>
    <row r="1269">
      <c r="A1269" s="13">
        <f>Github!J$2306</f>
        <v>2305</v>
      </c>
      <c r="B1269" s="14" t="str">
        <f>HYPERLINK(CONCAT("http://leetcode.com/problems/",Github!C$2306), Github!B$2306)</f>
        <v>Fair Distribution of Cookies</v>
      </c>
      <c r="C1269" s="13">
        <f>Github!F$2306</f>
        <v>731</v>
      </c>
      <c r="D1269" s="13">
        <f>Github!G$2306</f>
        <v>39</v>
      </c>
      <c r="E1269" s="13">
        <f>Github!F$2306+Github!G$2306</f>
        <v>770</v>
      </c>
      <c r="F1269" s="15">
        <f t="shared" si="1"/>
        <v>18.74</v>
      </c>
      <c r="G1269" s="13" t="str">
        <f>ROUND(Github!O$2306, 2)&amp;"%"</f>
        <v>62.42%</v>
      </c>
      <c r="H1269" s="13" t="str">
        <f>Github!H2306</f>
        <v>Algorithms</v>
      </c>
      <c r="I1269" s="16" t="str">
        <f>SUBSTITUTE(Github!L$2306, ";", ", ")</f>
        <v>Array, Dynamic Programming, Backtracking, Bit Manipulation, Bitmask, </v>
      </c>
      <c r="J1269" s="13" t="str">
        <f>Github!E$2306</f>
        <v>Medium</v>
      </c>
      <c r="K1269" s="13" t="str">
        <f>IF(TRIM(Github!D$2306)="TRUE","FALSE","TRUE")</f>
        <v>TRUE</v>
      </c>
      <c r="L1269" s="13" t="b">
        <f>Github!M$2306</f>
        <v>0</v>
      </c>
      <c r="M1269" s="13" t="b">
        <f>Github!N$2306</f>
        <v>0</v>
      </c>
      <c r="N1269" s="13">
        <f>Github!P$2306</f>
        <v>20608</v>
      </c>
      <c r="O1269" s="13">
        <f>Github!Q$2306</f>
        <v>33017</v>
      </c>
    </row>
    <row r="1270">
      <c r="A1270" s="13">
        <f>Github!J$1723</f>
        <v>1722</v>
      </c>
      <c r="B1270" s="14" t="str">
        <f>HYPERLINK(CONCAT("http://leetcode.com/problems/",Github!C$1723), Github!B$1723)</f>
        <v>Minimize Hamming Distance After Swap Operations</v>
      </c>
      <c r="C1270" s="13">
        <f>Github!F$1723</f>
        <v>711</v>
      </c>
      <c r="D1270" s="13">
        <f>Github!G$1723</f>
        <v>22</v>
      </c>
      <c r="E1270" s="13">
        <f>Github!F$1723+Github!G$1723</f>
        <v>733</v>
      </c>
      <c r="F1270" s="15">
        <f t="shared" si="1"/>
        <v>32.32</v>
      </c>
      <c r="G1270" s="13" t="str">
        <f>ROUND(Github!O$1723, 2)&amp;"%"</f>
        <v>48.67%</v>
      </c>
      <c r="H1270" s="13" t="str">
        <f>Github!H$1723</f>
        <v>Algorithms</v>
      </c>
      <c r="I1270" s="16" t="str">
        <f>SUBSTITUTE(Github!L$1723, ";", ", ")</f>
        <v>Array, Depth-First Search, Union Find, </v>
      </c>
      <c r="J1270" s="13" t="str">
        <f>Github!E$1723</f>
        <v>Medium</v>
      </c>
      <c r="K1270" s="13" t="str">
        <f>IF(TRIM(Github!D$1723)="TRUE","FALSE","TRUE")</f>
        <v>TRUE</v>
      </c>
      <c r="L1270" s="13" t="b">
        <f>Github!M$1723</f>
        <v>0</v>
      </c>
      <c r="M1270" s="13" t="b">
        <f>Github!N$1723</f>
        <v>0</v>
      </c>
      <c r="N1270" s="13">
        <f>Github!P$1723</f>
        <v>14667</v>
      </c>
      <c r="O1270" s="13">
        <f>Github!Q$1723</f>
        <v>30134</v>
      </c>
    </row>
    <row r="1271">
      <c r="A1271" s="13">
        <f>Github!J$2050</f>
        <v>2049</v>
      </c>
      <c r="B1271" s="14" t="str">
        <f>HYPERLINK(CONCAT("http://leetcode.com/problems/",Github!C$2050), Github!B$2050)</f>
        <v>Count Nodes With the Highest Score</v>
      </c>
      <c r="C1271" s="13">
        <f>Github!F$2050</f>
        <v>737</v>
      </c>
      <c r="D1271" s="13">
        <f>Github!G$2050</f>
        <v>43</v>
      </c>
      <c r="E1271" s="13">
        <f>Github!F$2050+Github!G$2050</f>
        <v>780</v>
      </c>
      <c r="F1271" s="15">
        <f t="shared" si="1"/>
        <v>17.14</v>
      </c>
      <c r="G1271" s="13" t="str">
        <f>ROUND(Github!O$2050, 2)&amp;"%"</f>
        <v>47.35%</v>
      </c>
      <c r="H1271" s="13" t="str">
        <f>Github!H$2050</f>
        <v>Algorithms</v>
      </c>
      <c r="I1271" s="16" t="str">
        <f>SUBSTITUTE(Github!L$2050, ";", ", ")</f>
        <v>Array, Tree, Depth-First Search, Binary Tree, </v>
      </c>
      <c r="J1271" s="13" t="str">
        <f>Github!E$2050</f>
        <v>Medium</v>
      </c>
      <c r="K1271" s="13" t="str">
        <f>IF(TRIM(Github!D$2050)="TRUE","FALSE","TRUE")</f>
        <v>TRUE</v>
      </c>
      <c r="L1271" s="13" t="b">
        <f>Github!M$2050</f>
        <v>0</v>
      </c>
      <c r="M1271" s="13" t="b">
        <f>Github!N$2050</f>
        <v>0</v>
      </c>
      <c r="N1271" s="13">
        <f>Github!P$2050</f>
        <v>15091</v>
      </c>
      <c r="O1271" s="13">
        <f>Github!Q$2050</f>
        <v>31870</v>
      </c>
    </row>
    <row r="1272">
      <c r="A1272" s="13">
        <f>Github!J$2223</f>
        <v>2222</v>
      </c>
      <c r="B1272" s="14" t="str">
        <f>HYPERLINK(CONCAT("http://leetcode.com/problems/",Github!C$2223), Github!B$2223)</f>
        <v>Number of Ways to Select Buildings</v>
      </c>
      <c r="C1272" s="13">
        <f>Github!F$2223</f>
        <v>718</v>
      </c>
      <c r="D1272" s="13">
        <f>Github!G$2223</f>
        <v>30</v>
      </c>
      <c r="E1272" s="13">
        <f>Github!F$2223+Github!G$2223</f>
        <v>748</v>
      </c>
      <c r="F1272" s="15">
        <f t="shared" si="1"/>
        <v>23.93</v>
      </c>
      <c r="G1272" s="13" t="str">
        <f>ROUND(Github!O$2223, 2)&amp;"%"</f>
        <v>51.35%</v>
      </c>
      <c r="H1272" s="13" t="str">
        <f>Github!H$2223</f>
        <v>Algorithms</v>
      </c>
      <c r="I1272" s="16" t="str">
        <f>SUBSTITUTE(Github!L$2223, ";", ", ")</f>
        <v>String, Dynamic Programming, Prefix Sum, </v>
      </c>
      <c r="J1272" s="13" t="str">
        <f>Github!E$2223</f>
        <v>Medium</v>
      </c>
      <c r="K1272" s="13" t="str">
        <f>IF(TRIM(Github!D$2223)="TRUE","FALSE","TRUE")</f>
        <v>TRUE</v>
      </c>
      <c r="L1272" s="13" t="b">
        <f>Github!M$2223</f>
        <v>0</v>
      </c>
      <c r="M1272" s="13" t="b">
        <f>Github!N$2223</f>
        <v>0</v>
      </c>
      <c r="N1272" s="13">
        <f>Github!P$2223</f>
        <v>23663</v>
      </c>
      <c r="O1272" s="13">
        <f>Github!Q$2223</f>
        <v>46080</v>
      </c>
    </row>
    <row r="1273">
      <c r="A1273" s="13">
        <f>Github!J$1246</f>
        <v>1245</v>
      </c>
      <c r="B1273" s="14" t="str">
        <f>HYPERLINK(CONCAT("http://leetcode.com/problems/",Github!C$1246), Github!B$1246)</f>
        <v>Tree Diameter</v>
      </c>
      <c r="C1273" s="13">
        <f>Github!F$1246</f>
        <v>703</v>
      </c>
      <c r="D1273" s="13">
        <f>Github!G$1246</f>
        <v>17</v>
      </c>
      <c r="E1273" s="13">
        <f>Github!F$1246+Github!G$1246</f>
        <v>720</v>
      </c>
      <c r="F1273" s="15">
        <f t="shared" si="1"/>
        <v>41.35</v>
      </c>
      <c r="G1273" s="13" t="str">
        <f>ROUND(Github!O$1246, 2)&amp;"%"</f>
        <v>61.51%</v>
      </c>
      <c r="H1273" s="13" t="str">
        <f>Github!H$1246</f>
        <v>Algorithms</v>
      </c>
      <c r="I1273" s="16" t="str">
        <f>SUBSTITUTE(Github!L$1246, ";", ", ")</f>
        <v>Tree, Depth-First Search, Breadth-First Search, Graph, Topological Sort, </v>
      </c>
      <c r="J1273" s="13" t="str">
        <f>Github!E$1246</f>
        <v>Medium</v>
      </c>
      <c r="K1273" s="13" t="str">
        <f>IF(TRIM(Github!D$1246)="TRUE","FALSE","TRUE")</f>
        <v>FALSE</v>
      </c>
      <c r="L1273" s="13" t="b">
        <f>Github!M$1246</f>
        <v>1</v>
      </c>
      <c r="M1273" s="13" t="b">
        <f>Github!N$1246</f>
        <v>0</v>
      </c>
      <c r="N1273" s="13">
        <f>Github!P$1246</f>
        <v>29378</v>
      </c>
      <c r="O1273" s="13">
        <f>Github!Q$1246</f>
        <v>47763</v>
      </c>
    </row>
    <row r="1274">
      <c r="A1274" s="13">
        <f>Github!J$1758</f>
        <v>1757</v>
      </c>
      <c r="B1274" s="14" t="str">
        <f>HYPERLINK(CONCAT("http://leetcode.com/problems/",Github!C$1758), Github!B$1758)</f>
        <v>Recyclable and Low Fat Products</v>
      </c>
      <c r="C1274" s="13">
        <f>Github!F$1758</f>
        <v>727</v>
      </c>
      <c r="D1274" s="13">
        <f>Github!G$1758</f>
        <v>69</v>
      </c>
      <c r="E1274" s="13">
        <f>Github!F$1758+Github!G$1758</f>
        <v>796</v>
      </c>
      <c r="F1274" s="15">
        <f t="shared" si="1"/>
        <v>10.54</v>
      </c>
      <c r="G1274" s="13" t="str">
        <f>ROUND(Github!O$1758, 2)&amp;"%"</f>
        <v>93.31%</v>
      </c>
      <c r="H1274" s="13" t="str">
        <f>Github!H$1758</f>
        <v>Database</v>
      </c>
      <c r="I1274" s="16" t="str">
        <f>SUBSTITUTE(Github!L$1758, ";", ", ")</f>
        <v>Database, </v>
      </c>
      <c r="J1274" s="13" t="str">
        <f>Github!E$1758</f>
        <v>Easy</v>
      </c>
      <c r="K1274" s="13" t="str">
        <f>IF(TRIM(Github!D$1758)="TRUE","FALSE","TRUE")</f>
        <v>TRUE</v>
      </c>
      <c r="L1274" s="13" t="b">
        <f>Github!M$1758</f>
        <v>0</v>
      </c>
      <c r="M1274" s="13" t="b">
        <f>Github!N$1758</f>
        <v>0</v>
      </c>
      <c r="N1274" s="13">
        <f>Github!P$1758</f>
        <v>232089</v>
      </c>
      <c r="O1274" s="13">
        <f>Github!Q$1758</f>
        <v>248714</v>
      </c>
    </row>
    <row r="1275">
      <c r="A1275" s="13">
        <f>Github!J$424</f>
        <v>423</v>
      </c>
      <c r="B1275" s="14" t="str">
        <f>HYPERLINK(CONCAT("http://leetcode.com/problems/",Github!C$424), Github!B$424)</f>
        <v>Reconstruct Original Digits from English</v>
      </c>
      <c r="C1275" s="13">
        <f>Github!F$424</f>
        <v>698</v>
      </c>
      <c r="D1275" s="13">
        <f>Github!G$424</f>
        <v>2368</v>
      </c>
      <c r="E1275" s="13">
        <f>Github!F$424+Github!G$424</f>
        <v>3066</v>
      </c>
      <c r="F1275" s="15">
        <f t="shared" si="1"/>
        <v>0.29</v>
      </c>
      <c r="G1275" s="13" t="str">
        <f>ROUND(Github!O$424, 2)&amp;"%"</f>
        <v>51.31%</v>
      </c>
      <c r="H1275" s="13" t="str">
        <f>Github!H$424</f>
        <v>Algorithms</v>
      </c>
      <c r="I1275" s="16" t="str">
        <f>SUBSTITUTE(Github!L$424, ";", ", ")</f>
        <v>Hash Table, Math, String, </v>
      </c>
      <c r="J1275" s="13" t="str">
        <f>Github!E$424</f>
        <v>Medium</v>
      </c>
      <c r="K1275" s="13" t="str">
        <f>IF(TRIM(Github!D$424)="TRUE","FALSE","TRUE")</f>
        <v>TRUE</v>
      </c>
      <c r="L1275" s="13" t="b">
        <f>Github!M$424</f>
        <v>1</v>
      </c>
      <c r="M1275" s="13" t="b">
        <f>Github!N$424</f>
        <v>0</v>
      </c>
      <c r="N1275" s="13">
        <f>Github!P$424</f>
        <v>69929</v>
      </c>
      <c r="O1275" s="13">
        <f>Github!Q$424</f>
        <v>136278</v>
      </c>
    </row>
    <row r="1276">
      <c r="A1276" s="13">
        <f>Github!J$1803</f>
        <v>1802</v>
      </c>
      <c r="B1276" s="14" t="str">
        <f>HYPERLINK(CONCAT("http://leetcode.com/problems/",Github!C$1803), Github!B$1803)</f>
        <v>Maximum Value at a Given Index in a Bounded Array</v>
      </c>
      <c r="C1276" s="13">
        <f>Github!F$1803</f>
        <v>703</v>
      </c>
      <c r="D1276" s="13">
        <f>Github!G$1803</f>
        <v>109</v>
      </c>
      <c r="E1276" s="13">
        <f>Github!F$1803+Github!G$1803</f>
        <v>812</v>
      </c>
      <c r="F1276" s="15">
        <f t="shared" si="1"/>
        <v>6.45</v>
      </c>
      <c r="G1276" s="13" t="str">
        <f>ROUND(Github!O$1803, 2)&amp;"%"</f>
        <v>32.01%</v>
      </c>
      <c r="H1276" s="13" t="str">
        <f>Github!H$1803</f>
        <v>Algorithms</v>
      </c>
      <c r="I1276" s="16" t="str">
        <f>SUBSTITUTE(Github!L$1803, ";", ", ")</f>
        <v>Binary Search, Greedy, </v>
      </c>
      <c r="J1276" s="13" t="str">
        <f>Github!E$1803</f>
        <v>Medium</v>
      </c>
      <c r="K1276" s="13" t="str">
        <f>IF(TRIM(Github!D$1803)="TRUE","FALSE","TRUE")</f>
        <v>TRUE</v>
      </c>
      <c r="L1276" s="13" t="b">
        <f>Github!M$1803</f>
        <v>0</v>
      </c>
      <c r="M1276" s="13" t="b">
        <f>Github!N$1803</f>
        <v>0</v>
      </c>
      <c r="N1276" s="13">
        <f>Github!P$1803</f>
        <v>14613</v>
      </c>
      <c r="O1276" s="13">
        <f>Github!Q$1803</f>
        <v>45653</v>
      </c>
    </row>
    <row r="1277">
      <c r="A1277" s="13">
        <f>Github!J$1451</f>
        <v>1450</v>
      </c>
      <c r="B1277" s="14" t="str">
        <f>HYPERLINK(CONCAT("http://leetcode.com/problems/",Github!C$1451), Github!B$1451)</f>
        <v>Number of Students Doing Homework at a Given Time</v>
      </c>
      <c r="C1277" s="13">
        <f>Github!F$1451</f>
        <v>703</v>
      </c>
      <c r="D1277" s="13">
        <f>Github!G$1451</f>
        <v>139</v>
      </c>
      <c r="E1277" s="13">
        <f>Github!F$1451+Github!G$1451</f>
        <v>842</v>
      </c>
      <c r="F1277" s="15">
        <f t="shared" si="1"/>
        <v>5.06</v>
      </c>
      <c r="G1277" s="13" t="str">
        <f>ROUND(Github!O$1451, 2)&amp;"%"</f>
        <v>75.86%</v>
      </c>
      <c r="H1277" s="13" t="str">
        <f>Github!H$1451</f>
        <v>Algorithms</v>
      </c>
      <c r="I1277" s="16" t="str">
        <f>SUBSTITUTE(Github!L$1451, ";", ", ")</f>
        <v>Array, </v>
      </c>
      <c r="J1277" s="13" t="str">
        <f>Github!E$1451</f>
        <v>Easy</v>
      </c>
      <c r="K1277" s="13" t="str">
        <f>IF(TRIM(Github!D$1451)="TRUE","FALSE","TRUE")</f>
        <v>TRUE</v>
      </c>
      <c r="L1277" s="13" t="b">
        <f>Github!M$1451</f>
        <v>0</v>
      </c>
      <c r="M1277" s="13" t="b">
        <f>Github!N$1451</f>
        <v>0</v>
      </c>
      <c r="N1277" s="13">
        <f>Github!P$1451</f>
        <v>96322</v>
      </c>
      <c r="O1277" s="13">
        <f>Github!Q$1451</f>
        <v>126972</v>
      </c>
    </row>
    <row r="1278">
      <c r="A1278" s="13">
        <f>Github!J$2193</f>
        <v>2192</v>
      </c>
      <c r="B1278" s="14" t="str">
        <f>HYPERLINK(CONCAT("http://leetcode.com/problems/",Github!C$2193), Github!B$2193)</f>
        <v>All Ancestors of a Node in a Directed Acyclic Graph</v>
      </c>
      <c r="C1278" s="13">
        <f>Github!F$2193</f>
        <v>710</v>
      </c>
      <c r="D1278" s="13">
        <f>Github!G$2193</f>
        <v>9</v>
      </c>
      <c r="E1278" s="13">
        <f>Github!F$2193+Github!G$2193</f>
        <v>719</v>
      </c>
      <c r="F1278" s="15">
        <f t="shared" si="1"/>
        <v>78.89</v>
      </c>
      <c r="G1278" s="13" t="str">
        <f>ROUND(Github!O$2193, 2)&amp;"%"</f>
        <v>50.53%</v>
      </c>
      <c r="H1278" s="13" t="str">
        <f>Github!H$2193</f>
        <v>Algorithms</v>
      </c>
      <c r="I1278" s="16" t="str">
        <f>SUBSTITUTE(Github!L$2193, ";", ", ")</f>
        <v>Depth-First Search, Breadth-First Search, Graph, Topological Sort, </v>
      </c>
      <c r="J1278" s="13" t="str">
        <f>Github!E$2193</f>
        <v>Medium</v>
      </c>
      <c r="K1278" s="13" t="str">
        <f>IF(TRIM(Github!D$2193)="TRUE","FALSE","TRUE")</f>
        <v>TRUE</v>
      </c>
      <c r="L1278" s="13" t="b">
        <f>Github!M$2193</f>
        <v>0</v>
      </c>
      <c r="M1278" s="13" t="b">
        <f>Github!N$2193</f>
        <v>0</v>
      </c>
      <c r="N1278" s="13">
        <f>Github!P$2193</f>
        <v>20544</v>
      </c>
      <c r="O1278" s="13">
        <f>Github!Q$2193</f>
        <v>40661</v>
      </c>
    </row>
    <row r="1279">
      <c r="A1279" s="13">
        <f>Github!J$2219</f>
        <v>2218</v>
      </c>
      <c r="B1279" s="14" t="str">
        <f>HYPERLINK(CONCAT("http://leetcode.com/problems/",Github!C$2219), Github!B$2219)</f>
        <v>Maximum Value of K Coins From Piles</v>
      </c>
      <c r="C1279" s="13">
        <f>Github!F$2219</f>
        <v>699</v>
      </c>
      <c r="D1279" s="13">
        <f>Github!G$2219</f>
        <v>12</v>
      </c>
      <c r="E1279" s="13">
        <f>Github!F$2219+Github!G$2219</f>
        <v>711</v>
      </c>
      <c r="F1279" s="15">
        <f t="shared" si="1"/>
        <v>58.25</v>
      </c>
      <c r="G1279" s="13" t="str">
        <f>ROUND(Github!O$2219, 2)&amp;"%"</f>
        <v>47.91%</v>
      </c>
      <c r="H1279" s="13" t="str">
        <f>Github!H$2219</f>
        <v>Algorithms</v>
      </c>
      <c r="I1279" s="16" t="str">
        <f>SUBSTITUTE(Github!L$2219, ";", ", ")</f>
        <v>Array, Dynamic Programming, Prefix Sum, </v>
      </c>
      <c r="J1279" s="13" t="str">
        <f>Github!E$2219</f>
        <v>Hard</v>
      </c>
      <c r="K1279" s="13" t="str">
        <f>IF(TRIM(Github!D$2219)="TRUE","FALSE","TRUE")</f>
        <v>TRUE</v>
      </c>
      <c r="L1279" s="13" t="b">
        <f>Github!M$2219</f>
        <v>0</v>
      </c>
      <c r="M1279" s="13" t="b">
        <f>Github!N$2219</f>
        <v>0</v>
      </c>
      <c r="N1279" s="13">
        <f>Github!P$2219</f>
        <v>12903</v>
      </c>
      <c r="O1279" s="13">
        <f>Github!Q$2219</f>
        <v>26932</v>
      </c>
    </row>
    <row r="1280">
      <c r="A1280" s="13">
        <f>Github!J$1024</f>
        <v>1023</v>
      </c>
      <c r="B1280" s="14" t="str">
        <f>HYPERLINK(CONCAT("http://leetcode.com/problems/",Github!C$1024), Github!B$1024)</f>
        <v>Camelcase Matching</v>
      </c>
      <c r="C1280" s="13">
        <f>Github!F$1024</f>
        <v>698</v>
      </c>
      <c r="D1280" s="13">
        <f>Github!G$1024</f>
        <v>255</v>
      </c>
      <c r="E1280" s="13">
        <f>Github!F$1024+Github!G$1024</f>
        <v>953</v>
      </c>
      <c r="F1280" s="15">
        <f t="shared" si="1"/>
        <v>2.74</v>
      </c>
      <c r="G1280" s="13" t="str">
        <f>ROUND(Github!O$1024, 2)&amp;"%"</f>
        <v>60.31%</v>
      </c>
      <c r="H1280" s="13" t="str">
        <f>Github!H$1024</f>
        <v>Algorithms</v>
      </c>
      <c r="I1280" s="16" t="str">
        <f>SUBSTITUTE(Github!L$1024, ";", ", ")</f>
        <v>Two Pointers, String, Trie, String Matching, </v>
      </c>
      <c r="J1280" s="13" t="str">
        <f>Github!E$1024</f>
        <v>Medium</v>
      </c>
      <c r="K1280" s="13" t="str">
        <f>IF(TRIM(Github!D$1024)="TRUE","FALSE","TRUE")</f>
        <v>TRUE</v>
      </c>
      <c r="L1280" s="13" t="b">
        <f>Github!M$1024</f>
        <v>0</v>
      </c>
      <c r="M1280" s="13" t="b">
        <f>Github!N$1024</f>
        <v>0</v>
      </c>
      <c r="N1280" s="13">
        <f>Github!P$1024</f>
        <v>37152</v>
      </c>
      <c r="O1280" s="13">
        <f>Github!Q$1024</f>
        <v>61606</v>
      </c>
    </row>
    <row r="1281">
      <c r="A1281" s="13">
        <f>Github!J$448</f>
        <v>447</v>
      </c>
      <c r="B1281" s="14" t="str">
        <f>HYPERLINK(CONCAT("http://leetcode.com/problems/",Github!C$448), Github!B$448)</f>
        <v>Number of Boomerangs</v>
      </c>
      <c r="C1281" s="13">
        <f>Github!F$448</f>
        <v>690</v>
      </c>
      <c r="D1281" s="13">
        <f>Github!G$448</f>
        <v>933</v>
      </c>
      <c r="E1281" s="13">
        <f>Github!F$448+Github!G$448</f>
        <v>1623</v>
      </c>
      <c r="F1281" s="15">
        <f t="shared" si="1"/>
        <v>0.74</v>
      </c>
      <c r="G1281" s="13" t="str">
        <f>ROUND(Github!O$448, 2)&amp;"%"</f>
        <v>54.7%</v>
      </c>
      <c r="H1281" s="13" t="str">
        <f>Github!H$448</f>
        <v>Algorithms</v>
      </c>
      <c r="I1281" s="16" t="str">
        <f>SUBSTITUTE(Github!L$448, ";", ", ")</f>
        <v>Array, Hash Table, Math, </v>
      </c>
      <c r="J1281" s="13" t="str">
        <f>Github!E$448</f>
        <v>Medium</v>
      </c>
      <c r="K1281" s="13" t="str">
        <f>IF(TRIM(Github!D$448)="TRUE","FALSE","TRUE")</f>
        <v>TRUE</v>
      </c>
      <c r="L1281" s="13" t="b">
        <f>Github!M$448</f>
        <v>0</v>
      </c>
      <c r="M1281" s="13" t="b">
        <f>Github!N$448</f>
        <v>0</v>
      </c>
      <c r="N1281" s="13">
        <f>Github!P$448</f>
        <v>90252</v>
      </c>
      <c r="O1281" s="13">
        <f>Github!Q$448</f>
        <v>164993</v>
      </c>
    </row>
    <row r="1282">
      <c r="A1282" s="13">
        <f>Github!J$682</f>
        <v>681</v>
      </c>
      <c r="B1282" s="14" t="str">
        <f>HYPERLINK(CONCAT("http://leetcode.com/problems/",Github!C$682), Github!B$682)</f>
        <v>Next Closest Time</v>
      </c>
      <c r="C1282" s="13">
        <f>Github!F$682</f>
        <v>689</v>
      </c>
      <c r="D1282" s="13">
        <f>Github!G$682</f>
        <v>1018</v>
      </c>
      <c r="E1282" s="13">
        <f>Github!F$682+Github!G$682</f>
        <v>1707</v>
      </c>
      <c r="F1282" s="15">
        <f t="shared" si="1"/>
        <v>0.68</v>
      </c>
      <c r="G1282" s="13" t="str">
        <f>ROUND(Github!O$682, 2)&amp;"%"</f>
        <v>46.39%</v>
      </c>
      <c r="H1282" s="13" t="str">
        <f>Github!H$682</f>
        <v>Algorithms</v>
      </c>
      <c r="I1282" s="16" t="str">
        <f>SUBSTITUTE(Github!L$682, ";", ", ")</f>
        <v>String, Enumeration, </v>
      </c>
      <c r="J1282" s="13" t="str">
        <f>Github!E$682</f>
        <v>Medium</v>
      </c>
      <c r="K1282" s="13" t="str">
        <f>IF(TRIM(Github!D$682)="TRUE","FALSE","TRUE")</f>
        <v>FALSE</v>
      </c>
      <c r="L1282" s="13" t="b">
        <f>Github!M$682</f>
        <v>0</v>
      </c>
      <c r="M1282" s="13" t="b">
        <f>Github!N$682</f>
        <v>0</v>
      </c>
      <c r="N1282" s="13">
        <f>Github!P$682</f>
        <v>100643</v>
      </c>
      <c r="O1282" s="13">
        <f>Github!Q$682</f>
        <v>216954</v>
      </c>
    </row>
    <row r="1283">
      <c r="A1283" s="13">
        <f>Github!J$2222</f>
        <v>2221</v>
      </c>
      <c r="B1283" s="14" t="str">
        <f>HYPERLINK(CONCAT("http://leetcode.com/problems/",Github!C$2222), Github!B$2222)</f>
        <v>Find Triangular Sum of an Array</v>
      </c>
      <c r="C1283" s="13">
        <f>Github!F$2222</f>
        <v>709</v>
      </c>
      <c r="D1283" s="13">
        <f>Github!G$2222</f>
        <v>33</v>
      </c>
      <c r="E1283" s="13">
        <f>Github!F$2222+Github!G$2222</f>
        <v>742</v>
      </c>
      <c r="F1283" s="15">
        <f t="shared" si="1"/>
        <v>21.48</v>
      </c>
      <c r="G1283" s="13" t="str">
        <f>ROUND(Github!O$2222, 2)&amp;"%"</f>
        <v>78.71%</v>
      </c>
      <c r="H1283" s="13" t="str">
        <f>Github!H$2222</f>
        <v>Algorithms</v>
      </c>
      <c r="I1283" s="16" t="str">
        <f>SUBSTITUTE(Github!L$2222, ";", ", ")</f>
        <v>Array, Math, Simulation, Combinatorics, </v>
      </c>
      <c r="J1283" s="13" t="str">
        <f>Github!E$2222</f>
        <v>Medium</v>
      </c>
      <c r="K1283" s="13" t="str">
        <f>IF(TRIM(Github!D$2222)="TRUE","FALSE","TRUE")</f>
        <v>TRUE</v>
      </c>
      <c r="L1283" s="13" t="b">
        <f>Github!M$2222</f>
        <v>0</v>
      </c>
      <c r="M1283" s="13" t="b">
        <f>Github!N$2222</f>
        <v>0</v>
      </c>
      <c r="N1283" s="13">
        <f>Github!P$2222</f>
        <v>48014</v>
      </c>
      <c r="O1283" s="13">
        <f>Github!Q$2222</f>
        <v>60999</v>
      </c>
    </row>
    <row r="1284">
      <c r="A1284" s="13">
        <f>Github!J$1754</f>
        <v>1753</v>
      </c>
      <c r="B1284" s="14" t="str">
        <f>HYPERLINK(CONCAT("http://leetcode.com/problems/",Github!C$1754), Github!B$1754)</f>
        <v>Maximum Score From Removing Stones</v>
      </c>
      <c r="C1284" s="13">
        <f>Github!F$1754</f>
        <v>702</v>
      </c>
      <c r="D1284" s="13">
        <f>Github!G$1754</f>
        <v>44</v>
      </c>
      <c r="E1284" s="13">
        <f>Github!F$1754+Github!G$1754</f>
        <v>746</v>
      </c>
      <c r="F1284" s="15">
        <f t="shared" si="1"/>
        <v>15.95</v>
      </c>
      <c r="G1284" s="13" t="str">
        <f>ROUND(Github!O$1754, 2)&amp;"%"</f>
        <v>66.42%</v>
      </c>
      <c r="H1284" s="13" t="str">
        <f>Github!H$1754</f>
        <v>Algorithms</v>
      </c>
      <c r="I1284" s="16" t="str">
        <f>SUBSTITUTE(Github!L$1754, ";", ", ")</f>
        <v>Math, Greedy, Heap (Priority Queue), </v>
      </c>
      <c r="J1284" s="13" t="str">
        <f>Github!E$1754</f>
        <v>Medium</v>
      </c>
      <c r="K1284" s="13" t="str">
        <f>IF(TRIM(Github!D$1754)="TRUE","FALSE","TRUE")</f>
        <v>TRUE</v>
      </c>
      <c r="L1284" s="13" t="b">
        <f>Github!M$1754</f>
        <v>0</v>
      </c>
      <c r="M1284" s="13" t="b">
        <f>Github!N$1754</f>
        <v>0</v>
      </c>
      <c r="N1284" s="13">
        <f>Github!P$1754</f>
        <v>28416</v>
      </c>
      <c r="O1284" s="13">
        <f>Github!Q$1754</f>
        <v>42783</v>
      </c>
    </row>
    <row r="1285">
      <c r="A1285" s="13">
        <f>Github!J$2017</f>
        <v>2016</v>
      </c>
      <c r="B1285" s="14" t="str">
        <f>HYPERLINK(CONCAT("http://leetcode.com/problems/",Github!C$2017), Github!B$2017)</f>
        <v>Maximum Difference Between Increasing Elements</v>
      </c>
      <c r="C1285" s="13">
        <f>Github!F$2017</f>
        <v>701</v>
      </c>
      <c r="D1285" s="13">
        <f>Github!G$2017</f>
        <v>24</v>
      </c>
      <c r="E1285" s="13">
        <f>Github!F$2017+Github!G$2017</f>
        <v>725</v>
      </c>
      <c r="F1285" s="15">
        <f t="shared" si="1"/>
        <v>29.21</v>
      </c>
      <c r="G1285" s="13" t="str">
        <f>ROUND(Github!O$2017, 2)&amp;"%"</f>
        <v>53.67%</v>
      </c>
      <c r="H1285" s="13" t="str">
        <f>Github!H$2017</f>
        <v>Algorithms</v>
      </c>
      <c r="I1285" s="16" t="str">
        <f>SUBSTITUTE(Github!L$2017, ";", ", ")</f>
        <v>Array, </v>
      </c>
      <c r="J1285" s="13" t="str">
        <f>Github!E$2017</f>
        <v>Easy</v>
      </c>
      <c r="K1285" s="13" t="str">
        <f>IF(TRIM(Github!D$2017)="TRUE","FALSE","TRUE")</f>
        <v>TRUE</v>
      </c>
      <c r="L1285" s="13" t="b">
        <f>Github!M$2017</f>
        <v>0</v>
      </c>
      <c r="M1285" s="13" t="b">
        <f>Github!N$2017</f>
        <v>0</v>
      </c>
      <c r="N1285" s="13">
        <f>Github!P$2017</f>
        <v>52200</v>
      </c>
      <c r="O1285" s="13">
        <f>Github!Q$2017</f>
        <v>97253</v>
      </c>
    </row>
    <row r="1286">
      <c r="A1286" s="13">
        <f>Github!J$1459</f>
        <v>1458</v>
      </c>
      <c r="B1286" s="14" t="str">
        <f>HYPERLINK(CONCAT("http://leetcode.com/problems/",Github!C$1459), Github!B$1459)</f>
        <v>Max Dot Product of Two Subsequences</v>
      </c>
      <c r="C1286" s="13">
        <f>Github!F$1459</f>
        <v>687</v>
      </c>
      <c r="D1286" s="13">
        <f>Github!G$1459</f>
        <v>14</v>
      </c>
      <c r="E1286" s="13">
        <f>Github!F$1459+Github!G$1459</f>
        <v>701</v>
      </c>
      <c r="F1286" s="15">
        <f t="shared" si="1"/>
        <v>49.07</v>
      </c>
      <c r="G1286" s="13" t="str">
        <f>ROUND(Github!O$1459, 2)&amp;"%"</f>
        <v>46.44%</v>
      </c>
      <c r="H1286" s="13" t="str">
        <f>Github!H$1459</f>
        <v>Algorithms</v>
      </c>
      <c r="I1286" s="16" t="str">
        <f>SUBSTITUTE(Github!L$1459, ";", ", ")</f>
        <v>Array, Dynamic Programming, </v>
      </c>
      <c r="J1286" s="13" t="str">
        <f>Github!E$1459</f>
        <v>Hard</v>
      </c>
      <c r="K1286" s="13" t="str">
        <f>IF(TRIM(Github!D$1459)="TRUE","FALSE","TRUE")</f>
        <v>TRUE</v>
      </c>
      <c r="L1286" s="13" t="b">
        <f>Github!M$1459</f>
        <v>0</v>
      </c>
      <c r="M1286" s="13" t="b">
        <f>Github!N$1459</f>
        <v>0</v>
      </c>
      <c r="N1286" s="13">
        <f>Github!P$1459</f>
        <v>18914</v>
      </c>
      <c r="O1286" s="13">
        <f>Github!Q$1459</f>
        <v>40724</v>
      </c>
    </row>
    <row r="1287">
      <c r="A1287" s="13">
        <f>Github!J$496</f>
        <v>495</v>
      </c>
      <c r="B1287" s="14" t="str">
        <f>HYPERLINK(CONCAT("http://leetcode.com/problems/",Github!C$496), Github!B$496)</f>
        <v>Teemo Attacking</v>
      </c>
      <c r="C1287" s="13">
        <f>Github!F$496</f>
        <v>690</v>
      </c>
      <c r="D1287" s="13">
        <f>Github!G$496</f>
        <v>68</v>
      </c>
      <c r="E1287" s="13">
        <f>Github!F$496+Github!G$496</f>
        <v>758</v>
      </c>
      <c r="F1287" s="15">
        <f t="shared" si="1"/>
        <v>10.15</v>
      </c>
      <c r="G1287" s="13" t="str">
        <f>ROUND(Github!O$496, 2)&amp;"%"</f>
        <v>56.96%</v>
      </c>
      <c r="H1287" s="13" t="str">
        <f>Github!H$496</f>
        <v>Algorithms</v>
      </c>
      <c r="I1287" s="16" t="str">
        <f>SUBSTITUTE(Github!L$496, ";", ", ")</f>
        <v>Array, Simulation, </v>
      </c>
      <c r="J1287" s="13" t="str">
        <f>Github!E$496</f>
        <v>Easy</v>
      </c>
      <c r="K1287" s="13" t="str">
        <f>IF(TRIM(Github!D$496)="TRUE","FALSE","TRUE")</f>
        <v>TRUE</v>
      </c>
      <c r="L1287" s="13" t="b">
        <f>Github!M$496</f>
        <v>1</v>
      </c>
      <c r="M1287" s="13" t="b">
        <f>Github!N$496</f>
        <v>0</v>
      </c>
      <c r="N1287" s="13">
        <f>Github!P$496</f>
        <v>115618</v>
      </c>
      <c r="O1287" s="13">
        <f>Github!Q$496</f>
        <v>202981</v>
      </c>
    </row>
    <row r="1288">
      <c r="A1288" s="13">
        <f>Github!J$1234</f>
        <v>1233</v>
      </c>
      <c r="B1288" s="14" t="str">
        <f>HYPERLINK(CONCAT("http://leetcode.com/problems/",Github!C$1234), Github!B$1234)</f>
        <v>Remove Sub-Folders from the Filesystem</v>
      </c>
      <c r="C1288" s="13">
        <f>Github!F$1234</f>
        <v>687</v>
      </c>
      <c r="D1288" s="13">
        <f>Github!G$1234</f>
        <v>92</v>
      </c>
      <c r="E1288" s="13">
        <f>Github!F$1234+Github!G$1234</f>
        <v>779</v>
      </c>
      <c r="F1288" s="15">
        <f t="shared" si="1"/>
        <v>7.47</v>
      </c>
      <c r="G1288" s="13" t="str">
        <f>ROUND(Github!O$1234, 2)&amp;"%"</f>
        <v>65.44%</v>
      </c>
      <c r="H1288" s="13" t="str">
        <f>Github!H$1234</f>
        <v>Algorithms</v>
      </c>
      <c r="I1288" s="16" t="str">
        <f>SUBSTITUTE(Github!L$1234, ";", ", ")</f>
        <v>Array, String, Trie, </v>
      </c>
      <c r="J1288" s="13" t="str">
        <f>Github!E$1234</f>
        <v>Medium</v>
      </c>
      <c r="K1288" s="13" t="str">
        <f>IF(TRIM(Github!D$1234)="TRUE","FALSE","TRUE")</f>
        <v>TRUE</v>
      </c>
      <c r="L1288" s="13" t="b">
        <f>Github!M$1234</f>
        <v>0</v>
      </c>
      <c r="M1288" s="13" t="b">
        <f>Github!N$1234</f>
        <v>0</v>
      </c>
      <c r="N1288" s="13">
        <f>Github!P$1234</f>
        <v>46710</v>
      </c>
      <c r="O1288" s="13">
        <f>Github!Q$1234</f>
        <v>71376</v>
      </c>
    </row>
    <row r="1289">
      <c r="A1289" s="13">
        <f>Github!J$1599</f>
        <v>1598</v>
      </c>
      <c r="B1289" s="14" t="str">
        <f>HYPERLINK(CONCAT("http://leetcode.com/problems/",Github!C$1599), Github!B$1599)</f>
        <v>Crawler Log Folder</v>
      </c>
      <c r="C1289" s="13">
        <f>Github!F$1599</f>
        <v>686</v>
      </c>
      <c r="D1289" s="13">
        <f>Github!G$1599</f>
        <v>50</v>
      </c>
      <c r="E1289" s="13">
        <f>Github!F$1599+Github!G$1599</f>
        <v>736</v>
      </c>
      <c r="F1289" s="15">
        <f t="shared" si="1"/>
        <v>13.72</v>
      </c>
      <c r="G1289" s="13" t="str">
        <f>ROUND(Github!O$1599, 2)&amp;"%"</f>
        <v>64.44%</v>
      </c>
      <c r="H1289" s="13" t="str">
        <f>Github!H$1599</f>
        <v>Algorithms</v>
      </c>
      <c r="I1289" s="16" t="str">
        <f>SUBSTITUTE(Github!L$1599, ";", ", ")</f>
        <v>Array, String, Stack, </v>
      </c>
      <c r="J1289" s="13" t="str">
        <f>Github!E$1599</f>
        <v>Easy</v>
      </c>
      <c r="K1289" s="13" t="str">
        <f>IF(TRIM(Github!D$1599)="TRUE","FALSE","TRUE")</f>
        <v>TRUE</v>
      </c>
      <c r="L1289" s="13" t="b">
        <f>Github!M$1599</f>
        <v>0</v>
      </c>
      <c r="M1289" s="13" t="b">
        <f>Github!N$1599</f>
        <v>0</v>
      </c>
      <c r="N1289" s="13">
        <f>Github!P$1599</f>
        <v>54211</v>
      </c>
      <c r="O1289" s="13">
        <f>Github!Q$1599</f>
        <v>84129</v>
      </c>
    </row>
    <row r="1290">
      <c r="A1290" s="13">
        <f>Github!J$1982</f>
        <v>1981</v>
      </c>
      <c r="B1290" s="14" t="str">
        <f>HYPERLINK(CONCAT("http://leetcode.com/problems/",Github!C$1982), Github!B$1982)</f>
        <v>Minimize the Difference Between Target and Chosen Elements</v>
      </c>
      <c r="C1290" s="13">
        <f>Github!F$1982</f>
        <v>690</v>
      </c>
      <c r="D1290" s="13">
        <f>Github!G$1982</f>
        <v>120</v>
      </c>
      <c r="E1290" s="13">
        <f>Github!F$1982+Github!G$1982</f>
        <v>810</v>
      </c>
      <c r="F1290" s="15">
        <f t="shared" si="1"/>
        <v>5.75</v>
      </c>
      <c r="G1290" s="13" t="str">
        <f>ROUND(Github!O$1982, 2)&amp;"%"</f>
        <v>32.4%</v>
      </c>
      <c r="H1290" s="13" t="str">
        <f>Github!H$1982</f>
        <v>Algorithms</v>
      </c>
      <c r="I1290" s="16" t="str">
        <f>SUBSTITUTE(Github!L$1982, ";", ", ")</f>
        <v>Array, Dynamic Programming, Matrix, </v>
      </c>
      <c r="J1290" s="13" t="str">
        <f>Github!E$1982</f>
        <v>Medium</v>
      </c>
      <c r="K1290" s="13" t="str">
        <f>IF(TRIM(Github!D$1982)="TRUE","FALSE","TRUE")</f>
        <v>TRUE</v>
      </c>
      <c r="L1290" s="13" t="b">
        <f>Github!M$1982</f>
        <v>0</v>
      </c>
      <c r="M1290" s="13" t="b">
        <f>Github!N$1982</f>
        <v>0</v>
      </c>
      <c r="N1290" s="13">
        <f>Github!P$1982</f>
        <v>19290</v>
      </c>
      <c r="O1290" s="13">
        <f>Github!Q$1982</f>
        <v>59545</v>
      </c>
    </row>
    <row r="1291">
      <c r="A1291" s="13">
        <f>Github!J$392</f>
        <v>391</v>
      </c>
      <c r="B1291" s="14" t="str">
        <f>HYPERLINK(CONCAT("http://leetcode.com/problems/",Github!C$392), Github!B$392)</f>
        <v>Perfect Rectangle</v>
      </c>
      <c r="C1291" s="13">
        <f>Github!F$392</f>
        <v>693</v>
      </c>
      <c r="D1291" s="13">
        <f>Github!G$392</f>
        <v>105</v>
      </c>
      <c r="E1291" s="13">
        <f>Github!F$392+Github!G$392</f>
        <v>798</v>
      </c>
      <c r="F1291" s="15">
        <f t="shared" si="1"/>
        <v>6.6</v>
      </c>
      <c r="G1291" s="13" t="str">
        <f>ROUND(Github!O$392, 2)&amp;"%"</f>
        <v>32.53%</v>
      </c>
      <c r="H1291" s="13" t="str">
        <f>Github!H$392</f>
        <v>Algorithms</v>
      </c>
      <c r="I1291" s="16" t="str">
        <f>SUBSTITUTE(Github!L$392, ";", ", ")</f>
        <v>Array, Line Sweep, </v>
      </c>
      <c r="J1291" s="13" t="str">
        <f>Github!E$392</f>
        <v>Hard</v>
      </c>
      <c r="K1291" s="13" t="str">
        <f>IF(TRIM(Github!D$392)="TRUE","FALSE","TRUE")</f>
        <v>TRUE</v>
      </c>
      <c r="L1291" s="13" t="b">
        <f>Github!M$392</f>
        <v>0</v>
      </c>
      <c r="M1291" s="13" t="b">
        <f>Github!N$392</f>
        <v>0</v>
      </c>
      <c r="N1291" s="13">
        <f>Github!P$392</f>
        <v>37170</v>
      </c>
      <c r="O1291" s="13">
        <f>Github!Q$392</f>
        <v>114279</v>
      </c>
    </row>
    <row r="1292">
      <c r="A1292" s="13">
        <f>Github!J$1546</f>
        <v>1545</v>
      </c>
      <c r="B1292" s="14" t="str">
        <f>HYPERLINK(CONCAT("http://leetcode.com/problems/",Github!C$1546), Github!B$1546)</f>
        <v>Find Kth Bit in Nth Binary String</v>
      </c>
      <c r="C1292" s="13">
        <f>Github!F$1546</f>
        <v>686</v>
      </c>
      <c r="D1292" s="13">
        <f>Github!G$1546</f>
        <v>46</v>
      </c>
      <c r="E1292" s="13">
        <f>Github!F$1546+Github!G$1546</f>
        <v>732</v>
      </c>
      <c r="F1292" s="15">
        <f t="shared" si="1"/>
        <v>14.91</v>
      </c>
      <c r="G1292" s="13" t="str">
        <f>ROUND(Github!O$1546, 2)&amp;"%"</f>
        <v>58.27%</v>
      </c>
      <c r="H1292" s="13" t="str">
        <f>Github!H$1546</f>
        <v>Algorithms</v>
      </c>
      <c r="I1292" s="16" t="str">
        <f>SUBSTITUTE(Github!L$1546, ";", ", ")</f>
        <v>String, Recursion, </v>
      </c>
      <c r="J1292" s="13" t="str">
        <f>Github!E$1546</f>
        <v>Medium</v>
      </c>
      <c r="K1292" s="13" t="str">
        <f>IF(TRIM(Github!D$1546)="TRUE","FALSE","TRUE")</f>
        <v>TRUE</v>
      </c>
      <c r="L1292" s="13" t="b">
        <f>Github!M$1546</f>
        <v>0</v>
      </c>
      <c r="M1292" s="13" t="b">
        <f>Github!N$1546</f>
        <v>0</v>
      </c>
      <c r="N1292" s="13">
        <f>Github!P$1546</f>
        <v>30617</v>
      </c>
      <c r="O1292" s="13">
        <f>Github!Q$1546</f>
        <v>52545</v>
      </c>
    </row>
    <row r="1293">
      <c r="A1293" s="13">
        <f>Github!J$608</f>
        <v>607</v>
      </c>
      <c r="B1293" s="14" t="str">
        <f>HYPERLINK(CONCAT("http://leetcode.com/problems/",Github!C$608), Github!B$608)</f>
        <v>Sales Person</v>
      </c>
      <c r="C1293" s="13">
        <f>Github!F$608</f>
        <v>692</v>
      </c>
      <c r="D1293" s="13">
        <f>Github!G$608</f>
        <v>67</v>
      </c>
      <c r="E1293" s="13">
        <f>Github!F$608+Github!G$608</f>
        <v>759</v>
      </c>
      <c r="F1293" s="15">
        <f t="shared" si="1"/>
        <v>10.33</v>
      </c>
      <c r="G1293" s="13" t="str">
        <f>ROUND(Github!O$608, 2)&amp;"%"</f>
        <v>71.38%</v>
      </c>
      <c r="H1293" s="13" t="str">
        <f>Github!H$608</f>
        <v>Database</v>
      </c>
      <c r="I1293" s="16" t="str">
        <f>SUBSTITUTE(Github!L$608, ";", ", ")</f>
        <v>Database, </v>
      </c>
      <c r="J1293" s="13" t="str">
        <f>Github!E$608</f>
        <v>Easy</v>
      </c>
      <c r="K1293" s="13" t="str">
        <f>IF(TRIM(Github!D$608)="TRUE","FALSE","TRUE")</f>
        <v>TRUE</v>
      </c>
      <c r="L1293" s="13" t="b">
        <f>Github!M$608</f>
        <v>1</v>
      </c>
      <c r="M1293" s="13" t="b">
        <f>Github!N$608</f>
        <v>0</v>
      </c>
      <c r="N1293" s="13">
        <f>Github!P$608</f>
        <v>116568</v>
      </c>
      <c r="O1293" s="13">
        <f>Github!Q$608</f>
        <v>163303</v>
      </c>
    </row>
    <row r="1294">
      <c r="A1294" s="13">
        <f>Github!J$1350</f>
        <v>1349</v>
      </c>
      <c r="B1294" s="14" t="str">
        <f>HYPERLINK(CONCAT("http://leetcode.com/problems/",Github!C$1350), Github!B$1350)</f>
        <v>Maximum Students Taking Exam</v>
      </c>
      <c r="C1294" s="13">
        <f>Github!F$1350</f>
        <v>674</v>
      </c>
      <c r="D1294" s="13">
        <f>Github!G$1350</f>
        <v>12</v>
      </c>
      <c r="E1294" s="13">
        <f>Github!F$1350+Github!G$1350</f>
        <v>686</v>
      </c>
      <c r="F1294" s="15">
        <f t="shared" si="1"/>
        <v>56.17</v>
      </c>
      <c r="G1294" s="13" t="str">
        <f>ROUND(Github!O$1350, 2)&amp;"%"</f>
        <v>48.53%</v>
      </c>
      <c r="H1294" s="13" t="str">
        <f>Github!H$1350</f>
        <v>Algorithms</v>
      </c>
      <c r="I1294" s="16" t="str">
        <f>SUBSTITUTE(Github!L$1350, ";", ", ")</f>
        <v>Array, Dynamic Programming, Bit Manipulation, Matrix, Bitmask, </v>
      </c>
      <c r="J1294" s="13" t="str">
        <f>Github!E$1350</f>
        <v>Hard</v>
      </c>
      <c r="K1294" s="13" t="str">
        <f>IF(TRIM(Github!D$1350)="TRUE","FALSE","TRUE")</f>
        <v>TRUE</v>
      </c>
      <c r="L1294" s="13" t="b">
        <f>Github!M$1350</f>
        <v>0</v>
      </c>
      <c r="M1294" s="13" t="b">
        <f>Github!N$1350</f>
        <v>0</v>
      </c>
      <c r="N1294" s="13">
        <f>Github!P$1350</f>
        <v>12199</v>
      </c>
      <c r="O1294" s="13">
        <f>Github!Q$1350</f>
        <v>25138</v>
      </c>
    </row>
    <row r="1295">
      <c r="A1295" s="13">
        <f>Github!J$2122</f>
        <v>2121</v>
      </c>
      <c r="B1295" s="14" t="str">
        <f>HYPERLINK(CONCAT("http://leetcode.com/problems/",Github!C$2122), Github!B$2122)</f>
        <v>Intervals Between Identical Elements</v>
      </c>
      <c r="C1295" s="13">
        <f>Github!F$2122</f>
        <v>676</v>
      </c>
      <c r="D1295" s="13">
        <f>Github!G$2122</f>
        <v>27</v>
      </c>
      <c r="E1295" s="13">
        <f>Github!F$2122+Github!G$2122</f>
        <v>703</v>
      </c>
      <c r="F1295" s="15">
        <f t="shared" si="1"/>
        <v>25.04</v>
      </c>
      <c r="G1295" s="13" t="str">
        <f>ROUND(Github!O$2122, 2)&amp;"%"</f>
        <v>43.3%</v>
      </c>
      <c r="H1295" s="13" t="str">
        <f>Github!H$2122</f>
        <v>Algorithms</v>
      </c>
      <c r="I1295" s="16" t="str">
        <f>SUBSTITUTE(Github!L$2122, ";", ", ")</f>
        <v>Array, Hash Table, Prefix Sum, </v>
      </c>
      <c r="J1295" s="13" t="str">
        <f>Github!E$2122</f>
        <v>Medium</v>
      </c>
      <c r="K1295" s="13" t="str">
        <f>IF(TRIM(Github!D$2122)="TRUE","FALSE","TRUE")</f>
        <v>TRUE</v>
      </c>
      <c r="L1295" s="13" t="b">
        <f>Github!M$2122</f>
        <v>0</v>
      </c>
      <c r="M1295" s="13" t="b">
        <f>Github!N$2122</f>
        <v>0</v>
      </c>
      <c r="N1295" s="13">
        <f>Github!P$2122</f>
        <v>14584</v>
      </c>
      <c r="O1295" s="13">
        <f>Github!Q$2122</f>
        <v>33680</v>
      </c>
    </row>
    <row r="1296">
      <c r="A1296" s="13">
        <f>Github!J$1980</f>
        <v>1979</v>
      </c>
      <c r="B1296" s="14" t="str">
        <f>HYPERLINK(CONCAT("http://leetcode.com/problems/",Github!C$1980), Github!B$1980)</f>
        <v>Find Greatest Common Divisor of Array</v>
      </c>
      <c r="C1296" s="13">
        <f>Github!F$1980</f>
        <v>681</v>
      </c>
      <c r="D1296" s="13">
        <f>Github!G$1980</f>
        <v>26</v>
      </c>
      <c r="E1296" s="13">
        <f>Github!F$1980+Github!G$1980</f>
        <v>707</v>
      </c>
      <c r="F1296" s="15">
        <f t="shared" si="1"/>
        <v>26.19</v>
      </c>
      <c r="G1296" s="13" t="str">
        <f>ROUND(Github!O$1980, 2)&amp;"%"</f>
        <v>76.76%</v>
      </c>
      <c r="H1296" s="13" t="str">
        <f>Github!H$1980</f>
        <v>Algorithms</v>
      </c>
      <c r="I1296" s="16" t="str">
        <f>SUBSTITUTE(Github!L$1980, ";", ", ")</f>
        <v>Array, Math, Number Theory, </v>
      </c>
      <c r="J1296" s="13" t="str">
        <f>Github!E$1980</f>
        <v>Easy</v>
      </c>
      <c r="K1296" s="13" t="str">
        <f>IF(TRIM(Github!D$1980)="TRUE","FALSE","TRUE")</f>
        <v>TRUE</v>
      </c>
      <c r="L1296" s="13" t="b">
        <f>Github!M$1980</f>
        <v>0</v>
      </c>
      <c r="M1296" s="13" t="b">
        <f>Github!N$1980</f>
        <v>0</v>
      </c>
      <c r="N1296" s="13">
        <f>Github!P$1980</f>
        <v>67685</v>
      </c>
      <c r="O1296" s="13">
        <f>Github!Q$1980</f>
        <v>88179</v>
      </c>
    </row>
    <row r="1297">
      <c r="A1297" s="13">
        <f>Github!J$1409</f>
        <v>1408</v>
      </c>
      <c r="B1297" s="14" t="str">
        <f>HYPERLINK(CONCAT("http://leetcode.com/problems/",Github!C$1409), Github!B$1409)</f>
        <v>String Matching in an Array</v>
      </c>
      <c r="C1297" s="13">
        <f>Github!F$1409</f>
        <v>676</v>
      </c>
      <c r="D1297" s="13">
        <f>Github!G$1409</f>
        <v>78</v>
      </c>
      <c r="E1297" s="13">
        <f>Github!F$1409+Github!G$1409</f>
        <v>754</v>
      </c>
      <c r="F1297" s="15">
        <f t="shared" si="1"/>
        <v>8.67</v>
      </c>
      <c r="G1297" s="13" t="str">
        <f>ROUND(Github!O$1409, 2)&amp;"%"</f>
        <v>63.85%</v>
      </c>
      <c r="H1297" s="13" t="str">
        <f>Github!H$1409</f>
        <v>Algorithms</v>
      </c>
      <c r="I1297" s="16" t="str">
        <f>SUBSTITUTE(Github!L$1409, ";", ", ")</f>
        <v>Array, String, String Matching, </v>
      </c>
      <c r="J1297" s="13" t="str">
        <f>Github!E$1409</f>
        <v>Easy</v>
      </c>
      <c r="K1297" s="13" t="str">
        <f>IF(TRIM(Github!D$1409)="TRUE","FALSE","TRUE")</f>
        <v>TRUE</v>
      </c>
      <c r="L1297" s="13" t="b">
        <f>Github!M$1409</f>
        <v>0</v>
      </c>
      <c r="M1297" s="13" t="b">
        <f>Github!N$1409</f>
        <v>0</v>
      </c>
      <c r="N1297" s="13">
        <f>Github!P$1409</f>
        <v>64930</v>
      </c>
      <c r="O1297" s="13">
        <f>Github!Q$1409</f>
        <v>101693</v>
      </c>
    </row>
    <row r="1298">
      <c r="A1298" s="13">
        <f>Github!J$1594</f>
        <v>1593</v>
      </c>
      <c r="B1298" s="14" t="str">
        <f>HYPERLINK(CONCAT("http://leetcode.com/problems/",Github!C$1594), Github!B$1594)</f>
        <v>Split a String Into the Max Number of Unique Substrings</v>
      </c>
      <c r="C1298" s="13">
        <f>Github!F$1594</f>
        <v>671</v>
      </c>
      <c r="D1298" s="13">
        <f>Github!G$1594</f>
        <v>26</v>
      </c>
      <c r="E1298" s="13">
        <f>Github!F$1594+Github!G$1594</f>
        <v>697</v>
      </c>
      <c r="F1298" s="15">
        <f t="shared" si="1"/>
        <v>25.81</v>
      </c>
      <c r="G1298" s="13" t="str">
        <f>ROUND(Github!O$1594, 2)&amp;"%"</f>
        <v>55.03%</v>
      </c>
      <c r="H1298" s="13" t="str">
        <f>Github!H$1594</f>
        <v>Algorithms</v>
      </c>
      <c r="I1298" s="16" t="str">
        <f>SUBSTITUTE(Github!L$1594, ";", ", ")</f>
        <v>Hash Table, String, Backtracking, </v>
      </c>
      <c r="J1298" s="13" t="str">
        <f>Github!E$1594</f>
        <v>Medium</v>
      </c>
      <c r="K1298" s="13" t="str">
        <f>IF(TRIM(Github!D$1594)="TRUE","FALSE","TRUE")</f>
        <v>TRUE</v>
      </c>
      <c r="L1298" s="13" t="b">
        <f>Github!M$1594</f>
        <v>0</v>
      </c>
      <c r="M1298" s="13" t="b">
        <f>Github!N$1594</f>
        <v>0</v>
      </c>
      <c r="N1298" s="13">
        <f>Github!P$1594</f>
        <v>24127</v>
      </c>
      <c r="O1298" s="13">
        <f>Github!Q$1594</f>
        <v>43843</v>
      </c>
    </row>
    <row r="1299">
      <c r="A1299" s="13">
        <f>Github!J$522</f>
        <v>521</v>
      </c>
      <c r="B1299" s="14" t="str">
        <f>HYPERLINK(CONCAT("http://leetcode.com/problems/",Github!C$522), Github!B$522)</f>
        <v>Longest Uncommon Subsequence I</v>
      </c>
      <c r="C1299" s="13">
        <f>Github!F$522</f>
        <v>676</v>
      </c>
      <c r="D1299" s="13">
        <f>Github!G$522</f>
        <v>5986</v>
      </c>
      <c r="E1299" s="13">
        <f>Github!F$522+Github!G$522</f>
        <v>6662</v>
      </c>
      <c r="F1299" s="15">
        <f t="shared" si="1"/>
        <v>0.11</v>
      </c>
      <c r="G1299" s="13" t="str">
        <f>ROUND(Github!O$522, 2)&amp;"%"</f>
        <v>60.32%</v>
      </c>
      <c r="H1299" s="13" t="str">
        <f>Github!H$522</f>
        <v>Algorithms</v>
      </c>
      <c r="I1299" s="16" t="str">
        <f>SUBSTITUTE(Github!L$522, ";", ", ")</f>
        <v>String, </v>
      </c>
      <c r="J1299" s="13" t="str">
        <f>Github!E$522</f>
        <v>Easy</v>
      </c>
      <c r="K1299" s="13" t="str">
        <f>IF(TRIM(Github!D$522)="TRUE","FALSE","TRUE")</f>
        <v>TRUE</v>
      </c>
      <c r="L1299" s="13" t="b">
        <f>Github!M$522</f>
        <v>1</v>
      </c>
      <c r="M1299" s="13" t="b">
        <f>Github!N$522</f>
        <v>0</v>
      </c>
      <c r="N1299" s="13">
        <f>Github!P$522</f>
        <v>92277</v>
      </c>
      <c r="O1299" s="13">
        <f>Github!Q$522</f>
        <v>152970</v>
      </c>
    </row>
    <row r="1300">
      <c r="A1300" s="13">
        <f>Github!J$1387</f>
        <v>1386</v>
      </c>
      <c r="B1300" s="14" t="str">
        <f>HYPERLINK(CONCAT("http://leetcode.com/problems/",Github!C$1387), Github!B$1387)</f>
        <v>Cinema Seat Allocation</v>
      </c>
      <c r="C1300" s="13">
        <f>Github!F$1387</f>
        <v>673</v>
      </c>
      <c r="D1300" s="13">
        <f>Github!G$1387</f>
        <v>337</v>
      </c>
      <c r="E1300" s="13">
        <f>Github!F$1387+Github!G$1387</f>
        <v>1010</v>
      </c>
      <c r="F1300" s="15">
        <f t="shared" si="1"/>
        <v>2</v>
      </c>
      <c r="G1300" s="13" t="str">
        <f>ROUND(Github!O$1387, 2)&amp;"%"</f>
        <v>40.85%</v>
      </c>
      <c r="H1300" s="13" t="str">
        <f>Github!H$1387</f>
        <v>Algorithms</v>
      </c>
      <c r="I1300" s="16" t="str">
        <f>SUBSTITUTE(Github!L$1387, ";", ", ")</f>
        <v>Array, Hash Table, Greedy, Bit Manipulation, </v>
      </c>
      <c r="J1300" s="13" t="str">
        <f>Github!E$1387</f>
        <v>Medium</v>
      </c>
      <c r="K1300" s="13" t="str">
        <f>IF(TRIM(Github!D$1387)="TRUE","FALSE","TRUE")</f>
        <v>TRUE</v>
      </c>
      <c r="L1300" s="13" t="b">
        <f>Github!M$1387</f>
        <v>0</v>
      </c>
      <c r="M1300" s="13" t="b">
        <f>Github!N$1387</f>
        <v>0</v>
      </c>
      <c r="N1300" s="13">
        <f>Github!P$1387</f>
        <v>36488</v>
      </c>
      <c r="O1300" s="13">
        <f>Github!Q$1387</f>
        <v>89319</v>
      </c>
    </row>
    <row r="1301">
      <c r="A1301" s="13">
        <f>Github!J$2172</f>
        <v>2171</v>
      </c>
      <c r="B1301" s="14" t="str">
        <f>HYPERLINK(CONCAT("http://leetcode.com/problems/",Github!C$2172), Github!B$2172)</f>
        <v>Removing Minimum Number of Magic Beans</v>
      </c>
      <c r="C1301" s="13">
        <f>Github!F$2172</f>
        <v>672</v>
      </c>
      <c r="D1301" s="13">
        <f>Github!G$2172</f>
        <v>39</v>
      </c>
      <c r="E1301" s="13">
        <f>Github!F$2172+Github!G$2172</f>
        <v>711</v>
      </c>
      <c r="F1301" s="15">
        <f t="shared" si="1"/>
        <v>17.23</v>
      </c>
      <c r="G1301" s="13" t="str">
        <f>ROUND(Github!O$2172, 2)&amp;"%"</f>
        <v>42.13%</v>
      </c>
      <c r="H1301" s="13" t="str">
        <f>Github!H$2172</f>
        <v>Algorithms</v>
      </c>
      <c r="I1301" s="16" t="str">
        <f>SUBSTITUTE(Github!L$2172, ";", ", ")</f>
        <v>Array, Sorting, Prefix Sum, </v>
      </c>
      <c r="J1301" s="13" t="str">
        <f>Github!E$2172</f>
        <v>Medium</v>
      </c>
      <c r="K1301" s="13" t="str">
        <f>IF(TRIM(Github!D$2172)="TRUE","FALSE","TRUE")</f>
        <v>TRUE</v>
      </c>
      <c r="L1301" s="13" t="b">
        <f>Github!M$2172</f>
        <v>0</v>
      </c>
      <c r="M1301" s="13" t="b">
        <f>Github!N$2172</f>
        <v>0</v>
      </c>
      <c r="N1301" s="13">
        <f>Github!P$2172</f>
        <v>20066</v>
      </c>
      <c r="O1301" s="13">
        <f>Github!Q$2172</f>
        <v>47627</v>
      </c>
    </row>
    <row r="1302">
      <c r="A1302" s="13">
        <f>Github!J$1595</f>
        <v>1594</v>
      </c>
      <c r="B1302" s="14" t="str">
        <f>HYPERLINK(CONCAT("http://leetcode.com/problems/",Github!C$1595), Github!B$1595)</f>
        <v>Maximum Non Negative Product in a Matrix</v>
      </c>
      <c r="C1302" s="13">
        <f>Github!F$1595</f>
        <v>668</v>
      </c>
      <c r="D1302" s="13">
        <f>Github!G$1595</f>
        <v>32</v>
      </c>
      <c r="E1302" s="13">
        <f>Github!F$1595+Github!G$1595</f>
        <v>700</v>
      </c>
      <c r="F1302" s="15">
        <f t="shared" si="1"/>
        <v>20.88</v>
      </c>
      <c r="G1302" s="13" t="str">
        <f>ROUND(Github!O$1595, 2)&amp;"%"</f>
        <v>33.1%</v>
      </c>
      <c r="H1302" s="13" t="str">
        <f>Github!H$1595</f>
        <v>Algorithms</v>
      </c>
      <c r="I1302" s="16" t="str">
        <f>SUBSTITUTE(Github!L$1595, ";", ", ")</f>
        <v>Array, Dynamic Programming, Matrix, </v>
      </c>
      <c r="J1302" s="13" t="str">
        <f>Github!E$1595</f>
        <v>Medium</v>
      </c>
      <c r="K1302" s="13" t="str">
        <f>IF(TRIM(Github!D$1595)="TRUE","FALSE","TRUE")</f>
        <v>TRUE</v>
      </c>
      <c r="L1302" s="13" t="b">
        <f>Github!M$1595</f>
        <v>0</v>
      </c>
      <c r="M1302" s="13" t="b">
        <f>Github!N$1595</f>
        <v>0</v>
      </c>
      <c r="N1302" s="13">
        <f>Github!P$1595</f>
        <v>19592</v>
      </c>
      <c r="O1302" s="13">
        <f>Github!Q$1595</f>
        <v>59195</v>
      </c>
    </row>
    <row r="1303">
      <c r="A1303" s="13">
        <f>Github!J$2197</f>
        <v>2196</v>
      </c>
      <c r="B1303" s="14" t="str">
        <f>HYPERLINK(CONCAT("http://leetcode.com/problems/",Github!C$2197), Github!B$2197)</f>
        <v>Create Binary Tree From Descriptions</v>
      </c>
      <c r="C1303" s="13">
        <f>Github!F$2197</f>
        <v>673</v>
      </c>
      <c r="D1303" s="13">
        <f>Github!G$2197</f>
        <v>16</v>
      </c>
      <c r="E1303" s="13">
        <f>Github!F$2197+Github!G$2197</f>
        <v>689</v>
      </c>
      <c r="F1303" s="15">
        <f t="shared" si="1"/>
        <v>42.06</v>
      </c>
      <c r="G1303" s="13" t="str">
        <f>ROUND(Github!O$2197, 2)&amp;"%"</f>
        <v>72.19%</v>
      </c>
      <c r="H1303" s="13" t="str">
        <f>Github!H$2197</f>
        <v>Algorithms</v>
      </c>
      <c r="I1303" s="16" t="str">
        <f>SUBSTITUTE(Github!L$2197, ";", ", ")</f>
        <v>Array, Hash Table, Tree, Depth-First Search, Breadth-First Search, Binary Tree, </v>
      </c>
      <c r="J1303" s="13" t="str">
        <f>Github!E$2197</f>
        <v>Medium</v>
      </c>
      <c r="K1303" s="13" t="str">
        <f>IF(TRIM(Github!D$2197)="TRUE","FALSE","TRUE")</f>
        <v>TRUE</v>
      </c>
      <c r="L1303" s="13" t="b">
        <f>Github!M$2197</f>
        <v>0</v>
      </c>
      <c r="M1303" s="13" t="b">
        <f>Github!N$2197</f>
        <v>0</v>
      </c>
      <c r="N1303" s="13">
        <f>Github!P$2197</f>
        <v>23695</v>
      </c>
      <c r="O1303" s="13">
        <f>Github!Q$2197</f>
        <v>32825</v>
      </c>
    </row>
    <row r="1304">
      <c r="A1304" s="13">
        <f>Github!J$1752</f>
        <v>1751</v>
      </c>
      <c r="B1304" s="14" t="str">
        <f>HYPERLINK(CONCAT("http://leetcode.com/problems/",Github!C$1752), Github!B$1752)</f>
        <v>Maximum Number of Events That Can Be Attended II</v>
      </c>
      <c r="C1304" s="13">
        <f>Github!F$1752</f>
        <v>663</v>
      </c>
      <c r="D1304" s="13">
        <f>Github!G$1752</f>
        <v>12</v>
      </c>
      <c r="E1304" s="13">
        <f>Github!F$1752+Github!G$1752</f>
        <v>675</v>
      </c>
      <c r="F1304" s="15">
        <f t="shared" si="1"/>
        <v>55.25</v>
      </c>
      <c r="G1304" s="13" t="str">
        <f>ROUND(Github!O$1752, 2)&amp;"%"</f>
        <v>56.34%</v>
      </c>
      <c r="H1304" s="13" t="str">
        <f>Github!H$1752</f>
        <v>Algorithms</v>
      </c>
      <c r="I1304" s="16" t="str">
        <f>SUBSTITUTE(Github!L$1752, ";", ", ")</f>
        <v>Array, Binary Search, Dynamic Programming, </v>
      </c>
      <c r="J1304" s="13" t="str">
        <f>Github!E$1752</f>
        <v>Hard</v>
      </c>
      <c r="K1304" s="13" t="str">
        <f>IF(TRIM(Github!D$1752)="TRUE","FALSE","TRUE")</f>
        <v>TRUE</v>
      </c>
      <c r="L1304" s="13" t="b">
        <f>Github!M$1752</f>
        <v>0</v>
      </c>
      <c r="M1304" s="13" t="b">
        <f>Github!N$1752</f>
        <v>0</v>
      </c>
      <c r="N1304" s="13">
        <f>Github!P$1752</f>
        <v>19711</v>
      </c>
      <c r="O1304" s="13">
        <f>Github!Q$1752</f>
        <v>34984</v>
      </c>
    </row>
    <row r="1305">
      <c r="A1305" s="13">
        <f>Github!J$1871</f>
        <v>1870</v>
      </c>
      <c r="B1305" s="14" t="str">
        <f>HYPERLINK(CONCAT("http://leetcode.com/problems/",Github!C$1871), Github!B$1871)</f>
        <v>Minimum Speed to Arrive on Time</v>
      </c>
      <c r="C1305" s="13">
        <f>Github!F$1871</f>
        <v>669</v>
      </c>
      <c r="D1305" s="13">
        <f>Github!G$1871</f>
        <v>94</v>
      </c>
      <c r="E1305" s="13">
        <f>Github!F$1871+Github!G$1871</f>
        <v>763</v>
      </c>
      <c r="F1305" s="15">
        <f t="shared" si="1"/>
        <v>7.12</v>
      </c>
      <c r="G1305" s="13" t="str">
        <f>ROUND(Github!O$1871, 2)&amp;"%"</f>
        <v>37.61%</v>
      </c>
      <c r="H1305" s="13" t="str">
        <f>Github!H$1871</f>
        <v>Algorithms</v>
      </c>
      <c r="I1305" s="16" t="str">
        <f>SUBSTITUTE(Github!L$1871, ";", ", ")</f>
        <v>Array, Binary Search, </v>
      </c>
      <c r="J1305" s="13" t="str">
        <f>Github!E$1871</f>
        <v>Medium</v>
      </c>
      <c r="K1305" s="13" t="str">
        <f>IF(TRIM(Github!D$1871)="TRUE","FALSE","TRUE")</f>
        <v>TRUE</v>
      </c>
      <c r="L1305" s="13" t="b">
        <f>Github!M$1871</f>
        <v>0</v>
      </c>
      <c r="M1305" s="13" t="b">
        <f>Github!N$1871</f>
        <v>0</v>
      </c>
      <c r="N1305" s="13">
        <f>Github!P$1871</f>
        <v>25326</v>
      </c>
      <c r="O1305" s="13">
        <f>Github!Q$1871</f>
        <v>67338</v>
      </c>
    </row>
    <row r="1306">
      <c r="A1306" s="13">
        <f>Github!J$886</f>
        <v>885</v>
      </c>
      <c r="B1306" s="14" t="str">
        <f>HYPERLINK(CONCAT("http://leetcode.com/problems/",Github!C$886), Github!B$886)</f>
        <v>Spiral Matrix III</v>
      </c>
      <c r="C1306" s="13">
        <f>Github!F$886</f>
        <v>673</v>
      </c>
      <c r="D1306" s="13">
        <f>Github!G$886</f>
        <v>696</v>
      </c>
      <c r="E1306" s="13">
        <f>Github!F$886+Github!G$886</f>
        <v>1369</v>
      </c>
      <c r="F1306" s="15">
        <f t="shared" si="1"/>
        <v>0.97</v>
      </c>
      <c r="G1306" s="13" t="str">
        <f>ROUND(Github!O$886, 2)&amp;"%"</f>
        <v>73.28%</v>
      </c>
      <c r="H1306" s="13" t="str">
        <f>Github!H$886</f>
        <v>Algorithms</v>
      </c>
      <c r="I1306" s="16" t="str">
        <f>SUBSTITUTE(Github!L$886, ";", ", ")</f>
        <v>Array, Matrix, Simulation, </v>
      </c>
      <c r="J1306" s="13" t="str">
        <f>Github!E$886</f>
        <v>Medium</v>
      </c>
      <c r="K1306" s="13" t="str">
        <f>IF(TRIM(Github!D$886)="TRUE","FALSE","TRUE")</f>
        <v>TRUE</v>
      </c>
      <c r="L1306" s="13" t="b">
        <f>Github!M$886</f>
        <v>1</v>
      </c>
      <c r="M1306" s="13" t="b">
        <f>Github!N$886</f>
        <v>0</v>
      </c>
      <c r="N1306" s="13">
        <f>Github!P$886</f>
        <v>39560</v>
      </c>
      <c r="O1306" s="13">
        <f>Github!Q$886</f>
        <v>53987</v>
      </c>
    </row>
    <row r="1307">
      <c r="A1307" s="13">
        <f>Github!J$1392</f>
        <v>1391</v>
      </c>
      <c r="B1307" s="14" t="str">
        <f>HYPERLINK(CONCAT("http://leetcode.com/problems/",Github!C$1392), Github!B$1392)</f>
        <v>Check if There is a Valid Path in a Grid</v>
      </c>
      <c r="C1307" s="13">
        <f>Github!F$1392</f>
        <v>670</v>
      </c>
      <c r="D1307" s="13">
        <f>Github!G$1392</f>
        <v>280</v>
      </c>
      <c r="E1307" s="13">
        <f>Github!F$1392+Github!G$1392</f>
        <v>950</v>
      </c>
      <c r="F1307" s="15">
        <f t="shared" si="1"/>
        <v>2.39</v>
      </c>
      <c r="G1307" s="13" t="str">
        <f>ROUND(Github!O$1392, 2)&amp;"%"</f>
        <v>47.2%</v>
      </c>
      <c r="H1307" s="13" t="str">
        <f>Github!H$1392</f>
        <v>Algorithms</v>
      </c>
      <c r="I1307" s="16" t="str">
        <f>SUBSTITUTE(Github!L$1392, ";", ", ")</f>
        <v>Array, Depth-First Search, Breadth-First Search, Union Find, Matrix, </v>
      </c>
      <c r="J1307" s="13" t="str">
        <f>Github!E$1392</f>
        <v>Medium</v>
      </c>
      <c r="K1307" s="13" t="str">
        <f>IF(TRIM(Github!D$1392)="TRUE","FALSE","TRUE")</f>
        <v>TRUE</v>
      </c>
      <c r="L1307" s="13" t="b">
        <f>Github!M$1392</f>
        <v>0</v>
      </c>
      <c r="M1307" s="13" t="b">
        <f>Github!N$1392</f>
        <v>0</v>
      </c>
      <c r="N1307" s="13">
        <f>Github!P$1392</f>
        <v>23535</v>
      </c>
      <c r="O1307" s="13">
        <f>Github!Q$1392</f>
        <v>49867</v>
      </c>
    </row>
    <row r="1308">
      <c r="A1308" s="13">
        <f>Github!J$2079</f>
        <v>2078</v>
      </c>
      <c r="B1308" s="14" t="str">
        <f>HYPERLINK(CONCAT("http://leetcode.com/problems/",Github!C$2079), Github!B$2079)</f>
        <v>Two Furthest Houses With Different Colors</v>
      </c>
      <c r="C1308" s="13">
        <f>Github!F$2079</f>
        <v>666</v>
      </c>
      <c r="D1308" s="13">
        <f>Github!G$2079</f>
        <v>19</v>
      </c>
      <c r="E1308" s="13">
        <f>Github!F$2079+Github!G$2079</f>
        <v>685</v>
      </c>
      <c r="F1308" s="15">
        <f t="shared" si="1"/>
        <v>35.05</v>
      </c>
      <c r="G1308" s="13" t="str">
        <f>ROUND(Github!O$2079, 2)&amp;"%"</f>
        <v>67.08%</v>
      </c>
      <c r="H1308" s="13" t="str">
        <f>Github!H$2079</f>
        <v>Algorithms</v>
      </c>
      <c r="I1308" s="16" t="str">
        <f>SUBSTITUTE(Github!L$2079, ";", ", ")</f>
        <v>Array, Greedy, </v>
      </c>
      <c r="J1308" s="13" t="str">
        <f>Github!E$2079</f>
        <v>Easy</v>
      </c>
      <c r="K1308" s="13" t="str">
        <f>IF(TRIM(Github!D$2079)="TRUE","FALSE","TRUE")</f>
        <v>TRUE</v>
      </c>
      <c r="L1308" s="13" t="b">
        <f>Github!M$2079</f>
        <v>0</v>
      </c>
      <c r="M1308" s="13" t="b">
        <f>Github!N$2079</f>
        <v>0</v>
      </c>
      <c r="N1308" s="13">
        <f>Github!P$2079</f>
        <v>37186</v>
      </c>
      <c r="O1308" s="13">
        <f>Github!Q$2079</f>
        <v>55433</v>
      </c>
    </row>
    <row r="1309">
      <c r="A1309" s="13">
        <f>Github!J$252</f>
        <v>251</v>
      </c>
      <c r="B1309" s="14" t="str">
        <f>HYPERLINK(CONCAT("http://leetcode.com/problems/",Github!C$252), Github!B$252)</f>
        <v>Flatten 2D Vector</v>
      </c>
      <c r="C1309" s="13">
        <f>Github!F$252</f>
        <v>661</v>
      </c>
      <c r="D1309" s="13">
        <f>Github!G$252</f>
        <v>363</v>
      </c>
      <c r="E1309" s="13">
        <f>Github!F$252+Github!G$252</f>
        <v>1024</v>
      </c>
      <c r="F1309" s="15">
        <f t="shared" si="1"/>
        <v>1.82</v>
      </c>
      <c r="G1309" s="13" t="str">
        <f>ROUND(Github!O$252, 2)&amp;"%"</f>
        <v>49.03%</v>
      </c>
      <c r="H1309" s="13" t="str">
        <f>Github!H$252</f>
        <v>Algorithms</v>
      </c>
      <c r="I1309" s="16" t="str">
        <f>SUBSTITUTE(Github!L$252, ";", ", ")</f>
        <v>Array, Two Pointers, Design, Iterator, </v>
      </c>
      <c r="J1309" s="13" t="str">
        <f>Github!E$252</f>
        <v>Medium</v>
      </c>
      <c r="K1309" s="13" t="str">
        <f>IF(TRIM(Github!D$252)="TRUE","FALSE","TRUE")</f>
        <v>FALSE</v>
      </c>
      <c r="L1309" s="13" t="b">
        <f>Github!M$252</f>
        <v>1</v>
      </c>
      <c r="M1309" s="13" t="b">
        <f>Github!N$252</f>
        <v>0</v>
      </c>
      <c r="N1309" s="13">
        <f>Github!P$252</f>
        <v>116298</v>
      </c>
      <c r="O1309" s="13">
        <f>Github!Q$252</f>
        <v>237192</v>
      </c>
    </row>
    <row r="1310">
      <c r="A1310" s="13">
        <f>Github!J$2134</f>
        <v>2133</v>
      </c>
      <c r="B1310" s="14" t="str">
        <f>HYPERLINK(CONCAT("http://leetcode.com/problems/",Github!C$2134), Github!B$2134)</f>
        <v>Check if Every Row and Column Contains All Numbers</v>
      </c>
      <c r="C1310" s="13">
        <f>Github!F$2134</f>
        <v>669</v>
      </c>
      <c r="D1310" s="13">
        <f>Github!G$2134</f>
        <v>38</v>
      </c>
      <c r="E1310" s="13">
        <f>Github!F$2134+Github!G$2134</f>
        <v>707</v>
      </c>
      <c r="F1310" s="15">
        <f t="shared" si="1"/>
        <v>17.61</v>
      </c>
      <c r="G1310" s="13" t="str">
        <f>ROUND(Github!O$2134, 2)&amp;"%"</f>
        <v>52.86%</v>
      </c>
      <c r="H1310" s="13" t="str">
        <f>Github!H$2134</f>
        <v>Algorithms</v>
      </c>
      <c r="I1310" s="16" t="str">
        <f>SUBSTITUTE(Github!L$2134, ";", ", ")</f>
        <v>Array, Hash Table, Matrix, </v>
      </c>
      <c r="J1310" s="13" t="str">
        <f>Github!E$2134</f>
        <v>Easy</v>
      </c>
      <c r="K1310" s="13" t="str">
        <f>IF(TRIM(Github!D$2134)="TRUE","FALSE","TRUE")</f>
        <v>TRUE</v>
      </c>
      <c r="L1310" s="13" t="b">
        <f>Github!M$2134</f>
        <v>0</v>
      </c>
      <c r="M1310" s="13" t="b">
        <f>Github!N$2134</f>
        <v>0</v>
      </c>
      <c r="N1310" s="13">
        <f>Github!P$2134</f>
        <v>46872</v>
      </c>
      <c r="O1310" s="13">
        <f>Github!Q$2134</f>
        <v>88664</v>
      </c>
    </row>
    <row r="1311">
      <c r="A1311" s="13">
        <f>Github!J$2093</f>
        <v>2092</v>
      </c>
      <c r="B1311" s="14" t="str">
        <f>HYPERLINK(CONCAT("http://leetcode.com/problems/",Github!C$2093), Github!B$2093)</f>
        <v>Find All People With Secret</v>
      </c>
      <c r="C1311" s="13">
        <f>Github!F$2093</f>
        <v>666</v>
      </c>
      <c r="D1311" s="13">
        <f>Github!G$2093</f>
        <v>25</v>
      </c>
      <c r="E1311" s="13">
        <f>Github!F$2093+Github!G$2093</f>
        <v>691</v>
      </c>
      <c r="F1311" s="15">
        <f t="shared" si="1"/>
        <v>26.64</v>
      </c>
      <c r="G1311" s="13" t="str">
        <f>ROUND(Github!O$2093, 2)&amp;"%"</f>
        <v>34.15%</v>
      </c>
      <c r="H1311" s="13" t="str">
        <f>Github!H$2093</f>
        <v>Algorithms</v>
      </c>
      <c r="I1311" s="16" t="str">
        <f>SUBSTITUTE(Github!L$2093, ";", ", ")</f>
        <v>Depth-First Search, Breadth-First Search, Union Find, Graph, Sorting, </v>
      </c>
      <c r="J1311" s="13" t="str">
        <f>Github!E$2093</f>
        <v>Hard</v>
      </c>
      <c r="K1311" s="13" t="str">
        <f>IF(TRIM(Github!D$2093)="TRUE","FALSE","TRUE")</f>
        <v>TRUE</v>
      </c>
      <c r="L1311" s="13" t="b">
        <f>Github!M$2093</f>
        <v>0</v>
      </c>
      <c r="M1311" s="13" t="b">
        <f>Github!N$2093</f>
        <v>0</v>
      </c>
      <c r="N1311" s="13">
        <f>Github!P$2093</f>
        <v>19725</v>
      </c>
      <c r="O1311" s="13">
        <f>Github!Q$2093</f>
        <v>57755</v>
      </c>
    </row>
    <row r="1312">
      <c r="A1312" s="13">
        <f>Github!J$1514</f>
        <v>1513</v>
      </c>
      <c r="B1312" s="14" t="str">
        <f>HYPERLINK(CONCAT("http://leetcode.com/problems/",Github!C$1514), Github!B$1514)</f>
        <v>Number of Substrings With Only 1s</v>
      </c>
      <c r="C1312" s="13">
        <f>Github!F$1514</f>
        <v>658</v>
      </c>
      <c r="D1312" s="13">
        <f>Github!G$1514</f>
        <v>30</v>
      </c>
      <c r="E1312" s="13">
        <f>Github!F$1514+Github!G$1514</f>
        <v>688</v>
      </c>
      <c r="F1312" s="15">
        <f t="shared" si="1"/>
        <v>21.93</v>
      </c>
      <c r="G1312" s="13" t="str">
        <f>ROUND(Github!O$1514, 2)&amp;"%"</f>
        <v>45.35%</v>
      </c>
      <c r="H1312" s="13" t="str">
        <f>Github!H$1514</f>
        <v>Algorithms</v>
      </c>
      <c r="I1312" s="16" t="str">
        <f>SUBSTITUTE(Github!L$1514, ";", ", ")</f>
        <v>Math, String, </v>
      </c>
      <c r="J1312" s="13" t="str">
        <f>Github!E$1514</f>
        <v>Medium</v>
      </c>
      <c r="K1312" s="13" t="str">
        <f>IF(TRIM(Github!D$1514)="TRUE","FALSE","TRUE")</f>
        <v>TRUE</v>
      </c>
      <c r="L1312" s="13" t="b">
        <f>Github!M$1514</f>
        <v>0</v>
      </c>
      <c r="M1312" s="13" t="b">
        <f>Github!N$1514</f>
        <v>0</v>
      </c>
      <c r="N1312" s="13">
        <f>Github!P$1514</f>
        <v>34701</v>
      </c>
      <c r="O1312" s="13">
        <f>Github!Q$1514</f>
        <v>76523</v>
      </c>
    </row>
    <row r="1313">
      <c r="A1313" s="13">
        <f>Github!J$1706</f>
        <v>1705</v>
      </c>
      <c r="B1313" s="14" t="str">
        <f>HYPERLINK(CONCAT("http://leetcode.com/problems/",Github!C$1706), Github!B$1706)</f>
        <v>Maximum Number of Eaten Apples</v>
      </c>
      <c r="C1313" s="13">
        <f>Github!F$1706</f>
        <v>656</v>
      </c>
      <c r="D1313" s="13">
        <f>Github!G$1706</f>
        <v>165</v>
      </c>
      <c r="E1313" s="13">
        <f>Github!F$1706+Github!G$1706</f>
        <v>821</v>
      </c>
      <c r="F1313" s="15">
        <f t="shared" si="1"/>
        <v>3.98</v>
      </c>
      <c r="G1313" s="13" t="str">
        <f>ROUND(Github!O$1706, 2)&amp;"%"</f>
        <v>37.72%</v>
      </c>
      <c r="H1313" s="13" t="str">
        <f>Github!H$1706</f>
        <v>Algorithms</v>
      </c>
      <c r="I1313" s="16" t="str">
        <f>SUBSTITUTE(Github!L$1706, ";", ", ")</f>
        <v>Array, Greedy, Heap (Priority Queue), </v>
      </c>
      <c r="J1313" s="13" t="str">
        <f>Github!E$1706</f>
        <v>Medium</v>
      </c>
      <c r="K1313" s="13" t="str">
        <f>IF(TRIM(Github!D$1706)="TRUE","FALSE","TRUE")</f>
        <v>TRUE</v>
      </c>
      <c r="L1313" s="13" t="b">
        <f>Github!M$1706</f>
        <v>0</v>
      </c>
      <c r="M1313" s="13" t="b">
        <f>Github!N$1706</f>
        <v>0</v>
      </c>
      <c r="N1313" s="13">
        <f>Github!P$1706</f>
        <v>18035</v>
      </c>
      <c r="O1313" s="13">
        <f>Github!Q$1706</f>
        <v>47811</v>
      </c>
    </row>
    <row r="1314">
      <c r="A1314" s="13">
        <f>Github!J$1270</f>
        <v>1269</v>
      </c>
      <c r="B1314" s="14" t="str">
        <f>HYPERLINK(CONCAT("http://leetcode.com/problems/",Github!C$1270), Github!B$1270)</f>
        <v>Number of Ways to Stay in the Same Place After Some Steps</v>
      </c>
      <c r="C1314" s="13">
        <f>Github!F$1270</f>
        <v>652</v>
      </c>
      <c r="D1314" s="13">
        <f>Github!G$1270</f>
        <v>35</v>
      </c>
      <c r="E1314" s="13">
        <f>Github!F$1270+Github!G$1270</f>
        <v>687</v>
      </c>
      <c r="F1314" s="15">
        <f t="shared" si="1"/>
        <v>18.63</v>
      </c>
      <c r="G1314" s="13" t="str">
        <f>ROUND(Github!O$1270, 2)&amp;"%"</f>
        <v>43.62%</v>
      </c>
      <c r="H1314" s="13" t="str">
        <f>Github!H$1270</f>
        <v>Algorithms</v>
      </c>
      <c r="I1314" s="16" t="str">
        <f>SUBSTITUTE(Github!L$1270, ";", ", ")</f>
        <v>Dynamic Programming, </v>
      </c>
      <c r="J1314" s="13" t="str">
        <f>Github!E$1270</f>
        <v>Hard</v>
      </c>
      <c r="K1314" s="13" t="str">
        <f>IF(TRIM(Github!D$1270)="TRUE","FALSE","TRUE")</f>
        <v>TRUE</v>
      </c>
      <c r="L1314" s="13" t="b">
        <f>Github!M$1270</f>
        <v>0</v>
      </c>
      <c r="M1314" s="13" t="b">
        <f>Github!N$1270</f>
        <v>0</v>
      </c>
      <c r="N1314" s="13">
        <f>Github!P$1270</f>
        <v>30974</v>
      </c>
      <c r="O1314" s="13">
        <f>Github!Q$1270</f>
        <v>71007</v>
      </c>
    </row>
    <row r="1315">
      <c r="A1315" s="13">
        <f>Github!J$2109</f>
        <v>2108</v>
      </c>
      <c r="B1315" s="14" t="str">
        <f>HYPERLINK(CONCAT("http://leetcode.com/problems/",Github!C$2109), Github!B$2109)</f>
        <v>Find First Palindromic String in the Array</v>
      </c>
      <c r="C1315" s="13">
        <f>Github!F$2109</f>
        <v>674</v>
      </c>
      <c r="D1315" s="13">
        <f>Github!G$2109</f>
        <v>24</v>
      </c>
      <c r="E1315" s="13">
        <f>Github!F$2109+Github!G$2109</f>
        <v>698</v>
      </c>
      <c r="F1315" s="15">
        <f t="shared" si="1"/>
        <v>28.08</v>
      </c>
      <c r="G1315" s="13" t="str">
        <f>ROUND(Github!O$2109, 2)&amp;"%"</f>
        <v>78.65%</v>
      </c>
      <c r="H1315" s="13" t="str">
        <f>Github!H$2109</f>
        <v>Algorithms</v>
      </c>
      <c r="I1315" s="16" t="str">
        <f>SUBSTITUTE(Github!L$2109, ";", ", ")</f>
        <v>Array, Two Pointers, String, </v>
      </c>
      <c r="J1315" s="13" t="str">
        <f>Github!E$2109</f>
        <v>Easy</v>
      </c>
      <c r="K1315" s="13" t="str">
        <f>IF(TRIM(Github!D$2109)="TRUE","FALSE","TRUE")</f>
        <v>TRUE</v>
      </c>
      <c r="L1315" s="13" t="b">
        <f>Github!M$2109</f>
        <v>0</v>
      </c>
      <c r="M1315" s="13" t="b">
        <f>Github!N$2109</f>
        <v>0</v>
      </c>
      <c r="N1315" s="13">
        <f>Github!P$2109</f>
        <v>72769</v>
      </c>
      <c r="O1315" s="13">
        <f>Github!Q$2109</f>
        <v>92521</v>
      </c>
    </row>
    <row r="1316">
      <c r="A1316" s="13">
        <f>Github!J$883</f>
        <v>882</v>
      </c>
      <c r="B1316" s="14" t="str">
        <f>HYPERLINK(CONCAT("http://leetcode.com/problems/",Github!C$883), Github!B$883)</f>
        <v>Reachable Nodes In Subdivided Graph</v>
      </c>
      <c r="C1316" s="13">
        <f>Github!F$883</f>
        <v>652</v>
      </c>
      <c r="D1316" s="13">
        <f>Github!G$883</f>
        <v>209</v>
      </c>
      <c r="E1316" s="13">
        <f>Github!F$883+Github!G$883</f>
        <v>861</v>
      </c>
      <c r="F1316" s="15">
        <f t="shared" si="1"/>
        <v>3.12</v>
      </c>
      <c r="G1316" s="13" t="str">
        <f>ROUND(Github!O$883, 2)&amp;"%"</f>
        <v>50.21%</v>
      </c>
      <c r="H1316" s="13" t="str">
        <f>Github!H$883</f>
        <v>Algorithms</v>
      </c>
      <c r="I1316" s="16" t="str">
        <f>SUBSTITUTE(Github!L$883, ";", ", ")</f>
        <v>Graph, Heap (Priority Queue), Shortest Path, </v>
      </c>
      <c r="J1316" s="13" t="str">
        <f>Github!E$883</f>
        <v>Hard</v>
      </c>
      <c r="K1316" s="13" t="str">
        <f>IF(TRIM(Github!D$883)="TRUE","FALSE","TRUE")</f>
        <v>TRUE</v>
      </c>
      <c r="L1316" s="13" t="b">
        <f>Github!M$883</f>
        <v>1</v>
      </c>
      <c r="M1316" s="13" t="b">
        <f>Github!N$883</f>
        <v>0</v>
      </c>
      <c r="N1316" s="13">
        <f>Github!P$883</f>
        <v>22895</v>
      </c>
      <c r="O1316" s="13">
        <f>Github!Q$883</f>
        <v>45594</v>
      </c>
    </row>
    <row r="1317">
      <c r="A1317" s="13">
        <f>Github!J$2104</f>
        <v>2103</v>
      </c>
      <c r="B1317" s="14" t="str">
        <f>HYPERLINK(CONCAT("http://leetcode.com/problems/",Github!C$2104), Github!B$2104)</f>
        <v>Rings and Rods</v>
      </c>
      <c r="C1317" s="13">
        <f>Github!F$2104</f>
        <v>657</v>
      </c>
      <c r="D1317" s="13">
        <f>Github!G$2104</f>
        <v>13</v>
      </c>
      <c r="E1317" s="13">
        <f>Github!F$2104+Github!G$2104</f>
        <v>670</v>
      </c>
      <c r="F1317" s="15">
        <f t="shared" si="1"/>
        <v>50.54</v>
      </c>
      <c r="G1317" s="13" t="str">
        <f>ROUND(Github!O$2104, 2)&amp;"%"</f>
        <v>81.4%</v>
      </c>
      <c r="H1317" s="13" t="str">
        <f>Github!H$2104</f>
        <v>Algorithms</v>
      </c>
      <c r="I1317" s="16" t="str">
        <f>SUBSTITUTE(Github!L$2104, ";", ", ")</f>
        <v>Hash Table, String, </v>
      </c>
      <c r="J1317" s="13" t="str">
        <f>Github!E$2104</f>
        <v>Easy</v>
      </c>
      <c r="K1317" s="13" t="str">
        <f>IF(TRIM(Github!D$2104)="TRUE","FALSE","TRUE")</f>
        <v>TRUE</v>
      </c>
      <c r="L1317" s="13" t="b">
        <f>Github!M$2104</f>
        <v>0</v>
      </c>
      <c r="M1317" s="13" t="b">
        <f>Github!N$2104</f>
        <v>0</v>
      </c>
      <c r="N1317" s="13">
        <f>Github!P$2104</f>
        <v>47495</v>
      </c>
      <c r="O1317" s="13">
        <f>Github!Q$2104</f>
        <v>58349</v>
      </c>
    </row>
    <row r="1318">
      <c r="A1318" s="13">
        <f>Github!J$441</f>
        <v>440</v>
      </c>
      <c r="B1318" s="14" t="str">
        <f>HYPERLINK(CONCAT("http://leetcode.com/problems/",Github!C$441), Github!B$441)</f>
        <v>K-th Smallest in Lexicographical Order</v>
      </c>
      <c r="C1318" s="13">
        <f>Github!F$441</f>
        <v>649</v>
      </c>
      <c r="D1318" s="13">
        <f>Github!G$441</f>
        <v>76</v>
      </c>
      <c r="E1318" s="13">
        <f>Github!F$441+Github!G$441</f>
        <v>725</v>
      </c>
      <c r="F1318" s="15">
        <f t="shared" si="1"/>
        <v>8.54</v>
      </c>
      <c r="G1318" s="13" t="str">
        <f>ROUND(Github!O$441, 2)&amp;"%"</f>
        <v>30.8%</v>
      </c>
      <c r="H1318" s="13" t="str">
        <f>Github!H$441</f>
        <v>Algorithms</v>
      </c>
      <c r="I1318" s="16" t="str">
        <f>SUBSTITUTE(Github!L$441, ";", ", ")</f>
        <v>Trie, </v>
      </c>
      <c r="J1318" s="13" t="str">
        <f>Github!E$441</f>
        <v>Hard</v>
      </c>
      <c r="K1318" s="13" t="str">
        <f>IF(TRIM(Github!D$441)="TRUE","FALSE","TRUE")</f>
        <v>TRUE</v>
      </c>
      <c r="L1318" s="13" t="b">
        <f>Github!M$441</f>
        <v>0</v>
      </c>
      <c r="M1318" s="13" t="b">
        <f>Github!N$441</f>
        <v>0</v>
      </c>
      <c r="N1318" s="13">
        <f>Github!P$441</f>
        <v>18963</v>
      </c>
      <c r="O1318" s="13">
        <f>Github!Q$441</f>
        <v>61559</v>
      </c>
    </row>
    <row r="1319">
      <c r="A1319" s="13">
        <f>Github!J$321</f>
        <v>320</v>
      </c>
      <c r="B1319" s="14" t="str">
        <f>HYPERLINK(CONCAT("http://leetcode.com/problems/",Github!C$321), Github!B$321)</f>
        <v>Generalized Abbreviation</v>
      </c>
      <c r="C1319" s="13">
        <f>Github!F$321</f>
        <v>650</v>
      </c>
      <c r="D1319" s="13">
        <f>Github!G$321</f>
        <v>216</v>
      </c>
      <c r="E1319" s="13">
        <f>Github!F$321+Github!G$321</f>
        <v>866</v>
      </c>
      <c r="F1319" s="15">
        <f t="shared" si="1"/>
        <v>3.01</v>
      </c>
      <c r="G1319" s="13" t="str">
        <f>ROUND(Github!O$321, 2)&amp;"%"</f>
        <v>57.45%</v>
      </c>
      <c r="H1319" s="13" t="str">
        <f>Github!H$321</f>
        <v>Algorithms</v>
      </c>
      <c r="I1319" s="16" t="str">
        <f>SUBSTITUTE(Github!L$321, ";", ", ")</f>
        <v>String, Backtracking, Bit Manipulation, </v>
      </c>
      <c r="J1319" s="13" t="str">
        <f>Github!E$321</f>
        <v>Medium</v>
      </c>
      <c r="K1319" s="13" t="str">
        <f>IF(TRIM(Github!D$321)="TRUE","FALSE","TRUE")</f>
        <v>FALSE</v>
      </c>
      <c r="L1319" s="13" t="b">
        <f>Github!M$321</f>
        <v>1</v>
      </c>
      <c r="M1319" s="13" t="b">
        <f>Github!N$321</f>
        <v>0</v>
      </c>
      <c r="N1319" s="13">
        <f>Github!P$321</f>
        <v>64334</v>
      </c>
      <c r="O1319" s="13">
        <f>Github!Q$321</f>
        <v>111988</v>
      </c>
    </row>
    <row r="1320">
      <c r="A1320" s="13">
        <f>Github!J$1445</f>
        <v>1444</v>
      </c>
      <c r="B1320" s="14" t="str">
        <f>HYPERLINK(CONCAT("http://leetcode.com/problems/",Github!C$1445), Github!B$1445)</f>
        <v>Number of Ways of Cutting a Pizza</v>
      </c>
      <c r="C1320" s="13">
        <f>Github!F$1445</f>
        <v>655</v>
      </c>
      <c r="D1320" s="13">
        <f>Github!G$1445</f>
        <v>30</v>
      </c>
      <c r="E1320" s="13">
        <f>Github!F$1445+Github!G$1445</f>
        <v>685</v>
      </c>
      <c r="F1320" s="15">
        <f t="shared" si="1"/>
        <v>21.83</v>
      </c>
      <c r="G1320" s="13" t="str">
        <f>ROUND(Github!O$1445, 2)&amp;"%"</f>
        <v>57.31%</v>
      </c>
      <c r="H1320" s="13" t="str">
        <f>Github!H$1445</f>
        <v>Algorithms</v>
      </c>
      <c r="I1320" s="16" t="str">
        <f>SUBSTITUTE(Github!L$1445, ";", ", ")</f>
        <v>Array, Dynamic Programming, Memoization, Matrix, </v>
      </c>
      <c r="J1320" s="13" t="str">
        <f>Github!E$1445</f>
        <v>Hard</v>
      </c>
      <c r="K1320" s="13" t="str">
        <f>IF(TRIM(Github!D$1445)="TRUE","FALSE","TRUE")</f>
        <v>TRUE</v>
      </c>
      <c r="L1320" s="13" t="b">
        <f>Github!M$1445</f>
        <v>0</v>
      </c>
      <c r="M1320" s="13" t="b">
        <f>Github!N$1445</f>
        <v>0</v>
      </c>
      <c r="N1320" s="13">
        <f>Github!P$1445</f>
        <v>22866</v>
      </c>
      <c r="O1320" s="13">
        <f>Github!Q$1445</f>
        <v>39897</v>
      </c>
    </row>
    <row r="1321">
      <c r="A1321" s="13">
        <f>Github!J$2303</f>
        <v>2302</v>
      </c>
      <c r="B1321" s="14" t="str">
        <f>HYPERLINK(CONCAT("http://leetcode.com/problems/",Github!C$2303), Github!B$2303)</f>
        <v>Count Subarrays With Score Less Than K</v>
      </c>
      <c r="C1321" s="13">
        <f>Github!F$2303</f>
        <v>653</v>
      </c>
      <c r="D1321" s="13">
        <f>Github!G$2303</f>
        <v>14</v>
      </c>
      <c r="E1321" s="13">
        <f>Github!F$2303+Github!G$2303</f>
        <v>667</v>
      </c>
      <c r="F1321" s="15">
        <f t="shared" si="1"/>
        <v>46.64</v>
      </c>
      <c r="G1321" s="13" t="str">
        <f>ROUND(Github!O$2303, 2)&amp;"%"</f>
        <v>52.22%</v>
      </c>
      <c r="H1321" s="13" t="str">
        <f>Github!H2303</f>
        <v>Algorithms</v>
      </c>
      <c r="I1321" s="16" t="str">
        <f>SUBSTITUTE(Github!L$2303, ";", ", ")</f>
        <v>Array, Binary Search, Sliding Window, Prefix Sum, </v>
      </c>
      <c r="J1321" s="13" t="str">
        <f>Github!E$2303</f>
        <v>Hard</v>
      </c>
      <c r="K1321" s="13" t="str">
        <f>IF(TRIM(Github!D$2303)="TRUE","FALSE","TRUE")</f>
        <v>TRUE</v>
      </c>
      <c r="L1321" s="13" t="b">
        <f>Github!M$2303</f>
        <v>0</v>
      </c>
      <c r="M1321" s="13" t="b">
        <f>Github!N$2303</f>
        <v>0</v>
      </c>
      <c r="N1321" s="13">
        <f>Github!P$2303</f>
        <v>14980</v>
      </c>
      <c r="O1321" s="13">
        <f>Github!Q$2303</f>
        <v>28684</v>
      </c>
    </row>
    <row r="1322">
      <c r="A1322" s="13">
        <f>Github!J$2291</f>
        <v>2290</v>
      </c>
      <c r="B1322" s="14" t="str">
        <f>HYPERLINK(CONCAT("http://leetcode.com/problems/",Github!C$2291), Github!B$2291)</f>
        <v>Minimum Obstacle Removal to Reach Corner</v>
      </c>
      <c r="C1322" s="13">
        <f>Github!F$2291</f>
        <v>653</v>
      </c>
      <c r="D1322" s="13">
        <f>Github!G$2291</f>
        <v>13</v>
      </c>
      <c r="E1322" s="13">
        <f>Github!F$2291+Github!G$2291</f>
        <v>666</v>
      </c>
      <c r="F1322" s="15">
        <f t="shared" si="1"/>
        <v>50.23</v>
      </c>
      <c r="G1322" s="13" t="str">
        <f>ROUND(Github!O$2291, 2)&amp;"%"</f>
        <v>48.86%</v>
      </c>
      <c r="H1322" s="13" t="str">
        <f>Github!H2291</f>
        <v>Algorithms</v>
      </c>
      <c r="I1322" s="16" t="str">
        <f>SUBSTITUTE(Github!L$2291, ";", ", ")</f>
        <v>Array, Breadth-First Search, Graph, Heap (Priority Queue), Matrix, Shortest Path, </v>
      </c>
      <c r="J1322" s="13" t="str">
        <f>Github!E$2291</f>
        <v>Hard</v>
      </c>
      <c r="K1322" s="13" t="str">
        <f>IF(TRIM(Github!D$2291)="TRUE","FALSE","TRUE")</f>
        <v>TRUE</v>
      </c>
      <c r="L1322" s="13" t="b">
        <f>Github!M$2291</f>
        <v>0</v>
      </c>
      <c r="M1322" s="13" t="b">
        <f>Github!N$2291</f>
        <v>0</v>
      </c>
      <c r="N1322" s="13">
        <f>Github!P$2291</f>
        <v>14760</v>
      </c>
      <c r="O1322" s="13">
        <f>Github!Q$2291</f>
        <v>30209</v>
      </c>
    </row>
    <row r="1323">
      <c r="A1323" s="13">
        <f>Github!J$2065</f>
        <v>2064</v>
      </c>
      <c r="B1323" s="14" t="str">
        <f>HYPERLINK(CONCAT("http://leetcode.com/problems/",Github!C$2065), Github!B$2065)</f>
        <v>Minimized Maximum of Products Distributed to Any Store</v>
      </c>
      <c r="C1323" s="13">
        <f>Github!F$2065</f>
        <v>654</v>
      </c>
      <c r="D1323" s="13">
        <f>Github!G$2065</f>
        <v>25</v>
      </c>
      <c r="E1323" s="13">
        <f>Github!F$2065+Github!G$2065</f>
        <v>679</v>
      </c>
      <c r="F1323" s="15">
        <f t="shared" si="1"/>
        <v>26.16</v>
      </c>
      <c r="G1323" s="13" t="str">
        <f>ROUND(Github!O$2065, 2)&amp;"%"</f>
        <v>50.11%</v>
      </c>
      <c r="H1323" s="13" t="str">
        <f>Github!H$2065</f>
        <v>Algorithms</v>
      </c>
      <c r="I1323" s="16" t="str">
        <f>SUBSTITUTE(Github!L$2065, ";", ", ")</f>
        <v>Array, Binary Search, </v>
      </c>
      <c r="J1323" s="13" t="str">
        <f>Github!E$2065</f>
        <v>Medium</v>
      </c>
      <c r="K1323" s="13" t="str">
        <f>IF(TRIM(Github!D$2065)="TRUE","FALSE","TRUE")</f>
        <v>TRUE</v>
      </c>
      <c r="L1323" s="13" t="b">
        <f>Github!M$2065</f>
        <v>0</v>
      </c>
      <c r="M1323" s="13" t="b">
        <f>Github!N$2065</f>
        <v>0</v>
      </c>
      <c r="N1323" s="13">
        <f>Github!P$2065</f>
        <v>17364</v>
      </c>
      <c r="O1323" s="13">
        <f>Github!Q$2065</f>
        <v>34653</v>
      </c>
    </row>
    <row r="1324">
      <c r="A1324" s="13">
        <f>Github!J$1456</f>
        <v>1455</v>
      </c>
      <c r="B1324" s="14" t="str">
        <f>HYPERLINK(CONCAT("http://leetcode.com/problems/",Github!C$1456), Github!B$1456)</f>
        <v>Check If a Word Occurs As a Prefix of Any Word in a Sentence</v>
      </c>
      <c r="C1324" s="13">
        <f>Github!F$1456</f>
        <v>654</v>
      </c>
      <c r="D1324" s="13">
        <f>Github!G$1456</f>
        <v>31</v>
      </c>
      <c r="E1324" s="13">
        <f>Github!F$1456+Github!G$1456</f>
        <v>685</v>
      </c>
      <c r="F1324" s="15">
        <f t="shared" si="1"/>
        <v>21.1</v>
      </c>
      <c r="G1324" s="13" t="str">
        <f>ROUND(Github!O$1456, 2)&amp;"%"</f>
        <v>64.29%</v>
      </c>
      <c r="H1324" s="13" t="str">
        <f>Github!H$1456</f>
        <v>Algorithms</v>
      </c>
      <c r="I1324" s="16" t="str">
        <f>SUBSTITUTE(Github!L$1456, ";", ", ")</f>
        <v>String, String Matching, </v>
      </c>
      <c r="J1324" s="13" t="str">
        <f>Github!E$1456</f>
        <v>Easy</v>
      </c>
      <c r="K1324" s="13" t="str">
        <f>IF(TRIM(Github!D$1456)="TRUE","FALSE","TRUE")</f>
        <v>TRUE</v>
      </c>
      <c r="L1324" s="13" t="b">
        <f>Github!M$1456</f>
        <v>0</v>
      </c>
      <c r="M1324" s="13" t="b">
        <f>Github!N$1456</f>
        <v>0</v>
      </c>
      <c r="N1324" s="13">
        <f>Github!P$1456</f>
        <v>60059</v>
      </c>
      <c r="O1324" s="13">
        <f>Github!Q$1456</f>
        <v>93412</v>
      </c>
    </row>
    <row r="1325">
      <c r="A1325" s="13">
        <f>Github!J$1245</f>
        <v>1244</v>
      </c>
      <c r="B1325" s="14" t="str">
        <f>HYPERLINK(CONCAT("http://leetcode.com/problems/",Github!C$1245), Github!B$1245)</f>
        <v>Design A Leaderboard</v>
      </c>
      <c r="C1325" s="13">
        <f>Github!F$1245</f>
        <v>650</v>
      </c>
      <c r="D1325" s="13">
        <f>Github!G$1245</f>
        <v>87</v>
      </c>
      <c r="E1325" s="13">
        <f>Github!F$1245+Github!G$1245</f>
        <v>737</v>
      </c>
      <c r="F1325" s="15">
        <f t="shared" si="1"/>
        <v>7.47</v>
      </c>
      <c r="G1325" s="13" t="str">
        <f>ROUND(Github!O$1245, 2)&amp;"%"</f>
        <v>68.82%</v>
      </c>
      <c r="H1325" s="13" t="str">
        <f>Github!H$1245</f>
        <v>Algorithms</v>
      </c>
      <c r="I1325" s="16" t="str">
        <f>SUBSTITUTE(Github!L$1245, ";", ", ")</f>
        <v>Hash Table, Design, Sorting, </v>
      </c>
      <c r="J1325" s="13" t="str">
        <f>Github!E$1245</f>
        <v>Medium</v>
      </c>
      <c r="K1325" s="13" t="str">
        <f>IF(TRIM(Github!D$1245)="TRUE","FALSE","TRUE")</f>
        <v>FALSE</v>
      </c>
      <c r="L1325" s="13" t="b">
        <f>Github!M$1245</f>
        <v>1</v>
      </c>
      <c r="M1325" s="13" t="b">
        <f>Github!N$1245</f>
        <v>0</v>
      </c>
      <c r="N1325" s="13">
        <f>Github!P$1245</f>
        <v>57447</v>
      </c>
      <c r="O1325" s="13">
        <f>Github!Q$1245</f>
        <v>83469</v>
      </c>
    </row>
    <row r="1326">
      <c r="A1326" s="13">
        <f>Github!J$1780</f>
        <v>1779</v>
      </c>
      <c r="B1326" s="14" t="str">
        <f>HYPERLINK(CONCAT("http://leetcode.com/problems/",Github!C$1780), Github!B$1780)</f>
        <v>Find Nearest Point That Has the Same X or Y Coordinate</v>
      </c>
      <c r="C1326" s="13">
        <f>Github!F$1780</f>
        <v>646</v>
      </c>
      <c r="D1326" s="13">
        <f>Github!G$1780</f>
        <v>130</v>
      </c>
      <c r="E1326" s="13">
        <f>Github!F$1780+Github!G$1780</f>
        <v>776</v>
      </c>
      <c r="F1326" s="15">
        <f t="shared" si="1"/>
        <v>4.97</v>
      </c>
      <c r="G1326" s="13" t="str">
        <f>ROUND(Github!O$1780, 2)&amp;"%"</f>
        <v>67.44%</v>
      </c>
      <c r="H1326" s="13" t="str">
        <f>Github!H$1780</f>
        <v>Algorithms</v>
      </c>
      <c r="I1326" s="16" t="str">
        <f>SUBSTITUTE(Github!L$1780, ";", ", ")</f>
        <v>Array, </v>
      </c>
      <c r="J1326" s="13" t="str">
        <f>Github!E$1780</f>
        <v>Easy</v>
      </c>
      <c r="K1326" s="13" t="str">
        <f>IF(TRIM(Github!D$1780)="TRUE","FALSE","TRUE")</f>
        <v>TRUE</v>
      </c>
      <c r="L1326" s="13" t="b">
        <f>Github!M$1780</f>
        <v>0</v>
      </c>
      <c r="M1326" s="13" t="b">
        <f>Github!N$1780</f>
        <v>0</v>
      </c>
      <c r="N1326" s="13">
        <f>Github!P$1780</f>
        <v>84249</v>
      </c>
      <c r="O1326" s="13">
        <f>Github!Q$1780</f>
        <v>124930</v>
      </c>
    </row>
    <row r="1327">
      <c r="A1327" s="13">
        <f>Github!J$2063</f>
        <v>2062</v>
      </c>
      <c r="B1327" s="14" t="str">
        <f>HYPERLINK(CONCAT("http://leetcode.com/problems/",Github!C$2063), Github!B$2063)</f>
        <v>Count Vowel Substrings of a String</v>
      </c>
      <c r="C1327" s="13">
        <f>Github!F$2063</f>
        <v>648</v>
      </c>
      <c r="D1327" s="13">
        <f>Github!G$2063</f>
        <v>158</v>
      </c>
      <c r="E1327" s="13">
        <f>Github!F$2063+Github!G$2063</f>
        <v>806</v>
      </c>
      <c r="F1327" s="15">
        <f t="shared" si="1"/>
        <v>4.1</v>
      </c>
      <c r="G1327" s="13" t="str">
        <f>ROUND(Github!O$2063, 2)&amp;"%"</f>
        <v>66.02%</v>
      </c>
      <c r="H1327" s="13" t="str">
        <f>Github!H$2063</f>
        <v>Algorithms</v>
      </c>
      <c r="I1327" s="16" t="str">
        <f>SUBSTITUTE(Github!L$2063, ";", ", ")</f>
        <v>Hash Table, String, </v>
      </c>
      <c r="J1327" s="13" t="str">
        <f>Github!E$2063</f>
        <v>Easy</v>
      </c>
      <c r="K1327" s="13" t="str">
        <f>IF(TRIM(Github!D$2063)="TRUE","FALSE","TRUE")</f>
        <v>TRUE</v>
      </c>
      <c r="L1327" s="13" t="b">
        <f>Github!M$2063</f>
        <v>0</v>
      </c>
      <c r="M1327" s="13" t="b">
        <f>Github!N$2063</f>
        <v>0</v>
      </c>
      <c r="N1327" s="13">
        <f>Github!P$2063</f>
        <v>24866</v>
      </c>
      <c r="O1327" s="13">
        <f>Github!Q$2063</f>
        <v>37662</v>
      </c>
    </row>
    <row r="1328">
      <c r="A1328" s="13">
        <f>Github!J$1766</f>
        <v>1765</v>
      </c>
      <c r="B1328" s="14" t="str">
        <f>HYPERLINK(CONCAT("http://leetcode.com/problems/",Github!C$1766), Github!B$1766)</f>
        <v>Map of Highest Peak</v>
      </c>
      <c r="C1328" s="13">
        <f>Github!F$1766</f>
        <v>643</v>
      </c>
      <c r="D1328" s="13">
        <f>Github!G$1766</f>
        <v>44</v>
      </c>
      <c r="E1328" s="13">
        <f>Github!F$1766+Github!G$1766</f>
        <v>687</v>
      </c>
      <c r="F1328" s="15">
        <f t="shared" si="1"/>
        <v>14.61</v>
      </c>
      <c r="G1328" s="13" t="str">
        <f>ROUND(Github!O$1766, 2)&amp;"%"</f>
        <v>60.35%</v>
      </c>
      <c r="H1328" s="13" t="str">
        <f>Github!H$1766</f>
        <v>Algorithms</v>
      </c>
      <c r="I1328" s="16" t="str">
        <f>SUBSTITUTE(Github!L$1766, ";", ", ")</f>
        <v>Array, Breadth-First Search, Matrix, </v>
      </c>
      <c r="J1328" s="13" t="str">
        <f>Github!E$1766</f>
        <v>Medium</v>
      </c>
      <c r="K1328" s="13" t="str">
        <f>IF(TRIM(Github!D$1766)="TRUE","FALSE","TRUE")</f>
        <v>TRUE</v>
      </c>
      <c r="L1328" s="13" t="b">
        <f>Github!M$1766</f>
        <v>0</v>
      </c>
      <c r="M1328" s="13" t="b">
        <f>Github!N$1766</f>
        <v>0</v>
      </c>
      <c r="N1328" s="13">
        <f>Github!P$1766</f>
        <v>19833</v>
      </c>
      <c r="O1328" s="13">
        <f>Github!Q$1766</f>
        <v>32866</v>
      </c>
    </row>
    <row r="1329">
      <c r="A1329" s="13">
        <f>Github!J$1698</f>
        <v>1697</v>
      </c>
      <c r="B1329" s="14" t="str">
        <f>HYPERLINK(CONCAT("http://leetcode.com/problems/",Github!C$1698), Github!B$1698)</f>
        <v>Checking Existence of Edge Length Limited Paths</v>
      </c>
      <c r="C1329" s="13">
        <f>Github!F$1698</f>
        <v>652</v>
      </c>
      <c r="D1329" s="13">
        <f>Github!G$1698</f>
        <v>14</v>
      </c>
      <c r="E1329" s="13">
        <f>Github!F$1698+Github!G$1698</f>
        <v>666</v>
      </c>
      <c r="F1329" s="15">
        <f t="shared" si="1"/>
        <v>46.57</v>
      </c>
      <c r="G1329" s="13" t="str">
        <f>ROUND(Github!O$1698, 2)&amp;"%"</f>
        <v>50.43%</v>
      </c>
      <c r="H1329" s="13" t="str">
        <f>Github!H$1698</f>
        <v>Algorithms</v>
      </c>
      <c r="I1329" s="16" t="str">
        <f>SUBSTITUTE(Github!L$1698, ";", ", ")</f>
        <v>Array, Union Find, Graph, Sorting, </v>
      </c>
      <c r="J1329" s="13" t="str">
        <f>Github!E$1698</f>
        <v>Hard</v>
      </c>
      <c r="K1329" s="13" t="str">
        <f>IF(TRIM(Github!D$1698)="TRUE","FALSE","TRUE")</f>
        <v>TRUE</v>
      </c>
      <c r="L1329" s="13" t="b">
        <f>Github!M$1698</f>
        <v>0</v>
      </c>
      <c r="M1329" s="13" t="b">
        <f>Github!N$1698</f>
        <v>0</v>
      </c>
      <c r="N1329" s="13">
        <f>Github!P$1698</f>
        <v>11692</v>
      </c>
      <c r="O1329" s="13">
        <f>Github!Q$1698</f>
        <v>23184</v>
      </c>
    </row>
    <row r="1330">
      <c r="A1330" s="13">
        <f>Github!J$1904</f>
        <v>1903</v>
      </c>
      <c r="B1330" s="14" t="str">
        <f>HYPERLINK(CONCAT("http://leetcode.com/problems/",Github!C$1904), Github!B$1904)</f>
        <v>Largest Odd Number in String</v>
      </c>
      <c r="C1330" s="13">
        <f>Github!F$1904</f>
        <v>656</v>
      </c>
      <c r="D1330" s="13">
        <f>Github!G$1904</f>
        <v>55</v>
      </c>
      <c r="E1330" s="13">
        <f>Github!F$1904+Github!G$1904</f>
        <v>711</v>
      </c>
      <c r="F1330" s="15">
        <f t="shared" si="1"/>
        <v>11.93</v>
      </c>
      <c r="G1330" s="13" t="str">
        <f>ROUND(Github!O$1904, 2)&amp;"%"</f>
        <v>55.75%</v>
      </c>
      <c r="H1330" s="13" t="str">
        <f>Github!H$1904</f>
        <v>Algorithms</v>
      </c>
      <c r="I1330" s="16" t="str">
        <f>SUBSTITUTE(Github!L$1904, ";", ", ")</f>
        <v>Math, String, Greedy, </v>
      </c>
      <c r="J1330" s="13" t="str">
        <f>Github!E$1904</f>
        <v>Easy</v>
      </c>
      <c r="K1330" s="13" t="str">
        <f>IF(TRIM(Github!D$1904)="TRUE","FALSE","TRUE")</f>
        <v>TRUE</v>
      </c>
      <c r="L1330" s="13" t="b">
        <f>Github!M$1904</f>
        <v>0</v>
      </c>
      <c r="M1330" s="13" t="b">
        <f>Github!N$1904</f>
        <v>0</v>
      </c>
      <c r="N1330" s="13">
        <f>Github!P$1904</f>
        <v>48329</v>
      </c>
      <c r="O1330" s="13">
        <f>Github!Q$1904</f>
        <v>86679</v>
      </c>
    </row>
    <row r="1331">
      <c r="A1331" s="13">
        <f>Github!J$1630</f>
        <v>1629</v>
      </c>
      <c r="B1331" s="14" t="str">
        <f>HYPERLINK(CONCAT("http://leetcode.com/problems/",Github!C$1630), Github!B$1630)</f>
        <v>Slowest Key</v>
      </c>
      <c r="C1331" s="13">
        <f>Github!F$1630</f>
        <v>641</v>
      </c>
      <c r="D1331" s="13">
        <f>Github!G$1630</f>
        <v>93</v>
      </c>
      <c r="E1331" s="13">
        <f>Github!F$1630+Github!G$1630</f>
        <v>734</v>
      </c>
      <c r="F1331" s="15">
        <f t="shared" si="1"/>
        <v>6.89</v>
      </c>
      <c r="G1331" s="13" t="str">
        <f>ROUND(Github!O$1630, 2)&amp;"%"</f>
        <v>59.33%</v>
      </c>
      <c r="H1331" s="13" t="str">
        <f>Github!H$1630</f>
        <v>Algorithms</v>
      </c>
      <c r="I1331" s="16" t="str">
        <f>SUBSTITUTE(Github!L$1630, ";", ", ")</f>
        <v>Array, String, </v>
      </c>
      <c r="J1331" s="13" t="str">
        <f>Github!E$1630</f>
        <v>Easy</v>
      </c>
      <c r="K1331" s="13" t="str">
        <f>IF(TRIM(Github!D$1630)="TRUE","FALSE","TRUE")</f>
        <v>TRUE</v>
      </c>
      <c r="L1331" s="13" t="b">
        <f>Github!M$1630</f>
        <v>1</v>
      </c>
      <c r="M1331" s="13" t="b">
        <f>Github!N$1630</f>
        <v>0</v>
      </c>
      <c r="N1331" s="13">
        <f>Github!P$1630</f>
        <v>85962</v>
      </c>
      <c r="O1331" s="13">
        <f>Github!Q$1630</f>
        <v>144889</v>
      </c>
    </row>
    <row r="1332">
      <c r="A1332" s="13">
        <f>Github!J$2267</f>
        <v>2266</v>
      </c>
      <c r="B1332" s="14" t="str">
        <f>HYPERLINK(CONCAT("http://leetcode.com/problems/",Github!C$2267), Github!B$2267)</f>
        <v>Count Number of Texts</v>
      </c>
      <c r="C1332" s="13">
        <f>Github!F$2267</f>
        <v>644</v>
      </c>
      <c r="D1332" s="13">
        <f>Github!G$2267</f>
        <v>21</v>
      </c>
      <c r="E1332" s="13">
        <f>Github!F$2267+Github!G$2267</f>
        <v>665</v>
      </c>
      <c r="F1332" s="15">
        <f t="shared" si="1"/>
        <v>30.67</v>
      </c>
      <c r="G1332" s="13" t="str">
        <f>ROUND(Github!O$2267, 2)&amp;"%"</f>
        <v>47.25%</v>
      </c>
      <c r="H1332" s="13" t="str">
        <f>Github!H$2267</f>
        <v>Algorithms</v>
      </c>
      <c r="I1332" s="16" t="str">
        <f>SUBSTITUTE(Github!L$2267, ";", ", ")</f>
        <v>Hash Table, Math, String, Dynamic Programming, </v>
      </c>
      <c r="J1332" s="13" t="str">
        <f>Github!E$2267</f>
        <v>Medium</v>
      </c>
      <c r="K1332" s="13" t="str">
        <f>IF(TRIM(Github!D$2267)="TRUE","FALSE","TRUE")</f>
        <v>TRUE</v>
      </c>
      <c r="L1332" s="13" t="b">
        <f>Github!M$2267</f>
        <v>0</v>
      </c>
      <c r="M1332" s="13" t="b">
        <f>Github!N$2267</f>
        <v>0</v>
      </c>
      <c r="N1332" s="13">
        <f>Github!P$2267</f>
        <v>14194</v>
      </c>
      <c r="O1332" s="13">
        <f>Github!Q$2267</f>
        <v>30037</v>
      </c>
    </row>
    <row r="1333">
      <c r="A1333" s="13">
        <f>Github!J$485</f>
        <v>484</v>
      </c>
      <c r="B1333" s="14" t="str">
        <f>HYPERLINK(CONCAT("http://leetcode.com/problems/",Github!C$485), Github!B$485)</f>
        <v>Find Permutation</v>
      </c>
      <c r="C1333" s="13">
        <f>Github!F$485</f>
        <v>636</v>
      </c>
      <c r="D1333" s="13">
        <f>Github!G$485</f>
        <v>120</v>
      </c>
      <c r="E1333" s="13">
        <f>Github!F$485+Github!G$485</f>
        <v>756</v>
      </c>
      <c r="F1333" s="15">
        <f t="shared" si="1"/>
        <v>5.3</v>
      </c>
      <c r="G1333" s="13" t="str">
        <f>ROUND(Github!O$485, 2)&amp;"%"</f>
        <v>66.96%</v>
      </c>
      <c r="H1333" s="13" t="str">
        <f>Github!H$485</f>
        <v>Algorithms</v>
      </c>
      <c r="I1333" s="16" t="str">
        <f>SUBSTITUTE(Github!L$485, ";", ", ")</f>
        <v>Array, String, Stack, Greedy, </v>
      </c>
      <c r="J1333" s="13" t="str">
        <f>Github!E$485</f>
        <v>Medium</v>
      </c>
      <c r="K1333" s="13" t="str">
        <f>IF(TRIM(Github!D$485)="TRUE","FALSE","TRUE")</f>
        <v>FALSE</v>
      </c>
      <c r="L1333" s="13" t="b">
        <f>Github!M$485</f>
        <v>1</v>
      </c>
      <c r="M1333" s="13" t="b">
        <f>Github!N$485</f>
        <v>0</v>
      </c>
      <c r="N1333" s="13">
        <f>Github!P$485</f>
        <v>35541</v>
      </c>
      <c r="O1333" s="13">
        <f>Github!Q$485</f>
        <v>53077</v>
      </c>
    </row>
    <row r="1334">
      <c r="A1334" s="13">
        <f>Github!J$789</f>
        <v>788</v>
      </c>
      <c r="B1334" s="14" t="str">
        <f>HYPERLINK(CONCAT("http://leetcode.com/problems/",Github!C$789), Github!B$789)</f>
        <v>Rotated Digits</v>
      </c>
      <c r="C1334" s="13">
        <f>Github!F$789</f>
        <v>640</v>
      </c>
      <c r="D1334" s="13">
        <f>Github!G$789</f>
        <v>1817</v>
      </c>
      <c r="E1334" s="13">
        <f>Github!F$789+Github!G$789</f>
        <v>2457</v>
      </c>
      <c r="F1334" s="15">
        <f t="shared" si="1"/>
        <v>0.35</v>
      </c>
      <c r="G1334" s="13" t="str">
        <f>ROUND(Github!O$789, 2)&amp;"%"</f>
        <v>56.82%</v>
      </c>
      <c r="H1334" s="13" t="str">
        <f>Github!H$789</f>
        <v>Algorithms</v>
      </c>
      <c r="I1334" s="16" t="str">
        <f>SUBSTITUTE(Github!L$789, ";", ", ")</f>
        <v>Math, Dynamic Programming, </v>
      </c>
      <c r="J1334" s="13" t="str">
        <f>Github!E$789</f>
        <v>Medium</v>
      </c>
      <c r="K1334" s="13" t="str">
        <f>IF(TRIM(Github!D$789)="TRUE","FALSE","TRUE")</f>
        <v>TRUE</v>
      </c>
      <c r="L1334" s="13" t="b">
        <f>Github!M$789</f>
        <v>0</v>
      </c>
      <c r="M1334" s="13" t="b">
        <f>Github!N$789</f>
        <v>0</v>
      </c>
      <c r="N1334" s="13">
        <f>Github!P$789</f>
        <v>93078</v>
      </c>
      <c r="O1334" s="13">
        <f>Github!Q$789</f>
        <v>163806</v>
      </c>
    </row>
    <row r="1335">
      <c r="A1335" s="13">
        <f>Github!J$1178</f>
        <v>1177</v>
      </c>
      <c r="B1335" s="14" t="str">
        <f>HYPERLINK(CONCAT("http://leetcode.com/problems/",Github!C$1178), Github!B$1178)</f>
        <v>Can Make Palindrome from Substring</v>
      </c>
      <c r="C1335" s="13">
        <f>Github!F$1178</f>
        <v>638</v>
      </c>
      <c r="D1335" s="13">
        <f>Github!G$1178</f>
        <v>246</v>
      </c>
      <c r="E1335" s="13">
        <f>Github!F$1178+Github!G$1178</f>
        <v>884</v>
      </c>
      <c r="F1335" s="15">
        <f t="shared" si="1"/>
        <v>2.59</v>
      </c>
      <c r="G1335" s="13" t="str">
        <f>ROUND(Github!O$1178, 2)&amp;"%"</f>
        <v>37.97%</v>
      </c>
      <c r="H1335" s="13" t="str">
        <f>Github!H$1178</f>
        <v>Algorithms</v>
      </c>
      <c r="I1335" s="16" t="str">
        <f>SUBSTITUTE(Github!L$1178, ";", ", ")</f>
        <v>Hash Table, String, Bit Manipulation, Prefix Sum, </v>
      </c>
      <c r="J1335" s="13" t="str">
        <f>Github!E$1178</f>
        <v>Medium</v>
      </c>
      <c r="K1335" s="13" t="str">
        <f>IF(TRIM(Github!D$1178)="TRUE","FALSE","TRUE")</f>
        <v>TRUE</v>
      </c>
      <c r="L1335" s="13" t="b">
        <f>Github!M$1178</f>
        <v>0</v>
      </c>
      <c r="M1335" s="13" t="b">
        <f>Github!N$1178</f>
        <v>0</v>
      </c>
      <c r="N1335" s="13">
        <f>Github!P$1178</f>
        <v>22818</v>
      </c>
      <c r="O1335" s="13">
        <f>Github!Q$1178</f>
        <v>60093</v>
      </c>
    </row>
    <row r="1336">
      <c r="A1336" s="13">
        <f>Github!J$2092</f>
        <v>2091</v>
      </c>
      <c r="B1336" s="14" t="str">
        <f>HYPERLINK(CONCAT("http://leetcode.com/problems/",Github!C$2092), Github!B$2092)</f>
        <v>Removing Minimum and Maximum From Array</v>
      </c>
      <c r="C1336" s="13">
        <f>Github!F$2092</f>
        <v>639</v>
      </c>
      <c r="D1336" s="13">
        <f>Github!G$2092</f>
        <v>34</v>
      </c>
      <c r="E1336" s="13">
        <f>Github!F$2092+Github!G$2092</f>
        <v>673</v>
      </c>
      <c r="F1336" s="15">
        <f t="shared" si="1"/>
        <v>18.79</v>
      </c>
      <c r="G1336" s="13" t="str">
        <f>ROUND(Github!O$2092, 2)&amp;"%"</f>
        <v>56.56%</v>
      </c>
      <c r="H1336" s="13" t="str">
        <f>Github!H$2092</f>
        <v>Algorithms</v>
      </c>
      <c r="I1336" s="16" t="str">
        <f>SUBSTITUTE(Github!L$2092, ";", ", ")</f>
        <v>Array, Greedy, </v>
      </c>
      <c r="J1336" s="13" t="str">
        <f>Github!E$2092</f>
        <v>Medium</v>
      </c>
      <c r="K1336" s="13" t="str">
        <f>IF(TRIM(Github!D$2092)="TRUE","FALSE","TRUE")</f>
        <v>TRUE</v>
      </c>
      <c r="L1336" s="13" t="b">
        <f>Github!M$2092</f>
        <v>0</v>
      </c>
      <c r="M1336" s="13" t="b">
        <f>Github!N$2092</f>
        <v>0</v>
      </c>
      <c r="N1336" s="13">
        <f>Github!P$2092</f>
        <v>26856</v>
      </c>
      <c r="O1336" s="13">
        <f>Github!Q$2092</f>
        <v>47482</v>
      </c>
    </row>
    <row r="1337">
      <c r="A1337" s="13">
        <f>Github!J$2101</f>
        <v>2100</v>
      </c>
      <c r="B1337" s="14" t="str">
        <f>HYPERLINK(CONCAT("http://leetcode.com/problems/",Github!C$2101), Github!B$2101)</f>
        <v>Find Good Days to Rob the Bank</v>
      </c>
      <c r="C1337" s="13">
        <f>Github!F$2101</f>
        <v>646</v>
      </c>
      <c r="D1337" s="13">
        <f>Github!G$2101</f>
        <v>35</v>
      </c>
      <c r="E1337" s="13">
        <f>Github!F$2101+Github!G$2101</f>
        <v>681</v>
      </c>
      <c r="F1337" s="15">
        <f t="shared" si="1"/>
        <v>18.46</v>
      </c>
      <c r="G1337" s="13" t="str">
        <f>ROUND(Github!O$2101, 2)&amp;"%"</f>
        <v>49.26%</v>
      </c>
      <c r="H1337" s="13" t="str">
        <f>Github!H$2101</f>
        <v>Algorithms</v>
      </c>
      <c r="I1337" s="16" t="str">
        <f>SUBSTITUTE(Github!L$2101, ";", ", ")</f>
        <v>Array, Dynamic Programming, Prefix Sum, </v>
      </c>
      <c r="J1337" s="13" t="str">
        <f>Github!E$2101</f>
        <v>Medium</v>
      </c>
      <c r="K1337" s="13" t="str">
        <f>IF(TRIM(Github!D$2101)="TRUE","FALSE","TRUE")</f>
        <v>TRUE</v>
      </c>
      <c r="L1337" s="13" t="b">
        <f>Github!M$2101</f>
        <v>0</v>
      </c>
      <c r="M1337" s="13" t="b">
        <f>Github!N$2101</f>
        <v>0</v>
      </c>
      <c r="N1337" s="13">
        <f>Github!P$2101</f>
        <v>18787</v>
      </c>
      <c r="O1337" s="13">
        <f>Github!Q$2101</f>
        <v>38139</v>
      </c>
    </row>
    <row r="1338">
      <c r="A1338" s="13">
        <f>Github!J$1543</f>
        <v>1542</v>
      </c>
      <c r="B1338" s="14" t="str">
        <f>HYPERLINK(CONCAT("http://leetcode.com/problems/",Github!C$1543), Github!B$1543)</f>
        <v>Find Longest Awesome Substring</v>
      </c>
      <c r="C1338" s="13">
        <f>Github!F$1543</f>
        <v>643</v>
      </c>
      <c r="D1338" s="13">
        <f>Github!G$1543</f>
        <v>11</v>
      </c>
      <c r="E1338" s="13">
        <f>Github!F$1543+Github!G$1543</f>
        <v>654</v>
      </c>
      <c r="F1338" s="15">
        <f t="shared" si="1"/>
        <v>58.45</v>
      </c>
      <c r="G1338" s="13" t="str">
        <f>ROUND(Github!O$1543, 2)&amp;"%"</f>
        <v>41.73%</v>
      </c>
      <c r="H1338" s="13" t="str">
        <f>Github!H$1543</f>
        <v>Algorithms</v>
      </c>
      <c r="I1338" s="16" t="str">
        <f>SUBSTITUTE(Github!L$1543, ";", ", ")</f>
        <v>Hash Table, String, Bit Manipulation, </v>
      </c>
      <c r="J1338" s="13" t="str">
        <f>Github!E$1543</f>
        <v>Hard</v>
      </c>
      <c r="K1338" s="13" t="str">
        <f>IF(TRIM(Github!D$1543)="TRUE","FALSE","TRUE")</f>
        <v>TRUE</v>
      </c>
      <c r="L1338" s="13" t="b">
        <f>Github!M$1543</f>
        <v>0</v>
      </c>
      <c r="M1338" s="13" t="b">
        <f>Github!N$1543</f>
        <v>0</v>
      </c>
      <c r="N1338" s="13">
        <f>Github!P$1543</f>
        <v>10754</v>
      </c>
      <c r="O1338" s="13">
        <f>Github!Q$1543</f>
        <v>25772</v>
      </c>
    </row>
    <row r="1339">
      <c r="A1339" s="13">
        <f>Github!J$904</f>
        <v>903</v>
      </c>
      <c r="B1339" s="14" t="str">
        <f>HYPERLINK(CONCAT("http://leetcode.com/problems/",Github!C$904), Github!B$904)</f>
        <v>Valid Permutations for DI Sequence</v>
      </c>
      <c r="C1339" s="13">
        <f>Github!F$904</f>
        <v>635</v>
      </c>
      <c r="D1339" s="13">
        <f>Github!G$904</f>
        <v>39</v>
      </c>
      <c r="E1339" s="13">
        <f>Github!F$904+Github!G$904</f>
        <v>674</v>
      </c>
      <c r="F1339" s="15">
        <f t="shared" si="1"/>
        <v>16.28</v>
      </c>
      <c r="G1339" s="13" t="str">
        <f>ROUND(Github!O$904, 2)&amp;"%"</f>
        <v>57.97%</v>
      </c>
      <c r="H1339" s="13" t="str">
        <f>Github!H$904</f>
        <v>Algorithms</v>
      </c>
      <c r="I1339" s="16" t="str">
        <f>SUBSTITUTE(Github!L$904, ";", ", ")</f>
        <v>Dynamic Programming, </v>
      </c>
      <c r="J1339" s="13" t="str">
        <f>Github!E$904</f>
        <v>Hard</v>
      </c>
      <c r="K1339" s="13" t="str">
        <f>IF(TRIM(Github!D$904)="TRUE","FALSE","TRUE")</f>
        <v>TRUE</v>
      </c>
      <c r="L1339" s="13" t="b">
        <f>Github!M$904</f>
        <v>0</v>
      </c>
      <c r="M1339" s="13" t="b">
        <f>Github!N$904</f>
        <v>0</v>
      </c>
      <c r="N1339" s="13">
        <f>Github!P$904</f>
        <v>13288</v>
      </c>
      <c r="O1339" s="13">
        <f>Github!Q$904</f>
        <v>22924</v>
      </c>
    </row>
    <row r="1340">
      <c r="A1340" s="13">
        <f>Github!J$1521</f>
        <v>1520</v>
      </c>
      <c r="B1340" s="14" t="str">
        <f>HYPERLINK(CONCAT("http://leetcode.com/problems/",Github!C$1521), Github!B$1521)</f>
        <v>Maximum Number of Non-Overlapping Substrings</v>
      </c>
      <c r="C1340" s="13">
        <f>Github!F$1521</f>
        <v>636</v>
      </c>
      <c r="D1340" s="13">
        <f>Github!G$1521</f>
        <v>64</v>
      </c>
      <c r="E1340" s="13">
        <f>Github!F$1521+Github!G$1521</f>
        <v>700</v>
      </c>
      <c r="F1340" s="15">
        <f t="shared" si="1"/>
        <v>9.94</v>
      </c>
      <c r="G1340" s="13" t="str">
        <f>ROUND(Github!O$1521, 2)&amp;"%"</f>
        <v>38.11%</v>
      </c>
      <c r="H1340" s="13" t="str">
        <f>Github!H$1521</f>
        <v>Algorithms</v>
      </c>
      <c r="I1340" s="16" t="str">
        <f>SUBSTITUTE(Github!L$1521, ";", ", ")</f>
        <v>String, Greedy, </v>
      </c>
      <c r="J1340" s="13" t="str">
        <f>Github!E$1521</f>
        <v>Hard</v>
      </c>
      <c r="K1340" s="13" t="str">
        <f>IF(TRIM(Github!D$1521)="TRUE","FALSE","TRUE")</f>
        <v>TRUE</v>
      </c>
      <c r="L1340" s="13" t="b">
        <f>Github!M$1521</f>
        <v>0</v>
      </c>
      <c r="M1340" s="13" t="b">
        <f>Github!N$1521</f>
        <v>0</v>
      </c>
      <c r="N1340" s="13">
        <f>Github!P$1521</f>
        <v>12556</v>
      </c>
      <c r="O1340" s="13">
        <f>Github!Q$1521</f>
        <v>32950</v>
      </c>
    </row>
    <row r="1341">
      <c r="A1341" s="13">
        <f>Github!J$2010</f>
        <v>2009</v>
      </c>
      <c r="B1341" s="14" t="str">
        <f>HYPERLINK(CONCAT("http://leetcode.com/problems/",Github!C$2010), Github!B$2010)</f>
        <v>Minimum Number of Operations to Make Array Continuous</v>
      </c>
      <c r="C1341" s="13">
        <f>Github!F$2010</f>
        <v>643</v>
      </c>
      <c r="D1341" s="13">
        <f>Github!G$2010</f>
        <v>7</v>
      </c>
      <c r="E1341" s="13">
        <f>Github!F$2010+Github!G$2010</f>
        <v>650</v>
      </c>
      <c r="F1341" s="15">
        <f t="shared" si="1"/>
        <v>91.86</v>
      </c>
      <c r="G1341" s="13" t="str">
        <f>ROUND(Github!O$2010, 2)&amp;"%"</f>
        <v>45.71%</v>
      </c>
      <c r="H1341" s="13" t="str">
        <f>Github!H$2010</f>
        <v>Algorithms</v>
      </c>
      <c r="I1341" s="16" t="str">
        <f>SUBSTITUTE(Github!L$2010, ";", ", ")</f>
        <v>Array, Binary Search, </v>
      </c>
      <c r="J1341" s="13" t="str">
        <f>Github!E$2010</f>
        <v>Hard</v>
      </c>
      <c r="K1341" s="13" t="str">
        <f>IF(TRIM(Github!D$2010)="TRUE","FALSE","TRUE")</f>
        <v>TRUE</v>
      </c>
      <c r="L1341" s="13" t="b">
        <f>Github!M$2010</f>
        <v>0</v>
      </c>
      <c r="M1341" s="13" t="b">
        <f>Github!N$2010</f>
        <v>0</v>
      </c>
      <c r="N1341" s="13">
        <f>Github!P$2010</f>
        <v>10020</v>
      </c>
      <c r="O1341" s="13">
        <f>Github!Q$2010</f>
        <v>21923</v>
      </c>
    </row>
    <row r="1342">
      <c r="A1342" s="13">
        <f>Github!J$373</f>
        <v>372</v>
      </c>
      <c r="B1342" s="14" t="str">
        <f>HYPERLINK(CONCAT("http://leetcode.com/problems/",Github!C$373), Github!B$373)</f>
        <v>Super Pow</v>
      </c>
      <c r="C1342" s="13">
        <f>Github!F$373</f>
        <v>644</v>
      </c>
      <c r="D1342" s="13">
        <f>Github!G$373</f>
        <v>1248</v>
      </c>
      <c r="E1342" s="13">
        <f>Github!F$373+Github!G$373</f>
        <v>1892</v>
      </c>
      <c r="F1342" s="15">
        <f t="shared" si="1"/>
        <v>0.52</v>
      </c>
      <c r="G1342" s="13" t="str">
        <f>ROUND(Github!O$373, 2)&amp;"%"</f>
        <v>36.9%</v>
      </c>
      <c r="H1342" s="13" t="str">
        <f>Github!H$373</f>
        <v>Algorithms</v>
      </c>
      <c r="I1342" s="16" t="str">
        <f>SUBSTITUTE(Github!L$373, ";", ", ")</f>
        <v>Math, Divide and Conquer, </v>
      </c>
      <c r="J1342" s="13" t="str">
        <f>Github!E$373</f>
        <v>Medium</v>
      </c>
      <c r="K1342" s="13" t="str">
        <f>IF(TRIM(Github!D$373)="TRUE","FALSE","TRUE")</f>
        <v>TRUE</v>
      </c>
      <c r="L1342" s="13" t="b">
        <f>Github!M$373</f>
        <v>0</v>
      </c>
      <c r="M1342" s="13" t="b">
        <f>Github!N$373</f>
        <v>0</v>
      </c>
      <c r="N1342" s="13">
        <f>Github!P$373</f>
        <v>55815</v>
      </c>
      <c r="O1342" s="13">
        <f>Github!Q$373</f>
        <v>151258</v>
      </c>
    </row>
    <row r="1343">
      <c r="A1343" s="13">
        <f>Github!J$1386</f>
        <v>1385</v>
      </c>
      <c r="B1343" s="14" t="str">
        <f>HYPERLINK(CONCAT("http://leetcode.com/problems/",Github!C$1386), Github!B$1386)</f>
        <v>Find the Distance Value Between Two Arrays</v>
      </c>
      <c r="C1343" s="13">
        <f>Github!F$1386</f>
        <v>643</v>
      </c>
      <c r="D1343" s="13">
        <f>Github!G$1386</f>
        <v>2397</v>
      </c>
      <c r="E1343" s="13">
        <f>Github!F$1386+Github!G$1386</f>
        <v>3040</v>
      </c>
      <c r="F1343" s="15">
        <f t="shared" si="1"/>
        <v>0.27</v>
      </c>
      <c r="G1343" s="13" t="str">
        <f>ROUND(Github!O$1386, 2)&amp;"%"</f>
        <v>65.78%</v>
      </c>
      <c r="H1343" s="13" t="str">
        <f>Github!H$1386</f>
        <v>Algorithms</v>
      </c>
      <c r="I1343" s="16" t="str">
        <f>SUBSTITUTE(Github!L$1386, ";", ", ")</f>
        <v>Array, Two Pointers, Binary Search, Sorting, </v>
      </c>
      <c r="J1343" s="13" t="str">
        <f>Github!E$1386</f>
        <v>Easy</v>
      </c>
      <c r="K1343" s="13" t="str">
        <f>IF(TRIM(Github!D$1386)="TRUE","FALSE","TRUE")</f>
        <v>TRUE</v>
      </c>
      <c r="L1343" s="13" t="b">
        <f>Github!M$1386</f>
        <v>0</v>
      </c>
      <c r="M1343" s="13" t="b">
        <f>Github!N$1386</f>
        <v>0</v>
      </c>
      <c r="N1343" s="13">
        <f>Github!P$1386</f>
        <v>72054</v>
      </c>
      <c r="O1343" s="13">
        <f>Github!Q$1386</f>
        <v>109541</v>
      </c>
    </row>
    <row r="1344">
      <c r="A1344" s="13">
        <f>Github!J$2162</f>
        <v>2161</v>
      </c>
      <c r="B1344" s="14" t="str">
        <f>HYPERLINK(CONCAT("http://leetcode.com/problems/",Github!C$2162), Github!B$2162)</f>
        <v>Partition Array According to Given Pivot</v>
      </c>
      <c r="C1344" s="13">
        <f>Github!F$2162</f>
        <v>646</v>
      </c>
      <c r="D1344" s="13">
        <f>Github!G$2162</f>
        <v>46</v>
      </c>
      <c r="E1344" s="13">
        <f>Github!F$2162+Github!G$2162</f>
        <v>692</v>
      </c>
      <c r="F1344" s="15">
        <f t="shared" si="1"/>
        <v>14.04</v>
      </c>
      <c r="G1344" s="13" t="str">
        <f>ROUND(Github!O$2162, 2)&amp;"%"</f>
        <v>84.47%</v>
      </c>
      <c r="H1344" s="13" t="str">
        <f>Github!H$2162</f>
        <v>Algorithms</v>
      </c>
      <c r="I1344" s="16" t="str">
        <f>SUBSTITUTE(Github!L$2162, ";", ", ")</f>
        <v>Array, Two Pointers, Simulation, </v>
      </c>
      <c r="J1344" s="13" t="str">
        <f>Github!E$2162</f>
        <v>Medium</v>
      </c>
      <c r="K1344" s="13" t="str">
        <f>IF(TRIM(Github!D$2162)="TRUE","FALSE","TRUE")</f>
        <v>TRUE</v>
      </c>
      <c r="L1344" s="13" t="b">
        <f>Github!M$2162</f>
        <v>0</v>
      </c>
      <c r="M1344" s="13" t="b">
        <f>Github!N$2162</f>
        <v>0</v>
      </c>
      <c r="N1344" s="13">
        <f>Github!P$2162</f>
        <v>40805</v>
      </c>
      <c r="O1344" s="13">
        <f>Github!Q$2162</f>
        <v>48310</v>
      </c>
    </row>
    <row r="1345">
      <c r="A1345" s="13">
        <f>Github!J$361</f>
        <v>360</v>
      </c>
      <c r="B1345" s="14" t="str">
        <f>HYPERLINK(CONCAT("http://leetcode.com/problems/",Github!C$361), Github!B$361)</f>
        <v>Sort Transformed Array</v>
      </c>
      <c r="C1345" s="13">
        <f>Github!F$361</f>
        <v>633</v>
      </c>
      <c r="D1345" s="13">
        <f>Github!G$361</f>
        <v>193</v>
      </c>
      <c r="E1345" s="13">
        <f>Github!F$361+Github!G$361</f>
        <v>826</v>
      </c>
      <c r="F1345" s="15">
        <f t="shared" si="1"/>
        <v>3.28</v>
      </c>
      <c r="G1345" s="13" t="str">
        <f>ROUND(Github!O$361, 2)&amp;"%"</f>
        <v>54.79%</v>
      </c>
      <c r="H1345" s="13" t="str">
        <f>Github!H$361</f>
        <v>Algorithms</v>
      </c>
      <c r="I1345" s="16" t="str">
        <f>SUBSTITUTE(Github!L$361, ";", ", ")</f>
        <v>Array, Math, Two Pointers, Sorting, </v>
      </c>
      <c r="J1345" s="13" t="str">
        <f>Github!E$361</f>
        <v>Medium</v>
      </c>
      <c r="K1345" s="13" t="str">
        <f>IF(TRIM(Github!D$361)="TRUE","FALSE","TRUE")</f>
        <v>FALSE</v>
      </c>
      <c r="L1345" s="13" t="b">
        <f>Github!M$361</f>
        <v>1</v>
      </c>
      <c r="M1345" s="13" t="b">
        <f>Github!N$361</f>
        <v>0</v>
      </c>
      <c r="N1345" s="13">
        <f>Github!P$361</f>
        <v>60778</v>
      </c>
      <c r="O1345" s="13">
        <f>Github!Q$361</f>
        <v>110936</v>
      </c>
    </row>
    <row r="1346">
      <c r="A1346" s="13">
        <f>Github!J$2273</f>
        <v>2272</v>
      </c>
      <c r="B1346" s="14" t="str">
        <f>HYPERLINK(CONCAT("http://leetcode.com/problems/",Github!C$2273), Github!B$2273)</f>
        <v>Substring With Largest Variance</v>
      </c>
      <c r="C1346" s="13">
        <f>Github!F$2273</f>
        <v>640</v>
      </c>
      <c r="D1346" s="13">
        <f>Github!G$2273</f>
        <v>78</v>
      </c>
      <c r="E1346" s="13">
        <f>Github!F$2273+Github!G$2273</f>
        <v>718</v>
      </c>
      <c r="F1346" s="15">
        <f t="shared" si="1"/>
        <v>8.21</v>
      </c>
      <c r="G1346" s="13" t="str">
        <f>ROUND(Github!O$2273, 2)&amp;"%"</f>
        <v>37.31%</v>
      </c>
      <c r="H1346" s="13" t="str">
        <f>Github!H2273</f>
        <v>Algorithms</v>
      </c>
      <c r="I1346" s="16" t="str">
        <f>SUBSTITUTE(Github!L$2273, ";", ", ")</f>
        <v>Array, Dynamic Programming, </v>
      </c>
      <c r="J1346" s="13" t="str">
        <f>Github!E$2273</f>
        <v>Hard</v>
      </c>
      <c r="K1346" s="13" t="str">
        <f>IF(TRIM(Github!D$2273)="TRUE","FALSE","TRUE")</f>
        <v>TRUE</v>
      </c>
      <c r="L1346" s="13" t="b">
        <f>Github!M$2273</f>
        <v>0</v>
      </c>
      <c r="M1346" s="13" t="b">
        <f>Github!N$2273</f>
        <v>0</v>
      </c>
      <c r="N1346" s="13">
        <f>Github!P$2273</f>
        <v>21870</v>
      </c>
      <c r="O1346" s="13">
        <f>Github!Q$2273</f>
        <v>58622</v>
      </c>
    </row>
    <row r="1347">
      <c r="A1347" s="13">
        <f>Github!J$723</f>
        <v>722</v>
      </c>
      <c r="B1347" s="14" t="str">
        <f>HYPERLINK(CONCAT("http://leetcode.com/problems/",Github!C$723), Github!B$723)</f>
        <v>Remove Comments</v>
      </c>
      <c r="C1347" s="13">
        <f>Github!F$723</f>
        <v>633</v>
      </c>
      <c r="D1347" s="13">
        <f>Github!G$723</f>
        <v>1660</v>
      </c>
      <c r="E1347" s="13">
        <f>Github!F$723+Github!G$723</f>
        <v>2293</v>
      </c>
      <c r="F1347" s="15">
        <f t="shared" si="1"/>
        <v>0.38</v>
      </c>
      <c r="G1347" s="13" t="str">
        <f>ROUND(Github!O$723, 2)&amp;"%"</f>
        <v>38.12%</v>
      </c>
      <c r="H1347" s="13" t="str">
        <f>Github!H$723</f>
        <v>Algorithms</v>
      </c>
      <c r="I1347" s="16" t="str">
        <f>SUBSTITUTE(Github!L$723, ";", ", ")</f>
        <v>Array, String, </v>
      </c>
      <c r="J1347" s="13" t="str">
        <f>Github!E$723</f>
        <v>Medium</v>
      </c>
      <c r="K1347" s="13" t="str">
        <f>IF(TRIM(Github!D$723)="TRUE","FALSE","TRUE")</f>
        <v>TRUE</v>
      </c>
      <c r="L1347" s="13" t="b">
        <f>Github!M$723</f>
        <v>0</v>
      </c>
      <c r="M1347" s="13" t="b">
        <f>Github!N$723</f>
        <v>0</v>
      </c>
      <c r="N1347" s="13">
        <f>Github!P$723</f>
        <v>62411</v>
      </c>
      <c r="O1347" s="13">
        <f>Github!Q$723</f>
        <v>163737</v>
      </c>
    </row>
    <row r="1348">
      <c r="A1348" s="13">
        <f>Github!J$1874</f>
        <v>1873</v>
      </c>
      <c r="B1348" s="14" t="str">
        <f>HYPERLINK(CONCAT("http://leetcode.com/problems/",Github!C$1874), Github!B$1874)</f>
        <v>Calculate Special Bonus</v>
      </c>
      <c r="C1348" s="13">
        <f>Github!F$1874</f>
        <v>663</v>
      </c>
      <c r="D1348" s="13">
        <f>Github!G$1874</f>
        <v>49</v>
      </c>
      <c r="E1348" s="13">
        <f>Github!F$1874+Github!G$1874</f>
        <v>712</v>
      </c>
      <c r="F1348" s="15">
        <f t="shared" si="1"/>
        <v>13.53</v>
      </c>
      <c r="G1348" s="13" t="str">
        <f>ROUND(Github!O$1874, 2)&amp;"%"</f>
        <v>62.02%</v>
      </c>
      <c r="H1348" s="13" t="str">
        <f>Github!H$1874</f>
        <v>Database</v>
      </c>
      <c r="I1348" s="16" t="str">
        <f>SUBSTITUTE(Github!L$1874, ";", ", ")</f>
        <v>Database, </v>
      </c>
      <c r="J1348" s="13" t="str">
        <f>Github!E$1874</f>
        <v>Easy</v>
      </c>
      <c r="K1348" s="13" t="str">
        <f>IF(TRIM(Github!D$1874)="TRUE","FALSE","TRUE")</f>
        <v>TRUE</v>
      </c>
      <c r="L1348" s="13" t="b">
        <f>Github!M$1874</f>
        <v>0</v>
      </c>
      <c r="M1348" s="13" t="b">
        <f>Github!N$1874</f>
        <v>0</v>
      </c>
      <c r="N1348" s="13">
        <f>Github!P$1874</f>
        <v>120775</v>
      </c>
      <c r="O1348" s="13">
        <f>Github!Q$1874</f>
        <v>194739</v>
      </c>
    </row>
    <row r="1349">
      <c r="A1349" s="13">
        <f>Github!J$2237</f>
        <v>2236</v>
      </c>
      <c r="B1349" s="14" t="str">
        <f>HYPERLINK(CONCAT("http://leetcode.com/problems/",Github!C$2237), Github!B$2237)</f>
        <v>Root Equals Sum of Children</v>
      </c>
      <c r="C1349" s="13">
        <f>Github!F$2237</f>
        <v>644</v>
      </c>
      <c r="D1349" s="13">
        <f>Github!G$2237</f>
        <v>891</v>
      </c>
      <c r="E1349" s="13">
        <f>Github!F$2237+Github!G$2237</f>
        <v>1535</v>
      </c>
      <c r="F1349" s="15">
        <f t="shared" si="1"/>
        <v>0.72</v>
      </c>
      <c r="G1349" s="13" t="str">
        <f>ROUND(Github!O$2237, 2)&amp;"%"</f>
        <v>86.14%</v>
      </c>
      <c r="H1349" s="13" t="str">
        <f>Github!H$2237</f>
        <v>Algorithms</v>
      </c>
      <c r="I1349" s="16" t="str">
        <f>SUBSTITUTE(Github!L$2237, ";", ", ")</f>
        <v>Tree, Binary Tree, </v>
      </c>
      <c r="J1349" s="13" t="str">
        <f>Github!E$2237</f>
        <v>Easy</v>
      </c>
      <c r="K1349" s="13" t="str">
        <f>IF(TRIM(Github!D$2237)="TRUE","FALSE","TRUE")</f>
        <v>TRUE</v>
      </c>
      <c r="L1349" s="13" t="b">
        <f>Github!M$2237</f>
        <v>0</v>
      </c>
      <c r="M1349" s="13" t="b">
        <f>Github!N$2237</f>
        <v>0</v>
      </c>
      <c r="N1349" s="13">
        <f>Github!P$2237</f>
        <v>93417</v>
      </c>
      <c r="O1349" s="13">
        <f>Github!Q$2237</f>
        <v>108445</v>
      </c>
    </row>
    <row r="1350">
      <c r="A1350" s="13">
        <f>Github!J$901</f>
        <v>900</v>
      </c>
      <c r="B1350" s="14" t="str">
        <f>HYPERLINK(CONCAT("http://leetcode.com/problems/",Github!C$901), Github!B$901)</f>
        <v>RLE Iterator</v>
      </c>
      <c r="C1350" s="13">
        <f>Github!F$901</f>
        <v>633</v>
      </c>
      <c r="D1350" s="13">
        <f>Github!G$901</f>
        <v>165</v>
      </c>
      <c r="E1350" s="13">
        <f>Github!F$901+Github!G$901</f>
        <v>798</v>
      </c>
      <c r="F1350" s="15">
        <f t="shared" si="1"/>
        <v>3.84</v>
      </c>
      <c r="G1350" s="13" t="str">
        <f>ROUND(Github!O$901, 2)&amp;"%"</f>
        <v>59.49%</v>
      </c>
      <c r="H1350" s="13" t="str">
        <f>Github!H$901</f>
        <v>Algorithms</v>
      </c>
      <c r="I1350" s="16" t="str">
        <f>SUBSTITUTE(Github!L$901, ";", ", ")</f>
        <v>Array, Design, Counting, Iterator, </v>
      </c>
      <c r="J1350" s="13" t="str">
        <f>Github!E$901</f>
        <v>Medium</v>
      </c>
      <c r="K1350" s="13" t="str">
        <f>IF(TRIM(Github!D$901)="TRUE","FALSE","TRUE")</f>
        <v>TRUE</v>
      </c>
      <c r="L1350" s="13" t="b">
        <f>Github!M$901</f>
        <v>0</v>
      </c>
      <c r="M1350" s="13" t="b">
        <f>Github!N$901</f>
        <v>0</v>
      </c>
      <c r="N1350" s="13">
        <f>Github!P$901</f>
        <v>62110</v>
      </c>
      <c r="O1350" s="13">
        <f>Github!Q$901</f>
        <v>104409</v>
      </c>
    </row>
    <row r="1351">
      <c r="A1351" s="13">
        <f>Github!J$1217</f>
        <v>1216</v>
      </c>
      <c r="B1351" s="14" t="str">
        <f>HYPERLINK(CONCAT("http://leetcode.com/problems/",Github!C$1217), Github!B$1217)</f>
        <v>Valid Palindrome III</v>
      </c>
      <c r="C1351" s="13">
        <f>Github!F$1217</f>
        <v>630</v>
      </c>
      <c r="D1351" s="13">
        <f>Github!G$1217</f>
        <v>7</v>
      </c>
      <c r="E1351" s="13">
        <f>Github!F$1217+Github!G$1217</f>
        <v>637</v>
      </c>
      <c r="F1351" s="15">
        <f t="shared" si="1"/>
        <v>90</v>
      </c>
      <c r="G1351" s="13" t="str">
        <f>ROUND(Github!O$1217, 2)&amp;"%"</f>
        <v>50.54%</v>
      </c>
      <c r="H1351" s="13" t="str">
        <f>Github!H$1217</f>
        <v>Algorithms</v>
      </c>
      <c r="I1351" s="16" t="str">
        <f>SUBSTITUTE(Github!L$1217, ";", ", ")</f>
        <v>String, Dynamic Programming, </v>
      </c>
      <c r="J1351" s="13" t="str">
        <f>Github!E$1217</f>
        <v>Hard</v>
      </c>
      <c r="K1351" s="13" t="str">
        <f>IF(TRIM(Github!D$1217)="TRUE","FALSE","TRUE")</f>
        <v>FALSE</v>
      </c>
      <c r="L1351" s="13" t="b">
        <f>Github!M$1217</f>
        <v>1</v>
      </c>
      <c r="M1351" s="13" t="b">
        <f>Github!N$1217</f>
        <v>0</v>
      </c>
      <c r="N1351" s="13">
        <f>Github!P$1217</f>
        <v>42739</v>
      </c>
      <c r="O1351" s="13">
        <f>Github!Q$1217</f>
        <v>84572</v>
      </c>
    </row>
    <row r="1352">
      <c r="A1352" s="13">
        <f>Github!J$421</f>
        <v>420</v>
      </c>
      <c r="B1352" s="14" t="str">
        <f>HYPERLINK(CONCAT("http://leetcode.com/problems/",Github!C$421), Github!B$421)</f>
        <v>Strong Password Checker</v>
      </c>
      <c r="C1352" s="13">
        <f>Github!F$421</f>
        <v>628</v>
      </c>
      <c r="D1352" s="13">
        <f>Github!G$421</f>
        <v>1473</v>
      </c>
      <c r="E1352" s="13">
        <f>Github!F$421+Github!G$421</f>
        <v>2101</v>
      </c>
      <c r="F1352" s="15">
        <f t="shared" si="1"/>
        <v>0.43</v>
      </c>
      <c r="G1352" s="13" t="str">
        <f>ROUND(Github!O$421, 2)&amp;"%"</f>
        <v>14.07%</v>
      </c>
      <c r="H1352" s="13" t="str">
        <f>Github!H$421</f>
        <v>Algorithms</v>
      </c>
      <c r="I1352" s="16" t="str">
        <f>SUBSTITUTE(Github!L$421, ";", ", ")</f>
        <v>String, Greedy, Heap (Priority Queue), </v>
      </c>
      <c r="J1352" s="13" t="str">
        <f>Github!E$421</f>
        <v>Hard</v>
      </c>
      <c r="K1352" s="13" t="str">
        <f>IF(TRIM(Github!D$421)="TRUE","FALSE","TRUE")</f>
        <v>TRUE</v>
      </c>
      <c r="L1352" s="13" t="b">
        <f>Github!M$421</f>
        <v>0</v>
      </c>
      <c r="M1352" s="13" t="b">
        <f>Github!N$421</f>
        <v>0</v>
      </c>
      <c r="N1352" s="13">
        <f>Github!P$421</f>
        <v>29783</v>
      </c>
      <c r="O1352" s="13">
        <f>Github!Q$421</f>
        <v>211685</v>
      </c>
    </row>
    <row r="1353">
      <c r="A1353" s="13">
        <f>Github!J$518</f>
        <v>517</v>
      </c>
      <c r="B1353" s="14" t="str">
        <f>HYPERLINK(CONCAT("http://leetcode.com/problems/",Github!C$518), Github!B$518)</f>
        <v>Super Washing Machines</v>
      </c>
      <c r="C1353" s="13">
        <f>Github!F$518</f>
        <v>630</v>
      </c>
      <c r="D1353" s="13">
        <f>Github!G$518</f>
        <v>199</v>
      </c>
      <c r="E1353" s="13">
        <f>Github!F$518+Github!G$518</f>
        <v>829</v>
      </c>
      <c r="F1353" s="15">
        <f t="shared" si="1"/>
        <v>3.17</v>
      </c>
      <c r="G1353" s="13" t="str">
        <f>ROUND(Github!O$518, 2)&amp;"%"</f>
        <v>40.14%</v>
      </c>
      <c r="H1353" s="13" t="str">
        <f>Github!H$518</f>
        <v>Algorithms</v>
      </c>
      <c r="I1353" s="16" t="str">
        <f>SUBSTITUTE(Github!L$518, ";", ", ")</f>
        <v>Array, Greedy, </v>
      </c>
      <c r="J1353" s="13" t="str">
        <f>Github!E$518</f>
        <v>Hard</v>
      </c>
      <c r="K1353" s="13" t="str">
        <f>IF(TRIM(Github!D$518)="TRUE","FALSE","TRUE")</f>
        <v>TRUE</v>
      </c>
      <c r="L1353" s="13" t="b">
        <f>Github!M$518</f>
        <v>0</v>
      </c>
      <c r="M1353" s="13" t="b">
        <f>Github!N$518</f>
        <v>0</v>
      </c>
      <c r="N1353" s="13">
        <f>Github!P$518</f>
        <v>24574</v>
      </c>
      <c r="O1353" s="13">
        <f>Github!Q$518</f>
        <v>61216</v>
      </c>
    </row>
    <row r="1354">
      <c r="A1354" s="13">
        <f>Github!J$1073</f>
        <v>1072</v>
      </c>
      <c r="B1354" s="14" t="str">
        <f>HYPERLINK(CONCAT("http://leetcode.com/problems/",Github!C$1073), Github!B$1073)</f>
        <v>Flip Columns For Maximum Number of Equal Rows</v>
      </c>
      <c r="C1354" s="13">
        <f>Github!F$1073</f>
        <v>625</v>
      </c>
      <c r="D1354" s="13">
        <f>Github!G$1073</f>
        <v>46</v>
      </c>
      <c r="E1354" s="13">
        <f>Github!F$1073+Github!G$1073</f>
        <v>671</v>
      </c>
      <c r="F1354" s="15">
        <f t="shared" si="1"/>
        <v>13.59</v>
      </c>
      <c r="G1354" s="13" t="str">
        <f>ROUND(Github!O$1073, 2)&amp;"%"</f>
        <v>63.09%</v>
      </c>
      <c r="H1354" s="13" t="str">
        <f>Github!H$1073</f>
        <v>Algorithms</v>
      </c>
      <c r="I1354" s="16" t="str">
        <f>SUBSTITUTE(Github!L$1073, ";", ", ")</f>
        <v>Array, Hash Table, Matrix, </v>
      </c>
      <c r="J1354" s="13" t="str">
        <f>Github!E$1073</f>
        <v>Medium</v>
      </c>
      <c r="K1354" s="13" t="str">
        <f>IF(TRIM(Github!D$1073)="TRUE","FALSE","TRUE")</f>
        <v>TRUE</v>
      </c>
      <c r="L1354" s="13" t="b">
        <f>Github!M$1073</f>
        <v>0</v>
      </c>
      <c r="M1354" s="13" t="b">
        <f>Github!N$1073</f>
        <v>0</v>
      </c>
      <c r="N1354" s="13">
        <f>Github!P$1073</f>
        <v>18800</v>
      </c>
      <c r="O1354" s="13">
        <f>Github!Q$1073</f>
        <v>29797</v>
      </c>
    </row>
    <row r="1355">
      <c r="A1355" s="13">
        <f>Github!J$1914</f>
        <v>1913</v>
      </c>
      <c r="B1355" s="14" t="str">
        <f>HYPERLINK(CONCAT("http://leetcode.com/problems/",Github!C$1914), Github!B$1914)</f>
        <v>Maximum Product Difference Between Two Pairs</v>
      </c>
      <c r="C1355" s="13">
        <f>Github!F$1914</f>
        <v>629</v>
      </c>
      <c r="D1355" s="13">
        <f>Github!G$1914</f>
        <v>34</v>
      </c>
      <c r="E1355" s="13">
        <f>Github!F$1914+Github!G$1914</f>
        <v>663</v>
      </c>
      <c r="F1355" s="15">
        <f t="shared" si="1"/>
        <v>18.5</v>
      </c>
      <c r="G1355" s="13" t="str">
        <f>ROUND(Github!O$1914, 2)&amp;"%"</f>
        <v>81.37%</v>
      </c>
      <c r="H1355" s="13" t="str">
        <f>Github!H$1914</f>
        <v>Algorithms</v>
      </c>
      <c r="I1355" s="16" t="str">
        <f>SUBSTITUTE(Github!L$1914, ";", ", ")</f>
        <v>Array, Sorting, </v>
      </c>
      <c r="J1355" s="13" t="str">
        <f>Github!E$1914</f>
        <v>Easy</v>
      </c>
      <c r="K1355" s="13" t="str">
        <f>IF(TRIM(Github!D$1914)="TRUE","FALSE","TRUE")</f>
        <v>TRUE</v>
      </c>
      <c r="L1355" s="13" t="b">
        <f>Github!M$1914</f>
        <v>0</v>
      </c>
      <c r="M1355" s="13" t="b">
        <f>Github!N$1914</f>
        <v>0</v>
      </c>
      <c r="N1355" s="13">
        <f>Github!P$1914</f>
        <v>73755</v>
      </c>
      <c r="O1355" s="13">
        <f>Github!Q$1914</f>
        <v>90647</v>
      </c>
    </row>
    <row r="1356">
      <c r="A1356" s="13">
        <f>Github!J$1405</f>
        <v>1404</v>
      </c>
      <c r="B1356" s="14" t="str">
        <f>HYPERLINK(CONCAT("http://leetcode.com/problems/",Github!C$1405), Github!B$1405)</f>
        <v>Number of Steps to Reduce a Number in Binary Representation to One</v>
      </c>
      <c r="C1356" s="13">
        <f>Github!F$1405</f>
        <v>627</v>
      </c>
      <c r="D1356" s="13">
        <f>Github!G$1405</f>
        <v>53</v>
      </c>
      <c r="E1356" s="13">
        <f>Github!F$1405+Github!G$1405</f>
        <v>680</v>
      </c>
      <c r="F1356" s="15">
        <f t="shared" si="1"/>
        <v>11.83</v>
      </c>
      <c r="G1356" s="13" t="str">
        <f>ROUND(Github!O$1405, 2)&amp;"%"</f>
        <v>52.4%</v>
      </c>
      <c r="H1356" s="13" t="str">
        <f>Github!H$1405</f>
        <v>Algorithms</v>
      </c>
      <c r="I1356" s="16" t="str">
        <f>SUBSTITUTE(Github!L$1405, ";", ", ")</f>
        <v>String, Bit Manipulation, </v>
      </c>
      <c r="J1356" s="13" t="str">
        <f>Github!E$1405</f>
        <v>Medium</v>
      </c>
      <c r="K1356" s="13" t="str">
        <f>IF(TRIM(Github!D$1405)="TRUE","FALSE","TRUE")</f>
        <v>TRUE</v>
      </c>
      <c r="L1356" s="13" t="b">
        <f>Github!M$1405</f>
        <v>0</v>
      </c>
      <c r="M1356" s="13" t="b">
        <f>Github!N$1405</f>
        <v>0</v>
      </c>
      <c r="N1356" s="13">
        <f>Github!P$1405</f>
        <v>32199</v>
      </c>
      <c r="O1356" s="13">
        <f>Github!Q$1405</f>
        <v>61448</v>
      </c>
    </row>
    <row r="1357">
      <c r="A1357" s="13">
        <f>Github!J$1687</f>
        <v>1686</v>
      </c>
      <c r="B1357" s="14" t="str">
        <f>HYPERLINK(CONCAT("http://leetcode.com/problems/",Github!C$1687), Github!B$1687)</f>
        <v>Stone Game VI</v>
      </c>
      <c r="C1357" s="13">
        <f>Github!F$1687</f>
        <v>627</v>
      </c>
      <c r="D1357" s="13">
        <f>Github!G$1687</f>
        <v>49</v>
      </c>
      <c r="E1357" s="13">
        <f>Github!F$1687+Github!G$1687</f>
        <v>676</v>
      </c>
      <c r="F1357" s="15">
        <f t="shared" si="1"/>
        <v>12.8</v>
      </c>
      <c r="G1357" s="13" t="str">
        <f>ROUND(Github!O$1687, 2)&amp;"%"</f>
        <v>54.49%</v>
      </c>
      <c r="H1357" s="13" t="str">
        <f>Github!H$1687</f>
        <v>Algorithms</v>
      </c>
      <c r="I1357" s="16" t="str">
        <f>SUBSTITUTE(Github!L$1687, ";", ", ")</f>
        <v>Array, Math, Greedy, Sorting, Heap (Priority Queue), Game Theory, </v>
      </c>
      <c r="J1357" s="13" t="str">
        <f>Github!E$1687</f>
        <v>Medium</v>
      </c>
      <c r="K1357" s="13" t="str">
        <f>IF(TRIM(Github!D$1687)="TRUE","FALSE","TRUE")</f>
        <v>TRUE</v>
      </c>
      <c r="L1357" s="13" t="b">
        <f>Github!M$1687</f>
        <v>0</v>
      </c>
      <c r="M1357" s="13" t="b">
        <f>Github!N$1687</f>
        <v>0</v>
      </c>
      <c r="N1357" s="13">
        <f>Github!P$1687</f>
        <v>13560</v>
      </c>
      <c r="O1357" s="13">
        <f>Github!Q$1687</f>
        <v>24886</v>
      </c>
    </row>
    <row r="1358">
      <c r="A1358" s="13">
        <f>Github!J$2003</f>
        <v>2002</v>
      </c>
      <c r="B1358" s="14" t="str">
        <f>HYPERLINK(CONCAT("http://leetcode.com/problems/",Github!C$2003), Github!B$2003)</f>
        <v>Maximum Product of the Length of Two Palindromic Subsequences</v>
      </c>
      <c r="C1358" s="13">
        <f>Github!F$2003</f>
        <v>625</v>
      </c>
      <c r="D1358" s="13">
        <f>Github!G$2003</f>
        <v>41</v>
      </c>
      <c r="E1358" s="13">
        <f>Github!F$2003+Github!G$2003</f>
        <v>666</v>
      </c>
      <c r="F1358" s="15">
        <f t="shared" si="1"/>
        <v>15.24</v>
      </c>
      <c r="G1358" s="13" t="str">
        <f>ROUND(Github!O$2003, 2)&amp;"%"</f>
        <v>53.57%</v>
      </c>
      <c r="H1358" s="13" t="str">
        <f>Github!H$2003</f>
        <v>Algorithms</v>
      </c>
      <c r="I1358" s="16" t="str">
        <f>SUBSTITUTE(Github!L$2003, ";", ", ")</f>
        <v>String, Dynamic Programming, Backtracking, Bit Manipulation, Bitmask, </v>
      </c>
      <c r="J1358" s="13" t="str">
        <f>Github!E$2003</f>
        <v>Medium</v>
      </c>
      <c r="K1358" s="13" t="str">
        <f>IF(TRIM(Github!D$2003)="TRUE","FALSE","TRUE")</f>
        <v>TRUE</v>
      </c>
      <c r="L1358" s="13" t="b">
        <f>Github!M$2003</f>
        <v>0</v>
      </c>
      <c r="M1358" s="13" t="b">
        <f>Github!N$2003</f>
        <v>0</v>
      </c>
      <c r="N1358" s="13">
        <f>Github!P$2003</f>
        <v>15833</v>
      </c>
      <c r="O1358" s="13">
        <f>Github!Q$2003</f>
        <v>29553</v>
      </c>
    </row>
    <row r="1359">
      <c r="A1359" s="13">
        <f>Github!J$950</f>
        <v>949</v>
      </c>
      <c r="B1359" s="14" t="str">
        <f>HYPERLINK(CONCAT("http://leetcode.com/problems/",Github!C$950), Github!B$950)</f>
        <v>Largest Time for Given Digits</v>
      </c>
      <c r="C1359" s="13">
        <f>Github!F$950</f>
        <v>621</v>
      </c>
      <c r="D1359" s="13">
        <f>Github!G$950</f>
        <v>966</v>
      </c>
      <c r="E1359" s="13">
        <f>Github!F$950+Github!G$950</f>
        <v>1587</v>
      </c>
      <c r="F1359" s="15">
        <f t="shared" si="1"/>
        <v>0.64</v>
      </c>
      <c r="G1359" s="13" t="str">
        <f>ROUND(Github!O$950, 2)&amp;"%"</f>
        <v>35.18%</v>
      </c>
      <c r="H1359" s="13" t="str">
        <f>Github!H$950</f>
        <v>Algorithms</v>
      </c>
      <c r="I1359" s="16" t="str">
        <f>SUBSTITUTE(Github!L$950, ";", ", ")</f>
        <v>String, Enumeration, </v>
      </c>
      <c r="J1359" s="13" t="str">
        <f>Github!E$950</f>
        <v>Medium</v>
      </c>
      <c r="K1359" s="13" t="str">
        <f>IF(TRIM(Github!D$950)="TRUE","FALSE","TRUE")</f>
        <v>TRUE</v>
      </c>
      <c r="L1359" s="13" t="b">
        <f>Github!M$950</f>
        <v>1</v>
      </c>
      <c r="M1359" s="13" t="b">
        <f>Github!N$950</f>
        <v>0</v>
      </c>
      <c r="N1359" s="13">
        <f>Github!P$950</f>
        <v>76665</v>
      </c>
      <c r="O1359" s="13">
        <f>Github!Q$950</f>
        <v>217910</v>
      </c>
    </row>
    <row r="1360">
      <c r="A1360" s="13">
        <f>Github!J$2194</f>
        <v>2193</v>
      </c>
      <c r="B1360" s="14" t="str">
        <f>HYPERLINK(CONCAT("http://leetcode.com/problems/",Github!C$2194), Github!B$2194)</f>
        <v>Minimum Number of Moves to Make Palindrome</v>
      </c>
      <c r="C1360" s="13">
        <f>Github!F$2194</f>
        <v>628</v>
      </c>
      <c r="D1360" s="13">
        <f>Github!G$2194</f>
        <v>61</v>
      </c>
      <c r="E1360" s="13">
        <f>Github!F$2194+Github!G$2194</f>
        <v>689</v>
      </c>
      <c r="F1360" s="15">
        <f t="shared" si="1"/>
        <v>10.3</v>
      </c>
      <c r="G1360" s="13" t="str">
        <f>ROUND(Github!O$2194, 2)&amp;"%"</f>
        <v>51.48%</v>
      </c>
      <c r="H1360" s="13" t="str">
        <f>Github!H$2194</f>
        <v>Algorithms</v>
      </c>
      <c r="I1360" s="16" t="str">
        <f>SUBSTITUTE(Github!L$2194, ";", ", ")</f>
        <v>Two Pointers, String, Greedy, Binary Indexed Tree, </v>
      </c>
      <c r="J1360" s="13" t="str">
        <f>Github!E$2194</f>
        <v>Hard</v>
      </c>
      <c r="K1360" s="13" t="str">
        <f>IF(TRIM(Github!D$2194)="TRUE","FALSE","TRUE")</f>
        <v>TRUE</v>
      </c>
      <c r="L1360" s="13" t="b">
        <f>Github!M$2194</f>
        <v>0</v>
      </c>
      <c r="M1360" s="13" t="b">
        <f>Github!N$2194</f>
        <v>0</v>
      </c>
      <c r="N1360" s="13">
        <f>Github!P$2194</f>
        <v>15395</v>
      </c>
      <c r="O1360" s="13">
        <f>Github!Q$2194</f>
        <v>29902</v>
      </c>
    </row>
    <row r="1361">
      <c r="A1361" s="13">
        <f>Github!J$1060</f>
        <v>1059</v>
      </c>
      <c r="B1361" s="14" t="str">
        <f>HYPERLINK(CONCAT("http://leetcode.com/problems/",Github!C$1060), Github!B$1060)</f>
        <v>All Paths from Source Lead to Destination</v>
      </c>
      <c r="C1361" s="13">
        <f>Github!F$1060</f>
        <v>620</v>
      </c>
      <c r="D1361" s="13">
        <f>Github!G$1060</f>
        <v>269</v>
      </c>
      <c r="E1361" s="13">
        <f>Github!F$1060+Github!G$1060</f>
        <v>889</v>
      </c>
      <c r="F1361" s="15">
        <f t="shared" si="1"/>
        <v>2.3</v>
      </c>
      <c r="G1361" s="13" t="str">
        <f>ROUND(Github!O$1060, 2)&amp;"%"</f>
        <v>39.86%</v>
      </c>
      <c r="H1361" s="13" t="str">
        <f>Github!H$1060</f>
        <v>Algorithms</v>
      </c>
      <c r="I1361" s="16" t="str">
        <f>SUBSTITUTE(Github!L$1060, ";", ", ")</f>
        <v>Depth-First Search, Graph, </v>
      </c>
      <c r="J1361" s="13" t="str">
        <f>Github!E$1060</f>
        <v>Medium</v>
      </c>
      <c r="K1361" s="13" t="str">
        <f>IF(TRIM(Github!D$1060)="TRUE","FALSE","TRUE")</f>
        <v>FALSE</v>
      </c>
      <c r="L1361" s="13" t="b">
        <f>Github!M$1060</f>
        <v>1</v>
      </c>
      <c r="M1361" s="13" t="b">
        <f>Github!N$1060</f>
        <v>0</v>
      </c>
      <c r="N1361" s="13">
        <f>Github!P$1060</f>
        <v>49150</v>
      </c>
      <c r="O1361" s="13">
        <f>Github!Q$1060</f>
        <v>123300</v>
      </c>
    </row>
    <row r="1362">
      <c r="A1362" s="13">
        <f>Github!J$775</f>
        <v>774</v>
      </c>
      <c r="B1362" s="14" t="str">
        <f>HYPERLINK(CONCAT("http://leetcode.com/problems/",Github!C$775), Github!B$775)</f>
        <v>Minimize Max Distance to Gas Station</v>
      </c>
      <c r="C1362" s="13">
        <f>Github!F$775</f>
        <v>615</v>
      </c>
      <c r="D1362" s="13">
        <f>Github!G$775</f>
        <v>89</v>
      </c>
      <c r="E1362" s="13">
        <f>Github!F$775+Github!G$775</f>
        <v>704</v>
      </c>
      <c r="F1362" s="15">
        <f t="shared" si="1"/>
        <v>6.91</v>
      </c>
      <c r="G1362" s="13" t="str">
        <f>ROUND(Github!O$775, 2)&amp;"%"</f>
        <v>51.56%</v>
      </c>
      <c r="H1362" s="13" t="str">
        <f>Github!H$775</f>
        <v>Algorithms</v>
      </c>
      <c r="I1362" s="16" t="str">
        <f>SUBSTITUTE(Github!L$775, ";", ", ")</f>
        <v>Array, Binary Search, </v>
      </c>
      <c r="J1362" s="13" t="str">
        <f>Github!E$775</f>
        <v>Hard</v>
      </c>
      <c r="K1362" s="13" t="str">
        <f>IF(TRIM(Github!D$775)="TRUE","FALSE","TRUE")</f>
        <v>FALSE</v>
      </c>
      <c r="L1362" s="13" t="b">
        <f>Github!M$775</f>
        <v>1</v>
      </c>
      <c r="M1362" s="13" t="b">
        <f>Github!N$775</f>
        <v>0</v>
      </c>
      <c r="N1362" s="13">
        <f>Github!P$775</f>
        <v>27620</v>
      </c>
      <c r="O1362" s="13">
        <f>Github!Q$775</f>
        <v>53572</v>
      </c>
    </row>
    <row r="1363">
      <c r="A1363" s="13">
        <f>Github!J$1858</f>
        <v>1857</v>
      </c>
      <c r="B1363" s="14" t="str">
        <f>HYPERLINK(CONCAT("http://leetcode.com/problems/",Github!C$1858), Github!B$1858)</f>
        <v>Largest Color Value in a Directed Graph</v>
      </c>
      <c r="C1363" s="13">
        <f>Github!F$1858</f>
        <v>619</v>
      </c>
      <c r="D1363" s="13">
        <f>Github!G$1858</f>
        <v>18</v>
      </c>
      <c r="E1363" s="13">
        <f>Github!F$1858+Github!G$1858</f>
        <v>637</v>
      </c>
      <c r="F1363" s="15">
        <f t="shared" si="1"/>
        <v>34.39</v>
      </c>
      <c r="G1363" s="13" t="str">
        <f>ROUND(Github!O$1858, 2)&amp;"%"</f>
        <v>40.66%</v>
      </c>
      <c r="H1363" s="13" t="str">
        <f>Github!H$1858</f>
        <v>Algorithms</v>
      </c>
      <c r="I1363" s="16" t="str">
        <f>SUBSTITUTE(Github!L$1858, ";", ", ")</f>
        <v>Hash Table, Dynamic Programming, Graph, Topological Sort, Memoization, Counting, </v>
      </c>
      <c r="J1363" s="13" t="str">
        <f>Github!E$1858</f>
        <v>Hard</v>
      </c>
      <c r="K1363" s="13" t="str">
        <f>IF(TRIM(Github!D$1858)="TRUE","FALSE","TRUE")</f>
        <v>TRUE</v>
      </c>
      <c r="L1363" s="13" t="b">
        <f>Github!M$1858</f>
        <v>0</v>
      </c>
      <c r="M1363" s="13" t="b">
        <f>Github!N$1858</f>
        <v>0</v>
      </c>
      <c r="N1363" s="13">
        <f>Github!P$1858</f>
        <v>14248</v>
      </c>
      <c r="O1363" s="13">
        <f>Github!Q$1858</f>
        <v>35045</v>
      </c>
    </row>
    <row r="1364">
      <c r="A1364" s="13">
        <f>Github!J$1185</f>
        <v>1184</v>
      </c>
      <c r="B1364" s="14" t="str">
        <f>HYPERLINK(CONCAT("http://leetcode.com/problems/",Github!C$1185), Github!B$1185)</f>
        <v>Distance Between Bus Stops</v>
      </c>
      <c r="C1364" s="13">
        <f>Github!F$1185</f>
        <v>626</v>
      </c>
      <c r="D1364" s="13">
        <f>Github!G$1185</f>
        <v>64</v>
      </c>
      <c r="E1364" s="13">
        <f>Github!F$1185+Github!G$1185</f>
        <v>690</v>
      </c>
      <c r="F1364" s="15">
        <f t="shared" si="1"/>
        <v>9.78</v>
      </c>
      <c r="G1364" s="13" t="str">
        <f>ROUND(Github!O$1185, 2)&amp;"%"</f>
        <v>54.12%</v>
      </c>
      <c r="H1364" s="13" t="str">
        <f>Github!H$1185</f>
        <v>Algorithms</v>
      </c>
      <c r="I1364" s="16" t="str">
        <f>SUBSTITUTE(Github!L$1185, ";", ", ")</f>
        <v>Array, </v>
      </c>
      <c r="J1364" s="13" t="str">
        <f>Github!E$1185</f>
        <v>Easy</v>
      </c>
      <c r="K1364" s="13" t="str">
        <f>IF(TRIM(Github!D$1185)="TRUE","FALSE","TRUE")</f>
        <v>TRUE</v>
      </c>
      <c r="L1364" s="13" t="b">
        <f>Github!M$1185</f>
        <v>0</v>
      </c>
      <c r="M1364" s="13" t="b">
        <f>Github!N$1185</f>
        <v>0</v>
      </c>
      <c r="N1364" s="13">
        <f>Github!P$1185</f>
        <v>47847</v>
      </c>
      <c r="O1364" s="13">
        <f>Github!Q$1185</f>
        <v>88402</v>
      </c>
    </row>
    <row r="1365">
      <c r="A1365" s="13">
        <f>Github!J$1815</f>
        <v>1814</v>
      </c>
      <c r="B1365" s="14" t="str">
        <f>HYPERLINK(CONCAT("http://leetcode.com/problems/",Github!C$1815), Github!B$1815)</f>
        <v>Count Nice Pairs in an Array</v>
      </c>
      <c r="C1365" s="13">
        <f>Github!F$1815</f>
        <v>621</v>
      </c>
      <c r="D1365" s="13">
        <f>Github!G$1815</f>
        <v>27</v>
      </c>
      <c r="E1365" s="13">
        <f>Github!F$1815+Github!G$1815</f>
        <v>648</v>
      </c>
      <c r="F1365" s="15">
        <f t="shared" si="1"/>
        <v>23</v>
      </c>
      <c r="G1365" s="13" t="str">
        <f>ROUND(Github!O$1815, 2)&amp;"%"</f>
        <v>42.03%</v>
      </c>
      <c r="H1365" s="13" t="str">
        <f>Github!H$1815</f>
        <v>Algorithms</v>
      </c>
      <c r="I1365" s="16" t="str">
        <f>SUBSTITUTE(Github!L$1815, ";", ", ")</f>
        <v>Array, Hash Table, Math, Counting, </v>
      </c>
      <c r="J1365" s="13" t="str">
        <f>Github!E$1815</f>
        <v>Medium</v>
      </c>
      <c r="K1365" s="13" t="str">
        <f>IF(TRIM(Github!D$1815)="TRUE","FALSE","TRUE")</f>
        <v>TRUE</v>
      </c>
      <c r="L1365" s="13" t="b">
        <f>Github!M$1815</f>
        <v>0</v>
      </c>
      <c r="M1365" s="13" t="b">
        <f>Github!N$1815</f>
        <v>0</v>
      </c>
      <c r="N1365" s="13">
        <f>Github!P$1815</f>
        <v>21543</v>
      </c>
      <c r="O1365" s="13">
        <f>Github!Q$1815</f>
        <v>51250</v>
      </c>
    </row>
    <row r="1366">
      <c r="A1366" s="13">
        <f>Github!J$2322</f>
        <v>2321</v>
      </c>
      <c r="B1366" s="14" t="str">
        <f>HYPERLINK(CONCAT("http://leetcode.com/problems/",Github!C$2322), Github!B$2322)</f>
        <v>Maximum Score Of Spliced Array</v>
      </c>
      <c r="C1366" s="13">
        <f>Github!F$2322</f>
        <v>616</v>
      </c>
      <c r="D1366" s="13">
        <f>Github!G$2322</f>
        <v>9</v>
      </c>
      <c r="E1366" s="13">
        <f>Github!F$2322+Github!G$2322</f>
        <v>625</v>
      </c>
      <c r="F1366" s="15">
        <f t="shared" si="1"/>
        <v>68.44</v>
      </c>
      <c r="G1366" s="13" t="str">
        <f>ROUND(Github!O$2322, 2)&amp;"%"</f>
        <v>55.63%</v>
      </c>
      <c r="H1366" s="13" t="str">
        <f>Github!H2322</f>
        <v>Algorithms</v>
      </c>
      <c r="I1366" s="16" t="str">
        <f>SUBSTITUTE(Github!L$2322, ";", ", ")</f>
        <v>Array, Dynamic Programming, </v>
      </c>
      <c r="J1366" s="13" t="str">
        <f>Github!E$2322</f>
        <v>Hard</v>
      </c>
      <c r="K1366" s="13" t="str">
        <f>IF(TRIM(Github!D$2322)="TRUE","FALSE","TRUE")</f>
        <v>TRUE</v>
      </c>
      <c r="L1366" s="13" t="b">
        <f>Github!M$2322</f>
        <v>0</v>
      </c>
      <c r="M1366" s="13" t="b">
        <f>Github!N$2322</f>
        <v>0</v>
      </c>
      <c r="N1366" s="13">
        <f>Github!P$2322</f>
        <v>14890</v>
      </c>
      <c r="O1366" s="13">
        <f>Github!Q$2322</f>
        <v>26765</v>
      </c>
    </row>
    <row r="1367">
      <c r="A1367" s="13">
        <f>Github!J$597</f>
        <v>596</v>
      </c>
      <c r="B1367" s="14" t="str">
        <f>HYPERLINK(CONCAT("http://leetcode.com/problems/",Github!C$597), Github!B$597)</f>
        <v>Classes More Than 5 Students</v>
      </c>
      <c r="C1367" s="13">
        <f>Github!F$597</f>
        <v>621</v>
      </c>
      <c r="D1367" s="13">
        <f>Github!G$597</f>
        <v>979</v>
      </c>
      <c r="E1367" s="13">
        <f>Github!F$597+Github!G$597</f>
        <v>1600</v>
      </c>
      <c r="F1367" s="15">
        <f t="shared" si="1"/>
        <v>0.63</v>
      </c>
      <c r="G1367" s="13" t="str">
        <f>ROUND(Github!O$597, 2)&amp;"%"</f>
        <v>47.27%</v>
      </c>
      <c r="H1367" s="13" t="str">
        <f>Github!H$597</f>
        <v>Database</v>
      </c>
      <c r="I1367" s="16" t="str">
        <f>SUBSTITUTE(Github!L$597, ";", ", ")</f>
        <v>Database, </v>
      </c>
      <c r="J1367" s="13" t="str">
        <f>Github!E$597</f>
        <v>Easy</v>
      </c>
      <c r="K1367" s="13" t="str">
        <f>IF(TRIM(Github!D$597)="TRUE","FALSE","TRUE")</f>
        <v>TRUE</v>
      </c>
      <c r="L1367" s="13" t="b">
        <f>Github!M$597</f>
        <v>1</v>
      </c>
      <c r="M1367" s="13" t="b">
        <f>Github!N$597</f>
        <v>0</v>
      </c>
      <c r="N1367" s="13">
        <f>Github!P$597</f>
        <v>221268</v>
      </c>
      <c r="O1367" s="13">
        <f>Github!Q$597</f>
        <v>468115</v>
      </c>
    </row>
    <row r="1368">
      <c r="A1368" s="13">
        <f>Github!J$625</f>
        <v>624</v>
      </c>
      <c r="B1368" s="14" t="str">
        <f>HYPERLINK(CONCAT("http://leetcode.com/problems/",Github!C$625), Github!B$625)</f>
        <v>Maximum Distance in Arrays</v>
      </c>
      <c r="C1368" s="13">
        <f>Github!F$625</f>
        <v>614</v>
      </c>
      <c r="D1368" s="13">
        <f>Github!G$625</f>
        <v>62</v>
      </c>
      <c r="E1368" s="13">
        <f>Github!F$625+Github!G$625</f>
        <v>676</v>
      </c>
      <c r="F1368" s="15">
        <f t="shared" si="1"/>
        <v>9.9</v>
      </c>
      <c r="G1368" s="13" t="str">
        <f>ROUND(Github!O$625, 2)&amp;"%"</f>
        <v>41.74%</v>
      </c>
      <c r="H1368" s="13" t="str">
        <f>Github!H$625</f>
        <v>Algorithms</v>
      </c>
      <c r="I1368" s="16" t="str">
        <f>SUBSTITUTE(Github!L$625, ";", ", ")</f>
        <v>Array, Greedy, </v>
      </c>
      <c r="J1368" s="13" t="str">
        <f>Github!E$625</f>
        <v>Medium</v>
      </c>
      <c r="K1368" s="13" t="str">
        <f>IF(TRIM(Github!D$625)="TRUE","FALSE","TRUE")</f>
        <v>FALSE</v>
      </c>
      <c r="L1368" s="13" t="b">
        <f>Github!M$625</f>
        <v>1</v>
      </c>
      <c r="M1368" s="13" t="b">
        <f>Github!N$625</f>
        <v>0</v>
      </c>
      <c r="N1368" s="13">
        <f>Github!P$625</f>
        <v>36551</v>
      </c>
      <c r="O1368" s="13">
        <f>Github!Q$625</f>
        <v>87561</v>
      </c>
    </row>
    <row r="1369">
      <c r="A1369" s="13">
        <f>Github!J$826</f>
        <v>825</v>
      </c>
      <c r="B1369" s="14" t="str">
        <f>HYPERLINK(CONCAT("http://leetcode.com/problems/",Github!C$826), Github!B$826)</f>
        <v>Friends Of Appropriate Ages</v>
      </c>
      <c r="C1369" s="13">
        <f>Github!F$826</f>
        <v>613</v>
      </c>
      <c r="D1369" s="13">
        <f>Github!G$826</f>
        <v>1105</v>
      </c>
      <c r="E1369" s="13">
        <f>Github!F$826+Github!G$826</f>
        <v>1718</v>
      </c>
      <c r="F1369" s="15">
        <f t="shared" si="1"/>
        <v>0.55</v>
      </c>
      <c r="G1369" s="13" t="str">
        <f>ROUND(Github!O$826, 2)&amp;"%"</f>
        <v>46.35%</v>
      </c>
      <c r="H1369" s="13" t="str">
        <f>Github!H$826</f>
        <v>Algorithms</v>
      </c>
      <c r="I1369" s="16" t="str">
        <f>SUBSTITUTE(Github!L$826, ";", ", ")</f>
        <v>Array, Two Pointers, Binary Search, Sorting, </v>
      </c>
      <c r="J1369" s="13" t="str">
        <f>Github!E$826</f>
        <v>Medium</v>
      </c>
      <c r="K1369" s="13" t="str">
        <f>IF(TRIM(Github!D$826)="TRUE","FALSE","TRUE")</f>
        <v>TRUE</v>
      </c>
      <c r="L1369" s="13" t="b">
        <f>Github!M$826</f>
        <v>0</v>
      </c>
      <c r="M1369" s="13" t="b">
        <f>Github!N$826</f>
        <v>0</v>
      </c>
      <c r="N1369" s="13">
        <f>Github!P$826</f>
        <v>69869</v>
      </c>
      <c r="O1369" s="13">
        <f>Github!Q$826</f>
        <v>150732</v>
      </c>
    </row>
    <row r="1370">
      <c r="A1370" s="13">
        <f>Github!J$2184</f>
        <v>2183</v>
      </c>
      <c r="B1370" s="14" t="str">
        <f>HYPERLINK(CONCAT("http://leetcode.com/problems/",Github!C$2184), Github!B$2184)</f>
        <v>Count Array Pairs Divisible by K</v>
      </c>
      <c r="C1370" s="13">
        <f>Github!F$2184</f>
        <v>621</v>
      </c>
      <c r="D1370" s="13">
        <f>Github!G$2184</f>
        <v>32</v>
      </c>
      <c r="E1370" s="13">
        <f>Github!F$2184+Github!G$2184</f>
        <v>653</v>
      </c>
      <c r="F1370" s="15">
        <f t="shared" si="1"/>
        <v>19.41</v>
      </c>
      <c r="G1370" s="13" t="str">
        <f>ROUND(Github!O$2184, 2)&amp;"%"</f>
        <v>28.64%</v>
      </c>
      <c r="H1370" s="13" t="str">
        <f>Github!H$2184</f>
        <v>Algorithms</v>
      </c>
      <c r="I1370" s="16" t="str">
        <f>SUBSTITUTE(Github!L$2184, ";", ", ")</f>
        <v>Array, Math, Number Theory, </v>
      </c>
      <c r="J1370" s="13" t="str">
        <f>Github!E$2184</f>
        <v>Hard</v>
      </c>
      <c r="K1370" s="13" t="str">
        <f>IF(TRIM(Github!D$2184)="TRUE","FALSE","TRUE")</f>
        <v>TRUE</v>
      </c>
      <c r="L1370" s="13" t="b">
        <f>Github!M$2184</f>
        <v>0</v>
      </c>
      <c r="M1370" s="13" t="b">
        <f>Github!N$2184</f>
        <v>0</v>
      </c>
      <c r="N1370" s="13">
        <f>Github!P$2184</f>
        <v>11172</v>
      </c>
      <c r="O1370" s="13">
        <f>Github!Q$2184</f>
        <v>39011</v>
      </c>
    </row>
    <row r="1371">
      <c r="A1371" s="13">
        <f>Github!J$985</f>
        <v>984</v>
      </c>
      <c r="B1371" s="14" t="str">
        <f>HYPERLINK(CONCAT("http://leetcode.com/problems/",Github!C$985), Github!B$985)</f>
        <v>String Without AAA or BBB</v>
      </c>
      <c r="C1371" s="13">
        <f>Github!F$985</f>
        <v>615</v>
      </c>
      <c r="D1371" s="13">
        <f>Github!G$985</f>
        <v>345</v>
      </c>
      <c r="E1371" s="13">
        <f>Github!F$985+Github!G$985</f>
        <v>960</v>
      </c>
      <c r="F1371" s="15">
        <f t="shared" si="1"/>
        <v>1.78</v>
      </c>
      <c r="G1371" s="13" t="str">
        <f>ROUND(Github!O$985, 2)&amp;"%"</f>
        <v>43%</v>
      </c>
      <c r="H1371" s="13" t="str">
        <f>Github!H$985</f>
        <v>Algorithms</v>
      </c>
      <c r="I1371" s="16" t="str">
        <f>SUBSTITUTE(Github!L$985, ";", ", ")</f>
        <v>String, Greedy, </v>
      </c>
      <c r="J1371" s="13" t="str">
        <f>Github!E$985</f>
        <v>Medium</v>
      </c>
      <c r="K1371" s="13" t="str">
        <f>IF(TRIM(Github!D$985)="TRUE","FALSE","TRUE")</f>
        <v>TRUE</v>
      </c>
      <c r="L1371" s="13" t="b">
        <f>Github!M$985</f>
        <v>1</v>
      </c>
      <c r="M1371" s="13" t="b">
        <f>Github!N$985</f>
        <v>0</v>
      </c>
      <c r="N1371" s="13">
        <f>Github!P$985</f>
        <v>38772</v>
      </c>
      <c r="O1371" s="13">
        <f>Github!Q$985</f>
        <v>90172</v>
      </c>
    </row>
    <row r="1372">
      <c r="A1372" s="13">
        <f>Github!J$1756</f>
        <v>1755</v>
      </c>
      <c r="B1372" s="14" t="str">
        <f>HYPERLINK(CONCAT("http://leetcode.com/problems/",Github!C$1756), Github!B$1756)</f>
        <v>Closest Subsequence Sum</v>
      </c>
      <c r="C1372" s="13">
        <f>Github!F$1756</f>
        <v>617</v>
      </c>
      <c r="D1372" s="13">
        <f>Github!G$1756</f>
        <v>60</v>
      </c>
      <c r="E1372" s="13">
        <f>Github!F$1756+Github!G$1756</f>
        <v>677</v>
      </c>
      <c r="F1372" s="15">
        <f t="shared" si="1"/>
        <v>10.28</v>
      </c>
      <c r="G1372" s="13" t="str">
        <f>ROUND(Github!O$1756, 2)&amp;"%"</f>
        <v>36.5%</v>
      </c>
      <c r="H1372" s="13" t="str">
        <f>Github!H$1756</f>
        <v>Algorithms</v>
      </c>
      <c r="I1372" s="16" t="str">
        <f>SUBSTITUTE(Github!L$1756, ";", ", ")</f>
        <v>Array, Two Pointers, Dynamic Programming, Bit Manipulation, Bitmask, </v>
      </c>
      <c r="J1372" s="13" t="str">
        <f>Github!E$1756</f>
        <v>Hard</v>
      </c>
      <c r="K1372" s="13" t="str">
        <f>IF(TRIM(Github!D$1756)="TRUE","FALSE","TRUE")</f>
        <v>TRUE</v>
      </c>
      <c r="L1372" s="13" t="b">
        <f>Github!M$1756</f>
        <v>0</v>
      </c>
      <c r="M1372" s="13" t="b">
        <f>Github!N$1756</f>
        <v>0</v>
      </c>
      <c r="N1372" s="13">
        <f>Github!P$1756</f>
        <v>11212</v>
      </c>
      <c r="O1372" s="13">
        <f>Github!Q$1756</f>
        <v>30721</v>
      </c>
    </row>
    <row r="1373">
      <c r="A1373" s="13">
        <f>Github!J$282</f>
        <v>281</v>
      </c>
      <c r="B1373" s="14" t="str">
        <f>HYPERLINK(CONCAT("http://leetcode.com/problems/",Github!C$282), Github!B$282)</f>
        <v>Zigzag Iterator</v>
      </c>
      <c r="C1373" s="13">
        <f>Github!F$282</f>
        <v>615</v>
      </c>
      <c r="D1373" s="13">
        <f>Github!G$282</f>
        <v>35</v>
      </c>
      <c r="E1373" s="13">
        <f>Github!F$282+Github!G$282</f>
        <v>650</v>
      </c>
      <c r="F1373" s="15">
        <f t="shared" si="1"/>
        <v>17.57</v>
      </c>
      <c r="G1373" s="13" t="str">
        <f>ROUND(Github!O$282, 2)&amp;"%"</f>
        <v>62.48%</v>
      </c>
      <c r="H1373" s="13" t="str">
        <f>Github!H$282</f>
        <v>Algorithms</v>
      </c>
      <c r="I1373" s="16" t="str">
        <f>SUBSTITUTE(Github!L$282, ";", ", ")</f>
        <v>Array, Design, Queue, Iterator, </v>
      </c>
      <c r="J1373" s="13" t="str">
        <f>Github!E$282</f>
        <v>Medium</v>
      </c>
      <c r="K1373" s="13" t="str">
        <f>IF(TRIM(Github!D$282)="TRUE","FALSE","TRUE")</f>
        <v>FALSE</v>
      </c>
      <c r="L1373" s="13" t="b">
        <f>Github!M$282</f>
        <v>1</v>
      </c>
      <c r="M1373" s="13" t="b">
        <f>Github!N$282</f>
        <v>0</v>
      </c>
      <c r="N1373" s="13">
        <f>Github!P$282</f>
        <v>85136</v>
      </c>
      <c r="O1373" s="13">
        <f>Github!Q$282</f>
        <v>136252</v>
      </c>
    </row>
    <row r="1374">
      <c r="A1374" s="13">
        <f>Github!J$1818</f>
        <v>1817</v>
      </c>
      <c r="B1374" s="14" t="str">
        <f>HYPERLINK(CONCAT("http://leetcode.com/problems/",Github!C$1818), Github!B$1818)</f>
        <v>Finding the Users Active Minutes</v>
      </c>
      <c r="C1374" s="13">
        <f>Github!F$1818</f>
        <v>616</v>
      </c>
      <c r="D1374" s="13">
        <f>Github!G$1818</f>
        <v>232</v>
      </c>
      <c r="E1374" s="13">
        <f>Github!F$1818+Github!G$1818</f>
        <v>848</v>
      </c>
      <c r="F1374" s="15">
        <f t="shared" si="1"/>
        <v>2.66</v>
      </c>
      <c r="G1374" s="13" t="str">
        <f>ROUND(Github!O$1818, 2)&amp;"%"</f>
        <v>80.55%</v>
      </c>
      <c r="H1374" s="13" t="str">
        <f>Github!H$1818</f>
        <v>Algorithms</v>
      </c>
      <c r="I1374" s="16" t="str">
        <f>SUBSTITUTE(Github!L$1818, ";", ", ")</f>
        <v>Array, Hash Table, </v>
      </c>
      <c r="J1374" s="13" t="str">
        <f>Github!E$1818</f>
        <v>Medium</v>
      </c>
      <c r="K1374" s="13" t="str">
        <f>IF(TRIM(Github!D$1818)="TRUE","FALSE","TRUE")</f>
        <v>TRUE</v>
      </c>
      <c r="L1374" s="13" t="b">
        <f>Github!M$1818</f>
        <v>0</v>
      </c>
      <c r="M1374" s="13" t="b">
        <f>Github!N$1818</f>
        <v>0</v>
      </c>
      <c r="N1374" s="13">
        <f>Github!P$1818</f>
        <v>43488</v>
      </c>
      <c r="O1374" s="13">
        <f>Github!Q$1818</f>
        <v>53989</v>
      </c>
    </row>
    <row r="1375">
      <c r="A1375" s="13">
        <f>Github!J$892</f>
        <v>891</v>
      </c>
      <c r="B1375" s="14" t="str">
        <f>HYPERLINK(CONCAT("http://leetcode.com/problems/",Github!C$892), Github!B$892)</f>
        <v>Sum of Subsequence Widths</v>
      </c>
      <c r="C1375" s="13">
        <f>Github!F$892</f>
        <v>612</v>
      </c>
      <c r="D1375" s="13">
        <f>Github!G$892</f>
        <v>162</v>
      </c>
      <c r="E1375" s="13">
        <f>Github!F$892+Github!G$892</f>
        <v>774</v>
      </c>
      <c r="F1375" s="15">
        <f t="shared" si="1"/>
        <v>3.78</v>
      </c>
      <c r="G1375" s="13" t="str">
        <f>ROUND(Github!O$892, 2)&amp;"%"</f>
        <v>36.49%</v>
      </c>
      <c r="H1375" s="13" t="str">
        <f>Github!H$892</f>
        <v>Algorithms</v>
      </c>
      <c r="I1375" s="16" t="str">
        <f>SUBSTITUTE(Github!L$892, ";", ", ")</f>
        <v>Array, Math, Sorting, </v>
      </c>
      <c r="J1375" s="13" t="str">
        <f>Github!E$892</f>
        <v>Hard</v>
      </c>
      <c r="K1375" s="13" t="str">
        <f>IF(TRIM(Github!D$892)="TRUE","FALSE","TRUE")</f>
        <v>TRUE</v>
      </c>
      <c r="L1375" s="13" t="b">
        <f>Github!M$892</f>
        <v>1</v>
      </c>
      <c r="M1375" s="13" t="b">
        <f>Github!N$892</f>
        <v>0</v>
      </c>
      <c r="N1375" s="13">
        <f>Github!P$892</f>
        <v>17904</v>
      </c>
      <c r="O1375" s="13">
        <f>Github!Q$892</f>
        <v>49067</v>
      </c>
    </row>
    <row r="1376">
      <c r="A1376" s="13">
        <f>Github!J$1371</f>
        <v>1370</v>
      </c>
      <c r="B1376" s="14" t="str">
        <f>HYPERLINK(CONCAT("http://leetcode.com/problems/",Github!C$1371), Github!B$1371)</f>
        <v>Increasing Decreasing String</v>
      </c>
      <c r="C1376" s="13">
        <f>Github!F$1371</f>
        <v>612</v>
      </c>
      <c r="D1376" s="13">
        <f>Github!G$1371</f>
        <v>723</v>
      </c>
      <c r="E1376" s="13">
        <f>Github!F$1371+Github!G$1371</f>
        <v>1335</v>
      </c>
      <c r="F1376" s="15">
        <f t="shared" si="1"/>
        <v>0.85</v>
      </c>
      <c r="G1376" s="13" t="str">
        <f>ROUND(Github!O$1371, 2)&amp;"%"</f>
        <v>77.34%</v>
      </c>
      <c r="H1376" s="13" t="str">
        <f>Github!H$1371</f>
        <v>Algorithms</v>
      </c>
      <c r="I1376" s="16" t="str">
        <f>SUBSTITUTE(Github!L$1371, ";", ", ")</f>
        <v>Hash Table, String, Counting, </v>
      </c>
      <c r="J1376" s="13" t="str">
        <f>Github!E$1371</f>
        <v>Easy</v>
      </c>
      <c r="K1376" s="13" t="str">
        <f>IF(TRIM(Github!D$1371)="TRUE","FALSE","TRUE")</f>
        <v>TRUE</v>
      </c>
      <c r="L1376" s="13" t="b">
        <f>Github!M$1371</f>
        <v>0</v>
      </c>
      <c r="M1376" s="13" t="b">
        <f>Github!N$1371</f>
        <v>0</v>
      </c>
      <c r="N1376" s="13">
        <f>Github!P$1371</f>
        <v>62228</v>
      </c>
      <c r="O1376" s="13">
        <f>Github!Q$1371</f>
        <v>80456</v>
      </c>
    </row>
    <row r="1377">
      <c r="A1377" s="13">
        <f>Github!J$2179</f>
        <v>2178</v>
      </c>
      <c r="B1377" s="14" t="str">
        <f>HYPERLINK(CONCAT("http://leetcode.com/problems/",Github!C$2179), Github!B$2179)</f>
        <v>Maximum Split of Positive Even Integers</v>
      </c>
      <c r="C1377" s="13">
        <f>Github!F$2179</f>
        <v>610</v>
      </c>
      <c r="D1377" s="13">
        <f>Github!G$2179</f>
        <v>63</v>
      </c>
      <c r="E1377" s="13">
        <f>Github!F$2179+Github!G$2179</f>
        <v>673</v>
      </c>
      <c r="F1377" s="15">
        <f t="shared" si="1"/>
        <v>9.68</v>
      </c>
      <c r="G1377" s="13" t="str">
        <f>ROUND(Github!O$2179, 2)&amp;"%"</f>
        <v>59.2%</v>
      </c>
      <c r="H1377" s="13" t="str">
        <f>Github!H$2179</f>
        <v>Algorithms</v>
      </c>
      <c r="I1377" s="16" t="str">
        <f>SUBSTITUTE(Github!L$2179, ";", ", ")</f>
        <v>Math, Backtracking, Greedy, </v>
      </c>
      <c r="J1377" s="13" t="str">
        <f>Github!E$2179</f>
        <v>Medium</v>
      </c>
      <c r="K1377" s="13" t="str">
        <f>IF(TRIM(Github!D$2179)="TRUE","FALSE","TRUE")</f>
        <v>TRUE</v>
      </c>
      <c r="L1377" s="13" t="b">
        <f>Github!M$2179</f>
        <v>0</v>
      </c>
      <c r="M1377" s="13" t="b">
        <f>Github!N$2179</f>
        <v>0</v>
      </c>
      <c r="N1377" s="13">
        <f>Github!P$2179</f>
        <v>36517</v>
      </c>
      <c r="O1377" s="13">
        <f>Github!Q$2179</f>
        <v>61680</v>
      </c>
    </row>
    <row r="1378">
      <c r="A1378" s="13">
        <f>Github!J$1735</f>
        <v>1734</v>
      </c>
      <c r="B1378" s="14" t="str">
        <f>HYPERLINK(CONCAT("http://leetcode.com/problems/",Github!C$1735), Github!B$1735)</f>
        <v>Decode XORed Permutation</v>
      </c>
      <c r="C1378" s="13">
        <f>Github!F$1735</f>
        <v>615</v>
      </c>
      <c r="D1378" s="13">
        <f>Github!G$1735</f>
        <v>20</v>
      </c>
      <c r="E1378" s="13">
        <f>Github!F$1735+Github!G$1735</f>
        <v>635</v>
      </c>
      <c r="F1378" s="15">
        <f t="shared" si="1"/>
        <v>30.75</v>
      </c>
      <c r="G1378" s="13" t="str">
        <f>ROUND(Github!O$1735, 2)&amp;"%"</f>
        <v>62.58%</v>
      </c>
      <c r="H1378" s="13" t="str">
        <f>Github!H$1735</f>
        <v>Algorithms</v>
      </c>
      <c r="I1378" s="16" t="str">
        <f>SUBSTITUTE(Github!L$1735, ";", ", ")</f>
        <v>Array, Bit Manipulation, </v>
      </c>
      <c r="J1378" s="13" t="str">
        <f>Github!E$1735</f>
        <v>Medium</v>
      </c>
      <c r="K1378" s="13" t="str">
        <f>IF(TRIM(Github!D$1735)="TRUE","FALSE","TRUE")</f>
        <v>TRUE</v>
      </c>
      <c r="L1378" s="13" t="b">
        <f>Github!M$1735</f>
        <v>0</v>
      </c>
      <c r="M1378" s="13" t="b">
        <f>Github!N$1735</f>
        <v>0</v>
      </c>
      <c r="N1378" s="13">
        <f>Github!P$1735</f>
        <v>11313</v>
      </c>
      <c r="O1378" s="13">
        <f>Github!Q$1735</f>
        <v>18078</v>
      </c>
    </row>
    <row r="1379">
      <c r="A1379" s="13">
        <f>Github!J$762</f>
        <v>761</v>
      </c>
      <c r="B1379" s="14" t="str">
        <f>HYPERLINK(CONCAT("http://leetcode.com/problems/",Github!C$762), Github!B$762)</f>
        <v>Special Binary String</v>
      </c>
      <c r="C1379" s="13">
        <f>Github!F$762</f>
        <v>612</v>
      </c>
      <c r="D1379" s="13">
        <f>Github!G$762</f>
        <v>185</v>
      </c>
      <c r="E1379" s="13">
        <f>Github!F$762+Github!G$762</f>
        <v>797</v>
      </c>
      <c r="F1379" s="15">
        <f t="shared" si="1"/>
        <v>3.31</v>
      </c>
      <c r="G1379" s="13" t="str">
        <f>ROUND(Github!O$762, 2)&amp;"%"</f>
        <v>60.33%</v>
      </c>
      <c r="H1379" s="13" t="str">
        <f>Github!H$762</f>
        <v>Algorithms</v>
      </c>
      <c r="I1379" s="16" t="str">
        <f>SUBSTITUTE(Github!L$762, ";", ", ")</f>
        <v>String, Recursion, </v>
      </c>
      <c r="J1379" s="13" t="str">
        <f>Github!E$762</f>
        <v>Hard</v>
      </c>
      <c r="K1379" s="13" t="str">
        <f>IF(TRIM(Github!D$762)="TRUE","FALSE","TRUE")</f>
        <v>TRUE</v>
      </c>
      <c r="L1379" s="13" t="b">
        <f>Github!M$762</f>
        <v>1</v>
      </c>
      <c r="M1379" s="13" t="b">
        <f>Github!N$762</f>
        <v>0</v>
      </c>
      <c r="N1379" s="13">
        <f>Github!P$762</f>
        <v>14579</v>
      </c>
      <c r="O1379" s="13">
        <f>Github!Q$762</f>
        <v>24167</v>
      </c>
    </row>
    <row r="1380">
      <c r="A1380" s="13">
        <f>Github!J$1490</f>
        <v>1489</v>
      </c>
      <c r="B1380" s="14" t="str">
        <f>HYPERLINK(CONCAT("http://leetcode.com/problems/",Github!C$1490), Github!B$1490)</f>
        <v>Find Critical and Pseudo-Critical Edges in Minimum Spanning Tree</v>
      </c>
      <c r="C1380" s="13">
        <f>Github!F$1490</f>
        <v>612</v>
      </c>
      <c r="D1380" s="13">
        <f>Github!G$1490</f>
        <v>48</v>
      </c>
      <c r="E1380" s="13">
        <f>Github!F$1490+Github!G$1490</f>
        <v>660</v>
      </c>
      <c r="F1380" s="15">
        <f t="shared" si="1"/>
        <v>12.75</v>
      </c>
      <c r="G1380" s="13" t="str">
        <f>ROUND(Github!O$1490, 2)&amp;"%"</f>
        <v>52.65%</v>
      </c>
      <c r="H1380" s="13" t="str">
        <f>Github!H$1490</f>
        <v>Algorithms</v>
      </c>
      <c r="I1380" s="16" t="str">
        <f>SUBSTITUTE(Github!L$1490, ";", ", ")</f>
        <v>Union Find, Graph, Sorting, Minimum Spanning Tree, Strongly Connected Component, </v>
      </c>
      <c r="J1380" s="13" t="str">
        <f>Github!E$1490</f>
        <v>Hard</v>
      </c>
      <c r="K1380" s="13" t="str">
        <f>IF(TRIM(Github!D$1490)="TRUE","FALSE","TRUE")</f>
        <v>TRUE</v>
      </c>
      <c r="L1380" s="13" t="b">
        <f>Github!M$1490</f>
        <v>0</v>
      </c>
      <c r="M1380" s="13" t="b">
        <f>Github!N$1490</f>
        <v>0</v>
      </c>
      <c r="N1380" s="13">
        <f>Github!P$1490</f>
        <v>10278</v>
      </c>
      <c r="O1380" s="13">
        <f>Github!Q$1490</f>
        <v>19520</v>
      </c>
    </row>
    <row r="1381">
      <c r="A1381" s="13">
        <f>Github!J$1948</f>
        <v>1947</v>
      </c>
      <c r="B1381" s="14" t="str">
        <f>HYPERLINK(CONCAT("http://leetcode.com/problems/",Github!C$1948), Github!B$1948)</f>
        <v>Maximum Compatibility Score Sum</v>
      </c>
      <c r="C1381" s="13">
        <f>Github!F$1948</f>
        <v>614</v>
      </c>
      <c r="D1381" s="13">
        <f>Github!G$1948</f>
        <v>13</v>
      </c>
      <c r="E1381" s="13">
        <f>Github!F$1948+Github!G$1948</f>
        <v>627</v>
      </c>
      <c r="F1381" s="15">
        <f t="shared" si="1"/>
        <v>47.23</v>
      </c>
      <c r="G1381" s="13" t="str">
        <f>ROUND(Github!O$1948, 2)&amp;"%"</f>
        <v>60.93%</v>
      </c>
      <c r="H1381" s="13" t="str">
        <f>Github!H$1948</f>
        <v>Algorithms</v>
      </c>
      <c r="I1381" s="16" t="str">
        <f>SUBSTITUTE(Github!L$1948, ";", ", ")</f>
        <v>Array, Dynamic Programming, Backtracking, Bit Manipulation, Bitmask, </v>
      </c>
      <c r="J1381" s="13" t="str">
        <f>Github!E$1948</f>
        <v>Medium</v>
      </c>
      <c r="K1381" s="13" t="str">
        <f>IF(TRIM(Github!D$1948)="TRUE","FALSE","TRUE")</f>
        <v>TRUE</v>
      </c>
      <c r="L1381" s="13" t="b">
        <f>Github!M$1948</f>
        <v>0</v>
      </c>
      <c r="M1381" s="13" t="b">
        <f>Github!N$1948</f>
        <v>0</v>
      </c>
      <c r="N1381" s="13">
        <f>Github!P$1948</f>
        <v>18010</v>
      </c>
      <c r="O1381" s="13">
        <f>Github!Q$1948</f>
        <v>29560</v>
      </c>
    </row>
    <row r="1382">
      <c r="A1382" s="13">
        <f>Github!J$621</f>
        <v>620</v>
      </c>
      <c r="B1382" s="14" t="str">
        <f>HYPERLINK(CONCAT("http://leetcode.com/problems/",Github!C$621), Github!B$621)</f>
        <v>Not Boring Movies</v>
      </c>
      <c r="C1382" s="13">
        <f>Github!F$621</f>
        <v>612</v>
      </c>
      <c r="D1382" s="13">
        <f>Github!G$621</f>
        <v>443</v>
      </c>
      <c r="E1382" s="13">
        <f>Github!F$621+Github!G$621</f>
        <v>1055</v>
      </c>
      <c r="F1382" s="15">
        <f t="shared" si="1"/>
        <v>1.38</v>
      </c>
      <c r="G1382" s="13" t="str">
        <f>ROUND(Github!O$621, 2)&amp;"%"</f>
        <v>72.86%</v>
      </c>
      <c r="H1382" s="13" t="str">
        <f>Github!H$621</f>
        <v>Database</v>
      </c>
      <c r="I1382" s="16" t="str">
        <f>SUBSTITUTE(Github!L$621, ";", ", ")</f>
        <v>Database, </v>
      </c>
      <c r="J1382" s="13" t="str">
        <f>Github!E$621</f>
        <v>Easy</v>
      </c>
      <c r="K1382" s="13" t="str">
        <f>IF(TRIM(Github!D$621)="TRUE","FALSE","TRUE")</f>
        <v>TRUE</v>
      </c>
      <c r="L1382" s="13" t="b">
        <f>Github!M$621</f>
        <v>1</v>
      </c>
      <c r="M1382" s="13" t="b">
        <f>Github!N$621</f>
        <v>0</v>
      </c>
      <c r="N1382" s="13">
        <f>Github!P$621</f>
        <v>216097</v>
      </c>
      <c r="O1382" s="13">
        <f>Github!Q$621</f>
        <v>296608</v>
      </c>
    </row>
    <row r="1383">
      <c r="A1383" s="13">
        <f>Github!J$1019</f>
        <v>1018</v>
      </c>
      <c r="B1383" s="14" t="str">
        <f>HYPERLINK(CONCAT("http://leetcode.com/problems/",Github!C$1019), Github!B$1019)</f>
        <v>Binary Prefix Divisible By 5</v>
      </c>
      <c r="C1383" s="13">
        <f>Github!F$1019</f>
        <v>612</v>
      </c>
      <c r="D1383" s="13">
        <f>Github!G$1019</f>
        <v>158</v>
      </c>
      <c r="E1383" s="13">
        <f>Github!F$1019+Github!G$1019</f>
        <v>770</v>
      </c>
      <c r="F1383" s="15">
        <f t="shared" si="1"/>
        <v>3.87</v>
      </c>
      <c r="G1383" s="13" t="str">
        <f>ROUND(Github!O$1019, 2)&amp;"%"</f>
        <v>47.14%</v>
      </c>
      <c r="H1383" s="13" t="str">
        <f>Github!H$1019</f>
        <v>Algorithms</v>
      </c>
      <c r="I1383" s="16" t="str">
        <f>SUBSTITUTE(Github!L$1019, ";", ", ")</f>
        <v>Array, </v>
      </c>
      <c r="J1383" s="13" t="str">
        <f>Github!E$1019</f>
        <v>Easy</v>
      </c>
      <c r="K1383" s="13" t="str">
        <f>IF(TRIM(Github!D$1019)="TRUE","FALSE","TRUE")</f>
        <v>TRUE</v>
      </c>
      <c r="L1383" s="13" t="b">
        <f>Github!M$1019</f>
        <v>0</v>
      </c>
      <c r="M1383" s="13" t="b">
        <f>Github!N$1019</f>
        <v>0</v>
      </c>
      <c r="N1383" s="13">
        <f>Github!P$1019</f>
        <v>44095</v>
      </c>
      <c r="O1383" s="13">
        <f>Github!Q$1019</f>
        <v>93533</v>
      </c>
    </row>
    <row r="1384">
      <c r="A1384" s="13">
        <f>Github!J$1929</f>
        <v>1928</v>
      </c>
      <c r="B1384" s="14" t="str">
        <f>HYPERLINK(CONCAT("http://leetcode.com/problems/",Github!C$1929), Github!B$1929)</f>
        <v>Minimum Cost to Reach Destination in Time</v>
      </c>
      <c r="C1384" s="13">
        <f>Github!F$1929</f>
        <v>616</v>
      </c>
      <c r="D1384" s="13">
        <f>Github!G$1929</f>
        <v>12</v>
      </c>
      <c r="E1384" s="13">
        <f>Github!F$1929+Github!G$1929</f>
        <v>628</v>
      </c>
      <c r="F1384" s="15">
        <f t="shared" si="1"/>
        <v>51.33</v>
      </c>
      <c r="G1384" s="13" t="str">
        <f>ROUND(Github!O$1929, 2)&amp;"%"</f>
        <v>37.49%</v>
      </c>
      <c r="H1384" s="13" t="str">
        <f>Github!H$1929</f>
        <v>Algorithms</v>
      </c>
      <c r="I1384" s="16" t="str">
        <f>SUBSTITUTE(Github!L$1929, ";", ", ")</f>
        <v>Dynamic Programming, Graph, </v>
      </c>
      <c r="J1384" s="13" t="str">
        <f>Github!E$1929</f>
        <v>Hard</v>
      </c>
      <c r="K1384" s="13" t="str">
        <f>IF(TRIM(Github!D$1929)="TRUE","FALSE","TRUE")</f>
        <v>TRUE</v>
      </c>
      <c r="L1384" s="13" t="b">
        <f>Github!M$1929</f>
        <v>0</v>
      </c>
      <c r="M1384" s="13" t="b">
        <f>Github!N$1929</f>
        <v>0</v>
      </c>
      <c r="N1384" s="13">
        <f>Github!P$1929</f>
        <v>13453</v>
      </c>
      <c r="O1384" s="13">
        <f>Github!Q$1929</f>
        <v>35886</v>
      </c>
    </row>
    <row r="1385">
      <c r="A1385" s="13">
        <f>Github!J$2080</f>
        <v>2079</v>
      </c>
      <c r="B1385" s="14" t="str">
        <f>HYPERLINK(CONCAT("http://leetcode.com/problems/",Github!C$2080), Github!B$2080)</f>
        <v>Watering Plants</v>
      </c>
      <c r="C1385" s="13">
        <f>Github!F$2080</f>
        <v>616</v>
      </c>
      <c r="D1385" s="13">
        <f>Github!G$2080</f>
        <v>42</v>
      </c>
      <c r="E1385" s="13">
        <f>Github!F$2080+Github!G$2080</f>
        <v>658</v>
      </c>
      <c r="F1385" s="15">
        <f t="shared" si="1"/>
        <v>14.67</v>
      </c>
      <c r="G1385" s="13" t="str">
        <f>ROUND(Github!O$2080, 2)&amp;"%"</f>
        <v>79.91%</v>
      </c>
      <c r="H1385" s="13" t="str">
        <f>Github!H$2080</f>
        <v>Algorithms</v>
      </c>
      <c r="I1385" s="16" t="str">
        <f>SUBSTITUTE(Github!L$2080, ";", ", ")</f>
        <v>Array, </v>
      </c>
      <c r="J1385" s="13" t="str">
        <f>Github!E$2080</f>
        <v>Medium</v>
      </c>
      <c r="K1385" s="13" t="str">
        <f>IF(TRIM(Github!D$2080)="TRUE","FALSE","TRUE")</f>
        <v>TRUE</v>
      </c>
      <c r="L1385" s="13" t="b">
        <f>Github!M$2080</f>
        <v>0</v>
      </c>
      <c r="M1385" s="13" t="b">
        <f>Github!N$2080</f>
        <v>0</v>
      </c>
      <c r="N1385" s="13">
        <f>Github!P$2080</f>
        <v>30795</v>
      </c>
      <c r="O1385" s="13">
        <f>Github!Q$2080</f>
        <v>38535</v>
      </c>
    </row>
    <row r="1386">
      <c r="A1386" s="13">
        <f>Github!J$2272</f>
        <v>2271</v>
      </c>
      <c r="B1386" s="14" t="str">
        <f>HYPERLINK(CONCAT("http://leetcode.com/problems/",Github!C$2272), Github!B$2272)</f>
        <v>Maximum White Tiles Covered by a Carpet</v>
      </c>
      <c r="C1386" s="13">
        <f>Github!F$2272</f>
        <v>611</v>
      </c>
      <c r="D1386" s="13">
        <f>Github!G$2272</f>
        <v>37</v>
      </c>
      <c r="E1386" s="13">
        <f>Github!F$2272+Github!G$2272</f>
        <v>648</v>
      </c>
      <c r="F1386" s="15">
        <f t="shared" si="1"/>
        <v>16.51</v>
      </c>
      <c r="G1386" s="13" t="str">
        <f>ROUND(Github!O$2272, 2)&amp;"%"</f>
        <v>32.92%</v>
      </c>
      <c r="H1386" s="13" t="str">
        <f>Github!H2272</f>
        <v>Algorithms</v>
      </c>
      <c r="I1386" s="16" t="str">
        <f>SUBSTITUTE(Github!L$2272, ";", ", ")</f>
        <v>Array, Binary Search, Greedy, Sorting, Prefix Sum, </v>
      </c>
      <c r="J1386" s="13" t="str">
        <f>Github!E$2272</f>
        <v>Medium</v>
      </c>
      <c r="K1386" s="13" t="str">
        <f>IF(TRIM(Github!D$2272)="TRUE","FALSE","TRUE")</f>
        <v>TRUE</v>
      </c>
      <c r="L1386" s="13" t="b">
        <f>Github!M$2272</f>
        <v>0</v>
      </c>
      <c r="M1386" s="13" t="b">
        <f>Github!N$2272</f>
        <v>0</v>
      </c>
      <c r="N1386" s="13">
        <f>Github!P$2272</f>
        <v>12450</v>
      </c>
      <c r="O1386" s="13">
        <f>Github!Q$2272</f>
        <v>37817</v>
      </c>
    </row>
    <row r="1387">
      <c r="A1387" s="13">
        <f>Github!J$171</f>
        <v>170</v>
      </c>
      <c r="B1387" s="14" t="str">
        <f>HYPERLINK(CONCAT("http://leetcode.com/problems/",Github!C$171), Github!B$171)</f>
        <v>Two Sum III - Data structure design</v>
      </c>
      <c r="C1387" s="13">
        <f>Github!F$171</f>
        <v>605</v>
      </c>
      <c r="D1387" s="13">
        <f>Github!G$171</f>
        <v>407</v>
      </c>
      <c r="E1387" s="13">
        <f>Github!F$171+Github!G$171</f>
        <v>1012</v>
      </c>
      <c r="F1387" s="15">
        <f t="shared" si="1"/>
        <v>1.49</v>
      </c>
      <c r="G1387" s="13" t="str">
        <f>ROUND(Github!O$171, 2)&amp;"%"</f>
        <v>37.37%</v>
      </c>
      <c r="H1387" s="13" t="str">
        <f>Github!H$171</f>
        <v>Algorithms</v>
      </c>
      <c r="I1387" s="16" t="str">
        <f>SUBSTITUTE(Github!L$171, ";", ", ")</f>
        <v>Array, Hash Table, Two Pointers, Design, Data Stream, </v>
      </c>
      <c r="J1387" s="13" t="str">
        <f>Github!E$171</f>
        <v>Easy</v>
      </c>
      <c r="K1387" s="13" t="str">
        <f>IF(TRIM(Github!D$171)="TRUE","FALSE","TRUE")</f>
        <v>FALSE</v>
      </c>
      <c r="L1387" s="13" t="b">
        <f>Github!M$171</f>
        <v>1</v>
      </c>
      <c r="M1387" s="13" t="b">
        <f>Github!N$171</f>
        <v>0</v>
      </c>
      <c r="N1387" s="13">
        <f>Github!P$171</f>
        <v>137191</v>
      </c>
      <c r="O1387" s="13">
        <f>Github!Q$171</f>
        <v>367141</v>
      </c>
    </row>
    <row r="1388">
      <c r="A1388" s="13">
        <f>Github!J$1617</f>
        <v>1616</v>
      </c>
      <c r="B1388" s="14" t="str">
        <f>HYPERLINK(CONCAT("http://leetcode.com/problems/",Github!C$1617), Github!B$1617)</f>
        <v>Split Two Strings to Make Palindrome</v>
      </c>
      <c r="C1388" s="13">
        <f>Github!F$1617</f>
        <v>605</v>
      </c>
      <c r="D1388" s="13">
        <f>Github!G$1617</f>
        <v>222</v>
      </c>
      <c r="E1388" s="13">
        <f>Github!F$1617+Github!G$1617</f>
        <v>827</v>
      </c>
      <c r="F1388" s="15">
        <f t="shared" si="1"/>
        <v>2.73</v>
      </c>
      <c r="G1388" s="13" t="str">
        <f>ROUND(Github!O$1617, 2)&amp;"%"</f>
        <v>31.35%</v>
      </c>
      <c r="H1388" s="13" t="str">
        <f>Github!H$1617</f>
        <v>Algorithms</v>
      </c>
      <c r="I1388" s="16" t="str">
        <f>SUBSTITUTE(Github!L$1617, ";", ", ")</f>
        <v>Two Pointers, String, </v>
      </c>
      <c r="J1388" s="13" t="str">
        <f>Github!E$1617</f>
        <v>Medium</v>
      </c>
      <c r="K1388" s="13" t="str">
        <f>IF(TRIM(Github!D$1617)="TRUE","FALSE","TRUE")</f>
        <v>TRUE</v>
      </c>
      <c r="L1388" s="13" t="b">
        <f>Github!M$1617</f>
        <v>0</v>
      </c>
      <c r="M1388" s="13" t="b">
        <f>Github!N$1617</f>
        <v>0</v>
      </c>
      <c r="N1388" s="13">
        <f>Github!P$1617</f>
        <v>19326</v>
      </c>
      <c r="O1388" s="13">
        <f>Github!Q$1617</f>
        <v>61642</v>
      </c>
    </row>
    <row r="1389">
      <c r="A1389" s="13">
        <f>Github!J$1434</f>
        <v>1433</v>
      </c>
      <c r="B1389" s="14" t="str">
        <f>HYPERLINK(CONCAT("http://leetcode.com/problems/",Github!C$1434), Github!B$1434)</f>
        <v>Check If a String Can Break Another String</v>
      </c>
      <c r="C1389" s="13">
        <f>Github!F$1434</f>
        <v>608</v>
      </c>
      <c r="D1389" s="13">
        <f>Github!G$1434</f>
        <v>122</v>
      </c>
      <c r="E1389" s="13">
        <f>Github!F$1434+Github!G$1434</f>
        <v>730</v>
      </c>
      <c r="F1389" s="15">
        <f t="shared" si="1"/>
        <v>4.98</v>
      </c>
      <c r="G1389" s="13" t="str">
        <f>ROUND(Github!O$1434, 2)&amp;"%"</f>
        <v>68.99%</v>
      </c>
      <c r="H1389" s="13" t="str">
        <f>Github!H$1434</f>
        <v>Algorithms</v>
      </c>
      <c r="I1389" s="16" t="str">
        <f>SUBSTITUTE(Github!L$1434, ";", ", ")</f>
        <v>String, Greedy, Sorting, </v>
      </c>
      <c r="J1389" s="13" t="str">
        <f>Github!E$1434</f>
        <v>Medium</v>
      </c>
      <c r="K1389" s="13" t="str">
        <f>IF(TRIM(Github!D$1434)="TRUE","FALSE","TRUE")</f>
        <v>TRUE</v>
      </c>
      <c r="L1389" s="13" t="b">
        <f>Github!M$1434</f>
        <v>0</v>
      </c>
      <c r="M1389" s="13" t="b">
        <f>Github!N$1434</f>
        <v>0</v>
      </c>
      <c r="N1389" s="13">
        <f>Github!P$1434</f>
        <v>34074</v>
      </c>
      <c r="O1389" s="13">
        <f>Github!Q$1434</f>
        <v>49388</v>
      </c>
    </row>
    <row r="1390">
      <c r="A1390" s="13">
        <f>Github!J$1140</f>
        <v>1139</v>
      </c>
      <c r="B1390" s="14" t="str">
        <f>HYPERLINK(CONCAT("http://leetcode.com/problems/",Github!C$1140), Github!B$1140)</f>
        <v>Largest 1-Bordered Square</v>
      </c>
      <c r="C1390" s="13">
        <f>Github!F$1140</f>
        <v>604</v>
      </c>
      <c r="D1390" s="13">
        <f>Github!G$1140</f>
        <v>90</v>
      </c>
      <c r="E1390" s="13">
        <f>Github!F$1140+Github!G$1140</f>
        <v>694</v>
      </c>
      <c r="F1390" s="15">
        <f t="shared" si="1"/>
        <v>6.71</v>
      </c>
      <c r="G1390" s="13" t="str">
        <f>ROUND(Github!O$1140, 2)&amp;"%"</f>
        <v>50.1%</v>
      </c>
      <c r="H1390" s="13" t="str">
        <f>Github!H$1140</f>
        <v>Algorithms</v>
      </c>
      <c r="I1390" s="16" t="str">
        <f>SUBSTITUTE(Github!L$1140, ";", ", ")</f>
        <v>Array, Dynamic Programming, Matrix, </v>
      </c>
      <c r="J1390" s="13" t="str">
        <f>Github!E$1140</f>
        <v>Medium</v>
      </c>
      <c r="K1390" s="13" t="str">
        <f>IF(TRIM(Github!D$1140)="TRUE","FALSE","TRUE")</f>
        <v>TRUE</v>
      </c>
      <c r="L1390" s="13" t="b">
        <f>Github!M$1140</f>
        <v>0</v>
      </c>
      <c r="M1390" s="13" t="b">
        <f>Github!N$1140</f>
        <v>0</v>
      </c>
      <c r="N1390" s="13">
        <f>Github!P$1140</f>
        <v>21119</v>
      </c>
      <c r="O1390" s="13">
        <f>Github!Q$1140</f>
        <v>42154</v>
      </c>
    </row>
    <row r="1391">
      <c r="A1391" s="13">
        <f>Github!J$1851</f>
        <v>1850</v>
      </c>
      <c r="B1391" s="14" t="str">
        <f>HYPERLINK(CONCAT("http://leetcode.com/problems/",Github!C$1851), Github!B$1851)</f>
        <v>Minimum Adjacent Swaps to Reach the Kth Smallest Number</v>
      </c>
      <c r="C1391" s="13">
        <f>Github!F$1851</f>
        <v>605</v>
      </c>
      <c r="D1391" s="13">
        <f>Github!G$1851</f>
        <v>72</v>
      </c>
      <c r="E1391" s="13">
        <f>Github!F$1851+Github!G$1851</f>
        <v>677</v>
      </c>
      <c r="F1391" s="15">
        <f t="shared" si="1"/>
        <v>8.4</v>
      </c>
      <c r="G1391" s="13" t="str">
        <f>ROUND(Github!O$1851, 2)&amp;"%"</f>
        <v>71.82%</v>
      </c>
      <c r="H1391" s="13" t="str">
        <f>Github!H$1851</f>
        <v>Algorithms</v>
      </c>
      <c r="I1391" s="16" t="str">
        <f>SUBSTITUTE(Github!L$1851, ";", ", ")</f>
        <v>Two Pointers, String, Greedy, </v>
      </c>
      <c r="J1391" s="13" t="str">
        <f>Github!E$1851</f>
        <v>Medium</v>
      </c>
      <c r="K1391" s="13" t="str">
        <f>IF(TRIM(Github!D$1851)="TRUE","FALSE","TRUE")</f>
        <v>TRUE</v>
      </c>
      <c r="L1391" s="13" t="b">
        <f>Github!M$1851</f>
        <v>0</v>
      </c>
      <c r="M1391" s="13" t="b">
        <f>Github!N$1851</f>
        <v>0</v>
      </c>
      <c r="N1391" s="13">
        <f>Github!P$1851</f>
        <v>16766</v>
      </c>
      <c r="O1391" s="13">
        <f>Github!Q$1851</f>
        <v>23345</v>
      </c>
    </row>
    <row r="1392">
      <c r="A1392" s="13">
        <f>Github!J$1793</f>
        <v>1792</v>
      </c>
      <c r="B1392" s="14" t="str">
        <f>HYPERLINK(CONCAT("http://leetcode.com/problems/",Github!C$1793), Github!B$1793)</f>
        <v>Maximum Average Pass Ratio</v>
      </c>
      <c r="C1392" s="13">
        <f>Github!F$1793</f>
        <v>604</v>
      </c>
      <c r="D1392" s="13">
        <f>Github!G$1793</f>
        <v>65</v>
      </c>
      <c r="E1392" s="13">
        <f>Github!F$1793+Github!G$1793</f>
        <v>669</v>
      </c>
      <c r="F1392" s="15">
        <f t="shared" si="1"/>
        <v>9.29</v>
      </c>
      <c r="G1392" s="13" t="str">
        <f>ROUND(Github!O$1793, 2)&amp;"%"</f>
        <v>52.14%</v>
      </c>
      <c r="H1392" s="13" t="str">
        <f>Github!H$1793</f>
        <v>Algorithms</v>
      </c>
      <c r="I1392" s="16" t="str">
        <f>SUBSTITUTE(Github!L$1793, ";", ", ")</f>
        <v>Array, Greedy, Heap (Priority Queue), </v>
      </c>
      <c r="J1392" s="13" t="str">
        <f>Github!E$1793</f>
        <v>Medium</v>
      </c>
      <c r="K1392" s="13" t="str">
        <f>IF(TRIM(Github!D$1793)="TRUE","FALSE","TRUE")</f>
        <v>TRUE</v>
      </c>
      <c r="L1392" s="13" t="b">
        <f>Github!M$1793</f>
        <v>0</v>
      </c>
      <c r="M1392" s="13" t="b">
        <f>Github!N$1793</f>
        <v>0</v>
      </c>
      <c r="N1392" s="13">
        <f>Github!P$1793</f>
        <v>18096</v>
      </c>
      <c r="O1392" s="13">
        <f>Github!Q$1793</f>
        <v>34709</v>
      </c>
    </row>
    <row r="1393">
      <c r="A1393" s="13">
        <f>Github!J$751</f>
        <v>750</v>
      </c>
      <c r="B1393" s="14" t="str">
        <f>HYPERLINK(CONCAT("http://leetcode.com/problems/",Github!C$751), Github!B$751)</f>
        <v>Number Of Corner Rectangles</v>
      </c>
      <c r="C1393" s="13">
        <f>Github!F$751</f>
        <v>598</v>
      </c>
      <c r="D1393" s="13">
        <f>Github!G$751</f>
        <v>91</v>
      </c>
      <c r="E1393" s="13">
        <f>Github!F$751+Github!G$751</f>
        <v>689</v>
      </c>
      <c r="F1393" s="15">
        <f t="shared" si="1"/>
        <v>6.57</v>
      </c>
      <c r="G1393" s="13" t="str">
        <f>ROUND(Github!O$751, 2)&amp;"%"</f>
        <v>67.46%</v>
      </c>
      <c r="H1393" s="13" t="str">
        <f>Github!H$751</f>
        <v>Algorithms</v>
      </c>
      <c r="I1393" s="16" t="str">
        <f>SUBSTITUTE(Github!L$751, ";", ", ")</f>
        <v>Array, Math, Dynamic Programming, Matrix, </v>
      </c>
      <c r="J1393" s="13" t="str">
        <f>Github!E$751</f>
        <v>Medium</v>
      </c>
      <c r="K1393" s="13" t="str">
        <f>IF(TRIM(Github!D$751)="TRUE","FALSE","TRUE")</f>
        <v>FALSE</v>
      </c>
      <c r="L1393" s="13" t="b">
        <f>Github!M$751</f>
        <v>1</v>
      </c>
      <c r="M1393" s="13" t="b">
        <f>Github!N$751</f>
        <v>0</v>
      </c>
      <c r="N1393" s="13">
        <f>Github!P$751</f>
        <v>36772</v>
      </c>
      <c r="O1393" s="13">
        <f>Github!Q$751</f>
        <v>54508</v>
      </c>
    </row>
    <row r="1394">
      <c r="A1394" s="13">
        <f>Github!J$472</f>
        <v>471</v>
      </c>
      <c r="B1394" s="14" t="str">
        <f>HYPERLINK(CONCAT("http://leetcode.com/problems/",Github!C$472), Github!B$472)</f>
        <v>Encode String with Shortest Length</v>
      </c>
      <c r="C1394" s="13">
        <f>Github!F$472</f>
        <v>596</v>
      </c>
      <c r="D1394" s="13">
        <f>Github!G$472</f>
        <v>47</v>
      </c>
      <c r="E1394" s="13">
        <f>Github!F$472+Github!G$472</f>
        <v>643</v>
      </c>
      <c r="F1394" s="15">
        <f t="shared" si="1"/>
        <v>12.68</v>
      </c>
      <c r="G1394" s="13" t="str">
        <f>ROUND(Github!O$472, 2)&amp;"%"</f>
        <v>50.64%</v>
      </c>
      <c r="H1394" s="13" t="str">
        <f>Github!H$472</f>
        <v>Algorithms</v>
      </c>
      <c r="I1394" s="16" t="str">
        <f>SUBSTITUTE(Github!L$472, ";", ", ")</f>
        <v>String, Dynamic Programming, </v>
      </c>
      <c r="J1394" s="13" t="str">
        <f>Github!E$472</f>
        <v>Hard</v>
      </c>
      <c r="K1394" s="13" t="str">
        <f>IF(TRIM(Github!D$472)="TRUE","FALSE","TRUE")</f>
        <v>FALSE</v>
      </c>
      <c r="L1394" s="13" t="b">
        <f>Github!M$472</f>
        <v>0</v>
      </c>
      <c r="M1394" s="13" t="b">
        <f>Github!N$472</f>
        <v>0</v>
      </c>
      <c r="N1394" s="13">
        <f>Github!P$472</f>
        <v>29521</v>
      </c>
      <c r="O1394" s="13">
        <f>Github!Q$472</f>
        <v>58296</v>
      </c>
    </row>
    <row r="1395">
      <c r="A1395" s="13">
        <f>Github!J$1452</f>
        <v>1451</v>
      </c>
      <c r="B1395" s="14" t="str">
        <f>HYPERLINK(CONCAT("http://leetcode.com/problems/",Github!C$1452), Github!B$1452)</f>
        <v>Rearrange Words in a Sentence</v>
      </c>
      <c r="C1395" s="13">
        <f>Github!F$1452</f>
        <v>598</v>
      </c>
      <c r="D1395" s="13">
        <f>Github!G$1452</f>
        <v>70</v>
      </c>
      <c r="E1395" s="13">
        <f>Github!F$1452+Github!G$1452</f>
        <v>668</v>
      </c>
      <c r="F1395" s="15">
        <f t="shared" si="1"/>
        <v>8.54</v>
      </c>
      <c r="G1395" s="13" t="str">
        <f>ROUND(Github!O$1452, 2)&amp;"%"</f>
        <v>62.8%</v>
      </c>
      <c r="H1395" s="13" t="str">
        <f>Github!H$1452</f>
        <v>Algorithms</v>
      </c>
      <c r="I1395" s="16" t="str">
        <f>SUBSTITUTE(Github!L$1452, ";", ", ")</f>
        <v>String, Sorting, </v>
      </c>
      <c r="J1395" s="13" t="str">
        <f>Github!E$1452</f>
        <v>Medium</v>
      </c>
      <c r="K1395" s="13" t="str">
        <f>IF(TRIM(Github!D$1452)="TRUE","FALSE","TRUE")</f>
        <v>TRUE</v>
      </c>
      <c r="L1395" s="13" t="b">
        <f>Github!M$1452</f>
        <v>0</v>
      </c>
      <c r="M1395" s="13" t="b">
        <f>Github!N$1452</f>
        <v>0</v>
      </c>
      <c r="N1395" s="13">
        <f>Github!P$1452</f>
        <v>42389</v>
      </c>
      <c r="O1395" s="13">
        <f>Github!Q$1452</f>
        <v>67497</v>
      </c>
    </row>
    <row r="1396">
      <c r="A1396" s="13">
        <f>Github!J$1325</f>
        <v>1324</v>
      </c>
      <c r="B1396" s="14" t="str">
        <f>HYPERLINK(CONCAT("http://leetcode.com/problems/",Github!C$1325), Github!B$1325)</f>
        <v>Print Words Vertically</v>
      </c>
      <c r="C1396" s="13">
        <f>Github!F$1325</f>
        <v>602</v>
      </c>
      <c r="D1396" s="13">
        <f>Github!G$1325</f>
        <v>100</v>
      </c>
      <c r="E1396" s="13">
        <f>Github!F$1325+Github!G$1325</f>
        <v>702</v>
      </c>
      <c r="F1396" s="15">
        <f t="shared" si="1"/>
        <v>6.02</v>
      </c>
      <c r="G1396" s="13" t="str">
        <f>ROUND(Github!O$1325, 2)&amp;"%"</f>
        <v>60.66%</v>
      </c>
      <c r="H1396" s="13" t="str">
        <f>Github!H$1325</f>
        <v>Algorithms</v>
      </c>
      <c r="I1396" s="16" t="str">
        <f>SUBSTITUTE(Github!L$1325, ";", ", ")</f>
        <v>Array, String, Simulation, </v>
      </c>
      <c r="J1396" s="13" t="str">
        <f>Github!E$1325</f>
        <v>Medium</v>
      </c>
      <c r="K1396" s="13" t="str">
        <f>IF(TRIM(Github!D$1325)="TRUE","FALSE","TRUE")</f>
        <v>TRUE</v>
      </c>
      <c r="L1396" s="13" t="b">
        <f>Github!M$1325</f>
        <v>0</v>
      </c>
      <c r="M1396" s="13" t="b">
        <f>Github!N$1325</f>
        <v>0</v>
      </c>
      <c r="N1396" s="13">
        <f>Github!P$1325</f>
        <v>31374</v>
      </c>
      <c r="O1396" s="13">
        <f>Github!Q$1325</f>
        <v>51722</v>
      </c>
    </row>
    <row r="1397">
      <c r="A1397" s="13">
        <f>Github!J$1590</f>
        <v>1589</v>
      </c>
      <c r="B1397" s="14" t="str">
        <f>HYPERLINK(CONCAT("http://leetcode.com/problems/",Github!C$1590), Github!B$1590)</f>
        <v>Maximum Sum Obtained of Any Permutation</v>
      </c>
      <c r="C1397" s="13">
        <f>Github!F$1590</f>
        <v>597</v>
      </c>
      <c r="D1397" s="13">
        <f>Github!G$1590</f>
        <v>31</v>
      </c>
      <c r="E1397" s="13">
        <f>Github!F$1590+Github!G$1590</f>
        <v>628</v>
      </c>
      <c r="F1397" s="15">
        <f t="shared" si="1"/>
        <v>19.26</v>
      </c>
      <c r="G1397" s="13" t="str">
        <f>ROUND(Github!O$1590, 2)&amp;"%"</f>
        <v>37.03%</v>
      </c>
      <c r="H1397" s="13" t="str">
        <f>Github!H$1590</f>
        <v>Algorithms</v>
      </c>
      <c r="I1397" s="16" t="str">
        <f>SUBSTITUTE(Github!L$1590, ";", ", ")</f>
        <v>Array, Greedy, Sorting, Prefix Sum, </v>
      </c>
      <c r="J1397" s="13" t="str">
        <f>Github!E$1590</f>
        <v>Medium</v>
      </c>
      <c r="K1397" s="13" t="str">
        <f>IF(TRIM(Github!D$1590)="TRUE","FALSE","TRUE")</f>
        <v>TRUE</v>
      </c>
      <c r="L1397" s="13" t="b">
        <f>Github!M$1590</f>
        <v>0</v>
      </c>
      <c r="M1397" s="13" t="b">
        <f>Github!N$1590</f>
        <v>0</v>
      </c>
      <c r="N1397" s="13">
        <f>Github!P$1590</f>
        <v>14848</v>
      </c>
      <c r="O1397" s="13">
        <f>Github!Q$1590</f>
        <v>40103</v>
      </c>
    </row>
    <row r="1398">
      <c r="A1398" s="13">
        <f>Github!J$2329</f>
        <v>2328</v>
      </c>
      <c r="B1398" s="14" t="str">
        <f>HYPERLINK(CONCAT("http://leetcode.com/problems/",Github!C$2329), Github!B$2329)</f>
        <v>Number of Increasing Paths in a Grid</v>
      </c>
      <c r="C1398" s="13">
        <f>Github!F$2329</f>
        <v>611</v>
      </c>
      <c r="D1398" s="13">
        <f>Github!G$2329</f>
        <v>14</v>
      </c>
      <c r="E1398" s="13">
        <f>Github!F$2329+Github!G$2329</f>
        <v>625</v>
      </c>
      <c r="F1398" s="15">
        <f t="shared" si="1"/>
        <v>43.64</v>
      </c>
      <c r="G1398" s="13" t="str">
        <f>ROUND(Github!O$2329, 2)&amp;"%"</f>
        <v>47.7%</v>
      </c>
      <c r="H1398" s="13" t="str">
        <f>Github!H2329</f>
        <v>Algorithms</v>
      </c>
      <c r="I1398" s="16" t="str">
        <f>SUBSTITUTE(Github!L$2329, ";", ", ")</f>
        <v>Array, Dynamic Programming, Depth-First Search, Breadth-First Search, Graph, Topological Sort, Memoization, Matrix, </v>
      </c>
      <c r="J1398" s="13" t="str">
        <f>Github!E$2329</f>
        <v>Hard</v>
      </c>
      <c r="K1398" s="13" t="str">
        <f>IF(TRIM(Github!D$2329)="TRUE","FALSE","TRUE")</f>
        <v>TRUE</v>
      </c>
      <c r="L1398" s="13" t="b">
        <f>Github!M$2329</f>
        <v>0</v>
      </c>
      <c r="M1398" s="13" t="b">
        <f>Github!N$2329</f>
        <v>0</v>
      </c>
      <c r="N1398" s="13">
        <f>Github!P$2329</f>
        <v>15453</v>
      </c>
      <c r="O1398" s="13">
        <f>Github!Q$2329</f>
        <v>32396</v>
      </c>
    </row>
    <row r="1399">
      <c r="A1399" s="13">
        <f>Github!J$1993</f>
        <v>1992</v>
      </c>
      <c r="B1399" s="14" t="str">
        <f>HYPERLINK(CONCAT("http://leetcode.com/problems/",Github!C$1993), Github!B$1993)</f>
        <v>Find All Groups of Farmland</v>
      </c>
      <c r="C1399" s="13">
        <f>Github!F$1993</f>
        <v>602</v>
      </c>
      <c r="D1399" s="13">
        <f>Github!G$1993</f>
        <v>21</v>
      </c>
      <c r="E1399" s="13">
        <f>Github!F$1993+Github!G$1993</f>
        <v>623</v>
      </c>
      <c r="F1399" s="15">
        <f t="shared" si="1"/>
        <v>28.67</v>
      </c>
      <c r="G1399" s="13" t="str">
        <f>ROUND(Github!O$1993, 2)&amp;"%"</f>
        <v>68.67%</v>
      </c>
      <c r="H1399" s="13" t="str">
        <f>Github!H$1993</f>
        <v>Algorithms</v>
      </c>
      <c r="I1399" s="16" t="str">
        <f>SUBSTITUTE(Github!L$1993, ";", ", ")</f>
        <v>Array, Depth-First Search, Breadth-First Search, Matrix, </v>
      </c>
      <c r="J1399" s="13" t="str">
        <f>Github!E$1993</f>
        <v>Medium</v>
      </c>
      <c r="K1399" s="13" t="str">
        <f>IF(TRIM(Github!D$1993)="TRUE","FALSE","TRUE")</f>
        <v>TRUE</v>
      </c>
      <c r="L1399" s="13" t="b">
        <f>Github!M$1993</f>
        <v>0</v>
      </c>
      <c r="M1399" s="13" t="b">
        <f>Github!N$1993</f>
        <v>0</v>
      </c>
      <c r="N1399" s="13">
        <f>Github!P$1993</f>
        <v>19861</v>
      </c>
      <c r="O1399" s="13">
        <f>Github!Q$1993</f>
        <v>28924</v>
      </c>
    </row>
    <row r="1400">
      <c r="A1400" s="13">
        <f>Github!J$1799</f>
        <v>1798</v>
      </c>
      <c r="B1400" s="14" t="str">
        <f>HYPERLINK(CONCAT("http://leetcode.com/problems/",Github!C$1799), Github!B$1799)</f>
        <v>Maximum Number of Consecutive Values You Can Make</v>
      </c>
      <c r="C1400" s="13">
        <f>Github!F$1799</f>
        <v>600</v>
      </c>
      <c r="D1400" s="13">
        <f>Github!G$1799</f>
        <v>44</v>
      </c>
      <c r="E1400" s="13">
        <f>Github!F$1799+Github!G$1799</f>
        <v>644</v>
      </c>
      <c r="F1400" s="15">
        <f t="shared" si="1"/>
        <v>13.64</v>
      </c>
      <c r="G1400" s="13" t="str">
        <f>ROUND(Github!O$1799, 2)&amp;"%"</f>
        <v>54.86%</v>
      </c>
      <c r="H1400" s="13" t="str">
        <f>Github!H$1799</f>
        <v>Algorithms</v>
      </c>
      <c r="I1400" s="16" t="str">
        <f>SUBSTITUTE(Github!L$1799, ";", ", ")</f>
        <v>Array, Greedy, </v>
      </c>
      <c r="J1400" s="13" t="str">
        <f>Github!E$1799</f>
        <v>Medium</v>
      </c>
      <c r="K1400" s="13" t="str">
        <f>IF(TRIM(Github!D$1799)="TRUE","FALSE","TRUE")</f>
        <v>TRUE</v>
      </c>
      <c r="L1400" s="13" t="b">
        <f>Github!M$1799</f>
        <v>0</v>
      </c>
      <c r="M1400" s="13" t="b">
        <f>Github!N$1799</f>
        <v>0</v>
      </c>
      <c r="N1400" s="13">
        <f>Github!P$1799</f>
        <v>12498</v>
      </c>
      <c r="O1400" s="13">
        <f>Github!Q$1799</f>
        <v>22781</v>
      </c>
    </row>
    <row r="1401">
      <c r="A1401" s="13">
        <f>Github!J$505</f>
        <v>504</v>
      </c>
      <c r="B1401" s="14" t="str">
        <f>HYPERLINK(CONCAT("http://leetcode.com/problems/",Github!C$505), Github!B$505)</f>
        <v>Base 7</v>
      </c>
      <c r="C1401" s="13">
        <f>Github!F$505</f>
        <v>594</v>
      </c>
      <c r="D1401" s="13">
        <f>Github!G$505</f>
        <v>201</v>
      </c>
      <c r="E1401" s="13">
        <f>Github!F$505+Github!G$505</f>
        <v>795</v>
      </c>
      <c r="F1401" s="15">
        <f t="shared" si="1"/>
        <v>2.96</v>
      </c>
      <c r="G1401" s="13" t="str">
        <f>ROUND(Github!O$505, 2)&amp;"%"</f>
        <v>48.11%</v>
      </c>
      <c r="H1401" s="13" t="str">
        <f>Github!H$505</f>
        <v>Algorithms</v>
      </c>
      <c r="I1401" s="16" t="str">
        <f>SUBSTITUTE(Github!L$505, ";", ", ")</f>
        <v>Math, </v>
      </c>
      <c r="J1401" s="13" t="str">
        <f>Github!E$505</f>
        <v>Easy</v>
      </c>
      <c r="K1401" s="13" t="str">
        <f>IF(TRIM(Github!D$505)="TRUE","FALSE","TRUE")</f>
        <v>TRUE</v>
      </c>
      <c r="L1401" s="13" t="b">
        <f>Github!M$505</f>
        <v>0</v>
      </c>
      <c r="M1401" s="13" t="b">
        <f>Github!N$505</f>
        <v>0</v>
      </c>
      <c r="N1401" s="13">
        <f>Github!P$505</f>
        <v>99346</v>
      </c>
      <c r="O1401" s="13">
        <f>Github!Q$505</f>
        <v>206507</v>
      </c>
    </row>
    <row r="1402">
      <c r="A1402" s="13">
        <f>Github!J$538</f>
        <v>537</v>
      </c>
      <c r="B1402" s="14" t="str">
        <f>HYPERLINK(CONCAT("http://leetcode.com/problems/",Github!C$538), Github!B$538)</f>
        <v>Complex Number Multiplication</v>
      </c>
      <c r="C1402" s="13">
        <f>Github!F$538</f>
        <v>591</v>
      </c>
      <c r="D1402" s="13">
        <f>Github!G$538</f>
        <v>1186</v>
      </c>
      <c r="E1402" s="13">
        <f>Github!F$538+Github!G$538</f>
        <v>1777</v>
      </c>
      <c r="F1402" s="15">
        <f t="shared" si="1"/>
        <v>0.5</v>
      </c>
      <c r="G1402" s="13" t="str">
        <f>ROUND(Github!O$538, 2)&amp;"%"</f>
        <v>71.36%</v>
      </c>
      <c r="H1402" s="13" t="str">
        <f>Github!H$538</f>
        <v>Algorithms</v>
      </c>
      <c r="I1402" s="16" t="str">
        <f>SUBSTITUTE(Github!L$538, ";", ", ")</f>
        <v>Math, String, Simulation, </v>
      </c>
      <c r="J1402" s="13" t="str">
        <f>Github!E$538</f>
        <v>Medium</v>
      </c>
      <c r="K1402" s="13" t="str">
        <f>IF(TRIM(Github!D$538)="TRUE","FALSE","TRUE")</f>
        <v>TRUE</v>
      </c>
      <c r="L1402" s="13" t="b">
        <f>Github!M$538</f>
        <v>1</v>
      </c>
      <c r="M1402" s="13" t="b">
        <f>Github!N$538</f>
        <v>0</v>
      </c>
      <c r="N1402" s="13">
        <f>Github!P$538</f>
        <v>85788</v>
      </c>
      <c r="O1402" s="13">
        <f>Github!Q$538</f>
        <v>120226</v>
      </c>
    </row>
    <row r="1403">
      <c r="A1403" s="13">
        <f>Github!J$2064</f>
        <v>2063</v>
      </c>
      <c r="B1403" s="14" t="str">
        <f>HYPERLINK(CONCAT("http://leetcode.com/problems/",Github!C$2064), Github!B$2064)</f>
        <v>Vowels of All Substrings</v>
      </c>
      <c r="C1403" s="13">
        <f>Github!F$2064</f>
        <v>595</v>
      </c>
      <c r="D1403" s="13">
        <f>Github!G$2064</f>
        <v>21</v>
      </c>
      <c r="E1403" s="13">
        <f>Github!F$2064+Github!G$2064</f>
        <v>616</v>
      </c>
      <c r="F1403" s="15">
        <f t="shared" si="1"/>
        <v>28.33</v>
      </c>
      <c r="G1403" s="13" t="str">
        <f>ROUND(Github!O$2064, 2)&amp;"%"</f>
        <v>54.88%</v>
      </c>
      <c r="H1403" s="13" t="str">
        <f>Github!H$2064</f>
        <v>Algorithms</v>
      </c>
      <c r="I1403" s="16" t="str">
        <f>SUBSTITUTE(Github!L$2064, ";", ", ")</f>
        <v>Math, String, Dynamic Programming, Combinatorics, </v>
      </c>
      <c r="J1403" s="13" t="str">
        <f>Github!E$2064</f>
        <v>Medium</v>
      </c>
      <c r="K1403" s="13" t="str">
        <f>IF(TRIM(Github!D$2064)="TRUE","FALSE","TRUE")</f>
        <v>TRUE</v>
      </c>
      <c r="L1403" s="13" t="b">
        <f>Github!M$2064</f>
        <v>0</v>
      </c>
      <c r="M1403" s="13" t="b">
        <f>Github!N$2064</f>
        <v>0</v>
      </c>
      <c r="N1403" s="13">
        <f>Github!P$2064</f>
        <v>19967</v>
      </c>
      <c r="O1403" s="13">
        <f>Github!Q$2064</f>
        <v>36380</v>
      </c>
    </row>
    <row r="1404">
      <c r="A1404" s="13">
        <f>Github!J$2126</f>
        <v>2125</v>
      </c>
      <c r="B1404" s="14" t="str">
        <f>HYPERLINK(CONCAT("http://leetcode.com/problems/",Github!C$2126), Github!B$2126)</f>
        <v>Number of Laser Beams in a Bank</v>
      </c>
      <c r="C1404" s="13">
        <f>Github!F$2126</f>
        <v>591</v>
      </c>
      <c r="D1404" s="13">
        <f>Github!G$2126</f>
        <v>54</v>
      </c>
      <c r="E1404" s="13">
        <f>Github!F$2126+Github!G$2126</f>
        <v>645</v>
      </c>
      <c r="F1404" s="15">
        <f t="shared" si="1"/>
        <v>10.94</v>
      </c>
      <c r="G1404" s="13" t="str">
        <f>ROUND(Github!O$2126, 2)&amp;"%"</f>
        <v>82.59%</v>
      </c>
      <c r="H1404" s="13" t="str">
        <f>Github!H$2126</f>
        <v>Algorithms</v>
      </c>
      <c r="I1404" s="16" t="str">
        <f>SUBSTITUTE(Github!L$2126, ";", ", ")</f>
        <v>Array, Math, String, Matrix, </v>
      </c>
      <c r="J1404" s="13" t="str">
        <f>Github!E$2126</f>
        <v>Medium</v>
      </c>
      <c r="K1404" s="13" t="str">
        <f>IF(TRIM(Github!D$2126)="TRUE","FALSE","TRUE")</f>
        <v>TRUE</v>
      </c>
      <c r="L1404" s="13" t="b">
        <f>Github!M$2126</f>
        <v>0</v>
      </c>
      <c r="M1404" s="13" t="b">
        <f>Github!N$2126</f>
        <v>0</v>
      </c>
      <c r="N1404" s="13">
        <f>Github!P$2126</f>
        <v>40727</v>
      </c>
      <c r="O1404" s="13">
        <f>Github!Q$2126</f>
        <v>49313</v>
      </c>
    </row>
    <row r="1405">
      <c r="A1405" s="13">
        <f>Github!J$1088</f>
        <v>1087</v>
      </c>
      <c r="B1405" s="14" t="str">
        <f>HYPERLINK(CONCAT("http://leetcode.com/problems/",Github!C$1088), Github!B$1088)</f>
        <v>Brace Expansion</v>
      </c>
      <c r="C1405" s="13">
        <f>Github!F$1088</f>
        <v>586</v>
      </c>
      <c r="D1405" s="13">
        <f>Github!G$1088</f>
        <v>48</v>
      </c>
      <c r="E1405" s="13">
        <f>Github!F$1088+Github!G$1088</f>
        <v>634</v>
      </c>
      <c r="F1405" s="15">
        <f t="shared" si="1"/>
        <v>12.21</v>
      </c>
      <c r="G1405" s="13" t="str">
        <f>ROUND(Github!O$1088, 2)&amp;"%"</f>
        <v>66.11%</v>
      </c>
      <c r="H1405" s="13" t="str">
        <f>Github!H$1088</f>
        <v>Algorithms</v>
      </c>
      <c r="I1405" s="16" t="str">
        <f>SUBSTITUTE(Github!L$1088, ";", ", ")</f>
        <v>String, Backtracking, Breadth-First Search, </v>
      </c>
      <c r="J1405" s="13" t="str">
        <f>Github!E$1088</f>
        <v>Medium</v>
      </c>
      <c r="K1405" s="13" t="str">
        <f>IF(TRIM(Github!D$1088)="TRUE","FALSE","TRUE")</f>
        <v>FALSE</v>
      </c>
      <c r="L1405" s="13" t="b">
        <f>Github!M$1088</f>
        <v>1</v>
      </c>
      <c r="M1405" s="13" t="b">
        <f>Github!N$1088</f>
        <v>0</v>
      </c>
      <c r="N1405" s="13">
        <f>Github!P$1088</f>
        <v>46642</v>
      </c>
      <c r="O1405" s="13">
        <f>Github!Q$1088</f>
        <v>70554</v>
      </c>
    </row>
    <row r="1406">
      <c r="A1406" s="13">
        <f>Github!J$2112</f>
        <v>2111</v>
      </c>
      <c r="B1406" s="14" t="str">
        <f>HYPERLINK(CONCAT("http://leetcode.com/problems/",Github!C$2112), Github!B$2112)</f>
        <v>Minimum Operations to Make the Array K-Increasing</v>
      </c>
      <c r="C1406" s="13">
        <f>Github!F$2112</f>
        <v>589</v>
      </c>
      <c r="D1406" s="13">
        <f>Github!G$2112</f>
        <v>10</v>
      </c>
      <c r="E1406" s="13">
        <f>Github!F$2112+Github!G$2112</f>
        <v>599</v>
      </c>
      <c r="F1406" s="15">
        <f t="shared" si="1"/>
        <v>58.9</v>
      </c>
      <c r="G1406" s="13" t="str">
        <f>ROUND(Github!O$2112, 2)&amp;"%"</f>
        <v>37.82%</v>
      </c>
      <c r="H1406" s="13" t="str">
        <f>Github!H$2112</f>
        <v>Algorithms</v>
      </c>
      <c r="I1406" s="16" t="str">
        <f>SUBSTITUTE(Github!L$2112, ";", ", ")</f>
        <v>Array, Binary Search, </v>
      </c>
      <c r="J1406" s="13" t="str">
        <f>Github!E$2112</f>
        <v>Hard</v>
      </c>
      <c r="K1406" s="13" t="str">
        <f>IF(TRIM(Github!D$2112)="TRUE","FALSE","TRUE")</f>
        <v>TRUE</v>
      </c>
      <c r="L1406" s="13" t="b">
        <f>Github!M$2112</f>
        <v>0</v>
      </c>
      <c r="M1406" s="13" t="b">
        <f>Github!N$2112</f>
        <v>0</v>
      </c>
      <c r="N1406" s="13">
        <f>Github!P$2112</f>
        <v>10449</v>
      </c>
      <c r="O1406" s="13">
        <f>Github!Q$2112</f>
        <v>27628</v>
      </c>
    </row>
    <row r="1407">
      <c r="A1407" s="13">
        <f>Github!J$2247</f>
        <v>2246</v>
      </c>
      <c r="B1407" s="14" t="str">
        <f>HYPERLINK(CONCAT("http://leetcode.com/problems/",Github!C$2247), Github!B$2247)</f>
        <v>Longest Path With Different Adjacent Characters</v>
      </c>
      <c r="C1407" s="13">
        <f>Github!F$2247</f>
        <v>585</v>
      </c>
      <c r="D1407" s="13">
        <f>Github!G$2247</f>
        <v>14</v>
      </c>
      <c r="E1407" s="13">
        <f>Github!F$2247+Github!G$2247</f>
        <v>599</v>
      </c>
      <c r="F1407" s="15">
        <f t="shared" si="1"/>
        <v>41.79</v>
      </c>
      <c r="G1407" s="13" t="str">
        <f>ROUND(Github!O$2247, 2)&amp;"%"</f>
        <v>45.24%</v>
      </c>
      <c r="H1407" s="13" t="str">
        <f>Github!H$2247</f>
        <v>Algorithms</v>
      </c>
      <c r="I1407" s="16" t="str">
        <f>SUBSTITUTE(Github!L$2247, ";", ", ")</f>
        <v>Array, String, Tree, Depth-First Search, Graph, Topological Sort, </v>
      </c>
      <c r="J1407" s="13" t="str">
        <f>Github!E$2247</f>
        <v>Hard</v>
      </c>
      <c r="K1407" s="13" t="str">
        <f>IF(TRIM(Github!D$2247)="TRUE","FALSE","TRUE")</f>
        <v>TRUE</v>
      </c>
      <c r="L1407" s="13" t="b">
        <f>Github!M$2247</f>
        <v>1</v>
      </c>
      <c r="M1407" s="13" t="b">
        <f>Github!N$2247</f>
        <v>0</v>
      </c>
      <c r="N1407" s="13">
        <f>Github!P$2247</f>
        <v>13751</v>
      </c>
      <c r="O1407" s="13">
        <f>Github!Q$2247</f>
        <v>30400</v>
      </c>
    </row>
    <row r="1408">
      <c r="A1408" s="13">
        <f>Github!J$1923</f>
        <v>1922</v>
      </c>
      <c r="B1408" s="14" t="str">
        <f>HYPERLINK(CONCAT("http://leetcode.com/problems/",Github!C$1923), Github!B$1923)</f>
        <v>Count Good Numbers</v>
      </c>
      <c r="C1408" s="13">
        <f>Github!F$1923</f>
        <v>602</v>
      </c>
      <c r="D1408" s="13">
        <f>Github!G$1923</f>
        <v>283</v>
      </c>
      <c r="E1408" s="13">
        <f>Github!F$1923+Github!G$1923</f>
        <v>885</v>
      </c>
      <c r="F1408" s="15">
        <f t="shared" si="1"/>
        <v>2.13</v>
      </c>
      <c r="G1408" s="13" t="str">
        <f>ROUND(Github!O$1923, 2)&amp;"%"</f>
        <v>38.74%</v>
      </c>
      <c r="H1408" s="13" t="str">
        <f>Github!H$1923</f>
        <v>Algorithms</v>
      </c>
      <c r="I1408" s="16" t="str">
        <f>SUBSTITUTE(Github!L$1923, ";", ", ")</f>
        <v>Math, Recursion, </v>
      </c>
      <c r="J1408" s="13" t="str">
        <f>Github!E$1923</f>
        <v>Medium</v>
      </c>
      <c r="K1408" s="13" t="str">
        <f>IF(TRIM(Github!D$1923)="TRUE","FALSE","TRUE")</f>
        <v>TRUE</v>
      </c>
      <c r="L1408" s="13" t="b">
        <f>Github!M$1923</f>
        <v>0</v>
      </c>
      <c r="M1408" s="13" t="b">
        <f>Github!N$1923</f>
        <v>0</v>
      </c>
      <c r="N1408" s="13">
        <f>Github!P$1923</f>
        <v>21517</v>
      </c>
      <c r="O1408" s="13">
        <f>Github!Q$1923</f>
        <v>55546</v>
      </c>
    </row>
    <row r="1409">
      <c r="A1409" s="13">
        <f>Github!J$758</f>
        <v>757</v>
      </c>
      <c r="B1409" s="14" t="str">
        <f>HYPERLINK(CONCAT("http://leetcode.com/problems/",Github!C$758), Github!B$758)</f>
        <v>Set Intersection Size At Least Two</v>
      </c>
      <c r="C1409" s="13">
        <f>Github!F$758</f>
        <v>587</v>
      </c>
      <c r="D1409" s="13">
        <f>Github!G$758</f>
        <v>67</v>
      </c>
      <c r="E1409" s="13">
        <f>Github!F$758+Github!G$758</f>
        <v>654</v>
      </c>
      <c r="F1409" s="15">
        <f t="shared" si="1"/>
        <v>8.76</v>
      </c>
      <c r="G1409" s="13" t="str">
        <f>ROUND(Github!O$758, 2)&amp;"%"</f>
        <v>43.85%</v>
      </c>
      <c r="H1409" s="13" t="str">
        <f>Github!H$758</f>
        <v>Algorithms</v>
      </c>
      <c r="I1409" s="16" t="str">
        <f>SUBSTITUTE(Github!L$758, ";", ", ")</f>
        <v>Array, Greedy, Sorting, </v>
      </c>
      <c r="J1409" s="13" t="str">
        <f>Github!E$758</f>
        <v>Hard</v>
      </c>
      <c r="K1409" s="13" t="str">
        <f>IF(TRIM(Github!D$758)="TRUE","FALSE","TRUE")</f>
        <v>TRUE</v>
      </c>
      <c r="L1409" s="13" t="b">
        <f>Github!M$758</f>
        <v>0</v>
      </c>
      <c r="M1409" s="13" t="b">
        <f>Github!N$758</f>
        <v>0</v>
      </c>
      <c r="N1409" s="13">
        <f>Github!P$758</f>
        <v>18346</v>
      </c>
      <c r="O1409" s="13">
        <f>Github!Q$758</f>
        <v>41841</v>
      </c>
    </row>
    <row r="1410">
      <c r="A1410" s="13">
        <f>Github!J$2014</f>
        <v>2013</v>
      </c>
      <c r="B1410" s="14" t="str">
        <f>HYPERLINK(CONCAT("http://leetcode.com/problems/",Github!C$2014), Github!B$2014)</f>
        <v>Detect Squares</v>
      </c>
      <c r="C1410" s="13">
        <f>Github!F$2014</f>
        <v>588</v>
      </c>
      <c r="D1410" s="13">
        <f>Github!G$2014</f>
        <v>162</v>
      </c>
      <c r="E1410" s="13">
        <f>Github!F$2014+Github!G$2014</f>
        <v>750</v>
      </c>
      <c r="F1410" s="15">
        <f t="shared" si="1"/>
        <v>3.63</v>
      </c>
      <c r="G1410" s="13" t="str">
        <f>ROUND(Github!O$2014, 2)&amp;"%"</f>
        <v>50.2%</v>
      </c>
      <c r="H1410" s="13" t="str">
        <f>Github!H$2014</f>
        <v>Algorithms</v>
      </c>
      <c r="I1410" s="16" t="str">
        <f>SUBSTITUTE(Github!L$2014, ";", ", ")</f>
        <v>Array, Hash Table, Design, Counting, </v>
      </c>
      <c r="J1410" s="13" t="str">
        <f>Github!E$2014</f>
        <v>Medium</v>
      </c>
      <c r="K1410" s="13" t="str">
        <f>IF(TRIM(Github!D$2014)="TRUE","FALSE","TRUE")</f>
        <v>TRUE</v>
      </c>
      <c r="L1410" s="13" t="b">
        <f>Github!M$2014</f>
        <v>0</v>
      </c>
      <c r="M1410" s="13" t="b">
        <f>Github!N$2014</f>
        <v>0</v>
      </c>
      <c r="N1410" s="13">
        <f>Github!P$2014</f>
        <v>41419</v>
      </c>
      <c r="O1410" s="13">
        <f>Github!Q$2014</f>
        <v>82510</v>
      </c>
    </row>
    <row r="1411">
      <c r="A1411" s="13">
        <f>Github!J$1378</f>
        <v>1377</v>
      </c>
      <c r="B1411" s="14" t="str">
        <f>HYPERLINK(CONCAT("http://leetcode.com/problems/",Github!C$1378), Github!B$1378)</f>
        <v>Frog Position After T Seconds</v>
      </c>
      <c r="C1411" s="13">
        <f>Github!F$1378</f>
        <v>586</v>
      </c>
      <c r="D1411" s="13">
        <f>Github!G$1378</f>
        <v>122</v>
      </c>
      <c r="E1411" s="13">
        <f>Github!F$1378+Github!G$1378</f>
        <v>708</v>
      </c>
      <c r="F1411" s="15">
        <f t="shared" si="1"/>
        <v>4.8</v>
      </c>
      <c r="G1411" s="13" t="str">
        <f>ROUND(Github!O$1378, 2)&amp;"%"</f>
        <v>36.07%</v>
      </c>
      <c r="H1411" s="13" t="str">
        <f>Github!H$1378</f>
        <v>Algorithms</v>
      </c>
      <c r="I1411" s="16" t="str">
        <f>SUBSTITUTE(Github!L$1378, ";", ", ")</f>
        <v>Tree, Depth-First Search, Breadth-First Search, Graph, </v>
      </c>
      <c r="J1411" s="13" t="str">
        <f>Github!E$1378</f>
        <v>Hard</v>
      </c>
      <c r="K1411" s="13" t="str">
        <f>IF(TRIM(Github!D$1378)="TRUE","FALSE","TRUE")</f>
        <v>TRUE</v>
      </c>
      <c r="L1411" s="13" t="b">
        <f>Github!M$1378</f>
        <v>0</v>
      </c>
      <c r="M1411" s="13" t="b">
        <f>Github!N$1378</f>
        <v>0</v>
      </c>
      <c r="N1411" s="13">
        <f>Github!P$1378</f>
        <v>23329</v>
      </c>
      <c r="O1411" s="13">
        <f>Github!Q$1378</f>
        <v>64680</v>
      </c>
    </row>
    <row r="1412">
      <c r="A1412" s="13">
        <f>Github!J$2227</f>
        <v>2226</v>
      </c>
      <c r="B1412" s="14" t="str">
        <f>HYPERLINK(CONCAT("http://leetcode.com/problems/",Github!C$2227), Github!B$2227)</f>
        <v>Maximum Candies Allocated to K Children</v>
      </c>
      <c r="C1412" s="13">
        <f>Github!F$2227</f>
        <v>601</v>
      </c>
      <c r="D1412" s="13">
        <f>Github!G$2227</f>
        <v>28</v>
      </c>
      <c r="E1412" s="13">
        <f>Github!F$2227+Github!G$2227</f>
        <v>629</v>
      </c>
      <c r="F1412" s="15">
        <f t="shared" si="1"/>
        <v>21.46</v>
      </c>
      <c r="G1412" s="13" t="str">
        <f>ROUND(Github!O$2227, 2)&amp;"%"</f>
        <v>36.25%</v>
      </c>
      <c r="H1412" s="13" t="str">
        <f>Github!H$2227</f>
        <v>Algorithms</v>
      </c>
      <c r="I1412" s="16" t="str">
        <f>SUBSTITUTE(Github!L$2227, ";", ", ")</f>
        <v>Array, Binary Search, </v>
      </c>
      <c r="J1412" s="13" t="str">
        <f>Github!E$2227</f>
        <v>Medium</v>
      </c>
      <c r="K1412" s="13" t="str">
        <f>IF(TRIM(Github!D$2227)="TRUE","FALSE","TRUE")</f>
        <v>TRUE</v>
      </c>
      <c r="L1412" s="13" t="b">
        <f>Github!M$2227</f>
        <v>0</v>
      </c>
      <c r="M1412" s="13" t="b">
        <f>Github!N$2227</f>
        <v>0</v>
      </c>
      <c r="N1412" s="13">
        <f>Github!P$2227</f>
        <v>22687</v>
      </c>
      <c r="O1412" s="13">
        <f>Github!Q$2227</f>
        <v>62581</v>
      </c>
    </row>
    <row r="1413">
      <c r="A1413" s="13">
        <f>Github!J$1063</f>
        <v>1062</v>
      </c>
      <c r="B1413" s="14" t="str">
        <f>HYPERLINK(CONCAT("http://leetcode.com/problems/",Github!C$1063), Github!B$1063)</f>
        <v>Longest Repeating Substring</v>
      </c>
      <c r="C1413" s="13">
        <f>Github!F$1063</f>
        <v>580</v>
      </c>
      <c r="D1413" s="13">
        <f>Github!G$1063</f>
        <v>40</v>
      </c>
      <c r="E1413" s="13">
        <f>Github!F$1063+Github!G$1063</f>
        <v>620</v>
      </c>
      <c r="F1413" s="15">
        <f t="shared" si="1"/>
        <v>14.5</v>
      </c>
      <c r="G1413" s="13" t="str">
        <f>ROUND(Github!O$1063, 2)&amp;"%"</f>
        <v>59.26%</v>
      </c>
      <c r="H1413" s="13" t="str">
        <f>Github!H$1063</f>
        <v>Algorithms</v>
      </c>
      <c r="I1413" s="16" t="str">
        <f>SUBSTITUTE(Github!L$1063, ";", ", ")</f>
        <v>String, Binary Search, Dynamic Programming, Rolling Hash, Suffix Array, Hash Function, </v>
      </c>
      <c r="J1413" s="13" t="str">
        <f>Github!E$1063</f>
        <v>Medium</v>
      </c>
      <c r="K1413" s="13" t="str">
        <f>IF(TRIM(Github!D$1063)="TRUE","FALSE","TRUE")</f>
        <v>FALSE</v>
      </c>
      <c r="L1413" s="13" t="b">
        <f>Github!M$1063</f>
        <v>1</v>
      </c>
      <c r="M1413" s="13" t="b">
        <f>Github!N$1063</f>
        <v>0</v>
      </c>
      <c r="N1413" s="13">
        <f>Github!P$1063</f>
        <v>31512</v>
      </c>
      <c r="O1413" s="13">
        <f>Github!Q$1063</f>
        <v>53177</v>
      </c>
    </row>
    <row r="1414">
      <c r="A1414" s="13">
        <f>Github!J$1450</f>
        <v>1449</v>
      </c>
      <c r="B1414" s="14" t="str">
        <f>HYPERLINK(CONCAT("http://leetcode.com/problems/",Github!C$1450), Github!B$1450)</f>
        <v>Form Largest Integer With Digits That Add up to Target</v>
      </c>
      <c r="C1414" s="13">
        <f>Github!F$1450</f>
        <v>582</v>
      </c>
      <c r="D1414" s="13">
        <f>Github!G$1450</f>
        <v>12</v>
      </c>
      <c r="E1414" s="13">
        <f>Github!F$1450+Github!G$1450</f>
        <v>594</v>
      </c>
      <c r="F1414" s="15">
        <f t="shared" si="1"/>
        <v>48.5</v>
      </c>
      <c r="G1414" s="13" t="str">
        <f>ROUND(Github!O$1450, 2)&amp;"%"</f>
        <v>47.54%</v>
      </c>
      <c r="H1414" s="13" t="str">
        <f>Github!H$1450</f>
        <v>Algorithms</v>
      </c>
      <c r="I1414" s="16" t="str">
        <f>SUBSTITUTE(Github!L$1450, ";", ", ")</f>
        <v>Array, Dynamic Programming, </v>
      </c>
      <c r="J1414" s="13" t="str">
        <f>Github!E$1450</f>
        <v>Hard</v>
      </c>
      <c r="K1414" s="13" t="str">
        <f>IF(TRIM(Github!D$1450)="TRUE","FALSE","TRUE")</f>
        <v>TRUE</v>
      </c>
      <c r="L1414" s="13" t="b">
        <f>Github!M$1450</f>
        <v>0</v>
      </c>
      <c r="M1414" s="13" t="b">
        <f>Github!N$1450</f>
        <v>0</v>
      </c>
      <c r="N1414" s="13">
        <f>Github!P$1450</f>
        <v>14126</v>
      </c>
      <c r="O1414" s="13">
        <f>Github!Q$1450</f>
        <v>29716</v>
      </c>
    </row>
    <row r="1415">
      <c r="A1415" s="13">
        <f>Github!J$1985</f>
        <v>1984</v>
      </c>
      <c r="B1415" s="14" t="str">
        <f>HYPERLINK(CONCAT("http://leetcode.com/problems/",Github!C$1985), Github!B$1985)</f>
        <v>Minimum Difference Between Highest and Lowest of K Scores</v>
      </c>
      <c r="C1415" s="13">
        <f>Github!F$1985</f>
        <v>602</v>
      </c>
      <c r="D1415" s="13">
        <f>Github!G$1985</f>
        <v>97</v>
      </c>
      <c r="E1415" s="13">
        <f>Github!F$1985+Github!G$1985</f>
        <v>699</v>
      </c>
      <c r="F1415" s="15">
        <f t="shared" si="1"/>
        <v>6.21</v>
      </c>
      <c r="G1415" s="13" t="str">
        <f>ROUND(Github!O$1985, 2)&amp;"%"</f>
        <v>53.9%</v>
      </c>
      <c r="H1415" s="13" t="str">
        <f>Github!H$1985</f>
        <v>Algorithms</v>
      </c>
      <c r="I1415" s="16" t="str">
        <f>SUBSTITUTE(Github!L$1985, ";", ", ")</f>
        <v>Array, Sliding Window, Sorting, </v>
      </c>
      <c r="J1415" s="13" t="str">
        <f>Github!E$1985</f>
        <v>Easy</v>
      </c>
      <c r="K1415" s="13" t="str">
        <f>IF(TRIM(Github!D$1985)="TRUE","FALSE","TRUE")</f>
        <v>TRUE</v>
      </c>
      <c r="L1415" s="13" t="b">
        <f>Github!M$1985</f>
        <v>0</v>
      </c>
      <c r="M1415" s="13" t="b">
        <f>Github!N$1985</f>
        <v>0</v>
      </c>
      <c r="N1415" s="13">
        <f>Github!P$1985</f>
        <v>37073</v>
      </c>
      <c r="O1415" s="13">
        <f>Github!Q$1985</f>
        <v>68786</v>
      </c>
    </row>
    <row r="1416">
      <c r="A1416" s="13">
        <f>Github!J$1031</f>
        <v>1030</v>
      </c>
      <c r="B1416" s="14" t="str">
        <f>HYPERLINK(CONCAT("http://leetcode.com/problems/",Github!C$1031), Github!B$1031)</f>
        <v>Matrix Cells in Distance Order</v>
      </c>
      <c r="C1416" s="13">
        <f>Github!F$1031</f>
        <v>584</v>
      </c>
      <c r="D1416" s="13">
        <f>Github!G$1031</f>
        <v>264</v>
      </c>
      <c r="E1416" s="13">
        <f>Github!F$1031+Github!G$1031</f>
        <v>848</v>
      </c>
      <c r="F1416" s="15">
        <f t="shared" si="1"/>
        <v>2.21</v>
      </c>
      <c r="G1416" s="13" t="str">
        <f>ROUND(Github!O$1031, 2)&amp;"%"</f>
        <v>69.38%</v>
      </c>
      <c r="H1416" s="13" t="str">
        <f>Github!H$1031</f>
        <v>Algorithms</v>
      </c>
      <c r="I1416" s="16" t="str">
        <f>SUBSTITUTE(Github!L$1031, ";", ", ")</f>
        <v>Array, Math, Geometry, Sorting, Matrix, </v>
      </c>
      <c r="J1416" s="13" t="str">
        <f>Github!E$1031</f>
        <v>Easy</v>
      </c>
      <c r="K1416" s="13" t="str">
        <f>IF(TRIM(Github!D$1031)="TRUE","FALSE","TRUE")</f>
        <v>TRUE</v>
      </c>
      <c r="L1416" s="13" t="b">
        <f>Github!M$1031</f>
        <v>0</v>
      </c>
      <c r="M1416" s="13" t="b">
        <f>Github!N$1031</f>
        <v>0</v>
      </c>
      <c r="N1416" s="13">
        <f>Github!P$1031</f>
        <v>47797</v>
      </c>
      <c r="O1416" s="13">
        <f>Github!Q$1031</f>
        <v>68892</v>
      </c>
    </row>
    <row r="1417">
      <c r="A1417" s="13">
        <f>Github!J$2055</f>
        <v>2054</v>
      </c>
      <c r="B1417" s="14" t="str">
        <f>HYPERLINK(CONCAT("http://leetcode.com/problems/",Github!C$2055), Github!B$2055)</f>
        <v>Two Best Non-Overlapping Events</v>
      </c>
      <c r="C1417" s="13">
        <f>Github!F$2055</f>
        <v>579</v>
      </c>
      <c r="D1417" s="13">
        <f>Github!G$2055</f>
        <v>14</v>
      </c>
      <c r="E1417" s="13">
        <f>Github!F$2055+Github!G$2055</f>
        <v>593</v>
      </c>
      <c r="F1417" s="15">
        <f t="shared" si="1"/>
        <v>41.36</v>
      </c>
      <c r="G1417" s="13" t="str">
        <f>ROUND(Github!O$2055, 2)&amp;"%"</f>
        <v>45.19%</v>
      </c>
      <c r="H1417" s="13" t="str">
        <f>Github!H$2055</f>
        <v>Algorithms</v>
      </c>
      <c r="I1417" s="16" t="str">
        <f>SUBSTITUTE(Github!L$2055, ";", ", ")</f>
        <v>Array, Binary Search, Dynamic Programming, Sorting, Heap (Priority Queue), </v>
      </c>
      <c r="J1417" s="13" t="str">
        <f>Github!E$2055</f>
        <v>Medium</v>
      </c>
      <c r="K1417" s="13" t="str">
        <f>IF(TRIM(Github!D$2055)="TRUE","FALSE","TRUE")</f>
        <v>TRUE</v>
      </c>
      <c r="L1417" s="13" t="b">
        <f>Github!M$2055</f>
        <v>0</v>
      </c>
      <c r="M1417" s="13" t="b">
        <f>Github!N$2055</f>
        <v>0</v>
      </c>
      <c r="N1417" s="13">
        <f>Github!P$2055</f>
        <v>12525</v>
      </c>
      <c r="O1417" s="13">
        <f>Github!Q$2055</f>
        <v>27714</v>
      </c>
    </row>
    <row r="1418">
      <c r="A1418" s="13">
        <f>Github!J$1241</f>
        <v>1240</v>
      </c>
      <c r="B1418" s="14" t="str">
        <f>HYPERLINK(CONCAT("http://leetcode.com/problems/",Github!C$1241), Github!B$1241)</f>
        <v>Tiling a Rectangle with the Fewest Squares</v>
      </c>
      <c r="C1418" s="13">
        <f>Github!F$1241</f>
        <v>580</v>
      </c>
      <c r="D1418" s="13">
        <f>Github!G$1241</f>
        <v>529</v>
      </c>
      <c r="E1418" s="13">
        <f>Github!F$1241+Github!G$1241</f>
        <v>1109</v>
      </c>
      <c r="F1418" s="15">
        <f t="shared" si="1"/>
        <v>1.1</v>
      </c>
      <c r="G1418" s="13" t="str">
        <f>ROUND(Github!O$1241, 2)&amp;"%"</f>
        <v>54%</v>
      </c>
      <c r="H1418" s="13" t="str">
        <f>Github!H$1241</f>
        <v>Algorithms</v>
      </c>
      <c r="I1418" s="16" t="str">
        <f>SUBSTITUTE(Github!L$1241, ";", ", ")</f>
        <v>Dynamic Programming, Backtracking, </v>
      </c>
      <c r="J1418" s="13" t="str">
        <f>Github!E$1241</f>
        <v>Hard</v>
      </c>
      <c r="K1418" s="13" t="str">
        <f>IF(TRIM(Github!D$1241)="TRUE","FALSE","TRUE")</f>
        <v>TRUE</v>
      </c>
      <c r="L1418" s="13" t="b">
        <f>Github!M$1241</f>
        <v>0</v>
      </c>
      <c r="M1418" s="13" t="b">
        <f>Github!N$1241</f>
        <v>0</v>
      </c>
      <c r="N1418" s="13">
        <f>Github!P$1241</f>
        <v>20907</v>
      </c>
      <c r="O1418" s="13">
        <f>Github!Q$1241</f>
        <v>38719</v>
      </c>
    </row>
    <row r="1419">
      <c r="A1419" s="13">
        <f>Github!J$2168</f>
        <v>2167</v>
      </c>
      <c r="B1419" s="14" t="str">
        <f>HYPERLINK(CONCAT("http://leetcode.com/problems/",Github!C$2168), Github!B$2168)</f>
        <v>Minimum Time to Remove All Cars Containing Illegal Goods</v>
      </c>
      <c r="C1419" s="13">
        <f>Github!F$2168</f>
        <v>580</v>
      </c>
      <c r="D1419" s="13">
        <f>Github!G$2168</f>
        <v>10</v>
      </c>
      <c r="E1419" s="13">
        <f>Github!F$2168+Github!G$2168</f>
        <v>590</v>
      </c>
      <c r="F1419" s="15">
        <f t="shared" si="1"/>
        <v>58</v>
      </c>
      <c r="G1419" s="13" t="str">
        <f>ROUND(Github!O$2168, 2)&amp;"%"</f>
        <v>40.25%</v>
      </c>
      <c r="H1419" s="13" t="str">
        <f>Github!H$2168</f>
        <v>Algorithms</v>
      </c>
      <c r="I1419" s="16" t="str">
        <f>SUBSTITUTE(Github!L$2168, ";", ", ")</f>
        <v>String, Dynamic Programming, </v>
      </c>
      <c r="J1419" s="13" t="str">
        <f>Github!E$2168</f>
        <v>Hard</v>
      </c>
      <c r="K1419" s="13" t="str">
        <f>IF(TRIM(Github!D$2168)="TRUE","FALSE","TRUE")</f>
        <v>TRUE</v>
      </c>
      <c r="L1419" s="13" t="b">
        <f>Github!M$2168</f>
        <v>0</v>
      </c>
      <c r="M1419" s="13" t="b">
        <f>Github!N$2168</f>
        <v>0</v>
      </c>
      <c r="N1419" s="13">
        <f>Github!P$2168</f>
        <v>9796</v>
      </c>
      <c r="O1419" s="13">
        <f>Github!Q$2168</f>
        <v>24337</v>
      </c>
    </row>
    <row r="1420">
      <c r="A1420" s="13">
        <f>Github!J$1852</f>
        <v>1851</v>
      </c>
      <c r="B1420" s="14" t="str">
        <f>HYPERLINK(CONCAT("http://leetcode.com/problems/",Github!C$1852), Github!B$1852)</f>
        <v>Minimum Interval to Include Each Query</v>
      </c>
      <c r="C1420" s="13">
        <f>Github!F$1852</f>
        <v>582</v>
      </c>
      <c r="D1420" s="13">
        <f>Github!G$1852</f>
        <v>14</v>
      </c>
      <c r="E1420" s="13">
        <f>Github!F$1852+Github!G$1852</f>
        <v>596</v>
      </c>
      <c r="F1420" s="15">
        <f t="shared" si="1"/>
        <v>41.57</v>
      </c>
      <c r="G1420" s="13" t="str">
        <f>ROUND(Github!O$1852, 2)&amp;"%"</f>
        <v>47.92%</v>
      </c>
      <c r="H1420" s="13" t="str">
        <f>Github!H$1852</f>
        <v>Algorithms</v>
      </c>
      <c r="I1420" s="16" t="str">
        <f>SUBSTITUTE(Github!L$1852, ";", ", ")</f>
        <v>Array, Binary Search, Line Sweep, Sorting, Heap (Priority Queue), </v>
      </c>
      <c r="J1420" s="13" t="str">
        <f>Github!E$1852</f>
        <v>Hard</v>
      </c>
      <c r="K1420" s="13" t="str">
        <f>IF(TRIM(Github!D$1852)="TRUE","FALSE","TRUE")</f>
        <v>TRUE</v>
      </c>
      <c r="L1420" s="13" t="b">
        <f>Github!M$1852</f>
        <v>0</v>
      </c>
      <c r="M1420" s="13" t="b">
        <f>Github!N$1852</f>
        <v>0</v>
      </c>
      <c r="N1420" s="13">
        <f>Github!P$1852</f>
        <v>14019</v>
      </c>
      <c r="O1420" s="13">
        <f>Github!Q$1852</f>
        <v>29254</v>
      </c>
    </row>
    <row r="1421">
      <c r="A1421" s="13">
        <f>Github!J$2142</f>
        <v>2141</v>
      </c>
      <c r="B1421" s="14" t="str">
        <f>HYPERLINK(CONCAT("http://leetcode.com/problems/",Github!C$2142), Github!B$2142)</f>
        <v>Maximum Running Time of N Computers</v>
      </c>
      <c r="C1421" s="13">
        <f>Github!F$2142</f>
        <v>584</v>
      </c>
      <c r="D1421" s="13">
        <f>Github!G$2142</f>
        <v>15</v>
      </c>
      <c r="E1421" s="13">
        <f>Github!F$2142+Github!G$2142</f>
        <v>599</v>
      </c>
      <c r="F1421" s="15">
        <f t="shared" si="1"/>
        <v>38.93</v>
      </c>
      <c r="G1421" s="13" t="str">
        <f>ROUND(Github!O$2142, 2)&amp;"%"</f>
        <v>39.18%</v>
      </c>
      <c r="H1421" s="13" t="str">
        <f>Github!H$2142</f>
        <v>Algorithms</v>
      </c>
      <c r="I1421" s="16" t="str">
        <f>SUBSTITUTE(Github!L$2142, ";", ", ")</f>
        <v>Array, Binary Search, Greedy, Sorting, </v>
      </c>
      <c r="J1421" s="13" t="str">
        <f>Github!E$2142</f>
        <v>Hard</v>
      </c>
      <c r="K1421" s="13" t="str">
        <f>IF(TRIM(Github!D$2142)="TRUE","FALSE","TRUE")</f>
        <v>TRUE</v>
      </c>
      <c r="L1421" s="13" t="b">
        <f>Github!M$2142</f>
        <v>0</v>
      </c>
      <c r="M1421" s="13" t="b">
        <f>Github!N$2142</f>
        <v>0</v>
      </c>
      <c r="N1421" s="13">
        <f>Github!P$2142</f>
        <v>10568</v>
      </c>
      <c r="O1421" s="13">
        <f>Github!Q$2142</f>
        <v>26974</v>
      </c>
    </row>
    <row r="1422">
      <c r="A1422" s="13">
        <f>Github!J$1171</f>
        <v>1170</v>
      </c>
      <c r="B1422" s="14" t="str">
        <f>HYPERLINK(CONCAT("http://leetcode.com/problems/",Github!C$1171), Github!B$1171)</f>
        <v>Compare Strings by Frequency of the Smallest Character</v>
      </c>
      <c r="C1422" s="13">
        <f>Github!F$1171</f>
        <v>577</v>
      </c>
      <c r="D1422" s="13">
        <f>Github!G$1171</f>
        <v>932</v>
      </c>
      <c r="E1422" s="13">
        <f>Github!F$1171+Github!G$1171</f>
        <v>1509</v>
      </c>
      <c r="F1422" s="15">
        <f t="shared" si="1"/>
        <v>0.62</v>
      </c>
      <c r="G1422" s="13" t="str">
        <f>ROUND(Github!O$1171, 2)&amp;"%"</f>
        <v>61.4%</v>
      </c>
      <c r="H1422" s="13" t="str">
        <f>Github!H$1171</f>
        <v>Algorithms</v>
      </c>
      <c r="I1422" s="16" t="str">
        <f>SUBSTITUTE(Github!L$1171, ";", ", ")</f>
        <v>Array, Hash Table, String, Binary Search, Sorting, </v>
      </c>
      <c r="J1422" s="13" t="str">
        <f>Github!E$1171</f>
        <v>Medium</v>
      </c>
      <c r="K1422" s="13" t="str">
        <f>IF(TRIM(Github!D$1171)="TRUE","FALSE","TRUE")</f>
        <v>TRUE</v>
      </c>
      <c r="L1422" s="13" t="b">
        <f>Github!M$1171</f>
        <v>0</v>
      </c>
      <c r="M1422" s="13" t="b">
        <f>Github!N$1171</f>
        <v>0</v>
      </c>
      <c r="N1422" s="13">
        <f>Github!P$1171</f>
        <v>70390</v>
      </c>
      <c r="O1422" s="13">
        <f>Github!Q$1171</f>
        <v>114638</v>
      </c>
    </row>
    <row r="1423">
      <c r="A1423" s="13">
        <f>Github!J$1731</f>
        <v>1730</v>
      </c>
      <c r="B1423" s="14" t="str">
        <f>HYPERLINK(CONCAT("http://leetcode.com/problems/",Github!C$1731), Github!B$1731)</f>
        <v>Shortest Path to Get Food</v>
      </c>
      <c r="C1423" s="13">
        <f>Github!F$1731</f>
        <v>577</v>
      </c>
      <c r="D1423" s="13">
        <f>Github!G$1731</f>
        <v>35</v>
      </c>
      <c r="E1423" s="13">
        <f>Github!F$1731+Github!G$1731</f>
        <v>612</v>
      </c>
      <c r="F1423" s="15">
        <f t="shared" si="1"/>
        <v>16.49</v>
      </c>
      <c r="G1423" s="13" t="str">
        <f>ROUND(Github!O$1731, 2)&amp;"%"</f>
        <v>54.11%</v>
      </c>
      <c r="H1423" s="13" t="str">
        <f>Github!H$1731</f>
        <v>Algorithms</v>
      </c>
      <c r="I1423" s="16" t="str">
        <f>SUBSTITUTE(Github!L$1731, ";", ", ")</f>
        <v>Array, Breadth-First Search, Matrix, </v>
      </c>
      <c r="J1423" s="13" t="str">
        <f>Github!E$1731</f>
        <v>Medium</v>
      </c>
      <c r="K1423" s="13" t="str">
        <f>IF(TRIM(Github!D$1731)="TRUE","FALSE","TRUE")</f>
        <v>FALSE</v>
      </c>
      <c r="L1423" s="13" t="b">
        <f>Github!M$1731</f>
        <v>0</v>
      </c>
      <c r="M1423" s="13" t="b">
        <f>Github!N$1731</f>
        <v>0</v>
      </c>
      <c r="N1423" s="13">
        <f>Github!P$1731</f>
        <v>50971</v>
      </c>
      <c r="O1423" s="13">
        <f>Github!Q$1731</f>
        <v>94202</v>
      </c>
    </row>
    <row r="1424">
      <c r="A1424" s="13">
        <f>Github!J$1497</f>
        <v>1496</v>
      </c>
      <c r="B1424" s="14" t="str">
        <f>HYPERLINK(CONCAT("http://leetcode.com/problems/",Github!C$1497), Github!B$1497)</f>
        <v>Path Crossing</v>
      </c>
      <c r="C1424" s="13">
        <f>Github!F$1497</f>
        <v>579</v>
      </c>
      <c r="D1424" s="13">
        <f>Github!G$1497</f>
        <v>12</v>
      </c>
      <c r="E1424" s="13">
        <f>Github!F$1497+Github!G$1497</f>
        <v>591</v>
      </c>
      <c r="F1424" s="15">
        <f t="shared" si="1"/>
        <v>48.25</v>
      </c>
      <c r="G1424" s="13" t="str">
        <f>ROUND(Github!O$1497, 2)&amp;"%"</f>
        <v>55.93%</v>
      </c>
      <c r="H1424" s="13" t="str">
        <f>Github!H$1497</f>
        <v>Algorithms</v>
      </c>
      <c r="I1424" s="16" t="str">
        <f>SUBSTITUTE(Github!L$1497, ";", ", ")</f>
        <v>Hash Table, String, </v>
      </c>
      <c r="J1424" s="13" t="str">
        <f>Github!E$1497</f>
        <v>Easy</v>
      </c>
      <c r="K1424" s="13" t="str">
        <f>IF(TRIM(Github!D$1497)="TRUE","FALSE","TRUE")</f>
        <v>TRUE</v>
      </c>
      <c r="L1424" s="13" t="b">
        <f>Github!M$1497</f>
        <v>0</v>
      </c>
      <c r="M1424" s="13" t="b">
        <f>Github!N$1497</f>
        <v>0</v>
      </c>
      <c r="N1424" s="13">
        <f>Github!P$1497</f>
        <v>41962</v>
      </c>
      <c r="O1424" s="13">
        <f>Github!Q$1497</f>
        <v>75027</v>
      </c>
    </row>
    <row r="1425">
      <c r="A1425" s="13">
        <f>Github!J$435</f>
        <v>434</v>
      </c>
      <c r="B1425" s="14" t="str">
        <f>HYPERLINK(CONCAT("http://leetcode.com/problems/",Github!C$435), Github!B$435)</f>
        <v>Number of Segments in a String</v>
      </c>
      <c r="C1425" s="13">
        <f>Github!F$435</f>
        <v>581</v>
      </c>
      <c r="D1425" s="13">
        <f>Github!G$435</f>
        <v>1098</v>
      </c>
      <c r="E1425" s="13">
        <f>Github!F$435+Github!G$435</f>
        <v>1679</v>
      </c>
      <c r="F1425" s="15">
        <f t="shared" si="1"/>
        <v>0.53</v>
      </c>
      <c r="G1425" s="13" t="str">
        <f>ROUND(Github!O$435, 2)&amp;"%"</f>
        <v>37.56%</v>
      </c>
      <c r="H1425" s="13" t="str">
        <f>Github!H$435</f>
        <v>Algorithms</v>
      </c>
      <c r="I1425" s="16" t="str">
        <f>SUBSTITUTE(Github!L$435, ";", ", ")</f>
        <v>String, </v>
      </c>
      <c r="J1425" s="13" t="str">
        <f>Github!E$435</f>
        <v>Easy</v>
      </c>
      <c r="K1425" s="13" t="str">
        <f>IF(TRIM(Github!D$435)="TRUE","FALSE","TRUE")</f>
        <v>TRUE</v>
      </c>
      <c r="L1425" s="13" t="b">
        <f>Github!M$435</f>
        <v>1</v>
      </c>
      <c r="M1425" s="13" t="b">
        <f>Github!N$435</f>
        <v>0</v>
      </c>
      <c r="N1425" s="13">
        <f>Github!P$435</f>
        <v>134327</v>
      </c>
      <c r="O1425" s="13">
        <f>Github!Q$435</f>
        <v>357656</v>
      </c>
    </row>
    <row r="1426">
      <c r="A1426" s="13">
        <f>Github!J$565</f>
        <v>564</v>
      </c>
      <c r="B1426" s="14" t="str">
        <f>HYPERLINK(CONCAT("http://leetcode.com/problems/",Github!C$565), Github!B$565)</f>
        <v>Find the Closest Palindrome</v>
      </c>
      <c r="C1426" s="13">
        <f>Github!F$565</f>
        <v>576</v>
      </c>
      <c r="D1426" s="13">
        <f>Github!G$565</f>
        <v>1282</v>
      </c>
      <c r="E1426" s="13">
        <f>Github!F$565+Github!G$565</f>
        <v>1858</v>
      </c>
      <c r="F1426" s="15">
        <f t="shared" si="1"/>
        <v>0.45</v>
      </c>
      <c r="G1426" s="13" t="str">
        <f>ROUND(Github!O$565, 2)&amp;"%"</f>
        <v>21.96%</v>
      </c>
      <c r="H1426" s="13" t="str">
        <f>Github!H$565</f>
        <v>Algorithms</v>
      </c>
      <c r="I1426" s="16" t="str">
        <f>SUBSTITUTE(Github!L$565, ";", ", ")</f>
        <v>Math, String, </v>
      </c>
      <c r="J1426" s="13" t="str">
        <f>Github!E$565</f>
        <v>Hard</v>
      </c>
      <c r="K1426" s="13" t="str">
        <f>IF(TRIM(Github!D$565)="TRUE","FALSE","TRUE")</f>
        <v>TRUE</v>
      </c>
      <c r="L1426" s="13" t="b">
        <f>Github!M$565</f>
        <v>1</v>
      </c>
      <c r="M1426" s="13" t="b">
        <f>Github!N$565</f>
        <v>0</v>
      </c>
      <c r="N1426" s="13">
        <f>Github!P$565</f>
        <v>36592</v>
      </c>
      <c r="O1426" s="13">
        <f>Github!Q$565</f>
        <v>166604</v>
      </c>
    </row>
    <row r="1427">
      <c r="A1427" s="13">
        <f>Github!J$428</f>
        <v>427</v>
      </c>
      <c r="B1427" s="14" t="str">
        <f>HYPERLINK(CONCAT("http://leetcode.com/problems/",Github!C$428), Github!B$428)</f>
        <v>Construct Quad Tree</v>
      </c>
      <c r="C1427" s="13">
        <f>Github!F$428</f>
        <v>574</v>
      </c>
      <c r="D1427" s="13">
        <f>Github!G$428</f>
        <v>779</v>
      </c>
      <c r="E1427" s="13">
        <f>Github!F$428+Github!G$428</f>
        <v>1353</v>
      </c>
      <c r="F1427" s="15">
        <f t="shared" si="1"/>
        <v>0.74</v>
      </c>
      <c r="G1427" s="13" t="str">
        <f>ROUND(Github!O$428, 2)&amp;"%"</f>
        <v>66.52%</v>
      </c>
      <c r="H1427" s="13" t="str">
        <f>Github!H$428</f>
        <v>Algorithms</v>
      </c>
      <c r="I1427" s="16" t="str">
        <f>SUBSTITUTE(Github!L$428, ";", ", ")</f>
        <v>Array, Divide and Conquer, Tree, Matrix, </v>
      </c>
      <c r="J1427" s="13" t="str">
        <f>Github!E$428</f>
        <v>Medium</v>
      </c>
      <c r="K1427" s="13" t="str">
        <f>IF(TRIM(Github!D$428)="TRUE","FALSE","TRUE")</f>
        <v>TRUE</v>
      </c>
      <c r="L1427" s="13" t="b">
        <f>Github!M$428</f>
        <v>1</v>
      </c>
      <c r="M1427" s="13" t="b">
        <f>Github!N$428</f>
        <v>0</v>
      </c>
      <c r="N1427" s="13">
        <f>Github!P$428</f>
        <v>51239</v>
      </c>
      <c r="O1427" s="13">
        <f>Github!Q$428</f>
        <v>77025</v>
      </c>
    </row>
    <row r="1428">
      <c r="A1428" s="13">
        <f>Github!J$645</f>
        <v>644</v>
      </c>
      <c r="B1428" s="14" t="str">
        <f>HYPERLINK(CONCAT("http://leetcode.com/problems/",Github!C$645), Github!B$645)</f>
        <v>Maximum Average Subarray II</v>
      </c>
      <c r="C1428" s="13">
        <f>Github!F$645</f>
        <v>572</v>
      </c>
      <c r="D1428" s="13">
        <f>Github!G$645</f>
        <v>64</v>
      </c>
      <c r="E1428" s="13">
        <f>Github!F$645+Github!G$645</f>
        <v>636</v>
      </c>
      <c r="F1428" s="15">
        <f t="shared" si="1"/>
        <v>8.94</v>
      </c>
      <c r="G1428" s="13" t="str">
        <f>ROUND(Github!O$645, 2)&amp;"%"</f>
        <v>35.85%</v>
      </c>
      <c r="H1428" s="13" t="str">
        <f>Github!H$645</f>
        <v>Algorithms</v>
      </c>
      <c r="I1428" s="16" t="str">
        <f>SUBSTITUTE(Github!L$645, ";", ", ")</f>
        <v>Array, Binary Search, Prefix Sum, </v>
      </c>
      <c r="J1428" s="13" t="str">
        <f>Github!E$645</f>
        <v>Hard</v>
      </c>
      <c r="K1428" s="13" t="str">
        <f>IF(TRIM(Github!D$645)="TRUE","FALSE","TRUE")</f>
        <v>FALSE</v>
      </c>
      <c r="L1428" s="13" t="b">
        <f>Github!M$645</f>
        <v>1</v>
      </c>
      <c r="M1428" s="13" t="b">
        <f>Github!N$645</f>
        <v>1</v>
      </c>
      <c r="N1428" s="13">
        <f>Github!P$645</f>
        <v>18406</v>
      </c>
      <c r="O1428" s="13">
        <f>Github!Q$645</f>
        <v>51336</v>
      </c>
    </row>
    <row r="1429">
      <c r="A1429" s="13">
        <f>Github!J$1671</f>
        <v>1670</v>
      </c>
      <c r="B1429" s="14" t="str">
        <f>HYPERLINK(CONCAT("http://leetcode.com/problems/",Github!C$1671), Github!B$1671)</f>
        <v>Design Front Middle Back Queue</v>
      </c>
      <c r="C1429" s="13">
        <f>Github!F$1671</f>
        <v>573</v>
      </c>
      <c r="D1429" s="13">
        <f>Github!G$1671</f>
        <v>83</v>
      </c>
      <c r="E1429" s="13">
        <f>Github!F$1671+Github!G$1671</f>
        <v>656</v>
      </c>
      <c r="F1429" s="15">
        <f t="shared" si="1"/>
        <v>6.9</v>
      </c>
      <c r="G1429" s="13" t="str">
        <f>ROUND(Github!O$1671, 2)&amp;"%"</f>
        <v>57.48%</v>
      </c>
      <c r="H1429" s="13" t="str">
        <f>Github!H$1671</f>
        <v>Algorithms</v>
      </c>
      <c r="I1429" s="16" t="str">
        <f>SUBSTITUTE(Github!L$1671, ";", ", ")</f>
        <v>Array, Linked List, Design, Queue, Data Stream, </v>
      </c>
      <c r="J1429" s="13" t="str">
        <f>Github!E$1671</f>
        <v>Medium</v>
      </c>
      <c r="K1429" s="13" t="str">
        <f>IF(TRIM(Github!D$1671)="TRUE","FALSE","TRUE")</f>
        <v>TRUE</v>
      </c>
      <c r="L1429" s="13" t="b">
        <f>Github!M$1671</f>
        <v>0</v>
      </c>
      <c r="M1429" s="13" t="b">
        <f>Github!N$1671</f>
        <v>0</v>
      </c>
      <c r="N1429" s="13">
        <f>Github!P$1671</f>
        <v>19542</v>
      </c>
      <c r="O1429" s="13">
        <f>Github!Q$1671</f>
        <v>33997</v>
      </c>
    </row>
    <row r="1430">
      <c r="A1430" s="13">
        <f>Github!J$2018</f>
        <v>2017</v>
      </c>
      <c r="B1430" s="14" t="str">
        <f>HYPERLINK(CONCAT("http://leetcode.com/problems/",Github!C$2018), Github!B$2018)</f>
        <v>Grid Game</v>
      </c>
      <c r="C1430" s="13">
        <f>Github!F$2018</f>
        <v>580</v>
      </c>
      <c r="D1430" s="13">
        <f>Github!G$2018</f>
        <v>17</v>
      </c>
      <c r="E1430" s="13">
        <f>Github!F$2018+Github!G$2018</f>
        <v>597</v>
      </c>
      <c r="F1430" s="15">
        <f t="shared" si="1"/>
        <v>34.12</v>
      </c>
      <c r="G1430" s="13" t="str">
        <f>ROUND(Github!O$2018, 2)&amp;"%"</f>
        <v>43.16%</v>
      </c>
      <c r="H1430" s="13" t="str">
        <f>Github!H$2018</f>
        <v>Algorithms</v>
      </c>
      <c r="I1430" s="16" t="str">
        <f>SUBSTITUTE(Github!L$2018, ";", ", ")</f>
        <v>Array, Matrix, Prefix Sum, </v>
      </c>
      <c r="J1430" s="13" t="str">
        <f>Github!E$2018</f>
        <v>Medium</v>
      </c>
      <c r="K1430" s="13" t="str">
        <f>IF(TRIM(Github!D$2018)="TRUE","FALSE","TRUE")</f>
        <v>TRUE</v>
      </c>
      <c r="L1430" s="13" t="b">
        <f>Github!M$2018</f>
        <v>0</v>
      </c>
      <c r="M1430" s="13" t="b">
        <f>Github!N$2018</f>
        <v>0</v>
      </c>
      <c r="N1430" s="13">
        <f>Github!P$2018</f>
        <v>13620</v>
      </c>
      <c r="O1430" s="13">
        <f>Github!Q$2018</f>
        <v>31558</v>
      </c>
    </row>
    <row r="1431">
      <c r="A1431" s="13">
        <f>Github!J$2074</f>
        <v>2073</v>
      </c>
      <c r="B1431" s="14" t="str">
        <f>HYPERLINK(CONCAT("http://leetcode.com/problems/",Github!C$2074), Github!B$2074)</f>
        <v>Time Needed to Buy Tickets</v>
      </c>
      <c r="C1431" s="13">
        <f>Github!F$2074</f>
        <v>587</v>
      </c>
      <c r="D1431" s="13">
        <f>Github!G$2074</f>
        <v>36</v>
      </c>
      <c r="E1431" s="13">
        <f>Github!F$2074+Github!G$2074</f>
        <v>623</v>
      </c>
      <c r="F1431" s="15">
        <f t="shared" si="1"/>
        <v>16.31</v>
      </c>
      <c r="G1431" s="13" t="str">
        <f>ROUND(Github!O$2074, 2)&amp;"%"</f>
        <v>62.05%</v>
      </c>
      <c r="H1431" s="13" t="str">
        <f>Github!H$2074</f>
        <v>Algorithms</v>
      </c>
      <c r="I1431" s="16" t="str">
        <f>SUBSTITUTE(Github!L$2074, ";", ", ")</f>
        <v>Array, Queue, Simulation, </v>
      </c>
      <c r="J1431" s="13" t="str">
        <f>Github!E$2074</f>
        <v>Easy</v>
      </c>
      <c r="K1431" s="13" t="str">
        <f>IF(TRIM(Github!D$2074)="TRUE","FALSE","TRUE")</f>
        <v>TRUE</v>
      </c>
      <c r="L1431" s="13" t="b">
        <f>Github!M$2074</f>
        <v>0</v>
      </c>
      <c r="M1431" s="13" t="b">
        <f>Github!N$2074</f>
        <v>0</v>
      </c>
      <c r="N1431" s="13">
        <f>Github!P$2074</f>
        <v>35329</v>
      </c>
      <c r="O1431" s="13">
        <f>Github!Q$2074</f>
        <v>56940</v>
      </c>
    </row>
    <row r="1432">
      <c r="A1432" s="13">
        <f>Github!J$763</f>
        <v>762</v>
      </c>
      <c r="B1432" s="14" t="str">
        <f>HYPERLINK(CONCAT("http://leetcode.com/problems/",Github!C$763), Github!B$763)</f>
        <v>Prime Number of Set Bits in Binary Representation</v>
      </c>
      <c r="C1432" s="13">
        <f>Github!F$763</f>
        <v>571</v>
      </c>
      <c r="D1432" s="13">
        <f>Github!G$763</f>
        <v>487</v>
      </c>
      <c r="E1432" s="13">
        <f>Github!F$763+Github!G$763</f>
        <v>1058</v>
      </c>
      <c r="F1432" s="15">
        <f t="shared" si="1"/>
        <v>1.17</v>
      </c>
      <c r="G1432" s="13" t="str">
        <f>ROUND(Github!O$763, 2)&amp;"%"</f>
        <v>67.86%</v>
      </c>
      <c r="H1432" s="13" t="str">
        <f>Github!H$763</f>
        <v>Algorithms</v>
      </c>
      <c r="I1432" s="16" t="str">
        <f>SUBSTITUTE(Github!L$763, ";", ", ")</f>
        <v>Math, Bit Manipulation, </v>
      </c>
      <c r="J1432" s="13" t="str">
        <f>Github!E$763</f>
        <v>Easy</v>
      </c>
      <c r="K1432" s="13" t="str">
        <f>IF(TRIM(Github!D$763)="TRUE","FALSE","TRUE")</f>
        <v>TRUE</v>
      </c>
      <c r="L1432" s="13" t="b">
        <f>Github!M$763</f>
        <v>1</v>
      </c>
      <c r="M1432" s="13" t="b">
        <f>Github!N$763</f>
        <v>0</v>
      </c>
      <c r="N1432" s="13">
        <f>Github!P$763</f>
        <v>78279</v>
      </c>
      <c r="O1432" s="13">
        <f>Github!Q$763</f>
        <v>115349</v>
      </c>
    </row>
    <row r="1433">
      <c r="A1433" s="13">
        <f>Github!J$1931</f>
        <v>1930</v>
      </c>
      <c r="B1433" s="14" t="str">
        <f>HYPERLINK(CONCAT("http://leetcode.com/problems/",Github!C$1931), Github!B$1931)</f>
        <v>Unique Length-3 Palindromic Subsequences</v>
      </c>
      <c r="C1433" s="13">
        <f>Github!F$1931</f>
        <v>578</v>
      </c>
      <c r="D1433" s="13">
        <f>Github!G$1931</f>
        <v>17</v>
      </c>
      <c r="E1433" s="13">
        <f>Github!F$1931+Github!G$1931</f>
        <v>595</v>
      </c>
      <c r="F1433" s="15">
        <f t="shared" si="1"/>
        <v>34</v>
      </c>
      <c r="G1433" s="13" t="str">
        <f>ROUND(Github!O$1931, 2)&amp;"%"</f>
        <v>51.71%</v>
      </c>
      <c r="H1433" s="13" t="str">
        <f>Github!H$1931</f>
        <v>Algorithms</v>
      </c>
      <c r="I1433" s="16" t="str">
        <f>SUBSTITUTE(Github!L$1931, ";", ", ")</f>
        <v>Hash Table, String, Prefix Sum, </v>
      </c>
      <c r="J1433" s="13" t="str">
        <f>Github!E$1931</f>
        <v>Medium</v>
      </c>
      <c r="K1433" s="13" t="str">
        <f>IF(TRIM(Github!D$1931)="TRUE","FALSE","TRUE")</f>
        <v>TRUE</v>
      </c>
      <c r="L1433" s="13" t="b">
        <f>Github!M$1931</f>
        <v>0</v>
      </c>
      <c r="M1433" s="13" t="b">
        <f>Github!N$1931</f>
        <v>0</v>
      </c>
      <c r="N1433" s="13">
        <f>Github!P$1931</f>
        <v>20811</v>
      </c>
      <c r="O1433" s="13">
        <f>Github!Q$1931</f>
        <v>40247</v>
      </c>
    </row>
    <row r="1434">
      <c r="A1434" s="13">
        <f>Github!J$1845</f>
        <v>1844</v>
      </c>
      <c r="B1434" s="14" t="str">
        <f>HYPERLINK(CONCAT("http://leetcode.com/problems/",Github!C$1845), Github!B$1845)</f>
        <v>Replace All Digits with Characters</v>
      </c>
      <c r="C1434" s="13">
        <f>Github!F$1845</f>
        <v>570</v>
      </c>
      <c r="D1434" s="13">
        <f>Github!G$1845</f>
        <v>52</v>
      </c>
      <c r="E1434" s="13">
        <f>Github!F$1845+Github!G$1845</f>
        <v>622</v>
      </c>
      <c r="F1434" s="15">
        <f t="shared" si="1"/>
        <v>10.96</v>
      </c>
      <c r="G1434" s="13" t="str">
        <f>ROUND(Github!O$1845, 2)&amp;"%"</f>
        <v>79.85%</v>
      </c>
      <c r="H1434" s="13" t="str">
        <f>Github!H$1845</f>
        <v>Algorithms</v>
      </c>
      <c r="I1434" s="16" t="str">
        <f>SUBSTITUTE(Github!L$1845, ";", ", ")</f>
        <v>String, </v>
      </c>
      <c r="J1434" s="13" t="str">
        <f>Github!E$1845</f>
        <v>Easy</v>
      </c>
      <c r="K1434" s="13" t="str">
        <f>IF(TRIM(Github!D$1845)="TRUE","FALSE","TRUE")</f>
        <v>TRUE</v>
      </c>
      <c r="L1434" s="13" t="b">
        <f>Github!M$1845</f>
        <v>0</v>
      </c>
      <c r="M1434" s="13" t="b">
        <f>Github!N$1845</f>
        <v>0</v>
      </c>
      <c r="N1434" s="13">
        <f>Github!P$1845</f>
        <v>54250</v>
      </c>
      <c r="O1434" s="13">
        <f>Github!Q$1845</f>
        <v>67943</v>
      </c>
    </row>
    <row r="1435">
      <c r="A1435" s="13">
        <f>Github!J$295</f>
        <v>294</v>
      </c>
      <c r="B1435" s="14" t="str">
        <f>HYPERLINK(CONCAT("http://leetcode.com/problems/",Github!C$295), Github!B$295)</f>
        <v>Flip Game II</v>
      </c>
      <c r="C1435" s="13">
        <f>Github!F$295</f>
        <v>563</v>
      </c>
      <c r="D1435" s="13">
        <f>Github!G$295</f>
        <v>55</v>
      </c>
      <c r="E1435" s="13">
        <f>Github!F$295+Github!G$295</f>
        <v>618</v>
      </c>
      <c r="F1435" s="15">
        <f t="shared" si="1"/>
        <v>10.24</v>
      </c>
      <c r="G1435" s="13" t="str">
        <f>ROUND(Github!O$295, 2)&amp;"%"</f>
        <v>51.84%</v>
      </c>
      <c r="H1435" s="13" t="str">
        <f>Github!H$295</f>
        <v>Algorithms</v>
      </c>
      <c r="I1435" s="16" t="str">
        <f>SUBSTITUTE(Github!L$295, ";", ", ")</f>
        <v>Math, Dynamic Programming, Backtracking, Memoization, Game Theory, </v>
      </c>
      <c r="J1435" s="13" t="str">
        <f>Github!E$295</f>
        <v>Medium</v>
      </c>
      <c r="K1435" s="13" t="str">
        <f>IF(TRIM(Github!D$295)="TRUE","FALSE","TRUE")</f>
        <v>FALSE</v>
      </c>
      <c r="L1435" s="13" t="b">
        <f>Github!M$295</f>
        <v>0</v>
      </c>
      <c r="M1435" s="13" t="b">
        <f>Github!N$295</f>
        <v>0</v>
      </c>
      <c r="N1435" s="13">
        <f>Github!P$295</f>
        <v>66678</v>
      </c>
      <c r="O1435" s="13">
        <f>Github!Q$295</f>
        <v>128622</v>
      </c>
    </row>
    <row r="1436">
      <c r="A1436" s="13">
        <f>Github!J$1813</f>
        <v>1812</v>
      </c>
      <c r="B1436" s="14" t="str">
        <f>HYPERLINK(CONCAT("http://leetcode.com/problems/",Github!C$1813), Github!B$1813)</f>
        <v>Determine Color of a Chessboard Square</v>
      </c>
      <c r="C1436" s="13">
        <f>Github!F$1813</f>
        <v>574</v>
      </c>
      <c r="D1436" s="13">
        <f>Github!G$1813</f>
        <v>15</v>
      </c>
      <c r="E1436" s="13">
        <f>Github!F$1813+Github!G$1813</f>
        <v>589</v>
      </c>
      <c r="F1436" s="15">
        <f t="shared" si="1"/>
        <v>38.27</v>
      </c>
      <c r="G1436" s="13" t="str">
        <f>ROUND(Github!O$1813, 2)&amp;"%"</f>
        <v>77.58%</v>
      </c>
      <c r="H1436" s="13" t="str">
        <f>Github!H$1813</f>
        <v>Algorithms</v>
      </c>
      <c r="I1436" s="16" t="str">
        <f>SUBSTITUTE(Github!L$1813, ";", ", ")</f>
        <v>Math, String, </v>
      </c>
      <c r="J1436" s="13" t="str">
        <f>Github!E$1813</f>
        <v>Easy</v>
      </c>
      <c r="K1436" s="13" t="str">
        <f>IF(TRIM(Github!D$1813)="TRUE","FALSE","TRUE")</f>
        <v>TRUE</v>
      </c>
      <c r="L1436" s="13" t="b">
        <f>Github!M$1813</f>
        <v>0</v>
      </c>
      <c r="M1436" s="13" t="b">
        <f>Github!N$1813</f>
        <v>0</v>
      </c>
      <c r="N1436" s="13">
        <f>Github!P$1813</f>
        <v>50933</v>
      </c>
      <c r="O1436" s="13">
        <f>Github!Q$1813</f>
        <v>65658</v>
      </c>
    </row>
    <row r="1437">
      <c r="A1437" s="13">
        <f>Github!J$587</f>
        <v>586</v>
      </c>
      <c r="B1437" s="14" t="str">
        <f>HYPERLINK(CONCAT("http://leetcode.com/problems/",Github!C$587), Github!B$587)</f>
        <v>Customer Placing the Largest Number of Orders</v>
      </c>
      <c r="C1437" s="13">
        <f>Github!F$587</f>
        <v>576</v>
      </c>
      <c r="D1437" s="13">
        <f>Github!G$587</f>
        <v>36</v>
      </c>
      <c r="E1437" s="13">
        <f>Github!F$587+Github!G$587</f>
        <v>612</v>
      </c>
      <c r="F1437" s="15">
        <f t="shared" si="1"/>
        <v>16</v>
      </c>
      <c r="G1437" s="13" t="str">
        <f>ROUND(Github!O$587, 2)&amp;"%"</f>
        <v>71.37%</v>
      </c>
      <c r="H1437" s="13" t="str">
        <f>Github!H$587</f>
        <v>Database</v>
      </c>
      <c r="I1437" s="16" t="str">
        <f>SUBSTITUTE(Github!L$587, ";", ", ")</f>
        <v>Database, </v>
      </c>
      <c r="J1437" s="13" t="str">
        <f>Github!E$587</f>
        <v>Easy</v>
      </c>
      <c r="K1437" s="13" t="str">
        <f>IF(TRIM(Github!D$587)="TRUE","FALSE","TRUE")</f>
        <v>TRUE</v>
      </c>
      <c r="L1437" s="13" t="b">
        <f>Github!M$587</f>
        <v>1</v>
      </c>
      <c r="M1437" s="13" t="b">
        <f>Github!N$587</f>
        <v>0</v>
      </c>
      <c r="N1437" s="13">
        <f>Github!P$587</f>
        <v>139084</v>
      </c>
      <c r="O1437" s="13">
        <f>Github!Q$587</f>
        <v>194881</v>
      </c>
    </row>
    <row r="1438">
      <c r="A1438" s="13">
        <f>Github!J$1319</f>
        <v>1318</v>
      </c>
      <c r="B1438" s="14" t="str">
        <f>HYPERLINK(CONCAT("http://leetcode.com/problems/",Github!C$1319), Github!B$1319)</f>
        <v>Minimum Flips to Make a OR b Equal to c</v>
      </c>
      <c r="C1438" s="13">
        <f>Github!F$1319</f>
        <v>565</v>
      </c>
      <c r="D1438" s="13">
        <f>Github!G$1319</f>
        <v>43</v>
      </c>
      <c r="E1438" s="13">
        <f>Github!F$1319+Github!G$1319</f>
        <v>608</v>
      </c>
      <c r="F1438" s="15">
        <f t="shared" si="1"/>
        <v>13.14</v>
      </c>
      <c r="G1438" s="13" t="str">
        <f>ROUND(Github!O$1319, 2)&amp;"%"</f>
        <v>66.12%</v>
      </c>
      <c r="H1438" s="13" t="str">
        <f>Github!H$1319</f>
        <v>Algorithms</v>
      </c>
      <c r="I1438" s="16" t="str">
        <f>SUBSTITUTE(Github!L$1319, ";", ", ")</f>
        <v>Bit Manipulation, </v>
      </c>
      <c r="J1438" s="13" t="str">
        <f>Github!E$1319</f>
        <v>Medium</v>
      </c>
      <c r="K1438" s="13" t="str">
        <f>IF(TRIM(Github!D$1319)="TRUE","FALSE","TRUE")</f>
        <v>TRUE</v>
      </c>
      <c r="L1438" s="13" t="b">
        <f>Github!M$1319</f>
        <v>0</v>
      </c>
      <c r="M1438" s="13" t="b">
        <f>Github!N$1319</f>
        <v>0</v>
      </c>
      <c r="N1438" s="13">
        <f>Github!P$1319</f>
        <v>28484</v>
      </c>
      <c r="O1438" s="13">
        <f>Github!Q$1319</f>
        <v>43081</v>
      </c>
    </row>
    <row r="1439">
      <c r="A1439" s="13">
        <f>Github!J$1867</f>
        <v>1866</v>
      </c>
      <c r="B1439" s="14" t="str">
        <f>HYPERLINK(CONCAT("http://leetcode.com/problems/",Github!C$1867), Github!B$1867)</f>
        <v>Number of Ways to Rearrange Sticks With K Sticks Visible</v>
      </c>
      <c r="C1439" s="13">
        <f>Github!F$1867</f>
        <v>561</v>
      </c>
      <c r="D1439" s="13">
        <f>Github!G$1867</f>
        <v>12</v>
      </c>
      <c r="E1439" s="13">
        <f>Github!F$1867+Github!G$1867</f>
        <v>573</v>
      </c>
      <c r="F1439" s="15">
        <f t="shared" si="1"/>
        <v>46.75</v>
      </c>
      <c r="G1439" s="13" t="str">
        <f>ROUND(Github!O$1867, 2)&amp;"%"</f>
        <v>55.64%</v>
      </c>
      <c r="H1439" s="13" t="str">
        <f>Github!H$1867</f>
        <v>Algorithms</v>
      </c>
      <c r="I1439" s="16" t="str">
        <f>SUBSTITUTE(Github!L$1867, ";", ", ")</f>
        <v>Math, Dynamic Programming, Combinatorics, </v>
      </c>
      <c r="J1439" s="13" t="str">
        <f>Github!E$1867</f>
        <v>Hard</v>
      </c>
      <c r="K1439" s="13" t="str">
        <f>IF(TRIM(Github!D$1867)="TRUE","FALSE","TRUE")</f>
        <v>TRUE</v>
      </c>
      <c r="L1439" s="13" t="b">
        <f>Github!M$1867</f>
        <v>0</v>
      </c>
      <c r="M1439" s="13" t="b">
        <f>Github!N$1867</f>
        <v>0</v>
      </c>
      <c r="N1439" s="13">
        <f>Github!P$1867</f>
        <v>10188</v>
      </c>
      <c r="O1439" s="13">
        <f>Github!Q$1867</f>
        <v>18309</v>
      </c>
    </row>
    <row r="1440">
      <c r="A1440" s="13">
        <f>Github!J$2328</f>
        <v>2327</v>
      </c>
      <c r="B1440" s="14" t="str">
        <f>HYPERLINK(CONCAT("http://leetcode.com/problems/",Github!C$2328), Github!B$2328)</f>
        <v>Number of People Aware of a Secret</v>
      </c>
      <c r="C1440" s="13">
        <f>Github!F$2328</f>
        <v>562</v>
      </c>
      <c r="D1440" s="13">
        <f>Github!G$2328</f>
        <v>97</v>
      </c>
      <c r="E1440" s="13">
        <f>Github!F$2328+Github!G$2328</f>
        <v>659</v>
      </c>
      <c r="F1440" s="15">
        <f t="shared" si="1"/>
        <v>5.79</v>
      </c>
      <c r="G1440" s="13" t="str">
        <f>ROUND(Github!O$2328, 2)&amp;"%"</f>
        <v>44.52%</v>
      </c>
      <c r="H1440" s="13" t="str">
        <f>Github!H2328</f>
        <v>Algorithms</v>
      </c>
      <c r="I1440" s="16" t="str">
        <f>SUBSTITUTE(Github!L$2328, ";", ", ")</f>
        <v>Dynamic Programming, Queue, Simulation, </v>
      </c>
      <c r="J1440" s="13" t="str">
        <f>Github!E$2328</f>
        <v>Medium</v>
      </c>
      <c r="K1440" s="13" t="str">
        <f>IF(TRIM(Github!D$2328)="TRUE","FALSE","TRUE")</f>
        <v>TRUE</v>
      </c>
      <c r="L1440" s="13" t="b">
        <f>Github!M$2328</f>
        <v>0</v>
      </c>
      <c r="M1440" s="13" t="b">
        <f>Github!N$2328</f>
        <v>0</v>
      </c>
      <c r="N1440" s="13">
        <f>Github!P$2328</f>
        <v>15296</v>
      </c>
      <c r="O1440" s="13">
        <f>Github!Q$2328</f>
        <v>34358</v>
      </c>
    </row>
    <row r="1441">
      <c r="A1441" s="13">
        <f>Github!J$1775</f>
        <v>1774</v>
      </c>
      <c r="B1441" s="14" t="str">
        <f>HYPERLINK(CONCAT("http://leetcode.com/problems/",Github!C$1775), Github!B$1775)</f>
        <v>Closest Dessert Cost</v>
      </c>
      <c r="C1441" s="13">
        <f>Github!F$1775</f>
        <v>566</v>
      </c>
      <c r="D1441" s="13">
        <f>Github!G$1775</f>
        <v>63</v>
      </c>
      <c r="E1441" s="13">
        <f>Github!F$1775+Github!G$1775</f>
        <v>629</v>
      </c>
      <c r="F1441" s="15">
        <f t="shared" si="1"/>
        <v>8.98</v>
      </c>
      <c r="G1441" s="13" t="str">
        <f>ROUND(Github!O$1775, 2)&amp;"%"</f>
        <v>47.09%</v>
      </c>
      <c r="H1441" s="13" t="str">
        <f>Github!H$1775</f>
        <v>Algorithms</v>
      </c>
      <c r="I1441" s="16" t="str">
        <f>SUBSTITUTE(Github!L$1775, ";", ", ")</f>
        <v>Array, Dynamic Programming, Backtracking, </v>
      </c>
      <c r="J1441" s="13" t="str">
        <f>Github!E$1775</f>
        <v>Medium</v>
      </c>
      <c r="K1441" s="13" t="str">
        <f>IF(TRIM(Github!D$1775)="TRUE","FALSE","TRUE")</f>
        <v>TRUE</v>
      </c>
      <c r="L1441" s="13" t="b">
        <f>Github!M$1775</f>
        <v>0</v>
      </c>
      <c r="M1441" s="13" t="b">
        <f>Github!N$1775</f>
        <v>0</v>
      </c>
      <c r="N1441" s="13">
        <f>Github!P$1775</f>
        <v>22853</v>
      </c>
      <c r="O1441" s="13">
        <f>Github!Q$1775</f>
        <v>48529</v>
      </c>
    </row>
    <row r="1442">
      <c r="A1442" s="13">
        <f>Github!J$880</f>
        <v>879</v>
      </c>
      <c r="B1442" s="14" t="str">
        <f>HYPERLINK(CONCAT("http://leetcode.com/problems/",Github!C$880), Github!B$880)</f>
        <v>Profitable Schemes</v>
      </c>
      <c r="C1442" s="13">
        <f>Github!F$880</f>
        <v>564</v>
      </c>
      <c r="D1442" s="13">
        <f>Github!G$880</f>
        <v>46</v>
      </c>
      <c r="E1442" s="13">
        <f>Github!F$880+Github!G$880</f>
        <v>610</v>
      </c>
      <c r="F1442" s="15">
        <f t="shared" si="1"/>
        <v>12.26</v>
      </c>
      <c r="G1442" s="13" t="str">
        <f>ROUND(Github!O$880, 2)&amp;"%"</f>
        <v>40.62%</v>
      </c>
      <c r="H1442" s="13" t="str">
        <f>Github!H$880</f>
        <v>Algorithms</v>
      </c>
      <c r="I1442" s="16" t="str">
        <f>SUBSTITUTE(Github!L$880, ";", ", ")</f>
        <v>Array, Dynamic Programming, </v>
      </c>
      <c r="J1442" s="13" t="str">
        <f>Github!E$880</f>
        <v>Hard</v>
      </c>
      <c r="K1442" s="13" t="str">
        <f>IF(TRIM(Github!D$880)="TRUE","FALSE","TRUE")</f>
        <v>TRUE</v>
      </c>
      <c r="L1442" s="13" t="b">
        <f>Github!M$880</f>
        <v>1</v>
      </c>
      <c r="M1442" s="13" t="b">
        <f>Github!N$880</f>
        <v>0</v>
      </c>
      <c r="N1442" s="13">
        <f>Github!P$880</f>
        <v>17251</v>
      </c>
      <c r="O1442" s="13">
        <f>Github!Q$880</f>
        <v>42474</v>
      </c>
    </row>
    <row r="1443">
      <c r="A1443" s="13">
        <f>Github!J$1423</f>
        <v>1422</v>
      </c>
      <c r="B1443" s="14" t="str">
        <f>HYPERLINK(CONCAT("http://leetcode.com/problems/",Github!C$1423), Github!B$1423)</f>
        <v>Maximum Score After Splitting a String</v>
      </c>
      <c r="C1443" s="13">
        <f>Github!F$1423</f>
        <v>561</v>
      </c>
      <c r="D1443" s="13">
        <f>Github!G$1423</f>
        <v>34</v>
      </c>
      <c r="E1443" s="13">
        <f>Github!F$1423+Github!G$1423</f>
        <v>595</v>
      </c>
      <c r="F1443" s="15">
        <f t="shared" si="1"/>
        <v>16.5</v>
      </c>
      <c r="G1443" s="13" t="str">
        <f>ROUND(Github!O$1423, 2)&amp;"%"</f>
        <v>57.9%</v>
      </c>
      <c r="H1443" s="13" t="str">
        <f>Github!H$1423</f>
        <v>Algorithms</v>
      </c>
      <c r="I1443" s="16" t="str">
        <f>SUBSTITUTE(Github!L$1423, ";", ", ")</f>
        <v>String, </v>
      </c>
      <c r="J1443" s="13" t="str">
        <f>Github!E$1423</f>
        <v>Easy</v>
      </c>
      <c r="K1443" s="13" t="str">
        <f>IF(TRIM(Github!D$1423)="TRUE","FALSE","TRUE")</f>
        <v>TRUE</v>
      </c>
      <c r="L1443" s="13" t="b">
        <f>Github!M$1423</f>
        <v>0</v>
      </c>
      <c r="M1443" s="13" t="b">
        <f>Github!N$1423</f>
        <v>0</v>
      </c>
      <c r="N1443" s="13">
        <f>Github!P$1423</f>
        <v>43886</v>
      </c>
      <c r="O1443" s="13">
        <f>Github!Q$1423</f>
        <v>75802</v>
      </c>
    </row>
    <row r="1444">
      <c r="A1444" s="13">
        <f>Github!J$1830</f>
        <v>1829</v>
      </c>
      <c r="B1444" s="14" t="str">
        <f>HYPERLINK(CONCAT("http://leetcode.com/problems/",Github!C$1830), Github!B$1830)</f>
        <v>Maximum XOR for Each Query</v>
      </c>
      <c r="C1444" s="13">
        <f>Github!F$1830</f>
        <v>567</v>
      </c>
      <c r="D1444" s="13">
        <f>Github!G$1830</f>
        <v>46</v>
      </c>
      <c r="E1444" s="13">
        <f>Github!F$1830+Github!G$1830</f>
        <v>613</v>
      </c>
      <c r="F1444" s="15">
        <f t="shared" si="1"/>
        <v>12.33</v>
      </c>
      <c r="G1444" s="13" t="str">
        <f>ROUND(Github!O$1830, 2)&amp;"%"</f>
        <v>76.82%</v>
      </c>
      <c r="H1444" s="13" t="str">
        <f>Github!H$1830</f>
        <v>Algorithms</v>
      </c>
      <c r="I1444" s="16" t="str">
        <f>SUBSTITUTE(Github!L$1830, ";", ", ")</f>
        <v>Array, Bit Manipulation, Prefix Sum, </v>
      </c>
      <c r="J1444" s="13" t="str">
        <f>Github!E$1830</f>
        <v>Medium</v>
      </c>
      <c r="K1444" s="13" t="str">
        <f>IF(TRIM(Github!D$1830)="TRUE","FALSE","TRUE")</f>
        <v>TRUE</v>
      </c>
      <c r="L1444" s="13" t="b">
        <f>Github!M$1830</f>
        <v>0</v>
      </c>
      <c r="M1444" s="13" t="b">
        <f>Github!N$1830</f>
        <v>0</v>
      </c>
      <c r="N1444" s="13">
        <f>Github!P$1830</f>
        <v>20796</v>
      </c>
      <c r="O1444" s="13">
        <f>Github!Q$1830</f>
        <v>27071</v>
      </c>
    </row>
    <row r="1445">
      <c r="A1445" s="13">
        <f>Github!J$1704</f>
        <v>1703</v>
      </c>
      <c r="B1445" s="14" t="str">
        <f>HYPERLINK(CONCAT("http://leetcode.com/problems/",Github!C$1704), Github!B$1704)</f>
        <v>Minimum Adjacent Swaps for K Consecutive Ones</v>
      </c>
      <c r="C1445" s="13">
        <f>Github!F$1704</f>
        <v>563</v>
      </c>
      <c r="D1445" s="13">
        <f>Github!G$1704</f>
        <v>21</v>
      </c>
      <c r="E1445" s="13">
        <f>Github!F$1704+Github!G$1704</f>
        <v>584</v>
      </c>
      <c r="F1445" s="15">
        <f t="shared" si="1"/>
        <v>26.81</v>
      </c>
      <c r="G1445" s="13" t="str">
        <f>ROUND(Github!O$1704, 2)&amp;"%"</f>
        <v>42.47%</v>
      </c>
      <c r="H1445" s="13" t="str">
        <f>Github!H$1704</f>
        <v>Algorithms</v>
      </c>
      <c r="I1445" s="16" t="str">
        <f>SUBSTITUTE(Github!L$1704, ";", ", ")</f>
        <v>Array, Greedy, Sliding Window, Prefix Sum, </v>
      </c>
      <c r="J1445" s="13" t="str">
        <f>Github!E$1704</f>
        <v>Hard</v>
      </c>
      <c r="K1445" s="13" t="str">
        <f>IF(TRIM(Github!D$1704)="TRUE","FALSE","TRUE")</f>
        <v>TRUE</v>
      </c>
      <c r="L1445" s="13" t="b">
        <f>Github!M$1704</f>
        <v>0</v>
      </c>
      <c r="M1445" s="13" t="b">
        <f>Github!N$1704</f>
        <v>0</v>
      </c>
      <c r="N1445" s="13">
        <f>Github!P$1704</f>
        <v>7988</v>
      </c>
      <c r="O1445" s="13">
        <f>Github!Q$1704</f>
        <v>18809</v>
      </c>
    </row>
    <row r="1446">
      <c r="A1446" s="13">
        <f>Github!J$1574</f>
        <v>1573</v>
      </c>
      <c r="B1446" s="14" t="str">
        <f>HYPERLINK(CONCAT("http://leetcode.com/problems/",Github!C$1574), Github!B$1574)</f>
        <v>Number of Ways to Split a String</v>
      </c>
      <c r="C1446" s="13">
        <f>Github!F$1574</f>
        <v>557</v>
      </c>
      <c r="D1446" s="13">
        <f>Github!G$1574</f>
        <v>71</v>
      </c>
      <c r="E1446" s="13">
        <f>Github!F$1574+Github!G$1574</f>
        <v>628</v>
      </c>
      <c r="F1446" s="15">
        <f t="shared" si="1"/>
        <v>7.85</v>
      </c>
      <c r="G1446" s="13" t="str">
        <f>ROUND(Github!O$1574, 2)&amp;"%"</f>
        <v>32.41%</v>
      </c>
      <c r="H1446" s="13" t="str">
        <f>Github!H$1574</f>
        <v>Algorithms</v>
      </c>
      <c r="I1446" s="16" t="str">
        <f>SUBSTITUTE(Github!L$1574, ";", ", ")</f>
        <v>Math, String, </v>
      </c>
      <c r="J1446" s="13" t="str">
        <f>Github!E$1574</f>
        <v>Medium</v>
      </c>
      <c r="K1446" s="13" t="str">
        <f>IF(TRIM(Github!D$1574)="TRUE","FALSE","TRUE")</f>
        <v>TRUE</v>
      </c>
      <c r="L1446" s="13" t="b">
        <f>Github!M$1574</f>
        <v>0</v>
      </c>
      <c r="M1446" s="13" t="b">
        <f>Github!N$1574</f>
        <v>0</v>
      </c>
      <c r="N1446" s="13">
        <f>Github!P$1574</f>
        <v>22895</v>
      </c>
      <c r="O1446" s="13">
        <f>Github!Q$1574</f>
        <v>70633</v>
      </c>
    </row>
    <row r="1447">
      <c r="A1447" s="13">
        <f>Github!J$2051</f>
        <v>2050</v>
      </c>
      <c r="B1447" s="14" t="str">
        <f>HYPERLINK(CONCAT("http://leetcode.com/problems/",Github!C$2051), Github!B$2051)</f>
        <v>Parallel Courses III</v>
      </c>
      <c r="C1447" s="13">
        <f>Github!F$2051</f>
        <v>589</v>
      </c>
      <c r="D1447" s="13">
        <f>Github!G$2051</f>
        <v>19</v>
      </c>
      <c r="E1447" s="13">
        <f>Github!F$2051+Github!G$2051</f>
        <v>608</v>
      </c>
      <c r="F1447" s="15">
        <f t="shared" si="1"/>
        <v>31</v>
      </c>
      <c r="G1447" s="13" t="str">
        <f>ROUND(Github!O$2051, 2)&amp;"%"</f>
        <v>59.37%</v>
      </c>
      <c r="H1447" s="13" t="str">
        <f>Github!H$2051</f>
        <v>Algorithms</v>
      </c>
      <c r="I1447" s="16" t="str">
        <f>SUBSTITUTE(Github!L$2051, ";", ", ")</f>
        <v>Dynamic Programming, Graph, Topological Sort, </v>
      </c>
      <c r="J1447" s="13" t="str">
        <f>Github!E$2051</f>
        <v>Hard</v>
      </c>
      <c r="K1447" s="13" t="str">
        <f>IF(TRIM(Github!D$2051)="TRUE","FALSE","TRUE")</f>
        <v>TRUE</v>
      </c>
      <c r="L1447" s="13" t="b">
        <f>Github!M$2051</f>
        <v>0</v>
      </c>
      <c r="M1447" s="13" t="b">
        <f>Github!N$2051</f>
        <v>0</v>
      </c>
      <c r="N1447" s="13">
        <f>Github!P$2051</f>
        <v>16560</v>
      </c>
      <c r="O1447" s="13">
        <f>Github!Q$2051</f>
        <v>27891</v>
      </c>
    </row>
    <row r="1448">
      <c r="A1448" s="13">
        <f>Github!J$1180</f>
        <v>1179</v>
      </c>
      <c r="B1448" s="14" t="str">
        <f>HYPERLINK(CONCAT("http://leetcode.com/problems/",Github!C$1180), Github!B$1180)</f>
        <v>Reformat Department Table</v>
      </c>
      <c r="C1448" s="13">
        <f>Github!F$1180</f>
        <v>563</v>
      </c>
      <c r="D1448" s="13">
        <f>Github!G$1180</f>
        <v>444</v>
      </c>
      <c r="E1448" s="13">
        <f>Github!F$1180+Github!G$1180</f>
        <v>1007</v>
      </c>
      <c r="F1448" s="15">
        <f t="shared" si="1"/>
        <v>1.27</v>
      </c>
      <c r="G1448" s="13" t="str">
        <f>ROUND(Github!O$1180, 2)&amp;"%"</f>
        <v>81.96%</v>
      </c>
      <c r="H1448" s="13" t="str">
        <f>Github!H$1180</f>
        <v>Database</v>
      </c>
      <c r="I1448" s="16" t="str">
        <f>SUBSTITUTE(Github!L$1180, ";", ", ")</f>
        <v>Database, </v>
      </c>
      <c r="J1448" s="13" t="str">
        <f>Github!E$1180</f>
        <v>Easy</v>
      </c>
      <c r="K1448" s="13" t="str">
        <f>IF(TRIM(Github!D$1180)="TRUE","FALSE","TRUE")</f>
        <v>TRUE</v>
      </c>
      <c r="L1448" s="13" t="b">
        <f>Github!M$1180</f>
        <v>1</v>
      </c>
      <c r="M1448" s="13" t="b">
        <f>Github!N$1180</f>
        <v>0</v>
      </c>
      <c r="N1448" s="13">
        <f>Github!P$1180</f>
        <v>85618</v>
      </c>
      <c r="O1448" s="13">
        <f>Github!Q$1180</f>
        <v>104468</v>
      </c>
    </row>
    <row r="1449">
      <c r="A1449" s="13">
        <f>Github!J$1583</f>
        <v>1582</v>
      </c>
      <c r="B1449" s="14" t="str">
        <f>HYPERLINK(CONCAT("http://leetcode.com/problems/",Github!C$1583), Github!B$1583)</f>
        <v>Special Positions in a Binary Matrix</v>
      </c>
      <c r="C1449" s="13">
        <f>Github!F$1583</f>
        <v>561</v>
      </c>
      <c r="D1449" s="13">
        <f>Github!G$1583</f>
        <v>20</v>
      </c>
      <c r="E1449" s="13">
        <f>Github!F$1583+Github!G$1583</f>
        <v>581</v>
      </c>
      <c r="F1449" s="15">
        <f t="shared" si="1"/>
        <v>28.05</v>
      </c>
      <c r="G1449" s="13" t="str">
        <f>ROUND(Github!O$1583, 2)&amp;"%"</f>
        <v>65.51%</v>
      </c>
      <c r="H1449" s="13" t="str">
        <f>Github!H$1583</f>
        <v>Algorithms</v>
      </c>
      <c r="I1449" s="16" t="str">
        <f>SUBSTITUTE(Github!L$1583, ";", ", ")</f>
        <v>Array, Matrix, </v>
      </c>
      <c r="J1449" s="13" t="str">
        <f>Github!E$1583</f>
        <v>Easy</v>
      </c>
      <c r="K1449" s="13" t="str">
        <f>IF(TRIM(Github!D$1583)="TRUE","FALSE","TRUE")</f>
        <v>TRUE</v>
      </c>
      <c r="L1449" s="13" t="b">
        <f>Github!M$1583</f>
        <v>0</v>
      </c>
      <c r="M1449" s="13" t="b">
        <f>Github!N$1583</f>
        <v>0</v>
      </c>
      <c r="N1449" s="13">
        <f>Github!P$1583</f>
        <v>37878</v>
      </c>
      <c r="O1449" s="13">
        <f>Github!Q$1583</f>
        <v>57816</v>
      </c>
    </row>
    <row r="1450">
      <c r="A1450" s="13">
        <f>Github!J$2136</f>
        <v>2135</v>
      </c>
      <c r="B1450" s="14" t="str">
        <f>HYPERLINK(CONCAT("http://leetcode.com/problems/",Github!C$2136), Github!B$2136)</f>
        <v>Count Words Obtained After Adding a Letter</v>
      </c>
      <c r="C1450" s="13">
        <f>Github!F$2136</f>
        <v>561</v>
      </c>
      <c r="D1450" s="13">
        <f>Github!G$2136</f>
        <v>131</v>
      </c>
      <c r="E1450" s="13">
        <f>Github!F$2136+Github!G$2136</f>
        <v>692</v>
      </c>
      <c r="F1450" s="15">
        <f t="shared" si="1"/>
        <v>4.28</v>
      </c>
      <c r="G1450" s="13" t="str">
        <f>ROUND(Github!O$2136, 2)&amp;"%"</f>
        <v>42.81%</v>
      </c>
      <c r="H1450" s="13" t="str">
        <f>Github!H$2136</f>
        <v>Algorithms</v>
      </c>
      <c r="I1450" s="16" t="str">
        <f>SUBSTITUTE(Github!L$2136, ";", ", ")</f>
        <v>Array, Hash Table, String, Bit Manipulation, Sorting, </v>
      </c>
      <c r="J1450" s="13" t="str">
        <f>Github!E$2136</f>
        <v>Medium</v>
      </c>
      <c r="K1450" s="13" t="str">
        <f>IF(TRIM(Github!D$2136)="TRUE","FALSE","TRUE")</f>
        <v>TRUE</v>
      </c>
      <c r="L1450" s="13" t="b">
        <f>Github!M$2136</f>
        <v>0</v>
      </c>
      <c r="M1450" s="13" t="b">
        <f>Github!N$2136</f>
        <v>0</v>
      </c>
      <c r="N1450" s="13">
        <f>Github!P$2136</f>
        <v>28588</v>
      </c>
      <c r="O1450" s="13">
        <f>Github!Q$2136</f>
        <v>66786</v>
      </c>
    </row>
    <row r="1451">
      <c r="A1451" s="13">
        <f>Github!J$1035</f>
        <v>1034</v>
      </c>
      <c r="B1451" s="14" t="str">
        <f>HYPERLINK(CONCAT("http://leetcode.com/problems/",Github!C$1035), Github!B$1035)</f>
        <v>Coloring A Border</v>
      </c>
      <c r="C1451" s="13">
        <f>Github!F$1035</f>
        <v>562</v>
      </c>
      <c r="D1451" s="13">
        <f>Github!G$1035</f>
        <v>732</v>
      </c>
      <c r="E1451" s="13">
        <f>Github!F$1035+Github!G$1035</f>
        <v>1294</v>
      </c>
      <c r="F1451" s="15">
        <f t="shared" si="1"/>
        <v>0.77</v>
      </c>
      <c r="G1451" s="13" t="str">
        <f>ROUND(Github!O$1035, 2)&amp;"%"</f>
        <v>49.04%</v>
      </c>
      <c r="H1451" s="13" t="str">
        <f>Github!H$1035</f>
        <v>Algorithms</v>
      </c>
      <c r="I1451" s="16" t="str">
        <f>SUBSTITUTE(Github!L$1035, ";", ", ")</f>
        <v>Array, Depth-First Search, Breadth-First Search, Matrix, </v>
      </c>
      <c r="J1451" s="13" t="str">
        <f>Github!E$1035</f>
        <v>Medium</v>
      </c>
      <c r="K1451" s="13" t="str">
        <f>IF(TRIM(Github!D$1035)="TRUE","FALSE","TRUE")</f>
        <v>TRUE</v>
      </c>
      <c r="L1451" s="13" t="b">
        <f>Github!M$1035</f>
        <v>0</v>
      </c>
      <c r="M1451" s="13" t="b">
        <f>Github!N$1035</f>
        <v>0</v>
      </c>
      <c r="N1451" s="13">
        <f>Github!P$1035</f>
        <v>27909</v>
      </c>
      <c r="O1451" s="13">
        <f>Github!Q$1035</f>
        <v>56915</v>
      </c>
    </row>
    <row r="1452">
      <c r="A1452" s="13">
        <f>Github!J$1971</f>
        <v>1970</v>
      </c>
      <c r="B1452" s="14" t="str">
        <f>HYPERLINK(CONCAT("http://leetcode.com/problems/",Github!C$1971), Github!B$1971)</f>
        <v>Last Day Where You Can Still Cross</v>
      </c>
      <c r="C1452" s="13">
        <f>Github!F$1971</f>
        <v>559</v>
      </c>
      <c r="D1452" s="13">
        <f>Github!G$1971</f>
        <v>13</v>
      </c>
      <c r="E1452" s="13">
        <f>Github!F$1971+Github!G$1971</f>
        <v>572</v>
      </c>
      <c r="F1452" s="15">
        <f t="shared" si="1"/>
        <v>43</v>
      </c>
      <c r="G1452" s="13" t="str">
        <f>ROUND(Github!O$1971, 2)&amp;"%"</f>
        <v>49.4%</v>
      </c>
      <c r="H1452" s="13" t="str">
        <f>Github!H$1971</f>
        <v>Algorithms</v>
      </c>
      <c r="I1452" s="16" t="str">
        <f>SUBSTITUTE(Github!L$1971, ";", ", ")</f>
        <v>Array, Binary Search, Depth-First Search, Breadth-First Search, Union Find, Matrix, </v>
      </c>
      <c r="J1452" s="13" t="str">
        <f>Github!E$1971</f>
        <v>Hard</v>
      </c>
      <c r="K1452" s="13" t="str">
        <f>IF(TRIM(Github!D$1971)="TRUE","FALSE","TRUE")</f>
        <v>TRUE</v>
      </c>
      <c r="L1452" s="13" t="b">
        <f>Github!M$1971</f>
        <v>0</v>
      </c>
      <c r="M1452" s="13" t="b">
        <f>Github!N$1971</f>
        <v>0</v>
      </c>
      <c r="N1452" s="13">
        <f>Github!P$1971</f>
        <v>10928</v>
      </c>
      <c r="O1452" s="13">
        <f>Github!Q$1971</f>
        <v>22122</v>
      </c>
    </row>
    <row r="1453">
      <c r="A1453" s="13">
        <f>Github!J$1129</f>
        <v>1128</v>
      </c>
      <c r="B1453" s="14" t="str">
        <f>HYPERLINK(CONCAT("http://leetcode.com/problems/",Github!C$1129), Github!B$1129)</f>
        <v>Number of Equivalent Domino Pairs</v>
      </c>
      <c r="C1453" s="13">
        <f>Github!F$1129</f>
        <v>559</v>
      </c>
      <c r="D1453" s="13">
        <f>Github!G$1129</f>
        <v>283</v>
      </c>
      <c r="E1453" s="13">
        <f>Github!F$1129+Github!G$1129</f>
        <v>842</v>
      </c>
      <c r="F1453" s="15">
        <f t="shared" si="1"/>
        <v>1.98</v>
      </c>
      <c r="G1453" s="13" t="str">
        <f>ROUND(Github!O$1129, 2)&amp;"%"</f>
        <v>47.03%</v>
      </c>
      <c r="H1453" s="13" t="str">
        <f>Github!H$1129</f>
        <v>Algorithms</v>
      </c>
      <c r="I1453" s="16" t="str">
        <f>SUBSTITUTE(Github!L$1129, ";", ", ")</f>
        <v>Array, Hash Table, Counting, </v>
      </c>
      <c r="J1453" s="13" t="str">
        <f>Github!E$1129</f>
        <v>Easy</v>
      </c>
      <c r="K1453" s="13" t="str">
        <f>IF(TRIM(Github!D$1129)="TRUE","FALSE","TRUE")</f>
        <v>TRUE</v>
      </c>
      <c r="L1453" s="13" t="b">
        <f>Github!M$1129</f>
        <v>0</v>
      </c>
      <c r="M1453" s="13" t="b">
        <f>Github!N$1129</f>
        <v>0</v>
      </c>
      <c r="N1453" s="13">
        <f>Github!P$1129</f>
        <v>55179</v>
      </c>
      <c r="O1453" s="13">
        <f>Github!Q$1129</f>
        <v>117317</v>
      </c>
    </row>
    <row r="1454">
      <c r="A1454" s="13">
        <f>Github!J$1840</f>
        <v>1839</v>
      </c>
      <c r="B1454" s="14" t="str">
        <f>HYPERLINK(CONCAT("http://leetcode.com/problems/",Github!C$1840), Github!B$1840)</f>
        <v>Longest Substring Of All Vowels in Order</v>
      </c>
      <c r="C1454" s="13">
        <f>Github!F$1840</f>
        <v>557</v>
      </c>
      <c r="D1454" s="13">
        <f>Github!G$1840</f>
        <v>16</v>
      </c>
      <c r="E1454" s="13">
        <f>Github!F$1840+Github!G$1840</f>
        <v>573</v>
      </c>
      <c r="F1454" s="15">
        <f t="shared" si="1"/>
        <v>34.81</v>
      </c>
      <c r="G1454" s="13" t="str">
        <f>ROUND(Github!O$1840, 2)&amp;"%"</f>
        <v>48.57%</v>
      </c>
      <c r="H1454" s="13" t="str">
        <f>Github!H$1840</f>
        <v>Algorithms</v>
      </c>
      <c r="I1454" s="16" t="str">
        <f>SUBSTITUTE(Github!L$1840, ";", ", ")</f>
        <v>String, Sliding Window, </v>
      </c>
      <c r="J1454" s="13" t="str">
        <f>Github!E$1840</f>
        <v>Medium</v>
      </c>
      <c r="K1454" s="13" t="str">
        <f>IF(TRIM(Github!D$1840)="TRUE","FALSE","TRUE")</f>
        <v>TRUE</v>
      </c>
      <c r="L1454" s="13" t="b">
        <f>Github!M$1840</f>
        <v>0</v>
      </c>
      <c r="M1454" s="13" t="b">
        <f>Github!N$1840</f>
        <v>0</v>
      </c>
      <c r="N1454" s="13">
        <f>Github!P$1840</f>
        <v>22913</v>
      </c>
      <c r="O1454" s="13">
        <f>Github!Q$1840</f>
        <v>47173</v>
      </c>
    </row>
    <row r="1455">
      <c r="A1455" s="13">
        <f>Github!J$652</f>
        <v>651</v>
      </c>
      <c r="B1455" s="14" t="str">
        <f>HYPERLINK(CONCAT("http://leetcode.com/problems/",Github!C$652), Github!B$652)</f>
        <v>4 Keys Keyboard</v>
      </c>
      <c r="C1455" s="13">
        <f>Github!F$652</f>
        <v>553</v>
      </c>
      <c r="D1455" s="13">
        <f>Github!G$652</f>
        <v>79</v>
      </c>
      <c r="E1455" s="13">
        <f>Github!F$652+Github!G$652</f>
        <v>632</v>
      </c>
      <c r="F1455" s="15">
        <f t="shared" si="1"/>
        <v>7</v>
      </c>
      <c r="G1455" s="13" t="str">
        <f>ROUND(Github!O$652, 2)&amp;"%"</f>
        <v>54.5%</v>
      </c>
      <c r="H1455" s="13" t="str">
        <f>Github!H$652</f>
        <v>Algorithms</v>
      </c>
      <c r="I1455" s="16" t="str">
        <f>SUBSTITUTE(Github!L$652, ";", ", ")</f>
        <v>Math, Dynamic Programming, </v>
      </c>
      <c r="J1455" s="13" t="str">
        <f>Github!E$652</f>
        <v>Medium</v>
      </c>
      <c r="K1455" s="13" t="str">
        <f>IF(TRIM(Github!D$652)="TRUE","FALSE","TRUE")</f>
        <v>FALSE</v>
      </c>
      <c r="L1455" s="13" t="b">
        <f>Github!M$652</f>
        <v>1</v>
      </c>
      <c r="M1455" s="13" t="b">
        <f>Github!N$652</f>
        <v>0</v>
      </c>
      <c r="N1455" s="13">
        <f>Github!P$652</f>
        <v>23322</v>
      </c>
      <c r="O1455" s="13">
        <f>Github!Q$652</f>
        <v>42796</v>
      </c>
    </row>
    <row r="1456">
      <c r="A1456" s="13">
        <f>Github!J$2305</f>
        <v>2304</v>
      </c>
      <c r="B1456" s="14" t="str">
        <f>HYPERLINK(CONCAT("http://leetcode.com/problems/",Github!C$2305), Github!B$2305)</f>
        <v>Minimum Path Cost in a Grid</v>
      </c>
      <c r="C1456" s="13">
        <f>Github!F$2305</f>
        <v>565</v>
      </c>
      <c r="D1456" s="13">
        <f>Github!G$2305</f>
        <v>82</v>
      </c>
      <c r="E1456" s="13">
        <f>Github!F$2305+Github!G$2305</f>
        <v>647</v>
      </c>
      <c r="F1456" s="15">
        <f t="shared" si="1"/>
        <v>6.89</v>
      </c>
      <c r="G1456" s="13" t="str">
        <f>ROUND(Github!O$2305, 2)&amp;"%"</f>
        <v>65.8%</v>
      </c>
      <c r="H1456" s="13" t="str">
        <f>Github!H2305</f>
        <v>Algorithms</v>
      </c>
      <c r="I1456" s="16" t="str">
        <f>SUBSTITUTE(Github!L$2305, ";", ", ")</f>
        <v>Array, Dynamic Programming, Matrix, </v>
      </c>
      <c r="J1456" s="13" t="str">
        <f>Github!E$2305</f>
        <v>Medium</v>
      </c>
      <c r="K1456" s="13" t="str">
        <f>IF(TRIM(Github!D$2305)="TRUE","FALSE","TRUE")</f>
        <v>TRUE</v>
      </c>
      <c r="L1456" s="13" t="b">
        <f>Github!M$2305</f>
        <v>0</v>
      </c>
      <c r="M1456" s="13" t="b">
        <f>Github!N$2305</f>
        <v>0</v>
      </c>
      <c r="N1456" s="13">
        <f>Github!P$2305</f>
        <v>19564</v>
      </c>
      <c r="O1456" s="13">
        <f>Github!Q$2305</f>
        <v>29734</v>
      </c>
    </row>
    <row r="1457">
      <c r="A1457" s="13">
        <f>Github!J$1942</f>
        <v>1941</v>
      </c>
      <c r="B1457" s="14" t="str">
        <f>HYPERLINK(CONCAT("http://leetcode.com/problems/",Github!C$1942), Github!B$1942)</f>
        <v>Check if All Characters Have Equal Number of Occurrences</v>
      </c>
      <c r="C1457" s="13">
        <f>Github!F$1942</f>
        <v>558</v>
      </c>
      <c r="D1457" s="13">
        <f>Github!G$1942</f>
        <v>14</v>
      </c>
      <c r="E1457" s="13">
        <f>Github!F$1942+Github!G$1942</f>
        <v>572</v>
      </c>
      <c r="F1457" s="15">
        <f t="shared" si="1"/>
        <v>39.86</v>
      </c>
      <c r="G1457" s="13" t="str">
        <f>ROUND(Github!O$1942, 2)&amp;"%"</f>
        <v>76.81%</v>
      </c>
      <c r="H1457" s="13" t="str">
        <f>Github!H$1942</f>
        <v>Algorithms</v>
      </c>
      <c r="I1457" s="16" t="str">
        <f>SUBSTITUTE(Github!L$1942, ";", ", ")</f>
        <v>Hash Table, String, Counting, </v>
      </c>
      <c r="J1457" s="13" t="str">
        <f>Github!E$1942</f>
        <v>Easy</v>
      </c>
      <c r="K1457" s="13" t="str">
        <f>IF(TRIM(Github!D$1942)="TRUE","FALSE","TRUE")</f>
        <v>TRUE</v>
      </c>
      <c r="L1457" s="13" t="b">
        <f>Github!M$1942</f>
        <v>0</v>
      </c>
      <c r="M1457" s="13" t="b">
        <f>Github!N$1942</f>
        <v>0</v>
      </c>
      <c r="N1457" s="13">
        <f>Github!P$1942</f>
        <v>53350</v>
      </c>
      <c r="O1457" s="13">
        <f>Github!Q$1942</f>
        <v>69456</v>
      </c>
    </row>
    <row r="1458">
      <c r="A1458" s="13">
        <f>Github!J$1563</f>
        <v>1562</v>
      </c>
      <c r="B1458" s="14" t="str">
        <f>HYPERLINK(CONCAT("http://leetcode.com/problems/",Github!C$1563), Github!B$1563)</f>
        <v>Find Latest Group of Size M</v>
      </c>
      <c r="C1458" s="13">
        <f>Github!F$1563</f>
        <v>552</v>
      </c>
      <c r="D1458" s="13">
        <f>Github!G$1563</f>
        <v>115</v>
      </c>
      <c r="E1458" s="13">
        <f>Github!F$1563+Github!G$1563</f>
        <v>667</v>
      </c>
      <c r="F1458" s="15">
        <f t="shared" si="1"/>
        <v>4.8</v>
      </c>
      <c r="G1458" s="13" t="str">
        <f>ROUND(Github!O$1563, 2)&amp;"%"</f>
        <v>42.65%</v>
      </c>
      <c r="H1458" s="13" t="str">
        <f>Github!H$1563</f>
        <v>Algorithms</v>
      </c>
      <c r="I1458" s="16" t="str">
        <f>SUBSTITUTE(Github!L$1563, ";", ", ")</f>
        <v>Array, Binary Search, Simulation, </v>
      </c>
      <c r="J1458" s="13" t="str">
        <f>Github!E$1563</f>
        <v>Medium</v>
      </c>
      <c r="K1458" s="13" t="str">
        <f>IF(TRIM(Github!D$1563)="TRUE","FALSE","TRUE")</f>
        <v>TRUE</v>
      </c>
      <c r="L1458" s="13" t="b">
        <f>Github!M$1563</f>
        <v>0</v>
      </c>
      <c r="M1458" s="13" t="b">
        <f>Github!N$1563</f>
        <v>0</v>
      </c>
      <c r="N1458" s="13">
        <f>Github!P$1563</f>
        <v>15340</v>
      </c>
      <c r="O1458" s="13">
        <f>Github!Q$1563</f>
        <v>35966</v>
      </c>
    </row>
    <row r="1459">
      <c r="A1459" s="13">
        <f>Github!J$409</f>
        <v>408</v>
      </c>
      <c r="B1459" s="14" t="str">
        <f>HYPERLINK(CONCAT("http://leetcode.com/problems/",Github!C$409), Github!B$409)</f>
        <v>Valid Word Abbreviation</v>
      </c>
      <c r="C1459" s="13">
        <f>Github!F$409</f>
        <v>547</v>
      </c>
      <c r="D1459" s="13">
        <f>Github!G$409</f>
        <v>1890</v>
      </c>
      <c r="E1459" s="13">
        <f>Github!F$409+Github!G$409</f>
        <v>2437</v>
      </c>
      <c r="F1459" s="15">
        <f t="shared" si="1"/>
        <v>0.29</v>
      </c>
      <c r="G1459" s="13" t="str">
        <f>ROUND(Github!O$409, 2)&amp;"%"</f>
        <v>34.84%</v>
      </c>
      <c r="H1459" s="13" t="str">
        <f>Github!H$409</f>
        <v>Algorithms</v>
      </c>
      <c r="I1459" s="16" t="str">
        <f>SUBSTITUTE(Github!L$409, ";", ", ")</f>
        <v>Two Pointers, String, </v>
      </c>
      <c r="J1459" s="13" t="str">
        <f>Github!E$409</f>
        <v>Easy</v>
      </c>
      <c r="K1459" s="13" t="str">
        <f>IF(TRIM(Github!D$409)="TRUE","FALSE","TRUE")</f>
        <v>FALSE</v>
      </c>
      <c r="L1459" s="13" t="b">
        <f>Github!M$409</f>
        <v>0</v>
      </c>
      <c r="M1459" s="13" t="b">
        <f>Github!N$409</f>
        <v>0</v>
      </c>
      <c r="N1459" s="13">
        <f>Github!P$409</f>
        <v>115730</v>
      </c>
      <c r="O1459" s="13">
        <f>Github!Q$409</f>
        <v>332209</v>
      </c>
    </row>
    <row r="1460">
      <c r="A1460" s="13">
        <f>Github!J$929</f>
        <v>928</v>
      </c>
      <c r="B1460" s="14" t="str">
        <f>HYPERLINK(CONCAT("http://leetcode.com/problems/",Github!C$929), Github!B$929)</f>
        <v>Minimize Malware Spread II</v>
      </c>
      <c r="C1460" s="13">
        <f>Github!F$929</f>
        <v>551</v>
      </c>
      <c r="D1460" s="13">
        <f>Github!G$929</f>
        <v>79</v>
      </c>
      <c r="E1460" s="13">
        <f>Github!F$929+Github!G$929</f>
        <v>630</v>
      </c>
      <c r="F1460" s="15">
        <f t="shared" si="1"/>
        <v>6.97</v>
      </c>
      <c r="G1460" s="13" t="str">
        <f>ROUND(Github!O$929, 2)&amp;"%"</f>
        <v>42.71%</v>
      </c>
      <c r="H1460" s="13" t="str">
        <f>Github!H$929</f>
        <v>Algorithms</v>
      </c>
      <c r="I1460" s="16" t="str">
        <f>SUBSTITUTE(Github!L$929, ";", ", ")</f>
        <v>Array, Depth-First Search, Breadth-First Search, Union Find, Matrix, </v>
      </c>
      <c r="J1460" s="13" t="str">
        <f>Github!E$929</f>
        <v>Hard</v>
      </c>
      <c r="K1460" s="13" t="str">
        <f>IF(TRIM(Github!D$929)="TRUE","FALSE","TRUE")</f>
        <v>TRUE</v>
      </c>
      <c r="L1460" s="13" t="b">
        <f>Github!M$929</f>
        <v>1</v>
      </c>
      <c r="M1460" s="13" t="b">
        <f>Github!N$929</f>
        <v>0</v>
      </c>
      <c r="N1460" s="13">
        <f>Github!P$929</f>
        <v>17645</v>
      </c>
      <c r="O1460" s="13">
        <f>Github!Q$929</f>
        <v>41316</v>
      </c>
    </row>
    <row r="1461">
      <c r="A1461" s="13">
        <f>Github!J$1535</f>
        <v>1534</v>
      </c>
      <c r="B1461" s="14" t="str">
        <f>HYPERLINK(CONCAT("http://leetcode.com/problems/",Github!C$1535), Github!B$1535)</f>
        <v>Count Good Triplets</v>
      </c>
      <c r="C1461" s="13">
        <f>Github!F$1535</f>
        <v>557</v>
      </c>
      <c r="D1461" s="13">
        <f>Github!G$1535</f>
        <v>1042</v>
      </c>
      <c r="E1461" s="13">
        <f>Github!F$1535+Github!G$1535</f>
        <v>1599</v>
      </c>
      <c r="F1461" s="15">
        <f t="shared" si="1"/>
        <v>0.53</v>
      </c>
      <c r="G1461" s="13" t="str">
        <f>ROUND(Github!O$1535, 2)&amp;"%"</f>
        <v>80.84%</v>
      </c>
      <c r="H1461" s="13" t="str">
        <f>Github!H$1535</f>
        <v>Algorithms</v>
      </c>
      <c r="I1461" s="16" t="str">
        <f>SUBSTITUTE(Github!L$1535, ";", ", ")</f>
        <v>Array, Enumeration, </v>
      </c>
      <c r="J1461" s="13" t="str">
        <f>Github!E$1535</f>
        <v>Easy</v>
      </c>
      <c r="K1461" s="13" t="str">
        <f>IF(TRIM(Github!D$1535)="TRUE","FALSE","TRUE")</f>
        <v>TRUE</v>
      </c>
      <c r="L1461" s="13" t="b">
        <f>Github!M$1535</f>
        <v>0</v>
      </c>
      <c r="M1461" s="13" t="b">
        <f>Github!N$1535</f>
        <v>0</v>
      </c>
      <c r="N1461" s="13">
        <f>Github!P$1535</f>
        <v>90213</v>
      </c>
      <c r="O1461" s="13">
        <f>Github!Q$1535</f>
        <v>111589</v>
      </c>
    </row>
    <row r="1462">
      <c r="A1462" s="13">
        <f>Github!J$1650</f>
        <v>1649</v>
      </c>
      <c r="B1462" s="14" t="str">
        <f>HYPERLINK(CONCAT("http://leetcode.com/problems/",Github!C$1650), Github!B$1650)</f>
        <v>Create Sorted Array through Instructions</v>
      </c>
      <c r="C1462" s="13">
        <f>Github!F$1650</f>
        <v>551</v>
      </c>
      <c r="D1462" s="13">
        <f>Github!G$1650</f>
        <v>72</v>
      </c>
      <c r="E1462" s="13">
        <f>Github!F$1650+Github!G$1650</f>
        <v>623</v>
      </c>
      <c r="F1462" s="15">
        <f t="shared" si="1"/>
        <v>7.65</v>
      </c>
      <c r="G1462" s="13" t="str">
        <f>ROUND(Github!O$1650, 2)&amp;"%"</f>
        <v>37.25%</v>
      </c>
      <c r="H1462" s="13" t="str">
        <f>Github!H$1650</f>
        <v>Algorithms</v>
      </c>
      <c r="I1462" s="16" t="str">
        <f>SUBSTITUTE(Github!L$1650, ";", ", ")</f>
        <v>Array, Binary Search, Divide and Conquer, Binary Indexed Tree, Segment Tree, Merge Sort, Ordered Set, </v>
      </c>
      <c r="J1462" s="13" t="str">
        <f>Github!E$1650</f>
        <v>Hard</v>
      </c>
      <c r="K1462" s="13" t="str">
        <f>IF(TRIM(Github!D$1650)="TRUE","FALSE","TRUE")</f>
        <v>TRUE</v>
      </c>
      <c r="L1462" s="13" t="b">
        <f>Github!M$1650</f>
        <v>1</v>
      </c>
      <c r="M1462" s="13" t="b">
        <f>Github!N$1650</f>
        <v>0</v>
      </c>
      <c r="N1462" s="13">
        <f>Github!P$1650</f>
        <v>21902</v>
      </c>
      <c r="O1462" s="13">
        <f>Github!Q$1650</f>
        <v>58803</v>
      </c>
    </row>
    <row r="1463">
      <c r="A1463" s="13">
        <f>Github!J$604</f>
        <v>603</v>
      </c>
      <c r="B1463" s="14" t="str">
        <f>HYPERLINK(CONCAT("http://leetcode.com/problems/",Github!C$604), Github!B$604)</f>
        <v>Consecutive Available Seats</v>
      </c>
      <c r="C1463" s="13">
        <f>Github!F$604</f>
        <v>548</v>
      </c>
      <c r="D1463" s="13">
        <f>Github!G$604</f>
        <v>53</v>
      </c>
      <c r="E1463" s="13">
        <f>Github!F$604+Github!G$604</f>
        <v>601</v>
      </c>
      <c r="F1463" s="15">
        <f t="shared" si="1"/>
        <v>10.34</v>
      </c>
      <c r="G1463" s="13" t="str">
        <f>ROUND(Github!O$604, 2)&amp;"%"</f>
        <v>68.07%</v>
      </c>
      <c r="H1463" s="13" t="str">
        <f>Github!H$604</f>
        <v>Database</v>
      </c>
      <c r="I1463" s="16" t="str">
        <f>SUBSTITUTE(Github!L$604, ";", ", ")</f>
        <v>Database, </v>
      </c>
      <c r="J1463" s="13" t="str">
        <f>Github!E$604</f>
        <v>Easy</v>
      </c>
      <c r="K1463" s="13" t="str">
        <f>IF(TRIM(Github!D$604)="TRUE","FALSE","TRUE")</f>
        <v>FALSE</v>
      </c>
      <c r="L1463" s="13" t="b">
        <f>Github!M$604</f>
        <v>1</v>
      </c>
      <c r="M1463" s="13" t="b">
        <f>Github!N$604</f>
        <v>0</v>
      </c>
      <c r="N1463" s="13">
        <f>Github!P$604</f>
        <v>69853</v>
      </c>
      <c r="O1463" s="13">
        <f>Github!Q$604</f>
        <v>102621</v>
      </c>
    </row>
    <row r="1464">
      <c r="A1464" s="13">
        <f>Github!J$956</f>
        <v>955</v>
      </c>
      <c r="B1464" s="14" t="str">
        <f>HYPERLINK(CONCAT("http://leetcode.com/problems/",Github!C$956), Github!B$956)</f>
        <v>Delete Columns to Make Sorted II</v>
      </c>
      <c r="C1464" s="13">
        <f>Github!F$956</f>
        <v>547</v>
      </c>
      <c r="D1464" s="13">
        <f>Github!G$956</f>
        <v>79</v>
      </c>
      <c r="E1464" s="13">
        <f>Github!F$956+Github!G$956</f>
        <v>626</v>
      </c>
      <c r="F1464" s="15">
        <f t="shared" si="1"/>
        <v>6.92</v>
      </c>
      <c r="G1464" s="13" t="str">
        <f>ROUND(Github!O$956, 2)&amp;"%"</f>
        <v>34.67%</v>
      </c>
      <c r="H1464" s="13" t="str">
        <f>Github!H$956</f>
        <v>Algorithms</v>
      </c>
      <c r="I1464" s="16" t="str">
        <f>SUBSTITUTE(Github!L$956, ";", ", ")</f>
        <v>Array, String, Greedy, </v>
      </c>
      <c r="J1464" s="13" t="str">
        <f>Github!E$956</f>
        <v>Medium</v>
      </c>
      <c r="K1464" s="13" t="str">
        <f>IF(TRIM(Github!D$956)="TRUE","FALSE","TRUE")</f>
        <v>TRUE</v>
      </c>
      <c r="L1464" s="13" t="b">
        <f>Github!M$956</f>
        <v>0</v>
      </c>
      <c r="M1464" s="13" t="b">
        <f>Github!N$956</f>
        <v>0</v>
      </c>
      <c r="N1464" s="13">
        <f>Github!P$956</f>
        <v>17185</v>
      </c>
      <c r="O1464" s="13">
        <f>Github!Q$956</f>
        <v>49567</v>
      </c>
    </row>
    <row r="1465">
      <c r="A1465" s="13">
        <f>Github!J$1116</f>
        <v>1115</v>
      </c>
      <c r="B1465" s="14" t="str">
        <f>HYPERLINK(CONCAT("http://leetcode.com/problems/",Github!C$1116), Github!B$1116)</f>
        <v>Print FooBar Alternately</v>
      </c>
      <c r="C1465" s="13">
        <f>Github!F$1116</f>
        <v>548</v>
      </c>
      <c r="D1465" s="13">
        <f>Github!G$1116</f>
        <v>45</v>
      </c>
      <c r="E1465" s="13">
        <f>Github!F$1116+Github!G$1116</f>
        <v>593</v>
      </c>
      <c r="F1465" s="15">
        <f t="shared" si="1"/>
        <v>12.18</v>
      </c>
      <c r="G1465" s="13" t="str">
        <f>ROUND(Github!O$1116, 2)&amp;"%"</f>
        <v>62.07%</v>
      </c>
      <c r="H1465" s="13" t="str">
        <f>Github!H$1116</f>
        <v>Concurrency</v>
      </c>
      <c r="I1465" s="16" t="str">
        <f>SUBSTITUTE(Github!L$1116, ";", ", ")</f>
        <v>Concurrency, </v>
      </c>
      <c r="J1465" s="13" t="str">
        <f>Github!E$1116</f>
        <v>Medium</v>
      </c>
      <c r="K1465" s="13" t="str">
        <f>IF(TRIM(Github!D$1116)="TRUE","FALSE","TRUE")</f>
        <v>TRUE</v>
      </c>
      <c r="L1465" s="13" t="b">
        <f>Github!M$1116</f>
        <v>0</v>
      </c>
      <c r="M1465" s="13" t="b">
        <f>Github!N$1116</f>
        <v>0</v>
      </c>
      <c r="N1465" s="13">
        <f>Github!P$1116</f>
        <v>61848</v>
      </c>
      <c r="O1465" s="13">
        <f>Github!Q$1116</f>
        <v>99644</v>
      </c>
    </row>
    <row r="1466">
      <c r="A1466" s="13">
        <f>Github!J$1567</f>
        <v>1566</v>
      </c>
      <c r="B1466" s="14" t="str">
        <f>HYPERLINK(CONCAT("http://leetcode.com/problems/",Github!C$1567), Github!B$1567)</f>
        <v>Detect Pattern of Length M Repeated K or More Times</v>
      </c>
      <c r="C1466" s="13">
        <f>Github!F$1567</f>
        <v>552</v>
      </c>
      <c r="D1466" s="13">
        <f>Github!G$1567</f>
        <v>107</v>
      </c>
      <c r="E1466" s="13">
        <f>Github!F$1567+Github!G$1567</f>
        <v>659</v>
      </c>
      <c r="F1466" s="15">
        <f t="shared" si="1"/>
        <v>5.16</v>
      </c>
      <c r="G1466" s="13" t="str">
        <f>ROUND(Github!O$1567, 2)&amp;"%"</f>
        <v>43.55%</v>
      </c>
      <c r="H1466" s="13" t="str">
        <f>Github!H$1567</f>
        <v>Algorithms</v>
      </c>
      <c r="I1466" s="16" t="str">
        <f>SUBSTITUTE(Github!L$1567, ";", ", ")</f>
        <v>Array, Enumeration, </v>
      </c>
      <c r="J1466" s="13" t="str">
        <f>Github!E$1567</f>
        <v>Easy</v>
      </c>
      <c r="K1466" s="13" t="str">
        <f>IF(TRIM(Github!D$1567)="TRUE","FALSE","TRUE")</f>
        <v>TRUE</v>
      </c>
      <c r="L1466" s="13" t="b">
        <f>Github!M$1567</f>
        <v>0</v>
      </c>
      <c r="M1466" s="13" t="b">
        <f>Github!N$1567</f>
        <v>0</v>
      </c>
      <c r="N1466" s="13">
        <f>Github!P$1567</f>
        <v>28121</v>
      </c>
      <c r="O1466" s="13">
        <f>Github!Q$1567</f>
        <v>64571</v>
      </c>
    </row>
    <row r="1467">
      <c r="A1467" s="13">
        <f>Github!J$1013</f>
        <v>1012</v>
      </c>
      <c r="B1467" s="14" t="str">
        <f>HYPERLINK(CONCAT("http://leetcode.com/problems/",Github!C$1013), Github!B$1013)</f>
        <v>Numbers With Repeated Digits</v>
      </c>
      <c r="C1467" s="13">
        <f>Github!F$1013</f>
        <v>546</v>
      </c>
      <c r="D1467" s="13">
        <f>Github!G$1013</f>
        <v>68</v>
      </c>
      <c r="E1467" s="13">
        <f>Github!F$1013+Github!G$1013</f>
        <v>614</v>
      </c>
      <c r="F1467" s="15">
        <f t="shared" si="1"/>
        <v>8.03</v>
      </c>
      <c r="G1467" s="13" t="str">
        <f>ROUND(Github!O$1013, 2)&amp;"%"</f>
        <v>40.28%</v>
      </c>
      <c r="H1467" s="13" t="str">
        <f>Github!H$1013</f>
        <v>Algorithms</v>
      </c>
      <c r="I1467" s="16" t="str">
        <f>SUBSTITUTE(Github!L$1013, ";", ", ")</f>
        <v>Math, Dynamic Programming, </v>
      </c>
      <c r="J1467" s="13" t="str">
        <f>Github!E$1013</f>
        <v>Hard</v>
      </c>
      <c r="K1467" s="13" t="str">
        <f>IF(TRIM(Github!D$1013)="TRUE","FALSE","TRUE")</f>
        <v>TRUE</v>
      </c>
      <c r="L1467" s="13" t="b">
        <f>Github!M$1013</f>
        <v>0</v>
      </c>
      <c r="M1467" s="13" t="b">
        <f>Github!N$1013</f>
        <v>0</v>
      </c>
      <c r="N1467" s="13">
        <f>Github!P$1013</f>
        <v>11493</v>
      </c>
      <c r="O1467" s="13">
        <f>Github!Q$1013</f>
        <v>28535</v>
      </c>
    </row>
    <row r="1468">
      <c r="A1468" s="13">
        <f>Github!J$1148</f>
        <v>1147</v>
      </c>
      <c r="B1468" s="14" t="str">
        <f>HYPERLINK(CONCAT("http://leetcode.com/problems/",Github!C$1148), Github!B$1148)</f>
        <v>Longest Chunked Palindrome Decomposition</v>
      </c>
      <c r="C1468" s="13">
        <f>Github!F$1148</f>
        <v>544</v>
      </c>
      <c r="D1468" s="13">
        <f>Github!G$1148</f>
        <v>26</v>
      </c>
      <c r="E1468" s="13">
        <f>Github!F$1148+Github!G$1148</f>
        <v>570</v>
      </c>
      <c r="F1468" s="15">
        <f t="shared" si="1"/>
        <v>20.92</v>
      </c>
      <c r="G1468" s="13" t="str">
        <f>ROUND(Github!O$1148, 2)&amp;"%"</f>
        <v>59.62%</v>
      </c>
      <c r="H1468" s="13" t="str">
        <f>Github!H$1148</f>
        <v>Algorithms</v>
      </c>
      <c r="I1468" s="16" t="str">
        <f>SUBSTITUTE(Github!L$1148, ";", ", ")</f>
        <v>Two Pointers, String, Dynamic Programming, Greedy, Rolling Hash, Hash Function, </v>
      </c>
      <c r="J1468" s="13" t="str">
        <f>Github!E$1148</f>
        <v>Hard</v>
      </c>
      <c r="K1468" s="13" t="str">
        <f>IF(TRIM(Github!D$1148)="TRUE","FALSE","TRUE")</f>
        <v>TRUE</v>
      </c>
      <c r="L1468" s="13" t="b">
        <f>Github!M$1148</f>
        <v>0</v>
      </c>
      <c r="M1468" s="13" t="b">
        <f>Github!N$1148</f>
        <v>0</v>
      </c>
      <c r="N1468" s="13">
        <f>Github!P$1148</f>
        <v>19239</v>
      </c>
      <c r="O1468" s="13">
        <f>Github!Q$1148</f>
        <v>32270</v>
      </c>
    </row>
    <row r="1469">
      <c r="A1469" s="13">
        <f>Github!J$1675</f>
        <v>1674</v>
      </c>
      <c r="B1469" s="14" t="str">
        <f>HYPERLINK(CONCAT("http://leetcode.com/problems/",Github!C$1675), Github!B$1675)</f>
        <v>Minimum Moves to Make Array Complementary</v>
      </c>
      <c r="C1469" s="13">
        <f>Github!F$1675</f>
        <v>542</v>
      </c>
      <c r="D1469" s="13">
        <f>Github!G$1675</f>
        <v>68</v>
      </c>
      <c r="E1469" s="13">
        <f>Github!F$1675+Github!G$1675</f>
        <v>610</v>
      </c>
      <c r="F1469" s="15">
        <f t="shared" si="1"/>
        <v>7.97</v>
      </c>
      <c r="G1469" s="13" t="str">
        <f>ROUND(Github!O$1675, 2)&amp;"%"</f>
        <v>38.68%</v>
      </c>
      <c r="H1469" s="13" t="str">
        <f>Github!H$1675</f>
        <v>Algorithms</v>
      </c>
      <c r="I1469" s="16" t="str">
        <f>SUBSTITUTE(Github!L$1675, ";", ", ")</f>
        <v>Array, Hash Table, Prefix Sum, </v>
      </c>
      <c r="J1469" s="13" t="str">
        <f>Github!E$1675</f>
        <v>Medium</v>
      </c>
      <c r="K1469" s="13" t="str">
        <f>IF(TRIM(Github!D$1675)="TRUE","FALSE","TRUE")</f>
        <v>TRUE</v>
      </c>
      <c r="L1469" s="13" t="b">
        <f>Github!M$1675</f>
        <v>0</v>
      </c>
      <c r="M1469" s="13" t="b">
        <f>Github!N$1675</f>
        <v>0</v>
      </c>
      <c r="N1469" s="13">
        <f>Github!P$1675</f>
        <v>7037</v>
      </c>
      <c r="O1469" s="13">
        <f>Github!Q$1675</f>
        <v>18192</v>
      </c>
    </row>
    <row r="1470">
      <c r="A1470" s="13">
        <f>Github!J$1158</f>
        <v>1157</v>
      </c>
      <c r="B1470" s="14" t="str">
        <f>HYPERLINK(CONCAT("http://leetcode.com/problems/",Github!C$1158), Github!B$1158)</f>
        <v>Online Majority Element In Subarray</v>
      </c>
      <c r="C1470" s="13">
        <f>Github!F$1158</f>
        <v>542</v>
      </c>
      <c r="D1470" s="13">
        <f>Github!G$1158</f>
        <v>52</v>
      </c>
      <c r="E1470" s="13">
        <f>Github!F$1158+Github!G$1158</f>
        <v>594</v>
      </c>
      <c r="F1470" s="15">
        <f t="shared" si="1"/>
        <v>10.42</v>
      </c>
      <c r="G1470" s="13" t="str">
        <f>ROUND(Github!O$1158, 2)&amp;"%"</f>
        <v>41.85%</v>
      </c>
      <c r="H1470" s="13" t="str">
        <f>Github!H$1158</f>
        <v>Algorithms</v>
      </c>
      <c r="I1470" s="16" t="str">
        <f>SUBSTITUTE(Github!L$1158, ";", ", ")</f>
        <v>Array, Binary Search, Design, Binary Indexed Tree, Segment Tree, </v>
      </c>
      <c r="J1470" s="13" t="str">
        <f>Github!E$1158</f>
        <v>Hard</v>
      </c>
      <c r="K1470" s="13" t="str">
        <f>IF(TRIM(Github!D$1158)="TRUE","FALSE","TRUE")</f>
        <v>TRUE</v>
      </c>
      <c r="L1470" s="13" t="b">
        <f>Github!M$1158</f>
        <v>0</v>
      </c>
      <c r="M1470" s="13" t="b">
        <f>Github!N$1158</f>
        <v>0</v>
      </c>
      <c r="N1470" s="13">
        <f>Github!P$1158</f>
        <v>14257</v>
      </c>
      <c r="O1470" s="13">
        <f>Github!Q$1158</f>
        <v>34066</v>
      </c>
    </row>
    <row r="1471">
      <c r="A1471" s="13">
        <f>Github!J$1647</f>
        <v>1646</v>
      </c>
      <c r="B1471" s="14" t="str">
        <f>HYPERLINK(CONCAT("http://leetcode.com/problems/",Github!C$1647), Github!B$1647)</f>
        <v>Get Maximum in Generated Array</v>
      </c>
      <c r="C1471" s="13">
        <f>Github!F$1647</f>
        <v>550</v>
      </c>
      <c r="D1471" s="13">
        <f>Github!G$1647</f>
        <v>742</v>
      </c>
      <c r="E1471" s="13">
        <f>Github!F$1647+Github!G$1647</f>
        <v>1292</v>
      </c>
      <c r="F1471" s="15">
        <f t="shared" si="1"/>
        <v>0.74</v>
      </c>
      <c r="G1471" s="13" t="str">
        <f>ROUND(Github!O$1647, 2)&amp;"%"</f>
        <v>50.18%</v>
      </c>
      <c r="H1471" s="13" t="str">
        <f>Github!H$1647</f>
        <v>Algorithms</v>
      </c>
      <c r="I1471" s="16" t="str">
        <f>SUBSTITUTE(Github!L$1647, ";", ", ")</f>
        <v>Array, Dynamic Programming, Simulation, </v>
      </c>
      <c r="J1471" s="13" t="str">
        <f>Github!E$1647</f>
        <v>Easy</v>
      </c>
      <c r="K1471" s="13" t="str">
        <f>IF(TRIM(Github!D$1647)="TRUE","FALSE","TRUE")</f>
        <v>TRUE</v>
      </c>
      <c r="L1471" s="13" t="b">
        <f>Github!M$1647</f>
        <v>1</v>
      </c>
      <c r="M1471" s="13" t="b">
        <f>Github!N$1647</f>
        <v>0</v>
      </c>
      <c r="N1471" s="13">
        <f>Github!P$1647</f>
        <v>79393</v>
      </c>
      <c r="O1471" s="13">
        <f>Github!Q$1647</f>
        <v>158225</v>
      </c>
    </row>
    <row r="1472">
      <c r="A1472" s="13">
        <f>Github!J$2312</f>
        <v>2311</v>
      </c>
      <c r="B1472" s="14" t="str">
        <f>HYPERLINK(CONCAT("http://leetcode.com/problems/",Github!C$2312), Github!B$2312)</f>
        <v>Longest Binary Subsequence Less Than or Equal to K</v>
      </c>
      <c r="C1472" s="13">
        <f>Github!F$2312</f>
        <v>543</v>
      </c>
      <c r="D1472" s="13">
        <f>Github!G$2312</f>
        <v>40</v>
      </c>
      <c r="E1472" s="13">
        <f>Github!F$2312+Github!G$2312</f>
        <v>583</v>
      </c>
      <c r="F1472" s="15">
        <f t="shared" si="1"/>
        <v>13.58</v>
      </c>
      <c r="G1472" s="13" t="str">
        <f>ROUND(Github!O$2312, 2)&amp;"%"</f>
        <v>36.7%</v>
      </c>
      <c r="H1472" s="13" t="str">
        <f>Github!H2312</f>
        <v>Algorithms</v>
      </c>
      <c r="I1472" s="16" t="str">
        <f>SUBSTITUTE(Github!L$2312, ";", ", ")</f>
        <v>String, Dynamic Programming, Greedy, Memoization, </v>
      </c>
      <c r="J1472" s="13" t="str">
        <f>Github!E$2312</f>
        <v>Medium</v>
      </c>
      <c r="K1472" s="13" t="str">
        <f>IF(TRIM(Github!D$2312)="TRUE","FALSE","TRUE")</f>
        <v>TRUE</v>
      </c>
      <c r="L1472" s="13" t="b">
        <f>Github!M$2312</f>
        <v>0</v>
      </c>
      <c r="M1472" s="13" t="b">
        <f>Github!N$2312</f>
        <v>0</v>
      </c>
      <c r="N1472" s="13">
        <f>Github!P$2312</f>
        <v>17306</v>
      </c>
      <c r="O1472" s="13">
        <f>Github!Q$2312</f>
        <v>47151</v>
      </c>
    </row>
    <row r="1473">
      <c r="A1473" s="13">
        <f>Github!J$1081</f>
        <v>1080</v>
      </c>
      <c r="B1473" s="14" t="str">
        <f>HYPERLINK(CONCAT("http://leetcode.com/problems/",Github!C$1081), Github!B$1081)</f>
        <v>Insufficient Nodes in Root to Leaf Paths</v>
      </c>
      <c r="C1473" s="13">
        <f>Github!F$1081</f>
        <v>544</v>
      </c>
      <c r="D1473" s="13">
        <f>Github!G$1081</f>
        <v>632</v>
      </c>
      <c r="E1473" s="13">
        <f>Github!F$1081+Github!G$1081</f>
        <v>1176</v>
      </c>
      <c r="F1473" s="15">
        <f t="shared" si="1"/>
        <v>0.86</v>
      </c>
      <c r="G1473" s="13" t="str">
        <f>ROUND(Github!O$1081, 2)&amp;"%"</f>
        <v>53.11%</v>
      </c>
      <c r="H1473" s="13" t="str">
        <f>Github!H$1081</f>
        <v>Algorithms</v>
      </c>
      <c r="I1473" s="16" t="str">
        <f>SUBSTITUTE(Github!L$1081, ";", ", ")</f>
        <v>Tree, Depth-First Search, Binary Tree, </v>
      </c>
      <c r="J1473" s="13" t="str">
        <f>Github!E$1081</f>
        <v>Medium</v>
      </c>
      <c r="K1473" s="13" t="str">
        <f>IF(TRIM(Github!D$1081)="TRUE","FALSE","TRUE")</f>
        <v>TRUE</v>
      </c>
      <c r="L1473" s="13" t="b">
        <f>Github!M$1081</f>
        <v>0</v>
      </c>
      <c r="M1473" s="13" t="b">
        <f>Github!N$1081</f>
        <v>0</v>
      </c>
      <c r="N1473" s="13">
        <f>Github!P$1081</f>
        <v>30056</v>
      </c>
      <c r="O1473" s="13">
        <f>Github!Q$1081</f>
        <v>56588</v>
      </c>
    </row>
    <row r="1474">
      <c r="A1474" s="13">
        <f>Github!J$1037</f>
        <v>1036</v>
      </c>
      <c r="B1474" s="14" t="str">
        <f>HYPERLINK(CONCAT("http://leetcode.com/problems/",Github!C$1037), Github!B$1037)</f>
        <v>Escape a Large Maze</v>
      </c>
      <c r="C1474" s="13">
        <f>Github!F$1037</f>
        <v>541</v>
      </c>
      <c r="D1474" s="13">
        <f>Github!G$1037</f>
        <v>153</v>
      </c>
      <c r="E1474" s="13">
        <f>Github!F$1037+Github!G$1037</f>
        <v>694</v>
      </c>
      <c r="F1474" s="15">
        <f t="shared" si="1"/>
        <v>3.54</v>
      </c>
      <c r="G1474" s="13" t="str">
        <f>ROUND(Github!O$1037, 2)&amp;"%"</f>
        <v>34.09%</v>
      </c>
      <c r="H1474" s="13" t="str">
        <f>Github!H$1037</f>
        <v>Algorithms</v>
      </c>
      <c r="I1474" s="16" t="str">
        <f>SUBSTITUTE(Github!L$1037, ";", ", ")</f>
        <v>Array, Hash Table, Depth-First Search, Breadth-First Search, </v>
      </c>
      <c r="J1474" s="13" t="str">
        <f>Github!E$1037</f>
        <v>Hard</v>
      </c>
      <c r="K1474" s="13" t="str">
        <f>IF(TRIM(Github!D$1037)="TRUE","FALSE","TRUE")</f>
        <v>TRUE</v>
      </c>
      <c r="L1474" s="13" t="b">
        <f>Github!M$1037</f>
        <v>0</v>
      </c>
      <c r="M1474" s="13" t="b">
        <f>Github!N$1037</f>
        <v>0</v>
      </c>
      <c r="N1474" s="13">
        <f>Github!P$1037</f>
        <v>17505</v>
      </c>
      <c r="O1474" s="13">
        <f>Github!Q$1037</f>
        <v>51346</v>
      </c>
    </row>
    <row r="1475">
      <c r="A1475" s="13">
        <f>Github!J$1132</f>
        <v>1131</v>
      </c>
      <c r="B1475" s="14" t="str">
        <f>HYPERLINK(CONCAT("http://leetcode.com/problems/",Github!C$1132), Github!B$1132)</f>
        <v>Maximum of Absolute Value Expression</v>
      </c>
      <c r="C1475" s="13">
        <f>Github!F$1132</f>
        <v>540</v>
      </c>
      <c r="D1475" s="13">
        <f>Github!G$1132</f>
        <v>367</v>
      </c>
      <c r="E1475" s="13">
        <f>Github!F$1132+Github!G$1132</f>
        <v>907</v>
      </c>
      <c r="F1475" s="15">
        <f t="shared" si="1"/>
        <v>1.47</v>
      </c>
      <c r="G1475" s="13" t="str">
        <f>ROUND(Github!O$1132, 2)&amp;"%"</f>
        <v>49.33%</v>
      </c>
      <c r="H1475" s="13" t="str">
        <f>Github!H$1132</f>
        <v>Algorithms</v>
      </c>
      <c r="I1475" s="16" t="str">
        <f>SUBSTITUTE(Github!L$1132, ";", ", ")</f>
        <v>Array, Math, </v>
      </c>
      <c r="J1475" s="13" t="str">
        <f>Github!E$1132</f>
        <v>Medium</v>
      </c>
      <c r="K1475" s="13" t="str">
        <f>IF(TRIM(Github!D$1132)="TRUE","FALSE","TRUE")</f>
        <v>TRUE</v>
      </c>
      <c r="L1475" s="13" t="b">
        <f>Github!M$1132</f>
        <v>0</v>
      </c>
      <c r="M1475" s="13" t="b">
        <f>Github!N$1132</f>
        <v>0</v>
      </c>
      <c r="N1475" s="13">
        <f>Github!P$1132</f>
        <v>18615</v>
      </c>
      <c r="O1475" s="13">
        <f>Github!Q$1132</f>
        <v>37734</v>
      </c>
    </row>
    <row r="1476">
      <c r="A1476" s="13">
        <f>Github!J$2217</f>
        <v>2216</v>
      </c>
      <c r="B1476" s="14" t="str">
        <f>HYPERLINK(CONCAT("http://leetcode.com/problems/",Github!C$2217), Github!B$2217)</f>
        <v>Minimum Deletions to Make Array Beautiful</v>
      </c>
      <c r="C1476" s="13">
        <f>Github!F$2217</f>
        <v>540</v>
      </c>
      <c r="D1476" s="13">
        <f>Github!G$2217</f>
        <v>82</v>
      </c>
      <c r="E1476" s="13">
        <f>Github!F$2217+Github!G$2217</f>
        <v>622</v>
      </c>
      <c r="F1476" s="15">
        <f t="shared" si="1"/>
        <v>6.59</v>
      </c>
      <c r="G1476" s="13" t="str">
        <f>ROUND(Github!O$2217, 2)&amp;"%"</f>
        <v>46.59%</v>
      </c>
      <c r="H1476" s="13" t="str">
        <f>Github!H$2217</f>
        <v>Algorithms</v>
      </c>
      <c r="I1476" s="16" t="str">
        <f>SUBSTITUTE(Github!L$2217, ";", ", ")</f>
        <v>Array, Stack, Greedy, </v>
      </c>
      <c r="J1476" s="13" t="str">
        <f>Github!E$2217</f>
        <v>Medium</v>
      </c>
      <c r="K1476" s="13" t="str">
        <f>IF(TRIM(Github!D$2217)="TRUE","FALSE","TRUE")</f>
        <v>TRUE</v>
      </c>
      <c r="L1476" s="13" t="b">
        <f>Github!M$2217</f>
        <v>0</v>
      </c>
      <c r="M1476" s="13" t="b">
        <f>Github!N$2217</f>
        <v>0</v>
      </c>
      <c r="N1476" s="13">
        <f>Github!P$2217</f>
        <v>23764</v>
      </c>
      <c r="O1476" s="13">
        <f>Github!Q$2217</f>
        <v>51005</v>
      </c>
    </row>
    <row r="1477">
      <c r="A1477" s="13">
        <f>Github!J$2001</f>
        <v>2000</v>
      </c>
      <c r="B1477" s="14" t="str">
        <f>HYPERLINK(CONCAT("http://leetcode.com/problems/",Github!C$2001), Github!B$2001)</f>
        <v>Reverse Prefix of Word</v>
      </c>
      <c r="C1477" s="13">
        <f>Github!F$2001</f>
        <v>545</v>
      </c>
      <c r="D1477" s="13">
        <f>Github!G$2001</f>
        <v>14</v>
      </c>
      <c r="E1477" s="13">
        <f>Github!F$2001+Github!G$2001</f>
        <v>559</v>
      </c>
      <c r="F1477" s="15">
        <f t="shared" si="1"/>
        <v>38.93</v>
      </c>
      <c r="G1477" s="13" t="str">
        <f>ROUND(Github!O$2001, 2)&amp;"%"</f>
        <v>77.92%</v>
      </c>
      <c r="H1477" s="13" t="str">
        <f>Github!H$2001</f>
        <v>Algorithms</v>
      </c>
      <c r="I1477" s="16" t="str">
        <f>SUBSTITUTE(Github!L$2001, ";", ", ")</f>
        <v>Two Pointers, String, </v>
      </c>
      <c r="J1477" s="13" t="str">
        <f>Github!E$2001</f>
        <v>Easy</v>
      </c>
      <c r="K1477" s="13" t="str">
        <f>IF(TRIM(Github!D$2001)="TRUE","FALSE","TRUE")</f>
        <v>TRUE</v>
      </c>
      <c r="L1477" s="13" t="b">
        <f>Github!M$2001</f>
        <v>0</v>
      </c>
      <c r="M1477" s="13" t="b">
        <f>Github!N$2001</f>
        <v>0</v>
      </c>
      <c r="N1477" s="13">
        <f>Github!P$2001</f>
        <v>53053</v>
      </c>
      <c r="O1477" s="13">
        <f>Github!Q$2001</f>
        <v>68089</v>
      </c>
    </row>
    <row r="1478">
      <c r="A1478" s="13">
        <f>Github!J$1714</f>
        <v>1713</v>
      </c>
      <c r="B1478" s="14" t="str">
        <f>HYPERLINK(CONCAT("http://leetcode.com/problems/",Github!C$1714), Github!B$1714)</f>
        <v>Minimum Operations to Make a Subsequence</v>
      </c>
      <c r="C1478" s="13">
        <f>Github!F$1714</f>
        <v>535</v>
      </c>
      <c r="D1478" s="13">
        <f>Github!G$1714</f>
        <v>9</v>
      </c>
      <c r="E1478" s="13">
        <f>Github!F$1714+Github!G$1714</f>
        <v>544</v>
      </c>
      <c r="F1478" s="15">
        <f t="shared" si="1"/>
        <v>59.44</v>
      </c>
      <c r="G1478" s="13" t="str">
        <f>ROUND(Github!O$1714, 2)&amp;"%"</f>
        <v>49.01%</v>
      </c>
      <c r="H1478" s="13" t="str">
        <f>Github!H$1714</f>
        <v>Algorithms</v>
      </c>
      <c r="I1478" s="16" t="str">
        <f>SUBSTITUTE(Github!L$1714, ";", ", ")</f>
        <v>Array, Hash Table, Binary Search, Greedy, </v>
      </c>
      <c r="J1478" s="13" t="str">
        <f>Github!E$1714</f>
        <v>Hard</v>
      </c>
      <c r="K1478" s="13" t="str">
        <f>IF(TRIM(Github!D$1714)="TRUE","FALSE","TRUE")</f>
        <v>TRUE</v>
      </c>
      <c r="L1478" s="13" t="b">
        <f>Github!M$1714</f>
        <v>0</v>
      </c>
      <c r="M1478" s="13" t="b">
        <f>Github!N$1714</f>
        <v>0</v>
      </c>
      <c r="N1478" s="13">
        <f>Github!P$1714</f>
        <v>8804</v>
      </c>
      <c r="O1478" s="13">
        <f>Github!Q$1714</f>
        <v>17966</v>
      </c>
    </row>
    <row r="1479">
      <c r="A1479" s="13">
        <f>Github!J$1653</f>
        <v>1652</v>
      </c>
      <c r="B1479" s="14" t="str">
        <f>HYPERLINK(CONCAT("http://leetcode.com/problems/",Github!C$1653), Github!B$1653)</f>
        <v>Defuse the Bomb</v>
      </c>
      <c r="C1479" s="13">
        <f>Github!F$1653</f>
        <v>546</v>
      </c>
      <c r="D1479" s="13">
        <f>Github!G$1653</f>
        <v>52</v>
      </c>
      <c r="E1479" s="13">
        <f>Github!F$1653+Github!G$1653</f>
        <v>598</v>
      </c>
      <c r="F1479" s="15">
        <f t="shared" si="1"/>
        <v>10.5</v>
      </c>
      <c r="G1479" s="13" t="str">
        <f>ROUND(Github!O$1653, 2)&amp;"%"</f>
        <v>61.52%</v>
      </c>
      <c r="H1479" s="13" t="str">
        <f>Github!H$1653</f>
        <v>Algorithms</v>
      </c>
      <c r="I1479" s="16" t="str">
        <f>SUBSTITUTE(Github!L$1653, ";", ", ")</f>
        <v>Array, </v>
      </c>
      <c r="J1479" s="13" t="str">
        <f>Github!E$1653</f>
        <v>Easy</v>
      </c>
      <c r="K1479" s="13" t="str">
        <f>IF(TRIM(Github!D$1653)="TRUE","FALSE","TRUE")</f>
        <v>TRUE</v>
      </c>
      <c r="L1479" s="13" t="b">
        <f>Github!M$1653</f>
        <v>0</v>
      </c>
      <c r="M1479" s="13" t="b">
        <f>Github!N$1653</f>
        <v>0</v>
      </c>
      <c r="N1479" s="13">
        <f>Github!P$1653</f>
        <v>28473</v>
      </c>
      <c r="O1479" s="13">
        <f>Github!Q$1653</f>
        <v>46280</v>
      </c>
    </row>
    <row r="1480">
      <c r="A1480" s="13">
        <f>Github!J$569</f>
        <v>568</v>
      </c>
      <c r="B1480" s="14" t="str">
        <f>HYPERLINK(CONCAT("http://leetcode.com/problems/",Github!C$569), Github!B$569)</f>
        <v>Maximum Vacation Days</v>
      </c>
      <c r="C1480" s="13">
        <f>Github!F$569</f>
        <v>533</v>
      </c>
      <c r="D1480" s="13">
        <f>Github!G$569</f>
        <v>100</v>
      </c>
      <c r="E1480" s="13">
        <f>Github!F$569+Github!G$569</f>
        <v>633</v>
      </c>
      <c r="F1480" s="15">
        <f t="shared" si="1"/>
        <v>5.33</v>
      </c>
      <c r="G1480" s="13" t="str">
        <f>ROUND(Github!O$569, 2)&amp;"%"</f>
        <v>44.9%</v>
      </c>
      <c r="H1480" s="13" t="str">
        <f>Github!H$569</f>
        <v>Algorithms</v>
      </c>
      <c r="I1480" s="16" t="str">
        <f>SUBSTITUTE(Github!L$569, ";", ", ")</f>
        <v>Array, Dynamic Programming, Matrix, </v>
      </c>
      <c r="J1480" s="13" t="str">
        <f>Github!E$569</f>
        <v>Hard</v>
      </c>
      <c r="K1480" s="13" t="str">
        <f>IF(TRIM(Github!D$569)="TRUE","FALSE","TRUE")</f>
        <v>FALSE</v>
      </c>
      <c r="L1480" s="13" t="b">
        <f>Github!M$569</f>
        <v>1</v>
      </c>
      <c r="M1480" s="13" t="b">
        <f>Github!N$569</f>
        <v>0</v>
      </c>
      <c r="N1480" s="13">
        <f>Github!P$569</f>
        <v>35423</v>
      </c>
      <c r="O1480" s="13">
        <f>Github!Q$569</f>
        <v>78896</v>
      </c>
    </row>
    <row r="1481">
      <c r="A1481" s="13">
        <f>Github!J$1760</f>
        <v>1759</v>
      </c>
      <c r="B1481" s="14" t="str">
        <f>HYPERLINK(CONCAT("http://leetcode.com/problems/",Github!C$1760), Github!B$1760)</f>
        <v>Count Number of Homogenous Substrings</v>
      </c>
      <c r="C1481" s="13">
        <f>Github!F$1760</f>
        <v>536</v>
      </c>
      <c r="D1481" s="13">
        <f>Github!G$1760</f>
        <v>42</v>
      </c>
      <c r="E1481" s="13">
        <f>Github!F$1760+Github!G$1760</f>
        <v>578</v>
      </c>
      <c r="F1481" s="15">
        <f t="shared" si="1"/>
        <v>12.76</v>
      </c>
      <c r="G1481" s="13" t="str">
        <f>ROUND(Github!O$1760, 2)&amp;"%"</f>
        <v>48.1%</v>
      </c>
      <c r="H1481" s="13" t="str">
        <f>Github!H$1760</f>
        <v>Algorithms</v>
      </c>
      <c r="I1481" s="16" t="str">
        <f>SUBSTITUTE(Github!L$1760, ";", ", ")</f>
        <v>Math, String, </v>
      </c>
      <c r="J1481" s="13" t="str">
        <f>Github!E$1760</f>
        <v>Medium</v>
      </c>
      <c r="K1481" s="13" t="str">
        <f>IF(TRIM(Github!D$1760)="TRUE","FALSE","TRUE")</f>
        <v>TRUE</v>
      </c>
      <c r="L1481" s="13" t="b">
        <f>Github!M$1760</f>
        <v>0</v>
      </c>
      <c r="M1481" s="13" t="b">
        <f>Github!N$1760</f>
        <v>0</v>
      </c>
      <c r="N1481" s="13">
        <f>Github!P$1760</f>
        <v>23058</v>
      </c>
      <c r="O1481" s="13">
        <f>Github!Q$1760</f>
        <v>47942</v>
      </c>
    </row>
    <row r="1482">
      <c r="A1482" s="13">
        <f>Github!J$700</f>
        <v>699</v>
      </c>
      <c r="B1482" s="14" t="str">
        <f>HYPERLINK(CONCAT("http://leetcode.com/problems/",Github!C$700), Github!B$700)</f>
        <v>Falling Squares</v>
      </c>
      <c r="C1482" s="13">
        <f>Github!F$700</f>
        <v>530</v>
      </c>
      <c r="D1482" s="13">
        <f>Github!G$700</f>
        <v>72</v>
      </c>
      <c r="E1482" s="13">
        <f>Github!F$700+Github!G$700</f>
        <v>602</v>
      </c>
      <c r="F1482" s="15">
        <f t="shared" si="1"/>
        <v>7.36</v>
      </c>
      <c r="G1482" s="13" t="str">
        <f>ROUND(Github!O$700, 2)&amp;"%"</f>
        <v>44.49%</v>
      </c>
      <c r="H1482" s="13" t="str">
        <f>Github!H$700</f>
        <v>Algorithms</v>
      </c>
      <c r="I1482" s="16" t="str">
        <f>SUBSTITUTE(Github!L$700, ";", ", ")</f>
        <v>Array, Segment Tree, Ordered Set, </v>
      </c>
      <c r="J1482" s="13" t="str">
        <f>Github!E$700</f>
        <v>Hard</v>
      </c>
      <c r="K1482" s="13" t="str">
        <f>IF(TRIM(Github!D$700)="TRUE","FALSE","TRUE")</f>
        <v>TRUE</v>
      </c>
      <c r="L1482" s="13" t="b">
        <f>Github!M$700</f>
        <v>1</v>
      </c>
      <c r="M1482" s="13" t="b">
        <f>Github!N$700</f>
        <v>0</v>
      </c>
      <c r="N1482" s="13">
        <f>Github!P$700</f>
        <v>22149</v>
      </c>
      <c r="O1482" s="13">
        <f>Github!Q$700</f>
        <v>49789</v>
      </c>
    </row>
    <row r="1483">
      <c r="A1483" s="13">
        <f>Github!J$2038</f>
        <v>2037</v>
      </c>
      <c r="B1483" s="14" t="str">
        <f>HYPERLINK(CONCAT("http://leetcode.com/problems/",Github!C$2038), Github!B$2038)</f>
        <v>Minimum Number of Moves to Seat Everyone</v>
      </c>
      <c r="C1483" s="13">
        <f>Github!F$2038</f>
        <v>536</v>
      </c>
      <c r="D1483" s="13">
        <f>Github!G$2038</f>
        <v>96</v>
      </c>
      <c r="E1483" s="13">
        <f>Github!F$2038+Github!G$2038</f>
        <v>632</v>
      </c>
      <c r="F1483" s="15">
        <f t="shared" si="1"/>
        <v>5.58</v>
      </c>
      <c r="G1483" s="13" t="str">
        <f>ROUND(Github!O$2038, 2)&amp;"%"</f>
        <v>82.07%</v>
      </c>
      <c r="H1483" s="13" t="str">
        <f>Github!H$2038</f>
        <v>Algorithms</v>
      </c>
      <c r="I1483" s="16" t="str">
        <f>SUBSTITUTE(Github!L$2038, ";", ", ")</f>
        <v>Array, Sorting, </v>
      </c>
      <c r="J1483" s="13" t="str">
        <f>Github!E$2038</f>
        <v>Easy</v>
      </c>
      <c r="K1483" s="13" t="str">
        <f>IF(TRIM(Github!D$2038)="TRUE","FALSE","TRUE")</f>
        <v>TRUE</v>
      </c>
      <c r="L1483" s="13" t="b">
        <f>Github!M$2038</f>
        <v>0</v>
      </c>
      <c r="M1483" s="13" t="b">
        <f>Github!N$2038</f>
        <v>0</v>
      </c>
      <c r="N1483" s="13">
        <f>Github!P$2038</f>
        <v>41088</v>
      </c>
      <c r="O1483" s="13">
        <f>Github!Q$2038</f>
        <v>50067</v>
      </c>
    </row>
    <row r="1484">
      <c r="A1484" s="13">
        <f>Github!J$2261</f>
        <v>2260</v>
      </c>
      <c r="B1484" s="14" t="str">
        <f>HYPERLINK(CONCAT("http://leetcode.com/problems/",Github!C$2261), Github!B$2261)</f>
        <v>Minimum Consecutive Cards to Pick Up</v>
      </c>
      <c r="C1484" s="13">
        <f>Github!F$2261</f>
        <v>539</v>
      </c>
      <c r="D1484" s="13">
        <f>Github!G$2261</f>
        <v>16</v>
      </c>
      <c r="E1484" s="13">
        <f>Github!F$2261+Github!G$2261</f>
        <v>555</v>
      </c>
      <c r="F1484" s="15">
        <f t="shared" si="1"/>
        <v>33.69</v>
      </c>
      <c r="G1484" s="13" t="str">
        <f>ROUND(Github!O$2261, 2)&amp;"%"</f>
        <v>51.47%</v>
      </c>
      <c r="H1484" s="13" t="str">
        <f>Github!H$2261</f>
        <v>Algorithms</v>
      </c>
      <c r="I1484" s="16" t="str">
        <f>SUBSTITUTE(Github!L$2261, ";", ", ")</f>
        <v>Array, Hash Table, Sliding Window, </v>
      </c>
      <c r="J1484" s="13" t="str">
        <f>Github!E$2261</f>
        <v>Medium</v>
      </c>
      <c r="K1484" s="13" t="str">
        <f>IF(TRIM(Github!D$2261)="TRUE","FALSE","TRUE")</f>
        <v>TRUE</v>
      </c>
      <c r="L1484" s="13" t="b">
        <f>Github!M$2261</f>
        <v>0</v>
      </c>
      <c r="M1484" s="13" t="b">
        <f>Github!N$2261</f>
        <v>0</v>
      </c>
      <c r="N1484" s="13">
        <f>Github!P$2261</f>
        <v>35182</v>
      </c>
      <c r="O1484" s="13">
        <f>Github!Q$2261</f>
        <v>68355</v>
      </c>
    </row>
    <row r="1485">
      <c r="A1485" s="13">
        <f>Github!J$158</f>
        <v>157</v>
      </c>
      <c r="B1485" s="14" t="str">
        <f>HYPERLINK(CONCAT("http://leetcode.com/problems/",Github!C$158), Github!B$158)</f>
        <v>Read N Characters Given Read4</v>
      </c>
      <c r="C1485" s="13">
        <f>Github!F$158</f>
        <v>528</v>
      </c>
      <c r="D1485" s="13">
        <f>Github!G$158</f>
        <v>3230</v>
      </c>
      <c r="E1485" s="13">
        <f>Github!F$158+Github!G$158</f>
        <v>3758</v>
      </c>
      <c r="F1485" s="15">
        <f t="shared" si="1"/>
        <v>0.16</v>
      </c>
      <c r="G1485" s="13" t="str">
        <f>ROUND(Github!O$158, 2)&amp;"%"</f>
        <v>40.83%</v>
      </c>
      <c r="H1485" s="13" t="str">
        <f>Github!H$158</f>
        <v>Algorithms</v>
      </c>
      <c r="I1485" s="16" t="str">
        <f>SUBSTITUTE(Github!L$158, ";", ", ")</f>
        <v>String, Simulation, Interactive, </v>
      </c>
      <c r="J1485" s="13" t="str">
        <f>Github!E$158</f>
        <v>Easy</v>
      </c>
      <c r="K1485" s="13" t="str">
        <f>IF(TRIM(Github!D$158)="TRUE","FALSE","TRUE")</f>
        <v>FALSE</v>
      </c>
      <c r="L1485" s="13" t="b">
        <f>Github!M$158</f>
        <v>1</v>
      </c>
      <c r="M1485" s="13" t="b">
        <f>Github!N$158</f>
        <v>0</v>
      </c>
      <c r="N1485" s="13">
        <f>Github!P$158</f>
        <v>177891</v>
      </c>
      <c r="O1485" s="13">
        <f>Github!Q$158</f>
        <v>435649</v>
      </c>
    </row>
    <row r="1486">
      <c r="A1486" s="13">
        <f>Github!J$1801</f>
        <v>1800</v>
      </c>
      <c r="B1486" s="14" t="str">
        <f>HYPERLINK(CONCAT("http://leetcode.com/problems/",Github!C$1801), Github!B$1801)</f>
        <v>Maximum Ascending Subarray Sum</v>
      </c>
      <c r="C1486" s="13">
        <f>Github!F$1801</f>
        <v>531</v>
      </c>
      <c r="D1486" s="13">
        <f>Github!G$1801</f>
        <v>19</v>
      </c>
      <c r="E1486" s="13">
        <f>Github!F$1801+Github!G$1801</f>
        <v>550</v>
      </c>
      <c r="F1486" s="15">
        <f t="shared" si="1"/>
        <v>27.95</v>
      </c>
      <c r="G1486" s="13" t="str">
        <f>ROUND(Github!O$1801, 2)&amp;"%"</f>
        <v>63.51%</v>
      </c>
      <c r="H1486" s="13" t="str">
        <f>Github!H$1801</f>
        <v>Algorithms</v>
      </c>
      <c r="I1486" s="16" t="str">
        <f>SUBSTITUTE(Github!L$1801, ";", ", ")</f>
        <v>Array, </v>
      </c>
      <c r="J1486" s="13" t="str">
        <f>Github!E$1801</f>
        <v>Easy</v>
      </c>
      <c r="K1486" s="13" t="str">
        <f>IF(TRIM(Github!D$1801)="TRUE","FALSE","TRUE")</f>
        <v>TRUE</v>
      </c>
      <c r="L1486" s="13" t="b">
        <f>Github!M$1801</f>
        <v>0</v>
      </c>
      <c r="M1486" s="13" t="b">
        <f>Github!N$1801</f>
        <v>0</v>
      </c>
      <c r="N1486" s="13">
        <f>Github!P$1801</f>
        <v>38609</v>
      </c>
      <c r="O1486" s="13">
        <f>Github!Q$1801</f>
        <v>60792</v>
      </c>
    </row>
    <row r="1487">
      <c r="A1487" s="13">
        <f>Github!J$1536</f>
        <v>1535</v>
      </c>
      <c r="B1487" s="14" t="str">
        <f>HYPERLINK(CONCAT("http://leetcode.com/problems/",Github!C$1536), Github!B$1536)</f>
        <v>Find the Winner of an Array Game</v>
      </c>
      <c r="C1487" s="13">
        <f>Github!F$1536</f>
        <v>532</v>
      </c>
      <c r="D1487" s="13">
        <f>Github!G$1536</f>
        <v>28</v>
      </c>
      <c r="E1487" s="13">
        <f>Github!F$1536+Github!G$1536</f>
        <v>560</v>
      </c>
      <c r="F1487" s="15">
        <f t="shared" si="1"/>
        <v>19</v>
      </c>
      <c r="G1487" s="13" t="str">
        <f>ROUND(Github!O$1536, 2)&amp;"%"</f>
        <v>48.74%</v>
      </c>
      <c r="H1487" s="13" t="str">
        <f>Github!H$1536</f>
        <v>Algorithms</v>
      </c>
      <c r="I1487" s="16" t="str">
        <f>SUBSTITUTE(Github!L$1536, ";", ", ")</f>
        <v>Array, Simulation, </v>
      </c>
      <c r="J1487" s="13" t="str">
        <f>Github!E$1536</f>
        <v>Medium</v>
      </c>
      <c r="K1487" s="13" t="str">
        <f>IF(TRIM(Github!D$1536)="TRUE","FALSE","TRUE")</f>
        <v>TRUE</v>
      </c>
      <c r="L1487" s="13" t="b">
        <f>Github!M$1536</f>
        <v>0</v>
      </c>
      <c r="M1487" s="13" t="b">
        <f>Github!N$1536</f>
        <v>0</v>
      </c>
      <c r="N1487" s="13">
        <f>Github!P$1536</f>
        <v>27449</v>
      </c>
      <c r="O1487" s="13">
        <f>Github!Q$1536</f>
        <v>56321</v>
      </c>
    </row>
    <row r="1488">
      <c r="A1488" s="13">
        <f>Github!J$2086</f>
        <v>2085</v>
      </c>
      <c r="B1488" s="14" t="str">
        <f>HYPERLINK(CONCAT("http://leetcode.com/problems/",Github!C$2086), Github!B$2086)</f>
        <v>Count Common Words With One Occurrence</v>
      </c>
      <c r="C1488" s="13">
        <f>Github!F$2086</f>
        <v>535</v>
      </c>
      <c r="D1488" s="13">
        <f>Github!G$2086</f>
        <v>12</v>
      </c>
      <c r="E1488" s="13">
        <f>Github!F$2086+Github!G$2086</f>
        <v>547</v>
      </c>
      <c r="F1488" s="15">
        <f t="shared" si="1"/>
        <v>44.58</v>
      </c>
      <c r="G1488" s="13" t="str">
        <f>ROUND(Github!O$2086, 2)&amp;"%"</f>
        <v>69.74%</v>
      </c>
      <c r="H1488" s="13" t="str">
        <f>Github!H$2086</f>
        <v>Algorithms</v>
      </c>
      <c r="I1488" s="16" t="str">
        <f>SUBSTITUTE(Github!L$2086, ";", ", ")</f>
        <v>Array, Hash Table, String, Counting, </v>
      </c>
      <c r="J1488" s="13" t="str">
        <f>Github!E$2086</f>
        <v>Easy</v>
      </c>
      <c r="K1488" s="13" t="str">
        <f>IF(TRIM(Github!D$2086)="TRUE","FALSE","TRUE")</f>
        <v>TRUE</v>
      </c>
      <c r="L1488" s="13" t="b">
        <f>Github!M$2086</f>
        <v>0</v>
      </c>
      <c r="M1488" s="13" t="b">
        <f>Github!N$2086</f>
        <v>0</v>
      </c>
      <c r="N1488" s="13">
        <f>Github!P$2086</f>
        <v>39149</v>
      </c>
      <c r="O1488" s="13">
        <f>Github!Q$2086</f>
        <v>56140</v>
      </c>
    </row>
    <row r="1489">
      <c r="A1489" s="13">
        <f>Github!J$1207</f>
        <v>1206</v>
      </c>
      <c r="B1489" s="14" t="str">
        <f>HYPERLINK(CONCAT("http://leetcode.com/problems/",Github!C$1207), Github!B$1207)</f>
        <v>Design Skiplist</v>
      </c>
      <c r="C1489" s="13">
        <f>Github!F$1207</f>
        <v>524</v>
      </c>
      <c r="D1489" s="13">
        <f>Github!G$1207</f>
        <v>63</v>
      </c>
      <c r="E1489" s="13">
        <f>Github!F$1207+Github!G$1207</f>
        <v>587</v>
      </c>
      <c r="F1489" s="15">
        <f t="shared" si="1"/>
        <v>8.32</v>
      </c>
      <c r="G1489" s="13" t="str">
        <f>ROUND(Github!O$1207, 2)&amp;"%"</f>
        <v>60.56%</v>
      </c>
      <c r="H1489" s="13" t="str">
        <f>Github!H$1207</f>
        <v>Algorithms</v>
      </c>
      <c r="I1489" s="16" t="str">
        <f>SUBSTITUTE(Github!L$1207, ";", ", ")</f>
        <v>Linked List, Design, </v>
      </c>
      <c r="J1489" s="13" t="str">
        <f>Github!E$1207</f>
        <v>Hard</v>
      </c>
      <c r="K1489" s="13" t="str">
        <f>IF(TRIM(Github!D$1207)="TRUE","FALSE","TRUE")</f>
        <v>TRUE</v>
      </c>
      <c r="L1489" s="13" t="b">
        <f>Github!M$1207</f>
        <v>0</v>
      </c>
      <c r="M1489" s="13" t="b">
        <f>Github!N$1207</f>
        <v>0</v>
      </c>
      <c r="N1489" s="13">
        <f>Github!P$1207</f>
        <v>15877</v>
      </c>
      <c r="O1489" s="13">
        <f>Github!Q$1207</f>
        <v>26216</v>
      </c>
    </row>
    <row r="1490">
      <c r="A1490" s="13">
        <f>Github!J$1988</f>
        <v>1987</v>
      </c>
      <c r="B1490" s="14" t="str">
        <f>HYPERLINK(CONCAT("http://leetcode.com/problems/",Github!C$1988), Github!B$1988)</f>
        <v>Number of Unique Good Subsequences</v>
      </c>
      <c r="C1490" s="13">
        <f>Github!F$1988</f>
        <v>532</v>
      </c>
      <c r="D1490" s="13">
        <f>Github!G$1988</f>
        <v>11</v>
      </c>
      <c r="E1490" s="13">
        <f>Github!F$1988+Github!G$1988</f>
        <v>543</v>
      </c>
      <c r="F1490" s="15">
        <f t="shared" si="1"/>
        <v>48.36</v>
      </c>
      <c r="G1490" s="13" t="str">
        <f>ROUND(Github!O$1988, 2)&amp;"%"</f>
        <v>52.26%</v>
      </c>
      <c r="H1490" s="13" t="str">
        <f>Github!H$1988</f>
        <v>Algorithms</v>
      </c>
      <c r="I1490" s="16" t="str">
        <f>SUBSTITUTE(Github!L$1988, ";", ", ")</f>
        <v>String, Dynamic Programming, </v>
      </c>
      <c r="J1490" s="13" t="str">
        <f>Github!E$1988</f>
        <v>Hard</v>
      </c>
      <c r="K1490" s="13" t="str">
        <f>IF(TRIM(Github!D$1988)="TRUE","FALSE","TRUE")</f>
        <v>TRUE</v>
      </c>
      <c r="L1490" s="13" t="b">
        <f>Github!M$1988</f>
        <v>0</v>
      </c>
      <c r="M1490" s="13" t="b">
        <f>Github!N$1988</f>
        <v>0</v>
      </c>
      <c r="N1490" s="13">
        <f>Github!P$1988</f>
        <v>8844</v>
      </c>
      <c r="O1490" s="13">
        <f>Github!Q$1988</f>
        <v>16925</v>
      </c>
    </row>
    <row r="1491">
      <c r="A1491" s="13">
        <f>Github!J$909</f>
        <v>908</v>
      </c>
      <c r="B1491" s="14" t="str">
        <f>HYPERLINK(CONCAT("http://leetcode.com/problems/",Github!C$909), Github!B$909)</f>
        <v>Smallest Range I</v>
      </c>
      <c r="C1491" s="13">
        <f>Github!F$909</f>
        <v>530</v>
      </c>
      <c r="D1491" s="13">
        <f>Github!G$909</f>
        <v>1779</v>
      </c>
      <c r="E1491" s="13">
        <f>Github!F$909+Github!G$909</f>
        <v>2309</v>
      </c>
      <c r="F1491" s="15">
        <f t="shared" si="1"/>
        <v>0.3</v>
      </c>
      <c r="G1491" s="13" t="str">
        <f>ROUND(Github!O$909, 2)&amp;"%"</f>
        <v>67.88%</v>
      </c>
      <c r="H1491" s="13" t="str">
        <f>Github!H$909</f>
        <v>Algorithms</v>
      </c>
      <c r="I1491" s="16" t="str">
        <f>SUBSTITUTE(Github!L$909, ";", ", ")</f>
        <v>Array, Math, </v>
      </c>
      <c r="J1491" s="13" t="str">
        <f>Github!E$909</f>
        <v>Easy</v>
      </c>
      <c r="K1491" s="13" t="str">
        <f>IF(TRIM(Github!D$909)="TRUE","FALSE","TRUE")</f>
        <v>TRUE</v>
      </c>
      <c r="L1491" s="13" t="b">
        <f>Github!M$909</f>
        <v>0</v>
      </c>
      <c r="M1491" s="13" t="b">
        <f>Github!N$909</f>
        <v>0</v>
      </c>
      <c r="N1491" s="13">
        <f>Github!P$909</f>
        <v>68348</v>
      </c>
      <c r="O1491" s="13">
        <f>Github!Q$909</f>
        <v>100691</v>
      </c>
    </row>
    <row r="1492">
      <c r="A1492" s="13">
        <f>Github!J$2204</f>
        <v>2203</v>
      </c>
      <c r="B1492" s="14" t="str">
        <f>HYPERLINK(CONCAT("http://leetcode.com/problems/",Github!C$2204), Github!B$2204)</f>
        <v>Minimum Weighted Subgraph With the Required Paths</v>
      </c>
      <c r="C1492" s="13">
        <f>Github!F$2204</f>
        <v>526</v>
      </c>
      <c r="D1492" s="13">
        <f>Github!G$2204</f>
        <v>15</v>
      </c>
      <c r="E1492" s="13">
        <f>Github!F$2204+Github!G$2204</f>
        <v>541</v>
      </c>
      <c r="F1492" s="15">
        <f t="shared" si="1"/>
        <v>35.07</v>
      </c>
      <c r="G1492" s="13" t="str">
        <f>ROUND(Github!O$2204, 2)&amp;"%"</f>
        <v>36.02%</v>
      </c>
      <c r="H1492" s="13" t="str">
        <f>Github!H$2204</f>
        <v>Algorithms</v>
      </c>
      <c r="I1492" s="16" t="str">
        <f>SUBSTITUTE(Github!L$2204, ";", ", ")</f>
        <v>Graph, Shortest Path, </v>
      </c>
      <c r="J1492" s="13" t="str">
        <f>Github!E$2204</f>
        <v>Hard</v>
      </c>
      <c r="K1492" s="13" t="str">
        <f>IF(TRIM(Github!D$2204)="TRUE","FALSE","TRUE")</f>
        <v>TRUE</v>
      </c>
      <c r="L1492" s="13" t="b">
        <f>Github!M$2204</f>
        <v>0</v>
      </c>
      <c r="M1492" s="13" t="b">
        <f>Github!N$2204</f>
        <v>0</v>
      </c>
      <c r="N1492" s="13">
        <f>Github!P$2204</f>
        <v>8583</v>
      </c>
      <c r="O1492" s="13">
        <f>Github!Q$2204</f>
        <v>23829</v>
      </c>
    </row>
    <row r="1493">
      <c r="A1493" s="13">
        <f>Github!J$247</f>
        <v>246</v>
      </c>
      <c r="B1493" s="14" t="str">
        <f>HYPERLINK(CONCAT("http://leetcode.com/problems/",Github!C$247), Github!B$247)</f>
        <v>Strobogrammatic Number</v>
      </c>
      <c r="C1493" s="13">
        <f>Github!F$247</f>
        <v>525</v>
      </c>
      <c r="D1493" s="13">
        <f>Github!G$247</f>
        <v>925</v>
      </c>
      <c r="E1493" s="13">
        <f>Github!F$247+Github!G$247</f>
        <v>1450</v>
      </c>
      <c r="F1493" s="15">
        <f t="shared" si="1"/>
        <v>0.57</v>
      </c>
      <c r="G1493" s="13" t="str">
        <f>ROUND(Github!O$247, 2)&amp;"%"</f>
        <v>47.78%</v>
      </c>
      <c r="H1493" s="13" t="str">
        <f>Github!H$247</f>
        <v>Algorithms</v>
      </c>
      <c r="I1493" s="16" t="str">
        <f>SUBSTITUTE(Github!L$247, ";", ", ")</f>
        <v>Hash Table, Two Pointers, String, </v>
      </c>
      <c r="J1493" s="13" t="str">
        <f>Github!E$247</f>
        <v>Easy</v>
      </c>
      <c r="K1493" s="13" t="str">
        <f>IF(TRIM(Github!D$247)="TRUE","FALSE","TRUE")</f>
        <v>FALSE</v>
      </c>
      <c r="L1493" s="13" t="b">
        <f>Github!M$247</f>
        <v>1</v>
      </c>
      <c r="M1493" s="13" t="b">
        <f>Github!N$247</f>
        <v>1</v>
      </c>
      <c r="N1493" s="13">
        <f>Github!P$247</f>
        <v>156445</v>
      </c>
      <c r="O1493" s="13">
        <f>Github!Q$247</f>
        <v>327444</v>
      </c>
    </row>
    <row r="1494">
      <c r="A1494" s="13">
        <f>Github!J$1880</f>
        <v>1879</v>
      </c>
      <c r="B1494" s="14" t="str">
        <f>HYPERLINK(CONCAT("http://leetcode.com/problems/",Github!C$1880), Github!B$1880)</f>
        <v>Minimum XOR Sum of Two Arrays</v>
      </c>
      <c r="C1494" s="13">
        <f>Github!F$1880</f>
        <v>525</v>
      </c>
      <c r="D1494" s="13">
        <f>Github!G$1880</f>
        <v>10</v>
      </c>
      <c r="E1494" s="13">
        <f>Github!F$1880+Github!G$1880</f>
        <v>535</v>
      </c>
      <c r="F1494" s="15">
        <f t="shared" si="1"/>
        <v>52.5</v>
      </c>
      <c r="G1494" s="13" t="str">
        <f>ROUND(Github!O$1880, 2)&amp;"%"</f>
        <v>44.95%</v>
      </c>
      <c r="H1494" s="13" t="str">
        <f>Github!H$1880</f>
        <v>Algorithms</v>
      </c>
      <c r="I1494" s="16" t="str">
        <f>SUBSTITUTE(Github!L$1880, ";", ", ")</f>
        <v>Array, Dynamic Programming, Bit Manipulation, Bitmask, </v>
      </c>
      <c r="J1494" s="13" t="str">
        <f>Github!E$1880</f>
        <v>Hard</v>
      </c>
      <c r="K1494" s="13" t="str">
        <f>IF(TRIM(Github!D$1880)="TRUE","FALSE","TRUE")</f>
        <v>TRUE</v>
      </c>
      <c r="L1494" s="13" t="b">
        <f>Github!M$1880</f>
        <v>0</v>
      </c>
      <c r="M1494" s="13" t="b">
        <f>Github!N$1880</f>
        <v>0</v>
      </c>
      <c r="N1494" s="13">
        <f>Github!P$1880</f>
        <v>10007</v>
      </c>
      <c r="O1494" s="13">
        <f>Github!Q$1880</f>
        <v>22266</v>
      </c>
    </row>
    <row r="1495">
      <c r="A1495" s="13">
        <f>Github!J$1000</f>
        <v>999</v>
      </c>
      <c r="B1495" s="14" t="str">
        <f>HYPERLINK(CONCAT("http://leetcode.com/problems/",Github!C$1000), Github!B$1000)</f>
        <v>Available Captures for Rook</v>
      </c>
      <c r="C1495" s="13">
        <f>Github!F$1000</f>
        <v>520</v>
      </c>
      <c r="D1495" s="13">
        <f>Github!G$1000</f>
        <v>599</v>
      </c>
      <c r="E1495" s="13">
        <f>Github!F$1000+Github!G$1000</f>
        <v>1119</v>
      </c>
      <c r="F1495" s="15">
        <f t="shared" si="1"/>
        <v>0.87</v>
      </c>
      <c r="G1495" s="13" t="str">
        <f>ROUND(Github!O$1000, 2)&amp;"%"</f>
        <v>67.96%</v>
      </c>
      <c r="H1495" s="13" t="str">
        <f>Github!H$1000</f>
        <v>Algorithms</v>
      </c>
      <c r="I1495" s="16" t="str">
        <f>SUBSTITUTE(Github!L$1000, ";", ", ")</f>
        <v>Array, Matrix, Simulation, </v>
      </c>
      <c r="J1495" s="13" t="str">
        <f>Github!E$1000</f>
        <v>Easy</v>
      </c>
      <c r="K1495" s="13" t="str">
        <f>IF(TRIM(Github!D$1000)="TRUE","FALSE","TRUE")</f>
        <v>TRUE</v>
      </c>
      <c r="L1495" s="13" t="b">
        <f>Github!M$1000</f>
        <v>0</v>
      </c>
      <c r="M1495" s="13" t="b">
        <f>Github!N$1000</f>
        <v>0</v>
      </c>
      <c r="N1495" s="13">
        <f>Github!P$1000</f>
        <v>55233</v>
      </c>
      <c r="O1495" s="13">
        <f>Github!Q$1000</f>
        <v>81276</v>
      </c>
    </row>
    <row r="1496">
      <c r="A1496" s="13">
        <f>Github!J$2245</f>
        <v>2244</v>
      </c>
      <c r="B1496" s="14" t="str">
        <f>HYPERLINK(CONCAT("http://leetcode.com/problems/",Github!C$2245), Github!B$2245)</f>
        <v>Minimum Rounds to Complete All Tasks</v>
      </c>
      <c r="C1496" s="13">
        <f>Github!F$2245</f>
        <v>532</v>
      </c>
      <c r="D1496" s="13">
        <f>Github!G$2245</f>
        <v>12</v>
      </c>
      <c r="E1496" s="13">
        <f>Github!F$2245+Github!G$2245</f>
        <v>544</v>
      </c>
      <c r="F1496" s="15">
        <f t="shared" si="1"/>
        <v>44.33</v>
      </c>
      <c r="G1496" s="13" t="str">
        <f>ROUND(Github!O$2245, 2)&amp;"%"</f>
        <v>57.88%</v>
      </c>
      <c r="H1496" s="13" t="str">
        <f>Github!H$2245</f>
        <v>Algorithms</v>
      </c>
      <c r="I1496" s="16" t="str">
        <f>SUBSTITUTE(Github!L$2245, ";", ", ")</f>
        <v>Array, Hash Table, Greedy, Counting, </v>
      </c>
      <c r="J1496" s="13" t="str">
        <f>Github!E$2245</f>
        <v>Medium</v>
      </c>
      <c r="K1496" s="13" t="str">
        <f>IF(TRIM(Github!D$2245)="TRUE","FALSE","TRUE")</f>
        <v>TRUE</v>
      </c>
      <c r="L1496" s="13" t="b">
        <f>Github!M$2245</f>
        <v>1</v>
      </c>
      <c r="M1496" s="13" t="b">
        <f>Github!N$2245</f>
        <v>0</v>
      </c>
      <c r="N1496" s="13">
        <f>Github!P$2245</f>
        <v>30511</v>
      </c>
      <c r="O1496" s="13">
        <f>Github!Q$2245</f>
        <v>52718</v>
      </c>
    </row>
    <row r="1497">
      <c r="A1497" s="13">
        <f>Github!J$2023</f>
        <v>2022</v>
      </c>
      <c r="B1497" s="14" t="str">
        <f>HYPERLINK(CONCAT("http://leetcode.com/problems/",Github!C$2023), Github!B$2023)</f>
        <v>Convert 1D Array Into 2D Array</v>
      </c>
      <c r="C1497" s="13">
        <f>Github!F$2023</f>
        <v>531</v>
      </c>
      <c r="D1497" s="13">
        <f>Github!G$2023</f>
        <v>37</v>
      </c>
      <c r="E1497" s="13">
        <f>Github!F$2023+Github!G$2023</f>
        <v>568</v>
      </c>
      <c r="F1497" s="15">
        <f t="shared" si="1"/>
        <v>14.35</v>
      </c>
      <c r="G1497" s="13" t="str">
        <f>ROUND(Github!O$2023, 2)&amp;"%"</f>
        <v>58.6%</v>
      </c>
      <c r="H1497" s="13" t="str">
        <f>Github!H$2023</f>
        <v>Algorithms</v>
      </c>
      <c r="I1497" s="16" t="str">
        <f>SUBSTITUTE(Github!L$2023, ";", ", ")</f>
        <v>Array, Matrix, Simulation, </v>
      </c>
      <c r="J1497" s="13" t="str">
        <f>Github!E$2023</f>
        <v>Easy</v>
      </c>
      <c r="K1497" s="13" t="str">
        <f>IF(TRIM(Github!D$2023)="TRUE","FALSE","TRUE")</f>
        <v>TRUE</v>
      </c>
      <c r="L1497" s="13" t="b">
        <f>Github!M$2023</f>
        <v>0</v>
      </c>
      <c r="M1497" s="13" t="b">
        <f>Github!N$2023</f>
        <v>0</v>
      </c>
      <c r="N1497" s="13">
        <f>Github!P$2023</f>
        <v>51196</v>
      </c>
      <c r="O1497" s="13">
        <f>Github!Q$2023</f>
        <v>87365</v>
      </c>
    </row>
    <row r="1498">
      <c r="A1498" s="13">
        <f>Github!J$1727</f>
        <v>1726</v>
      </c>
      <c r="B1498" s="14" t="str">
        <f>HYPERLINK(CONCAT("http://leetcode.com/problems/",Github!C$1727), Github!B$1727)</f>
        <v>Tuple with Same Product</v>
      </c>
      <c r="C1498" s="13">
        <f>Github!F$1727</f>
        <v>517</v>
      </c>
      <c r="D1498" s="13">
        <f>Github!G$1727</f>
        <v>24</v>
      </c>
      <c r="E1498" s="13">
        <f>Github!F$1727+Github!G$1727</f>
        <v>541</v>
      </c>
      <c r="F1498" s="15">
        <f t="shared" si="1"/>
        <v>21.54</v>
      </c>
      <c r="G1498" s="13" t="str">
        <f>ROUND(Github!O$1727, 2)&amp;"%"</f>
        <v>60.8%</v>
      </c>
      <c r="H1498" s="13" t="str">
        <f>Github!H$1727</f>
        <v>Algorithms</v>
      </c>
      <c r="I1498" s="16" t="str">
        <f>SUBSTITUTE(Github!L$1727, ";", ", ")</f>
        <v>Array, Hash Table, </v>
      </c>
      <c r="J1498" s="13" t="str">
        <f>Github!E$1727</f>
        <v>Medium</v>
      </c>
      <c r="K1498" s="13" t="str">
        <f>IF(TRIM(Github!D$1727)="TRUE","FALSE","TRUE")</f>
        <v>TRUE</v>
      </c>
      <c r="L1498" s="13" t="b">
        <f>Github!M$1727</f>
        <v>0</v>
      </c>
      <c r="M1498" s="13" t="b">
        <f>Github!N$1727</f>
        <v>0</v>
      </c>
      <c r="N1498" s="13">
        <f>Github!P$1727</f>
        <v>22261</v>
      </c>
      <c r="O1498" s="13">
        <f>Github!Q$1727</f>
        <v>36611</v>
      </c>
    </row>
    <row r="1499">
      <c r="A1499" s="13">
        <f>Github!J$1954</f>
        <v>1953</v>
      </c>
      <c r="B1499" s="14" t="str">
        <f>HYPERLINK(CONCAT("http://leetcode.com/problems/",Github!C$1954), Github!B$1954)</f>
        <v>Maximum Number of Weeks for Which You Can Work</v>
      </c>
      <c r="C1499" s="13">
        <f>Github!F$1954</f>
        <v>517</v>
      </c>
      <c r="D1499" s="13">
        <f>Github!G$1954</f>
        <v>115</v>
      </c>
      <c r="E1499" s="13">
        <f>Github!F$1954+Github!G$1954</f>
        <v>632</v>
      </c>
      <c r="F1499" s="15">
        <f t="shared" si="1"/>
        <v>4.5</v>
      </c>
      <c r="G1499" s="13" t="str">
        <f>ROUND(Github!O$1954, 2)&amp;"%"</f>
        <v>39.21%</v>
      </c>
      <c r="H1499" s="13" t="str">
        <f>Github!H$1954</f>
        <v>Algorithms</v>
      </c>
      <c r="I1499" s="16" t="str">
        <f>SUBSTITUTE(Github!L$1954, ";", ", ")</f>
        <v>Array, Greedy, </v>
      </c>
      <c r="J1499" s="13" t="str">
        <f>Github!E$1954</f>
        <v>Medium</v>
      </c>
      <c r="K1499" s="13" t="str">
        <f>IF(TRIM(Github!D$1954)="TRUE","FALSE","TRUE")</f>
        <v>TRUE</v>
      </c>
      <c r="L1499" s="13" t="b">
        <f>Github!M$1954</f>
        <v>0</v>
      </c>
      <c r="M1499" s="13" t="b">
        <f>Github!N$1954</f>
        <v>0</v>
      </c>
      <c r="N1499" s="13">
        <f>Github!P$1954</f>
        <v>18312</v>
      </c>
      <c r="O1499" s="13">
        <f>Github!Q$1954</f>
        <v>46703</v>
      </c>
    </row>
    <row r="1500">
      <c r="A1500" s="13">
        <f>Github!J$1717</f>
        <v>1716</v>
      </c>
      <c r="B1500" s="14" t="str">
        <f>HYPERLINK(CONCAT("http://leetcode.com/problems/",Github!C$1717), Github!B$1717)</f>
        <v>Calculate Money in Leetcode Bank</v>
      </c>
      <c r="C1500" s="13">
        <f>Github!F$1717</f>
        <v>516</v>
      </c>
      <c r="D1500" s="13">
        <f>Github!G$1717</f>
        <v>16</v>
      </c>
      <c r="E1500" s="13">
        <f>Github!F$1717+Github!G$1717</f>
        <v>532</v>
      </c>
      <c r="F1500" s="15">
        <f t="shared" si="1"/>
        <v>32.25</v>
      </c>
      <c r="G1500" s="13" t="str">
        <f>ROUND(Github!O$1717, 2)&amp;"%"</f>
        <v>65.49%</v>
      </c>
      <c r="H1500" s="13" t="str">
        <f>Github!H$1717</f>
        <v>Algorithms</v>
      </c>
      <c r="I1500" s="16" t="str">
        <f>SUBSTITUTE(Github!L$1717, ";", ", ")</f>
        <v>Math, </v>
      </c>
      <c r="J1500" s="13" t="str">
        <f>Github!E$1717</f>
        <v>Easy</v>
      </c>
      <c r="K1500" s="13" t="str">
        <f>IF(TRIM(Github!D$1717)="TRUE","FALSE","TRUE")</f>
        <v>TRUE</v>
      </c>
      <c r="L1500" s="13" t="b">
        <f>Github!M$1717</f>
        <v>0</v>
      </c>
      <c r="M1500" s="13" t="b">
        <f>Github!N$1717</f>
        <v>0</v>
      </c>
      <c r="N1500" s="13">
        <f>Github!P$1717</f>
        <v>36473</v>
      </c>
      <c r="O1500" s="13">
        <f>Github!Q$1717</f>
        <v>55694</v>
      </c>
    </row>
    <row r="1501">
      <c r="A1501" s="13">
        <f>Github!J$1718</f>
        <v>1717</v>
      </c>
      <c r="B1501" s="14" t="str">
        <f>HYPERLINK(CONCAT("http://leetcode.com/problems/",Github!C$1718), Github!B$1718)</f>
        <v>Maximum Score From Removing Substrings</v>
      </c>
      <c r="C1501" s="13">
        <f>Github!F$1718</f>
        <v>514</v>
      </c>
      <c r="D1501" s="13">
        <f>Github!G$1718</f>
        <v>28</v>
      </c>
      <c r="E1501" s="13">
        <f>Github!F$1718+Github!G$1718</f>
        <v>542</v>
      </c>
      <c r="F1501" s="15">
        <f t="shared" si="1"/>
        <v>18.36</v>
      </c>
      <c r="G1501" s="13" t="str">
        <f>ROUND(Github!O$1718, 2)&amp;"%"</f>
        <v>46.06%</v>
      </c>
      <c r="H1501" s="13" t="str">
        <f>Github!H$1718</f>
        <v>Algorithms</v>
      </c>
      <c r="I1501" s="16" t="str">
        <f>SUBSTITUTE(Github!L$1718, ";", ", ")</f>
        <v>String, Stack, Greedy, </v>
      </c>
      <c r="J1501" s="13" t="str">
        <f>Github!E$1718</f>
        <v>Medium</v>
      </c>
      <c r="K1501" s="13" t="str">
        <f>IF(TRIM(Github!D$1718)="TRUE","FALSE","TRUE")</f>
        <v>TRUE</v>
      </c>
      <c r="L1501" s="13" t="b">
        <f>Github!M$1718</f>
        <v>0</v>
      </c>
      <c r="M1501" s="13" t="b">
        <f>Github!N$1718</f>
        <v>0</v>
      </c>
      <c r="N1501" s="13">
        <f>Github!P$1718</f>
        <v>11589</v>
      </c>
      <c r="O1501" s="13">
        <f>Github!Q$1718</f>
        <v>25162</v>
      </c>
    </row>
    <row r="1502">
      <c r="A1502" s="13">
        <f>Github!J$1214</f>
        <v>1213</v>
      </c>
      <c r="B1502" s="14" t="str">
        <f>HYPERLINK(CONCAT("http://leetcode.com/problems/",Github!C$1214), Github!B$1214)</f>
        <v>Intersection of Three Sorted Arrays</v>
      </c>
      <c r="C1502" s="13">
        <f>Github!F$1214</f>
        <v>515</v>
      </c>
      <c r="D1502" s="13">
        <f>Github!G$1214</f>
        <v>24</v>
      </c>
      <c r="E1502" s="13">
        <f>Github!F$1214+Github!G$1214</f>
        <v>539</v>
      </c>
      <c r="F1502" s="15">
        <f t="shared" si="1"/>
        <v>21.46</v>
      </c>
      <c r="G1502" s="13" t="str">
        <f>ROUND(Github!O$1214, 2)&amp;"%"</f>
        <v>79.93%</v>
      </c>
      <c r="H1502" s="13" t="str">
        <f>Github!H$1214</f>
        <v>Algorithms</v>
      </c>
      <c r="I1502" s="16" t="str">
        <f>SUBSTITUTE(Github!L$1214, ";", ", ")</f>
        <v>Array, Hash Table, Binary Search, Counting, </v>
      </c>
      <c r="J1502" s="13" t="str">
        <f>Github!E$1214</f>
        <v>Easy</v>
      </c>
      <c r="K1502" s="13" t="str">
        <f>IF(TRIM(Github!D$1214)="TRUE","FALSE","TRUE")</f>
        <v>FALSE</v>
      </c>
      <c r="L1502" s="13" t="b">
        <f>Github!M$1214</f>
        <v>1</v>
      </c>
      <c r="M1502" s="13" t="b">
        <f>Github!N$1214</f>
        <v>0</v>
      </c>
      <c r="N1502" s="13">
        <f>Github!P$1214</f>
        <v>75118</v>
      </c>
      <c r="O1502" s="13">
        <f>Github!Q$1214</f>
        <v>93979</v>
      </c>
    </row>
    <row r="1503">
      <c r="A1503" s="13">
        <f>Github!J$1645</f>
        <v>1644</v>
      </c>
      <c r="B1503" s="14" t="str">
        <f>HYPERLINK(CONCAT("http://leetcode.com/problems/",Github!C$1645), Github!B$1645)</f>
        <v>Lowest Common Ancestor of a Binary Tree II</v>
      </c>
      <c r="C1503" s="13">
        <f>Github!F$1645</f>
        <v>513</v>
      </c>
      <c r="D1503" s="13">
        <f>Github!G$1645</f>
        <v>25</v>
      </c>
      <c r="E1503" s="13">
        <f>Github!F$1645+Github!G$1645</f>
        <v>538</v>
      </c>
      <c r="F1503" s="15">
        <f t="shared" si="1"/>
        <v>20.52</v>
      </c>
      <c r="G1503" s="13" t="str">
        <f>ROUND(Github!O$1645, 2)&amp;"%"</f>
        <v>59.55%</v>
      </c>
      <c r="H1503" s="13" t="str">
        <f>Github!H$1645</f>
        <v>Algorithms</v>
      </c>
      <c r="I1503" s="16" t="str">
        <f>SUBSTITUTE(Github!L$1645, ";", ", ")</f>
        <v>Tree, Depth-First Search, Binary Tree, </v>
      </c>
      <c r="J1503" s="13" t="str">
        <f>Github!E$1645</f>
        <v>Medium</v>
      </c>
      <c r="K1503" s="13" t="str">
        <f>IF(TRIM(Github!D$1645)="TRUE","FALSE","TRUE")</f>
        <v>FALSE</v>
      </c>
      <c r="L1503" s="13" t="b">
        <f>Github!M$1645</f>
        <v>0</v>
      </c>
      <c r="M1503" s="13" t="b">
        <f>Github!N$1645</f>
        <v>0</v>
      </c>
      <c r="N1503" s="13">
        <f>Github!P$1645</f>
        <v>54861</v>
      </c>
      <c r="O1503" s="13">
        <f>Github!Q$1645</f>
        <v>92133</v>
      </c>
    </row>
    <row r="1504">
      <c r="A1504" s="13">
        <f>Github!J$1569</f>
        <v>1568</v>
      </c>
      <c r="B1504" s="14" t="str">
        <f>HYPERLINK(CONCAT("http://leetcode.com/problems/",Github!C$1569), Github!B$1569)</f>
        <v>Minimum Number of Days to Disconnect Island</v>
      </c>
      <c r="C1504" s="13">
        <f>Github!F$1569</f>
        <v>519</v>
      </c>
      <c r="D1504" s="13">
        <f>Github!G$1569</f>
        <v>137</v>
      </c>
      <c r="E1504" s="13">
        <f>Github!F$1569+Github!G$1569</f>
        <v>656</v>
      </c>
      <c r="F1504" s="15">
        <f t="shared" si="1"/>
        <v>3.79</v>
      </c>
      <c r="G1504" s="13" t="str">
        <f>ROUND(Github!O$1569, 2)&amp;"%"</f>
        <v>46.77%</v>
      </c>
      <c r="H1504" s="13" t="str">
        <f>Github!H$1569</f>
        <v>Algorithms</v>
      </c>
      <c r="I1504" s="16" t="str">
        <f>SUBSTITUTE(Github!L$1569, ";", ", ")</f>
        <v>Array, Depth-First Search, Breadth-First Search, Matrix, Strongly Connected Component, </v>
      </c>
      <c r="J1504" s="13" t="str">
        <f>Github!E$1569</f>
        <v>Hard</v>
      </c>
      <c r="K1504" s="13" t="str">
        <f>IF(TRIM(Github!D$1569)="TRUE","FALSE","TRUE")</f>
        <v>TRUE</v>
      </c>
      <c r="L1504" s="13" t="b">
        <f>Github!M$1569</f>
        <v>0</v>
      </c>
      <c r="M1504" s="13" t="b">
        <f>Github!N$1569</f>
        <v>0</v>
      </c>
      <c r="N1504" s="13">
        <f>Github!P$1569</f>
        <v>10247</v>
      </c>
      <c r="O1504" s="13">
        <f>Github!Q$1569</f>
        <v>21911</v>
      </c>
    </row>
    <row r="1505">
      <c r="A1505" s="13">
        <f>Github!J$761</f>
        <v>760</v>
      </c>
      <c r="B1505" s="14" t="str">
        <f>HYPERLINK(CONCAT("http://leetcode.com/problems/",Github!C$761), Github!B$761)</f>
        <v>Find Anagram Mappings</v>
      </c>
      <c r="C1505" s="13">
        <f>Github!F$761</f>
        <v>515</v>
      </c>
      <c r="D1505" s="13">
        <f>Github!G$761</f>
        <v>203</v>
      </c>
      <c r="E1505" s="13">
        <f>Github!F$761+Github!G$761</f>
        <v>718</v>
      </c>
      <c r="F1505" s="15">
        <f t="shared" si="1"/>
        <v>2.54</v>
      </c>
      <c r="G1505" s="13" t="str">
        <f>ROUND(Github!O$761, 2)&amp;"%"</f>
        <v>82.89%</v>
      </c>
      <c r="H1505" s="13" t="str">
        <f>Github!H$761</f>
        <v>Algorithms</v>
      </c>
      <c r="I1505" s="16" t="str">
        <f>SUBSTITUTE(Github!L$761, ";", ", ")</f>
        <v>Array, Hash Table, </v>
      </c>
      <c r="J1505" s="13" t="str">
        <f>Github!E$761</f>
        <v>Easy</v>
      </c>
      <c r="K1505" s="13" t="str">
        <f>IF(TRIM(Github!D$761)="TRUE","FALSE","TRUE")</f>
        <v>FALSE</v>
      </c>
      <c r="L1505" s="13" t="b">
        <f>Github!M$761</f>
        <v>1</v>
      </c>
      <c r="M1505" s="13" t="b">
        <f>Github!N$761</f>
        <v>0</v>
      </c>
      <c r="N1505" s="13">
        <f>Github!P$761</f>
        <v>86705</v>
      </c>
      <c r="O1505" s="13">
        <f>Github!Q$761</f>
        <v>104601</v>
      </c>
    </row>
    <row r="1506">
      <c r="A1506" s="13">
        <f>Github!J$1472</f>
        <v>1471</v>
      </c>
      <c r="B1506" s="14" t="str">
        <f>HYPERLINK(CONCAT("http://leetcode.com/problems/",Github!C$1472), Github!B$1472)</f>
        <v>The k Strongest Values in an Array</v>
      </c>
      <c r="C1506" s="13">
        <f>Github!F$1472</f>
        <v>518</v>
      </c>
      <c r="D1506" s="13">
        <f>Github!G$1472</f>
        <v>111</v>
      </c>
      <c r="E1506" s="13">
        <f>Github!F$1472+Github!G$1472</f>
        <v>629</v>
      </c>
      <c r="F1506" s="15">
        <f t="shared" si="1"/>
        <v>4.67</v>
      </c>
      <c r="G1506" s="13" t="str">
        <f>ROUND(Github!O$1472, 2)&amp;"%"</f>
        <v>60.24%</v>
      </c>
      <c r="H1506" s="13" t="str">
        <f>Github!H$1472</f>
        <v>Algorithms</v>
      </c>
      <c r="I1506" s="16" t="str">
        <f>SUBSTITUTE(Github!L$1472, ";", ", ")</f>
        <v>Array, Two Pointers, Sorting, </v>
      </c>
      <c r="J1506" s="13" t="str">
        <f>Github!E$1472</f>
        <v>Medium</v>
      </c>
      <c r="K1506" s="13" t="str">
        <f>IF(TRIM(Github!D$1472)="TRUE","FALSE","TRUE")</f>
        <v>TRUE</v>
      </c>
      <c r="L1506" s="13" t="b">
        <f>Github!M$1472</f>
        <v>0</v>
      </c>
      <c r="M1506" s="13" t="b">
        <f>Github!N$1472</f>
        <v>0</v>
      </c>
      <c r="N1506" s="13">
        <f>Github!P$1472</f>
        <v>30777</v>
      </c>
      <c r="O1506" s="13">
        <f>Github!Q$1472</f>
        <v>51094</v>
      </c>
    </row>
    <row r="1507">
      <c r="A1507" s="13">
        <f>Github!J$1559</f>
        <v>1558</v>
      </c>
      <c r="B1507" s="14" t="str">
        <f>HYPERLINK(CONCAT("http://leetcode.com/problems/",Github!C$1559), Github!B$1559)</f>
        <v>Minimum Numbers of Function Calls to Make Target Array</v>
      </c>
      <c r="C1507" s="13">
        <f>Github!F$1559</f>
        <v>513</v>
      </c>
      <c r="D1507" s="13">
        <f>Github!G$1559</f>
        <v>27</v>
      </c>
      <c r="E1507" s="13">
        <f>Github!F$1559+Github!G$1559</f>
        <v>540</v>
      </c>
      <c r="F1507" s="15">
        <f t="shared" si="1"/>
        <v>19</v>
      </c>
      <c r="G1507" s="13" t="str">
        <f>ROUND(Github!O$1559, 2)&amp;"%"</f>
        <v>64.12%</v>
      </c>
      <c r="H1507" s="13" t="str">
        <f>Github!H$1559</f>
        <v>Algorithms</v>
      </c>
      <c r="I1507" s="16" t="str">
        <f>SUBSTITUTE(Github!L$1559, ";", ", ")</f>
        <v>Array, Greedy, Bit Manipulation, </v>
      </c>
      <c r="J1507" s="13" t="str">
        <f>Github!E$1559</f>
        <v>Medium</v>
      </c>
      <c r="K1507" s="13" t="str">
        <f>IF(TRIM(Github!D$1559)="TRUE","FALSE","TRUE")</f>
        <v>TRUE</v>
      </c>
      <c r="L1507" s="13" t="b">
        <f>Github!M$1559</f>
        <v>0</v>
      </c>
      <c r="M1507" s="13" t="b">
        <f>Github!N$1559</f>
        <v>0</v>
      </c>
      <c r="N1507" s="13">
        <f>Github!P$1559</f>
        <v>17485</v>
      </c>
      <c r="O1507" s="13">
        <f>Github!Q$1559</f>
        <v>27270</v>
      </c>
    </row>
    <row r="1508">
      <c r="A1508" s="13">
        <f>Github!J$2046</f>
        <v>2045</v>
      </c>
      <c r="B1508" s="14" t="str">
        <f>HYPERLINK(CONCAT("http://leetcode.com/problems/",Github!C$2046), Github!B$2046)</f>
        <v>Second Minimum Time to Reach Destination</v>
      </c>
      <c r="C1508" s="13">
        <f>Github!F$2046</f>
        <v>520</v>
      </c>
      <c r="D1508" s="13">
        <f>Github!G$2046</f>
        <v>7</v>
      </c>
      <c r="E1508" s="13">
        <f>Github!F$2046+Github!G$2046</f>
        <v>527</v>
      </c>
      <c r="F1508" s="15">
        <f t="shared" si="1"/>
        <v>74.29</v>
      </c>
      <c r="G1508" s="13" t="str">
        <f>ROUND(Github!O$2046, 2)&amp;"%"</f>
        <v>39.12%</v>
      </c>
      <c r="H1508" s="13" t="str">
        <f>Github!H$2046</f>
        <v>Algorithms</v>
      </c>
      <c r="I1508" s="16" t="str">
        <f>SUBSTITUTE(Github!L$2046, ";", ", ")</f>
        <v>Breadth-First Search, Graph, Shortest Path, </v>
      </c>
      <c r="J1508" s="13" t="str">
        <f>Github!E$2046</f>
        <v>Hard</v>
      </c>
      <c r="K1508" s="13" t="str">
        <f>IF(TRIM(Github!D$2046)="TRUE","FALSE","TRUE")</f>
        <v>TRUE</v>
      </c>
      <c r="L1508" s="13" t="b">
        <f>Github!M$2046</f>
        <v>1</v>
      </c>
      <c r="M1508" s="13" t="b">
        <f>Github!N$2046</f>
        <v>0</v>
      </c>
      <c r="N1508" s="13">
        <f>Github!P$2046</f>
        <v>8293</v>
      </c>
      <c r="O1508" s="13">
        <f>Github!Q$2046</f>
        <v>21200</v>
      </c>
    </row>
    <row r="1509">
      <c r="A1509" s="13">
        <f>Github!J$493</f>
        <v>492</v>
      </c>
      <c r="B1509" s="14" t="str">
        <f>HYPERLINK(CONCAT("http://leetcode.com/problems/",Github!C$493), Github!B$493)</f>
        <v>Construct the Rectangle</v>
      </c>
      <c r="C1509" s="13">
        <f>Github!F$493</f>
        <v>515</v>
      </c>
      <c r="D1509" s="13">
        <f>Github!G$493</f>
        <v>345</v>
      </c>
      <c r="E1509" s="13">
        <f>Github!F$493+Github!G$493</f>
        <v>860</v>
      </c>
      <c r="F1509" s="15">
        <f t="shared" si="1"/>
        <v>1.49</v>
      </c>
      <c r="G1509" s="13" t="str">
        <f>ROUND(Github!O$493, 2)&amp;"%"</f>
        <v>54%</v>
      </c>
      <c r="H1509" s="13" t="str">
        <f>Github!H$493</f>
        <v>Algorithms</v>
      </c>
      <c r="I1509" s="16" t="str">
        <f>SUBSTITUTE(Github!L$493, ";", ", ")</f>
        <v>Math, </v>
      </c>
      <c r="J1509" s="13" t="str">
        <f>Github!E$493</f>
        <v>Easy</v>
      </c>
      <c r="K1509" s="13" t="str">
        <f>IF(TRIM(Github!D$493)="TRUE","FALSE","TRUE")</f>
        <v>TRUE</v>
      </c>
      <c r="L1509" s="13" t="b">
        <f>Github!M$493</f>
        <v>0</v>
      </c>
      <c r="M1509" s="13" t="b">
        <f>Github!N$493</f>
        <v>0</v>
      </c>
      <c r="N1509" s="13">
        <f>Github!P$493</f>
        <v>90117</v>
      </c>
      <c r="O1509" s="13">
        <f>Github!Q$493</f>
        <v>166900</v>
      </c>
    </row>
    <row r="1510">
      <c r="A1510" s="13">
        <f>Github!J$1570</f>
        <v>1569</v>
      </c>
      <c r="B1510" s="14" t="str">
        <f>HYPERLINK(CONCAT("http://leetcode.com/problems/",Github!C$1570), Github!B$1570)</f>
        <v>Number of Ways to Reorder Array to Get Same BST</v>
      </c>
      <c r="C1510" s="13">
        <f>Github!F$1570</f>
        <v>513</v>
      </c>
      <c r="D1510" s="13">
        <f>Github!G$1570</f>
        <v>52</v>
      </c>
      <c r="E1510" s="13">
        <f>Github!F$1570+Github!G$1570</f>
        <v>565</v>
      </c>
      <c r="F1510" s="15">
        <f t="shared" si="1"/>
        <v>9.87</v>
      </c>
      <c r="G1510" s="13" t="str">
        <f>ROUND(Github!O$1570, 2)&amp;"%"</f>
        <v>48.07%</v>
      </c>
      <c r="H1510" s="13" t="str">
        <f>Github!H$1570</f>
        <v>Algorithms</v>
      </c>
      <c r="I1510" s="16" t="str">
        <f>SUBSTITUTE(Github!L$1570, ";", ", ")</f>
        <v>Array, Math, Divide and Conquer, Dynamic Programming, Tree, Union Find, Binary Search Tree, Memoization, Combinatorics, Binary Tree, </v>
      </c>
      <c r="J1510" s="13" t="str">
        <f>Github!E$1570</f>
        <v>Hard</v>
      </c>
      <c r="K1510" s="13" t="str">
        <f>IF(TRIM(Github!D$1570)="TRUE","FALSE","TRUE")</f>
        <v>TRUE</v>
      </c>
      <c r="L1510" s="13" t="b">
        <f>Github!M$1570</f>
        <v>0</v>
      </c>
      <c r="M1510" s="13" t="b">
        <f>Github!N$1570</f>
        <v>0</v>
      </c>
      <c r="N1510" s="13">
        <f>Github!P$1570</f>
        <v>11323</v>
      </c>
      <c r="O1510" s="13">
        <f>Github!Q$1570</f>
        <v>23557</v>
      </c>
    </row>
    <row r="1511">
      <c r="A1511" s="13">
        <f>Github!J$1394</f>
        <v>1393</v>
      </c>
      <c r="B1511" s="14" t="str">
        <f>HYPERLINK(CONCAT("http://leetcode.com/problems/",Github!C$1394), Github!B$1394)</f>
        <v>Capital Gain/Loss</v>
      </c>
      <c r="C1511" s="13">
        <f>Github!F$1394</f>
        <v>522</v>
      </c>
      <c r="D1511" s="13">
        <f>Github!G$1394</f>
        <v>35</v>
      </c>
      <c r="E1511" s="13">
        <f>Github!F$1394+Github!G$1394</f>
        <v>557</v>
      </c>
      <c r="F1511" s="15">
        <f t="shared" si="1"/>
        <v>14.91</v>
      </c>
      <c r="G1511" s="13" t="str">
        <f>ROUND(Github!O$1394, 2)&amp;"%"</f>
        <v>89.97%</v>
      </c>
      <c r="H1511" s="13" t="str">
        <f>Github!H$1394</f>
        <v>Database</v>
      </c>
      <c r="I1511" s="16" t="str">
        <f>SUBSTITUTE(Github!L$1394, ";", ", ")</f>
        <v>Database, </v>
      </c>
      <c r="J1511" s="13" t="str">
        <f>Github!E$1394</f>
        <v>Medium</v>
      </c>
      <c r="K1511" s="13" t="str">
        <f>IF(TRIM(Github!D$1394)="TRUE","FALSE","TRUE")</f>
        <v>TRUE</v>
      </c>
      <c r="L1511" s="13" t="b">
        <f>Github!M$1394</f>
        <v>0</v>
      </c>
      <c r="M1511" s="13" t="b">
        <f>Github!N$1394</f>
        <v>0</v>
      </c>
      <c r="N1511" s="13">
        <f>Github!P$1394</f>
        <v>65014</v>
      </c>
      <c r="O1511" s="13">
        <f>Github!Q$1394</f>
        <v>72263</v>
      </c>
    </row>
    <row r="1512">
      <c r="A1512" s="13">
        <f>Github!J$2164</f>
        <v>2163</v>
      </c>
      <c r="B1512" s="14" t="str">
        <f>HYPERLINK(CONCAT("http://leetcode.com/problems/",Github!C$2164), Github!B$2164)</f>
        <v>Minimum Difference in Sums After Removal of Elements</v>
      </c>
      <c r="C1512" s="13">
        <f>Github!F$2164</f>
        <v>517</v>
      </c>
      <c r="D1512" s="13">
        <f>Github!G$2164</f>
        <v>13</v>
      </c>
      <c r="E1512" s="13">
        <f>Github!F$2164+Github!G$2164</f>
        <v>530</v>
      </c>
      <c r="F1512" s="15">
        <f t="shared" si="1"/>
        <v>39.77</v>
      </c>
      <c r="G1512" s="13" t="str">
        <f>ROUND(Github!O$2164, 2)&amp;"%"</f>
        <v>46.9%</v>
      </c>
      <c r="H1512" s="13" t="str">
        <f>Github!H$2164</f>
        <v>Algorithms</v>
      </c>
      <c r="I1512" s="16" t="str">
        <f>SUBSTITUTE(Github!L$2164, ";", ", ")</f>
        <v>Array, Dynamic Programming, Heap (Priority Queue), </v>
      </c>
      <c r="J1512" s="13" t="str">
        <f>Github!E$2164</f>
        <v>Hard</v>
      </c>
      <c r="K1512" s="13" t="str">
        <f>IF(TRIM(Github!D$2164)="TRUE","FALSE","TRUE")</f>
        <v>TRUE</v>
      </c>
      <c r="L1512" s="13" t="b">
        <f>Github!M$2164</f>
        <v>0</v>
      </c>
      <c r="M1512" s="13" t="b">
        <f>Github!N$2164</f>
        <v>0</v>
      </c>
      <c r="N1512" s="13">
        <f>Github!P$2164</f>
        <v>6963</v>
      </c>
      <c r="O1512" s="13">
        <f>Github!Q$2164</f>
        <v>14845</v>
      </c>
    </row>
    <row r="1513">
      <c r="A1513" s="13">
        <f>Github!J$1002</f>
        <v>1001</v>
      </c>
      <c r="B1513" s="14" t="str">
        <f>HYPERLINK(CONCAT("http://leetcode.com/problems/",Github!C$1002), Github!B$1002)</f>
        <v>Grid Illumination</v>
      </c>
      <c r="C1513" s="13">
        <f>Github!F$1002</f>
        <v>511</v>
      </c>
      <c r="D1513" s="13">
        <f>Github!G$1002</f>
        <v>127</v>
      </c>
      <c r="E1513" s="13">
        <f>Github!F$1002+Github!G$1002</f>
        <v>638</v>
      </c>
      <c r="F1513" s="15">
        <f t="shared" si="1"/>
        <v>4.02</v>
      </c>
      <c r="G1513" s="13" t="str">
        <f>ROUND(Github!O$1002, 2)&amp;"%"</f>
        <v>36.22%</v>
      </c>
      <c r="H1513" s="13" t="str">
        <f>Github!H$1002</f>
        <v>Algorithms</v>
      </c>
      <c r="I1513" s="16" t="str">
        <f>SUBSTITUTE(Github!L$1002, ";", ", ")</f>
        <v>Array, Hash Table, </v>
      </c>
      <c r="J1513" s="13" t="str">
        <f>Github!E$1002</f>
        <v>Hard</v>
      </c>
      <c r="K1513" s="13" t="str">
        <f>IF(TRIM(Github!D$1002)="TRUE","FALSE","TRUE")</f>
        <v>TRUE</v>
      </c>
      <c r="L1513" s="13" t="b">
        <f>Github!M$1002</f>
        <v>0</v>
      </c>
      <c r="M1513" s="13" t="b">
        <f>Github!N$1002</f>
        <v>0</v>
      </c>
      <c r="N1513" s="13">
        <f>Github!P$1002</f>
        <v>17165</v>
      </c>
      <c r="O1513" s="13">
        <f>Github!Q$1002</f>
        <v>47392</v>
      </c>
    </row>
    <row r="1514">
      <c r="A1514" s="13">
        <f>Github!J$2125</f>
        <v>2124</v>
      </c>
      <c r="B1514" s="14" t="str">
        <f>HYPERLINK(CONCAT("http://leetcode.com/problems/",Github!C$2125), Github!B$2125)</f>
        <v>Check if All A's Appears Before All B's</v>
      </c>
      <c r="C1514" s="13">
        <f>Github!F$2125</f>
        <v>514</v>
      </c>
      <c r="D1514" s="13">
        <f>Github!G$2125</f>
        <v>12</v>
      </c>
      <c r="E1514" s="13">
        <f>Github!F$2125+Github!G$2125</f>
        <v>526</v>
      </c>
      <c r="F1514" s="15">
        <f t="shared" si="1"/>
        <v>42.83</v>
      </c>
      <c r="G1514" s="13" t="str">
        <f>ROUND(Github!O$2125, 2)&amp;"%"</f>
        <v>71.44%</v>
      </c>
      <c r="H1514" s="13" t="str">
        <f>Github!H$2125</f>
        <v>Algorithms</v>
      </c>
      <c r="I1514" s="16" t="str">
        <f>SUBSTITUTE(Github!L$2125, ";", ", ")</f>
        <v>String, </v>
      </c>
      <c r="J1514" s="13" t="str">
        <f>Github!E$2125</f>
        <v>Easy</v>
      </c>
      <c r="K1514" s="13" t="str">
        <f>IF(TRIM(Github!D$2125)="TRUE","FALSE","TRUE")</f>
        <v>TRUE</v>
      </c>
      <c r="L1514" s="13" t="b">
        <f>Github!M$2125</f>
        <v>0</v>
      </c>
      <c r="M1514" s="13" t="b">
        <f>Github!N$2125</f>
        <v>0</v>
      </c>
      <c r="N1514" s="13">
        <f>Github!P$2125</f>
        <v>46751</v>
      </c>
      <c r="O1514" s="13">
        <f>Github!Q$2125</f>
        <v>65440</v>
      </c>
    </row>
    <row r="1515">
      <c r="A1515" s="13">
        <f>Github!J$2317</f>
        <v>2316</v>
      </c>
      <c r="B1515" s="14" t="str">
        <f>HYPERLINK(CONCAT("http://leetcode.com/problems/",Github!C$2317), Github!B$2317)</f>
        <v>Count Unreachable Pairs of Nodes in an Undirected Graph</v>
      </c>
      <c r="C1515" s="13">
        <f>Github!F$2317</f>
        <v>520</v>
      </c>
      <c r="D1515" s="13">
        <f>Github!G$2317</f>
        <v>15</v>
      </c>
      <c r="E1515" s="13">
        <f>Github!F$2317+Github!G$2317</f>
        <v>535</v>
      </c>
      <c r="F1515" s="15">
        <f t="shared" si="1"/>
        <v>34.67</v>
      </c>
      <c r="G1515" s="13" t="str">
        <f>ROUND(Github!O$2317, 2)&amp;"%"</f>
        <v>38.6%</v>
      </c>
      <c r="H1515" s="13" t="str">
        <f>Github!H2317</f>
        <v>Algorithms</v>
      </c>
      <c r="I1515" s="16" t="str">
        <f>SUBSTITUTE(Github!L$2317, ";", ", ")</f>
        <v>Depth-First Search, Breadth-First Search, Union Find, Graph, </v>
      </c>
      <c r="J1515" s="13" t="str">
        <f>Github!E$2317</f>
        <v>Medium</v>
      </c>
      <c r="K1515" s="13" t="str">
        <f>IF(TRIM(Github!D$2317)="TRUE","FALSE","TRUE")</f>
        <v>TRUE</v>
      </c>
      <c r="L1515" s="13" t="b">
        <f>Github!M$2317</f>
        <v>0</v>
      </c>
      <c r="M1515" s="13" t="b">
        <f>Github!N$2317</f>
        <v>0</v>
      </c>
      <c r="N1515" s="13">
        <f>Github!P$2317</f>
        <v>20060</v>
      </c>
      <c r="O1515" s="13">
        <f>Github!Q$2317</f>
        <v>51960</v>
      </c>
    </row>
    <row r="1516">
      <c r="A1516" s="13">
        <f>Github!J$445</f>
        <v>444</v>
      </c>
      <c r="B1516" s="14" t="str">
        <f>HYPERLINK(CONCAT("http://leetcode.com/problems/",Github!C$445), Github!B$445)</f>
        <v>Sequence Reconstruction</v>
      </c>
      <c r="C1516" s="13">
        <f>Github!F$445</f>
        <v>507</v>
      </c>
      <c r="D1516" s="13">
        <f>Github!G$445</f>
        <v>1448</v>
      </c>
      <c r="E1516" s="13">
        <f>Github!F$445+Github!G$445</f>
        <v>1955</v>
      </c>
      <c r="F1516" s="15">
        <f t="shared" si="1"/>
        <v>0.35</v>
      </c>
      <c r="G1516" s="13" t="str">
        <f>ROUND(Github!O$445, 2)&amp;"%"</f>
        <v>26.5%</v>
      </c>
      <c r="H1516" s="13" t="str">
        <f>Github!H$445</f>
        <v>Algorithms</v>
      </c>
      <c r="I1516" s="16" t="str">
        <f>SUBSTITUTE(Github!L$445, ";", ", ")</f>
        <v>Array, Graph, Topological Sort, </v>
      </c>
      <c r="J1516" s="13" t="str">
        <f>Github!E$445</f>
        <v>Medium</v>
      </c>
      <c r="K1516" s="13" t="str">
        <f>IF(TRIM(Github!D$445)="TRUE","FALSE","TRUE")</f>
        <v>FALSE</v>
      </c>
      <c r="L1516" s="13" t="b">
        <f>Github!M$445</f>
        <v>0</v>
      </c>
      <c r="M1516" s="13" t="b">
        <f>Github!N$445</f>
        <v>0</v>
      </c>
      <c r="N1516" s="13">
        <f>Github!P$445</f>
        <v>49127</v>
      </c>
      <c r="O1516" s="13">
        <f>Github!Q$445</f>
        <v>185360</v>
      </c>
    </row>
    <row r="1517">
      <c r="A1517" s="13">
        <f>Github!J$2054</f>
        <v>2053</v>
      </c>
      <c r="B1517" s="14" t="str">
        <f>HYPERLINK(CONCAT("http://leetcode.com/problems/",Github!C$2054), Github!B$2054)</f>
        <v>Kth Distinct String in an Array</v>
      </c>
      <c r="C1517" s="13">
        <f>Github!F$2054</f>
        <v>519</v>
      </c>
      <c r="D1517" s="13">
        <f>Github!G$2054</f>
        <v>17</v>
      </c>
      <c r="E1517" s="13">
        <f>Github!F$2054+Github!G$2054</f>
        <v>536</v>
      </c>
      <c r="F1517" s="15">
        <f t="shared" si="1"/>
        <v>30.53</v>
      </c>
      <c r="G1517" s="13" t="str">
        <f>ROUND(Github!O$2054, 2)&amp;"%"</f>
        <v>71.88%</v>
      </c>
      <c r="H1517" s="13" t="str">
        <f>Github!H$2054</f>
        <v>Algorithms</v>
      </c>
      <c r="I1517" s="16" t="str">
        <f>SUBSTITUTE(Github!L$2054, ";", ", ")</f>
        <v>Array, Hash Table, String, Counting, </v>
      </c>
      <c r="J1517" s="13" t="str">
        <f>Github!E$2054</f>
        <v>Easy</v>
      </c>
      <c r="K1517" s="13" t="str">
        <f>IF(TRIM(Github!D$2054)="TRUE","FALSE","TRUE")</f>
        <v>TRUE</v>
      </c>
      <c r="L1517" s="13" t="b">
        <f>Github!M$2054</f>
        <v>0</v>
      </c>
      <c r="M1517" s="13" t="b">
        <f>Github!N$2054</f>
        <v>0</v>
      </c>
      <c r="N1517" s="13">
        <f>Github!P$2054</f>
        <v>38178</v>
      </c>
      <c r="O1517" s="13">
        <f>Github!Q$2054</f>
        <v>53116</v>
      </c>
    </row>
    <row r="1518">
      <c r="A1518" s="13">
        <f>Github!J$1796</f>
        <v>1795</v>
      </c>
      <c r="B1518" s="14" t="str">
        <f>HYPERLINK(CONCAT("http://leetcode.com/problems/",Github!C$1796), Github!B$1796)</f>
        <v>Rearrange Products Table</v>
      </c>
      <c r="C1518" s="13">
        <f>Github!F$1796</f>
        <v>517</v>
      </c>
      <c r="D1518" s="13">
        <f>Github!G$1796</f>
        <v>37</v>
      </c>
      <c r="E1518" s="13">
        <f>Github!F$1796+Github!G$1796</f>
        <v>554</v>
      </c>
      <c r="F1518" s="15">
        <f t="shared" si="1"/>
        <v>13.97</v>
      </c>
      <c r="G1518" s="13" t="str">
        <f>ROUND(Github!O$1796, 2)&amp;"%"</f>
        <v>88.25%</v>
      </c>
      <c r="H1518" s="13" t="str">
        <f>Github!H$1796</f>
        <v>Database</v>
      </c>
      <c r="I1518" s="16" t="str">
        <f>SUBSTITUTE(Github!L$1796, ";", ", ")</f>
        <v>Database, </v>
      </c>
      <c r="J1518" s="13" t="str">
        <f>Github!E$1796</f>
        <v>Easy</v>
      </c>
      <c r="K1518" s="13" t="str">
        <f>IF(TRIM(Github!D$1796)="TRUE","FALSE","TRUE")</f>
        <v>TRUE</v>
      </c>
      <c r="L1518" s="13" t="b">
        <f>Github!M$1796</f>
        <v>0</v>
      </c>
      <c r="M1518" s="13" t="b">
        <f>Github!N$1796</f>
        <v>0</v>
      </c>
      <c r="N1518" s="13">
        <f>Github!P$1796</f>
        <v>65059</v>
      </c>
      <c r="O1518" s="13">
        <f>Github!Q$1796</f>
        <v>73724</v>
      </c>
    </row>
    <row r="1519">
      <c r="A1519" s="13">
        <f>Github!J$1800</f>
        <v>1799</v>
      </c>
      <c r="B1519" s="14" t="str">
        <f>HYPERLINK(CONCAT("http://leetcode.com/problems/",Github!C$1800), Github!B$1800)</f>
        <v>Maximize Score After N Operations</v>
      </c>
      <c r="C1519" s="13">
        <f>Github!F$1800</f>
        <v>506</v>
      </c>
      <c r="D1519" s="13">
        <f>Github!G$1800</f>
        <v>46</v>
      </c>
      <c r="E1519" s="13">
        <f>Github!F$1800+Github!G$1800</f>
        <v>552</v>
      </c>
      <c r="F1519" s="15">
        <f t="shared" si="1"/>
        <v>11</v>
      </c>
      <c r="G1519" s="13" t="str">
        <f>ROUND(Github!O$1800, 2)&amp;"%"</f>
        <v>46.05%</v>
      </c>
      <c r="H1519" s="13" t="str">
        <f>Github!H$1800</f>
        <v>Algorithms</v>
      </c>
      <c r="I1519" s="16" t="str">
        <f>SUBSTITUTE(Github!L$1800, ";", ", ")</f>
        <v>Array, Math, Dynamic Programming, Backtracking, Bit Manipulation, Number Theory, Bitmask, </v>
      </c>
      <c r="J1519" s="13" t="str">
        <f>Github!E$1800</f>
        <v>Hard</v>
      </c>
      <c r="K1519" s="13" t="str">
        <f>IF(TRIM(Github!D$1800)="TRUE","FALSE","TRUE")</f>
        <v>TRUE</v>
      </c>
      <c r="L1519" s="13" t="b">
        <f>Github!M$1800</f>
        <v>0</v>
      </c>
      <c r="M1519" s="13" t="b">
        <f>Github!N$1800</f>
        <v>0</v>
      </c>
      <c r="N1519" s="13">
        <f>Github!P$1800</f>
        <v>15377</v>
      </c>
      <c r="O1519" s="13">
        <f>Github!Q$1800</f>
        <v>33396</v>
      </c>
    </row>
    <row r="1520">
      <c r="A1520" s="13">
        <f>Github!J$1520</f>
        <v>1519</v>
      </c>
      <c r="B1520" s="14" t="str">
        <f>HYPERLINK(CONCAT("http://leetcode.com/problems/",Github!C$1520), Github!B$1520)</f>
        <v>Number of Nodes in the Sub-Tree With the Same Label</v>
      </c>
      <c r="C1520" s="13">
        <f>Github!F$1520</f>
        <v>505</v>
      </c>
      <c r="D1520" s="13">
        <f>Github!G$1520</f>
        <v>431</v>
      </c>
      <c r="E1520" s="13">
        <f>Github!F$1520+Github!G$1520</f>
        <v>936</v>
      </c>
      <c r="F1520" s="15">
        <f t="shared" si="1"/>
        <v>1.17</v>
      </c>
      <c r="G1520" s="13" t="str">
        <f>ROUND(Github!O$1520, 2)&amp;"%"</f>
        <v>41.05%</v>
      </c>
      <c r="H1520" s="13" t="str">
        <f>Github!H$1520</f>
        <v>Algorithms</v>
      </c>
      <c r="I1520" s="16" t="str">
        <f>SUBSTITUTE(Github!L$1520, ";", ", ")</f>
        <v>Hash Table, Tree, Depth-First Search, Breadth-First Search, Counting, </v>
      </c>
      <c r="J1520" s="13" t="str">
        <f>Github!E$1520</f>
        <v>Medium</v>
      </c>
      <c r="K1520" s="13" t="str">
        <f>IF(TRIM(Github!D$1520)="TRUE","FALSE","TRUE")</f>
        <v>TRUE</v>
      </c>
      <c r="L1520" s="13" t="b">
        <f>Github!M$1520</f>
        <v>1</v>
      </c>
      <c r="M1520" s="13" t="b">
        <f>Github!N$1520</f>
        <v>0</v>
      </c>
      <c r="N1520" s="13">
        <f>Github!P$1520</f>
        <v>19504</v>
      </c>
      <c r="O1520" s="13">
        <f>Github!Q$1520</f>
        <v>47514</v>
      </c>
    </row>
    <row r="1521">
      <c r="A1521" s="13">
        <f>Github!J$1523</f>
        <v>1522</v>
      </c>
      <c r="B1521" s="14" t="str">
        <f>HYPERLINK(CONCAT("http://leetcode.com/problems/",Github!C$1523), Github!B$1523)</f>
        <v>Diameter of N-Ary Tree</v>
      </c>
      <c r="C1521" s="13">
        <f>Github!F$1523</f>
        <v>503</v>
      </c>
      <c r="D1521" s="13">
        <f>Github!G$1523</f>
        <v>7</v>
      </c>
      <c r="E1521" s="13">
        <f>Github!F$1523+Github!G$1523</f>
        <v>510</v>
      </c>
      <c r="F1521" s="15">
        <f t="shared" si="1"/>
        <v>71.86</v>
      </c>
      <c r="G1521" s="13" t="str">
        <f>ROUND(Github!O$1523, 2)&amp;"%"</f>
        <v>73.5%</v>
      </c>
      <c r="H1521" s="13" t="str">
        <f>Github!H$1523</f>
        <v>Algorithms</v>
      </c>
      <c r="I1521" s="16" t="str">
        <f>SUBSTITUTE(Github!L$1523, ";", ", ")</f>
        <v>Tree, Depth-First Search, </v>
      </c>
      <c r="J1521" s="13" t="str">
        <f>Github!E$1523</f>
        <v>Medium</v>
      </c>
      <c r="K1521" s="13" t="str">
        <f>IF(TRIM(Github!D$1523)="TRUE","FALSE","TRUE")</f>
        <v>FALSE</v>
      </c>
      <c r="L1521" s="13" t="b">
        <f>Github!M$1523</f>
        <v>1</v>
      </c>
      <c r="M1521" s="13" t="b">
        <f>Github!N$1523</f>
        <v>0</v>
      </c>
      <c r="N1521" s="13">
        <f>Github!P$1523</f>
        <v>36863</v>
      </c>
      <c r="O1521" s="13">
        <f>Github!Q$1523</f>
        <v>50155</v>
      </c>
    </row>
    <row r="1522">
      <c r="A1522" s="13">
        <f>Github!J$1266</f>
        <v>1265</v>
      </c>
      <c r="B1522" s="14" t="str">
        <f>HYPERLINK(CONCAT("http://leetcode.com/problems/",Github!C$1266), Github!B$1266)</f>
        <v>Print Immutable Linked List in Reverse</v>
      </c>
      <c r="C1522" s="13">
        <f>Github!F$1266</f>
        <v>508</v>
      </c>
      <c r="D1522" s="13">
        <f>Github!G$1266</f>
        <v>91</v>
      </c>
      <c r="E1522" s="13">
        <f>Github!F$1266+Github!G$1266</f>
        <v>599</v>
      </c>
      <c r="F1522" s="15">
        <f t="shared" si="1"/>
        <v>5.58</v>
      </c>
      <c r="G1522" s="13" t="str">
        <f>ROUND(Github!O$1266, 2)&amp;"%"</f>
        <v>94.26%</v>
      </c>
      <c r="H1522" s="13" t="str">
        <f>Github!H$1266</f>
        <v>Algorithms</v>
      </c>
      <c r="I1522" s="16" t="str">
        <f>SUBSTITUTE(Github!L$1266, ";", ", ")</f>
        <v>Linked List, Two Pointers, Stack, Recursion, </v>
      </c>
      <c r="J1522" s="13" t="str">
        <f>Github!E$1266</f>
        <v>Medium</v>
      </c>
      <c r="K1522" s="13" t="str">
        <f>IF(TRIM(Github!D$1266)="TRUE","FALSE","TRUE")</f>
        <v>FALSE</v>
      </c>
      <c r="L1522" s="13" t="b">
        <f>Github!M$1266</f>
        <v>0</v>
      </c>
      <c r="M1522" s="13" t="b">
        <f>Github!N$1266</f>
        <v>0</v>
      </c>
      <c r="N1522" s="13">
        <f>Github!P$1266</f>
        <v>47159</v>
      </c>
      <c r="O1522" s="13">
        <f>Github!Q$1266</f>
        <v>50030</v>
      </c>
    </row>
    <row r="1523">
      <c r="A1523" s="13">
        <f>Github!J$2060</f>
        <v>2059</v>
      </c>
      <c r="B1523" s="14" t="str">
        <f>HYPERLINK(CONCAT("http://leetcode.com/problems/",Github!C$2060), Github!B$2060)</f>
        <v>Minimum Operations to Convert Number</v>
      </c>
      <c r="C1523" s="13">
        <f>Github!F$2060</f>
        <v>505</v>
      </c>
      <c r="D1523" s="13">
        <f>Github!G$2060</f>
        <v>27</v>
      </c>
      <c r="E1523" s="13">
        <f>Github!F$2060+Github!G$2060</f>
        <v>532</v>
      </c>
      <c r="F1523" s="15">
        <f t="shared" si="1"/>
        <v>18.7</v>
      </c>
      <c r="G1523" s="13" t="str">
        <f>ROUND(Github!O$2060, 2)&amp;"%"</f>
        <v>47.41%</v>
      </c>
      <c r="H1523" s="13" t="str">
        <f>Github!H$2060</f>
        <v>Algorithms</v>
      </c>
      <c r="I1523" s="16" t="str">
        <f>SUBSTITUTE(Github!L$2060, ";", ", ")</f>
        <v>Array, Breadth-First Search, </v>
      </c>
      <c r="J1523" s="13" t="str">
        <f>Github!E$2060</f>
        <v>Medium</v>
      </c>
      <c r="K1523" s="13" t="str">
        <f>IF(TRIM(Github!D$2060)="TRUE","FALSE","TRUE")</f>
        <v>TRUE</v>
      </c>
      <c r="L1523" s="13" t="b">
        <f>Github!M$2060</f>
        <v>0</v>
      </c>
      <c r="M1523" s="13" t="b">
        <f>Github!N$2060</f>
        <v>0</v>
      </c>
      <c r="N1523" s="13">
        <f>Github!P$2060</f>
        <v>12545</v>
      </c>
      <c r="O1523" s="13">
        <f>Github!Q$2060</f>
        <v>26462</v>
      </c>
    </row>
    <row r="1524">
      <c r="A1524" s="13">
        <f>Github!J$1669</f>
        <v>1668</v>
      </c>
      <c r="B1524" s="14" t="str">
        <f>HYPERLINK(CONCAT("http://leetcode.com/problems/",Github!C$1669), Github!B$1669)</f>
        <v>Maximum Repeating Substring</v>
      </c>
      <c r="C1524" s="13">
        <f>Github!F$1669</f>
        <v>511</v>
      </c>
      <c r="D1524" s="13">
        <f>Github!G$1669</f>
        <v>176</v>
      </c>
      <c r="E1524" s="13">
        <f>Github!F$1669+Github!G$1669</f>
        <v>687</v>
      </c>
      <c r="F1524" s="15">
        <f t="shared" si="1"/>
        <v>2.9</v>
      </c>
      <c r="G1524" s="13" t="str">
        <f>ROUND(Github!O$1669, 2)&amp;"%"</f>
        <v>39.53%</v>
      </c>
      <c r="H1524" s="13" t="str">
        <f>Github!H$1669</f>
        <v>Algorithms</v>
      </c>
      <c r="I1524" s="16" t="str">
        <f>SUBSTITUTE(Github!L$1669, ";", ", ")</f>
        <v>String, String Matching, </v>
      </c>
      <c r="J1524" s="13" t="str">
        <f>Github!E$1669</f>
        <v>Easy</v>
      </c>
      <c r="K1524" s="13" t="str">
        <f>IF(TRIM(Github!D$1669)="TRUE","FALSE","TRUE")</f>
        <v>TRUE</v>
      </c>
      <c r="L1524" s="13" t="b">
        <f>Github!M$1669</f>
        <v>0</v>
      </c>
      <c r="M1524" s="13" t="b">
        <f>Github!N$1669</f>
        <v>0</v>
      </c>
      <c r="N1524" s="13">
        <f>Github!P$1669</f>
        <v>31863</v>
      </c>
      <c r="O1524" s="13">
        <f>Github!Q$1669</f>
        <v>80591</v>
      </c>
    </row>
    <row r="1525">
      <c r="A1525" s="13">
        <f>Github!J$1164</f>
        <v>1163</v>
      </c>
      <c r="B1525" s="14" t="str">
        <f>HYPERLINK(CONCAT("http://leetcode.com/problems/",Github!C$1164), Github!B$1164)</f>
        <v>Last Substring in Lexicographical Order</v>
      </c>
      <c r="C1525" s="13">
        <f>Github!F$1164</f>
        <v>504</v>
      </c>
      <c r="D1525" s="13">
        <f>Github!G$1164</f>
        <v>431</v>
      </c>
      <c r="E1525" s="13">
        <f>Github!F$1164+Github!G$1164</f>
        <v>935</v>
      </c>
      <c r="F1525" s="15">
        <f t="shared" si="1"/>
        <v>1.17</v>
      </c>
      <c r="G1525" s="13" t="str">
        <f>ROUND(Github!O$1164, 2)&amp;"%"</f>
        <v>34.91%</v>
      </c>
      <c r="H1525" s="13" t="str">
        <f>Github!H$1164</f>
        <v>Algorithms</v>
      </c>
      <c r="I1525" s="16" t="str">
        <f>SUBSTITUTE(Github!L$1164, ";", ", ")</f>
        <v>Two Pointers, String, </v>
      </c>
      <c r="J1525" s="13" t="str">
        <f>Github!E$1164</f>
        <v>Hard</v>
      </c>
      <c r="K1525" s="13" t="str">
        <f>IF(TRIM(Github!D$1164)="TRUE","FALSE","TRUE")</f>
        <v>TRUE</v>
      </c>
      <c r="L1525" s="13" t="b">
        <f>Github!M$1164</f>
        <v>0</v>
      </c>
      <c r="M1525" s="13" t="b">
        <f>Github!N$1164</f>
        <v>0</v>
      </c>
      <c r="N1525" s="13">
        <f>Github!P$1164</f>
        <v>31127</v>
      </c>
      <c r="O1525" s="13">
        <f>Github!Q$1164</f>
        <v>89168</v>
      </c>
    </row>
    <row r="1526">
      <c r="A1526" s="13">
        <f>Github!J$1625</f>
        <v>1624</v>
      </c>
      <c r="B1526" s="14" t="str">
        <f>HYPERLINK(CONCAT("http://leetcode.com/problems/",Github!C$1625), Github!B$1625)</f>
        <v>Largest Substring Between Two Equal Characters</v>
      </c>
      <c r="C1526" s="13">
        <f>Github!F$1625</f>
        <v>505</v>
      </c>
      <c r="D1526" s="13">
        <f>Github!G$1625</f>
        <v>29</v>
      </c>
      <c r="E1526" s="13">
        <f>Github!F$1625+Github!G$1625</f>
        <v>534</v>
      </c>
      <c r="F1526" s="15">
        <f t="shared" si="1"/>
        <v>17.41</v>
      </c>
      <c r="G1526" s="13" t="str">
        <f>ROUND(Github!O$1625, 2)&amp;"%"</f>
        <v>59.07%</v>
      </c>
      <c r="H1526" s="13" t="str">
        <f>Github!H$1625</f>
        <v>Algorithms</v>
      </c>
      <c r="I1526" s="16" t="str">
        <f>SUBSTITUTE(Github!L$1625, ";", ", ")</f>
        <v>Hash Table, String, </v>
      </c>
      <c r="J1526" s="13" t="str">
        <f>Github!E$1625</f>
        <v>Easy</v>
      </c>
      <c r="K1526" s="13" t="str">
        <f>IF(TRIM(Github!D$1625)="TRUE","FALSE","TRUE")</f>
        <v>TRUE</v>
      </c>
      <c r="L1526" s="13" t="b">
        <f>Github!M$1625</f>
        <v>0</v>
      </c>
      <c r="M1526" s="13" t="b">
        <f>Github!N$1625</f>
        <v>0</v>
      </c>
      <c r="N1526" s="13">
        <f>Github!P$1625</f>
        <v>39042</v>
      </c>
      <c r="O1526" s="13">
        <f>Github!Q$1625</f>
        <v>66091</v>
      </c>
    </row>
    <row r="1527">
      <c r="A1527" s="13">
        <f>Github!J$2332</f>
        <v>2331</v>
      </c>
      <c r="B1527" s="14" t="str">
        <f>HYPERLINK(CONCAT("http://leetcode.com/problems/",Github!C$2332), Github!B$2332)</f>
        <v>Evaluate Boolean Binary Tree</v>
      </c>
      <c r="C1527" s="13">
        <f>Github!F$2332</f>
        <v>515</v>
      </c>
      <c r="D1527" s="13">
        <f>Github!G$2332</f>
        <v>10</v>
      </c>
      <c r="E1527" s="13">
        <f>Github!F$2332+Github!G$2332</f>
        <v>525</v>
      </c>
      <c r="F1527" s="15">
        <f t="shared" si="1"/>
        <v>51.5</v>
      </c>
      <c r="G1527" s="13" t="str">
        <f>ROUND(Github!O$2332, 2)&amp;"%"</f>
        <v>78.99%</v>
      </c>
      <c r="H1527" s="13" t="str">
        <f>Github!H2332</f>
        <v>Algorithms</v>
      </c>
      <c r="I1527" s="16" t="str">
        <f>SUBSTITUTE(Github!L$2332, ";", ", ")</f>
        <v>Binary Search, Tree, Depth-First Search, </v>
      </c>
      <c r="J1527" s="13" t="str">
        <f>Github!E$2332</f>
        <v>Easy</v>
      </c>
      <c r="K1527" s="13" t="str">
        <f>IF(TRIM(Github!D$2332)="TRUE","FALSE","TRUE")</f>
        <v>TRUE</v>
      </c>
      <c r="L1527" s="13" t="b">
        <f>Github!M$2332</f>
        <v>0</v>
      </c>
      <c r="M1527" s="13" t="b">
        <f>Github!N$2332</f>
        <v>0</v>
      </c>
      <c r="N1527" s="13">
        <f>Github!P$2332</f>
        <v>37650</v>
      </c>
      <c r="O1527" s="13">
        <f>Github!Q$2332</f>
        <v>47663</v>
      </c>
    </row>
    <row r="1528">
      <c r="A1528" s="13">
        <f>Github!J$961</f>
        <v>960</v>
      </c>
      <c r="B1528" s="14" t="str">
        <f>HYPERLINK(CONCAT("http://leetcode.com/problems/",Github!C$961), Github!B$961)</f>
        <v>Delete Columns to Make Sorted III</v>
      </c>
      <c r="C1528" s="13">
        <f>Github!F$961</f>
        <v>500</v>
      </c>
      <c r="D1528" s="13">
        <f>Github!G$961</f>
        <v>11</v>
      </c>
      <c r="E1528" s="13">
        <f>Github!F$961+Github!G$961</f>
        <v>511</v>
      </c>
      <c r="F1528" s="15">
        <f t="shared" si="1"/>
        <v>45.45</v>
      </c>
      <c r="G1528" s="13" t="str">
        <f>ROUND(Github!O$961, 2)&amp;"%"</f>
        <v>57.29%</v>
      </c>
      <c r="H1528" s="13" t="str">
        <f>Github!H$961</f>
        <v>Algorithms</v>
      </c>
      <c r="I1528" s="16" t="str">
        <f>SUBSTITUTE(Github!L$961, ";", ", ")</f>
        <v>Array, String, Dynamic Programming, </v>
      </c>
      <c r="J1528" s="13" t="str">
        <f>Github!E$961</f>
        <v>Hard</v>
      </c>
      <c r="K1528" s="13" t="str">
        <f>IF(TRIM(Github!D$961)="TRUE","FALSE","TRUE")</f>
        <v>TRUE</v>
      </c>
      <c r="L1528" s="13" t="b">
        <f>Github!M$961</f>
        <v>1</v>
      </c>
      <c r="M1528" s="13" t="b">
        <f>Github!N$961</f>
        <v>0</v>
      </c>
      <c r="N1528" s="13">
        <f>Github!P$961</f>
        <v>11675</v>
      </c>
      <c r="O1528" s="13">
        <f>Github!Q$961</f>
        <v>20380</v>
      </c>
    </row>
    <row r="1529">
      <c r="A1529" s="13">
        <f>Github!J$1537</f>
        <v>1536</v>
      </c>
      <c r="B1529" s="14" t="str">
        <f>HYPERLINK(CONCAT("http://leetcode.com/problems/",Github!C$1537), Github!B$1537)</f>
        <v>Minimum Swaps to Arrange a Binary Grid</v>
      </c>
      <c r="C1529" s="13">
        <f>Github!F$1537</f>
        <v>498</v>
      </c>
      <c r="D1529" s="13">
        <f>Github!G$1537</f>
        <v>65</v>
      </c>
      <c r="E1529" s="13">
        <f>Github!F$1537+Github!G$1537</f>
        <v>563</v>
      </c>
      <c r="F1529" s="15">
        <f t="shared" si="1"/>
        <v>7.66</v>
      </c>
      <c r="G1529" s="13" t="str">
        <f>ROUND(Github!O$1537, 2)&amp;"%"</f>
        <v>46.49%</v>
      </c>
      <c r="H1529" s="13" t="str">
        <f>Github!H$1537</f>
        <v>Algorithms</v>
      </c>
      <c r="I1529" s="16" t="str">
        <f>SUBSTITUTE(Github!L$1537, ";", ", ")</f>
        <v>Array, Greedy, Matrix, </v>
      </c>
      <c r="J1529" s="13" t="str">
        <f>Github!E$1537</f>
        <v>Medium</v>
      </c>
      <c r="K1529" s="13" t="str">
        <f>IF(TRIM(Github!D$1537)="TRUE","FALSE","TRUE")</f>
        <v>TRUE</v>
      </c>
      <c r="L1529" s="13" t="b">
        <f>Github!M$1537</f>
        <v>0</v>
      </c>
      <c r="M1529" s="13" t="b">
        <f>Github!N$1537</f>
        <v>0</v>
      </c>
      <c r="N1529" s="13">
        <f>Github!P$1537</f>
        <v>12537</v>
      </c>
      <c r="O1529" s="13">
        <f>Github!Q$1537</f>
        <v>26965</v>
      </c>
    </row>
    <row r="1530">
      <c r="A1530" s="13">
        <f>Github!J$2260</f>
        <v>2259</v>
      </c>
      <c r="B1530" s="14" t="str">
        <f>HYPERLINK(CONCAT("http://leetcode.com/problems/",Github!C$2260), Github!B$2260)</f>
        <v>Remove Digit From Number to Maximize Result</v>
      </c>
      <c r="C1530" s="13">
        <f>Github!F$2260</f>
        <v>511</v>
      </c>
      <c r="D1530" s="13">
        <f>Github!G$2260</f>
        <v>25</v>
      </c>
      <c r="E1530" s="13">
        <f>Github!F$2260+Github!G$2260</f>
        <v>536</v>
      </c>
      <c r="F1530" s="15">
        <f t="shared" si="1"/>
        <v>20.44</v>
      </c>
      <c r="G1530" s="13" t="str">
        <f>ROUND(Github!O$2260, 2)&amp;"%"</f>
        <v>46.78%</v>
      </c>
      <c r="H1530" s="13" t="str">
        <f>Github!H$2260</f>
        <v>Algorithms</v>
      </c>
      <c r="I1530" s="16" t="str">
        <f>SUBSTITUTE(Github!L$2260, ";", ", ")</f>
        <v>String, Greedy, Enumeration, </v>
      </c>
      <c r="J1530" s="13" t="str">
        <f>Github!E$2260</f>
        <v>Easy</v>
      </c>
      <c r="K1530" s="13" t="str">
        <f>IF(TRIM(Github!D$2260)="TRUE","FALSE","TRUE")</f>
        <v>TRUE</v>
      </c>
      <c r="L1530" s="13" t="b">
        <f>Github!M$2260</f>
        <v>0</v>
      </c>
      <c r="M1530" s="13" t="b">
        <f>Github!N$2260</f>
        <v>0</v>
      </c>
      <c r="N1530" s="13">
        <f>Github!P$2260</f>
        <v>43887</v>
      </c>
      <c r="O1530" s="13">
        <f>Github!Q$2260</f>
        <v>93813</v>
      </c>
    </row>
    <row r="1531">
      <c r="A1531" s="13">
        <f>Github!J$1199</f>
        <v>1198</v>
      </c>
      <c r="B1531" s="14" t="str">
        <f>HYPERLINK(CONCAT("http://leetcode.com/problems/",Github!C$1199), Github!B$1199)</f>
        <v>Find Smallest Common Element in All Rows</v>
      </c>
      <c r="C1531" s="13">
        <f>Github!F$1199</f>
        <v>496</v>
      </c>
      <c r="D1531" s="13">
        <f>Github!G$1199</f>
        <v>26</v>
      </c>
      <c r="E1531" s="13">
        <f>Github!F$1199+Github!G$1199</f>
        <v>522</v>
      </c>
      <c r="F1531" s="15">
        <f t="shared" si="1"/>
        <v>19.08</v>
      </c>
      <c r="G1531" s="13" t="str">
        <f>ROUND(Github!O$1199, 2)&amp;"%"</f>
        <v>76.66%</v>
      </c>
      <c r="H1531" s="13" t="str">
        <f>Github!H$1199</f>
        <v>Algorithms</v>
      </c>
      <c r="I1531" s="16" t="str">
        <f>SUBSTITUTE(Github!L$1199, ";", ", ")</f>
        <v>Array, Hash Table, Binary Search, Matrix, Counting, </v>
      </c>
      <c r="J1531" s="13" t="str">
        <f>Github!E$1199</f>
        <v>Medium</v>
      </c>
      <c r="K1531" s="13" t="str">
        <f>IF(TRIM(Github!D$1199)="TRUE","FALSE","TRUE")</f>
        <v>FALSE</v>
      </c>
      <c r="L1531" s="13" t="b">
        <f>Github!M$1199</f>
        <v>1</v>
      </c>
      <c r="M1531" s="13" t="b">
        <f>Github!N$1199</f>
        <v>1</v>
      </c>
      <c r="N1531" s="13">
        <f>Github!P$1199</f>
        <v>37408</v>
      </c>
      <c r="O1531" s="13">
        <f>Github!Q$1199</f>
        <v>48800</v>
      </c>
    </row>
    <row r="1532">
      <c r="A1532" s="13">
        <f>Github!J$1364</f>
        <v>1363</v>
      </c>
      <c r="B1532" s="14" t="str">
        <f>HYPERLINK(CONCAT("http://leetcode.com/problems/",Github!C$1364), Github!B$1364)</f>
        <v>Largest Multiple of Three</v>
      </c>
      <c r="C1532" s="13">
        <f>Github!F$1364</f>
        <v>500</v>
      </c>
      <c r="D1532" s="13">
        <f>Github!G$1364</f>
        <v>67</v>
      </c>
      <c r="E1532" s="13">
        <f>Github!F$1364+Github!G$1364</f>
        <v>567</v>
      </c>
      <c r="F1532" s="15">
        <f t="shared" si="1"/>
        <v>7.46</v>
      </c>
      <c r="G1532" s="13" t="str">
        <f>ROUND(Github!O$1364, 2)&amp;"%"</f>
        <v>33.28%</v>
      </c>
      <c r="H1532" s="13" t="str">
        <f>Github!H$1364</f>
        <v>Algorithms</v>
      </c>
      <c r="I1532" s="16" t="str">
        <f>SUBSTITUTE(Github!L$1364, ";", ", ")</f>
        <v>Array, Dynamic Programming, Greedy, </v>
      </c>
      <c r="J1532" s="13" t="str">
        <f>Github!E$1364</f>
        <v>Hard</v>
      </c>
      <c r="K1532" s="13" t="str">
        <f>IF(TRIM(Github!D$1364)="TRUE","FALSE","TRUE")</f>
        <v>TRUE</v>
      </c>
      <c r="L1532" s="13" t="b">
        <f>Github!M$1364</f>
        <v>0</v>
      </c>
      <c r="M1532" s="13" t="b">
        <f>Github!N$1364</f>
        <v>0</v>
      </c>
      <c r="N1532" s="13">
        <f>Github!P$1364</f>
        <v>16213</v>
      </c>
      <c r="O1532" s="13">
        <f>Github!Q$1364</f>
        <v>48710</v>
      </c>
    </row>
    <row r="1533">
      <c r="A1533" s="13">
        <f>Github!J$869</f>
        <v>868</v>
      </c>
      <c r="B1533" s="14" t="str">
        <f>HYPERLINK(CONCAT("http://leetcode.com/problems/",Github!C$869), Github!B$869)</f>
        <v>Binary Gap</v>
      </c>
      <c r="C1533" s="13">
        <f>Github!F$869</f>
        <v>498</v>
      </c>
      <c r="D1533" s="13">
        <f>Github!G$869</f>
        <v>622</v>
      </c>
      <c r="E1533" s="13">
        <f>Github!F$869+Github!G$869</f>
        <v>1120</v>
      </c>
      <c r="F1533" s="15">
        <f t="shared" si="1"/>
        <v>0.8</v>
      </c>
      <c r="G1533" s="13" t="str">
        <f>ROUND(Github!O$869, 2)&amp;"%"</f>
        <v>62.03%</v>
      </c>
      <c r="H1533" s="13" t="str">
        <f>Github!H$869</f>
        <v>Algorithms</v>
      </c>
      <c r="I1533" s="16" t="str">
        <f>SUBSTITUTE(Github!L$869, ";", ", ")</f>
        <v>Bit Manipulation, </v>
      </c>
      <c r="J1533" s="13" t="str">
        <f>Github!E$869</f>
        <v>Easy</v>
      </c>
      <c r="K1533" s="13" t="str">
        <f>IF(TRIM(Github!D$869)="TRUE","FALSE","TRUE")</f>
        <v>TRUE</v>
      </c>
      <c r="L1533" s="13" t="b">
        <f>Github!M$869</f>
        <v>1</v>
      </c>
      <c r="M1533" s="13" t="b">
        <f>Github!N$869</f>
        <v>0</v>
      </c>
      <c r="N1533" s="13">
        <f>Github!P$869</f>
        <v>65983</v>
      </c>
      <c r="O1533" s="13">
        <f>Github!Q$869</f>
        <v>106365</v>
      </c>
    </row>
    <row r="1534">
      <c r="A1534" s="13">
        <f>Github!J$1782</f>
        <v>1781</v>
      </c>
      <c r="B1534" s="14" t="str">
        <f>HYPERLINK(CONCAT("http://leetcode.com/problems/",Github!C$1782), Github!B$1782)</f>
        <v>Sum of Beauty of All Substrings</v>
      </c>
      <c r="C1534" s="13">
        <f>Github!F$1782</f>
        <v>512</v>
      </c>
      <c r="D1534" s="13">
        <f>Github!G$1782</f>
        <v>114</v>
      </c>
      <c r="E1534" s="13">
        <f>Github!F$1782+Github!G$1782</f>
        <v>626</v>
      </c>
      <c r="F1534" s="15">
        <f t="shared" si="1"/>
        <v>4.49</v>
      </c>
      <c r="G1534" s="13" t="str">
        <f>ROUND(Github!O$1782, 2)&amp;"%"</f>
        <v>60.78%</v>
      </c>
      <c r="H1534" s="13" t="str">
        <f>Github!H$1782</f>
        <v>Algorithms</v>
      </c>
      <c r="I1534" s="16" t="str">
        <f>SUBSTITUTE(Github!L$1782, ";", ", ")</f>
        <v>Hash Table, String, Counting, </v>
      </c>
      <c r="J1534" s="13" t="str">
        <f>Github!E$1782</f>
        <v>Medium</v>
      </c>
      <c r="K1534" s="13" t="str">
        <f>IF(TRIM(Github!D$1782)="TRUE","FALSE","TRUE")</f>
        <v>TRUE</v>
      </c>
      <c r="L1534" s="13" t="b">
        <f>Github!M$1782</f>
        <v>0</v>
      </c>
      <c r="M1534" s="13" t="b">
        <f>Github!N$1782</f>
        <v>0</v>
      </c>
      <c r="N1534" s="13">
        <f>Github!P$1782</f>
        <v>18067</v>
      </c>
      <c r="O1534" s="13">
        <f>Github!Q$1782</f>
        <v>29725</v>
      </c>
    </row>
    <row r="1535">
      <c r="A1535" s="13">
        <f>Github!J$2295</f>
        <v>2294</v>
      </c>
      <c r="B1535" s="14" t="str">
        <f>HYPERLINK(CONCAT("http://leetcode.com/problems/",Github!C$2295), Github!B$2295)</f>
        <v>Partition Array Such That Maximum Difference Is K</v>
      </c>
      <c r="C1535" s="13">
        <f>Github!F$2295</f>
        <v>500</v>
      </c>
      <c r="D1535" s="13">
        <f>Github!G$2295</f>
        <v>17</v>
      </c>
      <c r="E1535" s="13">
        <f>Github!F$2295+Github!G$2295</f>
        <v>517</v>
      </c>
      <c r="F1535" s="15">
        <f t="shared" si="1"/>
        <v>29.41</v>
      </c>
      <c r="G1535" s="13" t="str">
        <f>ROUND(Github!O$2295, 2)&amp;"%"</f>
        <v>72.77%</v>
      </c>
      <c r="H1535" s="13" t="str">
        <f>Github!H2295</f>
        <v>Algorithms</v>
      </c>
      <c r="I1535" s="16" t="str">
        <f>SUBSTITUTE(Github!L$2295, ";", ", ")</f>
        <v>Array, Greedy, Sorting, </v>
      </c>
      <c r="J1535" s="13" t="str">
        <f>Github!E$2295</f>
        <v>Medium</v>
      </c>
      <c r="K1535" s="13" t="str">
        <f>IF(TRIM(Github!D$2295)="TRUE","FALSE","TRUE")</f>
        <v>TRUE</v>
      </c>
      <c r="L1535" s="13" t="b">
        <f>Github!M$2295</f>
        <v>0</v>
      </c>
      <c r="M1535" s="13" t="b">
        <f>Github!N$2295</f>
        <v>0</v>
      </c>
      <c r="N1535" s="13">
        <f>Github!P$2295</f>
        <v>28236</v>
      </c>
      <c r="O1535" s="13">
        <f>Github!Q$2295</f>
        <v>38803</v>
      </c>
    </row>
    <row r="1536">
      <c r="A1536" s="13">
        <f>Github!J$2196</f>
        <v>2195</v>
      </c>
      <c r="B1536" s="14" t="str">
        <f>HYPERLINK(CONCAT("http://leetcode.com/problems/",Github!C$2196), Github!B$2196)</f>
        <v>Append K Integers With Minimal Sum</v>
      </c>
      <c r="C1536" s="13">
        <f>Github!F$2196</f>
        <v>497</v>
      </c>
      <c r="D1536" s="13">
        <f>Github!G$2196</f>
        <v>262</v>
      </c>
      <c r="E1536" s="13">
        <f>Github!F$2196+Github!G$2196</f>
        <v>759</v>
      </c>
      <c r="F1536" s="15">
        <f t="shared" si="1"/>
        <v>1.9</v>
      </c>
      <c r="G1536" s="13" t="str">
        <f>ROUND(Github!O$2196, 2)&amp;"%"</f>
        <v>25.15%</v>
      </c>
      <c r="H1536" s="13" t="str">
        <f>Github!H$2196</f>
        <v>Algorithms</v>
      </c>
      <c r="I1536" s="16" t="str">
        <f>SUBSTITUTE(Github!L$2196, ";", ", ")</f>
        <v>Array, Math, Greedy, Sorting, </v>
      </c>
      <c r="J1536" s="13" t="str">
        <f>Github!E$2196</f>
        <v>Medium</v>
      </c>
      <c r="K1536" s="13" t="str">
        <f>IF(TRIM(Github!D$2196)="TRUE","FALSE","TRUE")</f>
        <v>TRUE</v>
      </c>
      <c r="L1536" s="13" t="b">
        <f>Github!M$2196</f>
        <v>0</v>
      </c>
      <c r="M1536" s="13" t="b">
        <f>Github!N$2196</f>
        <v>0</v>
      </c>
      <c r="N1536" s="13">
        <f>Github!P$2196</f>
        <v>23702</v>
      </c>
      <c r="O1536" s="13">
        <f>Github!Q$2196</f>
        <v>94255</v>
      </c>
    </row>
    <row r="1537">
      <c r="A1537" s="13">
        <f>Github!J$2041</f>
        <v>2040</v>
      </c>
      <c r="B1537" s="14" t="str">
        <f>HYPERLINK(CONCAT("http://leetcode.com/problems/",Github!C$2041), Github!B$2041)</f>
        <v>Kth Smallest Product of Two Sorted Arrays</v>
      </c>
      <c r="C1537" s="13">
        <f>Github!F$2041</f>
        <v>496</v>
      </c>
      <c r="D1537" s="13">
        <f>Github!G$2041</f>
        <v>30</v>
      </c>
      <c r="E1537" s="13">
        <f>Github!F$2041+Github!G$2041</f>
        <v>526</v>
      </c>
      <c r="F1537" s="15">
        <f t="shared" si="1"/>
        <v>16.53</v>
      </c>
      <c r="G1537" s="13" t="str">
        <f>ROUND(Github!O$2041, 2)&amp;"%"</f>
        <v>29%</v>
      </c>
      <c r="H1537" s="13" t="str">
        <f>Github!H$2041</f>
        <v>Algorithms</v>
      </c>
      <c r="I1537" s="16" t="str">
        <f>SUBSTITUTE(Github!L$2041, ";", ", ")</f>
        <v>Array, Binary Search, </v>
      </c>
      <c r="J1537" s="13" t="str">
        <f>Github!E$2041</f>
        <v>Hard</v>
      </c>
      <c r="K1537" s="13" t="str">
        <f>IF(TRIM(Github!D$2041)="TRUE","FALSE","TRUE")</f>
        <v>TRUE</v>
      </c>
      <c r="L1537" s="13" t="b">
        <f>Github!M$2041</f>
        <v>0</v>
      </c>
      <c r="M1537" s="13" t="b">
        <f>Github!N$2041</f>
        <v>0</v>
      </c>
      <c r="N1537" s="13">
        <f>Github!P$2041</f>
        <v>8649</v>
      </c>
      <c r="O1537" s="13">
        <f>Github!Q$2041</f>
        <v>29828</v>
      </c>
    </row>
    <row r="1538">
      <c r="A1538" s="13">
        <f>Github!J$650</f>
        <v>649</v>
      </c>
      <c r="B1538" s="14" t="str">
        <f>HYPERLINK(CONCAT("http://leetcode.com/problems/",Github!C$650), Github!B$650)</f>
        <v>Dota2 Senate</v>
      </c>
      <c r="C1538" s="13">
        <f>Github!F$650</f>
        <v>491</v>
      </c>
      <c r="D1538" s="13">
        <f>Github!G$650</f>
        <v>348</v>
      </c>
      <c r="E1538" s="13">
        <f>Github!F$650+Github!G$650</f>
        <v>839</v>
      </c>
      <c r="F1538" s="15">
        <f t="shared" si="1"/>
        <v>1.41</v>
      </c>
      <c r="G1538" s="13" t="str">
        <f>ROUND(Github!O$650, 2)&amp;"%"</f>
        <v>40.47%</v>
      </c>
      <c r="H1538" s="13" t="str">
        <f>Github!H$650</f>
        <v>Algorithms</v>
      </c>
      <c r="I1538" s="16" t="str">
        <f>SUBSTITUTE(Github!L$650, ";", ", ")</f>
        <v>String, Greedy, Queue, </v>
      </c>
      <c r="J1538" s="13" t="str">
        <f>Github!E$650</f>
        <v>Medium</v>
      </c>
      <c r="K1538" s="13" t="str">
        <f>IF(TRIM(Github!D$650)="TRUE","FALSE","TRUE")</f>
        <v>TRUE</v>
      </c>
      <c r="L1538" s="13" t="b">
        <f>Github!M$650</f>
        <v>0</v>
      </c>
      <c r="M1538" s="13" t="b">
        <f>Github!N$650</f>
        <v>0</v>
      </c>
      <c r="N1538" s="13">
        <f>Github!P$650</f>
        <v>21796</v>
      </c>
      <c r="O1538" s="13">
        <f>Github!Q$650</f>
        <v>53853</v>
      </c>
    </row>
    <row r="1539">
      <c r="A1539" s="13">
        <f>Github!J$1900</f>
        <v>1899</v>
      </c>
      <c r="B1539" s="14" t="str">
        <f>HYPERLINK(CONCAT("http://leetcode.com/problems/",Github!C$1900), Github!B$1900)</f>
        <v>Merge Triplets to Form Target Triplet</v>
      </c>
      <c r="C1539" s="13">
        <f>Github!F$1900</f>
        <v>497</v>
      </c>
      <c r="D1539" s="13">
        <f>Github!G$1900</f>
        <v>38</v>
      </c>
      <c r="E1539" s="13">
        <f>Github!F$1900+Github!G$1900</f>
        <v>535</v>
      </c>
      <c r="F1539" s="15">
        <f t="shared" si="1"/>
        <v>13.08</v>
      </c>
      <c r="G1539" s="13" t="str">
        <f>ROUND(Github!O$1900, 2)&amp;"%"</f>
        <v>64.53%</v>
      </c>
      <c r="H1539" s="13" t="str">
        <f>Github!H$1900</f>
        <v>Algorithms</v>
      </c>
      <c r="I1539" s="16" t="str">
        <f>SUBSTITUTE(Github!L$1900, ";", ", ")</f>
        <v>Array, Greedy, </v>
      </c>
      <c r="J1539" s="13" t="str">
        <f>Github!E$1900</f>
        <v>Medium</v>
      </c>
      <c r="K1539" s="13" t="str">
        <f>IF(TRIM(Github!D$1900)="TRUE","FALSE","TRUE")</f>
        <v>TRUE</v>
      </c>
      <c r="L1539" s="13" t="b">
        <f>Github!M$1900</f>
        <v>0</v>
      </c>
      <c r="M1539" s="13" t="b">
        <f>Github!N$1900</f>
        <v>0</v>
      </c>
      <c r="N1539" s="13">
        <f>Github!P$1900</f>
        <v>26002</v>
      </c>
      <c r="O1539" s="13">
        <f>Github!Q$1900</f>
        <v>40300</v>
      </c>
    </row>
    <row r="1540">
      <c r="A1540" s="13">
        <f>Github!J$2338</f>
        <v>2337</v>
      </c>
      <c r="B1540" s="14" t="str">
        <f>HYPERLINK(CONCAT("http://leetcode.com/problems/",Github!C$2338), Github!B$2338)</f>
        <v>Move Pieces to Obtain a String</v>
      </c>
      <c r="C1540" s="13">
        <f>Github!F$2338</f>
        <v>496</v>
      </c>
      <c r="D1540" s="13">
        <f>Github!G$2338</f>
        <v>36</v>
      </c>
      <c r="E1540" s="13">
        <f>Github!F$2338+Github!G$2338</f>
        <v>532</v>
      </c>
      <c r="F1540" s="15">
        <f t="shared" si="1"/>
        <v>13.78</v>
      </c>
      <c r="G1540" s="13" t="str">
        <f>ROUND(Github!O$2338, 2)&amp;"%"</f>
        <v>48.1%</v>
      </c>
      <c r="H1540" s="13" t="str">
        <f>Github!H2338</f>
        <v>Algorithms</v>
      </c>
      <c r="I1540" s="16" t="str">
        <f>SUBSTITUTE(Github!L$2338, ";", ", ")</f>
        <v>Two Pointers, String, </v>
      </c>
      <c r="J1540" s="13" t="str">
        <f>Github!E$2338</f>
        <v>Medium</v>
      </c>
      <c r="K1540" s="13" t="str">
        <f>IF(TRIM(Github!D$2338)="TRUE","FALSE","TRUE")</f>
        <v>TRUE</v>
      </c>
      <c r="L1540" s="13" t="b">
        <f>Github!M$2338</f>
        <v>0</v>
      </c>
      <c r="M1540" s="13" t="b">
        <f>Github!N$2338</f>
        <v>0</v>
      </c>
      <c r="N1540" s="13">
        <f>Github!P$2338</f>
        <v>19761</v>
      </c>
      <c r="O1540" s="13">
        <f>Github!Q$2338</f>
        <v>41082</v>
      </c>
    </row>
    <row r="1541">
      <c r="A1541" s="13">
        <f>Github!J$2111</f>
        <v>2110</v>
      </c>
      <c r="B1541" s="14" t="str">
        <f>HYPERLINK(CONCAT("http://leetcode.com/problems/",Github!C$2111), Github!B$2111)</f>
        <v>Number of Smooth Descent Periods of a Stock</v>
      </c>
      <c r="C1541" s="13">
        <f>Github!F$2111</f>
        <v>491</v>
      </c>
      <c r="D1541" s="13">
        <f>Github!G$2111</f>
        <v>20</v>
      </c>
      <c r="E1541" s="13">
        <f>Github!F$2111+Github!G$2111</f>
        <v>511</v>
      </c>
      <c r="F1541" s="15">
        <f t="shared" si="1"/>
        <v>24.55</v>
      </c>
      <c r="G1541" s="13" t="str">
        <f>ROUND(Github!O$2111, 2)&amp;"%"</f>
        <v>57.59%</v>
      </c>
      <c r="H1541" s="13" t="str">
        <f>Github!H$2111</f>
        <v>Algorithms</v>
      </c>
      <c r="I1541" s="16" t="str">
        <f>SUBSTITUTE(Github!L$2111, ";", ", ")</f>
        <v>Array, Math, Dynamic Programming, </v>
      </c>
      <c r="J1541" s="13" t="str">
        <f>Github!E$2111</f>
        <v>Medium</v>
      </c>
      <c r="K1541" s="13" t="str">
        <f>IF(TRIM(Github!D$2111)="TRUE","FALSE","TRUE")</f>
        <v>TRUE</v>
      </c>
      <c r="L1541" s="13" t="b">
        <f>Github!M$2111</f>
        <v>0</v>
      </c>
      <c r="M1541" s="13" t="b">
        <f>Github!N$2111</f>
        <v>0</v>
      </c>
      <c r="N1541" s="13">
        <f>Github!P$2111</f>
        <v>26262</v>
      </c>
      <c r="O1541" s="13">
        <f>Github!Q$2111</f>
        <v>45598</v>
      </c>
    </row>
    <row r="1542">
      <c r="A1542" s="13">
        <f>Github!J$2286</f>
        <v>2285</v>
      </c>
      <c r="B1542" s="14" t="str">
        <f>HYPERLINK(CONCAT("http://leetcode.com/problems/",Github!C$2286), Github!B$2286)</f>
        <v>Maximum Total Importance of Roads</v>
      </c>
      <c r="C1542" s="13">
        <f>Github!F$2286</f>
        <v>496</v>
      </c>
      <c r="D1542" s="13">
        <f>Github!G$2286</f>
        <v>16</v>
      </c>
      <c r="E1542" s="13">
        <f>Github!F$2286+Github!G$2286</f>
        <v>512</v>
      </c>
      <c r="F1542" s="15">
        <f t="shared" si="1"/>
        <v>31</v>
      </c>
      <c r="G1542" s="13" t="str">
        <f>ROUND(Github!O$2286, 2)&amp;"%"</f>
        <v>60.83%</v>
      </c>
      <c r="H1542" s="13" t="str">
        <f>Github!H2286</f>
        <v>Algorithms</v>
      </c>
      <c r="I1542" s="16" t="str">
        <f>SUBSTITUTE(Github!L$2286, ";", ", ")</f>
        <v>Greedy, Graph, Sorting, Heap (Priority Queue), </v>
      </c>
      <c r="J1542" s="13" t="str">
        <f>Github!E$2286</f>
        <v>Medium</v>
      </c>
      <c r="K1542" s="13" t="str">
        <f>IF(TRIM(Github!D$2286)="TRUE","FALSE","TRUE")</f>
        <v>TRUE</v>
      </c>
      <c r="L1542" s="13" t="b">
        <f>Github!M$2286</f>
        <v>0</v>
      </c>
      <c r="M1542" s="13" t="b">
        <f>Github!N$2286</f>
        <v>0</v>
      </c>
      <c r="N1542" s="13">
        <f>Github!P$2286</f>
        <v>22393</v>
      </c>
      <c r="O1542" s="13">
        <f>Github!Q$2286</f>
        <v>36813</v>
      </c>
    </row>
    <row r="1543">
      <c r="A1543" s="13">
        <f>Github!J$1438</f>
        <v>1437</v>
      </c>
      <c r="B1543" s="14" t="str">
        <f>HYPERLINK(CONCAT("http://leetcode.com/problems/",Github!C$1438), Github!B$1438)</f>
        <v>Check If All 1's Are at Least Length K Places Away</v>
      </c>
      <c r="C1543" s="13">
        <f>Github!F$1438</f>
        <v>491</v>
      </c>
      <c r="D1543" s="13">
        <f>Github!G$1438</f>
        <v>205</v>
      </c>
      <c r="E1543" s="13">
        <f>Github!F$1438+Github!G$1438</f>
        <v>696</v>
      </c>
      <c r="F1543" s="15">
        <f t="shared" si="1"/>
        <v>2.4</v>
      </c>
      <c r="G1543" s="13" t="str">
        <f>ROUND(Github!O$1438, 2)&amp;"%"</f>
        <v>59.05%</v>
      </c>
      <c r="H1543" s="13" t="str">
        <f>Github!H$1438</f>
        <v>Algorithms</v>
      </c>
      <c r="I1543" s="16" t="str">
        <f>SUBSTITUTE(Github!L$1438, ";", ", ")</f>
        <v>Array, </v>
      </c>
      <c r="J1543" s="13" t="str">
        <f>Github!E$1438</f>
        <v>Easy</v>
      </c>
      <c r="K1543" s="13" t="str">
        <f>IF(TRIM(Github!D$1438)="TRUE","FALSE","TRUE")</f>
        <v>TRUE</v>
      </c>
      <c r="L1543" s="13" t="b">
        <f>Github!M$1438</f>
        <v>1</v>
      </c>
      <c r="M1543" s="13" t="b">
        <f>Github!N$1438</f>
        <v>0</v>
      </c>
      <c r="N1543" s="13">
        <f>Github!P$1438</f>
        <v>64269</v>
      </c>
      <c r="O1543" s="13">
        <f>Github!Q$1438</f>
        <v>108833</v>
      </c>
    </row>
    <row r="1544">
      <c r="A1544" s="13">
        <f>Github!J$2033</f>
        <v>2032</v>
      </c>
      <c r="B1544" s="14" t="str">
        <f>HYPERLINK(CONCAT("http://leetcode.com/problems/",Github!C$2033), Github!B$2033)</f>
        <v>Two Out of Three</v>
      </c>
      <c r="C1544" s="13">
        <f>Github!F$2033</f>
        <v>501</v>
      </c>
      <c r="D1544" s="13">
        <f>Github!G$2033</f>
        <v>34</v>
      </c>
      <c r="E1544" s="13">
        <f>Github!F$2033+Github!G$2033</f>
        <v>535</v>
      </c>
      <c r="F1544" s="15">
        <f t="shared" si="1"/>
        <v>14.74</v>
      </c>
      <c r="G1544" s="13" t="str">
        <f>ROUND(Github!O$2033, 2)&amp;"%"</f>
        <v>72.89%</v>
      </c>
      <c r="H1544" s="13" t="str">
        <f>Github!H$2033</f>
        <v>Algorithms</v>
      </c>
      <c r="I1544" s="16" t="str">
        <f>SUBSTITUTE(Github!L$2033, ";", ", ")</f>
        <v>Array, Hash Table, </v>
      </c>
      <c r="J1544" s="13" t="str">
        <f>Github!E$2033</f>
        <v>Easy</v>
      </c>
      <c r="K1544" s="13" t="str">
        <f>IF(TRIM(Github!D$2033)="TRUE","FALSE","TRUE")</f>
        <v>TRUE</v>
      </c>
      <c r="L1544" s="13" t="b">
        <f>Github!M$2033</f>
        <v>0</v>
      </c>
      <c r="M1544" s="13" t="b">
        <f>Github!N$2033</f>
        <v>0</v>
      </c>
      <c r="N1544" s="13">
        <f>Github!P$2033</f>
        <v>40998</v>
      </c>
      <c r="O1544" s="13">
        <f>Github!Q$2033</f>
        <v>56249</v>
      </c>
    </row>
    <row r="1545">
      <c r="A1545" s="13">
        <f>Github!J$2216</f>
        <v>2215</v>
      </c>
      <c r="B1545" s="14" t="str">
        <f>HYPERLINK(CONCAT("http://leetcode.com/problems/",Github!C$2216), Github!B$2216)</f>
        <v>Find the Difference of Two Arrays</v>
      </c>
      <c r="C1545" s="13">
        <f>Github!F$2216</f>
        <v>492</v>
      </c>
      <c r="D1545" s="13">
        <f>Github!G$2216</f>
        <v>23</v>
      </c>
      <c r="E1545" s="13">
        <f>Github!F$2216+Github!G$2216</f>
        <v>515</v>
      </c>
      <c r="F1545" s="15">
        <f t="shared" si="1"/>
        <v>21.39</v>
      </c>
      <c r="G1545" s="13" t="str">
        <f>ROUND(Github!O$2216, 2)&amp;"%"</f>
        <v>69.77%</v>
      </c>
      <c r="H1545" s="13" t="str">
        <f>Github!H$2216</f>
        <v>Algorithms</v>
      </c>
      <c r="I1545" s="16" t="str">
        <f>SUBSTITUTE(Github!L$2216, ";", ", ")</f>
        <v>Array, Hash Table, </v>
      </c>
      <c r="J1545" s="13" t="str">
        <f>Github!E$2216</f>
        <v>Easy</v>
      </c>
      <c r="K1545" s="13" t="str">
        <f>IF(TRIM(Github!D$2216)="TRUE","FALSE","TRUE")</f>
        <v>TRUE</v>
      </c>
      <c r="L1545" s="13" t="b">
        <f>Github!M$2216</f>
        <v>0</v>
      </c>
      <c r="M1545" s="13" t="b">
        <f>Github!N$2216</f>
        <v>0</v>
      </c>
      <c r="N1545" s="13">
        <f>Github!P$2216</f>
        <v>44243</v>
      </c>
      <c r="O1545" s="13">
        <f>Github!Q$2216</f>
        <v>63415</v>
      </c>
    </row>
    <row r="1546">
      <c r="A1546" s="13">
        <f>Github!J$303</f>
        <v>302</v>
      </c>
      <c r="B1546" s="14" t="str">
        <f>HYPERLINK(CONCAT("http://leetcode.com/problems/",Github!C$303), Github!B$303)</f>
        <v>Smallest Rectangle Enclosing Black Pixels</v>
      </c>
      <c r="C1546" s="13">
        <f>Github!F$303</f>
        <v>486</v>
      </c>
      <c r="D1546" s="13">
        <f>Github!G$303</f>
        <v>94</v>
      </c>
      <c r="E1546" s="13">
        <f>Github!F$303+Github!G$303</f>
        <v>580</v>
      </c>
      <c r="F1546" s="15">
        <f t="shared" si="1"/>
        <v>5.17</v>
      </c>
      <c r="G1546" s="13" t="str">
        <f>ROUND(Github!O$303, 2)&amp;"%"</f>
        <v>58.34%</v>
      </c>
      <c r="H1546" s="13" t="str">
        <f>Github!H$303</f>
        <v>Algorithms</v>
      </c>
      <c r="I1546" s="16" t="str">
        <f>SUBSTITUTE(Github!L$303, ";", ", ")</f>
        <v>Array, Binary Search, Depth-First Search, Breadth-First Search, Matrix, </v>
      </c>
      <c r="J1546" s="13" t="str">
        <f>Github!E$303</f>
        <v>Hard</v>
      </c>
      <c r="K1546" s="13" t="str">
        <f>IF(TRIM(Github!D$303)="TRUE","FALSE","TRUE")</f>
        <v>FALSE</v>
      </c>
      <c r="L1546" s="13" t="b">
        <f>Github!M$303</f>
        <v>1</v>
      </c>
      <c r="M1546" s="13" t="b">
        <f>Github!N$303</f>
        <v>0</v>
      </c>
      <c r="N1546" s="13">
        <f>Github!P$303</f>
        <v>46666</v>
      </c>
      <c r="O1546" s="13">
        <f>Github!Q$303</f>
        <v>79992</v>
      </c>
    </row>
    <row r="1547">
      <c r="A1547" s="13">
        <f>Github!J$2183</f>
        <v>2182</v>
      </c>
      <c r="B1547" s="14" t="str">
        <f>HYPERLINK(CONCAT("http://leetcode.com/problems/",Github!C$2183), Github!B$2183)</f>
        <v>Construct String With Repeat Limit</v>
      </c>
      <c r="C1547" s="13">
        <f>Github!F$2183</f>
        <v>484</v>
      </c>
      <c r="D1547" s="13">
        <f>Github!G$2183</f>
        <v>31</v>
      </c>
      <c r="E1547" s="13">
        <f>Github!F$2183+Github!G$2183</f>
        <v>515</v>
      </c>
      <c r="F1547" s="15">
        <f t="shared" si="1"/>
        <v>15.61</v>
      </c>
      <c r="G1547" s="13" t="str">
        <f>ROUND(Github!O$2183, 2)&amp;"%"</f>
        <v>52.18%</v>
      </c>
      <c r="H1547" s="13" t="str">
        <f>Github!H$2183</f>
        <v>Algorithms</v>
      </c>
      <c r="I1547" s="16" t="str">
        <f>SUBSTITUTE(Github!L$2183, ";", ", ")</f>
        <v>String, Greedy, Heap (Priority Queue), Counting, </v>
      </c>
      <c r="J1547" s="13" t="str">
        <f>Github!E$2183</f>
        <v>Medium</v>
      </c>
      <c r="K1547" s="13" t="str">
        <f>IF(TRIM(Github!D$2183)="TRUE","FALSE","TRUE")</f>
        <v>TRUE</v>
      </c>
      <c r="L1547" s="13" t="b">
        <f>Github!M$2183</f>
        <v>0</v>
      </c>
      <c r="M1547" s="13" t="b">
        <f>Github!N$2183</f>
        <v>0</v>
      </c>
      <c r="N1547" s="13">
        <f>Github!P$2183</f>
        <v>16090</v>
      </c>
      <c r="O1547" s="13">
        <f>Github!Q$2183</f>
        <v>30835</v>
      </c>
    </row>
    <row r="1548">
      <c r="A1548" s="13">
        <f>Github!J$757</f>
        <v>756</v>
      </c>
      <c r="B1548" s="14" t="str">
        <f>HYPERLINK(CONCAT("http://leetcode.com/problems/",Github!C$757), Github!B$757)</f>
        <v>Pyramid Transition Matrix</v>
      </c>
      <c r="C1548" s="13">
        <f>Github!F$757</f>
        <v>483</v>
      </c>
      <c r="D1548" s="13">
        <f>Github!G$757</f>
        <v>453</v>
      </c>
      <c r="E1548" s="13">
        <f>Github!F$757+Github!G$757</f>
        <v>936</v>
      </c>
      <c r="F1548" s="15">
        <f t="shared" si="1"/>
        <v>1.07</v>
      </c>
      <c r="G1548" s="13" t="str">
        <f>ROUND(Github!O$757, 2)&amp;"%"</f>
        <v>52.94%</v>
      </c>
      <c r="H1548" s="13" t="str">
        <f>Github!H$757</f>
        <v>Algorithms</v>
      </c>
      <c r="I1548" s="16" t="str">
        <f>SUBSTITUTE(Github!L$757, ";", ", ")</f>
        <v>Bit Manipulation, Depth-First Search, Breadth-First Search, </v>
      </c>
      <c r="J1548" s="13" t="str">
        <f>Github!E$757</f>
        <v>Medium</v>
      </c>
      <c r="K1548" s="13" t="str">
        <f>IF(TRIM(Github!D$757)="TRUE","FALSE","TRUE")</f>
        <v>TRUE</v>
      </c>
      <c r="L1548" s="13" t="b">
        <f>Github!M$757</f>
        <v>0</v>
      </c>
      <c r="M1548" s="13" t="b">
        <f>Github!N$757</f>
        <v>0</v>
      </c>
      <c r="N1548" s="13">
        <f>Github!P$757</f>
        <v>29519</v>
      </c>
      <c r="O1548" s="13">
        <f>Github!Q$757</f>
        <v>55759</v>
      </c>
    </row>
    <row r="1549">
      <c r="A1549" s="13">
        <f>Github!J$458</f>
        <v>457</v>
      </c>
      <c r="B1549" s="14" t="str">
        <f>HYPERLINK(CONCAT("http://leetcode.com/problems/",Github!C$458), Github!B$458)</f>
        <v>Circular Array Loop</v>
      </c>
      <c r="C1549" s="13">
        <f>Github!F$458</f>
        <v>482</v>
      </c>
      <c r="D1549" s="13">
        <f>Github!G$458</f>
        <v>463</v>
      </c>
      <c r="E1549" s="13">
        <f>Github!F$458+Github!G$458</f>
        <v>945</v>
      </c>
      <c r="F1549" s="15">
        <f t="shared" si="1"/>
        <v>1.04</v>
      </c>
      <c r="G1549" s="13" t="str">
        <f>ROUND(Github!O$458, 2)&amp;"%"</f>
        <v>32.36%</v>
      </c>
      <c r="H1549" s="13" t="str">
        <f>Github!H$458</f>
        <v>Algorithms</v>
      </c>
      <c r="I1549" s="16" t="str">
        <f>SUBSTITUTE(Github!L$458, ";", ", ")</f>
        <v>Array, Hash Table, Two Pointers, </v>
      </c>
      <c r="J1549" s="13" t="str">
        <f>Github!E$458</f>
        <v>Medium</v>
      </c>
      <c r="K1549" s="13" t="str">
        <f>IF(TRIM(Github!D$458)="TRUE","FALSE","TRUE")</f>
        <v>TRUE</v>
      </c>
      <c r="L1549" s="13" t="b">
        <f>Github!M$458</f>
        <v>0</v>
      </c>
      <c r="M1549" s="13" t="b">
        <f>Github!N$458</f>
        <v>0</v>
      </c>
      <c r="N1549" s="13">
        <f>Github!P$458</f>
        <v>66415</v>
      </c>
      <c r="O1549" s="13">
        <f>Github!Q$458</f>
        <v>205262</v>
      </c>
    </row>
    <row r="1550">
      <c r="A1550" s="13">
        <f>Github!J$2077</f>
        <v>2076</v>
      </c>
      <c r="B1550" s="14" t="str">
        <f>HYPERLINK(CONCAT("http://leetcode.com/problems/",Github!C$2077), Github!B$2077)</f>
        <v>Process Restricted Friend Requests</v>
      </c>
      <c r="C1550" s="13">
        <f>Github!F$2077</f>
        <v>485</v>
      </c>
      <c r="D1550" s="13">
        <f>Github!G$2077</f>
        <v>13</v>
      </c>
      <c r="E1550" s="13">
        <f>Github!F$2077+Github!G$2077</f>
        <v>498</v>
      </c>
      <c r="F1550" s="15">
        <f t="shared" si="1"/>
        <v>37.31</v>
      </c>
      <c r="G1550" s="13" t="str">
        <f>ROUND(Github!O$2077, 2)&amp;"%"</f>
        <v>53.31%</v>
      </c>
      <c r="H1550" s="13" t="str">
        <f>Github!H$2077</f>
        <v>Algorithms</v>
      </c>
      <c r="I1550" s="16" t="str">
        <f>SUBSTITUTE(Github!L$2077, ";", ", ")</f>
        <v>Union Find, Graph, </v>
      </c>
      <c r="J1550" s="13" t="str">
        <f>Github!E$2077</f>
        <v>Hard</v>
      </c>
      <c r="K1550" s="13" t="str">
        <f>IF(TRIM(Github!D$2077)="TRUE","FALSE","TRUE")</f>
        <v>TRUE</v>
      </c>
      <c r="L1550" s="13" t="b">
        <f>Github!M$2077</f>
        <v>0</v>
      </c>
      <c r="M1550" s="13" t="b">
        <f>Github!N$2077</f>
        <v>0</v>
      </c>
      <c r="N1550" s="13">
        <f>Github!P$2077</f>
        <v>12945</v>
      </c>
      <c r="O1550" s="13">
        <f>Github!Q$2077</f>
        <v>24283</v>
      </c>
    </row>
    <row r="1551">
      <c r="A1551" s="13">
        <f>Github!J$1477</f>
        <v>1476</v>
      </c>
      <c r="B1551" s="14" t="str">
        <f>HYPERLINK(CONCAT("http://leetcode.com/problems/",Github!C$1477), Github!B$1477)</f>
        <v>Subrectangle Queries</v>
      </c>
      <c r="C1551" s="13">
        <f>Github!F$1477</f>
        <v>484</v>
      </c>
      <c r="D1551" s="13">
        <f>Github!G$1477</f>
        <v>1222</v>
      </c>
      <c r="E1551" s="13">
        <f>Github!F$1477+Github!G$1477</f>
        <v>1706</v>
      </c>
      <c r="F1551" s="15">
        <f t="shared" si="1"/>
        <v>0.4</v>
      </c>
      <c r="G1551" s="13" t="str">
        <f>ROUND(Github!O$1477, 2)&amp;"%"</f>
        <v>88.34%</v>
      </c>
      <c r="H1551" s="13" t="str">
        <f>Github!H$1477</f>
        <v>Algorithms</v>
      </c>
      <c r="I1551" s="16" t="str">
        <f>SUBSTITUTE(Github!L$1477, ";", ", ")</f>
        <v>Array, Design, Matrix, </v>
      </c>
      <c r="J1551" s="13" t="str">
        <f>Github!E$1477</f>
        <v>Medium</v>
      </c>
      <c r="K1551" s="13" t="str">
        <f>IF(TRIM(Github!D$1477)="TRUE","FALSE","TRUE")</f>
        <v>TRUE</v>
      </c>
      <c r="L1551" s="13" t="b">
        <f>Github!M$1477</f>
        <v>0</v>
      </c>
      <c r="M1551" s="13" t="b">
        <f>Github!N$1477</f>
        <v>0</v>
      </c>
      <c r="N1551" s="13">
        <f>Github!P$1477</f>
        <v>83602</v>
      </c>
      <c r="O1551" s="13">
        <f>Github!Q$1477</f>
        <v>94636</v>
      </c>
    </row>
    <row r="1552">
      <c r="A1552" s="13">
        <f>Github!J$1975</f>
        <v>1974</v>
      </c>
      <c r="B1552" s="14" t="str">
        <f>HYPERLINK(CONCAT("http://leetcode.com/problems/",Github!C$1975), Github!B$1975)</f>
        <v>Minimum Time to Type Word Using Special Typewriter</v>
      </c>
      <c r="C1552" s="13">
        <f>Github!F$1975</f>
        <v>493</v>
      </c>
      <c r="D1552" s="13">
        <f>Github!G$1975</f>
        <v>18</v>
      </c>
      <c r="E1552" s="13">
        <f>Github!F$1975+Github!G$1975</f>
        <v>511</v>
      </c>
      <c r="F1552" s="15">
        <f t="shared" si="1"/>
        <v>27.39</v>
      </c>
      <c r="G1552" s="13" t="str">
        <f>ROUND(Github!O$1975, 2)&amp;"%"</f>
        <v>71.75%</v>
      </c>
      <c r="H1552" s="13" t="str">
        <f>Github!H$1975</f>
        <v>Algorithms</v>
      </c>
      <c r="I1552" s="16" t="str">
        <f>SUBSTITUTE(Github!L$1975, ";", ", ")</f>
        <v>String, Greedy, </v>
      </c>
      <c r="J1552" s="13" t="str">
        <f>Github!E$1975</f>
        <v>Easy</v>
      </c>
      <c r="K1552" s="13" t="str">
        <f>IF(TRIM(Github!D$1975)="TRUE","FALSE","TRUE")</f>
        <v>TRUE</v>
      </c>
      <c r="L1552" s="13" t="b">
        <f>Github!M$1975</f>
        <v>0</v>
      </c>
      <c r="M1552" s="13" t="b">
        <f>Github!N$1975</f>
        <v>0</v>
      </c>
      <c r="N1552" s="13">
        <f>Github!P$1975</f>
        <v>27504</v>
      </c>
      <c r="O1552" s="13">
        <f>Github!Q$1975</f>
        <v>38332</v>
      </c>
    </row>
    <row r="1553">
      <c r="A1553" s="13">
        <f>Github!J$2326</f>
        <v>2325</v>
      </c>
      <c r="B1553" s="14" t="str">
        <f>HYPERLINK(CONCAT("http://leetcode.com/problems/",Github!C$2326), Github!B$2326)</f>
        <v>Decode the Message</v>
      </c>
      <c r="C1553" s="13">
        <f>Github!F$2326</f>
        <v>493</v>
      </c>
      <c r="D1553" s="13">
        <f>Github!G$2326</f>
        <v>53</v>
      </c>
      <c r="E1553" s="13">
        <f>Github!F$2326+Github!G$2326</f>
        <v>546</v>
      </c>
      <c r="F1553" s="15">
        <f t="shared" si="1"/>
        <v>9.3</v>
      </c>
      <c r="G1553" s="13" t="str">
        <f>ROUND(Github!O$2326, 2)&amp;"%"</f>
        <v>84.8%</v>
      </c>
      <c r="H1553" s="13" t="str">
        <f>Github!H2326</f>
        <v>Algorithms</v>
      </c>
      <c r="I1553" s="16" t="str">
        <f>SUBSTITUTE(Github!L$2326, ";", ", ")</f>
        <v>Hash Table, String, </v>
      </c>
      <c r="J1553" s="13" t="str">
        <f>Github!E$2326</f>
        <v>Easy</v>
      </c>
      <c r="K1553" s="13" t="str">
        <f>IF(TRIM(Github!D$2326)="TRUE","FALSE","TRUE")</f>
        <v>TRUE</v>
      </c>
      <c r="L1553" s="13" t="b">
        <f>Github!M$2326</f>
        <v>0</v>
      </c>
      <c r="M1553" s="13" t="b">
        <f>Github!N$2326</f>
        <v>0</v>
      </c>
      <c r="N1553" s="13">
        <f>Github!P$2326</f>
        <v>45828</v>
      </c>
      <c r="O1553" s="13">
        <f>Github!Q$2326</f>
        <v>54040</v>
      </c>
    </row>
    <row r="1554">
      <c r="A1554" s="13">
        <f>Github!J$1430</f>
        <v>1429</v>
      </c>
      <c r="B1554" s="14" t="str">
        <f>HYPERLINK(CONCAT("http://leetcode.com/problems/",Github!C$1430), Github!B$1430)</f>
        <v>First Unique Number</v>
      </c>
      <c r="C1554" s="13">
        <f>Github!F$1430</f>
        <v>481</v>
      </c>
      <c r="D1554" s="13">
        <f>Github!G$1430</f>
        <v>24</v>
      </c>
      <c r="E1554" s="13">
        <f>Github!F$1430+Github!G$1430</f>
        <v>505</v>
      </c>
      <c r="F1554" s="15">
        <f t="shared" si="1"/>
        <v>20.04</v>
      </c>
      <c r="G1554" s="13" t="str">
        <f>ROUND(Github!O$1430, 2)&amp;"%"</f>
        <v>52.84%</v>
      </c>
      <c r="H1554" s="13" t="str">
        <f>Github!H$1430</f>
        <v>Algorithms</v>
      </c>
      <c r="I1554" s="16" t="str">
        <f>SUBSTITUTE(Github!L$1430, ";", ", ")</f>
        <v>Array, Hash Table, Design, Queue, Data Stream, </v>
      </c>
      <c r="J1554" s="13" t="str">
        <f>Github!E$1430</f>
        <v>Medium</v>
      </c>
      <c r="K1554" s="13" t="str">
        <f>IF(TRIM(Github!D$1430)="TRUE","FALSE","TRUE")</f>
        <v>FALSE</v>
      </c>
      <c r="L1554" s="13" t="b">
        <f>Github!M$1430</f>
        <v>1</v>
      </c>
      <c r="M1554" s="13" t="b">
        <f>Github!N$1430</f>
        <v>0</v>
      </c>
      <c r="N1554" s="13">
        <f>Github!P$1430</f>
        <v>76768</v>
      </c>
      <c r="O1554" s="13">
        <f>Github!Q$1430</f>
        <v>145289</v>
      </c>
    </row>
    <row r="1555">
      <c r="A1555" s="13">
        <f>Github!J$1551</f>
        <v>1550</v>
      </c>
      <c r="B1555" s="14" t="str">
        <f>HYPERLINK(CONCAT("http://leetcode.com/problems/",Github!C$1551), Github!B$1551)</f>
        <v>Three Consecutive Odds</v>
      </c>
      <c r="C1555" s="13">
        <f>Github!F$1551</f>
        <v>485</v>
      </c>
      <c r="D1555" s="13">
        <f>Github!G$1551</f>
        <v>49</v>
      </c>
      <c r="E1555" s="13">
        <f>Github!F$1551+Github!G$1551</f>
        <v>534</v>
      </c>
      <c r="F1555" s="15">
        <f t="shared" si="1"/>
        <v>9.9</v>
      </c>
      <c r="G1555" s="13" t="str">
        <f>ROUND(Github!O$1551, 2)&amp;"%"</f>
        <v>63.63%</v>
      </c>
      <c r="H1555" s="13" t="str">
        <f>Github!H$1551</f>
        <v>Algorithms</v>
      </c>
      <c r="I1555" s="16" t="str">
        <f>SUBSTITUTE(Github!L$1551, ";", ", ")</f>
        <v>Array, </v>
      </c>
      <c r="J1555" s="13" t="str">
        <f>Github!E$1551</f>
        <v>Easy</v>
      </c>
      <c r="K1555" s="13" t="str">
        <f>IF(TRIM(Github!D$1551)="TRUE","FALSE","TRUE")</f>
        <v>TRUE</v>
      </c>
      <c r="L1555" s="13" t="b">
        <f>Github!M$1551</f>
        <v>0</v>
      </c>
      <c r="M1555" s="13" t="b">
        <f>Github!N$1551</f>
        <v>0</v>
      </c>
      <c r="N1555" s="13">
        <f>Github!P$1551</f>
        <v>61068</v>
      </c>
      <c r="O1555" s="13">
        <f>Github!Q$1551</f>
        <v>95982</v>
      </c>
    </row>
    <row r="1556">
      <c r="A1556" s="13">
        <f>Github!J$1759</f>
        <v>1758</v>
      </c>
      <c r="B1556" s="14" t="str">
        <f>HYPERLINK(CONCAT("http://leetcode.com/problems/",Github!C$1759), Github!B$1759)</f>
        <v>Minimum Changes To Make Alternating Binary String</v>
      </c>
      <c r="C1556" s="13">
        <f>Github!F$1759</f>
        <v>479</v>
      </c>
      <c r="D1556" s="13">
        <f>Github!G$1759</f>
        <v>16</v>
      </c>
      <c r="E1556" s="13">
        <f>Github!F$1759+Github!G$1759</f>
        <v>495</v>
      </c>
      <c r="F1556" s="15">
        <f t="shared" si="1"/>
        <v>29.94</v>
      </c>
      <c r="G1556" s="13" t="str">
        <f>ROUND(Github!O$1759, 2)&amp;"%"</f>
        <v>58.42%</v>
      </c>
      <c r="H1556" s="13" t="str">
        <f>Github!H$1759</f>
        <v>Algorithms</v>
      </c>
      <c r="I1556" s="16" t="str">
        <f>SUBSTITUTE(Github!L$1759, ";", ", ")</f>
        <v>String, </v>
      </c>
      <c r="J1556" s="13" t="str">
        <f>Github!E$1759</f>
        <v>Easy</v>
      </c>
      <c r="K1556" s="13" t="str">
        <f>IF(TRIM(Github!D$1759)="TRUE","FALSE","TRUE")</f>
        <v>TRUE</v>
      </c>
      <c r="L1556" s="13" t="b">
        <f>Github!M$1759</f>
        <v>0</v>
      </c>
      <c r="M1556" s="13" t="b">
        <f>Github!N$1759</f>
        <v>0</v>
      </c>
      <c r="N1556" s="13">
        <f>Github!P$1759</f>
        <v>32564</v>
      </c>
      <c r="O1556" s="13">
        <f>Github!Q$1759</f>
        <v>55736</v>
      </c>
    </row>
    <row r="1557">
      <c r="A1557" s="13">
        <f>Github!J$1743</f>
        <v>1742</v>
      </c>
      <c r="B1557" s="14" t="str">
        <f>HYPERLINK(CONCAT("http://leetcode.com/problems/",Github!C$1743), Github!B$1743)</f>
        <v>Maximum Number of Balls in a Box</v>
      </c>
      <c r="C1557" s="13">
        <f>Github!F$1743</f>
        <v>481</v>
      </c>
      <c r="D1557" s="13">
        <f>Github!G$1743</f>
        <v>114</v>
      </c>
      <c r="E1557" s="13">
        <f>Github!F$1743+Github!G$1743</f>
        <v>595</v>
      </c>
      <c r="F1557" s="15">
        <f t="shared" si="1"/>
        <v>4.22</v>
      </c>
      <c r="G1557" s="13" t="str">
        <f>ROUND(Github!O$1743, 2)&amp;"%"</f>
        <v>73.85%</v>
      </c>
      <c r="H1557" s="13" t="str">
        <f>Github!H$1743</f>
        <v>Algorithms</v>
      </c>
      <c r="I1557" s="16" t="str">
        <f>SUBSTITUTE(Github!L$1743, ";", ", ")</f>
        <v>Hash Table, Math, Counting, </v>
      </c>
      <c r="J1557" s="13" t="str">
        <f>Github!E$1743</f>
        <v>Easy</v>
      </c>
      <c r="K1557" s="13" t="str">
        <f>IF(TRIM(Github!D$1743)="TRUE","FALSE","TRUE")</f>
        <v>TRUE</v>
      </c>
      <c r="L1557" s="13" t="b">
        <f>Github!M$1743</f>
        <v>0</v>
      </c>
      <c r="M1557" s="13" t="b">
        <f>Github!N$1743</f>
        <v>0</v>
      </c>
      <c r="N1557" s="13">
        <f>Github!P$1743</f>
        <v>47732</v>
      </c>
      <c r="O1557" s="13">
        <f>Github!Q$1743</f>
        <v>64637</v>
      </c>
    </row>
    <row r="1558">
      <c r="A1558" s="13">
        <f>Github!J$1101</f>
        <v>1100</v>
      </c>
      <c r="B1558" s="14" t="str">
        <f>HYPERLINK(CONCAT("http://leetcode.com/problems/",Github!C$1101), Github!B$1101)</f>
        <v>Find K-Length Substrings With No Repeated Characters</v>
      </c>
      <c r="C1558" s="13">
        <f>Github!F$1101</f>
        <v>477</v>
      </c>
      <c r="D1558" s="13">
        <f>Github!G$1101</f>
        <v>9</v>
      </c>
      <c r="E1558" s="13">
        <f>Github!F$1101+Github!G$1101</f>
        <v>486</v>
      </c>
      <c r="F1558" s="15">
        <f t="shared" si="1"/>
        <v>53</v>
      </c>
      <c r="G1558" s="13" t="str">
        <f>ROUND(Github!O$1101, 2)&amp;"%"</f>
        <v>74.66%</v>
      </c>
      <c r="H1558" s="13" t="str">
        <f>Github!H$1101</f>
        <v>Algorithms</v>
      </c>
      <c r="I1558" s="16" t="str">
        <f>SUBSTITUTE(Github!L$1101, ";", ", ")</f>
        <v>Hash Table, String, Sliding Window, </v>
      </c>
      <c r="J1558" s="13" t="str">
        <f>Github!E$1101</f>
        <v>Medium</v>
      </c>
      <c r="K1558" s="13" t="str">
        <f>IF(TRIM(Github!D$1101)="TRUE","FALSE","TRUE")</f>
        <v>FALSE</v>
      </c>
      <c r="L1558" s="13" t="b">
        <f>Github!M$1101</f>
        <v>1</v>
      </c>
      <c r="M1558" s="13" t="b">
        <f>Github!N$1101</f>
        <v>0</v>
      </c>
      <c r="N1558" s="13">
        <f>Github!P$1101</f>
        <v>33395</v>
      </c>
      <c r="O1558" s="13">
        <f>Github!Q$1101</f>
        <v>44731</v>
      </c>
    </row>
    <row r="1559">
      <c r="A1559" s="13">
        <f>Github!J$1611</f>
        <v>1610</v>
      </c>
      <c r="B1559" s="14" t="str">
        <f>HYPERLINK(CONCAT("http://leetcode.com/problems/",Github!C$1611), Github!B$1611)</f>
        <v>Maximum Number of Visible Points</v>
      </c>
      <c r="C1559" s="13">
        <f>Github!F$1611</f>
        <v>482</v>
      </c>
      <c r="D1559" s="13">
        <f>Github!G$1611</f>
        <v>681</v>
      </c>
      <c r="E1559" s="13">
        <f>Github!F$1611+Github!G$1611</f>
        <v>1163</v>
      </c>
      <c r="F1559" s="15">
        <f t="shared" si="1"/>
        <v>0.71</v>
      </c>
      <c r="G1559" s="13" t="str">
        <f>ROUND(Github!O$1611, 2)&amp;"%"</f>
        <v>37.36%</v>
      </c>
      <c r="H1559" s="13" t="str">
        <f>Github!H$1611</f>
        <v>Algorithms</v>
      </c>
      <c r="I1559" s="16" t="str">
        <f>SUBSTITUTE(Github!L$1611, ";", ", ")</f>
        <v>Array, Math, Geometry, Sliding Window, Sorting, </v>
      </c>
      <c r="J1559" s="13" t="str">
        <f>Github!E$1611</f>
        <v>Hard</v>
      </c>
      <c r="K1559" s="13" t="str">
        <f>IF(TRIM(Github!D$1611)="TRUE","FALSE","TRUE")</f>
        <v>TRUE</v>
      </c>
      <c r="L1559" s="13" t="b">
        <f>Github!M$1611</f>
        <v>0</v>
      </c>
      <c r="M1559" s="13" t="b">
        <f>Github!N$1611</f>
        <v>0</v>
      </c>
      <c r="N1559" s="13">
        <f>Github!P$1611</f>
        <v>34754</v>
      </c>
      <c r="O1559" s="13">
        <f>Github!Q$1611</f>
        <v>93022</v>
      </c>
    </row>
    <row r="1560">
      <c r="A1560" s="13">
        <f>Github!J$1846</f>
        <v>1845</v>
      </c>
      <c r="B1560" s="14" t="str">
        <f>HYPERLINK(CONCAT("http://leetcode.com/problems/",Github!C$1846), Github!B$1846)</f>
        <v>Seat Reservation Manager</v>
      </c>
      <c r="C1560" s="13">
        <f>Github!F$1846</f>
        <v>486</v>
      </c>
      <c r="D1560" s="13">
        <f>Github!G$1846</f>
        <v>34</v>
      </c>
      <c r="E1560" s="13">
        <f>Github!F$1846+Github!G$1846</f>
        <v>520</v>
      </c>
      <c r="F1560" s="15">
        <f t="shared" si="1"/>
        <v>14.29</v>
      </c>
      <c r="G1560" s="13" t="str">
        <f>ROUND(Github!O$1846, 2)&amp;"%"</f>
        <v>65.14%</v>
      </c>
      <c r="H1560" s="13" t="str">
        <f>Github!H$1846</f>
        <v>Algorithms</v>
      </c>
      <c r="I1560" s="16" t="str">
        <f>SUBSTITUTE(Github!L$1846, ";", ", ")</f>
        <v>Design, Heap (Priority Queue), </v>
      </c>
      <c r="J1560" s="13" t="str">
        <f>Github!E$1846</f>
        <v>Medium</v>
      </c>
      <c r="K1560" s="13" t="str">
        <f>IF(TRIM(Github!D$1846)="TRUE","FALSE","TRUE")</f>
        <v>TRUE</v>
      </c>
      <c r="L1560" s="13" t="b">
        <f>Github!M$1846</f>
        <v>0</v>
      </c>
      <c r="M1560" s="13" t="b">
        <f>Github!N$1846</f>
        <v>0</v>
      </c>
      <c r="N1560" s="13">
        <f>Github!P$1846</f>
        <v>27665</v>
      </c>
      <c r="O1560" s="13">
        <f>Github!Q$1846</f>
        <v>42473</v>
      </c>
    </row>
    <row r="1561">
      <c r="A1561" s="13">
        <f>Github!J$2165</f>
        <v>2164</v>
      </c>
      <c r="B1561" s="14" t="str">
        <f>HYPERLINK(CONCAT("http://leetcode.com/problems/",Github!C$2165), Github!B$2165)</f>
        <v>Sort Even and Odd Indices Independently</v>
      </c>
      <c r="C1561" s="13">
        <f>Github!F$2165</f>
        <v>489</v>
      </c>
      <c r="D1561" s="13">
        <f>Github!G$2165</f>
        <v>33</v>
      </c>
      <c r="E1561" s="13">
        <f>Github!F$2165+Github!G$2165</f>
        <v>522</v>
      </c>
      <c r="F1561" s="15">
        <f t="shared" si="1"/>
        <v>14.82</v>
      </c>
      <c r="G1561" s="13" t="str">
        <f>ROUND(Github!O$2165, 2)&amp;"%"</f>
        <v>66.1%</v>
      </c>
      <c r="H1561" s="13" t="str">
        <f>Github!H$2165</f>
        <v>Algorithms</v>
      </c>
      <c r="I1561" s="16" t="str">
        <f>SUBSTITUTE(Github!L$2165, ";", ", ")</f>
        <v>Array, Sorting, </v>
      </c>
      <c r="J1561" s="13" t="str">
        <f>Github!E$2165</f>
        <v>Easy</v>
      </c>
      <c r="K1561" s="13" t="str">
        <f>IF(TRIM(Github!D$2165)="TRUE","FALSE","TRUE")</f>
        <v>TRUE</v>
      </c>
      <c r="L1561" s="13" t="b">
        <f>Github!M$2165</f>
        <v>0</v>
      </c>
      <c r="M1561" s="13" t="b">
        <f>Github!N$2165</f>
        <v>0</v>
      </c>
      <c r="N1561" s="13">
        <f>Github!P$2165</f>
        <v>38788</v>
      </c>
      <c r="O1561" s="13">
        <f>Github!Q$2165</f>
        <v>58679</v>
      </c>
    </row>
    <row r="1562">
      <c r="A1562" s="13">
        <f>Github!J$795</f>
        <v>794</v>
      </c>
      <c r="B1562" s="14" t="str">
        <f>HYPERLINK(CONCAT("http://leetcode.com/problems/",Github!C$795), Github!B$795)</f>
        <v>Valid Tic-Tac-Toe State</v>
      </c>
      <c r="C1562" s="13">
        <f>Github!F$795</f>
        <v>476</v>
      </c>
      <c r="D1562" s="13">
        <f>Github!G$795</f>
        <v>1069</v>
      </c>
      <c r="E1562" s="13">
        <f>Github!F$795+Github!G$795</f>
        <v>1545</v>
      </c>
      <c r="F1562" s="15">
        <f t="shared" si="1"/>
        <v>0.45</v>
      </c>
      <c r="G1562" s="13" t="str">
        <f>ROUND(Github!O$795, 2)&amp;"%"</f>
        <v>35.14%</v>
      </c>
      <c r="H1562" s="13" t="str">
        <f>Github!H$795</f>
        <v>Algorithms</v>
      </c>
      <c r="I1562" s="16" t="str">
        <f>SUBSTITUTE(Github!L$795, ";", ", ")</f>
        <v>Array, String, </v>
      </c>
      <c r="J1562" s="13" t="str">
        <f>Github!E$795</f>
        <v>Medium</v>
      </c>
      <c r="K1562" s="13" t="str">
        <f>IF(TRIM(Github!D$795)="TRUE","FALSE","TRUE")</f>
        <v>TRUE</v>
      </c>
      <c r="L1562" s="13" t="b">
        <f>Github!M$795</f>
        <v>0</v>
      </c>
      <c r="M1562" s="13" t="b">
        <f>Github!N$795</f>
        <v>0</v>
      </c>
      <c r="N1562" s="13">
        <f>Github!P$795</f>
        <v>52661</v>
      </c>
      <c r="O1562" s="13">
        <f>Github!Q$795</f>
        <v>149877</v>
      </c>
    </row>
    <row r="1563">
      <c r="A1563" s="13">
        <f>Github!J$1564</f>
        <v>1563</v>
      </c>
      <c r="B1563" s="14" t="str">
        <f>HYPERLINK(CONCAT("http://leetcode.com/problems/",Github!C$1564), Github!B$1564)</f>
        <v>Stone Game V</v>
      </c>
      <c r="C1563" s="13">
        <f>Github!F$1564</f>
        <v>482</v>
      </c>
      <c r="D1563" s="13">
        <f>Github!G$1564</f>
        <v>68</v>
      </c>
      <c r="E1563" s="13">
        <f>Github!F$1564+Github!G$1564</f>
        <v>550</v>
      </c>
      <c r="F1563" s="15">
        <f t="shared" si="1"/>
        <v>7.09</v>
      </c>
      <c r="G1563" s="13" t="str">
        <f>ROUND(Github!O$1564, 2)&amp;"%"</f>
        <v>40.56%</v>
      </c>
      <c r="H1563" s="13" t="str">
        <f>Github!H$1564</f>
        <v>Algorithms</v>
      </c>
      <c r="I1563" s="16" t="str">
        <f>SUBSTITUTE(Github!L$1564, ";", ", ")</f>
        <v>Array, Math, Dynamic Programming, Game Theory, </v>
      </c>
      <c r="J1563" s="13" t="str">
        <f>Github!E$1564</f>
        <v>Hard</v>
      </c>
      <c r="K1563" s="13" t="str">
        <f>IF(TRIM(Github!D$1564)="TRUE","FALSE","TRUE")</f>
        <v>TRUE</v>
      </c>
      <c r="L1563" s="13" t="b">
        <f>Github!M$1564</f>
        <v>0</v>
      </c>
      <c r="M1563" s="13" t="b">
        <f>Github!N$1564</f>
        <v>0</v>
      </c>
      <c r="N1563" s="13">
        <f>Github!P$1564</f>
        <v>15077</v>
      </c>
      <c r="O1563" s="13">
        <f>Github!Q$1564</f>
        <v>37170</v>
      </c>
    </row>
    <row r="1564">
      <c r="A1564" s="13">
        <f>Github!J$1892</f>
        <v>1891</v>
      </c>
      <c r="B1564" s="14" t="str">
        <f>HYPERLINK(CONCAT("http://leetcode.com/problems/",Github!C$1892), Github!B$1892)</f>
        <v>Cutting Ribbons</v>
      </c>
      <c r="C1564" s="13">
        <f>Github!F$1892</f>
        <v>477</v>
      </c>
      <c r="D1564" s="13">
        <f>Github!G$1892</f>
        <v>32</v>
      </c>
      <c r="E1564" s="13">
        <f>Github!F$1892+Github!G$1892</f>
        <v>509</v>
      </c>
      <c r="F1564" s="15">
        <f t="shared" si="1"/>
        <v>14.91</v>
      </c>
      <c r="G1564" s="13" t="str">
        <f>ROUND(Github!O$1892, 2)&amp;"%"</f>
        <v>48.18%</v>
      </c>
      <c r="H1564" s="13" t="str">
        <f>Github!H$1892</f>
        <v>Algorithms</v>
      </c>
      <c r="I1564" s="16" t="str">
        <f>SUBSTITUTE(Github!L$1892, ";", ", ")</f>
        <v>Array, Binary Search, </v>
      </c>
      <c r="J1564" s="13" t="str">
        <f>Github!E$1892</f>
        <v>Medium</v>
      </c>
      <c r="K1564" s="13" t="str">
        <f>IF(TRIM(Github!D$1892)="TRUE","FALSE","TRUE")</f>
        <v>FALSE</v>
      </c>
      <c r="L1564" s="13" t="b">
        <f>Github!M$1892</f>
        <v>0</v>
      </c>
      <c r="M1564" s="13" t="b">
        <f>Github!N$1892</f>
        <v>0</v>
      </c>
      <c r="N1564" s="13">
        <f>Github!P$1892</f>
        <v>49637</v>
      </c>
      <c r="O1564" s="13">
        <f>Github!Q$1892</f>
        <v>103014</v>
      </c>
    </row>
    <row r="1565">
      <c r="A1565" s="13">
        <f>Github!J$1183</f>
        <v>1182</v>
      </c>
      <c r="B1565" s="14" t="str">
        <f>HYPERLINK(CONCAT("http://leetcode.com/problems/",Github!C$1183), Github!B$1183)</f>
        <v>Shortest Distance to Target Color</v>
      </c>
      <c r="C1565" s="13">
        <f>Github!F$1183</f>
        <v>474</v>
      </c>
      <c r="D1565" s="13">
        <f>Github!G$1183</f>
        <v>20</v>
      </c>
      <c r="E1565" s="13">
        <f>Github!F$1183+Github!G$1183</f>
        <v>494</v>
      </c>
      <c r="F1565" s="15">
        <f t="shared" si="1"/>
        <v>23.7</v>
      </c>
      <c r="G1565" s="13" t="str">
        <f>ROUND(Github!O$1183, 2)&amp;"%"</f>
        <v>55.42%</v>
      </c>
      <c r="H1565" s="13" t="str">
        <f>Github!H$1183</f>
        <v>Algorithms</v>
      </c>
      <c r="I1565" s="16" t="str">
        <f>SUBSTITUTE(Github!L$1183, ";", ", ")</f>
        <v>Array, Binary Search, Dynamic Programming, </v>
      </c>
      <c r="J1565" s="13" t="str">
        <f>Github!E$1183</f>
        <v>Medium</v>
      </c>
      <c r="K1565" s="13" t="str">
        <f>IF(TRIM(Github!D$1183)="TRUE","FALSE","TRUE")</f>
        <v>FALSE</v>
      </c>
      <c r="L1565" s="13" t="b">
        <f>Github!M$1183</f>
        <v>1</v>
      </c>
      <c r="M1565" s="13" t="b">
        <f>Github!N$1183</f>
        <v>0</v>
      </c>
      <c r="N1565" s="13">
        <f>Github!P$1183</f>
        <v>32116</v>
      </c>
      <c r="O1565" s="13">
        <f>Github!Q$1183</f>
        <v>57953</v>
      </c>
    </row>
    <row r="1566">
      <c r="A1566" s="13">
        <f>Github!J$2081</f>
        <v>2080</v>
      </c>
      <c r="B1566" s="14" t="str">
        <f>HYPERLINK(CONCAT("http://leetcode.com/problems/",Github!C$2081), Github!B$2081)</f>
        <v>Range Frequency Queries</v>
      </c>
      <c r="C1566" s="13">
        <f>Github!F$2081</f>
        <v>477</v>
      </c>
      <c r="D1566" s="13">
        <f>Github!G$2081</f>
        <v>22</v>
      </c>
      <c r="E1566" s="13">
        <f>Github!F$2081+Github!G$2081</f>
        <v>499</v>
      </c>
      <c r="F1566" s="15">
        <f t="shared" si="1"/>
        <v>21.68</v>
      </c>
      <c r="G1566" s="13" t="str">
        <f>ROUND(Github!O$2081, 2)&amp;"%"</f>
        <v>38.37%</v>
      </c>
      <c r="H1566" s="13" t="str">
        <f>Github!H$2081</f>
        <v>Algorithms</v>
      </c>
      <c r="I1566" s="16" t="str">
        <f>SUBSTITUTE(Github!L$2081, ";", ", ")</f>
        <v>Array, Hash Table, Binary Search, Design, Segment Tree, </v>
      </c>
      <c r="J1566" s="13" t="str">
        <f>Github!E$2081</f>
        <v>Medium</v>
      </c>
      <c r="K1566" s="13" t="str">
        <f>IF(TRIM(Github!D$2081)="TRUE","FALSE","TRUE")</f>
        <v>TRUE</v>
      </c>
      <c r="L1566" s="13" t="b">
        <f>Github!M$2081</f>
        <v>0</v>
      </c>
      <c r="M1566" s="13" t="b">
        <f>Github!N$2081</f>
        <v>0</v>
      </c>
      <c r="N1566" s="13">
        <f>Github!P$2081</f>
        <v>15041</v>
      </c>
      <c r="O1566" s="13">
        <f>Github!Q$2081</f>
        <v>39204</v>
      </c>
    </row>
    <row r="1567">
      <c r="A1567" s="13">
        <f>Github!J$2234</f>
        <v>2233</v>
      </c>
      <c r="B1567" s="14" t="str">
        <f>HYPERLINK(CONCAT("http://leetcode.com/problems/",Github!C$2234), Github!B$2234)</f>
        <v>Maximum Product After K Increments</v>
      </c>
      <c r="C1567" s="13">
        <f>Github!F$2234</f>
        <v>482</v>
      </c>
      <c r="D1567" s="13">
        <f>Github!G$2234</f>
        <v>34</v>
      </c>
      <c r="E1567" s="13">
        <f>Github!F$2234+Github!G$2234</f>
        <v>516</v>
      </c>
      <c r="F1567" s="15">
        <f t="shared" si="1"/>
        <v>14.18</v>
      </c>
      <c r="G1567" s="13" t="str">
        <f>ROUND(Github!O$2234, 2)&amp;"%"</f>
        <v>41.28%</v>
      </c>
      <c r="H1567" s="13" t="str">
        <f>Github!H$2234</f>
        <v>Algorithms</v>
      </c>
      <c r="I1567" s="16" t="str">
        <f>SUBSTITUTE(Github!L$2234, ";", ", ")</f>
        <v>Array, Greedy, Heap (Priority Queue), </v>
      </c>
      <c r="J1567" s="13" t="str">
        <f>Github!E$2234</f>
        <v>Medium</v>
      </c>
      <c r="K1567" s="13" t="str">
        <f>IF(TRIM(Github!D$2234)="TRUE","FALSE","TRUE")</f>
        <v>TRUE</v>
      </c>
      <c r="L1567" s="13" t="b">
        <f>Github!M$2234</f>
        <v>0</v>
      </c>
      <c r="M1567" s="13" t="b">
        <f>Github!N$2234</f>
        <v>0</v>
      </c>
      <c r="N1567" s="13">
        <f>Github!P$2234</f>
        <v>21282</v>
      </c>
      <c r="O1567" s="13">
        <f>Github!Q$2234</f>
        <v>51549</v>
      </c>
    </row>
    <row r="1568">
      <c r="A1568" s="13">
        <f>Github!J$512</f>
        <v>511</v>
      </c>
      <c r="B1568" s="14" t="str">
        <f>HYPERLINK(CONCAT("http://leetcode.com/problems/",Github!C$512), Github!B$512)</f>
        <v>Game Play Analysis I</v>
      </c>
      <c r="C1568" s="13">
        <f>Github!F$512</f>
        <v>484</v>
      </c>
      <c r="D1568" s="13">
        <f>Github!G$512</f>
        <v>19</v>
      </c>
      <c r="E1568" s="13">
        <f>Github!F$512+Github!G$512</f>
        <v>503</v>
      </c>
      <c r="F1568" s="15">
        <f t="shared" si="1"/>
        <v>25.47</v>
      </c>
      <c r="G1568" s="13" t="str">
        <f>ROUND(Github!O$512, 2)&amp;"%"</f>
        <v>77.48%</v>
      </c>
      <c r="H1568" s="13" t="str">
        <f>Github!H$512</f>
        <v>Database</v>
      </c>
      <c r="I1568" s="16" t="str">
        <f>SUBSTITUTE(Github!L$512, ";", ", ")</f>
        <v>Database, </v>
      </c>
      <c r="J1568" s="13" t="str">
        <f>Github!E$512</f>
        <v>Easy</v>
      </c>
      <c r="K1568" s="13" t="str">
        <f>IF(TRIM(Github!D$512)="TRUE","FALSE","TRUE")</f>
        <v>TRUE</v>
      </c>
      <c r="L1568" s="13" t="b">
        <f>Github!M$512</f>
        <v>1</v>
      </c>
      <c r="M1568" s="13" t="b">
        <f>Github!N$512</f>
        <v>0</v>
      </c>
      <c r="N1568" s="13">
        <f>Github!P$512</f>
        <v>141167</v>
      </c>
      <c r="O1568" s="13">
        <f>Github!Q$512</f>
        <v>182198</v>
      </c>
    </row>
    <row r="1569">
      <c r="A1569" s="13">
        <f>Github!J$2088</f>
        <v>2087</v>
      </c>
      <c r="B1569" s="14" t="str">
        <f>HYPERLINK(CONCAT("http://leetcode.com/problems/",Github!C$2088), Github!B$2088)</f>
        <v>Minimum Cost Homecoming of a Robot in a Grid</v>
      </c>
      <c r="C1569" s="13">
        <f>Github!F$2088</f>
        <v>473</v>
      </c>
      <c r="D1569" s="13">
        <f>Github!G$2088</f>
        <v>72</v>
      </c>
      <c r="E1569" s="13">
        <f>Github!F$2088+Github!G$2088</f>
        <v>545</v>
      </c>
      <c r="F1569" s="15">
        <f t="shared" si="1"/>
        <v>6.57</v>
      </c>
      <c r="G1569" s="13" t="str">
        <f>ROUND(Github!O$2088, 2)&amp;"%"</f>
        <v>51.42%</v>
      </c>
      <c r="H1569" s="13" t="str">
        <f>Github!H$2088</f>
        <v>Algorithms</v>
      </c>
      <c r="I1569" s="16" t="str">
        <f>SUBSTITUTE(Github!L$2088, ";", ", ")</f>
        <v>Array, Greedy, Matrix, </v>
      </c>
      <c r="J1569" s="13" t="str">
        <f>Github!E$2088</f>
        <v>Medium</v>
      </c>
      <c r="K1569" s="13" t="str">
        <f>IF(TRIM(Github!D$2088)="TRUE","FALSE","TRUE")</f>
        <v>TRUE</v>
      </c>
      <c r="L1569" s="13" t="b">
        <f>Github!M$2088</f>
        <v>0</v>
      </c>
      <c r="M1569" s="13" t="b">
        <f>Github!N$2088</f>
        <v>0</v>
      </c>
      <c r="N1569" s="13">
        <f>Github!P$2088</f>
        <v>12557</v>
      </c>
      <c r="O1569" s="13">
        <f>Github!Q$2088</f>
        <v>24420</v>
      </c>
    </row>
    <row r="1570">
      <c r="A1570" s="13">
        <f>Github!J$552</f>
        <v>551</v>
      </c>
      <c r="B1570" s="14" t="str">
        <f>HYPERLINK(CONCAT("http://leetcode.com/problems/",Github!C$552), Github!B$552)</f>
        <v>Student Attendance Record I</v>
      </c>
      <c r="C1570" s="13">
        <f>Github!F$552</f>
        <v>484</v>
      </c>
      <c r="D1570" s="13">
        <f>Github!G$552</f>
        <v>30</v>
      </c>
      <c r="E1570" s="13">
        <f>Github!F$552+Github!G$552</f>
        <v>514</v>
      </c>
      <c r="F1570" s="15">
        <f t="shared" si="1"/>
        <v>16.13</v>
      </c>
      <c r="G1570" s="13" t="str">
        <f>ROUND(Github!O$552, 2)&amp;"%"</f>
        <v>48.14%</v>
      </c>
      <c r="H1570" s="13" t="str">
        <f>Github!H$552</f>
        <v>Algorithms</v>
      </c>
      <c r="I1570" s="16" t="str">
        <f>SUBSTITUTE(Github!L$552, ";", ", ")</f>
        <v>String, </v>
      </c>
      <c r="J1570" s="13" t="str">
        <f>Github!E$552</f>
        <v>Easy</v>
      </c>
      <c r="K1570" s="13" t="str">
        <f>IF(TRIM(Github!D$552)="TRUE","FALSE","TRUE")</f>
        <v>TRUE</v>
      </c>
      <c r="L1570" s="13" t="b">
        <f>Github!M$552</f>
        <v>1</v>
      </c>
      <c r="M1570" s="13" t="b">
        <f>Github!N$552</f>
        <v>0</v>
      </c>
      <c r="N1570" s="13">
        <f>Github!P$552</f>
        <v>167549</v>
      </c>
      <c r="O1570" s="13">
        <f>Github!Q$552</f>
        <v>348040</v>
      </c>
    </row>
    <row r="1571">
      <c r="A1571" s="13">
        <f>Github!J$893</f>
        <v>892</v>
      </c>
      <c r="B1571" s="14" t="str">
        <f>HYPERLINK(CONCAT("http://leetcode.com/problems/",Github!C$893), Github!B$893)</f>
        <v>Surface Area of 3D Shapes</v>
      </c>
      <c r="C1571" s="13">
        <f>Github!F$893</f>
        <v>471</v>
      </c>
      <c r="D1571" s="13">
        <f>Github!G$893</f>
        <v>664</v>
      </c>
      <c r="E1571" s="13">
        <f>Github!F$893+Github!G$893</f>
        <v>1135</v>
      </c>
      <c r="F1571" s="15">
        <f t="shared" si="1"/>
        <v>0.71</v>
      </c>
      <c r="G1571" s="13" t="str">
        <f>ROUND(Github!O$893, 2)&amp;"%"</f>
        <v>63.48%</v>
      </c>
      <c r="H1571" s="13" t="str">
        <f>Github!H$893</f>
        <v>Algorithms</v>
      </c>
      <c r="I1571" s="16" t="str">
        <f>SUBSTITUTE(Github!L$893, ";", ", ")</f>
        <v>Array, Math, Geometry, Matrix, </v>
      </c>
      <c r="J1571" s="13" t="str">
        <f>Github!E$893</f>
        <v>Easy</v>
      </c>
      <c r="K1571" s="13" t="str">
        <f>IF(TRIM(Github!D$893)="TRUE","FALSE","TRUE")</f>
        <v>TRUE</v>
      </c>
      <c r="L1571" s="13" t="b">
        <f>Github!M$893</f>
        <v>0</v>
      </c>
      <c r="M1571" s="13" t="b">
        <f>Github!N$893</f>
        <v>0</v>
      </c>
      <c r="N1571" s="13">
        <f>Github!P$893</f>
        <v>32558</v>
      </c>
      <c r="O1571" s="13">
        <f>Github!Q$893</f>
        <v>51287</v>
      </c>
    </row>
    <row r="1572">
      <c r="A1572" s="13">
        <f>Github!J$1167</f>
        <v>1166</v>
      </c>
      <c r="B1572" s="14" t="str">
        <f>HYPERLINK(CONCAT("http://leetcode.com/problems/",Github!C$1167), Github!B$1167)</f>
        <v>Design File System</v>
      </c>
      <c r="C1572" s="13">
        <f>Github!F$1167</f>
        <v>471</v>
      </c>
      <c r="D1572" s="13">
        <f>Github!G$1167</f>
        <v>51</v>
      </c>
      <c r="E1572" s="13">
        <f>Github!F$1167+Github!G$1167</f>
        <v>522</v>
      </c>
      <c r="F1572" s="15">
        <f t="shared" si="1"/>
        <v>9.24</v>
      </c>
      <c r="G1572" s="13" t="str">
        <f>ROUND(Github!O$1167, 2)&amp;"%"</f>
        <v>62.04%</v>
      </c>
      <c r="H1572" s="13" t="str">
        <f>Github!H$1167</f>
        <v>Algorithms</v>
      </c>
      <c r="I1572" s="16" t="str">
        <f>SUBSTITUTE(Github!L$1167, ";", ", ")</f>
        <v>Hash Table, String, Design, Trie, </v>
      </c>
      <c r="J1572" s="13" t="str">
        <f>Github!E$1167</f>
        <v>Medium</v>
      </c>
      <c r="K1572" s="13" t="str">
        <f>IF(TRIM(Github!D$1167)="TRUE","FALSE","TRUE")</f>
        <v>FALSE</v>
      </c>
      <c r="L1572" s="13" t="b">
        <f>Github!M$1167</f>
        <v>1</v>
      </c>
      <c r="M1572" s="13" t="b">
        <f>Github!N$1167</f>
        <v>0</v>
      </c>
      <c r="N1572" s="13">
        <f>Github!P$1167</f>
        <v>39990</v>
      </c>
      <c r="O1572" s="13">
        <f>Github!Q$1167</f>
        <v>64458</v>
      </c>
    </row>
    <row r="1573">
      <c r="A1573" s="13">
        <f>Github!J$2171</f>
        <v>2170</v>
      </c>
      <c r="B1573" s="14" t="str">
        <f>HYPERLINK(CONCAT("http://leetcode.com/problems/",Github!C$2171), Github!B$2171)</f>
        <v>Minimum Operations to Make the Array Alternating</v>
      </c>
      <c r="C1573" s="13">
        <f>Github!F$2171</f>
        <v>470</v>
      </c>
      <c r="D1573" s="13">
        <f>Github!G$2171</f>
        <v>301</v>
      </c>
      <c r="E1573" s="13">
        <f>Github!F$2171+Github!G$2171</f>
        <v>771</v>
      </c>
      <c r="F1573" s="15">
        <f t="shared" si="1"/>
        <v>1.56</v>
      </c>
      <c r="G1573" s="13" t="str">
        <f>ROUND(Github!O$2171, 2)&amp;"%"</f>
        <v>33.2%</v>
      </c>
      <c r="H1573" s="13" t="str">
        <f>Github!H$2171</f>
        <v>Algorithms</v>
      </c>
      <c r="I1573" s="16" t="str">
        <f>SUBSTITUTE(Github!L$2171, ";", ", ")</f>
        <v>Array, Hash Table, Greedy, Counting, </v>
      </c>
      <c r="J1573" s="13" t="str">
        <f>Github!E$2171</f>
        <v>Medium</v>
      </c>
      <c r="K1573" s="13" t="str">
        <f>IF(TRIM(Github!D$2171)="TRUE","FALSE","TRUE")</f>
        <v>TRUE</v>
      </c>
      <c r="L1573" s="13" t="b">
        <f>Github!M$2171</f>
        <v>0</v>
      </c>
      <c r="M1573" s="13" t="b">
        <f>Github!N$2171</f>
        <v>0</v>
      </c>
      <c r="N1573" s="13">
        <f>Github!P$2171</f>
        <v>18545</v>
      </c>
      <c r="O1573" s="13">
        <f>Github!Q$2171</f>
        <v>55866</v>
      </c>
    </row>
    <row r="1574">
      <c r="A1574" s="13">
        <f>Github!J$2259</f>
        <v>2258</v>
      </c>
      <c r="B1574" s="14" t="str">
        <f>HYPERLINK(CONCAT("http://leetcode.com/problems/",Github!C$2259), Github!B$2259)</f>
        <v>Escape the Spreading Fire</v>
      </c>
      <c r="C1574" s="13">
        <f>Github!F$2259</f>
        <v>475</v>
      </c>
      <c r="D1574" s="13">
        <f>Github!G$2259</f>
        <v>17</v>
      </c>
      <c r="E1574" s="13">
        <f>Github!F$2259+Github!G$2259</f>
        <v>492</v>
      </c>
      <c r="F1574" s="15">
        <f t="shared" si="1"/>
        <v>27.94</v>
      </c>
      <c r="G1574" s="13" t="str">
        <f>ROUND(Github!O$2259, 2)&amp;"%"</f>
        <v>34.93%</v>
      </c>
      <c r="H1574" s="13" t="str">
        <f>Github!H$2259</f>
        <v>Algorithms</v>
      </c>
      <c r="I1574" s="16" t="str">
        <f>SUBSTITUTE(Github!L$2259, ";", ", ")</f>
        <v>Array, Binary Search, Breadth-First Search, Matrix, </v>
      </c>
      <c r="J1574" s="13" t="str">
        <f>Github!E$2259</f>
        <v>Hard</v>
      </c>
      <c r="K1574" s="13" t="str">
        <f>IF(TRIM(Github!D$2259)="TRUE","FALSE","TRUE")</f>
        <v>TRUE</v>
      </c>
      <c r="L1574" s="13" t="b">
        <f>Github!M$2259</f>
        <v>0</v>
      </c>
      <c r="M1574" s="13" t="b">
        <f>Github!N$2259</f>
        <v>0</v>
      </c>
      <c r="N1574" s="13">
        <f>Github!P$2259</f>
        <v>6300</v>
      </c>
      <c r="O1574" s="13">
        <f>Github!Q$2259</f>
        <v>18038</v>
      </c>
    </row>
    <row r="1575">
      <c r="A1575" s="13">
        <f>Github!J$1189</f>
        <v>1188</v>
      </c>
      <c r="B1575" s="14" t="str">
        <f>HYPERLINK(CONCAT("http://leetcode.com/problems/",Github!C$1189), Github!B$1189)</f>
        <v>Design Bounded Blocking Queue</v>
      </c>
      <c r="C1575" s="13">
        <f>Github!F$1189</f>
        <v>469</v>
      </c>
      <c r="D1575" s="13">
        <f>Github!G$1189</f>
        <v>39</v>
      </c>
      <c r="E1575" s="13">
        <f>Github!F$1189+Github!G$1189</f>
        <v>508</v>
      </c>
      <c r="F1575" s="15">
        <f t="shared" si="1"/>
        <v>12.03</v>
      </c>
      <c r="G1575" s="13" t="str">
        <f>ROUND(Github!O$1189, 2)&amp;"%"</f>
        <v>72.9%</v>
      </c>
      <c r="H1575" s="13" t="str">
        <f>Github!H$1189</f>
        <v>Concurrency</v>
      </c>
      <c r="I1575" s="16" t="str">
        <f>SUBSTITUTE(Github!L$1189, ";", ", ")</f>
        <v>Concurrency, </v>
      </c>
      <c r="J1575" s="13" t="str">
        <f>Github!E$1189</f>
        <v>Medium</v>
      </c>
      <c r="K1575" s="13" t="str">
        <f>IF(TRIM(Github!D$1189)="TRUE","FALSE","TRUE")</f>
        <v>FALSE</v>
      </c>
      <c r="L1575" s="13" t="b">
        <f>Github!M$1189</f>
        <v>0</v>
      </c>
      <c r="M1575" s="13" t="b">
        <f>Github!N$1189</f>
        <v>0</v>
      </c>
      <c r="N1575" s="13">
        <f>Github!P$1189</f>
        <v>41641</v>
      </c>
      <c r="O1575" s="13">
        <f>Github!Q$1189</f>
        <v>57117</v>
      </c>
    </row>
    <row r="1576">
      <c r="A1576" s="13">
        <f>Github!J$2040</f>
        <v>2039</v>
      </c>
      <c r="B1576" s="14" t="str">
        <f>HYPERLINK(CONCAT("http://leetcode.com/problems/",Github!C$2040), Github!B$2040)</f>
        <v>The Time When the Network Becomes Idle</v>
      </c>
      <c r="C1576" s="13">
        <f>Github!F$2040</f>
        <v>475</v>
      </c>
      <c r="D1576" s="13">
        <f>Github!G$2040</f>
        <v>32</v>
      </c>
      <c r="E1576" s="13">
        <f>Github!F$2040+Github!G$2040</f>
        <v>507</v>
      </c>
      <c r="F1576" s="15">
        <f t="shared" si="1"/>
        <v>14.84</v>
      </c>
      <c r="G1576" s="13" t="str">
        <f>ROUND(Github!O$2040, 2)&amp;"%"</f>
        <v>50.8%</v>
      </c>
      <c r="H1576" s="13" t="str">
        <f>Github!H$2040</f>
        <v>Algorithms</v>
      </c>
      <c r="I1576" s="16" t="str">
        <f>SUBSTITUTE(Github!L$2040, ";", ", ")</f>
        <v>Array, Breadth-First Search, Graph, </v>
      </c>
      <c r="J1576" s="13" t="str">
        <f>Github!E$2040</f>
        <v>Medium</v>
      </c>
      <c r="K1576" s="13" t="str">
        <f>IF(TRIM(Github!D$2040)="TRUE","FALSE","TRUE")</f>
        <v>TRUE</v>
      </c>
      <c r="L1576" s="13" t="b">
        <f>Github!M$2040</f>
        <v>0</v>
      </c>
      <c r="M1576" s="13" t="b">
        <f>Github!N$2040</f>
        <v>0</v>
      </c>
      <c r="N1576" s="13">
        <f>Github!P$2040</f>
        <v>10027</v>
      </c>
      <c r="O1576" s="13">
        <f>Github!Q$2040</f>
        <v>19739</v>
      </c>
    </row>
    <row r="1577">
      <c r="A1577" s="13">
        <f>Github!J$1960</f>
        <v>1959</v>
      </c>
      <c r="B1577" s="14" t="str">
        <f>HYPERLINK(CONCAT("http://leetcode.com/problems/",Github!C$1960), Github!B$1960)</f>
        <v>Minimum Total Space Wasted With K Resizing Operations</v>
      </c>
      <c r="C1577" s="13">
        <f>Github!F$1960</f>
        <v>471</v>
      </c>
      <c r="D1577" s="13">
        <f>Github!G$1960</f>
        <v>39</v>
      </c>
      <c r="E1577" s="13">
        <f>Github!F$1960+Github!G$1960</f>
        <v>510</v>
      </c>
      <c r="F1577" s="15">
        <f t="shared" si="1"/>
        <v>12.08</v>
      </c>
      <c r="G1577" s="13" t="str">
        <f>ROUND(Github!O$1960, 2)&amp;"%"</f>
        <v>42.09%</v>
      </c>
      <c r="H1577" s="13" t="str">
        <f>Github!H$1960</f>
        <v>Algorithms</v>
      </c>
      <c r="I1577" s="16" t="str">
        <f>SUBSTITUTE(Github!L$1960, ";", ", ")</f>
        <v>Array, Dynamic Programming, </v>
      </c>
      <c r="J1577" s="13" t="str">
        <f>Github!E$1960</f>
        <v>Medium</v>
      </c>
      <c r="K1577" s="13" t="str">
        <f>IF(TRIM(Github!D$1960)="TRUE","FALSE","TRUE")</f>
        <v>TRUE</v>
      </c>
      <c r="L1577" s="13" t="b">
        <f>Github!M$1960</f>
        <v>0</v>
      </c>
      <c r="M1577" s="13" t="b">
        <f>Github!N$1960</f>
        <v>0</v>
      </c>
      <c r="N1577" s="13">
        <f>Github!P$1960</f>
        <v>6490</v>
      </c>
      <c r="O1577" s="13">
        <f>Github!Q$1960</f>
        <v>15419</v>
      </c>
    </row>
    <row r="1578">
      <c r="A1578" s="13">
        <f>Github!J$1629</f>
        <v>1628</v>
      </c>
      <c r="B1578" s="14" t="str">
        <f>HYPERLINK(CONCAT("http://leetcode.com/problems/",Github!C$1629), Github!B$1629)</f>
        <v>Design an Expression Tree With Evaluate Function</v>
      </c>
      <c r="C1578" s="13">
        <f>Github!F$1629</f>
        <v>469</v>
      </c>
      <c r="D1578" s="13">
        <f>Github!G$1629</f>
        <v>69</v>
      </c>
      <c r="E1578" s="13">
        <f>Github!F$1629+Github!G$1629</f>
        <v>538</v>
      </c>
      <c r="F1578" s="15">
        <f t="shared" si="1"/>
        <v>6.8</v>
      </c>
      <c r="G1578" s="13" t="str">
        <f>ROUND(Github!O$1629, 2)&amp;"%"</f>
        <v>82.81%</v>
      </c>
      <c r="H1578" s="13" t="str">
        <f>Github!H$1629</f>
        <v>Algorithms</v>
      </c>
      <c r="I1578" s="16" t="str">
        <f>SUBSTITUTE(Github!L$1629, ";", ", ")</f>
        <v>Math, Stack, Tree, Design, Binary Tree, </v>
      </c>
      <c r="J1578" s="13" t="str">
        <f>Github!E$1629</f>
        <v>Medium</v>
      </c>
      <c r="K1578" s="13" t="str">
        <f>IF(TRIM(Github!D$1629)="TRUE","FALSE","TRUE")</f>
        <v>FALSE</v>
      </c>
      <c r="L1578" s="13" t="b">
        <f>Github!M$1629</f>
        <v>0</v>
      </c>
      <c r="M1578" s="13" t="b">
        <f>Github!N$1629</f>
        <v>0</v>
      </c>
      <c r="N1578" s="13">
        <f>Github!P$1629</f>
        <v>23442</v>
      </c>
      <c r="O1578" s="13">
        <f>Github!Q$1629</f>
        <v>28309</v>
      </c>
    </row>
    <row r="1579">
      <c r="A1579" s="13">
        <f>Github!J$894</f>
        <v>893</v>
      </c>
      <c r="B1579" s="14" t="str">
        <f>HYPERLINK(CONCAT("http://leetcode.com/problems/",Github!C$894), Github!B$894)</f>
        <v>Groups of Special-Equivalent Strings</v>
      </c>
      <c r="C1579" s="13">
        <f>Github!F$894</f>
        <v>471</v>
      </c>
      <c r="D1579" s="13">
        <f>Github!G$894</f>
        <v>1434</v>
      </c>
      <c r="E1579" s="13">
        <f>Github!F$894+Github!G$894</f>
        <v>1905</v>
      </c>
      <c r="F1579" s="15">
        <f t="shared" si="1"/>
        <v>0.33</v>
      </c>
      <c r="G1579" s="13" t="str">
        <f>ROUND(Github!O$894, 2)&amp;"%"</f>
        <v>70.96%</v>
      </c>
      <c r="H1579" s="13" t="str">
        <f>Github!H$894</f>
        <v>Algorithms</v>
      </c>
      <c r="I1579" s="16" t="str">
        <f>SUBSTITUTE(Github!L$894, ";", ", ")</f>
        <v>Array, Hash Table, String, </v>
      </c>
      <c r="J1579" s="13" t="str">
        <f>Github!E$894</f>
        <v>Medium</v>
      </c>
      <c r="K1579" s="13" t="str">
        <f>IF(TRIM(Github!D$894)="TRUE","FALSE","TRUE")</f>
        <v>TRUE</v>
      </c>
      <c r="L1579" s="13" t="b">
        <f>Github!M$894</f>
        <v>0</v>
      </c>
      <c r="M1579" s="13" t="b">
        <f>Github!N$894</f>
        <v>0</v>
      </c>
      <c r="N1579" s="13">
        <f>Github!P$894</f>
        <v>43854</v>
      </c>
      <c r="O1579" s="13">
        <f>Github!Q$894</f>
        <v>61797</v>
      </c>
    </row>
    <row r="1580">
      <c r="A1580" s="13">
        <f>Github!J$1592</f>
        <v>1591</v>
      </c>
      <c r="B1580" s="14" t="str">
        <f>HYPERLINK(CONCAT("http://leetcode.com/problems/",Github!C$1592), Github!B$1592)</f>
        <v>Strange Printer II</v>
      </c>
      <c r="C1580" s="13">
        <f>Github!F$1592</f>
        <v>469</v>
      </c>
      <c r="D1580" s="13">
        <f>Github!G$1592</f>
        <v>15</v>
      </c>
      <c r="E1580" s="13">
        <f>Github!F$1592+Github!G$1592</f>
        <v>484</v>
      </c>
      <c r="F1580" s="15">
        <f t="shared" si="1"/>
        <v>31.27</v>
      </c>
      <c r="G1580" s="13" t="str">
        <f>ROUND(Github!O$1592, 2)&amp;"%"</f>
        <v>58.62%</v>
      </c>
      <c r="H1580" s="13" t="str">
        <f>Github!H$1592</f>
        <v>Algorithms</v>
      </c>
      <c r="I1580" s="16" t="str">
        <f>SUBSTITUTE(Github!L$1592, ";", ", ")</f>
        <v>Array, Graph, Topological Sort, Matrix, </v>
      </c>
      <c r="J1580" s="13" t="str">
        <f>Github!E$1592</f>
        <v>Hard</v>
      </c>
      <c r="K1580" s="13" t="str">
        <f>IF(TRIM(Github!D$1592)="TRUE","FALSE","TRUE")</f>
        <v>TRUE</v>
      </c>
      <c r="L1580" s="13" t="b">
        <f>Github!M$1592</f>
        <v>0</v>
      </c>
      <c r="M1580" s="13" t="b">
        <f>Github!N$1592</f>
        <v>0</v>
      </c>
      <c r="N1580" s="13">
        <f>Github!P$1592</f>
        <v>7999</v>
      </c>
      <c r="O1580" s="13">
        <f>Github!Q$1592</f>
        <v>13646</v>
      </c>
    </row>
    <row r="1581">
      <c r="A1581" s="13">
        <f>Github!J$884</f>
        <v>883</v>
      </c>
      <c r="B1581" s="14" t="str">
        <f>HYPERLINK(CONCAT("http://leetcode.com/problems/",Github!C$884), Github!B$884)</f>
        <v>Projection Area of 3D Shapes</v>
      </c>
      <c r="C1581" s="13">
        <f>Github!F$884</f>
        <v>468</v>
      </c>
      <c r="D1581" s="13">
        <f>Github!G$884</f>
        <v>1266</v>
      </c>
      <c r="E1581" s="13">
        <f>Github!F$884+Github!G$884</f>
        <v>1734</v>
      </c>
      <c r="F1581" s="15">
        <f t="shared" si="1"/>
        <v>0.37</v>
      </c>
      <c r="G1581" s="13" t="str">
        <f>ROUND(Github!O$884, 2)&amp;"%"</f>
        <v>70.91%</v>
      </c>
      <c r="H1581" s="13" t="str">
        <f>Github!H$884</f>
        <v>Algorithms</v>
      </c>
      <c r="I1581" s="16" t="str">
        <f>SUBSTITUTE(Github!L$884, ";", ", ")</f>
        <v>Array, Math, Geometry, Matrix, </v>
      </c>
      <c r="J1581" s="13" t="str">
        <f>Github!E$884</f>
        <v>Easy</v>
      </c>
      <c r="K1581" s="13" t="str">
        <f>IF(TRIM(Github!D$884)="TRUE","FALSE","TRUE")</f>
        <v>TRUE</v>
      </c>
      <c r="L1581" s="13" t="b">
        <f>Github!M$884</f>
        <v>1</v>
      </c>
      <c r="M1581" s="13" t="b">
        <f>Github!N$884</f>
        <v>0</v>
      </c>
      <c r="N1581" s="13">
        <f>Github!P$884</f>
        <v>45566</v>
      </c>
      <c r="O1581" s="13">
        <f>Github!Q$884</f>
        <v>64258</v>
      </c>
    </row>
    <row r="1582">
      <c r="A1582" s="13">
        <f>Github!J$2167</f>
        <v>2166</v>
      </c>
      <c r="B1582" s="14" t="str">
        <f>HYPERLINK(CONCAT("http://leetcode.com/problems/",Github!C$2167), Github!B$2167)</f>
        <v>Design Bitset</v>
      </c>
      <c r="C1582" s="13">
        <f>Github!F$2167</f>
        <v>467</v>
      </c>
      <c r="D1582" s="13">
        <f>Github!G$2167</f>
        <v>43</v>
      </c>
      <c r="E1582" s="13">
        <f>Github!F$2167+Github!G$2167</f>
        <v>510</v>
      </c>
      <c r="F1582" s="15">
        <f t="shared" si="1"/>
        <v>10.86</v>
      </c>
      <c r="G1582" s="13" t="str">
        <f>ROUND(Github!O$2167, 2)&amp;"%"</f>
        <v>31.57%</v>
      </c>
      <c r="H1582" s="13" t="str">
        <f>Github!H$2167</f>
        <v>Algorithms</v>
      </c>
      <c r="I1582" s="16" t="str">
        <f>SUBSTITUTE(Github!L$2167, ";", ", ")</f>
        <v>Array, Hash Table, Design, </v>
      </c>
      <c r="J1582" s="13" t="str">
        <f>Github!E$2167</f>
        <v>Medium</v>
      </c>
      <c r="K1582" s="13" t="str">
        <f>IF(TRIM(Github!D$2167)="TRUE","FALSE","TRUE")</f>
        <v>TRUE</v>
      </c>
      <c r="L1582" s="13" t="b">
        <f>Github!M$2167</f>
        <v>0</v>
      </c>
      <c r="M1582" s="13" t="b">
        <f>Github!N$2167</f>
        <v>0</v>
      </c>
      <c r="N1582" s="13">
        <f>Github!P$2167</f>
        <v>17863</v>
      </c>
      <c r="O1582" s="13">
        <f>Github!Q$2167</f>
        <v>56591</v>
      </c>
    </row>
    <row r="1583">
      <c r="A1583" s="13">
        <f>Github!J$2218</f>
        <v>2217</v>
      </c>
      <c r="B1583" s="14" t="str">
        <f>HYPERLINK(CONCAT("http://leetcode.com/problems/",Github!C$2218), Github!B$2218)</f>
        <v>Find Palindrome With Fixed Length</v>
      </c>
      <c r="C1583" s="13">
        <f>Github!F$2218</f>
        <v>470</v>
      </c>
      <c r="D1583" s="13">
        <f>Github!G$2218</f>
        <v>198</v>
      </c>
      <c r="E1583" s="13">
        <f>Github!F$2218+Github!G$2218</f>
        <v>668</v>
      </c>
      <c r="F1583" s="15">
        <f t="shared" si="1"/>
        <v>2.37</v>
      </c>
      <c r="G1583" s="13" t="str">
        <f>ROUND(Github!O$2218, 2)&amp;"%"</f>
        <v>34.21%</v>
      </c>
      <c r="H1583" s="13" t="str">
        <f>Github!H$2218</f>
        <v>Algorithms</v>
      </c>
      <c r="I1583" s="16" t="str">
        <f>SUBSTITUTE(Github!L$2218, ";", ", ")</f>
        <v>Array, Math, </v>
      </c>
      <c r="J1583" s="13" t="str">
        <f>Github!E$2218</f>
        <v>Medium</v>
      </c>
      <c r="K1583" s="13" t="str">
        <f>IF(TRIM(Github!D$2218)="TRUE","FALSE","TRUE")</f>
        <v>TRUE</v>
      </c>
      <c r="L1583" s="13" t="b">
        <f>Github!M$2218</f>
        <v>0</v>
      </c>
      <c r="M1583" s="13" t="b">
        <f>Github!N$2218</f>
        <v>0</v>
      </c>
      <c r="N1583" s="13">
        <f>Github!P$2218</f>
        <v>13670</v>
      </c>
      <c r="O1583" s="13">
        <f>Github!Q$2218</f>
        <v>39957</v>
      </c>
    </row>
    <row r="1584">
      <c r="A1584" s="13">
        <f>Github!J$2166</f>
        <v>2165</v>
      </c>
      <c r="B1584" s="14" t="str">
        <f>HYPERLINK(CONCAT("http://leetcode.com/problems/",Github!C$2166), Github!B$2166)</f>
        <v>Smallest Value of the Rearranged Number</v>
      </c>
      <c r="C1584" s="13">
        <f>Github!F$2166</f>
        <v>469</v>
      </c>
      <c r="D1584" s="13">
        <f>Github!G$2166</f>
        <v>14</v>
      </c>
      <c r="E1584" s="13">
        <f>Github!F$2166+Github!G$2166</f>
        <v>483</v>
      </c>
      <c r="F1584" s="15">
        <f t="shared" si="1"/>
        <v>33.5</v>
      </c>
      <c r="G1584" s="13" t="str">
        <f>ROUND(Github!O$2166, 2)&amp;"%"</f>
        <v>51.42%</v>
      </c>
      <c r="H1584" s="13" t="str">
        <f>Github!H$2166</f>
        <v>Algorithms</v>
      </c>
      <c r="I1584" s="16" t="str">
        <f>SUBSTITUTE(Github!L$2166, ";", ", ")</f>
        <v>Math, Sorting, </v>
      </c>
      <c r="J1584" s="13" t="str">
        <f>Github!E$2166</f>
        <v>Medium</v>
      </c>
      <c r="K1584" s="13" t="str">
        <f>IF(TRIM(Github!D$2166)="TRUE","FALSE","TRUE")</f>
        <v>TRUE</v>
      </c>
      <c r="L1584" s="13" t="b">
        <f>Github!M$2166</f>
        <v>0</v>
      </c>
      <c r="M1584" s="13" t="b">
        <f>Github!N$2166</f>
        <v>0</v>
      </c>
      <c r="N1584" s="13">
        <f>Github!P$2166</f>
        <v>26469</v>
      </c>
      <c r="O1584" s="13">
        <f>Github!Q$2166</f>
        <v>51479</v>
      </c>
    </row>
    <row r="1585">
      <c r="A1585" s="13">
        <f>Github!J$432</f>
        <v>431</v>
      </c>
      <c r="B1585" s="14" t="str">
        <f>HYPERLINK(CONCAT("http://leetcode.com/problems/",Github!C$432), Github!B$432)</f>
        <v>Encode N-ary Tree to Binary Tree</v>
      </c>
      <c r="C1585" s="13">
        <f>Github!F$432</f>
        <v>465</v>
      </c>
      <c r="D1585" s="13">
        <f>Github!G$432</f>
        <v>24</v>
      </c>
      <c r="E1585" s="13">
        <f>Github!F$432+Github!G$432</f>
        <v>489</v>
      </c>
      <c r="F1585" s="15">
        <f t="shared" si="1"/>
        <v>19.38</v>
      </c>
      <c r="G1585" s="13" t="str">
        <f>ROUND(Github!O$432, 2)&amp;"%"</f>
        <v>78.75%</v>
      </c>
      <c r="H1585" s="13" t="str">
        <f>Github!H$432</f>
        <v>Algorithms</v>
      </c>
      <c r="I1585" s="16" t="str">
        <f>SUBSTITUTE(Github!L$432, ";", ", ")</f>
        <v>Tree, Depth-First Search, Breadth-First Search, Design, Binary Tree, </v>
      </c>
      <c r="J1585" s="13" t="str">
        <f>Github!E$432</f>
        <v>Hard</v>
      </c>
      <c r="K1585" s="13" t="str">
        <f>IF(TRIM(Github!D$432)="TRUE","FALSE","TRUE")</f>
        <v>FALSE</v>
      </c>
      <c r="L1585" s="13" t="b">
        <f>Github!M$432</f>
        <v>1</v>
      </c>
      <c r="M1585" s="13" t="b">
        <f>Github!N$432</f>
        <v>0</v>
      </c>
      <c r="N1585" s="13">
        <f>Github!P$432</f>
        <v>18888</v>
      </c>
      <c r="O1585" s="13">
        <f>Github!Q$432</f>
        <v>23986</v>
      </c>
    </row>
    <row r="1586">
      <c r="A1586" s="13">
        <f>Github!J$1418</f>
        <v>1417</v>
      </c>
      <c r="B1586" s="14" t="str">
        <f>HYPERLINK(CONCAT("http://leetcode.com/problems/",Github!C$1418), Github!B$1418)</f>
        <v>Reformat The String</v>
      </c>
      <c r="C1586" s="13">
        <f>Github!F$1418</f>
        <v>467</v>
      </c>
      <c r="D1586" s="13">
        <f>Github!G$1418</f>
        <v>88</v>
      </c>
      <c r="E1586" s="13">
        <f>Github!F$1418+Github!G$1418</f>
        <v>555</v>
      </c>
      <c r="F1586" s="15">
        <f t="shared" si="1"/>
        <v>5.31</v>
      </c>
      <c r="G1586" s="13" t="str">
        <f>ROUND(Github!O$1418, 2)&amp;"%"</f>
        <v>55.41%</v>
      </c>
      <c r="H1586" s="13" t="str">
        <f>Github!H$1418</f>
        <v>Algorithms</v>
      </c>
      <c r="I1586" s="16" t="str">
        <f>SUBSTITUTE(Github!L$1418, ";", ", ")</f>
        <v>String, </v>
      </c>
      <c r="J1586" s="13" t="str">
        <f>Github!E$1418</f>
        <v>Easy</v>
      </c>
      <c r="K1586" s="13" t="str">
        <f>IF(TRIM(Github!D$1418)="TRUE","FALSE","TRUE")</f>
        <v>TRUE</v>
      </c>
      <c r="L1586" s="13" t="b">
        <f>Github!M$1418</f>
        <v>0</v>
      </c>
      <c r="M1586" s="13" t="b">
        <f>Github!N$1418</f>
        <v>0</v>
      </c>
      <c r="N1586" s="13">
        <f>Github!P$1418</f>
        <v>47866</v>
      </c>
      <c r="O1586" s="13">
        <f>Github!Q$1418</f>
        <v>86380</v>
      </c>
    </row>
    <row r="1587">
      <c r="A1587" s="13">
        <f>Github!J$1577</f>
        <v>1576</v>
      </c>
      <c r="B1587" s="14" t="str">
        <f>HYPERLINK(CONCAT("http://leetcode.com/problems/",Github!C$1577), Github!B$1577)</f>
        <v>Replace All ?'s to Avoid Consecutive Repeating Characters</v>
      </c>
      <c r="C1587" s="13">
        <f>Github!F$1577</f>
        <v>469</v>
      </c>
      <c r="D1587" s="13">
        <f>Github!G$1577</f>
        <v>153</v>
      </c>
      <c r="E1587" s="13">
        <f>Github!F$1577+Github!G$1577</f>
        <v>622</v>
      </c>
      <c r="F1587" s="15">
        <f t="shared" si="1"/>
        <v>3.07</v>
      </c>
      <c r="G1587" s="13" t="str">
        <f>ROUND(Github!O$1577, 2)&amp;"%"</f>
        <v>48.92%</v>
      </c>
      <c r="H1587" s="13" t="str">
        <f>Github!H$1577</f>
        <v>Algorithms</v>
      </c>
      <c r="I1587" s="16" t="str">
        <f>SUBSTITUTE(Github!L$1577, ";", ", ")</f>
        <v>String, </v>
      </c>
      <c r="J1587" s="13" t="str">
        <f>Github!E$1577</f>
        <v>Easy</v>
      </c>
      <c r="K1587" s="13" t="str">
        <f>IF(TRIM(Github!D$1577)="TRUE","FALSE","TRUE")</f>
        <v>TRUE</v>
      </c>
      <c r="L1587" s="13" t="b">
        <f>Github!M$1577</f>
        <v>0</v>
      </c>
      <c r="M1587" s="13" t="b">
        <f>Github!N$1577</f>
        <v>0</v>
      </c>
      <c r="N1587" s="13">
        <f>Github!P$1577</f>
        <v>50233</v>
      </c>
      <c r="O1587" s="13">
        <f>Github!Q$1577</f>
        <v>102687</v>
      </c>
    </row>
    <row r="1588">
      <c r="A1588" s="13">
        <f>Github!J$1421</f>
        <v>1420</v>
      </c>
      <c r="B1588" s="14" t="str">
        <f>HYPERLINK(CONCAT("http://leetcode.com/problems/",Github!C$1421), Github!B$1421)</f>
        <v>Build Array Where You Can Find The Maximum Exactly K Comparisons</v>
      </c>
      <c r="C1588" s="13">
        <f>Github!F$1421</f>
        <v>463</v>
      </c>
      <c r="D1588" s="13">
        <f>Github!G$1421</f>
        <v>11</v>
      </c>
      <c r="E1588" s="13">
        <f>Github!F$1421+Github!G$1421</f>
        <v>474</v>
      </c>
      <c r="F1588" s="15">
        <f t="shared" si="1"/>
        <v>42.09</v>
      </c>
      <c r="G1588" s="13" t="str">
        <f>ROUND(Github!O$1421, 2)&amp;"%"</f>
        <v>63.47%</v>
      </c>
      <c r="H1588" s="13" t="str">
        <f>Github!H$1421</f>
        <v>Algorithms</v>
      </c>
      <c r="I1588" s="16" t="str">
        <f>SUBSTITUTE(Github!L$1421, ";", ", ")</f>
        <v>Dynamic Programming, </v>
      </c>
      <c r="J1588" s="13" t="str">
        <f>Github!E$1421</f>
        <v>Hard</v>
      </c>
      <c r="K1588" s="13" t="str">
        <f>IF(TRIM(Github!D$1421)="TRUE","FALSE","TRUE")</f>
        <v>TRUE</v>
      </c>
      <c r="L1588" s="13" t="b">
        <f>Github!M$1421</f>
        <v>0</v>
      </c>
      <c r="M1588" s="13" t="b">
        <f>Github!N$1421</f>
        <v>0</v>
      </c>
      <c r="N1588" s="13">
        <f>Github!P$1421</f>
        <v>10997</v>
      </c>
      <c r="O1588" s="13">
        <f>Github!Q$1421</f>
        <v>17327</v>
      </c>
    </row>
    <row r="1589">
      <c r="A1589" s="13">
        <f>Github!J$1943</f>
        <v>1942</v>
      </c>
      <c r="B1589" s="14" t="str">
        <f>HYPERLINK(CONCAT("http://leetcode.com/problems/",Github!C$1943), Github!B$1943)</f>
        <v>The Number of the Smallest Unoccupied Chair</v>
      </c>
      <c r="C1589" s="13">
        <f>Github!F$1943</f>
        <v>465</v>
      </c>
      <c r="D1589" s="13">
        <f>Github!G$1943</f>
        <v>20</v>
      </c>
      <c r="E1589" s="13">
        <f>Github!F$1943+Github!G$1943</f>
        <v>485</v>
      </c>
      <c r="F1589" s="15">
        <f t="shared" si="1"/>
        <v>23.25</v>
      </c>
      <c r="G1589" s="13" t="str">
        <f>ROUND(Github!O$1943, 2)&amp;"%"</f>
        <v>40.56%</v>
      </c>
      <c r="H1589" s="13" t="str">
        <f>Github!H$1943</f>
        <v>Algorithms</v>
      </c>
      <c r="I1589" s="16" t="str">
        <f>SUBSTITUTE(Github!L$1943, ";", ", ")</f>
        <v>Array, Heap (Priority Queue), Ordered Set, </v>
      </c>
      <c r="J1589" s="13" t="str">
        <f>Github!E$1943</f>
        <v>Medium</v>
      </c>
      <c r="K1589" s="13" t="str">
        <f>IF(TRIM(Github!D$1943)="TRUE","FALSE","TRUE")</f>
        <v>TRUE</v>
      </c>
      <c r="L1589" s="13" t="b">
        <f>Github!M$1943</f>
        <v>0</v>
      </c>
      <c r="M1589" s="13" t="b">
        <f>Github!N$1943</f>
        <v>0</v>
      </c>
      <c r="N1589" s="13">
        <f>Github!P$1943</f>
        <v>13401</v>
      </c>
      <c r="O1589" s="13">
        <f>Github!Q$1943</f>
        <v>33039</v>
      </c>
    </row>
    <row r="1590">
      <c r="A1590" s="13">
        <f>Github!J$2024</f>
        <v>2023</v>
      </c>
      <c r="B1590" s="14" t="str">
        <f>HYPERLINK(CONCAT("http://leetcode.com/problems/",Github!C$2024), Github!B$2024)</f>
        <v>Number of Pairs of Strings With Concatenation Equal to Target</v>
      </c>
      <c r="C1590" s="13">
        <f>Github!F$2024</f>
        <v>466</v>
      </c>
      <c r="D1590" s="13">
        <f>Github!G$2024</f>
        <v>43</v>
      </c>
      <c r="E1590" s="13">
        <f>Github!F$2024+Github!G$2024</f>
        <v>509</v>
      </c>
      <c r="F1590" s="15">
        <f t="shared" si="1"/>
        <v>10.84</v>
      </c>
      <c r="G1590" s="13" t="str">
        <f>ROUND(Github!O$2024, 2)&amp;"%"</f>
        <v>73.1%</v>
      </c>
      <c r="H1590" s="13" t="str">
        <f>Github!H$2024</f>
        <v>Algorithms</v>
      </c>
      <c r="I1590" s="16" t="str">
        <f>SUBSTITUTE(Github!L$2024, ";", ", ")</f>
        <v>Array, String, </v>
      </c>
      <c r="J1590" s="13" t="str">
        <f>Github!E$2024</f>
        <v>Medium</v>
      </c>
      <c r="K1590" s="13" t="str">
        <f>IF(TRIM(Github!D$2024)="TRUE","FALSE","TRUE")</f>
        <v>TRUE</v>
      </c>
      <c r="L1590" s="13" t="b">
        <f>Github!M$2024</f>
        <v>0</v>
      </c>
      <c r="M1590" s="13" t="b">
        <f>Github!N$2024</f>
        <v>0</v>
      </c>
      <c r="N1590" s="13">
        <f>Github!P$2024</f>
        <v>28039</v>
      </c>
      <c r="O1590" s="13">
        <f>Github!Q$2024</f>
        <v>38358</v>
      </c>
    </row>
    <row r="1591">
      <c r="A1591" s="13">
        <f>Github!J$1865</f>
        <v>1864</v>
      </c>
      <c r="B1591" s="14" t="str">
        <f>HYPERLINK(CONCAT("http://leetcode.com/problems/",Github!C$1865), Github!B$1865)</f>
        <v>Minimum Number of Swaps to Make the Binary String Alternating</v>
      </c>
      <c r="C1591" s="13">
        <f>Github!F$1865</f>
        <v>468</v>
      </c>
      <c r="D1591" s="13">
        <f>Github!G$1865</f>
        <v>31</v>
      </c>
      <c r="E1591" s="13">
        <f>Github!F$1865+Github!G$1865</f>
        <v>499</v>
      </c>
      <c r="F1591" s="15">
        <f t="shared" si="1"/>
        <v>15.1</v>
      </c>
      <c r="G1591" s="13" t="str">
        <f>ROUND(Github!O$1865, 2)&amp;"%"</f>
        <v>42.66%</v>
      </c>
      <c r="H1591" s="13" t="str">
        <f>Github!H$1865</f>
        <v>Algorithms</v>
      </c>
      <c r="I1591" s="16" t="str">
        <f>SUBSTITUTE(Github!L$1865, ";", ", ")</f>
        <v>String, Greedy, </v>
      </c>
      <c r="J1591" s="13" t="str">
        <f>Github!E$1865</f>
        <v>Medium</v>
      </c>
      <c r="K1591" s="13" t="str">
        <f>IF(TRIM(Github!D$1865)="TRUE","FALSE","TRUE")</f>
        <v>TRUE</v>
      </c>
      <c r="L1591" s="13" t="b">
        <f>Github!M$1865</f>
        <v>0</v>
      </c>
      <c r="M1591" s="13" t="b">
        <f>Github!N$1865</f>
        <v>0</v>
      </c>
      <c r="N1591" s="13">
        <f>Github!P$1865</f>
        <v>21210</v>
      </c>
      <c r="O1591" s="13">
        <f>Github!Q$1865</f>
        <v>49723</v>
      </c>
    </row>
    <row r="1592">
      <c r="A1592" s="13">
        <f>Github!J$2178</f>
        <v>2177</v>
      </c>
      <c r="B1592" s="14" t="str">
        <f>HYPERLINK(CONCAT("http://leetcode.com/problems/",Github!C$2178), Github!B$2178)</f>
        <v>Find Three Consecutive Integers That Sum to a Given Number</v>
      </c>
      <c r="C1592" s="13">
        <f>Github!F$2178</f>
        <v>465</v>
      </c>
      <c r="D1592" s="13">
        <f>Github!G$2178</f>
        <v>152</v>
      </c>
      <c r="E1592" s="13">
        <f>Github!F$2178+Github!G$2178</f>
        <v>617</v>
      </c>
      <c r="F1592" s="15">
        <f t="shared" si="1"/>
        <v>3.06</v>
      </c>
      <c r="G1592" s="13" t="str">
        <f>ROUND(Github!O$2178, 2)&amp;"%"</f>
        <v>63.83%</v>
      </c>
      <c r="H1592" s="13" t="str">
        <f>Github!H$2178</f>
        <v>Algorithms</v>
      </c>
      <c r="I1592" s="16" t="str">
        <f>SUBSTITUTE(Github!L$2178, ";", ", ")</f>
        <v>Math, Simulation, </v>
      </c>
      <c r="J1592" s="13" t="str">
        <f>Github!E$2178</f>
        <v>Medium</v>
      </c>
      <c r="K1592" s="13" t="str">
        <f>IF(TRIM(Github!D$2178)="TRUE","FALSE","TRUE")</f>
        <v>TRUE</v>
      </c>
      <c r="L1592" s="13" t="b">
        <f>Github!M$2178</f>
        <v>0</v>
      </c>
      <c r="M1592" s="13" t="b">
        <f>Github!N$2178</f>
        <v>0</v>
      </c>
      <c r="N1592" s="13">
        <f>Github!P$2178</f>
        <v>29996</v>
      </c>
      <c r="O1592" s="13">
        <f>Github!Q$2178</f>
        <v>46992</v>
      </c>
    </row>
    <row r="1593">
      <c r="A1593" s="13">
        <f>Github!J$2334</f>
        <v>2333</v>
      </c>
      <c r="B1593" s="14" t="str">
        <f>HYPERLINK(CONCAT("http://leetcode.com/problems/",Github!C$2334), Github!B$2334)</f>
        <v>Minimum Sum of Squared Difference</v>
      </c>
      <c r="C1593" s="13">
        <f>Github!F$2334</f>
        <v>468</v>
      </c>
      <c r="D1593" s="13">
        <f>Github!G$2334</f>
        <v>29</v>
      </c>
      <c r="E1593" s="13">
        <f>Github!F$2334+Github!G$2334</f>
        <v>497</v>
      </c>
      <c r="F1593" s="15">
        <f t="shared" si="1"/>
        <v>16.14</v>
      </c>
      <c r="G1593" s="13" t="str">
        <f>ROUND(Github!O$2334, 2)&amp;"%"</f>
        <v>25.62%</v>
      </c>
      <c r="H1593" s="13" t="str">
        <f>Github!H2334</f>
        <v>Algorithms</v>
      </c>
      <c r="I1593" s="16" t="str">
        <f>SUBSTITUTE(Github!L$2334, ";", ", ")</f>
        <v>Array, Math, Sorting, Heap (Priority Queue), </v>
      </c>
      <c r="J1593" s="13" t="str">
        <f>Github!E$2334</f>
        <v>Medium</v>
      </c>
      <c r="K1593" s="13" t="str">
        <f>IF(TRIM(Github!D$2334)="TRUE","FALSE","TRUE")</f>
        <v>TRUE</v>
      </c>
      <c r="L1593" s="13" t="b">
        <f>Github!M$2334</f>
        <v>0</v>
      </c>
      <c r="M1593" s="13" t="b">
        <f>Github!N$2334</f>
        <v>0</v>
      </c>
      <c r="N1593" s="13">
        <f>Github!P$2334</f>
        <v>10320</v>
      </c>
      <c r="O1593" s="13">
        <f>Github!Q$2334</f>
        <v>40282</v>
      </c>
    </row>
    <row r="1594">
      <c r="A1594" s="13">
        <f>Github!J$1607</f>
        <v>1606</v>
      </c>
      <c r="B1594" s="14" t="str">
        <f>HYPERLINK(CONCAT("http://leetcode.com/problems/",Github!C$1607), Github!B$1607)</f>
        <v>Find Servers That Handled Most Number of Requests</v>
      </c>
      <c r="C1594" s="13">
        <f>Github!F$1607</f>
        <v>461</v>
      </c>
      <c r="D1594" s="13">
        <f>Github!G$1607</f>
        <v>21</v>
      </c>
      <c r="E1594" s="13">
        <f>Github!F$1607+Github!G$1607</f>
        <v>482</v>
      </c>
      <c r="F1594" s="15">
        <f t="shared" si="1"/>
        <v>21.95</v>
      </c>
      <c r="G1594" s="13" t="str">
        <f>ROUND(Github!O$1607, 2)&amp;"%"</f>
        <v>43.06%</v>
      </c>
      <c r="H1594" s="13" t="str">
        <f>Github!H$1607</f>
        <v>Algorithms</v>
      </c>
      <c r="I1594" s="16" t="str">
        <f>SUBSTITUTE(Github!L$1607, ";", ", ")</f>
        <v>Array, Greedy, Heap (Priority Queue), Ordered Set, </v>
      </c>
      <c r="J1594" s="13" t="str">
        <f>Github!E$1607</f>
        <v>Hard</v>
      </c>
      <c r="K1594" s="13" t="str">
        <f>IF(TRIM(Github!D$1607)="TRUE","FALSE","TRUE")</f>
        <v>TRUE</v>
      </c>
      <c r="L1594" s="13" t="b">
        <f>Github!M$1607</f>
        <v>1</v>
      </c>
      <c r="M1594" s="13" t="b">
        <f>Github!N$1607</f>
        <v>0</v>
      </c>
      <c r="N1594" s="13">
        <f>Github!P$1607</f>
        <v>12117</v>
      </c>
      <c r="O1594" s="13">
        <f>Github!Q$1607</f>
        <v>28143</v>
      </c>
    </row>
    <row r="1595">
      <c r="A1595" s="13">
        <f>Github!J$1275</f>
        <v>1274</v>
      </c>
      <c r="B1595" s="14" t="str">
        <f>HYPERLINK(CONCAT("http://leetcode.com/problems/",Github!C$1275), Github!B$1275)</f>
        <v>Number of Ships in a Rectangle</v>
      </c>
      <c r="C1595" s="13">
        <f>Github!F$1275</f>
        <v>462</v>
      </c>
      <c r="D1595" s="13">
        <f>Github!G$1275</f>
        <v>53</v>
      </c>
      <c r="E1595" s="13">
        <f>Github!F$1275+Github!G$1275</f>
        <v>515</v>
      </c>
      <c r="F1595" s="15">
        <f t="shared" si="1"/>
        <v>8.72</v>
      </c>
      <c r="G1595" s="13" t="str">
        <f>ROUND(Github!O$1275, 2)&amp;"%"</f>
        <v>69.31%</v>
      </c>
      <c r="H1595" s="13" t="str">
        <f>Github!H$1275</f>
        <v>Algorithms</v>
      </c>
      <c r="I1595" s="16" t="str">
        <f>SUBSTITUTE(Github!L$1275, ";", ", ")</f>
        <v>Array, Divide and Conquer, Interactive, </v>
      </c>
      <c r="J1595" s="13" t="str">
        <f>Github!E$1275</f>
        <v>Hard</v>
      </c>
      <c r="K1595" s="13" t="str">
        <f>IF(TRIM(Github!D$1275)="TRUE","FALSE","TRUE")</f>
        <v>FALSE</v>
      </c>
      <c r="L1595" s="13" t="b">
        <f>Github!M$1275</f>
        <v>1</v>
      </c>
      <c r="M1595" s="13" t="b">
        <f>Github!N$1275</f>
        <v>0</v>
      </c>
      <c r="N1595" s="13">
        <f>Github!P$1275</f>
        <v>23427</v>
      </c>
      <c r="O1595" s="13">
        <f>Github!Q$1275</f>
        <v>33800</v>
      </c>
    </row>
    <row r="1596">
      <c r="A1596" s="13">
        <f>Github!J$807</f>
        <v>806</v>
      </c>
      <c r="B1596" s="14" t="str">
        <f>HYPERLINK(CONCAT("http://leetcode.com/problems/",Github!C$807), Github!B$807)</f>
        <v>Number of Lines To Write String</v>
      </c>
      <c r="C1596" s="13">
        <f>Github!F$807</f>
        <v>463</v>
      </c>
      <c r="D1596" s="13">
        <f>Github!G$807</f>
        <v>1198</v>
      </c>
      <c r="E1596" s="13">
        <f>Github!F$807+Github!G$807</f>
        <v>1661</v>
      </c>
      <c r="F1596" s="15">
        <f t="shared" si="1"/>
        <v>0.39</v>
      </c>
      <c r="G1596" s="13" t="str">
        <f>ROUND(Github!O$807, 2)&amp;"%"</f>
        <v>66.32%</v>
      </c>
      <c r="H1596" s="13" t="str">
        <f>Github!H$807</f>
        <v>Algorithms</v>
      </c>
      <c r="I1596" s="16" t="str">
        <f>SUBSTITUTE(Github!L$807, ";", ", ")</f>
        <v>Array, String, </v>
      </c>
      <c r="J1596" s="13" t="str">
        <f>Github!E$807</f>
        <v>Easy</v>
      </c>
      <c r="K1596" s="13" t="str">
        <f>IF(TRIM(Github!D$807)="TRUE","FALSE","TRUE")</f>
        <v>TRUE</v>
      </c>
      <c r="L1596" s="13" t="b">
        <f>Github!M$807</f>
        <v>1</v>
      </c>
      <c r="M1596" s="13" t="b">
        <f>Github!N$807</f>
        <v>0</v>
      </c>
      <c r="N1596" s="13">
        <f>Github!P$807</f>
        <v>61391</v>
      </c>
      <c r="O1596" s="13">
        <f>Github!Q$807</f>
        <v>92575</v>
      </c>
    </row>
    <row r="1597">
      <c r="A1597" s="13">
        <f>Github!J$1666</f>
        <v>1665</v>
      </c>
      <c r="B1597" s="14" t="str">
        <f>HYPERLINK(CONCAT("http://leetcode.com/problems/",Github!C$1666), Github!B$1666)</f>
        <v>Minimum Initial Energy to Finish Tasks</v>
      </c>
      <c r="C1597" s="13">
        <f>Github!F$1666</f>
        <v>460</v>
      </c>
      <c r="D1597" s="13">
        <f>Github!G$1666</f>
        <v>32</v>
      </c>
      <c r="E1597" s="13">
        <f>Github!F$1666+Github!G$1666</f>
        <v>492</v>
      </c>
      <c r="F1597" s="15">
        <f t="shared" si="1"/>
        <v>14.38</v>
      </c>
      <c r="G1597" s="13" t="str">
        <f>ROUND(Github!O$1666, 2)&amp;"%"</f>
        <v>56.22%</v>
      </c>
      <c r="H1597" s="13" t="str">
        <f>Github!H$1666</f>
        <v>Algorithms</v>
      </c>
      <c r="I1597" s="16" t="str">
        <f>SUBSTITUTE(Github!L$1666, ";", ", ")</f>
        <v>Array, Greedy, Sorting, </v>
      </c>
      <c r="J1597" s="13" t="str">
        <f>Github!E$1666</f>
        <v>Hard</v>
      </c>
      <c r="K1597" s="13" t="str">
        <f>IF(TRIM(Github!D$1666)="TRUE","FALSE","TRUE")</f>
        <v>TRUE</v>
      </c>
      <c r="L1597" s="13" t="b">
        <f>Github!M$1666</f>
        <v>0</v>
      </c>
      <c r="M1597" s="13" t="b">
        <f>Github!N$1666</f>
        <v>0</v>
      </c>
      <c r="N1597" s="13">
        <f>Github!P$1666</f>
        <v>13528</v>
      </c>
      <c r="O1597" s="13">
        <f>Github!Q$1666</f>
        <v>24064</v>
      </c>
    </row>
    <row r="1598">
      <c r="A1598" s="13">
        <f>Github!J$2155</f>
        <v>2154</v>
      </c>
      <c r="B1598" s="14" t="str">
        <f>HYPERLINK(CONCAT("http://leetcode.com/problems/",Github!C$2155), Github!B$2155)</f>
        <v>Keep Multiplying Found Values by Two</v>
      </c>
      <c r="C1598" s="13">
        <f>Github!F$2155</f>
        <v>470</v>
      </c>
      <c r="D1598" s="13">
        <f>Github!G$2155</f>
        <v>20</v>
      </c>
      <c r="E1598" s="13">
        <f>Github!F$2155+Github!G$2155</f>
        <v>490</v>
      </c>
      <c r="F1598" s="15">
        <f t="shared" si="1"/>
        <v>23.5</v>
      </c>
      <c r="G1598" s="13" t="str">
        <f>ROUND(Github!O$2155, 2)&amp;"%"</f>
        <v>73.09%</v>
      </c>
      <c r="H1598" s="13" t="str">
        <f>Github!H$2155</f>
        <v>Algorithms</v>
      </c>
      <c r="I1598" s="16" t="str">
        <f>SUBSTITUTE(Github!L$2155, ";", ", ")</f>
        <v>Array, Hash Table, Sorting, Simulation, </v>
      </c>
      <c r="J1598" s="13" t="str">
        <f>Github!E$2155</f>
        <v>Easy</v>
      </c>
      <c r="K1598" s="13" t="str">
        <f>IF(TRIM(Github!D$2155)="TRUE","FALSE","TRUE")</f>
        <v>TRUE</v>
      </c>
      <c r="L1598" s="13" t="b">
        <f>Github!M$2155</f>
        <v>0</v>
      </c>
      <c r="M1598" s="13" t="b">
        <f>Github!N$2155</f>
        <v>0</v>
      </c>
      <c r="N1598" s="13">
        <f>Github!P$2155</f>
        <v>57067</v>
      </c>
      <c r="O1598" s="13">
        <f>Github!Q$2155</f>
        <v>78083</v>
      </c>
    </row>
    <row r="1599">
      <c r="A1599" s="13">
        <f>Github!J$1968</f>
        <v>1967</v>
      </c>
      <c r="B1599" s="14" t="str">
        <f>HYPERLINK(CONCAT("http://leetcode.com/problems/",Github!C$1968), Github!B$1968)</f>
        <v>Number of Strings That Appear as Substrings in Word</v>
      </c>
      <c r="C1599" s="13">
        <f>Github!F$1968</f>
        <v>467</v>
      </c>
      <c r="D1599" s="13">
        <f>Github!G$1968</f>
        <v>23</v>
      </c>
      <c r="E1599" s="13">
        <f>Github!F$1968+Github!G$1968</f>
        <v>490</v>
      </c>
      <c r="F1599" s="15">
        <f t="shared" si="1"/>
        <v>20.3</v>
      </c>
      <c r="G1599" s="13" t="str">
        <f>ROUND(Github!O$1968, 2)&amp;"%"</f>
        <v>80%</v>
      </c>
      <c r="H1599" s="13" t="str">
        <f>Github!H$1968</f>
        <v>Algorithms</v>
      </c>
      <c r="I1599" s="16" t="str">
        <f>SUBSTITUTE(Github!L$1968, ";", ", ")</f>
        <v>String, </v>
      </c>
      <c r="J1599" s="13" t="str">
        <f>Github!E$1968</f>
        <v>Easy</v>
      </c>
      <c r="K1599" s="13" t="str">
        <f>IF(TRIM(Github!D$1968)="TRUE","FALSE","TRUE")</f>
        <v>TRUE</v>
      </c>
      <c r="L1599" s="13" t="b">
        <f>Github!M$1968</f>
        <v>0</v>
      </c>
      <c r="M1599" s="13" t="b">
        <f>Github!N$1968</f>
        <v>0</v>
      </c>
      <c r="N1599" s="13">
        <f>Github!P$1968</f>
        <v>42274</v>
      </c>
      <c r="O1599" s="13">
        <f>Github!Q$1968</f>
        <v>52846</v>
      </c>
    </row>
    <row r="1600">
      <c r="A1600" s="13">
        <f>Github!J$1085</f>
        <v>1084</v>
      </c>
      <c r="B1600" s="14" t="str">
        <f>HYPERLINK(CONCAT("http://leetcode.com/problems/",Github!C$1085), Github!B$1085)</f>
        <v>Sales Analysis III</v>
      </c>
      <c r="C1600" s="13">
        <f>Github!F$1085</f>
        <v>465</v>
      </c>
      <c r="D1600" s="13">
        <f>Github!G$1085</f>
        <v>102</v>
      </c>
      <c r="E1600" s="13">
        <f>Github!F$1085+Github!G$1085</f>
        <v>567</v>
      </c>
      <c r="F1600" s="15">
        <f t="shared" si="1"/>
        <v>4.56</v>
      </c>
      <c r="G1600" s="13" t="str">
        <f>ROUND(Github!O$1085, 2)&amp;"%"</f>
        <v>50.71%</v>
      </c>
      <c r="H1600" s="13" t="str">
        <f>Github!H$1085</f>
        <v>Database</v>
      </c>
      <c r="I1600" s="16" t="str">
        <f>SUBSTITUTE(Github!L$1085, ";", ", ")</f>
        <v>Database, </v>
      </c>
      <c r="J1600" s="13" t="str">
        <f>Github!E$1085</f>
        <v>Easy</v>
      </c>
      <c r="K1600" s="13" t="str">
        <f>IF(TRIM(Github!D$1085)="TRUE","FALSE","TRUE")</f>
        <v>TRUE</v>
      </c>
      <c r="L1600" s="13" t="b">
        <f>Github!M$1085</f>
        <v>0</v>
      </c>
      <c r="M1600" s="13" t="b">
        <f>Github!N$1085</f>
        <v>0</v>
      </c>
      <c r="N1600" s="13">
        <f>Github!P$1085</f>
        <v>82152</v>
      </c>
      <c r="O1600" s="13">
        <f>Github!Q$1085</f>
        <v>162000</v>
      </c>
    </row>
    <row r="1601">
      <c r="A1601" s="13">
        <f>Github!J$1228</f>
        <v>1227</v>
      </c>
      <c r="B1601" s="14" t="str">
        <f>HYPERLINK(CONCAT("http://leetcode.com/problems/",Github!C$1228), Github!B$1228)</f>
        <v>Airplane Seat Assignment Probability</v>
      </c>
      <c r="C1601" s="13">
        <f>Github!F$1228</f>
        <v>462</v>
      </c>
      <c r="D1601" s="13">
        <f>Github!G$1228</f>
        <v>787</v>
      </c>
      <c r="E1601" s="13">
        <f>Github!F$1228+Github!G$1228</f>
        <v>1249</v>
      </c>
      <c r="F1601" s="15">
        <f t="shared" si="1"/>
        <v>0.59</v>
      </c>
      <c r="G1601" s="13" t="str">
        <f>ROUND(Github!O$1228, 2)&amp;"%"</f>
        <v>64.97%</v>
      </c>
      <c r="H1601" s="13" t="str">
        <f>Github!H$1228</f>
        <v>Algorithms</v>
      </c>
      <c r="I1601" s="16" t="str">
        <f>SUBSTITUTE(Github!L$1228, ";", ", ")</f>
        <v>Math, Dynamic Programming, Brainteaser, Probability and Statistics, </v>
      </c>
      <c r="J1601" s="13" t="str">
        <f>Github!E$1228</f>
        <v>Medium</v>
      </c>
      <c r="K1601" s="13" t="str">
        <f>IF(TRIM(Github!D$1228)="TRUE","FALSE","TRUE")</f>
        <v>TRUE</v>
      </c>
      <c r="L1601" s="13" t="b">
        <f>Github!M$1228</f>
        <v>0</v>
      </c>
      <c r="M1601" s="13" t="b">
        <f>Github!N$1228</f>
        <v>0</v>
      </c>
      <c r="N1601" s="13">
        <f>Github!P$1228</f>
        <v>30128</v>
      </c>
      <c r="O1601" s="13">
        <f>Github!Q$1228</f>
        <v>46371</v>
      </c>
    </row>
    <row r="1602">
      <c r="A1602" s="13">
        <f>Github!J$602</f>
        <v>601</v>
      </c>
      <c r="B1602" s="14" t="str">
        <f>HYPERLINK(CONCAT("http://leetcode.com/problems/",Github!C$602), Github!B$602)</f>
        <v>Human Traffic of Stadium</v>
      </c>
      <c r="C1602" s="13">
        <f>Github!F$602</f>
        <v>462</v>
      </c>
      <c r="D1602" s="13">
        <f>Github!G$602</f>
        <v>523</v>
      </c>
      <c r="E1602" s="13">
        <f>Github!F$602+Github!G$602</f>
        <v>985</v>
      </c>
      <c r="F1602" s="15">
        <f t="shared" si="1"/>
        <v>0.88</v>
      </c>
      <c r="G1602" s="13" t="str">
        <f>ROUND(Github!O$602, 2)&amp;"%"</f>
        <v>50.58%</v>
      </c>
      <c r="H1602" s="13" t="str">
        <f>Github!H$602</f>
        <v>Database</v>
      </c>
      <c r="I1602" s="16" t="str">
        <f>SUBSTITUTE(Github!L$602, ";", ", ")</f>
        <v>Database, </v>
      </c>
      <c r="J1602" s="13" t="str">
        <f>Github!E$602</f>
        <v>Hard</v>
      </c>
      <c r="K1602" s="13" t="str">
        <f>IF(TRIM(Github!D$602)="TRUE","FALSE","TRUE")</f>
        <v>TRUE</v>
      </c>
      <c r="L1602" s="13" t="b">
        <f>Github!M$602</f>
        <v>1</v>
      </c>
      <c r="M1602" s="13" t="b">
        <f>Github!N$602</f>
        <v>0</v>
      </c>
      <c r="N1602" s="13">
        <f>Github!P$602</f>
        <v>73744</v>
      </c>
      <c r="O1602" s="13">
        <f>Github!Q$602</f>
        <v>145805</v>
      </c>
    </row>
    <row r="1603">
      <c r="A1603" s="13">
        <f>Github!J$1417</f>
        <v>1416</v>
      </c>
      <c r="B1603" s="14" t="str">
        <f>HYPERLINK(CONCAT("http://leetcode.com/problems/",Github!C$1417), Github!B$1417)</f>
        <v>Restore The Array</v>
      </c>
      <c r="C1603" s="13">
        <f>Github!F$1417</f>
        <v>453</v>
      </c>
      <c r="D1603" s="13">
        <f>Github!G$1417</f>
        <v>15</v>
      </c>
      <c r="E1603" s="13">
        <f>Github!F$1417+Github!G$1417</f>
        <v>468</v>
      </c>
      <c r="F1603" s="15">
        <f t="shared" si="1"/>
        <v>30.2</v>
      </c>
      <c r="G1603" s="13" t="str">
        <f>ROUND(Github!O$1417, 2)&amp;"%"</f>
        <v>38.76%</v>
      </c>
      <c r="H1603" s="13" t="str">
        <f>Github!H$1417</f>
        <v>Algorithms</v>
      </c>
      <c r="I1603" s="16" t="str">
        <f>SUBSTITUTE(Github!L$1417, ";", ", ")</f>
        <v>String, Dynamic Programming, </v>
      </c>
      <c r="J1603" s="13" t="str">
        <f>Github!E$1417</f>
        <v>Hard</v>
      </c>
      <c r="K1603" s="13" t="str">
        <f>IF(TRIM(Github!D$1417)="TRUE","FALSE","TRUE")</f>
        <v>TRUE</v>
      </c>
      <c r="L1603" s="13" t="b">
        <f>Github!M$1417</f>
        <v>0</v>
      </c>
      <c r="M1603" s="13" t="b">
        <f>Github!N$1417</f>
        <v>0</v>
      </c>
      <c r="N1603" s="13">
        <f>Github!P$1417</f>
        <v>14229</v>
      </c>
      <c r="O1603" s="13">
        <f>Github!Q$1417</f>
        <v>36711</v>
      </c>
    </row>
    <row r="1604">
      <c r="A1604" s="13">
        <f>Github!J$2066</f>
        <v>2065</v>
      </c>
      <c r="B1604" s="14" t="str">
        <f>HYPERLINK(CONCAT("http://leetcode.com/problems/",Github!C$2066), Github!B$2066)</f>
        <v>Maximum Path Quality of a Graph</v>
      </c>
      <c r="C1604" s="13">
        <f>Github!F$2066</f>
        <v>462</v>
      </c>
      <c r="D1604" s="13">
        <f>Github!G$2066</f>
        <v>34</v>
      </c>
      <c r="E1604" s="13">
        <f>Github!F$2066+Github!G$2066</f>
        <v>496</v>
      </c>
      <c r="F1604" s="15">
        <f t="shared" si="1"/>
        <v>13.59</v>
      </c>
      <c r="G1604" s="13" t="str">
        <f>ROUND(Github!O$2066, 2)&amp;"%"</f>
        <v>57.48%</v>
      </c>
      <c r="H1604" s="13" t="str">
        <f>Github!H$2066</f>
        <v>Algorithms</v>
      </c>
      <c r="I1604" s="16" t="str">
        <f>SUBSTITUTE(Github!L$2066, ";", ", ")</f>
        <v>Array, Backtracking, Graph, </v>
      </c>
      <c r="J1604" s="13" t="str">
        <f>Github!E$2066</f>
        <v>Hard</v>
      </c>
      <c r="K1604" s="13" t="str">
        <f>IF(TRIM(Github!D$2066)="TRUE","FALSE","TRUE")</f>
        <v>TRUE</v>
      </c>
      <c r="L1604" s="13" t="b">
        <f>Github!M$2066</f>
        <v>0</v>
      </c>
      <c r="M1604" s="13" t="b">
        <f>Github!N$2066</f>
        <v>0</v>
      </c>
      <c r="N1604" s="13">
        <f>Github!P$2066</f>
        <v>14229</v>
      </c>
      <c r="O1604" s="13">
        <f>Github!Q$2066</f>
        <v>24754</v>
      </c>
    </row>
    <row r="1605">
      <c r="A1605" s="13">
        <f>Github!J$1772</f>
        <v>1771</v>
      </c>
      <c r="B1605" s="14" t="str">
        <f>HYPERLINK(CONCAT("http://leetcode.com/problems/",Github!C$1772), Github!B$1772)</f>
        <v>Maximize Palindrome Length From Subsequences</v>
      </c>
      <c r="C1605" s="13">
        <f>Github!F$1772</f>
        <v>454</v>
      </c>
      <c r="D1605" s="13">
        <f>Github!G$1772</f>
        <v>8</v>
      </c>
      <c r="E1605" s="13">
        <f>Github!F$1772+Github!G$1772</f>
        <v>462</v>
      </c>
      <c r="F1605" s="15">
        <f t="shared" si="1"/>
        <v>56.75</v>
      </c>
      <c r="G1605" s="13" t="str">
        <f>ROUND(Github!O$1772, 2)&amp;"%"</f>
        <v>35.25%</v>
      </c>
      <c r="H1605" s="13" t="str">
        <f>Github!H$1772</f>
        <v>Algorithms</v>
      </c>
      <c r="I1605" s="16" t="str">
        <f>SUBSTITUTE(Github!L$1772, ";", ", ")</f>
        <v>String, Dynamic Programming, </v>
      </c>
      <c r="J1605" s="13" t="str">
        <f>Github!E$1772</f>
        <v>Hard</v>
      </c>
      <c r="K1605" s="13" t="str">
        <f>IF(TRIM(Github!D$1772)="TRUE","FALSE","TRUE")</f>
        <v>TRUE</v>
      </c>
      <c r="L1605" s="13" t="b">
        <f>Github!M$1772</f>
        <v>0</v>
      </c>
      <c r="M1605" s="13" t="b">
        <f>Github!N$1772</f>
        <v>0</v>
      </c>
      <c r="N1605" s="13">
        <f>Github!P$1772</f>
        <v>8843</v>
      </c>
      <c r="O1605" s="13">
        <f>Github!Q$1772</f>
        <v>25088</v>
      </c>
    </row>
    <row r="1606">
      <c r="A1606" s="13">
        <f>Github!J$1225</f>
        <v>1224</v>
      </c>
      <c r="B1606" s="14" t="str">
        <f>HYPERLINK(CONCAT("http://leetcode.com/problems/",Github!C$1225), Github!B$1225)</f>
        <v>Maximum Equal Frequency</v>
      </c>
      <c r="C1606" s="13">
        <f>Github!F$1225</f>
        <v>453</v>
      </c>
      <c r="D1606" s="13">
        <f>Github!G$1225</f>
        <v>52</v>
      </c>
      <c r="E1606" s="13">
        <f>Github!F$1225+Github!G$1225</f>
        <v>505</v>
      </c>
      <c r="F1606" s="15">
        <f t="shared" si="1"/>
        <v>8.71</v>
      </c>
      <c r="G1606" s="13" t="str">
        <f>ROUND(Github!O$1225, 2)&amp;"%"</f>
        <v>37.09%</v>
      </c>
      <c r="H1606" s="13" t="str">
        <f>Github!H$1225</f>
        <v>Algorithms</v>
      </c>
      <c r="I1606" s="16" t="str">
        <f>SUBSTITUTE(Github!L$1225, ";", ", ")</f>
        <v>Array, Hash Table, </v>
      </c>
      <c r="J1606" s="13" t="str">
        <f>Github!E$1225</f>
        <v>Hard</v>
      </c>
      <c r="K1606" s="13" t="str">
        <f>IF(TRIM(Github!D$1225)="TRUE","FALSE","TRUE")</f>
        <v>TRUE</v>
      </c>
      <c r="L1606" s="13" t="b">
        <f>Github!M$1225</f>
        <v>0</v>
      </c>
      <c r="M1606" s="13" t="b">
        <f>Github!N$1225</f>
        <v>0</v>
      </c>
      <c r="N1606" s="13">
        <f>Github!P$1225</f>
        <v>12492</v>
      </c>
      <c r="O1606" s="13">
        <f>Github!Q$1225</f>
        <v>33684</v>
      </c>
    </row>
    <row r="1607">
      <c r="A1607" s="13">
        <f>Github!J$1243</f>
        <v>1242</v>
      </c>
      <c r="B1607" s="14" t="str">
        <f>HYPERLINK(CONCAT("http://leetcode.com/problems/",Github!C$1243), Github!B$1243)</f>
        <v>Web Crawler Multithreaded</v>
      </c>
      <c r="C1607" s="13">
        <f>Github!F$1243</f>
        <v>452</v>
      </c>
      <c r="D1607" s="13">
        <f>Github!G$1243</f>
        <v>77</v>
      </c>
      <c r="E1607" s="13">
        <f>Github!F$1243+Github!G$1243</f>
        <v>529</v>
      </c>
      <c r="F1607" s="15">
        <f t="shared" si="1"/>
        <v>5.87</v>
      </c>
      <c r="G1607" s="13" t="str">
        <f>ROUND(Github!O$1243, 2)&amp;"%"</f>
        <v>48.97%</v>
      </c>
      <c r="H1607" s="13" t="str">
        <f>Github!H$1243</f>
        <v>Concurrency</v>
      </c>
      <c r="I1607" s="16" t="str">
        <f>SUBSTITUTE(Github!L$1243, ";", ", ")</f>
        <v>Depth-First Search, Breadth-First Search, Concurrency, </v>
      </c>
      <c r="J1607" s="13" t="str">
        <f>Github!E$1243</f>
        <v>Medium</v>
      </c>
      <c r="K1607" s="13" t="str">
        <f>IF(TRIM(Github!D$1243)="TRUE","FALSE","TRUE")</f>
        <v>FALSE</v>
      </c>
      <c r="L1607" s="13" t="b">
        <f>Github!M$1243</f>
        <v>0</v>
      </c>
      <c r="M1607" s="13" t="b">
        <f>Github!N$1243</f>
        <v>0</v>
      </c>
      <c r="N1607" s="13">
        <f>Github!P$1243</f>
        <v>39633</v>
      </c>
      <c r="O1607" s="13">
        <f>Github!Q$1243</f>
        <v>80928</v>
      </c>
    </row>
    <row r="1608">
      <c r="A1608" s="13">
        <f>Github!J$636</f>
        <v>635</v>
      </c>
      <c r="B1608" s="14" t="str">
        <f>HYPERLINK(CONCAT("http://leetcode.com/problems/",Github!C$636), Github!B$636)</f>
        <v>Design Log Storage System</v>
      </c>
      <c r="C1608" s="13">
        <f>Github!F$636</f>
        <v>448</v>
      </c>
      <c r="D1608" s="13">
        <f>Github!G$636</f>
        <v>189</v>
      </c>
      <c r="E1608" s="13">
        <f>Github!F$636+Github!G$636</f>
        <v>637</v>
      </c>
      <c r="F1608" s="15">
        <f t="shared" si="1"/>
        <v>2.37</v>
      </c>
      <c r="G1608" s="13" t="str">
        <f>ROUND(Github!O$636, 2)&amp;"%"</f>
        <v>62.8%</v>
      </c>
      <c r="H1608" s="13" t="str">
        <f>Github!H$636</f>
        <v>Algorithms</v>
      </c>
      <c r="I1608" s="16" t="str">
        <f>SUBSTITUTE(Github!L$636, ";", ", ")</f>
        <v>Hash Table, String, Design, Ordered Set, </v>
      </c>
      <c r="J1608" s="13" t="str">
        <f>Github!E$636</f>
        <v>Medium</v>
      </c>
      <c r="K1608" s="13" t="str">
        <f>IF(TRIM(Github!D$636)="TRUE","FALSE","TRUE")</f>
        <v>FALSE</v>
      </c>
      <c r="L1608" s="13" t="b">
        <f>Github!M$636</f>
        <v>1</v>
      </c>
      <c r="M1608" s="13" t="b">
        <f>Github!N$636</f>
        <v>0</v>
      </c>
      <c r="N1608" s="13">
        <f>Github!P$636</f>
        <v>32567</v>
      </c>
      <c r="O1608" s="13">
        <f>Github!Q$636</f>
        <v>51858</v>
      </c>
    </row>
    <row r="1609">
      <c r="A1609" s="13">
        <f>Github!J$1196</f>
        <v>1195</v>
      </c>
      <c r="B1609" s="14" t="str">
        <f>HYPERLINK(CONCAT("http://leetcode.com/problems/",Github!C$1196), Github!B$1196)</f>
        <v>Fizz Buzz Multithreaded</v>
      </c>
      <c r="C1609" s="13">
        <f>Github!F$1196</f>
        <v>450</v>
      </c>
      <c r="D1609" s="13">
        <f>Github!G$1196</f>
        <v>331</v>
      </c>
      <c r="E1609" s="13">
        <f>Github!F$1196+Github!G$1196</f>
        <v>781</v>
      </c>
      <c r="F1609" s="15">
        <f t="shared" si="1"/>
        <v>1.36</v>
      </c>
      <c r="G1609" s="13" t="str">
        <f>ROUND(Github!O$1196, 2)&amp;"%"</f>
        <v>72.75%</v>
      </c>
      <c r="H1609" s="13" t="str">
        <f>Github!H$1196</f>
        <v>Concurrency</v>
      </c>
      <c r="I1609" s="16" t="str">
        <f>SUBSTITUTE(Github!L$1196, ";", ", ")</f>
        <v>Concurrency, </v>
      </c>
      <c r="J1609" s="13" t="str">
        <f>Github!E$1196</f>
        <v>Medium</v>
      </c>
      <c r="K1609" s="13" t="str">
        <f>IF(TRIM(Github!D$1196)="TRUE","FALSE","TRUE")</f>
        <v>TRUE</v>
      </c>
      <c r="L1609" s="13" t="b">
        <f>Github!M$1196</f>
        <v>0</v>
      </c>
      <c r="M1609" s="13" t="b">
        <f>Github!N$1196</f>
        <v>0</v>
      </c>
      <c r="N1609" s="13">
        <f>Github!P$1196</f>
        <v>34809</v>
      </c>
      <c r="O1609" s="13">
        <f>Github!Q$1196</f>
        <v>47851</v>
      </c>
    </row>
    <row r="1610">
      <c r="A1610" s="13">
        <f>Github!J$1166</f>
        <v>1165</v>
      </c>
      <c r="B1610" s="14" t="str">
        <f>HYPERLINK(CONCAT("http://leetcode.com/problems/",Github!C$1166), Github!B$1166)</f>
        <v>Single-Row Keyboard</v>
      </c>
      <c r="C1610" s="13">
        <f>Github!F$1166</f>
        <v>452</v>
      </c>
      <c r="D1610" s="13">
        <f>Github!G$1166</f>
        <v>20</v>
      </c>
      <c r="E1610" s="13">
        <f>Github!F$1166+Github!G$1166</f>
        <v>472</v>
      </c>
      <c r="F1610" s="15">
        <f t="shared" si="1"/>
        <v>22.6</v>
      </c>
      <c r="G1610" s="13" t="str">
        <f>ROUND(Github!O$1166, 2)&amp;"%"</f>
        <v>86.51%</v>
      </c>
      <c r="H1610" s="13" t="str">
        <f>Github!H$1166</f>
        <v>Algorithms</v>
      </c>
      <c r="I1610" s="16" t="str">
        <f>SUBSTITUTE(Github!L$1166, ";", ", ")</f>
        <v>Hash Table, String, </v>
      </c>
      <c r="J1610" s="13" t="str">
        <f>Github!E$1166</f>
        <v>Easy</v>
      </c>
      <c r="K1610" s="13" t="str">
        <f>IF(TRIM(Github!D$1166)="TRUE","FALSE","TRUE")</f>
        <v>FALSE</v>
      </c>
      <c r="L1610" s="13" t="b">
        <f>Github!M$1166</f>
        <v>1</v>
      </c>
      <c r="M1610" s="13" t="b">
        <f>Github!N$1166</f>
        <v>1</v>
      </c>
      <c r="N1610" s="13">
        <f>Github!P$1166</f>
        <v>69858</v>
      </c>
      <c r="O1610" s="13">
        <f>Github!Q$1166</f>
        <v>80752</v>
      </c>
    </row>
    <row r="1611">
      <c r="A1611" s="13">
        <f>Github!J$1404</f>
        <v>1403</v>
      </c>
      <c r="B1611" s="14" t="str">
        <f>HYPERLINK(CONCAT("http://leetcode.com/problems/",Github!C$1404), Github!B$1404)</f>
        <v>Minimum Subsequence in Non-Increasing Order</v>
      </c>
      <c r="C1611" s="13">
        <f>Github!F$1404</f>
        <v>449</v>
      </c>
      <c r="D1611" s="13">
        <f>Github!G$1404</f>
        <v>436</v>
      </c>
      <c r="E1611" s="13">
        <f>Github!F$1404+Github!G$1404</f>
        <v>885</v>
      </c>
      <c r="F1611" s="15">
        <f t="shared" si="1"/>
        <v>1.03</v>
      </c>
      <c r="G1611" s="13" t="str">
        <f>ROUND(Github!O$1404, 2)&amp;"%"</f>
        <v>72.19%</v>
      </c>
      <c r="H1611" s="13" t="str">
        <f>Github!H$1404</f>
        <v>Algorithms</v>
      </c>
      <c r="I1611" s="16" t="str">
        <f>SUBSTITUTE(Github!L$1404, ";", ", ")</f>
        <v>Array, Greedy, Sorting, </v>
      </c>
      <c r="J1611" s="13" t="str">
        <f>Github!E$1404</f>
        <v>Easy</v>
      </c>
      <c r="K1611" s="13" t="str">
        <f>IF(TRIM(Github!D$1404)="TRUE","FALSE","TRUE")</f>
        <v>TRUE</v>
      </c>
      <c r="L1611" s="13" t="b">
        <f>Github!M$1404</f>
        <v>0</v>
      </c>
      <c r="M1611" s="13" t="b">
        <f>Github!N$1404</f>
        <v>0</v>
      </c>
      <c r="N1611" s="13">
        <f>Github!P$1404</f>
        <v>58066</v>
      </c>
      <c r="O1611" s="13">
        <f>Github!Q$1404</f>
        <v>80432</v>
      </c>
    </row>
    <row r="1612">
      <c r="A1612" s="13">
        <f>Github!J$1286</f>
        <v>1285</v>
      </c>
      <c r="B1612" s="14" t="str">
        <f>HYPERLINK(CONCAT("http://leetcode.com/problems/",Github!C$1286), Github!B$1286)</f>
        <v>Find the Start and End Number of Continuous Ranges</v>
      </c>
      <c r="C1612" s="13">
        <f>Github!F$1286</f>
        <v>454</v>
      </c>
      <c r="D1612" s="13">
        <f>Github!G$1286</f>
        <v>27</v>
      </c>
      <c r="E1612" s="13">
        <f>Github!F$1286+Github!G$1286</f>
        <v>481</v>
      </c>
      <c r="F1612" s="15">
        <f t="shared" si="1"/>
        <v>16.81</v>
      </c>
      <c r="G1612" s="13" t="str">
        <f>ROUND(Github!O$1286, 2)&amp;"%"</f>
        <v>87.46%</v>
      </c>
      <c r="H1612" s="13" t="str">
        <f>Github!H$1286</f>
        <v>Database</v>
      </c>
      <c r="I1612" s="16" t="str">
        <f>SUBSTITUTE(Github!L$1286, ";", ", ")</f>
        <v>Database, </v>
      </c>
      <c r="J1612" s="13" t="str">
        <f>Github!E$1286</f>
        <v>Medium</v>
      </c>
      <c r="K1612" s="13" t="str">
        <f>IF(TRIM(Github!D$1286)="TRUE","FALSE","TRUE")</f>
        <v>FALSE</v>
      </c>
      <c r="L1612" s="13" t="b">
        <f>Github!M$1286</f>
        <v>0</v>
      </c>
      <c r="M1612" s="13" t="b">
        <f>Github!N$1286</f>
        <v>0</v>
      </c>
      <c r="N1612" s="13">
        <f>Github!P$1286</f>
        <v>28599</v>
      </c>
      <c r="O1612" s="13">
        <f>Github!Q$1286</f>
        <v>32699</v>
      </c>
    </row>
    <row r="1613">
      <c r="A1613" s="13">
        <f>Github!J$799</f>
        <v>798</v>
      </c>
      <c r="B1613" s="14" t="str">
        <f>HYPERLINK(CONCAT("http://leetcode.com/problems/",Github!C$799), Github!B$799)</f>
        <v>Smallest Rotation with Highest Score</v>
      </c>
      <c r="C1613" s="13">
        <f>Github!F$799</f>
        <v>455</v>
      </c>
      <c r="D1613" s="13">
        <f>Github!G$799</f>
        <v>34</v>
      </c>
      <c r="E1613" s="13">
        <f>Github!F$799+Github!G$799</f>
        <v>489</v>
      </c>
      <c r="F1613" s="15">
        <f t="shared" si="1"/>
        <v>13.38</v>
      </c>
      <c r="G1613" s="13" t="str">
        <f>ROUND(Github!O$799, 2)&amp;"%"</f>
        <v>50.03%</v>
      </c>
      <c r="H1613" s="13" t="str">
        <f>Github!H$799</f>
        <v>Algorithms</v>
      </c>
      <c r="I1613" s="16" t="str">
        <f>SUBSTITUTE(Github!L$799, ";", ", ")</f>
        <v>Array, Prefix Sum, </v>
      </c>
      <c r="J1613" s="13" t="str">
        <f>Github!E$799</f>
        <v>Hard</v>
      </c>
      <c r="K1613" s="13" t="str">
        <f>IF(TRIM(Github!D$799)="TRUE","FALSE","TRUE")</f>
        <v>TRUE</v>
      </c>
      <c r="L1613" s="13" t="b">
        <f>Github!M$799</f>
        <v>1</v>
      </c>
      <c r="M1613" s="13" t="b">
        <f>Github!N$799</f>
        <v>0</v>
      </c>
      <c r="N1613" s="13">
        <f>Github!P$799</f>
        <v>11356</v>
      </c>
      <c r="O1613" s="13">
        <f>Github!Q$799</f>
        <v>22699</v>
      </c>
    </row>
    <row r="1614">
      <c r="A1614" s="13">
        <f>Github!J$2189</f>
        <v>2188</v>
      </c>
      <c r="B1614" s="14" t="str">
        <f>HYPERLINK(CONCAT("http://leetcode.com/problems/",Github!C$2189), Github!B$2189)</f>
        <v>Minimum Time to Finish the Race</v>
      </c>
      <c r="C1614" s="13">
        <f>Github!F$2189</f>
        <v>449</v>
      </c>
      <c r="D1614" s="13">
        <f>Github!G$2189</f>
        <v>19</v>
      </c>
      <c r="E1614" s="13">
        <f>Github!F$2189+Github!G$2189</f>
        <v>468</v>
      </c>
      <c r="F1614" s="15">
        <f t="shared" si="1"/>
        <v>23.63</v>
      </c>
      <c r="G1614" s="13" t="str">
        <f>ROUND(Github!O$2189, 2)&amp;"%"</f>
        <v>41.77%</v>
      </c>
      <c r="H1614" s="13" t="str">
        <f>Github!H$2189</f>
        <v>Algorithms</v>
      </c>
      <c r="I1614" s="16" t="str">
        <f>SUBSTITUTE(Github!L$2189, ";", ", ")</f>
        <v>Array, Dynamic Programming, </v>
      </c>
      <c r="J1614" s="13" t="str">
        <f>Github!E$2189</f>
        <v>Hard</v>
      </c>
      <c r="K1614" s="13" t="str">
        <f>IF(TRIM(Github!D$2189)="TRUE","FALSE","TRUE")</f>
        <v>TRUE</v>
      </c>
      <c r="L1614" s="13" t="b">
        <f>Github!M$2189</f>
        <v>0</v>
      </c>
      <c r="M1614" s="13" t="b">
        <f>Github!N$2189</f>
        <v>0</v>
      </c>
      <c r="N1614" s="13">
        <f>Github!P$2189</f>
        <v>9186</v>
      </c>
      <c r="O1614" s="13">
        <f>Github!Q$2189</f>
        <v>21991</v>
      </c>
    </row>
    <row r="1615">
      <c r="A1615" s="13">
        <f>Github!J$1719</f>
        <v>1718</v>
      </c>
      <c r="B1615" s="14" t="str">
        <f>HYPERLINK(CONCAT("http://leetcode.com/problems/",Github!C$1719), Github!B$1719)</f>
        <v>Construct the Lexicographically Largest Valid Sequence</v>
      </c>
      <c r="C1615" s="13">
        <f>Github!F$1719</f>
        <v>446</v>
      </c>
      <c r="D1615" s="13">
        <f>Github!G$1719</f>
        <v>38</v>
      </c>
      <c r="E1615" s="13">
        <f>Github!F$1719+Github!G$1719</f>
        <v>484</v>
      </c>
      <c r="F1615" s="15">
        <f t="shared" si="1"/>
        <v>11.74</v>
      </c>
      <c r="G1615" s="13" t="str">
        <f>ROUND(Github!O$1719, 2)&amp;"%"</f>
        <v>51.79%</v>
      </c>
      <c r="H1615" s="13" t="str">
        <f>Github!H$1719</f>
        <v>Algorithms</v>
      </c>
      <c r="I1615" s="16" t="str">
        <f>SUBSTITUTE(Github!L$1719, ";", ", ")</f>
        <v>Array, Backtracking, </v>
      </c>
      <c r="J1615" s="13" t="str">
        <f>Github!E$1719</f>
        <v>Medium</v>
      </c>
      <c r="K1615" s="13" t="str">
        <f>IF(TRIM(Github!D$1719)="TRUE","FALSE","TRUE")</f>
        <v>TRUE</v>
      </c>
      <c r="L1615" s="13" t="b">
        <f>Github!M$1719</f>
        <v>0</v>
      </c>
      <c r="M1615" s="13" t="b">
        <f>Github!N$1719</f>
        <v>0</v>
      </c>
      <c r="N1615" s="13">
        <f>Github!P$1719</f>
        <v>10207</v>
      </c>
      <c r="O1615" s="13">
        <f>Github!Q$1719</f>
        <v>19708</v>
      </c>
    </row>
    <row r="1616">
      <c r="A1616" s="13">
        <f>Github!J$664</f>
        <v>663</v>
      </c>
      <c r="B1616" s="14" t="str">
        <f>HYPERLINK(CONCAT("http://leetcode.com/problems/",Github!C$664), Github!B$664)</f>
        <v>Equal Tree Partition</v>
      </c>
      <c r="C1616" s="13">
        <f>Github!F$664</f>
        <v>445</v>
      </c>
      <c r="D1616" s="13">
        <f>Github!G$664</f>
        <v>35</v>
      </c>
      <c r="E1616" s="13">
        <f>Github!F$664+Github!G$664</f>
        <v>480</v>
      </c>
      <c r="F1616" s="15">
        <f t="shared" si="1"/>
        <v>12.71</v>
      </c>
      <c r="G1616" s="13" t="str">
        <f>ROUND(Github!O$664, 2)&amp;"%"</f>
        <v>41.41%</v>
      </c>
      <c r="H1616" s="13" t="str">
        <f>Github!H$664</f>
        <v>Algorithms</v>
      </c>
      <c r="I1616" s="16" t="str">
        <f>SUBSTITUTE(Github!L$664, ";", ", ")</f>
        <v>Tree, Depth-First Search, Binary Tree, </v>
      </c>
      <c r="J1616" s="13" t="str">
        <f>Github!E$664</f>
        <v>Medium</v>
      </c>
      <c r="K1616" s="13" t="str">
        <f>IF(TRIM(Github!D$664)="TRUE","FALSE","TRUE")</f>
        <v>FALSE</v>
      </c>
      <c r="L1616" s="13" t="b">
        <f>Github!M$664</f>
        <v>1</v>
      </c>
      <c r="M1616" s="13" t="b">
        <f>Github!N$664</f>
        <v>0</v>
      </c>
      <c r="N1616" s="13">
        <f>Github!P$664</f>
        <v>28905</v>
      </c>
      <c r="O1616" s="13">
        <f>Github!Q$664</f>
        <v>69798</v>
      </c>
    </row>
    <row r="1617">
      <c r="A1617" s="13">
        <f>Github!J$1576</f>
        <v>1575</v>
      </c>
      <c r="B1617" s="14" t="str">
        <f>HYPERLINK(CONCAT("http://leetcode.com/problems/",Github!C$1576), Github!B$1576)</f>
        <v>Count All Possible Routes</v>
      </c>
      <c r="C1617" s="13">
        <f>Github!F$1576</f>
        <v>451</v>
      </c>
      <c r="D1617" s="13">
        <f>Github!G$1576</f>
        <v>26</v>
      </c>
      <c r="E1617" s="13">
        <f>Github!F$1576+Github!G$1576</f>
        <v>477</v>
      </c>
      <c r="F1617" s="15">
        <f t="shared" si="1"/>
        <v>17.35</v>
      </c>
      <c r="G1617" s="13" t="str">
        <f>ROUND(Github!O$1576, 2)&amp;"%"</f>
        <v>56.71%</v>
      </c>
      <c r="H1617" s="13" t="str">
        <f>Github!H$1576</f>
        <v>Algorithms</v>
      </c>
      <c r="I1617" s="16" t="str">
        <f>SUBSTITUTE(Github!L$1576, ";", ", ")</f>
        <v>Array, Dynamic Programming, Memoization, </v>
      </c>
      <c r="J1617" s="13" t="str">
        <f>Github!E$1576</f>
        <v>Hard</v>
      </c>
      <c r="K1617" s="13" t="str">
        <f>IF(TRIM(Github!D$1576)="TRUE","FALSE","TRUE")</f>
        <v>TRUE</v>
      </c>
      <c r="L1617" s="13" t="b">
        <f>Github!M$1576</f>
        <v>0</v>
      </c>
      <c r="M1617" s="13" t="b">
        <f>Github!N$1576</f>
        <v>0</v>
      </c>
      <c r="N1617" s="13">
        <f>Github!P$1576</f>
        <v>12142</v>
      </c>
      <c r="O1617" s="13">
        <f>Github!Q$1576</f>
        <v>21412</v>
      </c>
    </row>
    <row r="1618">
      <c r="A1618" s="13">
        <f>Github!J$1907</f>
        <v>1906</v>
      </c>
      <c r="B1618" s="14" t="str">
        <f>HYPERLINK(CONCAT("http://leetcode.com/problems/",Github!C$1907), Github!B$1907)</f>
        <v>Minimum Absolute Difference Queries</v>
      </c>
      <c r="C1618" s="13">
        <f>Github!F$1907</f>
        <v>450</v>
      </c>
      <c r="D1618" s="13">
        <f>Github!G$1907</f>
        <v>30</v>
      </c>
      <c r="E1618" s="13">
        <f>Github!F$1907+Github!G$1907</f>
        <v>480</v>
      </c>
      <c r="F1618" s="15">
        <f t="shared" si="1"/>
        <v>15</v>
      </c>
      <c r="G1618" s="13" t="str">
        <f>ROUND(Github!O$1907, 2)&amp;"%"</f>
        <v>43.9%</v>
      </c>
      <c r="H1618" s="13" t="str">
        <f>Github!H$1907</f>
        <v>Algorithms</v>
      </c>
      <c r="I1618" s="16" t="str">
        <f>SUBSTITUTE(Github!L$1907, ";", ", ")</f>
        <v>Array, Hash Table, </v>
      </c>
      <c r="J1618" s="13" t="str">
        <f>Github!E$1907</f>
        <v>Medium</v>
      </c>
      <c r="K1618" s="13" t="str">
        <f>IF(TRIM(Github!D$1907)="TRUE","FALSE","TRUE")</f>
        <v>TRUE</v>
      </c>
      <c r="L1618" s="13" t="b">
        <f>Github!M$1907</f>
        <v>0</v>
      </c>
      <c r="M1618" s="13" t="b">
        <f>Github!N$1907</f>
        <v>0</v>
      </c>
      <c r="N1618" s="13">
        <f>Github!P$1907</f>
        <v>9119</v>
      </c>
      <c r="O1618" s="13">
        <f>Github!Q$1907</f>
        <v>20773</v>
      </c>
    </row>
    <row r="1619">
      <c r="A1619" s="13">
        <f>Github!J$1153</f>
        <v>1152</v>
      </c>
      <c r="B1619" s="14" t="str">
        <f>HYPERLINK(CONCAT("http://leetcode.com/problems/",Github!C$1153), Github!B$1153)</f>
        <v>Analyze User Website Visit Pattern</v>
      </c>
      <c r="C1619" s="13">
        <f>Github!F$1153</f>
        <v>448</v>
      </c>
      <c r="D1619" s="13">
        <f>Github!G$1153</f>
        <v>3422</v>
      </c>
      <c r="E1619" s="13">
        <f>Github!F$1153+Github!G$1153</f>
        <v>3870</v>
      </c>
      <c r="F1619" s="15">
        <f t="shared" si="1"/>
        <v>0.13</v>
      </c>
      <c r="G1619" s="13" t="str">
        <f>ROUND(Github!O$1153, 2)&amp;"%"</f>
        <v>43.24%</v>
      </c>
      <c r="H1619" s="13" t="str">
        <f>Github!H$1153</f>
        <v>Algorithms</v>
      </c>
      <c r="I1619" s="16" t="str">
        <f>SUBSTITUTE(Github!L$1153, ";", ", ")</f>
        <v>Array, Hash Table, Sorting, </v>
      </c>
      <c r="J1619" s="13" t="str">
        <f>Github!E$1153</f>
        <v>Medium</v>
      </c>
      <c r="K1619" s="13" t="str">
        <f>IF(TRIM(Github!D$1153)="TRUE","FALSE","TRUE")</f>
        <v>FALSE</v>
      </c>
      <c r="L1619" s="13" t="b">
        <f>Github!M$1153</f>
        <v>0</v>
      </c>
      <c r="M1619" s="13" t="b">
        <f>Github!N$1153</f>
        <v>0</v>
      </c>
      <c r="N1619" s="13">
        <f>Github!P$1153</f>
        <v>85052</v>
      </c>
      <c r="O1619" s="13">
        <f>Github!Q$1153</f>
        <v>196679</v>
      </c>
    </row>
    <row r="1620">
      <c r="A1620" s="13">
        <f>Github!J$813</f>
        <v>812</v>
      </c>
      <c r="B1620" s="14" t="str">
        <f>HYPERLINK(CONCAT("http://leetcode.com/problems/",Github!C$813), Github!B$813)</f>
        <v>Largest Triangle Area</v>
      </c>
      <c r="C1620" s="13">
        <f>Github!F$813</f>
        <v>444</v>
      </c>
      <c r="D1620" s="13">
        <f>Github!G$813</f>
        <v>1474</v>
      </c>
      <c r="E1620" s="13">
        <f>Github!F$813+Github!G$813</f>
        <v>1918</v>
      </c>
      <c r="F1620" s="15">
        <f t="shared" si="1"/>
        <v>0.3</v>
      </c>
      <c r="G1620" s="13" t="str">
        <f>ROUND(Github!O$813, 2)&amp;"%"</f>
        <v>60.03%</v>
      </c>
      <c r="H1620" s="13" t="str">
        <f>Github!H$813</f>
        <v>Algorithms</v>
      </c>
      <c r="I1620" s="16" t="str">
        <f>SUBSTITUTE(Github!L$813, ";", ", ")</f>
        <v>Array, Math, Geometry, </v>
      </c>
      <c r="J1620" s="13" t="str">
        <f>Github!E$813</f>
        <v>Easy</v>
      </c>
      <c r="K1620" s="13" t="str">
        <f>IF(TRIM(Github!D$813)="TRUE","FALSE","TRUE")</f>
        <v>TRUE</v>
      </c>
      <c r="L1620" s="13" t="b">
        <f>Github!M$813</f>
        <v>0</v>
      </c>
      <c r="M1620" s="13" t="b">
        <f>Github!N$813</f>
        <v>0</v>
      </c>
      <c r="N1620" s="13">
        <f>Github!P$813</f>
        <v>38763</v>
      </c>
      <c r="O1620" s="13">
        <f>Github!Q$813</f>
        <v>64569</v>
      </c>
    </row>
    <row r="1621">
      <c r="A1621" s="13">
        <f>Github!J$1834</f>
        <v>1833</v>
      </c>
      <c r="B1621" s="14" t="str">
        <f>HYPERLINK(CONCAT("http://leetcode.com/problems/",Github!C$1834), Github!B$1834)</f>
        <v>Maximum Ice Cream Bars</v>
      </c>
      <c r="C1621" s="13">
        <f>Github!F$1834</f>
        <v>450</v>
      </c>
      <c r="D1621" s="13">
        <f>Github!G$1834</f>
        <v>182</v>
      </c>
      <c r="E1621" s="13">
        <f>Github!F$1834+Github!G$1834</f>
        <v>632</v>
      </c>
      <c r="F1621" s="15">
        <f t="shared" si="1"/>
        <v>2.47</v>
      </c>
      <c r="G1621" s="13" t="str">
        <f>ROUND(Github!O$1834, 2)&amp;"%"</f>
        <v>65.72%</v>
      </c>
      <c r="H1621" s="13" t="str">
        <f>Github!H$1834</f>
        <v>Algorithms</v>
      </c>
      <c r="I1621" s="16" t="str">
        <f>SUBSTITUTE(Github!L$1834, ";", ", ")</f>
        <v>Array, Greedy, Sorting, </v>
      </c>
      <c r="J1621" s="13" t="str">
        <f>Github!E$1834</f>
        <v>Medium</v>
      </c>
      <c r="K1621" s="13" t="str">
        <f>IF(TRIM(Github!D$1834)="TRUE","FALSE","TRUE")</f>
        <v>TRUE</v>
      </c>
      <c r="L1621" s="13" t="b">
        <f>Github!M$1834</f>
        <v>1</v>
      </c>
      <c r="M1621" s="13" t="b">
        <f>Github!N$1834</f>
        <v>0</v>
      </c>
      <c r="N1621" s="13">
        <f>Github!P$1834</f>
        <v>39802</v>
      </c>
      <c r="O1621" s="13">
        <f>Github!Q$1834</f>
        <v>60562</v>
      </c>
    </row>
    <row r="1622">
      <c r="A1622" s="13">
        <f>Github!J$1726</f>
        <v>1725</v>
      </c>
      <c r="B1622" s="14" t="str">
        <f>HYPERLINK(CONCAT("http://leetcode.com/problems/",Github!C$1726), Github!B$1726)</f>
        <v>Number Of Rectangles That Can Form The Largest Square</v>
      </c>
      <c r="C1622" s="13">
        <f>Github!F$1726</f>
        <v>446</v>
      </c>
      <c r="D1622" s="13">
        <f>Github!G$1726</f>
        <v>46</v>
      </c>
      <c r="E1622" s="13">
        <f>Github!F$1726+Github!G$1726</f>
        <v>492</v>
      </c>
      <c r="F1622" s="15">
        <f t="shared" si="1"/>
        <v>9.7</v>
      </c>
      <c r="G1622" s="13" t="str">
        <f>ROUND(Github!O$1726, 2)&amp;"%"</f>
        <v>78.7%</v>
      </c>
      <c r="H1622" s="13" t="str">
        <f>Github!H$1726</f>
        <v>Algorithms</v>
      </c>
      <c r="I1622" s="16" t="str">
        <f>SUBSTITUTE(Github!L$1726, ";", ", ")</f>
        <v>Array, </v>
      </c>
      <c r="J1622" s="13" t="str">
        <f>Github!E$1726</f>
        <v>Easy</v>
      </c>
      <c r="K1622" s="13" t="str">
        <f>IF(TRIM(Github!D$1726)="TRUE","FALSE","TRUE")</f>
        <v>TRUE</v>
      </c>
      <c r="L1622" s="13" t="b">
        <f>Github!M$1726</f>
        <v>0</v>
      </c>
      <c r="M1622" s="13" t="b">
        <f>Github!N$1726</f>
        <v>0</v>
      </c>
      <c r="N1622" s="13">
        <f>Github!P$1726</f>
        <v>52367</v>
      </c>
      <c r="O1622" s="13">
        <f>Github!Q$1726</f>
        <v>66540</v>
      </c>
    </row>
    <row r="1623">
      <c r="A1623" s="13">
        <f>Github!J$1215</f>
        <v>1214</v>
      </c>
      <c r="B1623" s="14" t="str">
        <f>HYPERLINK(CONCAT("http://leetcode.com/problems/",Github!C$1215), Github!B$1215)</f>
        <v>Two Sum BSTs</v>
      </c>
      <c r="C1623" s="13">
        <f>Github!F$1215</f>
        <v>442</v>
      </c>
      <c r="D1623" s="13">
        <f>Github!G$1215</f>
        <v>44</v>
      </c>
      <c r="E1623" s="13">
        <f>Github!F$1215+Github!G$1215</f>
        <v>486</v>
      </c>
      <c r="F1623" s="15">
        <f t="shared" si="1"/>
        <v>10.05</v>
      </c>
      <c r="G1623" s="13" t="str">
        <f>ROUND(Github!O$1215, 2)&amp;"%"</f>
        <v>66.06%</v>
      </c>
      <c r="H1623" s="13" t="str">
        <f>Github!H$1215</f>
        <v>Algorithms</v>
      </c>
      <c r="I1623" s="16" t="str">
        <f>SUBSTITUTE(Github!L$1215, ";", ", ")</f>
        <v>Two Pointers, Binary Search, Stack, Tree, Depth-First Search, Binary Search Tree, Binary Tree, </v>
      </c>
      <c r="J1623" s="13" t="str">
        <f>Github!E$1215</f>
        <v>Medium</v>
      </c>
      <c r="K1623" s="13" t="str">
        <f>IF(TRIM(Github!D$1215)="TRUE","FALSE","TRUE")</f>
        <v>FALSE</v>
      </c>
      <c r="L1623" s="13" t="b">
        <f>Github!M$1215</f>
        <v>1</v>
      </c>
      <c r="M1623" s="13" t="b">
        <f>Github!N$1215</f>
        <v>0</v>
      </c>
      <c r="N1623" s="13">
        <f>Github!P$1215</f>
        <v>38098</v>
      </c>
      <c r="O1623" s="13">
        <f>Github!Q$1215</f>
        <v>57676</v>
      </c>
    </row>
    <row r="1624">
      <c r="A1624" s="13">
        <f>Github!J$2180</f>
        <v>2179</v>
      </c>
      <c r="B1624" s="14" t="str">
        <f>HYPERLINK(CONCAT("http://leetcode.com/problems/",Github!C$2180), Github!B$2180)</f>
        <v>Count Good Triplets in an Array</v>
      </c>
      <c r="C1624" s="13">
        <f>Github!F$2180</f>
        <v>448</v>
      </c>
      <c r="D1624" s="13">
        <f>Github!G$2180</f>
        <v>15</v>
      </c>
      <c r="E1624" s="13">
        <f>Github!F$2180+Github!G$2180</f>
        <v>463</v>
      </c>
      <c r="F1624" s="15">
        <f t="shared" si="1"/>
        <v>29.87</v>
      </c>
      <c r="G1624" s="13" t="str">
        <f>ROUND(Github!O$2180, 2)&amp;"%"</f>
        <v>37.35%</v>
      </c>
      <c r="H1624" s="13" t="str">
        <f>Github!H$2180</f>
        <v>Algorithms</v>
      </c>
      <c r="I1624" s="16" t="str">
        <f>SUBSTITUTE(Github!L$2180, ";", ", ")</f>
        <v>Array, Binary Search, Divide and Conquer, Binary Indexed Tree, Segment Tree, Merge Sort, Ordered Set, </v>
      </c>
      <c r="J1624" s="13" t="str">
        <f>Github!E$2180</f>
        <v>Hard</v>
      </c>
      <c r="K1624" s="13" t="str">
        <f>IF(TRIM(Github!D$2180)="TRUE","FALSE","TRUE")</f>
        <v>TRUE</v>
      </c>
      <c r="L1624" s="13" t="b">
        <f>Github!M$2180</f>
        <v>0</v>
      </c>
      <c r="M1624" s="13" t="b">
        <f>Github!N$2180</f>
        <v>0</v>
      </c>
      <c r="N1624" s="13">
        <f>Github!P$2180</f>
        <v>5141</v>
      </c>
      <c r="O1624" s="13">
        <f>Github!Q$2180</f>
        <v>13764</v>
      </c>
    </row>
    <row r="1625">
      <c r="A1625" s="13">
        <f>Github!J$2252</f>
        <v>2251</v>
      </c>
      <c r="B1625" s="14" t="str">
        <f>HYPERLINK(CONCAT("http://leetcode.com/problems/",Github!C$2252), Github!B$2252)</f>
        <v>Number of Flowers in Full Bloom</v>
      </c>
      <c r="C1625" s="13">
        <f>Github!F$2252</f>
        <v>449</v>
      </c>
      <c r="D1625" s="13">
        <f>Github!G$2252</f>
        <v>10</v>
      </c>
      <c r="E1625" s="13">
        <f>Github!F$2252+Github!G$2252</f>
        <v>459</v>
      </c>
      <c r="F1625" s="15">
        <f t="shared" si="1"/>
        <v>44.9</v>
      </c>
      <c r="G1625" s="13" t="str">
        <f>ROUND(Github!O$2252, 2)&amp;"%"</f>
        <v>51.8%</v>
      </c>
      <c r="H1625" s="13" t="str">
        <f>Github!H$2252</f>
        <v>Algorithms</v>
      </c>
      <c r="I1625" s="16" t="str">
        <f>SUBSTITUTE(Github!L$2252, ";", ", ")</f>
        <v>Array, Hash Table, Binary Search, Sorting, Prefix Sum, Ordered Set, </v>
      </c>
      <c r="J1625" s="13" t="str">
        <f>Github!E$2252</f>
        <v>Hard</v>
      </c>
      <c r="K1625" s="13" t="str">
        <f>IF(TRIM(Github!D$2252)="TRUE","FALSE","TRUE")</f>
        <v>TRUE</v>
      </c>
      <c r="L1625" s="13" t="b">
        <f>Github!M$2252</f>
        <v>0</v>
      </c>
      <c r="M1625" s="13" t="b">
        <f>Github!N$2252</f>
        <v>0</v>
      </c>
      <c r="N1625" s="13">
        <f>Github!P$2252</f>
        <v>11739</v>
      </c>
      <c r="O1625" s="13">
        <f>Github!Q$2252</f>
        <v>22662</v>
      </c>
    </row>
    <row r="1626">
      <c r="A1626" s="13">
        <f>Github!J$1866</f>
        <v>1865</v>
      </c>
      <c r="B1626" s="14" t="str">
        <f>HYPERLINK(CONCAT("http://leetcode.com/problems/",Github!C$1866), Github!B$1866)</f>
        <v>Finding Pairs With a Certain Sum</v>
      </c>
      <c r="C1626" s="13">
        <f>Github!F$1866</f>
        <v>448</v>
      </c>
      <c r="D1626" s="13">
        <f>Github!G$1866</f>
        <v>88</v>
      </c>
      <c r="E1626" s="13">
        <f>Github!F$1866+Github!G$1866</f>
        <v>536</v>
      </c>
      <c r="F1626" s="15">
        <f t="shared" si="1"/>
        <v>5.09</v>
      </c>
      <c r="G1626" s="13" t="str">
        <f>ROUND(Github!O$1866, 2)&amp;"%"</f>
        <v>50.31%</v>
      </c>
      <c r="H1626" s="13" t="str">
        <f>Github!H$1866</f>
        <v>Algorithms</v>
      </c>
      <c r="I1626" s="16" t="str">
        <f>SUBSTITUTE(Github!L$1866, ";", ", ")</f>
        <v>Array, Hash Table, Design, </v>
      </c>
      <c r="J1626" s="13" t="str">
        <f>Github!E$1866</f>
        <v>Medium</v>
      </c>
      <c r="K1626" s="13" t="str">
        <f>IF(TRIM(Github!D$1866)="TRUE","FALSE","TRUE")</f>
        <v>TRUE</v>
      </c>
      <c r="L1626" s="13" t="b">
        <f>Github!M$1866</f>
        <v>0</v>
      </c>
      <c r="M1626" s="13" t="b">
        <f>Github!N$1866</f>
        <v>0</v>
      </c>
      <c r="N1626" s="13">
        <f>Github!P$1866</f>
        <v>19156</v>
      </c>
      <c r="O1626" s="13">
        <f>Github!Q$1866</f>
        <v>38074</v>
      </c>
    </row>
    <row r="1627">
      <c r="A1627" s="13">
        <f>Github!J$1965</f>
        <v>1964</v>
      </c>
      <c r="B1627" s="14" t="str">
        <f>HYPERLINK(CONCAT("http://leetcode.com/problems/",Github!C$1965), Github!B$1965)</f>
        <v>Find the Longest Valid Obstacle Course at Each Position</v>
      </c>
      <c r="C1627" s="13">
        <f>Github!F$1965</f>
        <v>446</v>
      </c>
      <c r="D1627" s="13">
        <f>Github!G$1965</f>
        <v>7</v>
      </c>
      <c r="E1627" s="13">
        <f>Github!F$1965+Github!G$1965</f>
        <v>453</v>
      </c>
      <c r="F1627" s="15">
        <f t="shared" si="1"/>
        <v>63.71</v>
      </c>
      <c r="G1627" s="13" t="str">
        <f>ROUND(Github!O$1965, 2)&amp;"%"</f>
        <v>47.06%</v>
      </c>
      <c r="H1627" s="13" t="str">
        <f>Github!H$1965</f>
        <v>Algorithms</v>
      </c>
      <c r="I1627" s="16" t="str">
        <f>SUBSTITUTE(Github!L$1965, ";", ", ")</f>
        <v>Array, Binary Search, Binary Indexed Tree, </v>
      </c>
      <c r="J1627" s="13" t="str">
        <f>Github!E$1965</f>
        <v>Hard</v>
      </c>
      <c r="K1627" s="13" t="str">
        <f>IF(TRIM(Github!D$1965)="TRUE","FALSE","TRUE")</f>
        <v>TRUE</v>
      </c>
      <c r="L1627" s="13" t="b">
        <f>Github!M$1965</f>
        <v>0</v>
      </c>
      <c r="M1627" s="13" t="b">
        <f>Github!N$1965</f>
        <v>0</v>
      </c>
      <c r="N1627" s="13">
        <f>Github!P$1965</f>
        <v>9831</v>
      </c>
      <c r="O1627" s="13">
        <f>Github!Q$1965</f>
        <v>20891</v>
      </c>
    </row>
    <row r="1628">
      <c r="A1628" s="13">
        <f>Github!J$1628</f>
        <v>1627</v>
      </c>
      <c r="B1628" s="14" t="str">
        <f>HYPERLINK(CONCAT("http://leetcode.com/problems/",Github!C$1628), Github!B$1628)</f>
        <v>Graph Connectivity With Threshold</v>
      </c>
      <c r="C1628" s="13">
        <f>Github!F$1628</f>
        <v>439</v>
      </c>
      <c r="D1628" s="13">
        <f>Github!G$1628</f>
        <v>26</v>
      </c>
      <c r="E1628" s="13">
        <f>Github!F$1628+Github!G$1628</f>
        <v>465</v>
      </c>
      <c r="F1628" s="15">
        <f t="shared" si="1"/>
        <v>16.88</v>
      </c>
      <c r="G1628" s="13" t="str">
        <f>ROUND(Github!O$1628, 2)&amp;"%"</f>
        <v>46.09%</v>
      </c>
      <c r="H1628" s="13" t="str">
        <f>Github!H$1628</f>
        <v>Algorithms</v>
      </c>
      <c r="I1628" s="16" t="str">
        <f>SUBSTITUTE(Github!L$1628, ";", ", ")</f>
        <v>Array, Math, Union Find, </v>
      </c>
      <c r="J1628" s="13" t="str">
        <f>Github!E$1628</f>
        <v>Hard</v>
      </c>
      <c r="K1628" s="13" t="str">
        <f>IF(TRIM(Github!D$1628)="TRUE","FALSE","TRUE")</f>
        <v>TRUE</v>
      </c>
      <c r="L1628" s="13" t="b">
        <f>Github!M$1628</f>
        <v>0</v>
      </c>
      <c r="M1628" s="13" t="b">
        <f>Github!N$1628</f>
        <v>0</v>
      </c>
      <c r="N1628" s="13">
        <f>Github!P$1628</f>
        <v>13286</v>
      </c>
      <c r="O1628" s="13">
        <f>Github!Q$1628</f>
        <v>28825</v>
      </c>
    </row>
    <row r="1629">
      <c r="A1629" s="13">
        <f>Github!J$193</f>
        <v>192</v>
      </c>
      <c r="B1629" s="14" t="str">
        <f>HYPERLINK(CONCAT("http://leetcode.com/problems/",Github!C$193), Github!B$193)</f>
        <v>Word Frequency</v>
      </c>
      <c r="C1629" s="13">
        <f>Github!F$193</f>
        <v>445</v>
      </c>
      <c r="D1629" s="13">
        <f>Github!G$193</f>
        <v>276</v>
      </c>
      <c r="E1629" s="13">
        <f>Github!F$193+Github!G$193</f>
        <v>721</v>
      </c>
      <c r="F1629" s="15">
        <f t="shared" si="1"/>
        <v>1.61</v>
      </c>
      <c r="G1629" s="13" t="str">
        <f>ROUND(Github!O$193, 2)&amp;"%"</f>
        <v>25.63%</v>
      </c>
      <c r="H1629" s="13" t="str">
        <f>Github!H$193</f>
        <v>Shell</v>
      </c>
      <c r="I1629" s="16" t="str">
        <f>SUBSTITUTE(Github!L$193, ";", ", ")</f>
        <v>Shell, </v>
      </c>
      <c r="J1629" s="13" t="str">
        <f>Github!E$193</f>
        <v>Medium</v>
      </c>
      <c r="K1629" s="13" t="str">
        <f>IF(TRIM(Github!D$193)="TRUE","FALSE","TRUE")</f>
        <v>TRUE</v>
      </c>
      <c r="L1629" s="13" t="b">
        <f>Github!M$193</f>
        <v>0</v>
      </c>
      <c r="M1629" s="13" t="b">
        <f>Github!N$193</f>
        <v>0</v>
      </c>
      <c r="N1629" s="13">
        <f>Github!P$193</f>
        <v>40953</v>
      </c>
      <c r="O1629" s="13">
        <f>Github!Q$193</f>
        <v>159783</v>
      </c>
    </row>
    <row r="1630">
      <c r="A1630" s="13">
        <f>Github!J$1996</f>
        <v>1995</v>
      </c>
      <c r="B1630" s="14" t="str">
        <f>HYPERLINK(CONCAT("http://leetcode.com/problems/",Github!C$1996), Github!B$1996)</f>
        <v>Count Special Quadruplets</v>
      </c>
      <c r="C1630" s="13">
        <f>Github!F$1996</f>
        <v>454</v>
      </c>
      <c r="D1630" s="13">
        <f>Github!G$1996</f>
        <v>177</v>
      </c>
      <c r="E1630" s="13">
        <f>Github!F$1996+Github!G$1996</f>
        <v>631</v>
      </c>
      <c r="F1630" s="15">
        <f t="shared" si="1"/>
        <v>2.56</v>
      </c>
      <c r="G1630" s="13" t="str">
        <f>ROUND(Github!O$1996, 2)&amp;"%"</f>
        <v>59.53%</v>
      </c>
      <c r="H1630" s="13" t="str">
        <f>Github!H$1996</f>
        <v>Algorithms</v>
      </c>
      <c r="I1630" s="16" t="str">
        <f>SUBSTITUTE(Github!L$1996, ";", ", ")</f>
        <v>Array, Enumeration, </v>
      </c>
      <c r="J1630" s="13" t="str">
        <f>Github!E$1996</f>
        <v>Easy</v>
      </c>
      <c r="K1630" s="13" t="str">
        <f>IF(TRIM(Github!D$1996)="TRUE","FALSE","TRUE")</f>
        <v>TRUE</v>
      </c>
      <c r="L1630" s="13" t="b">
        <f>Github!M$1996</f>
        <v>0</v>
      </c>
      <c r="M1630" s="13" t="b">
        <f>Github!N$1996</f>
        <v>0</v>
      </c>
      <c r="N1630" s="13">
        <f>Github!P$1996</f>
        <v>28150</v>
      </c>
      <c r="O1630" s="13">
        <f>Github!Q$1996</f>
        <v>47285</v>
      </c>
    </row>
    <row r="1631">
      <c r="A1631" s="13">
        <f>Github!J$2034</f>
        <v>2033</v>
      </c>
      <c r="B1631" s="14" t="str">
        <f>HYPERLINK(CONCAT("http://leetcode.com/problems/",Github!C$2034), Github!B$2034)</f>
        <v>Minimum Operations to Make a Uni-Value Grid</v>
      </c>
      <c r="C1631" s="13">
        <f>Github!F$2034</f>
        <v>439</v>
      </c>
      <c r="D1631" s="13">
        <f>Github!G$2034</f>
        <v>34</v>
      </c>
      <c r="E1631" s="13">
        <f>Github!F$2034+Github!G$2034</f>
        <v>473</v>
      </c>
      <c r="F1631" s="15">
        <f t="shared" si="1"/>
        <v>12.91</v>
      </c>
      <c r="G1631" s="13" t="str">
        <f>ROUND(Github!O$2034, 2)&amp;"%"</f>
        <v>52.39%</v>
      </c>
      <c r="H1631" s="13" t="str">
        <f>Github!H$2034</f>
        <v>Algorithms</v>
      </c>
      <c r="I1631" s="16" t="str">
        <f>SUBSTITUTE(Github!L$2034, ";", ", ")</f>
        <v>Array, Math, Sorting, Matrix, </v>
      </c>
      <c r="J1631" s="13" t="str">
        <f>Github!E$2034</f>
        <v>Medium</v>
      </c>
      <c r="K1631" s="13" t="str">
        <f>IF(TRIM(Github!D$2034)="TRUE","FALSE","TRUE")</f>
        <v>TRUE</v>
      </c>
      <c r="L1631" s="13" t="b">
        <f>Github!M$2034</f>
        <v>0</v>
      </c>
      <c r="M1631" s="13" t="b">
        <f>Github!N$2034</f>
        <v>0</v>
      </c>
      <c r="N1631" s="13">
        <f>Github!P$2034</f>
        <v>17982</v>
      </c>
      <c r="O1631" s="13">
        <f>Github!Q$2034</f>
        <v>34322</v>
      </c>
    </row>
    <row r="1632">
      <c r="A1632" s="13">
        <f>Github!J$945</f>
        <v>944</v>
      </c>
      <c r="B1632" s="14" t="str">
        <f>HYPERLINK(CONCAT("http://leetcode.com/problems/",Github!C$945), Github!B$945)</f>
        <v>Delete Columns to Make Sorted</v>
      </c>
      <c r="C1632" s="13">
        <f>Github!F$945</f>
        <v>447</v>
      </c>
      <c r="D1632" s="13">
        <f>Github!G$945</f>
        <v>2115</v>
      </c>
      <c r="E1632" s="13">
        <f>Github!F$945+Github!G$945</f>
        <v>2562</v>
      </c>
      <c r="F1632" s="15">
        <f t="shared" si="1"/>
        <v>0.21</v>
      </c>
      <c r="G1632" s="13" t="str">
        <f>ROUND(Github!O$945, 2)&amp;"%"</f>
        <v>69.64%</v>
      </c>
      <c r="H1632" s="13" t="str">
        <f>Github!H$945</f>
        <v>Algorithms</v>
      </c>
      <c r="I1632" s="16" t="str">
        <f>SUBSTITUTE(Github!L$945, ";", ", ")</f>
        <v>Array, String, </v>
      </c>
      <c r="J1632" s="13" t="str">
        <f>Github!E$945</f>
        <v>Easy</v>
      </c>
      <c r="K1632" s="13" t="str">
        <f>IF(TRIM(Github!D$945)="TRUE","FALSE","TRUE")</f>
        <v>TRUE</v>
      </c>
      <c r="L1632" s="13" t="b">
        <f>Github!M$945</f>
        <v>1</v>
      </c>
      <c r="M1632" s="13" t="b">
        <f>Github!N$945</f>
        <v>0</v>
      </c>
      <c r="N1632" s="13">
        <f>Github!P$945</f>
        <v>74714</v>
      </c>
      <c r="O1632" s="13">
        <f>Github!Q$945</f>
        <v>107282</v>
      </c>
    </row>
    <row r="1633">
      <c r="A1633" s="13">
        <f>Github!J$1668</f>
        <v>1667</v>
      </c>
      <c r="B1633" s="14" t="str">
        <f>HYPERLINK(CONCAT("http://leetcode.com/problems/",Github!C$1668), Github!B$1668)</f>
        <v>Fix Names in a Table</v>
      </c>
      <c r="C1633" s="13">
        <f>Github!F$1668</f>
        <v>456</v>
      </c>
      <c r="D1633" s="13">
        <f>Github!G$1668</f>
        <v>69</v>
      </c>
      <c r="E1633" s="13">
        <f>Github!F$1668+Github!G$1668</f>
        <v>525</v>
      </c>
      <c r="F1633" s="15">
        <f t="shared" si="1"/>
        <v>6.61</v>
      </c>
      <c r="G1633" s="13" t="str">
        <f>ROUND(Github!O$1668, 2)&amp;"%"</f>
        <v>66.45%</v>
      </c>
      <c r="H1633" s="13" t="str">
        <f>Github!H$1668</f>
        <v>Database</v>
      </c>
      <c r="I1633" s="16" t="str">
        <f>SUBSTITUTE(Github!L$1668, ";", ", ")</f>
        <v>Database, </v>
      </c>
      <c r="J1633" s="13" t="str">
        <f>Github!E$1668</f>
        <v>Easy</v>
      </c>
      <c r="K1633" s="13" t="str">
        <f>IF(TRIM(Github!D$1668)="TRUE","FALSE","TRUE")</f>
        <v>TRUE</v>
      </c>
      <c r="L1633" s="13" t="b">
        <f>Github!M$1668</f>
        <v>0</v>
      </c>
      <c r="M1633" s="13" t="b">
        <f>Github!N$1668</f>
        <v>0</v>
      </c>
      <c r="N1633" s="13">
        <f>Github!P$1668</f>
        <v>80447</v>
      </c>
      <c r="O1633" s="13">
        <f>Github!Q$1668</f>
        <v>121069</v>
      </c>
    </row>
    <row r="1634">
      <c r="A1634" s="13">
        <f>Github!J$999</f>
        <v>998</v>
      </c>
      <c r="B1634" s="14" t="str">
        <f>HYPERLINK(CONCAT("http://leetcode.com/problems/",Github!C$999), Github!B$999)</f>
        <v>Maximum Binary Tree II</v>
      </c>
      <c r="C1634" s="13">
        <f>Github!F$999</f>
        <v>441</v>
      </c>
      <c r="D1634" s="13">
        <f>Github!G$999</f>
        <v>713</v>
      </c>
      <c r="E1634" s="13">
        <f>Github!F$999+Github!G$999</f>
        <v>1154</v>
      </c>
      <c r="F1634" s="15">
        <f t="shared" si="1"/>
        <v>0.62</v>
      </c>
      <c r="G1634" s="13" t="str">
        <f>ROUND(Github!O$999, 2)&amp;"%"</f>
        <v>66.6%</v>
      </c>
      <c r="H1634" s="13" t="str">
        <f>Github!H$999</f>
        <v>Algorithms</v>
      </c>
      <c r="I1634" s="16" t="str">
        <f>SUBSTITUTE(Github!L$999, ";", ", ")</f>
        <v>Tree, Binary Tree, </v>
      </c>
      <c r="J1634" s="13" t="str">
        <f>Github!E$999</f>
        <v>Medium</v>
      </c>
      <c r="K1634" s="13" t="str">
        <f>IF(TRIM(Github!D$999)="TRUE","FALSE","TRUE")</f>
        <v>TRUE</v>
      </c>
      <c r="L1634" s="13" t="b">
        <f>Github!M$999</f>
        <v>0</v>
      </c>
      <c r="M1634" s="13" t="b">
        <f>Github!N$999</f>
        <v>0</v>
      </c>
      <c r="N1634" s="13">
        <f>Github!P$999</f>
        <v>29941</v>
      </c>
      <c r="O1634" s="13">
        <f>Github!Q$999</f>
        <v>44958</v>
      </c>
    </row>
    <row r="1635">
      <c r="A1635" s="13">
        <f>Github!J$2343</f>
        <v>2342</v>
      </c>
      <c r="B1635" s="14" t="str">
        <f>HYPERLINK(CONCAT("http://leetcode.com/problems/",Github!C$2343), Github!B$2343)</f>
        <v>Max Sum of a Pair With Equal Sum of Digits</v>
      </c>
      <c r="C1635" s="13">
        <f>Github!F$2343</f>
        <v>446</v>
      </c>
      <c r="D1635" s="13">
        <f>Github!G$2343</f>
        <v>8</v>
      </c>
      <c r="E1635" s="13">
        <f>Github!F$2343+Github!G$2343</f>
        <v>454</v>
      </c>
      <c r="F1635" s="15">
        <f t="shared" si="1"/>
        <v>55.75</v>
      </c>
      <c r="G1635" s="13" t="str">
        <f>ROUND(Github!O$2343, 2)&amp;"%"</f>
        <v>53.29%</v>
      </c>
      <c r="H1635" s="13" t="str">
        <f>Github!H2343</f>
        <v>Algorithms</v>
      </c>
      <c r="I1635" s="16" t="str">
        <f>SUBSTITUTE(Github!L$2343, ";", ", ")</f>
        <v>Array, Hash Table, Sorting, Heap (Priority Queue), </v>
      </c>
      <c r="J1635" s="13" t="str">
        <f>Github!E$2343</f>
        <v>Medium</v>
      </c>
      <c r="K1635" s="13" t="str">
        <f>IF(TRIM(Github!D$2343)="TRUE","FALSE","TRUE")</f>
        <v>TRUE</v>
      </c>
      <c r="L1635" s="13" t="b">
        <f>Github!M$2343</f>
        <v>0</v>
      </c>
      <c r="M1635" s="13" t="b">
        <f>Github!N$2343</f>
        <v>0</v>
      </c>
      <c r="N1635" s="13">
        <f>Github!P$2343</f>
        <v>29170</v>
      </c>
      <c r="O1635" s="13">
        <f>Github!Q$2343</f>
        <v>54742</v>
      </c>
    </row>
    <row r="1636">
      <c r="A1636" s="13">
        <f>Github!J$31</f>
        <v>30</v>
      </c>
      <c r="B1636" s="14" t="str">
        <f>HYPERLINK(CONCAT("http://leetcode.com/problems/",Github!C$31), Github!B$31)</f>
        <v>Substring with Concatenation of All Words</v>
      </c>
      <c r="C1636" s="13">
        <f>Github!F$31</f>
        <v>470</v>
      </c>
      <c r="D1636" s="13">
        <f>Github!G$31</f>
        <v>26</v>
      </c>
      <c r="E1636" s="13">
        <f>Github!F$31+Github!G$31</f>
        <v>496</v>
      </c>
      <c r="F1636" s="15">
        <f t="shared" si="1"/>
        <v>18.08</v>
      </c>
      <c r="G1636" s="13" t="str">
        <f>ROUND(Github!O$31, 2)&amp;"%"</f>
        <v>31.01%</v>
      </c>
      <c r="H1636" s="13" t="str">
        <f>Github!H$31</f>
        <v>Algorithms</v>
      </c>
      <c r="I1636" s="16" t="str">
        <f>SUBSTITUTE(Github!L$31, ";", ", ")</f>
        <v>Hash Table, String, Sliding Window, </v>
      </c>
      <c r="J1636" s="13" t="str">
        <f>Github!E$31</f>
        <v>Hard</v>
      </c>
      <c r="K1636" s="13" t="str">
        <f>IF(TRIM(Github!D$31)="TRUE","FALSE","TRUE")</f>
        <v>TRUE</v>
      </c>
      <c r="L1636" s="13" t="b">
        <f>Github!M$31</f>
        <v>1</v>
      </c>
      <c r="M1636" s="13" t="b">
        <f>Github!N$31</f>
        <v>1</v>
      </c>
      <c r="N1636" s="13">
        <f>Github!P$31</f>
        <v>328915</v>
      </c>
      <c r="O1636" s="13">
        <f>Github!Q$31</f>
        <v>1060622</v>
      </c>
    </row>
    <row r="1637">
      <c r="A1637" s="13">
        <f>Github!J$662</f>
        <v>661</v>
      </c>
      <c r="B1637" s="14" t="str">
        <f>HYPERLINK(CONCAT("http://leetcode.com/problems/",Github!C$662), Github!B$662)</f>
        <v>Image Smoother</v>
      </c>
      <c r="C1637" s="13">
        <f>Github!F$662</f>
        <v>432</v>
      </c>
      <c r="D1637" s="13">
        <f>Github!G$662</f>
        <v>1739</v>
      </c>
      <c r="E1637" s="13">
        <f>Github!F$662+Github!G$662</f>
        <v>2171</v>
      </c>
      <c r="F1637" s="15">
        <f t="shared" si="1"/>
        <v>0.25</v>
      </c>
      <c r="G1637" s="13" t="str">
        <f>ROUND(Github!O$662, 2)&amp;"%"</f>
        <v>55.19%</v>
      </c>
      <c r="H1637" s="13" t="str">
        <f>Github!H$662</f>
        <v>Algorithms</v>
      </c>
      <c r="I1637" s="16" t="str">
        <f>SUBSTITUTE(Github!L$662, ";", ", ")</f>
        <v>Array, Matrix, </v>
      </c>
      <c r="J1637" s="13" t="str">
        <f>Github!E$662</f>
        <v>Easy</v>
      </c>
      <c r="K1637" s="13" t="str">
        <f>IF(TRIM(Github!D$662)="TRUE","FALSE","TRUE")</f>
        <v>TRUE</v>
      </c>
      <c r="L1637" s="13" t="b">
        <f>Github!M$662</f>
        <v>1</v>
      </c>
      <c r="M1637" s="13" t="b">
        <f>Github!N$662</f>
        <v>0</v>
      </c>
      <c r="N1637" s="13">
        <f>Github!P$662</f>
        <v>70182</v>
      </c>
      <c r="O1637" s="13">
        <f>Github!Q$662</f>
        <v>127175</v>
      </c>
    </row>
    <row r="1638">
      <c r="A1638" s="13">
        <f>Github!J$1644</f>
        <v>1643</v>
      </c>
      <c r="B1638" s="14" t="str">
        <f>HYPERLINK(CONCAT("http://leetcode.com/problems/",Github!C$1644), Github!B$1644)</f>
        <v>Kth Smallest Instructions</v>
      </c>
      <c r="C1638" s="13">
        <f>Github!F$1644</f>
        <v>438</v>
      </c>
      <c r="D1638" s="13">
        <f>Github!G$1644</f>
        <v>6</v>
      </c>
      <c r="E1638" s="13">
        <f>Github!F$1644+Github!G$1644</f>
        <v>444</v>
      </c>
      <c r="F1638" s="15">
        <f t="shared" si="1"/>
        <v>73</v>
      </c>
      <c r="G1638" s="13" t="str">
        <f>ROUND(Github!O$1644, 2)&amp;"%"</f>
        <v>47%</v>
      </c>
      <c r="H1638" s="13" t="str">
        <f>Github!H$1644</f>
        <v>Algorithms</v>
      </c>
      <c r="I1638" s="16" t="str">
        <f>SUBSTITUTE(Github!L$1644, ";", ", ")</f>
        <v>Array, Math, Dynamic Programming, Combinatorics, </v>
      </c>
      <c r="J1638" s="13" t="str">
        <f>Github!E$1644</f>
        <v>Hard</v>
      </c>
      <c r="K1638" s="13" t="str">
        <f>IF(TRIM(Github!D$1644)="TRUE","FALSE","TRUE")</f>
        <v>TRUE</v>
      </c>
      <c r="L1638" s="13" t="b">
        <f>Github!M$1644</f>
        <v>0</v>
      </c>
      <c r="M1638" s="13" t="b">
        <f>Github!N$1644</f>
        <v>0</v>
      </c>
      <c r="N1638" s="13">
        <f>Github!P$1644</f>
        <v>9472</v>
      </c>
      <c r="O1638" s="13">
        <f>Github!Q$1644</f>
        <v>20153</v>
      </c>
    </row>
    <row r="1639">
      <c r="A1639" s="13">
        <f>Github!J$1806</f>
        <v>1805</v>
      </c>
      <c r="B1639" s="14" t="str">
        <f>HYPERLINK(CONCAT("http://leetcode.com/problems/",Github!C$1806), Github!B$1806)</f>
        <v>Number of Different Integers in a String</v>
      </c>
      <c r="C1639" s="13">
        <f>Github!F$1806</f>
        <v>443</v>
      </c>
      <c r="D1639" s="13">
        <f>Github!G$1806</f>
        <v>82</v>
      </c>
      <c r="E1639" s="13">
        <f>Github!F$1806+Github!G$1806</f>
        <v>525</v>
      </c>
      <c r="F1639" s="15">
        <f t="shared" si="1"/>
        <v>5.4</v>
      </c>
      <c r="G1639" s="13" t="str">
        <f>ROUND(Github!O$1806, 2)&amp;"%"</f>
        <v>36.37%</v>
      </c>
      <c r="H1639" s="13" t="str">
        <f>Github!H$1806</f>
        <v>Algorithms</v>
      </c>
      <c r="I1639" s="16" t="str">
        <f>SUBSTITUTE(Github!L$1806, ";", ", ")</f>
        <v>Hash Table, String, </v>
      </c>
      <c r="J1639" s="13" t="str">
        <f>Github!E$1806</f>
        <v>Easy</v>
      </c>
      <c r="K1639" s="13" t="str">
        <f>IF(TRIM(Github!D$1806)="TRUE","FALSE","TRUE")</f>
        <v>TRUE</v>
      </c>
      <c r="L1639" s="13" t="b">
        <f>Github!M$1806</f>
        <v>0</v>
      </c>
      <c r="M1639" s="13" t="b">
        <f>Github!N$1806</f>
        <v>0</v>
      </c>
      <c r="N1639" s="13">
        <f>Github!P$1806</f>
        <v>33747</v>
      </c>
      <c r="O1639" s="13">
        <f>Github!Q$1806</f>
        <v>92797</v>
      </c>
    </row>
    <row r="1640">
      <c r="A1640" s="13">
        <f>Github!J$1836</f>
        <v>1835</v>
      </c>
      <c r="B1640" s="14" t="str">
        <f>HYPERLINK(CONCAT("http://leetcode.com/problems/",Github!C$1836), Github!B$1836)</f>
        <v>Find XOR Sum of All Pairs Bitwise AND</v>
      </c>
      <c r="C1640" s="13">
        <f>Github!F$1836</f>
        <v>456</v>
      </c>
      <c r="D1640" s="13">
        <f>Github!G$1836</f>
        <v>38</v>
      </c>
      <c r="E1640" s="13">
        <f>Github!F$1836+Github!G$1836</f>
        <v>494</v>
      </c>
      <c r="F1640" s="15">
        <f t="shared" si="1"/>
        <v>12</v>
      </c>
      <c r="G1640" s="13" t="str">
        <f>ROUND(Github!O$1836, 2)&amp;"%"</f>
        <v>60.36%</v>
      </c>
      <c r="H1640" s="13" t="str">
        <f>Github!H$1836</f>
        <v>Algorithms</v>
      </c>
      <c r="I1640" s="16" t="str">
        <f>SUBSTITUTE(Github!L$1836, ";", ", ")</f>
        <v>Array, Math, Bit Manipulation, </v>
      </c>
      <c r="J1640" s="13" t="str">
        <f>Github!E$1836</f>
        <v>Hard</v>
      </c>
      <c r="K1640" s="13" t="str">
        <f>IF(TRIM(Github!D$1836)="TRUE","FALSE","TRUE")</f>
        <v>TRUE</v>
      </c>
      <c r="L1640" s="13" t="b">
        <f>Github!M$1836</f>
        <v>0</v>
      </c>
      <c r="M1640" s="13" t="b">
        <f>Github!N$1836</f>
        <v>0</v>
      </c>
      <c r="N1640" s="13">
        <f>Github!P$1836</f>
        <v>13599</v>
      </c>
      <c r="O1640" s="13">
        <f>Github!Q$1836</f>
        <v>22528</v>
      </c>
    </row>
    <row r="1641">
      <c r="A1641" s="13">
        <f>Github!J$2207</f>
        <v>2206</v>
      </c>
      <c r="B1641" s="14" t="str">
        <f>HYPERLINK(CONCAT("http://leetcode.com/problems/",Github!C$2207), Github!B$2207)</f>
        <v>Divide Array Into Equal Pairs</v>
      </c>
      <c r="C1641" s="13">
        <f>Github!F$2207</f>
        <v>440</v>
      </c>
      <c r="D1641" s="13">
        <f>Github!G$2207</f>
        <v>17</v>
      </c>
      <c r="E1641" s="13">
        <f>Github!F$2207+Github!G$2207</f>
        <v>457</v>
      </c>
      <c r="F1641" s="15">
        <f t="shared" si="1"/>
        <v>25.88</v>
      </c>
      <c r="G1641" s="13" t="str">
        <f>ROUND(Github!O$2207, 2)&amp;"%"</f>
        <v>74.43%</v>
      </c>
      <c r="H1641" s="13" t="str">
        <f>Github!H$2207</f>
        <v>Algorithms</v>
      </c>
      <c r="I1641" s="16" t="str">
        <f>SUBSTITUTE(Github!L$2207, ";", ", ")</f>
        <v>Array, Hash Table, Bit Manipulation, Counting, </v>
      </c>
      <c r="J1641" s="13" t="str">
        <f>Github!E$2207</f>
        <v>Easy</v>
      </c>
      <c r="K1641" s="13" t="str">
        <f>IF(TRIM(Github!D$2207)="TRUE","FALSE","TRUE")</f>
        <v>TRUE</v>
      </c>
      <c r="L1641" s="13" t="b">
        <f>Github!M$2207</f>
        <v>0</v>
      </c>
      <c r="M1641" s="13" t="b">
        <f>Github!N$2207</f>
        <v>0</v>
      </c>
      <c r="N1641" s="13">
        <f>Github!P$2207</f>
        <v>45358</v>
      </c>
      <c r="O1641" s="13">
        <f>Github!Q$2207</f>
        <v>60941</v>
      </c>
    </row>
    <row r="1642">
      <c r="A1642" s="13">
        <f>Github!J$1470</f>
        <v>1469</v>
      </c>
      <c r="B1642" s="14" t="str">
        <f>HYPERLINK(CONCAT("http://leetcode.com/problems/",Github!C$1470), Github!B$1470)</f>
        <v>Find All The Lonely Nodes</v>
      </c>
      <c r="C1642" s="13">
        <f>Github!F$1470</f>
        <v>433</v>
      </c>
      <c r="D1642" s="13">
        <f>Github!G$1470</f>
        <v>9</v>
      </c>
      <c r="E1642" s="13">
        <f>Github!F$1470+Github!G$1470</f>
        <v>442</v>
      </c>
      <c r="F1642" s="15">
        <f t="shared" si="1"/>
        <v>48.11</v>
      </c>
      <c r="G1642" s="13" t="str">
        <f>ROUND(Github!O$1470, 2)&amp;"%"</f>
        <v>81.91%</v>
      </c>
      <c r="H1642" s="13" t="str">
        <f>Github!H$1470</f>
        <v>Algorithms</v>
      </c>
      <c r="I1642" s="16" t="str">
        <f>SUBSTITUTE(Github!L$1470, ";", ", ")</f>
        <v>Tree, Depth-First Search, Breadth-First Search, Binary Tree, </v>
      </c>
      <c r="J1642" s="13" t="str">
        <f>Github!E$1470</f>
        <v>Easy</v>
      </c>
      <c r="K1642" s="13" t="str">
        <f>IF(TRIM(Github!D$1470)="TRUE","FALSE","TRUE")</f>
        <v>FALSE</v>
      </c>
      <c r="L1642" s="13" t="b">
        <f>Github!M$1470</f>
        <v>0</v>
      </c>
      <c r="M1642" s="13" t="b">
        <f>Github!N$1470</f>
        <v>0</v>
      </c>
      <c r="N1642" s="13">
        <f>Github!P$1470</f>
        <v>41604</v>
      </c>
      <c r="O1642" s="13">
        <f>Github!Q$1470</f>
        <v>50791</v>
      </c>
    </row>
    <row r="1643">
      <c r="A1643" s="13">
        <f>Github!J$2130</f>
        <v>2129</v>
      </c>
      <c r="B1643" s="14" t="str">
        <f>HYPERLINK(CONCAT("http://leetcode.com/problems/",Github!C$2130), Github!B$2130)</f>
        <v>Capitalize the Title</v>
      </c>
      <c r="C1643" s="13">
        <f>Github!F$2130</f>
        <v>473</v>
      </c>
      <c r="D1643" s="13">
        <f>Github!G$2130</f>
        <v>39</v>
      </c>
      <c r="E1643" s="13">
        <f>Github!F$2130+Github!G$2130</f>
        <v>512</v>
      </c>
      <c r="F1643" s="15">
        <f t="shared" si="1"/>
        <v>12.13</v>
      </c>
      <c r="G1643" s="13" t="str">
        <f>ROUND(Github!O$2130, 2)&amp;"%"</f>
        <v>61.11%</v>
      </c>
      <c r="H1643" s="13" t="str">
        <f>Github!H$2130</f>
        <v>Algorithms</v>
      </c>
      <c r="I1643" s="16" t="str">
        <f>SUBSTITUTE(Github!L$2130, ";", ", ")</f>
        <v>String, </v>
      </c>
      <c r="J1643" s="13" t="str">
        <f>Github!E$2130</f>
        <v>Easy</v>
      </c>
      <c r="K1643" s="13" t="str">
        <f>IF(TRIM(Github!D$2130)="TRUE","FALSE","TRUE")</f>
        <v>TRUE</v>
      </c>
      <c r="L1643" s="13" t="b">
        <f>Github!M$2130</f>
        <v>0</v>
      </c>
      <c r="M1643" s="13" t="b">
        <f>Github!N$2130</f>
        <v>0</v>
      </c>
      <c r="N1643" s="13">
        <f>Github!P$2130</f>
        <v>37415</v>
      </c>
      <c r="O1643" s="13">
        <f>Github!Q$2130</f>
        <v>61230</v>
      </c>
    </row>
    <row r="1644">
      <c r="A1644" s="13">
        <f>Github!J$2296</f>
        <v>2295</v>
      </c>
      <c r="B1644" s="14" t="str">
        <f>HYPERLINK(CONCAT("http://leetcode.com/problems/",Github!C$2296), Github!B$2296)</f>
        <v>Replace Elements in an Array</v>
      </c>
      <c r="C1644" s="13">
        <f>Github!F$2296</f>
        <v>436</v>
      </c>
      <c r="D1644" s="13">
        <f>Github!G$2296</f>
        <v>22</v>
      </c>
      <c r="E1644" s="13">
        <f>Github!F$2296+Github!G$2296</f>
        <v>458</v>
      </c>
      <c r="F1644" s="15">
        <f t="shared" si="1"/>
        <v>19.82</v>
      </c>
      <c r="G1644" s="13" t="str">
        <f>ROUND(Github!O$2296, 2)&amp;"%"</f>
        <v>57.56%</v>
      </c>
      <c r="H1644" s="13" t="str">
        <f>Github!H2296</f>
        <v>Algorithms</v>
      </c>
      <c r="I1644" s="16" t="str">
        <f>SUBSTITUTE(Github!L$2296, ";", ", ")</f>
        <v>Array, Hash Table, Simulation, </v>
      </c>
      <c r="J1644" s="13" t="str">
        <f>Github!E$2296</f>
        <v>Medium</v>
      </c>
      <c r="K1644" s="13" t="str">
        <f>IF(TRIM(Github!D$2296)="TRUE","FALSE","TRUE")</f>
        <v>TRUE</v>
      </c>
      <c r="L1644" s="13" t="b">
        <f>Github!M$2296</f>
        <v>0</v>
      </c>
      <c r="M1644" s="13" t="b">
        <f>Github!N$2296</f>
        <v>0</v>
      </c>
      <c r="N1644" s="13">
        <f>Github!P$2296</f>
        <v>25692</v>
      </c>
      <c r="O1644" s="13">
        <f>Github!Q$2296</f>
        <v>44637</v>
      </c>
    </row>
    <row r="1645">
      <c r="A1645" s="13">
        <f>Github!J$1956</f>
        <v>1955</v>
      </c>
      <c r="B1645" s="14" t="str">
        <f>HYPERLINK(CONCAT("http://leetcode.com/problems/",Github!C$1956), Github!B$1956)</f>
        <v>Count Number of Special Subsequences</v>
      </c>
      <c r="C1645" s="13">
        <f>Github!F$1956</f>
        <v>430</v>
      </c>
      <c r="D1645" s="13">
        <f>Github!G$1956</f>
        <v>7</v>
      </c>
      <c r="E1645" s="13">
        <f>Github!F$1956+Github!G$1956</f>
        <v>437</v>
      </c>
      <c r="F1645" s="15">
        <f t="shared" si="1"/>
        <v>61.43</v>
      </c>
      <c r="G1645" s="13" t="str">
        <f>ROUND(Github!O$1956, 2)&amp;"%"</f>
        <v>51.31%</v>
      </c>
      <c r="H1645" s="13" t="str">
        <f>Github!H$1956</f>
        <v>Algorithms</v>
      </c>
      <c r="I1645" s="16" t="str">
        <f>SUBSTITUTE(Github!L$1956, ";", ", ")</f>
        <v>Array, Dynamic Programming, </v>
      </c>
      <c r="J1645" s="13" t="str">
        <f>Github!E$1956</f>
        <v>Hard</v>
      </c>
      <c r="K1645" s="13" t="str">
        <f>IF(TRIM(Github!D$1956)="TRUE","FALSE","TRUE")</f>
        <v>TRUE</v>
      </c>
      <c r="L1645" s="13" t="b">
        <f>Github!M$1956</f>
        <v>0</v>
      </c>
      <c r="M1645" s="13" t="b">
        <f>Github!N$1956</f>
        <v>0</v>
      </c>
      <c r="N1645" s="13">
        <f>Github!P$1956</f>
        <v>8957</v>
      </c>
      <c r="O1645" s="13">
        <f>Github!Q$1956</f>
        <v>17458</v>
      </c>
    </row>
    <row r="1646">
      <c r="A1646" s="13">
        <f>Github!J$1097</f>
        <v>1096</v>
      </c>
      <c r="B1646" s="14" t="str">
        <f>HYPERLINK(CONCAT("http://leetcode.com/problems/",Github!C$1097), Github!B$1097)</f>
        <v>Brace Expansion II</v>
      </c>
      <c r="C1646" s="13">
        <f>Github!F$1097</f>
        <v>430</v>
      </c>
      <c r="D1646" s="13">
        <f>Github!G$1097</f>
        <v>258</v>
      </c>
      <c r="E1646" s="13">
        <f>Github!F$1097+Github!G$1097</f>
        <v>688</v>
      </c>
      <c r="F1646" s="15">
        <f t="shared" si="1"/>
        <v>1.67</v>
      </c>
      <c r="G1646" s="13" t="str">
        <f>ROUND(Github!O$1097, 2)&amp;"%"</f>
        <v>63.61%</v>
      </c>
      <c r="H1646" s="13" t="str">
        <f>Github!H$1097</f>
        <v>Algorithms</v>
      </c>
      <c r="I1646" s="16" t="str">
        <f>SUBSTITUTE(Github!L$1097, ";", ", ")</f>
        <v>String, Backtracking, Stack, Breadth-First Search, </v>
      </c>
      <c r="J1646" s="13" t="str">
        <f>Github!E$1097</f>
        <v>Hard</v>
      </c>
      <c r="K1646" s="13" t="str">
        <f>IF(TRIM(Github!D$1097)="TRUE","FALSE","TRUE")</f>
        <v>TRUE</v>
      </c>
      <c r="L1646" s="13" t="b">
        <f>Github!M$1097</f>
        <v>0</v>
      </c>
      <c r="M1646" s="13" t="b">
        <f>Github!N$1097</f>
        <v>0</v>
      </c>
      <c r="N1646" s="13">
        <f>Github!P$1097</f>
        <v>21564</v>
      </c>
      <c r="O1646" s="13">
        <f>Github!Q$1097</f>
        <v>33898</v>
      </c>
    </row>
    <row r="1647">
      <c r="A1647" s="13">
        <f>Github!J$2071</f>
        <v>2070</v>
      </c>
      <c r="B1647" s="14" t="str">
        <f>HYPERLINK(CONCAT("http://leetcode.com/problems/",Github!C$2071), Github!B$2071)</f>
        <v>Most Beautiful Item for Each Query</v>
      </c>
      <c r="C1647" s="13">
        <f>Github!F$2071</f>
        <v>431</v>
      </c>
      <c r="D1647" s="13">
        <f>Github!G$2071</f>
        <v>11</v>
      </c>
      <c r="E1647" s="13">
        <f>Github!F$2071+Github!G$2071</f>
        <v>442</v>
      </c>
      <c r="F1647" s="15">
        <f t="shared" si="1"/>
        <v>39.18</v>
      </c>
      <c r="G1647" s="13" t="str">
        <f>ROUND(Github!O$2071, 2)&amp;"%"</f>
        <v>49.83%</v>
      </c>
      <c r="H1647" s="13" t="str">
        <f>Github!H$2071</f>
        <v>Algorithms</v>
      </c>
      <c r="I1647" s="16" t="str">
        <f>SUBSTITUTE(Github!L$2071, ";", ", ")</f>
        <v>Array, Binary Search, Sorting, </v>
      </c>
      <c r="J1647" s="13" t="str">
        <f>Github!E$2071</f>
        <v>Medium</v>
      </c>
      <c r="K1647" s="13" t="str">
        <f>IF(TRIM(Github!D$2071)="TRUE","FALSE","TRUE")</f>
        <v>TRUE</v>
      </c>
      <c r="L1647" s="13" t="b">
        <f>Github!M$2071</f>
        <v>0</v>
      </c>
      <c r="M1647" s="13" t="b">
        <f>Github!N$2071</f>
        <v>0</v>
      </c>
      <c r="N1647" s="13">
        <f>Github!P$2071</f>
        <v>11376</v>
      </c>
      <c r="O1647" s="13">
        <f>Github!Q$2071</f>
        <v>22828</v>
      </c>
    </row>
    <row r="1648">
      <c r="A1648" s="13">
        <f>Github!J$2313</f>
        <v>2312</v>
      </c>
      <c r="B1648" s="14" t="str">
        <f>HYPERLINK(CONCAT("http://leetcode.com/problems/",Github!C$2313), Github!B$2313)</f>
        <v>Selling Pieces of Wood</v>
      </c>
      <c r="C1648" s="13">
        <f>Github!F$2313</f>
        <v>433</v>
      </c>
      <c r="D1648" s="13">
        <f>Github!G$2313</f>
        <v>8</v>
      </c>
      <c r="E1648" s="13">
        <f>Github!F$2313+Github!G$2313</f>
        <v>441</v>
      </c>
      <c r="F1648" s="15">
        <f t="shared" si="1"/>
        <v>54.13</v>
      </c>
      <c r="G1648" s="13" t="str">
        <f>ROUND(Github!O$2313, 2)&amp;"%"</f>
        <v>48.37%</v>
      </c>
      <c r="H1648" s="13" t="str">
        <f>Github!H2313</f>
        <v>Algorithms</v>
      </c>
      <c r="I1648" s="16" t="str">
        <f>SUBSTITUTE(Github!L$2313, ";", ", ")</f>
        <v>Array, Dynamic Programming, Memoization, </v>
      </c>
      <c r="J1648" s="13" t="str">
        <f>Github!E$2313</f>
        <v>Hard</v>
      </c>
      <c r="K1648" s="13" t="str">
        <f>IF(TRIM(Github!D$2313)="TRUE","FALSE","TRUE")</f>
        <v>TRUE</v>
      </c>
      <c r="L1648" s="13" t="b">
        <f>Github!M$2313</f>
        <v>0</v>
      </c>
      <c r="M1648" s="13" t="b">
        <f>Github!N$2313</f>
        <v>0</v>
      </c>
      <c r="N1648" s="13">
        <f>Github!P$2313</f>
        <v>7322</v>
      </c>
      <c r="O1648" s="13">
        <f>Github!Q$2313</f>
        <v>15136</v>
      </c>
    </row>
    <row r="1649">
      <c r="A1649" s="13">
        <f>Github!J$1966</f>
        <v>1965</v>
      </c>
      <c r="B1649" s="14" t="str">
        <f>HYPERLINK(CONCAT("http://leetcode.com/problems/",Github!C$1966), Github!B$1966)</f>
        <v>Employees With Missing Information</v>
      </c>
      <c r="C1649" s="13">
        <f>Github!F$1966</f>
        <v>446</v>
      </c>
      <c r="D1649" s="13">
        <f>Github!G$1966</f>
        <v>26</v>
      </c>
      <c r="E1649" s="13">
        <f>Github!F$1966+Github!G$1966</f>
        <v>472</v>
      </c>
      <c r="F1649" s="15">
        <f t="shared" si="1"/>
        <v>17.15</v>
      </c>
      <c r="G1649" s="13" t="str">
        <f>ROUND(Github!O$1966, 2)&amp;"%"</f>
        <v>79.06%</v>
      </c>
      <c r="H1649" s="13" t="str">
        <f>Github!H$1966</f>
        <v>Database</v>
      </c>
      <c r="I1649" s="16" t="str">
        <f>SUBSTITUTE(Github!L$1966, ";", ", ")</f>
        <v>Database, </v>
      </c>
      <c r="J1649" s="13" t="str">
        <f>Github!E$1966</f>
        <v>Easy</v>
      </c>
      <c r="K1649" s="13" t="str">
        <f>IF(TRIM(Github!D$1966)="TRUE","FALSE","TRUE")</f>
        <v>TRUE</v>
      </c>
      <c r="L1649" s="13" t="b">
        <f>Github!M$1966</f>
        <v>0</v>
      </c>
      <c r="M1649" s="13" t="b">
        <f>Github!N$1966</f>
        <v>0</v>
      </c>
      <c r="N1649" s="13">
        <f>Github!P$1966</f>
        <v>65731</v>
      </c>
      <c r="O1649" s="13">
        <f>Github!Q$1966</f>
        <v>83140</v>
      </c>
    </row>
    <row r="1650">
      <c r="A1650" s="13">
        <f>Github!J$2280</f>
        <v>2279</v>
      </c>
      <c r="B1650" s="14" t="str">
        <f>HYPERLINK(CONCAT("http://leetcode.com/problems/",Github!C$2280), Github!B$2280)</f>
        <v>Maximum Bags With Full Capacity of Rocks</v>
      </c>
      <c r="C1650" s="13">
        <f>Github!F$2280</f>
        <v>1434</v>
      </c>
      <c r="D1650" s="13">
        <f>Github!G$2280</f>
        <v>63</v>
      </c>
      <c r="E1650" s="13">
        <f>Github!F$2280+Github!G$2280</f>
        <v>1497</v>
      </c>
      <c r="F1650" s="15">
        <f t="shared" si="1"/>
        <v>22.76</v>
      </c>
      <c r="G1650" s="13" t="str">
        <f>ROUND(Github!O$2280, 2)&amp;"%"</f>
        <v>67.87%</v>
      </c>
      <c r="H1650" s="13" t="str">
        <f>Github!H2280</f>
        <v>Algorithms</v>
      </c>
      <c r="I1650" s="16" t="str">
        <f>SUBSTITUTE(Github!L$2280, ";", ", ")</f>
        <v>Array, Greedy, Sorting, </v>
      </c>
      <c r="J1650" s="13" t="str">
        <f>Github!E$2280</f>
        <v>Medium</v>
      </c>
      <c r="K1650" s="13" t="str">
        <f>IF(TRIM(Github!D$2280)="TRUE","FALSE","TRUE")</f>
        <v>TRUE</v>
      </c>
      <c r="L1650" s="13" t="b">
        <f>Github!M$2280</f>
        <v>1</v>
      </c>
      <c r="M1650" s="13" t="b">
        <f>Github!N$2280</f>
        <v>0</v>
      </c>
      <c r="N1650" s="13">
        <f>Github!P$2280</f>
        <v>81045</v>
      </c>
      <c r="O1650" s="13">
        <f>Github!Q$2280</f>
        <v>119412</v>
      </c>
    </row>
    <row r="1651">
      <c r="A1651" s="13">
        <f>Github!J$2186</f>
        <v>2185</v>
      </c>
      <c r="B1651" s="14" t="str">
        <f>HYPERLINK(CONCAT("http://leetcode.com/problems/",Github!C$2186), Github!B$2186)</f>
        <v>Counting Words With a Given Prefix</v>
      </c>
      <c r="C1651" s="13">
        <f>Github!F$2186</f>
        <v>437</v>
      </c>
      <c r="D1651" s="13">
        <f>Github!G$2186</f>
        <v>11</v>
      </c>
      <c r="E1651" s="13">
        <f>Github!F$2186+Github!G$2186</f>
        <v>448</v>
      </c>
      <c r="F1651" s="15">
        <f t="shared" si="1"/>
        <v>39.73</v>
      </c>
      <c r="G1651" s="13" t="str">
        <f>ROUND(Github!O$2186, 2)&amp;"%"</f>
        <v>77.15%</v>
      </c>
      <c r="H1651" s="13" t="str">
        <f>Github!H$2186</f>
        <v>Algorithms</v>
      </c>
      <c r="I1651" s="16" t="str">
        <f>SUBSTITUTE(Github!L$2186, ";", ", ")</f>
        <v>Array, String, </v>
      </c>
      <c r="J1651" s="13" t="str">
        <f>Github!E$2186</f>
        <v>Easy</v>
      </c>
      <c r="K1651" s="13" t="str">
        <f>IF(TRIM(Github!D$2186)="TRUE","FALSE","TRUE")</f>
        <v>TRUE</v>
      </c>
      <c r="L1651" s="13" t="b">
        <f>Github!M$2186</f>
        <v>0</v>
      </c>
      <c r="M1651" s="13" t="b">
        <f>Github!N$2186</f>
        <v>0</v>
      </c>
      <c r="N1651" s="13">
        <f>Github!P$2186</f>
        <v>53316</v>
      </c>
      <c r="O1651" s="13">
        <f>Github!Q$2186</f>
        <v>69107</v>
      </c>
    </row>
    <row r="1652">
      <c r="A1652" s="13">
        <f>Github!J$1895</f>
        <v>1894</v>
      </c>
      <c r="B1652" s="14" t="str">
        <f>HYPERLINK(CONCAT("http://leetcode.com/problems/",Github!C$1895), Github!B$1895)</f>
        <v>Find the Student that Will Replace the Chalk</v>
      </c>
      <c r="C1652" s="13">
        <f>Github!F$1895</f>
        <v>429</v>
      </c>
      <c r="D1652" s="13">
        <f>Github!G$1895</f>
        <v>52</v>
      </c>
      <c r="E1652" s="13">
        <f>Github!F$1895+Github!G$1895</f>
        <v>481</v>
      </c>
      <c r="F1652" s="15">
        <f t="shared" si="1"/>
        <v>8.25</v>
      </c>
      <c r="G1652" s="13" t="str">
        <f>ROUND(Github!O$1895, 2)&amp;"%"</f>
        <v>44.07%</v>
      </c>
      <c r="H1652" s="13" t="str">
        <f>Github!H$1895</f>
        <v>Algorithms</v>
      </c>
      <c r="I1652" s="16" t="str">
        <f>SUBSTITUTE(Github!L$1895, ";", ", ")</f>
        <v>Array, Binary Search, Simulation, Prefix Sum, </v>
      </c>
      <c r="J1652" s="13" t="str">
        <f>Github!E$1895</f>
        <v>Medium</v>
      </c>
      <c r="K1652" s="13" t="str">
        <f>IF(TRIM(Github!D$1895)="TRUE","FALSE","TRUE")</f>
        <v>TRUE</v>
      </c>
      <c r="L1652" s="13" t="b">
        <f>Github!M$1895</f>
        <v>0</v>
      </c>
      <c r="M1652" s="13" t="b">
        <f>Github!N$1895</f>
        <v>0</v>
      </c>
      <c r="N1652" s="13">
        <f>Github!P$1895</f>
        <v>26379</v>
      </c>
      <c r="O1652" s="13">
        <f>Github!Q$1895</f>
        <v>59852</v>
      </c>
    </row>
    <row r="1653">
      <c r="A1653" s="13">
        <f>Github!J$2013</f>
        <v>2012</v>
      </c>
      <c r="B1653" s="14" t="str">
        <f>HYPERLINK(CONCAT("http://leetcode.com/problems/",Github!C$2013), Github!B$2013)</f>
        <v>Sum of Beauty in the Array</v>
      </c>
      <c r="C1653" s="13">
        <f>Github!F$2013</f>
        <v>426</v>
      </c>
      <c r="D1653" s="13">
        <f>Github!G$2013</f>
        <v>42</v>
      </c>
      <c r="E1653" s="13">
        <f>Github!F$2013+Github!G$2013</f>
        <v>468</v>
      </c>
      <c r="F1653" s="15">
        <f t="shared" si="1"/>
        <v>10.14</v>
      </c>
      <c r="G1653" s="13" t="str">
        <f>ROUND(Github!O$2013, 2)&amp;"%"</f>
        <v>46.77%</v>
      </c>
      <c r="H1653" s="13" t="str">
        <f>Github!H$2013</f>
        <v>Algorithms</v>
      </c>
      <c r="I1653" s="16" t="str">
        <f>SUBSTITUTE(Github!L$2013, ";", ", ")</f>
        <v>Array, </v>
      </c>
      <c r="J1653" s="13" t="str">
        <f>Github!E$2013</f>
        <v>Medium</v>
      </c>
      <c r="K1653" s="13" t="str">
        <f>IF(TRIM(Github!D$2013)="TRUE","FALSE","TRUE")</f>
        <v>TRUE</v>
      </c>
      <c r="L1653" s="13" t="b">
        <f>Github!M$2013</f>
        <v>0</v>
      </c>
      <c r="M1653" s="13" t="b">
        <f>Github!N$2013</f>
        <v>0</v>
      </c>
      <c r="N1653" s="13">
        <f>Github!P$2013</f>
        <v>17443</v>
      </c>
      <c r="O1653" s="13">
        <f>Github!Q$2013</f>
        <v>37299</v>
      </c>
    </row>
    <row r="1654">
      <c r="A1654" s="13">
        <f>Github!J$1946</f>
        <v>1945</v>
      </c>
      <c r="B1654" s="14" t="str">
        <f>HYPERLINK(CONCAT("http://leetcode.com/problems/",Github!C$1946), Github!B$1946)</f>
        <v>Sum of Digits of String After Convert</v>
      </c>
      <c r="C1654" s="13">
        <f>Github!F$1946</f>
        <v>429</v>
      </c>
      <c r="D1654" s="13">
        <f>Github!G$1946</f>
        <v>43</v>
      </c>
      <c r="E1654" s="13">
        <f>Github!F$1946+Github!G$1946</f>
        <v>472</v>
      </c>
      <c r="F1654" s="15">
        <f t="shared" si="1"/>
        <v>9.98</v>
      </c>
      <c r="G1654" s="13" t="str">
        <f>ROUND(Github!O$1946, 2)&amp;"%"</f>
        <v>61.32%</v>
      </c>
      <c r="H1654" s="13" t="str">
        <f>Github!H$1946</f>
        <v>Algorithms</v>
      </c>
      <c r="I1654" s="16" t="str">
        <f>SUBSTITUTE(Github!L$1946, ";", ", ")</f>
        <v>String, Simulation, </v>
      </c>
      <c r="J1654" s="13" t="str">
        <f>Github!E$1946</f>
        <v>Easy</v>
      </c>
      <c r="K1654" s="13" t="str">
        <f>IF(TRIM(Github!D$1946)="TRUE","FALSE","TRUE")</f>
        <v>TRUE</v>
      </c>
      <c r="L1654" s="13" t="b">
        <f>Github!M$1946</f>
        <v>0</v>
      </c>
      <c r="M1654" s="13" t="b">
        <f>Github!N$1946</f>
        <v>0</v>
      </c>
      <c r="N1654" s="13">
        <f>Github!P$1946</f>
        <v>35473</v>
      </c>
      <c r="O1654" s="13">
        <f>Github!Q$1946</f>
        <v>57849</v>
      </c>
    </row>
    <row r="1655">
      <c r="A1655" s="13">
        <f>Github!J$2129</f>
        <v>2128</v>
      </c>
      <c r="B1655" s="14" t="str">
        <f>HYPERLINK(CONCAT("http://leetcode.com/problems/",Github!C$2129), Github!B$2129)</f>
        <v>Remove All Ones With Row and Column Flips</v>
      </c>
      <c r="C1655" s="13">
        <f>Github!F$2129</f>
        <v>425</v>
      </c>
      <c r="D1655" s="13">
        <f>Github!G$2129</f>
        <v>169</v>
      </c>
      <c r="E1655" s="13">
        <f>Github!F$2129+Github!G$2129</f>
        <v>594</v>
      </c>
      <c r="F1655" s="15">
        <f t="shared" si="1"/>
        <v>2.51</v>
      </c>
      <c r="G1655" s="13" t="str">
        <f>ROUND(Github!O$2129, 2)&amp;"%"</f>
        <v>76.33%</v>
      </c>
      <c r="H1655" s="13" t="str">
        <f>Github!H$2129</f>
        <v>Algorithms</v>
      </c>
      <c r="I1655" s="16" t="str">
        <f>SUBSTITUTE(Github!L$2129, ";", ", ")</f>
        <v>Array, Math, Bit Manipulation, Matrix, </v>
      </c>
      <c r="J1655" s="13" t="str">
        <f>Github!E$2129</f>
        <v>Medium</v>
      </c>
      <c r="K1655" s="13" t="str">
        <f>IF(TRIM(Github!D$2129)="TRUE","FALSE","TRUE")</f>
        <v>FALSE</v>
      </c>
      <c r="L1655" s="13" t="b">
        <f>Github!M$2129</f>
        <v>0</v>
      </c>
      <c r="M1655" s="13" t="b">
        <f>Github!N$2129</f>
        <v>0</v>
      </c>
      <c r="N1655" s="13">
        <f>Github!P$2129</f>
        <v>29728</v>
      </c>
      <c r="O1655" s="13">
        <f>Github!Q$2129</f>
        <v>38948</v>
      </c>
    </row>
    <row r="1656">
      <c r="A1656" s="13">
        <f>Github!J$523</f>
        <v>522</v>
      </c>
      <c r="B1656" s="14" t="str">
        <f>HYPERLINK(CONCAT("http://leetcode.com/problems/",Github!C$523), Github!B$523)</f>
        <v>Longest Uncommon Subsequence II</v>
      </c>
      <c r="C1656" s="13">
        <f>Github!F$523</f>
        <v>428</v>
      </c>
      <c r="D1656" s="13">
        <f>Github!G$523</f>
        <v>1175</v>
      </c>
      <c r="E1656" s="13">
        <f>Github!F$523+Github!G$523</f>
        <v>1603</v>
      </c>
      <c r="F1656" s="15">
        <f t="shared" si="1"/>
        <v>0.36</v>
      </c>
      <c r="G1656" s="13" t="str">
        <f>ROUND(Github!O$523, 2)&amp;"%"</f>
        <v>40.41%</v>
      </c>
      <c r="H1656" s="13" t="str">
        <f>Github!H$523</f>
        <v>Algorithms</v>
      </c>
      <c r="I1656" s="16" t="str">
        <f>SUBSTITUTE(Github!L$523, ";", ", ")</f>
        <v>Array, Hash Table, Two Pointers, String, Sorting, </v>
      </c>
      <c r="J1656" s="13" t="str">
        <f>Github!E$523</f>
        <v>Medium</v>
      </c>
      <c r="K1656" s="13" t="str">
        <f>IF(TRIM(Github!D$523)="TRUE","FALSE","TRUE")</f>
        <v>TRUE</v>
      </c>
      <c r="L1656" s="13" t="b">
        <f>Github!M$523</f>
        <v>1</v>
      </c>
      <c r="M1656" s="13" t="b">
        <f>Github!N$523</f>
        <v>0</v>
      </c>
      <c r="N1656" s="13">
        <f>Github!P$523</f>
        <v>46034</v>
      </c>
      <c r="O1656" s="13">
        <f>Github!Q$523</f>
        <v>113927</v>
      </c>
    </row>
    <row r="1657">
      <c r="A1657" s="13">
        <f>Github!J$1881</f>
        <v>1880</v>
      </c>
      <c r="B1657" s="14" t="str">
        <f>HYPERLINK(CONCAT("http://leetcode.com/problems/",Github!C$1881), Github!B$1881)</f>
        <v>Check if Word Equals Summation of Two Words</v>
      </c>
      <c r="C1657" s="13">
        <f>Github!F$1881</f>
        <v>428</v>
      </c>
      <c r="D1657" s="13">
        <f>Github!G$1881</f>
        <v>24</v>
      </c>
      <c r="E1657" s="13">
        <f>Github!F$1881+Github!G$1881</f>
        <v>452</v>
      </c>
      <c r="F1657" s="15">
        <f t="shared" si="1"/>
        <v>17.83</v>
      </c>
      <c r="G1657" s="13" t="str">
        <f>ROUND(Github!O$1881, 2)&amp;"%"</f>
        <v>73.9%</v>
      </c>
      <c r="H1657" s="13" t="str">
        <f>Github!H$1881</f>
        <v>Algorithms</v>
      </c>
      <c r="I1657" s="16" t="str">
        <f>SUBSTITUTE(Github!L$1881, ";", ", ")</f>
        <v>String, </v>
      </c>
      <c r="J1657" s="13" t="str">
        <f>Github!E$1881</f>
        <v>Easy</v>
      </c>
      <c r="K1657" s="13" t="str">
        <f>IF(TRIM(Github!D$1881)="TRUE","FALSE","TRUE")</f>
        <v>TRUE</v>
      </c>
      <c r="L1657" s="13" t="b">
        <f>Github!M$1881</f>
        <v>0</v>
      </c>
      <c r="M1657" s="13" t="b">
        <f>Github!N$1881</f>
        <v>0</v>
      </c>
      <c r="N1657" s="13">
        <f>Github!P$1881</f>
        <v>48262</v>
      </c>
      <c r="O1657" s="13">
        <f>Github!Q$1881</f>
        <v>65306</v>
      </c>
    </row>
    <row r="1658">
      <c r="A1658" s="13">
        <f>Github!J$2091</f>
        <v>2090</v>
      </c>
      <c r="B1658" s="14" t="str">
        <f>HYPERLINK(CONCAT("http://leetcode.com/problems/",Github!C$2091), Github!B$2091)</f>
        <v>K Radius Subarray Averages</v>
      </c>
      <c r="C1658" s="13">
        <f>Github!F$2091</f>
        <v>430</v>
      </c>
      <c r="D1658" s="13">
        <f>Github!G$2091</f>
        <v>19</v>
      </c>
      <c r="E1658" s="13">
        <f>Github!F$2091+Github!G$2091</f>
        <v>449</v>
      </c>
      <c r="F1658" s="15">
        <f t="shared" si="1"/>
        <v>22.63</v>
      </c>
      <c r="G1658" s="13" t="str">
        <f>ROUND(Github!O$2091, 2)&amp;"%"</f>
        <v>42.52%</v>
      </c>
      <c r="H1658" s="13" t="str">
        <f>Github!H$2091</f>
        <v>Algorithms</v>
      </c>
      <c r="I1658" s="16" t="str">
        <f>SUBSTITUTE(Github!L$2091, ";", ", ")</f>
        <v>Array, Sliding Window, </v>
      </c>
      <c r="J1658" s="13" t="str">
        <f>Github!E$2091</f>
        <v>Medium</v>
      </c>
      <c r="K1658" s="13" t="str">
        <f>IF(TRIM(Github!D$2091)="TRUE","FALSE","TRUE")</f>
        <v>TRUE</v>
      </c>
      <c r="L1658" s="13" t="b">
        <f>Github!M$2091</f>
        <v>0</v>
      </c>
      <c r="M1658" s="13" t="b">
        <f>Github!N$2091</f>
        <v>0</v>
      </c>
      <c r="N1658" s="13">
        <f>Github!P$2091</f>
        <v>21392</v>
      </c>
      <c r="O1658" s="13">
        <f>Github!Q$2091</f>
        <v>50311</v>
      </c>
    </row>
    <row r="1659">
      <c r="A1659" s="13">
        <f>Github!J$737</f>
        <v>736</v>
      </c>
      <c r="B1659" s="14" t="str">
        <f>HYPERLINK(CONCAT("http://leetcode.com/problems/",Github!C$737), Github!B$737)</f>
        <v>Parse Lisp Expression</v>
      </c>
      <c r="C1659" s="13">
        <f>Github!F$737</f>
        <v>421</v>
      </c>
      <c r="D1659" s="13">
        <f>Github!G$737</f>
        <v>327</v>
      </c>
      <c r="E1659" s="13">
        <f>Github!F$737+Github!G$737</f>
        <v>748</v>
      </c>
      <c r="F1659" s="15">
        <f t="shared" si="1"/>
        <v>1.29</v>
      </c>
      <c r="G1659" s="13" t="str">
        <f>ROUND(Github!O$737, 2)&amp;"%"</f>
        <v>51.57%</v>
      </c>
      <c r="H1659" s="13" t="str">
        <f>Github!H$737</f>
        <v>Algorithms</v>
      </c>
      <c r="I1659" s="16" t="str">
        <f>SUBSTITUTE(Github!L$737, ";", ", ")</f>
        <v>Hash Table, String, Stack, Recursion, </v>
      </c>
      <c r="J1659" s="13" t="str">
        <f>Github!E$737</f>
        <v>Hard</v>
      </c>
      <c r="K1659" s="13" t="str">
        <f>IF(TRIM(Github!D$737)="TRUE","FALSE","TRUE")</f>
        <v>TRUE</v>
      </c>
      <c r="L1659" s="13" t="b">
        <f>Github!M$737</f>
        <v>0</v>
      </c>
      <c r="M1659" s="13" t="b">
        <f>Github!N$737</f>
        <v>0</v>
      </c>
      <c r="N1659" s="13">
        <f>Github!P$737</f>
        <v>19789</v>
      </c>
      <c r="O1659" s="13">
        <f>Github!Q$737</f>
        <v>38372</v>
      </c>
    </row>
    <row r="1660">
      <c r="A1660" s="13">
        <f>Github!J$1963</f>
        <v>1962</v>
      </c>
      <c r="B1660" s="14" t="str">
        <f>HYPERLINK(CONCAT("http://leetcode.com/problems/",Github!C$1963), Github!B$1963)</f>
        <v>Remove Stones to Minimize the Total</v>
      </c>
      <c r="C1660" s="13">
        <f>Github!F$1963</f>
        <v>1502</v>
      </c>
      <c r="D1660" s="13">
        <f>Github!G$1963</f>
        <v>128</v>
      </c>
      <c r="E1660" s="13">
        <f>Github!F$1963+Github!G$1963</f>
        <v>1630</v>
      </c>
      <c r="F1660" s="15">
        <f t="shared" si="1"/>
        <v>11.73</v>
      </c>
      <c r="G1660" s="13" t="str">
        <f>ROUND(Github!O$1963, 2)&amp;"%"</f>
        <v>59.93%</v>
      </c>
      <c r="H1660" s="13" t="str">
        <f>Github!H$1963</f>
        <v>Algorithms</v>
      </c>
      <c r="I1660" s="16" t="str">
        <f>SUBSTITUTE(Github!L$1963, ";", ", ")</f>
        <v>Array, Heap (Priority Queue), </v>
      </c>
      <c r="J1660" s="13" t="str">
        <f>Github!E$1963</f>
        <v>Medium</v>
      </c>
      <c r="K1660" s="13" t="str">
        <f>IF(TRIM(Github!D$1963)="TRUE","FALSE","TRUE")</f>
        <v>TRUE</v>
      </c>
      <c r="L1660" s="13" t="b">
        <f>Github!M$1963</f>
        <v>1</v>
      </c>
      <c r="M1660" s="13" t="b">
        <f>Github!N$1963</f>
        <v>0</v>
      </c>
      <c r="N1660" s="13">
        <f>Github!P$1963</f>
        <v>73929</v>
      </c>
      <c r="O1660" s="13">
        <f>Github!Q$1963</f>
        <v>123366</v>
      </c>
    </row>
    <row r="1661">
      <c r="A1661" s="13">
        <f>Github!J$2045</f>
        <v>2044</v>
      </c>
      <c r="B1661" s="14" t="str">
        <f>HYPERLINK(CONCAT("http://leetcode.com/problems/",Github!C$2045), Github!B$2045)</f>
        <v>Count Number of Maximum Bitwise-OR Subsets</v>
      </c>
      <c r="C1661" s="13">
        <f>Github!F$2045</f>
        <v>426</v>
      </c>
      <c r="D1661" s="13">
        <f>Github!G$2045</f>
        <v>16</v>
      </c>
      <c r="E1661" s="13">
        <f>Github!F$2045+Github!G$2045</f>
        <v>442</v>
      </c>
      <c r="F1661" s="15">
        <f t="shared" si="1"/>
        <v>26.63</v>
      </c>
      <c r="G1661" s="13" t="str">
        <f>ROUND(Github!O$2045, 2)&amp;"%"</f>
        <v>75.08%</v>
      </c>
      <c r="H1661" s="13" t="str">
        <f>Github!H$2045</f>
        <v>Algorithms</v>
      </c>
      <c r="I1661" s="16" t="str">
        <f>SUBSTITUTE(Github!L$2045, ";", ", ")</f>
        <v>Array, Backtracking, Bit Manipulation, </v>
      </c>
      <c r="J1661" s="13" t="str">
        <f>Github!E$2045</f>
        <v>Medium</v>
      </c>
      <c r="K1661" s="13" t="str">
        <f>IF(TRIM(Github!D$2045)="TRUE","FALSE","TRUE")</f>
        <v>TRUE</v>
      </c>
      <c r="L1661" s="13" t="b">
        <f>Github!M$2045</f>
        <v>0</v>
      </c>
      <c r="M1661" s="13" t="b">
        <f>Github!N$2045</f>
        <v>0</v>
      </c>
      <c r="N1661" s="13">
        <f>Github!P$2045</f>
        <v>18834</v>
      </c>
      <c r="O1661" s="13">
        <f>Github!Q$2045</f>
        <v>25084</v>
      </c>
    </row>
    <row r="1662">
      <c r="A1662" s="13">
        <f>Github!J$2149</f>
        <v>2148</v>
      </c>
      <c r="B1662" s="14" t="str">
        <f>HYPERLINK(CONCAT("http://leetcode.com/problems/",Github!C$2149), Github!B$2149)</f>
        <v>Count Elements With Strictly Smaller and Greater Elements </v>
      </c>
      <c r="C1662" s="13">
        <f>Github!F$2149</f>
        <v>422</v>
      </c>
      <c r="D1662" s="13">
        <f>Github!G$2149</f>
        <v>17</v>
      </c>
      <c r="E1662" s="13">
        <f>Github!F$2149+Github!G$2149</f>
        <v>439</v>
      </c>
      <c r="F1662" s="15">
        <f t="shared" si="1"/>
        <v>24.82</v>
      </c>
      <c r="G1662" s="13" t="str">
        <f>ROUND(Github!O$2149, 2)&amp;"%"</f>
        <v>59.9%</v>
      </c>
      <c r="H1662" s="13" t="str">
        <f>Github!H$2149</f>
        <v>Algorithms</v>
      </c>
      <c r="I1662" s="16" t="str">
        <f>SUBSTITUTE(Github!L$2149, ";", ", ")</f>
        <v>Array, Sorting, </v>
      </c>
      <c r="J1662" s="13" t="str">
        <f>Github!E$2149</f>
        <v>Easy</v>
      </c>
      <c r="K1662" s="13" t="str">
        <f>IF(TRIM(Github!D$2149)="TRUE","FALSE","TRUE")</f>
        <v>TRUE</v>
      </c>
      <c r="L1662" s="13" t="b">
        <f>Github!M$2149</f>
        <v>0</v>
      </c>
      <c r="M1662" s="13" t="b">
        <f>Github!N$2149</f>
        <v>0</v>
      </c>
      <c r="N1662" s="13">
        <f>Github!P$2149</f>
        <v>37314</v>
      </c>
      <c r="O1662" s="13">
        <f>Github!Q$2149</f>
        <v>62293</v>
      </c>
    </row>
    <row r="1663">
      <c r="A1663" s="13">
        <f>Github!J$2243</f>
        <v>2242</v>
      </c>
      <c r="B1663" s="14" t="str">
        <f>HYPERLINK(CONCAT("http://leetcode.com/problems/",Github!C$2243), Github!B$2243)</f>
        <v>Maximum Score of a Node Sequence</v>
      </c>
      <c r="C1663" s="13">
        <f>Github!F$2243</f>
        <v>422</v>
      </c>
      <c r="D1663" s="13">
        <f>Github!G$2243</f>
        <v>9</v>
      </c>
      <c r="E1663" s="13">
        <f>Github!F$2243+Github!G$2243</f>
        <v>431</v>
      </c>
      <c r="F1663" s="15">
        <f t="shared" si="1"/>
        <v>46.89</v>
      </c>
      <c r="G1663" s="13" t="str">
        <f>ROUND(Github!O$2243, 2)&amp;"%"</f>
        <v>37.6%</v>
      </c>
      <c r="H1663" s="13" t="str">
        <f>Github!H$2243</f>
        <v>Algorithms</v>
      </c>
      <c r="I1663" s="16" t="str">
        <f>SUBSTITUTE(Github!L$2243, ";", ", ")</f>
        <v>Array, Graph, Sorting, Enumeration, </v>
      </c>
      <c r="J1663" s="13" t="str">
        <f>Github!E$2243</f>
        <v>Hard</v>
      </c>
      <c r="K1663" s="13" t="str">
        <f>IF(TRIM(Github!D$2243)="TRUE","FALSE","TRUE")</f>
        <v>TRUE</v>
      </c>
      <c r="L1663" s="13" t="b">
        <f>Github!M$2243</f>
        <v>0</v>
      </c>
      <c r="M1663" s="13" t="b">
        <f>Github!N$2243</f>
        <v>0</v>
      </c>
      <c r="N1663" s="13">
        <f>Github!P$2243</f>
        <v>9111</v>
      </c>
      <c r="O1663" s="13">
        <f>Github!Q$2243</f>
        <v>24230</v>
      </c>
    </row>
    <row r="1664">
      <c r="A1664" s="13">
        <f>Github!J$1976</f>
        <v>1975</v>
      </c>
      <c r="B1664" s="14" t="str">
        <f>HYPERLINK(CONCAT("http://leetcode.com/problems/",Github!C$1976), Github!B$1976)</f>
        <v>Maximum Matrix Sum</v>
      </c>
      <c r="C1664" s="13">
        <f>Github!F$1976</f>
        <v>424</v>
      </c>
      <c r="D1664" s="13">
        <f>Github!G$1976</f>
        <v>18</v>
      </c>
      <c r="E1664" s="13">
        <f>Github!F$1976+Github!G$1976</f>
        <v>442</v>
      </c>
      <c r="F1664" s="15">
        <f t="shared" si="1"/>
        <v>23.56</v>
      </c>
      <c r="G1664" s="13" t="str">
        <f>ROUND(Github!O$1976, 2)&amp;"%"</f>
        <v>45.82%</v>
      </c>
      <c r="H1664" s="13" t="str">
        <f>Github!H$1976</f>
        <v>Algorithms</v>
      </c>
      <c r="I1664" s="16" t="str">
        <f>SUBSTITUTE(Github!L$1976, ";", ", ")</f>
        <v>Array, Greedy, Matrix, </v>
      </c>
      <c r="J1664" s="13" t="str">
        <f>Github!E$1976</f>
        <v>Medium</v>
      </c>
      <c r="K1664" s="13" t="str">
        <f>IF(TRIM(Github!D$1976)="TRUE","FALSE","TRUE")</f>
        <v>TRUE</v>
      </c>
      <c r="L1664" s="13" t="b">
        <f>Github!M$1976</f>
        <v>0</v>
      </c>
      <c r="M1664" s="13" t="b">
        <f>Github!N$1976</f>
        <v>0</v>
      </c>
      <c r="N1664" s="13">
        <f>Github!P$1976</f>
        <v>12552</v>
      </c>
      <c r="O1664" s="13">
        <f>Github!Q$1976</f>
        <v>27392</v>
      </c>
    </row>
    <row r="1665">
      <c r="A1665" s="13">
        <f>Github!J$2211</f>
        <v>2210</v>
      </c>
      <c r="B1665" s="14" t="str">
        <f>HYPERLINK(CONCAT("http://leetcode.com/problems/",Github!C$2211), Github!B$2211)</f>
        <v>Count Hills and Valleys in an Array</v>
      </c>
      <c r="C1665" s="13">
        <f>Github!F$2211</f>
        <v>428</v>
      </c>
      <c r="D1665" s="13">
        <f>Github!G$2211</f>
        <v>68</v>
      </c>
      <c r="E1665" s="13">
        <f>Github!F$2211+Github!G$2211</f>
        <v>496</v>
      </c>
      <c r="F1665" s="15">
        <f t="shared" si="1"/>
        <v>6.29</v>
      </c>
      <c r="G1665" s="13" t="str">
        <f>ROUND(Github!O$2211, 2)&amp;"%"</f>
        <v>58.34%</v>
      </c>
      <c r="H1665" s="13" t="str">
        <f>Github!H$2211</f>
        <v>Algorithms</v>
      </c>
      <c r="I1665" s="16" t="str">
        <f>SUBSTITUTE(Github!L$2211, ";", ", ")</f>
        <v>Array, </v>
      </c>
      <c r="J1665" s="13" t="str">
        <f>Github!E$2211</f>
        <v>Easy</v>
      </c>
      <c r="K1665" s="13" t="str">
        <f>IF(TRIM(Github!D$2211)="TRUE","FALSE","TRUE")</f>
        <v>TRUE</v>
      </c>
      <c r="L1665" s="13" t="b">
        <f>Github!M$2211</f>
        <v>0</v>
      </c>
      <c r="M1665" s="13" t="b">
        <f>Github!N$2211</f>
        <v>0</v>
      </c>
      <c r="N1665" s="13">
        <f>Github!P$2211</f>
        <v>28664</v>
      </c>
      <c r="O1665" s="13">
        <f>Github!Q$2211</f>
        <v>49134</v>
      </c>
    </row>
    <row r="1666">
      <c r="A1666" s="13">
        <f>Github!J$2146</f>
        <v>2145</v>
      </c>
      <c r="B1666" s="14" t="str">
        <f>HYPERLINK(CONCAT("http://leetcode.com/problems/",Github!C$2146), Github!B$2146)</f>
        <v>Count the Hidden Sequences</v>
      </c>
      <c r="C1666" s="13">
        <f>Github!F$2146</f>
        <v>419</v>
      </c>
      <c r="D1666" s="13">
        <f>Github!G$2146</f>
        <v>43</v>
      </c>
      <c r="E1666" s="13">
        <f>Github!F$2146+Github!G$2146</f>
        <v>462</v>
      </c>
      <c r="F1666" s="15">
        <f t="shared" si="1"/>
        <v>9.74</v>
      </c>
      <c r="G1666" s="13" t="str">
        <f>ROUND(Github!O$2146, 2)&amp;"%"</f>
        <v>36.69%</v>
      </c>
      <c r="H1666" s="13" t="str">
        <f>Github!H$2146</f>
        <v>Algorithms</v>
      </c>
      <c r="I1666" s="16" t="str">
        <f>SUBSTITUTE(Github!L$2146, ";", ", ")</f>
        <v>Array, Prefix Sum, </v>
      </c>
      <c r="J1666" s="13" t="str">
        <f>Github!E$2146</f>
        <v>Medium</v>
      </c>
      <c r="K1666" s="13" t="str">
        <f>IF(TRIM(Github!D$2146)="TRUE","FALSE","TRUE")</f>
        <v>TRUE</v>
      </c>
      <c r="L1666" s="13" t="b">
        <f>Github!M$2146</f>
        <v>0</v>
      </c>
      <c r="M1666" s="13" t="b">
        <f>Github!N$2146</f>
        <v>0</v>
      </c>
      <c r="N1666" s="13">
        <f>Github!P$2146</f>
        <v>14181</v>
      </c>
      <c r="O1666" s="13">
        <f>Github!Q$2146</f>
        <v>38650</v>
      </c>
    </row>
    <row r="1667">
      <c r="A1667" s="13">
        <f>Github!J$1983</f>
        <v>1982</v>
      </c>
      <c r="B1667" s="14" t="str">
        <f>HYPERLINK(CONCAT("http://leetcode.com/problems/",Github!C$1983), Github!B$1983)</f>
        <v>Find Array Given Subset Sums</v>
      </c>
      <c r="C1667" s="13">
        <f>Github!F$1983</f>
        <v>423</v>
      </c>
      <c r="D1667" s="13">
        <f>Github!G$1983</f>
        <v>32</v>
      </c>
      <c r="E1667" s="13">
        <f>Github!F$1983+Github!G$1983</f>
        <v>455</v>
      </c>
      <c r="F1667" s="15">
        <f t="shared" si="1"/>
        <v>13.22</v>
      </c>
      <c r="G1667" s="13" t="str">
        <f>ROUND(Github!O$1983, 2)&amp;"%"</f>
        <v>48.7%</v>
      </c>
      <c r="H1667" s="13" t="str">
        <f>Github!H$1983</f>
        <v>Algorithms</v>
      </c>
      <c r="I1667" s="16" t="str">
        <f>SUBSTITUTE(Github!L$1983, ";", ", ")</f>
        <v>Array, Divide and Conquer, </v>
      </c>
      <c r="J1667" s="13" t="str">
        <f>Github!E$1983</f>
        <v>Hard</v>
      </c>
      <c r="K1667" s="13" t="str">
        <f>IF(TRIM(Github!D$1983)="TRUE","FALSE","TRUE")</f>
        <v>TRUE</v>
      </c>
      <c r="L1667" s="13" t="b">
        <f>Github!M$1983</f>
        <v>0</v>
      </c>
      <c r="M1667" s="13" t="b">
        <f>Github!N$1983</f>
        <v>0</v>
      </c>
      <c r="N1667" s="13">
        <f>Github!P$1983</f>
        <v>3962</v>
      </c>
      <c r="O1667" s="13">
        <f>Github!Q$1983</f>
        <v>8135</v>
      </c>
    </row>
    <row r="1668">
      <c r="A1668" s="13">
        <f>Github!J$2120</f>
        <v>2119</v>
      </c>
      <c r="B1668" s="14" t="str">
        <f>HYPERLINK(CONCAT("http://leetcode.com/problems/",Github!C$2120), Github!B$2120)</f>
        <v>A Number After a Double Reversal</v>
      </c>
      <c r="C1668" s="13">
        <f>Github!F$2120</f>
        <v>425</v>
      </c>
      <c r="D1668" s="13">
        <f>Github!G$2120</f>
        <v>25</v>
      </c>
      <c r="E1668" s="13">
        <f>Github!F$2120+Github!G$2120</f>
        <v>450</v>
      </c>
      <c r="F1668" s="15">
        <f t="shared" si="1"/>
        <v>17</v>
      </c>
      <c r="G1668" s="13" t="str">
        <f>ROUND(Github!O$2120, 2)&amp;"%"</f>
        <v>76.09%</v>
      </c>
      <c r="H1668" s="13" t="str">
        <f>Github!H$2120</f>
        <v>Algorithms</v>
      </c>
      <c r="I1668" s="16" t="str">
        <f>SUBSTITUTE(Github!L$2120, ";", ", ")</f>
        <v>Math, </v>
      </c>
      <c r="J1668" s="13" t="str">
        <f>Github!E$2120</f>
        <v>Easy</v>
      </c>
      <c r="K1668" s="13" t="str">
        <f>IF(TRIM(Github!D$2120)="TRUE","FALSE","TRUE")</f>
        <v>TRUE</v>
      </c>
      <c r="L1668" s="13" t="b">
        <f>Github!M$2120</f>
        <v>0</v>
      </c>
      <c r="M1668" s="13" t="b">
        <f>Github!N$2120</f>
        <v>0</v>
      </c>
      <c r="N1668" s="13">
        <f>Github!P$2120</f>
        <v>48020</v>
      </c>
      <c r="O1668" s="13">
        <f>Github!Q$2120</f>
        <v>63106</v>
      </c>
    </row>
    <row r="1669">
      <c r="A1669" s="13">
        <f>Github!J$1018</f>
        <v>1017</v>
      </c>
      <c r="B1669" s="14" t="str">
        <f>HYPERLINK(CONCAT("http://leetcode.com/problems/",Github!C$1018), Github!B$1018)</f>
        <v>Convert to Base -2</v>
      </c>
      <c r="C1669" s="13">
        <f>Github!F$1018</f>
        <v>426</v>
      </c>
      <c r="D1669" s="13">
        <f>Github!G$1018</f>
        <v>256</v>
      </c>
      <c r="E1669" s="13">
        <f>Github!F$1018+Github!G$1018</f>
        <v>682</v>
      </c>
      <c r="F1669" s="15">
        <f t="shared" si="1"/>
        <v>1.66</v>
      </c>
      <c r="G1669" s="13" t="str">
        <f>ROUND(Github!O$1018, 2)&amp;"%"</f>
        <v>60.96%</v>
      </c>
      <c r="H1669" s="13" t="str">
        <f>Github!H$1018</f>
        <v>Algorithms</v>
      </c>
      <c r="I1669" s="16" t="str">
        <f>SUBSTITUTE(Github!L$1018, ";", ", ")</f>
        <v>Math, </v>
      </c>
      <c r="J1669" s="13" t="str">
        <f>Github!E$1018</f>
        <v>Medium</v>
      </c>
      <c r="K1669" s="13" t="str">
        <f>IF(TRIM(Github!D$1018)="TRUE","FALSE","TRUE")</f>
        <v>TRUE</v>
      </c>
      <c r="L1669" s="13" t="b">
        <f>Github!M$1018</f>
        <v>0</v>
      </c>
      <c r="M1669" s="13" t="b">
        <f>Github!N$1018</f>
        <v>0</v>
      </c>
      <c r="N1669" s="13">
        <f>Github!P$1018</f>
        <v>21660</v>
      </c>
      <c r="O1669" s="13">
        <f>Github!Q$1018</f>
        <v>35533</v>
      </c>
    </row>
    <row r="1670">
      <c r="A1670" s="13">
        <f>Github!J$2203</f>
        <v>2202</v>
      </c>
      <c r="B1670" s="14" t="str">
        <f>HYPERLINK(CONCAT("http://leetcode.com/problems/",Github!C$2203), Github!B$2203)</f>
        <v>Maximize the Topmost Element After K Moves</v>
      </c>
      <c r="C1670" s="13">
        <f>Github!F$2203</f>
        <v>419</v>
      </c>
      <c r="D1670" s="13">
        <f>Github!G$2203</f>
        <v>253</v>
      </c>
      <c r="E1670" s="13">
        <f>Github!F$2203+Github!G$2203</f>
        <v>672</v>
      </c>
      <c r="F1670" s="15">
        <f t="shared" si="1"/>
        <v>1.66</v>
      </c>
      <c r="G1670" s="13" t="str">
        <f>ROUND(Github!O$2203, 2)&amp;"%"</f>
        <v>22.77%</v>
      </c>
      <c r="H1670" s="13" t="str">
        <f>Github!H$2203</f>
        <v>Algorithms</v>
      </c>
      <c r="I1670" s="16" t="str">
        <f>SUBSTITUTE(Github!L$2203, ";", ", ")</f>
        <v>Array, Greedy, </v>
      </c>
      <c r="J1670" s="13" t="str">
        <f>Github!E$2203</f>
        <v>Medium</v>
      </c>
      <c r="K1670" s="13" t="str">
        <f>IF(TRIM(Github!D$2203)="TRUE","FALSE","TRUE")</f>
        <v>TRUE</v>
      </c>
      <c r="L1670" s="13" t="b">
        <f>Github!M$2203</f>
        <v>0</v>
      </c>
      <c r="M1670" s="13" t="b">
        <f>Github!N$2203</f>
        <v>0</v>
      </c>
      <c r="N1670" s="13">
        <f>Github!P$2203</f>
        <v>20292</v>
      </c>
      <c r="O1670" s="13">
        <f>Github!Q$2203</f>
        <v>89125</v>
      </c>
    </row>
    <row r="1671">
      <c r="A1671" s="13">
        <f>Github!J$1936</f>
        <v>1935</v>
      </c>
      <c r="B1671" s="14" t="str">
        <f>HYPERLINK(CONCAT("http://leetcode.com/problems/",Github!C$1936), Github!B$1936)</f>
        <v>Maximum Number of Words You Can Type</v>
      </c>
      <c r="C1671" s="13">
        <f>Github!F$1936</f>
        <v>417</v>
      </c>
      <c r="D1671" s="13">
        <f>Github!G$1936</f>
        <v>19</v>
      </c>
      <c r="E1671" s="13">
        <f>Github!F$1936+Github!G$1936</f>
        <v>436</v>
      </c>
      <c r="F1671" s="15">
        <f t="shared" si="1"/>
        <v>21.95</v>
      </c>
      <c r="G1671" s="13" t="str">
        <f>ROUND(Github!O$1936, 2)&amp;"%"</f>
        <v>71.13%</v>
      </c>
      <c r="H1671" s="13" t="str">
        <f>Github!H$1936</f>
        <v>Algorithms</v>
      </c>
      <c r="I1671" s="16" t="str">
        <f>SUBSTITUTE(Github!L$1936, ";", ", ")</f>
        <v>Hash Table, String, </v>
      </c>
      <c r="J1671" s="13" t="str">
        <f>Github!E$1936</f>
        <v>Easy</v>
      </c>
      <c r="K1671" s="13" t="str">
        <f>IF(TRIM(Github!D$1936)="TRUE","FALSE","TRUE")</f>
        <v>TRUE</v>
      </c>
      <c r="L1671" s="13" t="b">
        <f>Github!M$1936</f>
        <v>0</v>
      </c>
      <c r="M1671" s="13" t="b">
        <f>Github!N$1936</f>
        <v>0</v>
      </c>
      <c r="N1671" s="13">
        <f>Github!P$1936</f>
        <v>39274</v>
      </c>
      <c r="O1671" s="13">
        <f>Github!Q$1936</f>
        <v>55213</v>
      </c>
    </row>
    <row r="1672">
      <c r="A1672" s="13">
        <f>Github!J$498</f>
        <v>497</v>
      </c>
      <c r="B1672" s="14" t="str">
        <f>HYPERLINK(CONCAT("http://leetcode.com/problems/",Github!C$498), Github!B$498)</f>
        <v>Random Point in Non-overlapping Rectangles</v>
      </c>
      <c r="C1672" s="13">
        <f>Github!F$498</f>
        <v>415</v>
      </c>
      <c r="D1672" s="13">
        <f>Github!G$498</f>
        <v>630</v>
      </c>
      <c r="E1672" s="13">
        <f>Github!F$498+Github!G$498</f>
        <v>1045</v>
      </c>
      <c r="F1672" s="15">
        <f t="shared" si="1"/>
        <v>0.66</v>
      </c>
      <c r="G1672" s="13" t="str">
        <f>ROUND(Github!O$498, 2)&amp;"%"</f>
        <v>39.31%</v>
      </c>
      <c r="H1672" s="13" t="str">
        <f>Github!H$498</f>
        <v>Algorithms</v>
      </c>
      <c r="I1672" s="16" t="str">
        <f>SUBSTITUTE(Github!L$498, ";", ", ")</f>
        <v>Math, Binary Search, Reservoir Sampling, Prefix Sum, Ordered Set, Randomized, </v>
      </c>
      <c r="J1672" s="13" t="str">
        <f>Github!E$498</f>
        <v>Medium</v>
      </c>
      <c r="K1672" s="13" t="str">
        <f>IF(TRIM(Github!D$498)="TRUE","FALSE","TRUE")</f>
        <v>TRUE</v>
      </c>
      <c r="L1672" s="13" t="b">
        <f>Github!M$498</f>
        <v>0</v>
      </c>
      <c r="M1672" s="13" t="b">
        <f>Github!N$498</f>
        <v>0</v>
      </c>
      <c r="N1672" s="13">
        <f>Github!P$498</f>
        <v>36164</v>
      </c>
      <c r="O1672" s="13">
        <f>Github!Q$498</f>
        <v>91993</v>
      </c>
    </row>
    <row r="1673">
      <c r="A1673" s="13">
        <f>Github!J$1888</f>
        <v>1887</v>
      </c>
      <c r="B1673" s="14" t="str">
        <f>HYPERLINK(CONCAT("http://leetcode.com/problems/",Github!C$1888), Github!B$1888)</f>
        <v>Reduction Operations to Make the Array Elements Equal</v>
      </c>
      <c r="C1673" s="13">
        <f>Github!F$1888</f>
        <v>421</v>
      </c>
      <c r="D1673" s="13">
        <f>Github!G$1888</f>
        <v>19</v>
      </c>
      <c r="E1673" s="13">
        <f>Github!F$1888+Github!G$1888</f>
        <v>440</v>
      </c>
      <c r="F1673" s="15">
        <f t="shared" si="1"/>
        <v>22.16</v>
      </c>
      <c r="G1673" s="13" t="str">
        <f>ROUND(Github!O$1888, 2)&amp;"%"</f>
        <v>62.42%</v>
      </c>
      <c r="H1673" s="13" t="str">
        <f>Github!H$1888</f>
        <v>Algorithms</v>
      </c>
      <c r="I1673" s="16" t="str">
        <f>SUBSTITUTE(Github!L$1888, ";", ", ")</f>
        <v>Array, Sorting, </v>
      </c>
      <c r="J1673" s="13" t="str">
        <f>Github!E$1888</f>
        <v>Medium</v>
      </c>
      <c r="K1673" s="13" t="str">
        <f>IF(TRIM(Github!D$1888)="TRUE","FALSE","TRUE")</f>
        <v>TRUE</v>
      </c>
      <c r="L1673" s="13" t="b">
        <f>Github!M$1888</f>
        <v>0</v>
      </c>
      <c r="M1673" s="13" t="b">
        <f>Github!N$1888</f>
        <v>0</v>
      </c>
      <c r="N1673" s="13">
        <f>Github!P$1888</f>
        <v>19958</v>
      </c>
      <c r="O1673" s="13">
        <f>Github!Q$1888</f>
        <v>31973</v>
      </c>
    </row>
    <row r="1674">
      <c r="A1674" s="13">
        <f>Github!J$2301</f>
        <v>2300</v>
      </c>
      <c r="B1674" s="14" t="str">
        <f>HYPERLINK(CONCAT("http://leetcode.com/problems/",Github!C$2301), Github!B$2301)</f>
        <v>Successful Pairs of Spells and Potions</v>
      </c>
      <c r="C1674" s="13">
        <f>Github!F$2301</f>
        <v>434</v>
      </c>
      <c r="D1674" s="13">
        <f>Github!G$2301</f>
        <v>12</v>
      </c>
      <c r="E1674" s="13">
        <f>Github!F$2301+Github!G$2301</f>
        <v>446</v>
      </c>
      <c r="F1674" s="15">
        <f t="shared" si="1"/>
        <v>36.17</v>
      </c>
      <c r="G1674" s="13" t="str">
        <f>ROUND(Github!O$2301, 2)&amp;"%"</f>
        <v>32.05%</v>
      </c>
      <c r="H1674" s="13" t="str">
        <f>Github!H2301</f>
        <v>Algorithms</v>
      </c>
      <c r="I1674" s="16" t="str">
        <f>SUBSTITUTE(Github!L$2301, ";", ", ")</f>
        <v>Array, Two Pointers, Binary Search, Sorting, </v>
      </c>
      <c r="J1674" s="13" t="str">
        <f>Github!E$2301</f>
        <v>Medium</v>
      </c>
      <c r="K1674" s="13" t="str">
        <f>IF(TRIM(Github!D$2301)="TRUE","FALSE","TRUE")</f>
        <v>TRUE</v>
      </c>
      <c r="L1674" s="13" t="b">
        <f>Github!M$2301</f>
        <v>0</v>
      </c>
      <c r="M1674" s="13" t="b">
        <f>Github!N$2301</f>
        <v>0</v>
      </c>
      <c r="N1674" s="13">
        <f>Github!P$2301</f>
        <v>20892</v>
      </c>
      <c r="O1674" s="13">
        <f>Github!Q$2301</f>
        <v>65183</v>
      </c>
    </row>
    <row r="1675">
      <c r="A1675" s="13">
        <f>Github!J$1238</f>
        <v>1237</v>
      </c>
      <c r="B1675" s="14" t="str">
        <f>HYPERLINK(CONCAT("http://leetcode.com/problems/",Github!C$1238), Github!B$1238)</f>
        <v>Find Positive Integer Solution for a Given Equation</v>
      </c>
      <c r="C1675" s="13">
        <f>Github!F$1238</f>
        <v>414</v>
      </c>
      <c r="D1675" s="13">
        <f>Github!G$1238</f>
        <v>1283</v>
      </c>
      <c r="E1675" s="13">
        <f>Github!F$1238+Github!G$1238</f>
        <v>1697</v>
      </c>
      <c r="F1675" s="15">
        <f t="shared" si="1"/>
        <v>0.32</v>
      </c>
      <c r="G1675" s="13" t="str">
        <f>ROUND(Github!O$1238, 2)&amp;"%"</f>
        <v>69.29%</v>
      </c>
      <c r="H1675" s="13" t="str">
        <f>Github!H$1238</f>
        <v>Algorithms</v>
      </c>
      <c r="I1675" s="16" t="str">
        <f>SUBSTITUTE(Github!L$1238, ";", ", ")</f>
        <v>Math, Two Pointers, Binary Search, Interactive, </v>
      </c>
      <c r="J1675" s="13" t="str">
        <f>Github!E$1238</f>
        <v>Medium</v>
      </c>
      <c r="K1675" s="13" t="str">
        <f>IF(TRIM(Github!D$1238)="TRUE","FALSE","TRUE")</f>
        <v>TRUE</v>
      </c>
      <c r="L1675" s="13" t="b">
        <f>Github!M$1238</f>
        <v>0</v>
      </c>
      <c r="M1675" s="13" t="b">
        <f>Github!N$1238</f>
        <v>0</v>
      </c>
      <c r="N1675" s="13">
        <f>Github!P$1238</f>
        <v>55670</v>
      </c>
      <c r="O1675" s="13">
        <f>Github!Q$1238</f>
        <v>80348</v>
      </c>
    </row>
    <row r="1676">
      <c r="A1676" s="13">
        <f>Github!J$2087</f>
        <v>2086</v>
      </c>
      <c r="B1676" s="14" t="str">
        <f>HYPERLINK(CONCAT("http://leetcode.com/problems/",Github!C$2087), Github!B$2087)</f>
        <v>Minimum Number of Food Buckets to Feed the Hamsters</v>
      </c>
      <c r="C1676" s="13">
        <f>Github!F$2087</f>
        <v>412</v>
      </c>
      <c r="D1676" s="13">
        <f>Github!G$2087</f>
        <v>18</v>
      </c>
      <c r="E1676" s="13">
        <f>Github!F$2087+Github!G$2087</f>
        <v>430</v>
      </c>
      <c r="F1676" s="15">
        <f t="shared" si="1"/>
        <v>22.89</v>
      </c>
      <c r="G1676" s="13" t="str">
        <f>ROUND(Github!O$2087, 2)&amp;"%"</f>
        <v>45.12%</v>
      </c>
      <c r="H1676" s="13" t="str">
        <f>Github!H$2087</f>
        <v>Algorithms</v>
      </c>
      <c r="I1676" s="16" t="str">
        <f>SUBSTITUTE(Github!L$2087, ";", ", ")</f>
        <v>String, Dynamic Programming, Greedy, </v>
      </c>
      <c r="J1676" s="13" t="str">
        <f>Github!E$2087</f>
        <v>Medium</v>
      </c>
      <c r="K1676" s="13" t="str">
        <f>IF(TRIM(Github!D$2087)="TRUE","FALSE","TRUE")</f>
        <v>TRUE</v>
      </c>
      <c r="L1676" s="13" t="b">
        <f>Github!M$2087</f>
        <v>0</v>
      </c>
      <c r="M1676" s="13" t="b">
        <f>Github!N$2087</f>
        <v>0</v>
      </c>
      <c r="N1676" s="13">
        <f>Github!P$2087</f>
        <v>13484</v>
      </c>
      <c r="O1676" s="13">
        <f>Github!Q$2087</f>
        <v>29883</v>
      </c>
    </row>
    <row r="1677">
      <c r="A1677" s="13">
        <f>Github!J$2177</f>
        <v>2176</v>
      </c>
      <c r="B1677" s="14" t="str">
        <f>HYPERLINK(CONCAT("http://leetcode.com/problems/",Github!C$2177), Github!B$2177)</f>
        <v>Count Equal and Divisible Pairs in an Array</v>
      </c>
      <c r="C1677" s="13">
        <f>Github!F$2177</f>
        <v>414</v>
      </c>
      <c r="D1677" s="13">
        <f>Github!G$2177</f>
        <v>17</v>
      </c>
      <c r="E1677" s="13">
        <f>Github!F$2177+Github!G$2177</f>
        <v>431</v>
      </c>
      <c r="F1677" s="15">
        <f t="shared" si="1"/>
        <v>24.35</v>
      </c>
      <c r="G1677" s="13" t="str">
        <f>ROUND(Github!O$2177, 2)&amp;"%"</f>
        <v>80.35%</v>
      </c>
      <c r="H1677" s="13" t="str">
        <f>Github!H$2177</f>
        <v>Algorithms</v>
      </c>
      <c r="I1677" s="16" t="str">
        <f>SUBSTITUTE(Github!L$2177, ";", ", ")</f>
        <v>Array, </v>
      </c>
      <c r="J1677" s="13" t="str">
        <f>Github!E$2177</f>
        <v>Easy</v>
      </c>
      <c r="K1677" s="13" t="str">
        <f>IF(TRIM(Github!D$2177)="TRUE","FALSE","TRUE")</f>
        <v>TRUE</v>
      </c>
      <c r="L1677" s="13" t="b">
        <f>Github!M$2177</f>
        <v>0</v>
      </c>
      <c r="M1677" s="13" t="b">
        <f>Github!N$2177</f>
        <v>0</v>
      </c>
      <c r="N1677" s="13">
        <f>Github!P$2177</f>
        <v>44098</v>
      </c>
      <c r="O1677" s="13">
        <f>Github!Q$2177</f>
        <v>54880</v>
      </c>
    </row>
    <row r="1678">
      <c r="A1678" s="13">
        <f>Github!J$1755</f>
        <v>1754</v>
      </c>
      <c r="B1678" s="14" t="str">
        <f>HYPERLINK(CONCAT("http://leetcode.com/problems/",Github!C$1755), Github!B$1755)</f>
        <v>Largest Merge Of Two Strings</v>
      </c>
      <c r="C1678" s="13">
        <f>Github!F$1755</f>
        <v>412</v>
      </c>
      <c r="D1678" s="13">
        <f>Github!G$1755</f>
        <v>60</v>
      </c>
      <c r="E1678" s="13">
        <f>Github!F$1755+Github!G$1755</f>
        <v>472</v>
      </c>
      <c r="F1678" s="15">
        <f t="shared" si="1"/>
        <v>6.87</v>
      </c>
      <c r="G1678" s="13" t="str">
        <f>ROUND(Github!O$1755, 2)&amp;"%"</f>
        <v>45.3%</v>
      </c>
      <c r="H1678" s="13" t="str">
        <f>Github!H$1755</f>
        <v>Algorithms</v>
      </c>
      <c r="I1678" s="16" t="str">
        <f>SUBSTITUTE(Github!L$1755, ";", ", ")</f>
        <v>Two Pointers, String, Greedy, </v>
      </c>
      <c r="J1678" s="13" t="str">
        <f>Github!E$1755</f>
        <v>Medium</v>
      </c>
      <c r="K1678" s="13" t="str">
        <f>IF(TRIM(Github!D$1755)="TRUE","FALSE","TRUE")</f>
        <v>TRUE</v>
      </c>
      <c r="L1678" s="13" t="b">
        <f>Github!M$1755</f>
        <v>0</v>
      </c>
      <c r="M1678" s="13" t="b">
        <f>Github!N$1755</f>
        <v>0</v>
      </c>
      <c r="N1678" s="13">
        <f>Github!P$1755</f>
        <v>16875</v>
      </c>
      <c r="O1678" s="13">
        <f>Github!Q$1755</f>
        <v>37256</v>
      </c>
    </row>
    <row r="1679">
      <c r="A1679" s="13">
        <f>Github!J$2268</f>
        <v>2267</v>
      </c>
      <c r="B1679" s="14" t="str">
        <f>HYPERLINK(CONCAT("http://leetcode.com/problems/",Github!C$2268), Github!B$2268)</f>
        <v> Check if There Is a Valid Parentheses String Path</v>
      </c>
      <c r="C1679" s="13">
        <f>Github!F$2268</f>
        <v>413</v>
      </c>
      <c r="D1679" s="13">
        <f>Github!G$2268</f>
        <v>4</v>
      </c>
      <c r="E1679" s="13">
        <f>Github!F$2268+Github!G$2268</f>
        <v>417</v>
      </c>
      <c r="F1679" s="15">
        <f t="shared" si="1"/>
        <v>103.25</v>
      </c>
      <c r="G1679" s="13" t="str">
        <f>ROUND(Github!O$2268, 2)&amp;"%"</f>
        <v>38.02%</v>
      </c>
      <c r="H1679" s="13" t="str">
        <f>Github!H$2268</f>
        <v>Algorithms</v>
      </c>
      <c r="I1679" s="16" t="str">
        <f>SUBSTITUTE(Github!L$2268, ";", ", ")</f>
        <v>Array, Dynamic Programming, Matrix, </v>
      </c>
      <c r="J1679" s="13" t="str">
        <f>Github!E$2268</f>
        <v>Hard</v>
      </c>
      <c r="K1679" s="13" t="str">
        <f>IF(TRIM(Github!D$2268)="TRUE","FALSE","TRUE")</f>
        <v>TRUE</v>
      </c>
      <c r="L1679" s="13" t="b">
        <f>Github!M$2268</f>
        <v>0</v>
      </c>
      <c r="M1679" s="13" t="b">
        <f>Github!N$2268</f>
        <v>0</v>
      </c>
      <c r="N1679" s="13">
        <f>Github!P$2268</f>
        <v>11931</v>
      </c>
      <c r="O1679" s="13">
        <f>Github!Q$2268</f>
        <v>31377</v>
      </c>
    </row>
    <row r="1680">
      <c r="A1680" s="13">
        <f>Github!J$1302</f>
        <v>1301</v>
      </c>
      <c r="B1680" s="14" t="str">
        <f>HYPERLINK(CONCAT("http://leetcode.com/problems/",Github!C$1302), Github!B$1302)</f>
        <v>Number of Paths with Max Score</v>
      </c>
      <c r="C1680" s="13">
        <f>Github!F$1302</f>
        <v>413</v>
      </c>
      <c r="D1680" s="13">
        <f>Github!G$1302</f>
        <v>22</v>
      </c>
      <c r="E1680" s="13">
        <f>Github!F$1302+Github!G$1302</f>
        <v>435</v>
      </c>
      <c r="F1680" s="15">
        <f t="shared" si="1"/>
        <v>18.77</v>
      </c>
      <c r="G1680" s="13" t="str">
        <f>ROUND(Github!O$1302, 2)&amp;"%"</f>
        <v>38.78%</v>
      </c>
      <c r="H1680" s="13" t="str">
        <f>Github!H$1302</f>
        <v>Algorithms</v>
      </c>
      <c r="I1680" s="16" t="str">
        <f>SUBSTITUTE(Github!L$1302, ";", ", ")</f>
        <v>Array, Dynamic Programming, Matrix, </v>
      </c>
      <c r="J1680" s="13" t="str">
        <f>Github!E$1302</f>
        <v>Hard</v>
      </c>
      <c r="K1680" s="13" t="str">
        <f>IF(TRIM(Github!D$1302)="TRUE","FALSE","TRUE")</f>
        <v>TRUE</v>
      </c>
      <c r="L1680" s="13" t="b">
        <f>Github!M$1302</f>
        <v>0</v>
      </c>
      <c r="M1680" s="13" t="b">
        <f>Github!N$1302</f>
        <v>0</v>
      </c>
      <c r="N1680" s="13">
        <f>Github!P$1302</f>
        <v>10670</v>
      </c>
      <c r="O1680" s="13">
        <f>Github!Q$1302</f>
        <v>27513</v>
      </c>
    </row>
    <row r="1681">
      <c r="A1681" s="13">
        <f>Github!J$2107</f>
        <v>2106</v>
      </c>
      <c r="B1681" s="14" t="str">
        <f>HYPERLINK(CONCAT("http://leetcode.com/problems/",Github!C$2107), Github!B$2107)</f>
        <v>Maximum Fruits Harvested After at Most K Steps</v>
      </c>
      <c r="C1681" s="13">
        <f>Github!F$2107</f>
        <v>413</v>
      </c>
      <c r="D1681" s="13">
        <f>Github!G$2107</f>
        <v>15</v>
      </c>
      <c r="E1681" s="13">
        <f>Github!F$2107+Github!G$2107</f>
        <v>428</v>
      </c>
      <c r="F1681" s="15">
        <f t="shared" si="1"/>
        <v>27.53</v>
      </c>
      <c r="G1681" s="13" t="str">
        <f>ROUND(Github!O$2107, 2)&amp;"%"</f>
        <v>35.24%</v>
      </c>
      <c r="H1681" s="13" t="str">
        <f>Github!H$2107</f>
        <v>Algorithms</v>
      </c>
      <c r="I1681" s="16" t="str">
        <f>SUBSTITUTE(Github!L$2107, ";", ", ")</f>
        <v>Array, Binary Search, Sliding Window, Prefix Sum, </v>
      </c>
      <c r="J1681" s="13" t="str">
        <f>Github!E$2107</f>
        <v>Hard</v>
      </c>
      <c r="K1681" s="13" t="str">
        <f>IF(TRIM(Github!D$2107)="TRUE","FALSE","TRUE")</f>
        <v>TRUE</v>
      </c>
      <c r="L1681" s="13" t="b">
        <f>Github!M$2107</f>
        <v>0</v>
      </c>
      <c r="M1681" s="13" t="b">
        <f>Github!N$2107</f>
        <v>0</v>
      </c>
      <c r="N1681" s="13">
        <f>Github!P$2107</f>
        <v>8171</v>
      </c>
      <c r="O1681" s="13">
        <f>Github!Q$2107</f>
        <v>23188</v>
      </c>
    </row>
    <row r="1682">
      <c r="A1682" s="13">
        <f>Github!J$2059</f>
        <v>2058</v>
      </c>
      <c r="B1682" s="14" t="str">
        <f>HYPERLINK(CONCAT("http://leetcode.com/problems/",Github!C$2059), Github!B$2059)</f>
        <v>Find the Minimum and Maximum Number of Nodes Between Critical Points</v>
      </c>
      <c r="C1682" s="13">
        <f>Github!F$2059</f>
        <v>416</v>
      </c>
      <c r="D1682" s="13">
        <f>Github!G$2059</f>
        <v>15</v>
      </c>
      <c r="E1682" s="13">
        <f>Github!F$2059+Github!G$2059</f>
        <v>431</v>
      </c>
      <c r="F1682" s="15">
        <f t="shared" si="1"/>
        <v>27.73</v>
      </c>
      <c r="G1682" s="13" t="str">
        <f>ROUND(Github!O$2059, 2)&amp;"%"</f>
        <v>57.03%</v>
      </c>
      <c r="H1682" s="13" t="str">
        <f>Github!H$2059</f>
        <v>Algorithms</v>
      </c>
      <c r="I1682" s="16" t="str">
        <f>SUBSTITUTE(Github!L$2059, ";", ", ")</f>
        <v>Linked List, </v>
      </c>
      <c r="J1682" s="13" t="str">
        <f>Github!E$2059</f>
        <v>Medium</v>
      </c>
      <c r="K1682" s="13" t="str">
        <f>IF(TRIM(Github!D$2059)="TRUE","FALSE","TRUE")</f>
        <v>TRUE</v>
      </c>
      <c r="L1682" s="13" t="b">
        <f>Github!M$2059</f>
        <v>0</v>
      </c>
      <c r="M1682" s="13" t="b">
        <f>Github!N$2059</f>
        <v>0</v>
      </c>
      <c r="N1682" s="13">
        <f>Github!P$2059</f>
        <v>21438</v>
      </c>
      <c r="O1682" s="13">
        <f>Github!Q$2059</f>
        <v>37593</v>
      </c>
    </row>
    <row r="1683">
      <c r="A1683" s="13">
        <f>Github!J$2321</f>
        <v>2320</v>
      </c>
      <c r="B1683" s="14" t="str">
        <f>HYPERLINK(CONCAT("http://leetcode.com/problems/",Github!C$2321), Github!B$2321)</f>
        <v>Count Number of Ways to Place Houses</v>
      </c>
      <c r="C1683" s="13">
        <f>Github!F$2321</f>
        <v>412</v>
      </c>
      <c r="D1683" s="13">
        <f>Github!G$2321</f>
        <v>179</v>
      </c>
      <c r="E1683" s="13">
        <f>Github!F$2321+Github!G$2321</f>
        <v>591</v>
      </c>
      <c r="F1683" s="15">
        <f t="shared" si="1"/>
        <v>2.3</v>
      </c>
      <c r="G1683" s="13" t="str">
        <f>ROUND(Github!O$2321, 2)&amp;"%"</f>
        <v>40.33%</v>
      </c>
      <c r="H1683" s="13" t="str">
        <f>Github!H2321</f>
        <v>Algorithms</v>
      </c>
      <c r="I1683" s="16" t="str">
        <f>SUBSTITUTE(Github!L$2321, ";", ", ")</f>
        <v>Dynamic Programming, </v>
      </c>
      <c r="J1683" s="13" t="str">
        <f>Github!E$2321</f>
        <v>Medium</v>
      </c>
      <c r="K1683" s="13" t="str">
        <f>IF(TRIM(Github!D$2321)="TRUE","FALSE","TRUE")</f>
        <v>TRUE</v>
      </c>
      <c r="L1683" s="13" t="b">
        <f>Github!M$2321</f>
        <v>0</v>
      </c>
      <c r="M1683" s="13" t="b">
        <f>Github!N$2321</f>
        <v>0</v>
      </c>
      <c r="N1683" s="13">
        <f>Github!P$2321</f>
        <v>20820</v>
      </c>
      <c r="O1683" s="13">
        <f>Github!Q$2321</f>
        <v>51623</v>
      </c>
    </row>
    <row r="1684">
      <c r="A1684" s="13">
        <f>Github!J$1998</f>
        <v>1997</v>
      </c>
      <c r="B1684" s="14" t="str">
        <f>HYPERLINK(CONCAT("http://leetcode.com/problems/",Github!C$1998), Github!B$1998)</f>
        <v>First Day Where You Have Been in All the Rooms</v>
      </c>
      <c r="C1684" s="13">
        <f>Github!F$1998</f>
        <v>410</v>
      </c>
      <c r="D1684" s="13">
        <f>Github!G$1998</f>
        <v>70</v>
      </c>
      <c r="E1684" s="13">
        <f>Github!F$1998+Github!G$1998</f>
        <v>480</v>
      </c>
      <c r="F1684" s="15">
        <f t="shared" si="1"/>
        <v>5.86</v>
      </c>
      <c r="G1684" s="13" t="str">
        <f>ROUND(Github!O$1998, 2)&amp;"%"</f>
        <v>36.82%</v>
      </c>
      <c r="H1684" s="13" t="str">
        <f>Github!H$1998</f>
        <v>Algorithms</v>
      </c>
      <c r="I1684" s="16" t="str">
        <f>SUBSTITUTE(Github!L$1998, ";", ", ")</f>
        <v>Array, Dynamic Programming, </v>
      </c>
      <c r="J1684" s="13" t="str">
        <f>Github!E$1998</f>
        <v>Medium</v>
      </c>
      <c r="K1684" s="13" t="str">
        <f>IF(TRIM(Github!D$1998)="TRUE","FALSE","TRUE")</f>
        <v>TRUE</v>
      </c>
      <c r="L1684" s="13" t="b">
        <f>Github!M$1998</f>
        <v>0</v>
      </c>
      <c r="M1684" s="13" t="b">
        <f>Github!N$1998</f>
        <v>0</v>
      </c>
      <c r="N1684" s="13">
        <f>Github!P$1998</f>
        <v>7233</v>
      </c>
      <c r="O1684" s="13">
        <f>Github!Q$1998</f>
        <v>19642</v>
      </c>
    </row>
    <row r="1685">
      <c r="A1685" s="13">
        <f>Github!J$2170</f>
        <v>2169</v>
      </c>
      <c r="B1685" s="14" t="str">
        <f>HYPERLINK(CONCAT("http://leetcode.com/problems/",Github!C$2170), Github!B$2170)</f>
        <v>Count Operations to Obtain Zero</v>
      </c>
      <c r="C1685" s="13">
        <f>Github!F$2170</f>
        <v>413</v>
      </c>
      <c r="D1685" s="13">
        <f>Github!G$2170</f>
        <v>12</v>
      </c>
      <c r="E1685" s="13">
        <f>Github!F$2170+Github!G$2170</f>
        <v>425</v>
      </c>
      <c r="F1685" s="15">
        <f t="shared" si="1"/>
        <v>34.42</v>
      </c>
      <c r="G1685" s="13" t="str">
        <f>ROUND(Github!O$2170, 2)&amp;"%"</f>
        <v>75.47%</v>
      </c>
      <c r="H1685" s="13" t="str">
        <f>Github!H$2170</f>
        <v>Algorithms</v>
      </c>
      <c r="I1685" s="16" t="str">
        <f>SUBSTITUTE(Github!L$2170, ";", ", ")</f>
        <v>Math, Simulation, </v>
      </c>
      <c r="J1685" s="13" t="str">
        <f>Github!E$2170</f>
        <v>Easy</v>
      </c>
      <c r="K1685" s="13" t="str">
        <f>IF(TRIM(Github!D$2170)="TRUE","FALSE","TRUE")</f>
        <v>TRUE</v>
      </c>
      <c r="L1685" s="13" t="b">
        <f>Github!M$2170</f>
        <v>0</v>
      </c>
      <c r="M1685" s="13" t="b">
        <f>Github!N$2170</f>
        <v>0</v>
      </c>
      <c r="N1685" s="13">
        <f>Github!P$2170</f>
        <v>47451</v>
      </c>
      <c r="O1685" s="13">
        <f>Github!Q$2170</f>
        <v>62872</v>
      </c>
    </row>
    <row r="1686">
      <c r="A1686" s="13">
        <f>Github!J$1618</f>
        <v>1617</v>
      </c>
      <c r="B1686" s="14" t="str">
        <f>HYPERLINK(CONCAT("http://leetcode.com/problems/",Github!C$1618), Github!B$1618)</f>
        <v>Count Subtrees With Max Distance Between Cities</v>
      </c>
      <c r="C1686" s="13">
        <f>Github!F$1618</f>
        <v>409</v>
      </c>
      <c r="D1686" s="13">
        <f>Github!G$1618</f>
        <v>34</v>
      </c>
      <c r="E1686" s="13">
        <f>Github!F$1618+Github!G$1618</f>
        <v>443</v>
      </c>
      <c r="F1686" s="15">
        <f t="shared" si="1"/>
        <v>12.03</v>
      </c>
      <c r="G1686" s="13" t="str">
        <f>ROUND(Github!O$1618, 2)&amp;"%"</f>
        <v>65.97%</v>
      </c>
      <c r="H1686" s="13" t="str">
        <f>Github!H$1618</f>
        <v>Algorithms</v>
      </c>
      <c r="I1686" s="16" t="str">
        <f>SUBSTITUTE(Github!L$1618, ";", ", ")</f>
        <v>Dynamic Programming, Bit Manipulation, Tree, Enumeration, Bitmask, </v>
      </c>
      <c r="J1686" s="13" t="str">
        <f>Github!E$1618</f>
        <v>Hard</v>
      </c>
      <c r="K1686" s="13" t="str">
        <f>IF(TRIM(Github!D$1618)="TRUE","FALSE","TRUE")</f>
        <v>TRUE</v>
      </c>
      <c r="L1686" s="13" t="b">
        <f>Github!M$1618</f>
        <v>0</v>
      </c>
      <c r="M1686" s="13" t="b">
        <f>Github!N$1618</f>
        <v>0</v>
      </c>
      <c r="N1686" s="13">
        <f>Github!P$1618</f>
        <v>7646</v>
      </c>
      <c r="O1686" s="13">
        <f>Github!Q$1618</f>
        <v>11590</v>
      </c>
    </row>
    <row r="1687">
      <c r="A1687" s="13">
        <f>Github!J$1702</f>
        <v>1701</v>
      </c>
      <c r="B1687" s="14" t="str">
        <f>HYPERLINK(CONCAT("http://leetcode.com/problems/",Github!C$1702), Github!B$1702)</f>
        <v>Average Waiting Time</v>
      </c>
      <c r="C1687" s="13">
        <f>Github!F$1702</f>
        <v>410</v>
      </c>
      <c r="D1687" s="13">
        <f>Github!G$1702</f>
        <v>45</v>
      </c>
      <c r="E1687" s="13">
        <f>Github!F$1702+Github!G$1702</f>
        <v>455</v>
      </c>
      <c r="F1687" s="15">
        <f t="shared" si="1"/>
        <v>9.11</v>
      </c>
      <c r="G1687" s="13" t="str">
        <f>ROUND(Github!O$1702, 2)&amp;"%"</f>
        <v>62.61%</v>
      </c>
      <c r="H1687" s="13" t="str">
        <f>Github!H$1702</f>
        <v>Algorithms</v>
      </c>
      <c r="I1687" s="16" t="str">
        <f>SUBSTITUTE(Github!L$1702, ";", ", ")</f>
        <v>Array, Simulation, </v>
      </c>
      <c r="J1687" s="13" t="str">
        <f>Github!E$1702</f>
        <v>Medium</v>
      </c>
      <c r="K1687" s="13" t="str">
        <f>IF(TRIM(Github!D$1702)="TRUE","FALSE","TRUE")</f>
        <v>TRUE</v>
      </c>
      <c r="L1687" s="13" t="b">
        <f>Github!M$1702</f>
        <v>0</v>
      </c>
      <c r="M1687" s="13" t="b">
        <f>Github!N$1702</f>
        <v>0</v>
      </c>
      <c r="N1687" s="13">
        <f>Github!P$1702</f>
        <v>22752</v>
      </c>
      <c r="O1687" s="13">
        <f>Github!Q$1702</f>
        <v>36338</v>
      </c>
    </row>
    <row r="1688">
      <c r="A1688" s="13">
        <f>Github!J$1703</f>
        <v>1702</v>
      </c>
      <c r="B1688" s="14" t="str">
        <f>HYPERLINK(CONCAT("http://leetcode.com/problems/",Github!C$1703), Github!B$1703)</f>
        <v>Maximum Binary String After Change</v>
      </c>
      <c r="C1688" s="13">
        <f>Github!F$1703</f>
        <v>408</v>
      </c>
      <c r="D1688" s="13">
        <f>Github!G$1703</f>
        <v>41</v>
      </c>
      <c r="E1688" s="13">
        <f>Github!F$1703+Github!G$1703</f>
        <v>449</v>
      </c>
      <c r="F1688" s="15">
        <f t="shared" si="1"/>
        <v>9.95</v>
      </c>
      <c r="G1688" s="13" t="str">
        <f>ROUND(Github!O$1703, 2)&amp;"%"</f>
        <v>46.24%</v>
      </c>
      <c r="H1688" s="13" t="str">
        <f>Github!H$1703</f>
        <v>Algorithms</v>
      </c>
      <c r="I1688" s="16" t="str">
        <f>SUBSTITUTE(Github!L$1703, ";", ", ")</f>
        <v>String, Greedy, </v>
      </c>
      <c r="J1688" s="13" t="str">
        <f>Github!E$1703</f>
        <v>Medium</v>
      </c>
      <c r="K1688" s="13" t="str">
        <f>IF(TRIM(Github!D$1703)="TRUE","FALSE","TRUE")</f>
        <v>TRUE</v>
      </c>
      <c r="L1688" s="13" t="b">
        <f>Github!M$1703</f>
        <v>0</v>
      </c>
      <c r="M1688" s="13" t="b">
        <f>Github!N$1703</f>
        <v>0</v>
      </c>
      <c r="N1688" s="13">
        <f>Github!P$1703</f>
        <v>10223</v>
      </c>
      <c r="O1688" s="13">
        <f>Github!Q$1703</f>
        <v>22111</v>
      </c>
    </row>
    <row r="1689">
      <c r="A1689" s="13">
        <f>Github!J$1504</f>
        <v>1503</v>
      </c>
      <c r="B1689" s="14" t="str">
        <f>HYPERLINK(CONCAT("http://leetcode.com/problems/",Github!C$1504), Github!B$1504)</f>
        <v>Last Moment Before All Ants Fall Out of a Plank</v>
      </c>
      <c r="C1689" s="13">
        <f>Github!F$1504</f>
        <v>410</v>
      </c>
      <c r="D1689" s="13">
        <f>Github!G$1504</f>
        <v>194</v>
      </c>
      <c r="E1689" s="13">
        <f>Github!F$1504+Github!G$1504</f>
        <v>604</v>
      </c>
      <c r="F1689" s="15">
        <f t="shared" si="1"/>
        <v>2.11</v>
      </c>
      <c r="G1689" s="13" t="str">
        <f>ROUND(Github!O$1504, 2)&amp;"%"</f>
        <v>55.37%</v>
      </c>
      <c r="H1689" s="13" t="str">
        <f>Github!H$1504</f>
        <v>Algorithms</v>
      </c>
      <c r="I1689" s="16" t="str">
        <f>SUBSTITUTE(Github!L$1504, ";", ", ")</f>
        <v>Array, Brainteaser, Simulation, </v>
      </c>
      <c r="J1689" s="13" t="str">
        <f>Github!E$1504</f>
        <v>Medium</v>
      </c>
      <c r="K1689" s="13" t="str">
        <f>IF(TRIM(Github!D$1504)="TRUE","FALSE","TRUE")</f>
        <v>TRUE</v>
      </c>
      <c r="L1689" s="13" t="b">
        <f>Github!M$1504</f>
        <v>0</v>
      </c>
      <c r="M1689" s="13" t="b">
        <f>Github!N$1504</f>
        <v>0</v>
      </c>
      <c r="N1689" s="13">
        <f>Github!P$1504</f>
        <v>17422</v>
      </c>
      <c r="O1689" s="13">
        <f>Github!Q$1504</f>
        <v>31463</v>
      </c>
    </row>
    <row r="1690">
      <c r="A1690" s="13">
        <f>Github!J$641</f>
        <v>640</v>
      </c>
      <c r="B1690" s="14" t="str">
        <f>HYPERLINK(CONCAT("http://leetcode.com/problems/",Github!C$641), Github!B$641)</f>
        <v>Solve the Equation</v>
      </c>
      <c r="C1690" s="13">
        <f>Github!F$641</f>
        <v>409</v>
      </c>
      <c r="D1690" s="13">
        <f>Github!G$641</f>
        <v>765</v>
      </c>
      <c r="E1690" s="13">
        <f>Github!F$641+Github!G$641</f>
        <v>1174</v>
      </c>
      <c r="F1690" s="15">
        <f t="shared" si="1"/>
        <v>0.53</v>
      </c>
      <c r="G1690" s="13" t="str">
        <f>ROUND(Github!O$641, 2)&amp;"%"</f>
        <v>43.4%</v>
      </c>
      <c r="H1690" s="13" t="str">
        <f>Github!H$641</f>
        <v>Algorithms</v>
      </c>
      <c r="I1690" s="16" t="str">
        <f>SUBSTITUTE(Github!L$641, ";", ", ")</f>
        <v>Math, String, Simulation, </v>
      </c>
      <c r="J1690" s="13" t="str">
        <f>Github!E$641</f>
        <v>Medium</v>
      </c>
      <c r="K1690" s="13" t="str">
        <f>IF(TRIM(Github!D$641)="TRUE","FALSE","TRUE")</f>
        <v>TRUE</v>
      </c>
      <c r="L1690" s="13" t="b">
        <f>Github!M$641</f>
        <v>1</v>
      </c>
      <c r="M1690" s="13" t="b">
        <f>Github!N$641</f>
        <v>0</v>
      </c>
      <c r="N1690" s="13">
        <f>Github!P$641</f>
        <v>34854</v>
      </c>
      <c r="O1690" s="13">
        <f>Github!Q$641</f>
        <v>80315</v>
      </c>
    </row>
    <row r="1691">
      <c r="A1691" s="13">
        <f>Github!J$500</f>
        <v>499</v>
      </c>
      <c r="B1691" s="14" t="str">
        <f>HYPERLINK(CONCAT("http://leetcode.com/problems/",Github!C$500), Github!B$500)</f>
        <v>The Maze III</v>
      </c>
      <c r="C1691" s="13">
        <f>Github!F$500</f>
        <v>406</v>
      </c>
      <c r="D1691" s="13">
        <f>Github!G$500</f>
        <v>65</v>
      </c>
      <c r="E1691" s="13">
        <f>Github!F$500+Github!G$500</f>
        <v>471</v>
      </c>
      <c r="F1691" s="15">
        <f t="shared" si="1"/>
        <v>6.25</v>
      </c>
      <c r="G1691" s="13" t="str">
        <f>ROUND(Github!O$500, 2)&amp;"%"</f>
        <v>47.05%</v>
      </c>
      <c r="H1691" s="13" t="str">
        <f>Github!H$500</f>
        <v>Algorithms</v>
      </c>
      <c r="I1691" s="16" t="str">
        <f>SUBSTITUTE(Github!L$500, ";", ", ")</f>
        <v>Depth-First Search, Breadth-First Search, Graph, Heap (Priority Queue), Shortest Path, </v>
      </c>
      <c r="J1691" s="13" t="str">
        <f>Github!E$500</f>
        <v>Hard</v>
      </c>
      <c r="K1691" s="13" t="str">
        <f>IF(TRIM(Github!D$500)="TRUE","FALSE","TRUE")</f>
        <v>FALSE</v>
      </c>
      <c r="L1691" s="13" t="b">
        <f>Github!M$500</f>
        <v>0</v>
      </c>
      <c r="M1691" s="13" t="b">
        <f>Github!N$500</f>
        <v>0</v>
      </c>
      <c r="N1691" s="13">
        <f>Github!P$500</f>
        <v>26368</v>
      </c>
      <c r="O1691" s="13">
        <f>Github!Q$500</f>
        <v>56040</v>
      </c>
    </row>
    <row r="1692">
      <c r="A1692" s="13">
        <f>Github!J$2043</f>
        <v>2042</v>
      </c>
      <c r="B1692" s="14" t="str">
        <f>HYPERLINK(CONCAT("http://leetcode.com/problems/",Github!C$2043), Github!B$2043)</f>
        <v>Check if Numbers Are Ascending in a Sentence</v>
      </c>
      <c r="C1692" s="13">
        <f>Github!F$2043</f>
        <v>412</v>
      </c>
      <c r="D1692" s="13">
        <f>Github!G$2043</f>
        <v>15</v>
      </c>
      <c r="E1692" s="13">
        <f>Github!F$2043+Github!G$2043</f>
        <v>427</v>
      </c>
      <c r="F1692" s="15">
        <f t="shared" si="1"/>
        <v>27.47</v>
      </c>
      <c r="G1692" s="13" t="str">
        <f>ROUND(Github!O$2043, 2)&amp;"%"</f>
        <v>66.32%</v>
      </c>
      <c r="H1692" s="13" t="str">
        <f>Github!H$2043</f>
        <v>Algorithms</v>
      </c>
      <c r="I1692" s="16" t="str">
        <f>SUBSTITUTE(Github!L$2043, ";", ", ")</f>
        <v>String, </v>
      </c>
      <c r="J1692" s="13" t="str">
        <f>Github!E$2043</f>
        <v>Easy</v>
      </c>
      <c r="K1692" s="13" t="str">
        <f>IF(TRIM(Github!D$2043)="TRUE","FALSE","TRUE")</f>
        <v>TRUE</v>
      </c>
      <c r="L1692" s="13" t="b">
        <f>Github!M$2043</f>
        <v>0</v>
      </c>
      <c r="M1692" s="13" t="b">
        <f>Github!N$2043</f>
        <v>0</v>
      </c>
      <c r="N1692" s="13">
        <f>Github!P$2043</f>
        <v>36630</v>
      </c>
      <c r="O1692" s="13">
        <f>Github!Q$2043</f>
        <v>55231</v>
      </c>
    </row>
    <row r="1693">
      <c r="A1693" s="13">
        <f>Github!J$386</f>
        <v>385</v>
      </c>
      <c r="B1693" s="14" t="str">
        <f>HYPERLINK(CONCAT("http://leetcode.com/problems/",Github!C$386), Github!B$386)</f>
        <v>Mini Parser</v>
      </c>
      <c r="C1693" s="13">
        <f>Github!F$386</f>
        <v>408</v>
      </c>
      <c r="D1693" s="13">
        <f>Github!G$386</f>
        <v>1228</v>
      </c>
      <c r="E1693" s="13">
        <f>Github!F$386+Github!G$386</f>
        <v>1636</v>
      </c>
      <c r="F1693" s="15">
        <f t="shared" si="1"/>
        <v>0.33</v>
      </c>
      <c r="G1693" s="13" t="str">
        <f>ROUND(Github!O$386, 2)&amp;"%"</f>
        <v>36.64%</v>
      </c>
      <c r="H1693" s="13" t="str">
        <f>Github!H$386</f>
        <v>Algorithms</v>
      </c>
      <c r="I1693" s="16" t="str">
        <f>SUBSTITUTE(Github!L$386, ";", ", ")</f>
        <v>String, Stack, Depth-First Search, </v>
      </c>
      <c r="J1693" s="13" t="str">
        <f>Github!E$386</f>
        <v>Medium</v>
      </c>
      <c r="K1693" s="13" t="str">
        <f>IF(TRIM(Github!D$386)="TRUE","FALSE","TRUE")</f>
        <v>TRUE</v>
      </c>
      <c r="L1693" s="13" t="b">
        <f>Github!M$386</f>
        <v>0</v>
      </c>
      <c r="M1693" s="13" t="b">
        <f>Github!N$386</f>
        <v>0</v>
      </c>
      <c r="N1693" s="13">
        <f>Github!P$386</f>
        <v>51054</v>
      </c>
      <c r="O1693" s="13">
        <f>Github!Q$386</f>
        <v>139340</v>
      </c>
    </row>
    <row r="1694">
      <c r="A1694" s="13">
        <f>Github!J$1742</f>
        <v>1741</v>
      </c>
      <c r="B1694" s="14" t="str">
        <f>HYPERLINK(CONCAT("http://leetcode.com/problems/",Github!C$1742), Github!B$1742)</f>
        <v>Find Total Time Spent by Each Employee</v>
      </c>
      <c r="C1694" s="13">
        <f>Github!F$1742</f>
        <v>413</v>
      </c>
      <c r="D1694" s="13">
        <f>Github!G$1742</f>
        <v>9</v>
      </c>
      <c r="E1694" s="13">
        <f>Github!F$1742+Github!G$1742</f>
        <v>422</v>
      </c>
      <c r="F1694" s="15">
        <f t="shared" si="1"/>
        <v>45.89</v>
      </c>
      <c r="G1694" s="13" t="str">
        <f>ROUND(Github!O$1742, 2)&amp;"%"</f>
        <v>91.07%</v>
      </c>
      <c r="H1694" s="13" t="str">
        <f>Github!H$1742</f>
        <v>Database</v>
      </c>
      <c r="I1694" s="16" t="str">
        <f>SUBSTITUTE(Github!L$1742, ";", ", ")</f>
        <v>Database, </v>
      </c>
      <c r="J1694" s="13" t="str">
        <f>Github!E$1742</f>
        <v>Easy</v>
      </c>
      <c r="K1694" s="13" t="str">
        <f>IF(TRIM(Github!D$1742)="TRUE","FALSE","TRUE")</f>
        <v>TRUE</v>
      </c>
      <c r="L1694" s="13" t="b">
        <f>Github!M$1742</f>
        <v>0</v>
      </c>
      <c r="M1694" s="13" t="b">
        <f>Github!N$1742</f>
        <v>0</v>
      </c>
      <c r="N1694" s="13">
        <f>Github!P$1742</f>
        <v>65192</v>
      </c>
      <c r="O1694" s="13">
        <f>Github!Q$1742</f>
        <v>71586</v>
      </c>
    </row>
    <row r="1695">
      <c r="A1695" s="13">
        <f>Github!J$2212</f>
        <v>2211</v>
      </c>
      <c r="B1695" s="14" t="str">
        <f>HYPERLINK(CONCAT("http://leetcode.com/problems/",Github!C$2212), Github!B$2212)</f>
        <v>Count Collisions on a Road</v>
      </c>
      <c r="C1695" s="13">
        <f>Github!F$2212</f>
        <v>406</v>
      </c>
      <c r="D1695" s="13">
        <f>Github!G$2212</f>
        <v>192</v>
      </c>
      <c r="E1695" s="13">
        <f>Github!F$2212+Github!G$2212</f>
        <v>598</v>
      </c>
      <c r="F1695" s="15">
        <f t="shared" si="1"/>
        <v>2.11</v>
      </c>
      <c r="G1695" s="13" t="str">
        <f>ROUND(Github!O$2212, 2)&amp;"%"</f>
        <v>42.08%</v>
      </c>
      <c r="H1695" s="13" t="str">
        <f>Github!H$2212</f>
        <v>Algorithms</v>
      </c>
      <c r="I1695" s="16" t="str">
        <f>SUBSTITUTE(Github!L$2212, ";", ", ")</f>
        <v>String, Stack, </v>
      </c>
      <c r="J1695" s="13" t="str">
        <f>Github!E$2212</f>
        <v>Medium</v>
      </c>
      <c r="K1695" s="13" t="str">
        <f>IF(TRIM(Github!D$2212)="TRUE","FALSE","TRUE")</f>
        <v>TRUE</v>
      </c>
      <c r="L1695" s="13" t="b">
        <f>Github!M$2212</f>
        <v>0</v>
      </c>
      <c r="M1695" s="13" t="b">
        <f>Github!N$2212</f>
        <v>0</v>
      </c>
      <c r="N1695" s="13">
        <f>Github!P$2212</f>
        <v>18178</v>
      </c>
      <c r="O1695" s="13">
        <f>Github!Q$2212</f>
        <v>43199</v>
      </c>
    </row>
    <row r="1696">
      <c r="A1696" s="13">
        <f>Github!J$1582</f>
        <v>1581</v>
      </c>
      <c r="B1696" s="14" t="str">
        <f>HYPERLINK(CONCAT("http://leetcode.com/problems/",Github!C$1582), Github!B$1582)</f>
        <v>Customer Who Visited but Did Not Make Any Transactions</v>
      </c>
      <c r="C1696" s="13">
        <f>Github!F$1582</f>
        <v>424</v>
      </c>
      <c r="D1696" s="13">
        <f>Github!G$1582</f>
        <v>81</v>
      </c>
      <c r="E1696" s="13">
        <f>Github!F$1582+Github!G$1582</f>
        <v>505</v>
      </c>
      <c r="F1696" s="15">
        <f t="shared" si="1"/>
        <v>5.23</v>
      </c>
      <c r="G1696" s="13" t="str">
        <f>ROUND(Github!O$1582, 2)&amp;"%"</f>
        <v>87.19%</v>
      </c>
      <c r="H1696" s="13" t="str">
        <f>Github!H$1582</f>
        <v>Database</v>
      </c>
      <c r="I1696" s="16" t="str">
        <f>SUBSTITUTE(Github!L$1582, ";", ", ")</f>
        <v>Database, </v>
      </c>
      <c r="J1696" s="13" t="str">
        <f>Github!E$1582</f>
        <v>Easy</v>
      </c>
      <c r="K1696" s="13" t="str">
        <f>IF(TRIM(Github!D$1582)="TRUE","FALSE","TRUE")</f>
        <v>TRUE</v>
      </c>
      <c r="L1696" s="13" t="b">
        <f>Github!M$1582</f>
        <v>0</v>
      </c>
      <c r="M1696" s="13" t="b">
        <f>Github!N$1582</f>
        <v>0</v>
      </c>
      <c r="N1696" s="13">
        <f>Github!P$1582</f>
        <v>71350</v>
      </c>
      <c r="O1696" s="13">
        <f>Github!Q$1582</f>
        <v>81817</v>
      </c>
    </row>
    <row r="1697">
      <c r="A1697" s="13">
        <f>Github!J$749</f>
        <v>748</v>
      </c>
      <c r="B1697" s="14" t="str">
        <f>HYPERLINK(CONCAT("http://leetcode.com/problems/",Github!C$749), Github!B$749)</f>
        <v>Shortest Completing Word</v>
      </c>
      <c r="C1697" s="13">
        <f>Github!F$749</f>
        <v>404</v>
      </c>
      <c r="D1697" s="13">
        <f>Github!G$749</f>
        <v>950</v>
      </c>
      <c r="E1697" s="13">
        <f>Github!F$749+Github!G$749</f>
        <v>1354</v>
      </c>
      <c r="F1697" s="15">
        <f t="shared" si="1"/>
        <v>0.43</v>
      </c>
      <c r="G1697" s="13" t="str">
        <f>ROUND(Github!O$749, 2)&amp;"%"</f>
        <v>59.2%</v>
      </c>
      <c r="H1697" s="13" t="str">
        <f>Github!H$749</f>
        <v>Algorithms</v>
      </c>
      <c r="I1697" s="16" t="str">
        <f>SUBSTITUTE(Github!L$749, ";", ", ")</f>
        <v>Array, Hash Table, String, </v>
      </c>
      <c r="J1697" s="13" t="str">
        <f>Github!E$749</f>
        <v>Easy</v>
      </c>
      <c r="K1697" s="13" t="str">
        <f>IF(TRIM(Github!D$749)="TRUE","FALSE","TRUE")</f>
        <v>TRUE</v>
      </c>
      <c r="L1697" s="13" t="b">
        <f>Github!M$749</f>
        <v>0</v>
      </c>
      <c r="M1697" s="13" t="b">
        <f>Github!N$749</f>
        <v>0</v>
      </c>
      <c r="N1697" s="13">
        <f>Github!P$749</f>
        <v>57627</v>
      </c>
      <c r="O1697" s="13">
        <f>Github!Q$749</f>
        <v>97337</v>
      </c>
    </row>
    <row r="1698">
      <c r="A1698" s="13">
        <f>Github!J$1739</f>
        <v>1738</v>
      </c>
      <c r="B1698" s="14" t="str">
        <f>HYPERLINK(CONCAT("http://leetcode.com/problems/",Github!C$1739), Github!B$1739)</f>
        <v>Find Kth Largest XOR Coordinate Value</v>
      </c>
      <c r="C1698" s="13">
        <f>Github!F$1739</f>
        <v>406</v>
      </c>
      <c r="D1698" s="13">
        <f>Github!G$1739</f>
        <v>59</v>
      </c>
      <c r="E1698" s="13">
        <f>Github!F$1739+Github!G$1739</f>
        <v>465</v>
      </c>
      <c r="F1698" s="15">
        <f t="shared" si="1"/>
        <v>6.88</v>
      </c>
      <c r="G1698" s="13" t="str">
        <f>ROUND(Github!O$1739, 2)&amp;"%"</f>
        <v>61.07%</v>
      </c>
      <c r="H1698" s="13" t="str">
        <f>Github!H$1739</f>
        <v>Algorithms</v>
      </c>
      <c r="I1698" s="16" t="str">
        <f>SUBSTITUTE(Github!L$1739, ";", ", ")</f>
        <v>Array, Divide and Conquer, Bit Manipulation, Heap (Priority Queue), Matrix, Prefix Sum, Quickselect, </v>
      </c>
      <c r="J1698" s="13" t="str">
        <f>Github!E$1739</f>
        <v>Medium</v>
      </c>
      <c r="K1698" s="13" t="str">
        <f>IF(TRIM(Github!D$1739)="TRUE","FALSE","TRUE")</f>
        <v>TRUE</v>
      </c>
      <c r="L1698" s="13" t="b">
        <f>Github!M$1739</f>
        <v>0</v>
      </c>
      <c r="M1698" s="13" t="b">
        <f>Github!N$1739</f>
        <v>0</v>
      </c>
      <c r="N1698" s="13">
        <f>Github!P$1739</f>
        <v>17347</v>
      </c>
      <c r="O1698" s="13">
        <f>Github!Q$1739</f>
        <v>28405</v>
      </c>
    </row>
    <row r="1699">
      <c r="A1699" s="13">
        <f>Github!J$2249</f>
        <v>2248</v>
      </c>
      <c r="B1699" s="14" t="str">
        <f>HYPERLINK(CONCAT("http://leetcode.com/problems/",Github!C$2249), Github!B$2249)</f>
        <v>Intersection of Multiple Arrays</v>
      </c>
      <c r="C1699" s="13">
        <f>Github!F$2249</f>
        <v>416</v>
      </c>
      <c r="D1699" s="13">
        <f>Github!G$2249</f>
        <v>25</v>
      </c>
      <c r="E1699" s="13">
        <f>Github!F$2249+Github!G$2249</f>
        <v>441</v>
      </c>
      <c r="F1699" s="15">
        <f t="shared" si="1"/>
        <v>16.64</v>
      </c>
      <c r="G1699" s="13" t="str">
        <f>ROUND(Github!O$2249, 2)&amp;"%"</f>
        <v>69.28%</v>
      </c>
      <c r="H1699" s="13" t="str">
        <f>Github!H$2249</f>
        <v>Algorithms</v>
      </c>
      <c r="I1699" s="16" t="str">
        <f>SUBSTITUTE(Github!L$2249, ";", ", ")</f>
        <v>Array, Hash Table, Counting, </v>
      </c>
      <c r="J1699" s="13" t="str">
        <f>Github!E$2249</f>
        <v>Easy</v>
      </c>
      <c r="K1699" s="13" t="str">
        <f>IF(TRIM(Github!D$2249)="TRUE","FALSE","TRUE")</f>
        <v>TRUE</v>
      </c>
      <c r="L1699" s="13" t="b">
        <f>Github!M$2249</f>
        <v>0</v>
      </c>
      <c r="M1699" s="13" t="b">
        <f>Github!N$2249</f>
        <v>0</v>
      </c>
      <c r="N1699" s="13">
        <f>Github!P$2249</f>
        <v>41383</v>
      </c>
      <c r="O1699" s="13">
        <f>Github!Q$2249</f>
        <v>59735</v>
      </c>
    </row>
    <row r="1700">
      <c r="A1700" s="13">
        <f>Github!J$2274</f>
        <v>2273</v>
      </c>
      <c r="B1700" s="14" t="str">
        <f>HYPERLINK(CONCAT("http://leetcode.com/problems/",Github!C$2274), Github!B$2274)</f>
        <v>Find Resultant Array After Removing Anagrams</v>
      </c>
      <c r="C1700" s="13">
        <f>Github!F$2274</f>
        <v>411</v>
      </c>
      <c r="D1700" s="13">
        <f>Github!G$2274</f>
        <v>96</v>
      </c>
      <c r="E1700" s="13">
        <f>Github!F$2274+Github!G$2274</f>
        <v>507</v>
      </c>
      <c r="F1700" s="15">
        <f t="shared" si="1"/>
        <v>4.28</v>
      </c>
      <c r="G1700" s="13" t="str">
        <f>ROUND(Github!O$2274, 2)&amp;"%"</f>
        <v>58.23%</v>
      </c>
      <c r="H1700" s="13" t="str">
        <f>Github!H2274</f>
        <v>Algorithms</v>
      </c>
      <c r="I1700" s="16" t="str">
        <f>SUBSTITUTE(Github!L$2274, ";", ", ")</f>
        <v>Array, Hash Table, String, Sorting, </v>
      </c>
      <c r="J1700" s="13" t="str">
        <f>Github!E$2274</f>
        <v>Easy</v>
      </c>
      <c r="K1700" s="13" t="str">
        <f>IF(TRIM(Github!D$2274)="TRUE","FALSE","TRUE")</f>
        <v>TRUE</v>
      </c>
      <c r="L1700" s="13" t="b">
        <f>Github!M$2274</f>
        <v>0</v>
      </c>
      <c r="M1700" s="13" t="b">
        <f>Github!N$2274</f>
        <v>0</v>
      </c>
      <c r="N1700" s="13">
        <f>Github!P$2274</f>
        <v>34772</v>
      </c>
      <c r="O1700" s="13">
        <f>Github!Q$2274</f>
        <v>59712</v>
      </c>
    </row>
    <row r="1701">
      <c r="A1701" s="13">
        <f>Github!J$1089</f>
        <v>1088</v>
      </c>
      <c r="B1701" s="14" t="str">
        <f>HYPERLINK(CONCAT("http://leetcode.com/problems/",Github!C$1089), Github!B$1089)</f>
        <v>Confusing Number II</v>
      </c>
      <c r="C1701" s="13">
        <f>Github!F$1089</f>
        <v>400</v>
      </c>
      <c r="D1701" s="13">
        <f>Github!G$1089</f>
        <v>122</v>
      </c>
      <c r="E1701" s="13">
        <f>Github!F$1089+Github!G$1089</f>
        <v>522</v>
      </c>
      <c r="F1701" s="15">
        <f t="shared" si="1"/>
        <v>3.28</v>
      </c>
      <c r="G1701" s="13" t="str">
        <f>ROUND(Github!O$1089, 2)&amp;"%"</f>
        <v>46.44%</v>
      </c>
      <c r="H1701" s="13" t="str">
        <f>Github!H$1089</f>
        <v>Algorithms</v>
      </c>
      <c r="I1701" s="16" t="str">
        <f>SUBSTITUTE(Github!L$1089, ";", ", ")</f>
        <v>Math, Backtracking, </v>
      </c>
      <c r="J1701" s="13" t="str">
        <f>Github!E$1089</f>
        <v>Hard</v>
      </c>
      <c r="K1701" s="13" t="str">
        <f>IF(TRIM(Github!D$1089)="TRUE","FALSE","TRUE")</f>
        <v>FALSE</v>
      </c>
      <c r="L1701" s="13" t="b">
        <f>Github!M$1089</f>
        <v>1</v>
      </c>
      <c r="M1701" s="13" t="b">
        <f>Github!N$1089</f>
        <v>0</v>
      </c>
      <c r="N1701" s="13">
        <f>Github!P$1089</f>
        <v>32435</v>
      </c>
      <c r="O1701" s="13">
        <f>Github!Q$1089</f>
        <v>69847</v>
      </c>
    </row>
    <row r="1702">
      <c r="A1702" s="13">
        <f>Github!J$1924</f>
        <v>1923</v>
      </c>
      <c r="B1702" s="14" t="str">
        <f>HYPERLINK(CONCAT("http://leetcode.com/problems/",Github!C$1924), Github!B$1924)</f>
        <v>Longest Common Subpath</v>
      </c>
      <c r="C1702" s="13">
        <f>Github!F$1924</f>
        <v>409</v>
      </c>
      <c r="D1702" s="13">
        <f>Github!G$1924</f>
        <v>32</v>
      </c>
      <c r="E1702" s="13">
        <f>Github!F$1924+Github!G$1924</f>
        <v>441</v>
      </c>
      <c r="F1702" s="15">
        <f t="shared" si="1"/>
        <v>12.78</v>
      </c>
      <c r="G1702" s="13" t="str">
        <f>ROUND(Github!O$1924, 2)&amp;"%"</f>
        <v>27.83%</v>
      </c>
      <c r="H1702" s="13" t="str">
        <f>Github!H$1924</f>
        <v>Algorithms</v>
      </c>
      <c r="I1702" s="16" t="str">
        <f>SUBSTITUTE(Github!L$1924, ";", ", ")</f>
        <v>Array, Binary Search, Rolling Hash, Suffix Array, Hash Function, </v>
      </c>
      <c r="J1702" s="13" t="str">
        <f>Github!E$1924</f>
        <v>Hard</v>
      </c>
      <c r="K1702" s="13" t="str">
        <f>IF(TRIM(Github!D$1924)="TRUE","FALSE","TRUE")</f>
        <v>TRUE</v>
      </c>
      <c r="L1702" s="13" t="b">
        <f>Github!M$1924</f>
        <v>0</v>
      </c>
      <c r="M1702" s="13" t="b">
        <f>Github!N$1924</f>
        <v>0</v>
      </c>
      <c r="N1702" s="13">
        <f>Github!P$1924</f>
        <v>5842</v>
      </c>
      <c r="O1702" s="13">
        <f>Github!Q$1924</f>
        <v>20993</v>
      </c>
    </row>
    <row r="1703">
      <c r="A1703" s="13">
        <f>Github!J$2336</f>
        <v>2335</v>
      </c>
      <c r="B1703" s="14" t="str">
        <f>HYPERLINK(CONCAT("http://leetcode.com/problems/",Github!C$2336), Github!B$2336)</f>
        <v>Minimum Amount of Time to Fill Cups</v>
      </c>
      <c r="C1703" s="13">
        <f>Github!F$2336</f>
        <v>412</v>
      </c>
      <c r="D1703" s="13">
        <f>Github!G$2336</f>
        <v>57</v>
      </c>
      <c r="E1703" s="13">
        <f>Github!F$2336+Github!G$2336</f>
        <v>469</v>
      </c>
      <c r="F1703" s="15">
        <f t="shared" si="1"/>
        <v>7.23</v>
      </c>
      <c r="G1703" s="13" t="str">
        <f>ROUND(Github!O$2336, 2)&amp;"%"</f>
        <v>55.66%</v>
      </c>
      <c r="H1703" s="13" t="str">
        <f>Github!H2336</f>
        <v>Algorithms</v>
      </c>
      <c r="I1703" s="16" t="str">
        <f>SUBSTITUTE(Github!L$2336, ";", ", ")</f>
        <v>Array, Greedy, Heap (Priority Queue), </v>
      </c>
      <c r="J1703" s="13" t="str">
        <f>Github!E$2336</f>
        <v>Easy</v>
      </c>
      <c r="K1703" s="13" t="str">
        <f>IF(TRIM(Github!D$2336)="TRUE","FALSE","TRUE")</f>
        <v>TRUE</v>
      </c>
      <c r="L1703" s="13" t="b">
        <f>Github!M$2336</f>
        <v>0</v>
      </c>
      <c r="M1703" s="13" t="b">
        <f>Github!N$2336</f>
        <v>0</v>
      </c>
      <c r="N1703" s="13">
        <f>Github!P$2336</f>
        <v>30534</v>
      </c>
      <c r="O1703" s="13">
        <f>Github!Q$2336</f>
        <v>54858</v>
      </c>
    </row>
    <row r="1704">
      <c r="A1704" s="13">
        <f>Github!J$2277</f>
        <v>2276</v>
      </c>
      <c r="B1704" s="14" t="str">
        <f>HYPERLINK(CONCAT("http://leetcode.com/problems/",Github!C$2277), Github!B$2277)</f>
        <v>Count Integers in Intervals</v>
      </c>
      <c r="C1704" s="13">
        <f>Github!F$2277</f>
        <v>407</v>
      </c>
      <c r="D1704" s="13">
        <f>Github!G$2277</f>
        <v>50</v>
      </c>
      <c r="E1704" s="13">
        <f>Github!F$2277+Github!G$2277</f>
        <v>457</v>
      </c>
      <c r="F1704" s="15">
        <f t="shared" si="1"/>
        <v>8.14</v>
      </c>
      <c r="G1704" s="13" t="str">
        <f>ROUND(Github!O$2277, 2)&amp;"%"</f>
        <v>34.28%</v>
      </c>
      <c r="H1704" s="13" t="str">
        <f>Github!H2277</f>
        <v>Algorithms</v>
      </c>
      <c r="I1704" s="16" t="str">
        <f>SUBSTITUTE(Github!L$2277, ";", ", ")</f>
        <v>Design, Segment Tree, Ordered Set, </v>
      </c>
      <c r="J1704" s="13" t="str">
        <f>Github!E$2277</f>
        <v>Hard</v>
      </c>
      <c r="K1704" s="13" t="str">
        <f>IF(TRIM(Github!D$2277)="TRUE","FALSE","TRUE")</f>
        <v>TRUE</v>
      </c>
      <c r="L1704" s="13" t="b">
        <f>Github!M$2277</f>
        <v>0</v>
      </c>
      <c r="M1704" s="13" t="b">
        <f>Github!N$2277</f>
        <v>0</v>
      </c>
      <c r="N1704" s="13">
        <f>Github!P$2277</f>
        <v>11858</v>
      </c>
      <c r="O1704" s="13">
        <f>Github!Q$2277</f>
        <v>34590</v>
      </c>
    </row>
    <row r="1705">
      <c r="A1705" s="13">
        <f>Github!J$2156</f>
        <v>2155</v>
      </c>
      <c r="B1705" s="14" t="str">
        <f>HYPERLINK(CONCAT("http://leetcode.com/problems/",Github!C$2156), Github!B$2156)</f>
        <v>All Divisions With the Highest Score of a Binary Array</v>
      </c>
      <c r="C1705" s="13">
        <f>Github!F$2156</f>
        <v>403</v>
      </c>
      <c r="D1705" s="13">
        <f>Github!G$2156</f>
        <v>11</v>
      </c>
      <c r="E1705" s="13">
        <f>Github!F$2156+Github!G$2156</f>
        <v>414</v>
      </c>
      <c r="F1705" s="15">
        <f t="shared" si="1"/>
        <v>36.64</v>
      </c>
      <c r="G1705" s="13" t="str">
        <f>ROUND(Github!O$2156, 2)&amp;"%"</f>
        <v>63.46%</v>
      </c>
      <c r="H1705" s="13" t="str">
        <f>Github!H$2156</f>
        <v>Algorithms</v>
      </c>
      <c r="I1705" s="16" t="str">
        <f>SUBSTITUTE(Github!L$2156, ";", ", ")</f>
        <v>Array, </v>
      </c>
      <c r="J1705" s="13" t="str">
        <f>Github!E$2156</f>
        <v>Medium</v>
      </c>
      <c r="K1705" s="13" t="str">
        <f>IF(TRIM(Github!D$2156)="TRUE","FALSE","TRUE")</f>
        <v>TRUE</v>
      </c>
      <c r="L1705" s="13" t="b">
        <f>Github!M$2156</f>
        <v>0</v>
      </c>
      <c r="M1705" s="13" t="b">
        <f>Github!N$2156</f>
        <v>0</v>
      </c>
      <c r="N1705" s="13">
        <f>Github!P$2156</f>
        <v>23796</v>
      </c>
      <c r="O1705" s="13">
        <f>Github!Q$2156</f>
        <v>37498</v>
      </c>
    </row>
    <row r="1706">
      <c r="A1706" s="13">
        <f>Github!J$1308</f>
        <v>1307</v>
      </c>
      <c r="B1706" s="14" t="str">
        <f>HYPERLINK(CONCAT("http://leetcode.com/problems/",Github!C$1308), Github!B$1308)</f>
        <v>Verbal Arithmetic Puzzle</v>
      </c>
      <c r="C1706" s="13">
        <f>Github!F$1308</f>
        <v>403</v>
      </c>
      <c r="D1706" s="13">
        <f>Github!G$1308</f>
        <v>101</v>
      </c>
      <c r="E1706" s="13">
        <f>Github!F$1308+Github!G$1308</f>
        <v>504</v>
      </c>
      <c r="F1706" s="15">
        <f t="shared" si="1"/>
        <v>3.99</v>
      </c>
      <c r="G1706" s="13" t="str">
        <f>ROUND(Github!O$1308, 2)&amp;"%"</f>
        <v>34.51%</v>
      </c>
      <c r="H1706" s="13" t="str">
        <f>Github!H$1308</f>
        <v>Algorithms</v>
      </c>
      <c r="I1706" s="16" t="str">
        <f>SUBSTITUTE(Github!L$1308, ";", ", ")</f>
        <v>Array, Math, String, Backtracking, </v>
      </c>
      <c r="J1706" s="13" t="str">
        <f>Github!E$1308</f>
        <v>Hard</v>
      </c>
      <c r="K1706" s="13" t="str">
        <f>IF(TRIM(Github!D$1308)="TRUE","FALSE","TRUE")</f>
        <v>TRUE</v>
      </c>
      <c r="L1706" s="13" t="b">
        <f>Github!M$1308</f>
        <v>0</v>
      </c>
      <c r="M1706" s="13" t="b">
        <f>Github!N$1308</f>
        <v>0</v>
      </c>
      <c r="N1706" s="13">
        <f>Github!P$1308</f>
        <v>10059</v>
      </c>
      <c r="O1706" s="13">
        <f>Github!Q$1308</f>
        <v>29153</v>
      </c>
    </row>
    <row r="1707">
      <c r="A1707" s="13">
        <f>Github!J$2276</f>
        <v>2275</v>
      </c>
      <c r="B1707" s="14" t="str">
        <f>HYPERLINK(CONCAT("http://leetcode.com/problems/",Github!C$2276), Github!B$2276)</f>
        <v>Largest Combination With Bitwise AND Greater Than Zero</v>
      </c>
      <c r="C1707" s="13">
        <f>Github!F$2276</f>
        <v>401</v>
      </c>
      <c r="D1707" s="13">
        <f>Github!G$2276</f>
        <v>11</v>
      </c>
      <c r="E1707" s="13">
        <f>Github!F$2276+Github!G$2276</f>
        <v>412</v>
      </c>
      <c r="F1707" s="15">
        <f t="shared" si="1"/>
        <v>36.45</v>
      </c>
      <c r="G1707" s="13" t="str">
        <f>ROUND(Github!O$2276, 2)&amp;"%"</f>
        <v>72.48%</v>
      </c>
      <c r="H1707" s="13" t="str">
        <f>Github!H2276</f>
        <v>Algorithms</v>
      </c>
      <c r="I1707" s="16" t="str">
        <f>SUBSTITUTE(Github!L$2276, ";", ", ")</f>
        <v>Array, Hash Table, Bit Manipulation, Counting, </v>
      </c>
      <c r="J1707" s="13" t="str">
        <f>Github!E$2276</f>
        <v>Medium</v>
      </c>
      <c r="K1707" s="13" t="str">
        <f>IF(TRIM(Github!D$2276)="TRUE","FALSE","TRUE")</f>
        <v>TRUE</v>
      </c>
      <c r="L1707" s="13" t="b">
        <f>Github!M$2276</f>
        <v>0</v>
      </c>
      <c r="M1707" s="13" t="b">
        <f>Github!N$2276</f>
        <v>0</v>
      </c>
      <c r="N1707" s="13">
        <f>Github!P$2276</f>
        <v>19074</v>
      </c>
      <c r="O1707" s="13">
        <f>Github!Q$2276</f>
        <v>26318</v>
      </c>
    </row>
    <row r="1708">
      <c r="A1708" s="13">
        <f>Github!J$2342</f>
        <v>2341</v>
      </c>
      <c r="B1708" s="14" t="str">
        <f>HYPERLINK(CONCAT("http://leetcode.com/problems/",Github!C$2342), Github!B$2342)</f>
        <v>Maximum Number of Pairs in Array</v>
      </c>
      <c r="C1708" s="13">
        <f>Github!F$2342</f>
        <v>404</v>
      </c>
      <c r="D1708" s="13">
        <f>Github!G$2342</f>
        <v>12</v>
      </c>
      <c r="E1708" s="13">
        <f>Github!F$2342+Github!G$2342</f>
        <v>416</v>
      </c>
      <c r="F1708" s="15">
        <f t="shared" si="1"/>
        <v>33.67</v>
      </c>
      <c r="G1708" s="13" t="str">
        <f>ROUND(Github!O$2342, 2)&amp;"%"</f>
        <v>76.39%</v>
      </c>
      <c r="H1708" s="13" t="str">
        <f>Github!H2342</f>
        <v>Algorithms</v>
      </c>
      <c r="I1708" s="16" t="str">
        <f>SUBSTITUTE(Github!L$2342, ";", ", ")</f>
        <v>Array, Hash Table, Counting, </v>
      </c>
      <c r="J1708" s="13" t="str">
        <f>Github!E$2342</f>
        <v>Easy</v>
      </c>
      <c r="K1708" s="13" t="str">
        <f>IF(TRIM(Github!D$2342)="TRUE","FALSE","TRUE")</f>
        <v>TRUE</v>
      </c>
      <c r="L1708" s="13" t="b">
        <f>Github!M$2342</f>
        <v>0</v>
      </c>
      <c r="M1708" s="13" t="b">
        <f>Github!N$2342</f>
        <v>0</v>
      </c>
      <c r="N1708" s="13">
        <f>Github!P$2342</f>
        <v>41807</v>
      </c>
      <c r="O1708" s="13">
        <f>Github!Q$2342</f>
        <v>54730</v>
      </c>
    </row>
    <row r="1709">
      <c r="A1709" s="13">
        <f>Github!J$1848</f>
        <v>1847</v>
      </c>
      <c r="B1709" s="14" t="str">
        <f>HYPERLINK(CONCAT("http://leetcode.com/problems/",Github!C$1848), Github!B$1848)</f>
        <v>Closest Room</v>
      </c>
      <c r="C1709" s="13">
        <f>Github!F$1848</f>
        <v>399</v>
      </c>
      <c r="D1709" s="13">
        <f>Github!G$1848</f>
        <v>17</v>
      </c>
      <c r="E1709" s="13">
        <f>Github!F$1848+Github!G$1848</f>
        <v>416</v>
      </c>
      <c r="F1709" s="15">
        <f t="shared" si="1"/>
        <v>23.47</v>
      </c>
      <c r="G1709" s="13" t="str">
        <f>ROUND(Github!O$1848, 2)&amp;"%"</f>
        <v>35.39%</v>
      </c>
      <c r="H1709" s="13" t="str">
        <f>Github!H$1848</f>
        <v>Algorithms</v>
      </c>
      <c r="I1709" s="16" t="str">
        <f>SUBSTITUTE(Github!L$1848, ";", ", ")</f>
        <v>Array, Binary Search, Sorting, </v>
      </c>
      <c r="J1709" s="13" t="str">
        <f>Github!E$1848</f>
        <v>Hard</v>
      </c>
      <c r="K1709" s="13" t="str">
        <f>IF(TRIM(Github!D$1848)="TRUE","FALSE","TRUE")</f>
        <v>TRUE</v>
      </c>
      <c r="L1709" s="13" t="b">
        <f>Github!M$1848</f>
        <v>0</v>
      </c>
      <c r="M1709" s="13" t="b">
        <f>Github!N$1848</f>
        <v>0</v>
      </c>
      <c r="N1709" s="13">
        <f>Github!P$1848</f>
        <v>6716</v>
      </c>
      <c r="O1709" s="13">
        <f>Github!Q$1848</f>
        <v>18977</v>
      </c>
    </row>
    <row r="1710">
      <c r="A1710" s="13">
        <f>Github!J$1170</f>
        <v>1169</v>
      </c>
      <c r="B1710" s="14" t="str">
        <f>HYPERLINK(CONCAT("http://leetcode.com/problems/",Github!C$1170), Github!B$1170)</f>
        <v>Invalid Transactions</v>
      </c>
      <c r="C1710" s="13">
        <f>Github!F$1170</f>
        <v>402</v>
      </c>
      <c r="D1710" s="13">
        <f>Github!G$1170</f>
        <v>1922</v>
      </c>
      <c r="E1710" s="13">
        <f>Github!F$1170+Github!G$1170</f>
        <v>2324</v>
      </c>
      <c r="F1710" s="15">
        <f t="shared" si="1"/>
        <v>0.21</v>
      </c>
      <c r="G1710" s="13" t="str">
        <f>ROUND(Github!O$1170, 2)&amp;"%"</f>
        <v>31.24%</v>
      </c>
      <c r="H1710" s="13" t="str">
        <f>Github!H$1170</f>
        <v>Algorithms</v>
      </c>
      <c r="I1710" s="16" t="str">
        <f>SUBSTITUTE(Github!L$1170, ";", ", ")</f>
        <v>Array, Hash Table, String, Sorting, </v>
      </c>
      <c r="J1710" s="13" t="str">
        <f>Github!E$1170</f>
        <v>Medium</v>
      </c>
      <c r="K1710" s="13" t="str">
        <f>IF(TRIM(Github!D$1170)="TRUE","FALSE","TRUE")</f>
        <v>TRUE</v>
      </c>
      <c r="L1710" s="13" t="b">
        <f>Github!M$1170</f>
        <v>0</v>
      </c>
      <c r="M1710" s="13" t="b">
        <f>Github!N$1170</f>
        <v>0</v>
      </c>
      <c r="N1710" s="13">
        <f>Github!P$1170</f>
        <v>56900</v>
      </c>
      <c r="O1710" s="13">
        <f>Github!Q$1170</f>
        <v>182163</v>
      </c>
    </row>
    <row r="1711">
      <c r="A1711" s="13">
        <f>Github!J$246</f>
        <v>245</v>
      </c>
      <c r="B1711" s="14" t="str">
        <f>HYPERLINK(CONCAT("http://leetcode.com/problems/",Github!C$246), Github!B$246)</f>
        <v>Shortest Word Distance III</v>
      </c>
      <c r="C1711" s="13">
        <f>Github!F$246</f>
        <v>398</v>
      </c>
      <c r="D1711" s="13">
        <f>Github!G$246</f>
        <v>91</v>
      </c>
      <c r="E1711" s="13">
        <f>Github!F$246+Github!G$246</f>
        <v>489</v>
      </c>
      <c r="F1711" s="15">
        <f t="shared" si="1"/>
        <v>4.37</v>
      </c>
      <c r="G1711" s="13" t="str">
        <f>ROUND(Github!O$246, 2)&amp;"%"</f>
        <v>57.52%</v>
      </c>
      <c r="H1711" s="13" t="str">
        <f>Github!H$246</f>
        <v>Algorithms</v>
      </c>
      <c r="I1711" s="16" t="str">
        <f>SUBSTITUTE(Github!L$246, ";", ", ")</f>
        <v>Array, String, </v>
      </c>
      <c r="J1711" s="13" t="str">
        <f>Github!E$246</f>
        <v>Medium</v>
      </c>
      <c r="K1711" s="13" t="str">
        <f>IF(TRIM(Github!D$246)="TRUE","FALSE","TRUE")</f>
        <v>FALSE</v>
      </c>
      <c r="L1711" s="13" t="b">
        <f>Github!M$246</f>
        <v>0</v>
      </c>
      <c r="M1711" s="13" t="b">
        <f>Github!N$246</f>
        <v>0</v>
      </c>
      <c r="N1711" s="13">
        <f>Github!P$246</f>
        <v>73135</v>
      </c>
      <c r="O1711" s="13">
        <f>Github!Q$246</f>
        <v>127138</v>
      </c>
    </row>
    <row r="1712">
      <c r="A1712" s="13">
        <f>Github!J$1507</f>
        <v>1506</v>
      </c>
      <c r="B1712" s="14" t="str">
        <f>HYPERLINK(CONCAT("http://leetcode.com/problems/",Github!C$1507), Github!B$1507)</f>
        <v>Find Root of N-Ary Tree</v>
      </c>
      <c r="C1712" s="13">
        <f>Github!F$1507</f>
        <v>399</v>
      </c>
      <c r="D1712" s="13">
        <f>Github!G$1507</f>
        <v>151</v>
      </c>
      <c r="E1712" s="13">
        <f>Github!F$1507+Github!G$1507</f>
        <v>550</v>
      </c>
      <c r="F1712" s="15">
        <f t="shared" si="1"/>
        <v>2.64</v>
      </c>
      <c r="G1712" s="13" t="str">
        <f>ROUND(Github!O$1507, 2)&amp;"%"</f>
        <v>78.32%</v>
      </c>
      <c r="H1712" s="13" t="str">
        <f>Github!H$1507</f>
        <v>Algorithms</v>
      </c>
      <c r="I1712" s="16" t="str">
        <f>SUBSTITUTE(Github!L$1507, ";", ", ")</f>
        <v>Hash Table, Bit Manipulation, Tree, Depth-First Search, </v>
      </c>
      <c r="J1712" s="13" t="str">
        <f>Github!E$1507</f>
        <v>Medium</v>
      </c>
      <c r="K1712" s="13" t="str">
        <f>IF(TRIM(Github!D$1507)="TRUE","FALSE","TRUE")</f>
        <v>FALSE</v>
      </c>
      <c r="L1712" s="13" t="b">
        <f>Github!M$1507</f>
        <v>1</v>
      </c>
      <c r="M1712" s="13" t="b">
        <f>Github!N$1507</f>
        <v>0</v>
      </c>
      <c r="N1712" s="13">
        <f>Github!P$1507</f>
        <v>27304</v>
      </c>
      <c r="O1712" s="13">
        <f>Github!Q$1507</f>
        <v>34862</v>
      </c>
    </row>
    <row r="1713">
      <c r="A1713" s="13">
        <f>Github!J$2210</f>
        <v>2209</v>
      </c>
      <c r="B1713" s="14" t="str">
        <f>HYPERLINK(CONCAT("http://leetcode.com/problems/",Github!C$2210), Github!B$2210)</f>
        <v>Minimum White Tiles After Covering With Carpets</v>
      </c>
      <c r="C1713" s="13">
        <f>Github!F$2210</f>
        <v>399</v>
      </c>
      <c r="D1713" s="13">
        <f>Github!G$2210</f>
        <v>16</v>
      </c>
      <c r="E1713" s="13">
        <f>Github!F$2210+Github!G$2210</f>
        <v>415</v>
      </c>
      <c r="F1713" s="15">
        <f t="shared" si="1"/>
        <v>24.94</v>
      </c>
      <c r="G1713" s="13" t="str">
        <f>ROUND(Github!O$2210, 2)&amp;"%"</f>
        <v>33.9%</v>
      </c>
      <c r="H1713" s="13" t="str">
        <f>Github!H$2210</f>
        <v>Algorithms</v>
      </c>
      <c r="I1713" s="16" t="str">
        <f>SUBSTITUTE(Github!L$2210, ";", ", ")</f>
        <v>String, Dynamic Programming, Prefix Sum, </v>
      </c>
      <c r="J1713" s="13" t="str">
        <f>Github!E$2210</f>
        <v>Hard</v>
      </c>
      <c r="K1713" s="13" t="str">
        <f>IF(TRIM(Github!D$2210)="TRUE","FALSE","TRUE")</f>
        <v>TRUE</v>
      </c>
      <c r="L1713" s="13" t="b">
        <f>Github!M$2210</f>
        <v>0</v>
      </c>
      <c r="M1713" s="13" t="b">
        <f>Github!N$2210</f>
        <v>0</v>
      </c>
      <c r="N1713" s="13">
        <f>Github!P$2210</f>
        <v>9152</v>
      </c>
      <c r="O1713" s="13">
        <f>Github!Q$2210</f>
        <v>26999</v>
      </c>
    </row>
    <row r="1714">
      <c r="A1714" s="13">
        <f>Github!J$1922</f>
        <v>1921</v>
      </c>
      <c r="B1714" s="14" t="str">
        <f>HYPERLINK(CONCAT("http://leetcode.com/problems/",Github!C$1922), Github!B$1922)</f>
        <v>Eliminate Maximum Number of Monsters</v>
      </c>
      <c r="C1714" s="13">
        <f>Github!F$1922</f>
        <v>400</v>
      </c>
      <c r="D1714" s="13">
        <f>Github!G$1922</f>
        <v>61</v>
      </c>
      <c r="E1714" s="13">
        <f>Github!F$1922+Github!G$1922</f>
        <v>461</v>
      </c>
      <c r="F1714" s="15">
        <f t="shared" si="1"/>
        <v>6.56</v>
      </c>
      <c r="G1714" s="13" t="str">
        <f>ROUND(Github!O$1922, 2)&amp;"%"</f>
        <v>37.77%</v>
      </c>
      <c r="H1714" s="13" t="str">
        <f>Github!H$1922</f>
        <v>Algorithms</v>
      </c>
      <c r="I1714" s="16" t="str">
        <f>SUBSTITUTE(Github!L$1922, ";", ", ")</f>
        <v>Array, Greedy, Sorting, </v>
      </c>
      <c r="J1714" s="13" t="str">
        <f>Github!E$1922</f>
        <v>Medium</v>
      </c>
      <c r="K1714" s="13" t="str">
        <f>IF(TRIM(Github!D$1922)="TRUE","FALSE","TRUE")</f>
        <v>TRUE</v>
      </c>
      <c r="L1714" s="13" t="b">
        <f>Github!M$1922</f>
        <v>0</v>
      </c>
      <c r="M1714" s="13" t="b">
        <f>Github!N$1922</f>
        <v>0</v>
      </c>
      <c r="N1714" s="13">
        <f>Github!P$1922</f>
        <v>19968</v>
      </c>
      <c r="O1714" s="13">
        <f>Github!Q$1922</f>
        <v>52866</v>
      </c>
    </row>
    <row r="1715">
      <c r="A1715" s="13">
        <f>Github!J$549</f>
        <v>548</v>
      </c>
      <c r="B1715" s="14" t="str">
        <f>HYPERLINK(CONCAT("http://leetcode.com/problems/",Github!C$549), Github!B$549)</f>
        <v>Split Array with Equal Sum</v>
      </c>
      <c r="C1715" s="13">
        <f>Github!F$549</f>
        <v>394</v>
      </c>
      <c r="D1715" s="13">
        <f>Github!G$549</f>
        <v>128</v>
      </c>
      <c r="E1715" s="13">
        <f>Github!F$549+Github!G$549</f>
        <v>522</v>
      </c>
      <c r="F1715" s="15">
        <f t="shared" si="1"/>
        <v>3.08</v>
      </c>
      <c r="G1715" s="13" t="str">
        <f>ROUND(Github!O$549, 2)&amp;"%"</f>
        <v>50.08%</v>
      </c>
      <c r="H1715" s="13" t="str">
        <f>Github!H$549</f>
        <v>Algorithms</v>
      </c>
      <c r="I1715" s="16" t="str">
        <f>SUBSTITUTE(Github!L$549, ";", ", ")</f>
        <v>Array, Prefix Sum, </v>
      </c>
      <c r="J1715" s="13" t="str">
        <f>Github!E$549</f>
        <v>Hard</v>
      </c>
      <c r="K1715" s="13" t="str">
        <f>IF(TRIM(Github!D$549)="TRUE","FALSE","TRUE")</f>
        <v>FALSE</v>
      </c>
      <c r="L1715" s="13" t="b">
        <f>Github!M$549</f>
        <v>1</v>
      </c>
      <c r="M1715" s="13" t="b">
        <f>Github!N$549</f>
        <v>0</v>
      </c>
      <c r="N1715" s="13">
        <f>Github!P$549</f>
        <v>23033</v>
      </c>
      <c r="O1715" s="13">
        <f>Github!Q$549</f>
        <v>45989</v>
      </c>
    </row>
    <row r="1716">
      <c r="A1716" s="13">
        <f>Github!J$605</f>
        <v>604</v>
      </c>
      <c r="B1716" s="14" t="str">
        <f>HYPERLINK(CONCAT("http://leetcode.com/problems/",Github!C$605), Github!B$605)</f>
        <v>Design Compressed String Iterator</v>
      </c>
      <c r="C1716" s="13">
        <f>Github!F$605</f>
        <v>398</v>
      </c>
      <c r="D1716" s="13">
        <f>Github!G$605</f>
        <v>139</v>
      </c>
      <c r="E1716" s="13">
        <f>Github!F$605+Github!G$605</f>
        <v>537</v>
      </c>
      <c r="F1716" s="15">
        <f t="shared" si="1"/>
        <v>2.86</v>
      </c>
      <c r="G1716" s="13" t="str">
        <f>ROUND(Github!O$605, 2)&amp;"%"</f>
        <v>39.49%</v>
      </c>
      <c r="H1716" s="13" t="str">
        <f>Github!H$605</f>
        <v>Algorithms</v>
      </c>
      <c r="I1716" s="16" t="str">
        <f>SUBSTITUTE(Github!L$605, ";", ", ")</f>
        <v>Array, Hash Table, String, Design, Iterator, </v>
      </c>
      <c r="J1716" s="13" t="str">
        <f>Github!E$605</f>
        <v>Easy</v>
      </c>
      <c r="K1716" s="13" t="str">
        <f>IF(TRIM(Github!D$605)="TRUE","FALSE","TRUE")</f>
        <v>FALSE</v>
      </c>
      <c r="L1716" s="13" t="b">
        <f>Github!M$605</f>
        <v>1</v>
      </c>
      <c r="M1716" s="13" t="b">
        <f>Github!N$605</f>
        <v>0</v>
      </c>
      <c r="N1716" s="13">
        <f>Github!P$605</f>
        <v>28659</v>
      </c>
      <c r="O1716" s="13">
        <f>Github!Q$605</f>
        <v>72570</v>
      </c>
    </row>
    <row r="1717">
      <c r="A1717" s="13">
        <f>Github!J$1506</f>
        <v>1505</v>
      </c>
      <c r="B1717" s="14" t="str">
        <f>HYPERLINK(CONCAT("http://leetcode.com/problems/",Github!C$1506), Github!B$1506)</f>
        <v>Minimum Possible Integer After at Most K Adjacent Swaps On Digits</v>
      </c>
      <c r="C1717" s="13">
        <f>Github!F$1506</f>
        <v>397</v>
      </c>
      <c r="D1717" s="13">
        <f>Github!G$1506</f>
        <v>22</v>
      </c>
      <c r="E1717" s="13">
        <f>Github!F$1506+Github!G$1506</f>
        <v>419</v>
      </c>
      <c r="F1717" s="15">
        <f t="shared" si="1"/>
        <v>18.05</v>
      </c>
      <c r="G1717" s="13" t="str">
        <f>ROUND(Github!O$1506, 2)&amp;"%"</f>
        <v>38.33%</v>
      </c>
      <c r="H1717" s="13" t="str">
        <f>Github!H$1506</f>
        <v>Algorithms</v>
      </c>
      <c r="I1717" s="16" t="str">
        <f>SUBSTITUTE(Github!L$1506, ";", ", ")</f>
        <v>String, Greedy, Binary Indexed Tree, Segment Tree, </v>
      </c>
      <c r="J1717" s="13" t="str">
        <f>Github!E$1506</f>
        <v>Hard</v>
      </c>
      <c r="K1717" s="13" t="str">
        <f>IF(TRIM(Github!D$1506)="TRUE","FALSE","TRUE")</f>
        <v>TRUE</v>
      </c>
      <c r="L1717" s="13" t="b">
        <f>Github!M$1506</f>
        <v>0</v>
      </c>
      <c r="M1717" s="13" t="b">
        <f>Github!N$1506</f>
        <v>0</v>
      </c>
      <c r="N1717" s="13">
        <f>Github!P$1506</f>
        <v>8399</v>
      </c>
      <c r="O1717" s="13">
        <f>Github!Q$1506</f>
        <v>21914</v>
      </c>
    </row>
    <row r="1718">
      <c r="A1718" s="13">
        <f>Github!J$1117</f>
        <v>1116</v>
      </c>
      <c r="B1718" s="14" t="str">
        <f>HYPERLINK(CONCAT("http://leetcode.com/problems/",Github!C$1117), Github!B$1117)</f>
        <v>Print Zero Even Odd</v>
      </c>
      <c r="C1718" s="13">
        <f>Github!F$1117</f>
        <v>394</v>
      </c>
      <c r="D1718" s="13">
        <f>Github!G$1117</f>
        <v>277</v>
      </c>
      <c r="E1718" s="13">
        <f>Github!F$1117+Github!G$1117</f>
        <v>671</v>
      </c>
      <c r="F1718" s="15">
        <f t="shared" si="1"/>
        <v>1.42</v>
      </c>
      <c r="G1718" s="13" t="str">
        <f>ROUND(Github!O$1117, 2)&amp;"%"</f>
        <v>60.36%</v>
      </c>
      <c r="H1718" s="13" t="str">
        <f>Github!H$1117</f>
        <v>Concurrency</v>
      </c>
      <c r="I1718" s="16" t="str">
        <f>SUBSTITUTE(Github!L$1117, ";", ", ")</f>
        <v>Concurrency, </v>
      </c>
      <c r="J1718" s="13" t="str">
        <f>Github!E$1117</f>
        <v>Medium</v>
      </c>
      <c r="K1718" s="13" t="str">
        <f>IF(TRIM(Github!D$1117)="TRUE","FALSE","TRUE")</f>
        <v>TRUE</v>
      </c>
      <c r="L1718" s="13" t="b">
        <f>Github!M$1117</f>
        <v>0</v>
      </c>
      <c r="M1718" s="13" t="b">
        <f>Github!N$1117</f>
        <v>0</v>
      </c>
      <c r="N1718" s="13">
        <f>Github!P$1117</f>
        <v>37404</v>
      </c>
      <c r="O1718" s="13">
        <f>Github!Q$1117</f>
        <v>61965</v>
      </c>
    </row>
    <row r="1719">
      <c r="A1719" s="13">
        <f>Github!J$1928</f>
        <v>1927</v>
      </c>
      <c r="B1719" s="14" t="str">
        <f>HYPERLINK(CONCAT("http://leetcode.com/problems/",Github!C$1928), Github!B$1928)</f>
        <v>Sum Game</v>
      </c>
      <c r="C1719" s="13">
        <f>Github!F$1928</f>
        <v>394</v>
      </c>
      <c r="D1719" s="13">
        <f>Github!G$1928</f>
        <v>57</v>
      </c>
      <c r="E1719" s="13">
        <f>Github!F$1928+Github!G$1928</f>
        <v>451</v>
      </c>
      <c r="F1719" s="15">
        <f t="shared" si="1"/>
        <v>6.91</v>
      </c>
      <c r="G1719" s="13" t="str">
        <f>ROUND(Github!O$1928, 2)&amp;"%"</f>
        <v>46.78%</v>
      </c>
      <c r="H1719" s="13" t="str">
        <f>Github!H$1928</f>
        <v>Algorithms</v>
      </c>
      <c r="I1719" s="16" t="str">
        <f>SUBSTITUTE(Github!L$1928, ";", ", ")</f>
        <v>Math, Greedy, Game Theory, </v>
      </c>
      <c r="J1719" s="13" t="str">
        <f>Github!E$1928</f>
        <v>Medium</v>
      </c>
      <c r="K1719" s="13" t="str">
        <f>IF(TRIM(Github!D$1928)="TRUE","FALSE","TRUE")</f>
        <v>TRUE</v>
      </c>
      <c r="L1719" s="13" t="b">
        <f>Github!M$1928</f>
        <v>0</v>
      </c>
      <c r="M1719" s="13" t="b">
        <f>Github!N$1928</f>
        <v>0</v>
      </c>
      <c r="N1719" s="13">
        <f>Github!P$1928</f>
        <v>8103</v>
      </c>
      <c r="O1719" s="13">
        <f>Github!Q$1928</f>
        <v>17322</v>
      </c>
    </row>
    <row r="1720">
      <c r="A1720" s="13">
        <f>Github!J$1118</f>
        <v>1117</v>
      </c>
      <c r="B1720" s="14" t="str">
        <f>HYPERLINK(CONCAT("http://leetcode.com/problems/",Github!C$1118), Github!B$1118)</f>
        <v>Building H2O</v>
      </c>
      <c r="C1720" s="13">
        <f>Github!F$1118</f>
        <v>396</v>
      </c>
      <c r="D1720" s="13">
        <f>Github!G$1118</f>
        <v>107</v>
      </c>
      <c r="E1720" s="13">
        <f>Github!F$1118+Github!G$1118</f>
        <v>503</v>
      </c>
      <c r="F1720" s="15">
        <f t="shared" si="1"/>
        <v>3.7</v>
      </c>
      <c r="G1720" s="13" t="str">
        <f>ROUND(Github!O$1118, 2)&amp;"%"</f>
        <v>55.75%</v>
      </c>
      <c r="H1720" s="13" t="str">
        <f>Github!H$1118</f>
        <v>Concurrency</v>
      </c>
      <c r="I1720" s="16" t="str">
        <f>SUBSTITUTE(Github!L$1118, ";", ", ")</f>
        <v>Concurrency, </v>
      </c>
      <c r="J1720" s="13" t="str">
        <f>Github!E$1118</f>
        <v>Medium</v>
      </c>
      <c r="K1720" s="13" t="str">
        <f>IF(TRIM(Github!D$1118)="TRUE","FALSE","TRUE")</f>
        <v>TRUE</v>
      </c>
      <c r="L1720" s="13" t="b">
        <f>Github!M$1118</f>
        <v>0</v>
      </c>
      <c r="M1720" s="13" t="b">
        <f>Github!N$1118</f>
        <v>0</v>
      </c>
      <c r="N1720" s="13">
        <f>Github!P$1118</f>
        <v>37394</v>
      </c>
      <c r="O1720" s="13">
        <f>Github!Q$1118</f>
        <v>67070</v>
      </c>
    </row>
    <row r="1721">
      <c r="A1721" s="13">
        <f>Github!J$2297</f>
        <v>2296</v>
      </c>
      <c r="B1721" s="14" t="str">
        <f>HYPERLINK(CONCAT("http://leetcode.com/problems/",Github!C$2297), Github!B$2297)</f>
        <v>Design a Text Editor</v>
      </c>
      <c r="C1721" s="13">
        <f>Github!F$2297</f>
        <v>399</v>
      </c>
      <c r="D1721" s="13">
        <f>Github!G$2297</f>
        <v>210</v>
      </c>
      <c r="E1721" s="13">
        <f>Github!F$2297+Github!G$2297</f>
        <v>609</v>
      </c>
      <c r="F1721" s="15">
        <f t="shared" si="1"/>
        <v>1.9</v>
      </c>
      <c r="G1721" s="13" t="str">
        <f>ROUND(Github!O$2297, 2)&amp;"%"</f>
        <v>40.17%</v>
      </c>
      <c r="H1721" s="13" t="str">
        <f>Github!H2297</f>
        <v>Algorithms</v>
      </c>
      <c r="I1721" s="16" t="str">
        <f>SUBSTITUTE(Github!L$2297, ";", ", ")</f>
        <v>Linked List, String, Stack, Design, Simulation, Doubly-Linked List, </v>
      </c>
      <c r="J1721" s="13" t="str">
        <f>Github!E$2297</f>
        <v>Hard</v>
      </c>
      <c r="K1721" s="13" t="str">
        <f>IF(TRIM(Github!D$2297)="TRUE","FALSE","TRUE")</f>
        <v>TRUE</v>
      </c>
      <c r="L1721" s="13" t="b">
        <f>Github!M$2297</f>
        <v>0</v>
      </c>
      <c r="M1721" s="13" t="b">
        <f>Github!N$2297</f>
        <v>0</v>
      </c>
      <c r="N1721" s="13">
        <f>Github!P$2297</f>
        <v>14373</v>
      </c>
      <c r="O1721" s="13">
        <f>Github!Q$2297</f>
        <v>35783</v>
      </c>
    </row>
    <row r="1722">
      <c r="A1722" s="13">
        <f>Github!J$1933</f>
        <v>1932</v>
      </c>
      <c r="B1722" s="14" t="str">
        <f>HYPERLINK(CONCAT("http://leetcode.com/problems/",Github!C$1933), Github!B$1933)</f>
        <v>Merge BSTs to Create Single BST</v>
      </c>
      <c r="C1722" s="13">
        <f>Github!F$1933</f>
        <v>399</v>
      </c>
      <c r="D1722" s="13">
        <f>Github!G$1933</f>
        <v>32</v>
      </c>
      <c r="E1722" s="13">
        <f>Github!F$1933+Github!G$1933</f>
        <v>431</v>
      </c>
      <c r="F1722" s="15">
        <f t="shared" si="1"/>
        <v>12.47</v>
      </c>
      <c r="G1722" s="13" t="str">
        <f>ROUND(Github!O$1933, 2)&amp;"%"</f>
        <v>35.67%</v>
      </c>
      <c r="H1722" s="13" t="str">
        <f>Github!H$1933</f>
        <v>Algorithms</v>
      </c>
      <c r="I1722" s="16" t="str">
        <f>SUBSTITUTE(Github!L$1933, ";", ", ")</f>
        <v>Hash Table, Binary Search, Tree, Depth-First Search, Binary Tree, </v>
      </c>
      <c r="J1722" s="13" t="str">
        <f>Github!E$1933</f>
        <v>Hard</v>
      </c>
      <c r="K1722" s="13" t="str">
        <f>IF(TRIM(Github!D$1933)="TRUE","FALSE","TRUE")</f>
        <v>TRUE</v>
      </c>
      <c r="L1722" s="13" t="b">
        <f>Github!M$1933</f>
        <v>0</v>
      </c>
      <c r="M1722" s="13" t="b">
        <f>Github!N$1933</f>
        <v>0</v>
      </c>
      <c r="N1722" s="13">
        <f>Github!P$1933</f>
        <v>5956</v>
      </c>
      <c r="O1722" s="13">
        <f>Github!Q$1933</f>
        <v>16697</v>
      </c>
    </row>
    <row r="1723">
      <c r="A1723" s="13">
        <f>Github!J$1331</f>
        <v>1330</v>
      </c>
      <c r="B1723" s="14" t="str">
        <f>HYPERLINK(CONCAT("http://leetcode.com/problems/",Github!C$1331), Github!B$1331)</f>
        <v>Reverse Subarray To Maximize Array Value</v>
      </c>
      <c r="C1723" s="13">
        <f>Github!F$1331</f>
        <v>392</v>
      </c>
      <c r="D1723" s="13">
        <f>Github!G$1331</f>
        <v>36</v>
      </c>
      <c r="E1723" s="13">
        <f>Github!F$1331+Github!G$1331</f>
        <v>428</v>
      </c>
      <c r="F1723" s="15">
        <f t="shared" si="1"/>
        <v>10.89</v>
      </c>
      <c r="G1723" s="13" t="str">
        <f>ROUND(Github!O$1331, 2)&amp;"%"</f>
        <v>40.27%</v>
      </c>
      <c r="H1723" s="13" t="str">
        <f>Github!H$1331</f>
        <v>Algorithms</v>
      </c>
      <c r="I1723" s="16" t="str">
        <f>SUBSTITUTE(Github!L$1331, ";", ", ")</f>
        <v>Array, Math, Greedy, </v>
      </c>
      <c r="J1723" s="13" t="str">
        <f>Github!E$1331</f>
        <v>Hard</v>
      </c>
      <c r="K1723" s="13" t="str">
        <f>IF(TRIM(Github!D$1331)="TRUE","FALSE","TRUE")</f>
        <v>TRUE</v>
      </c>
      <c r="L1723" s="13" t="b">
        <f>Github!M$1331</f>
        <v>0</v>
      </c>
      <c r="M1723" s="13" t="b">
        <f>Github!N$1331</f>
        <v>0</v>
      </c>
      <c r="N1723" s="13">
        <f>Github!P$1331</f>
        <v>4486</v>
      </c>
      <c r="O1723" s="13">
        <f>Github!Q$1331</f>
        <v>11140</v>
      </c>
    </row>
    <row r="1724">
      <c r="A1724" s="13">
        <f>Github!J$2151</f>
        <v>2150</v>
      </c>
      <c r="B1724" s="14" t="str">
        <f>HYPERLINK(CONCAT("http://leetcode.com/problems/",Github!C$2151), Github!B$2151)</f>
        <v>Find All Lonely Numbers in the Array</v>
      </c>
      <c r="C1724" s="13">
        <f>Github!F$2151</f>
        <v>400</v>
      </c>
      <c r="D1724" s="13">
        <f>Github!G$2151</f>
        <v>44</v>
      </c>
      <c r="E1724" s="13">
        <f>Github!F$2151+Github!G$2151</f>
        <v>444</v>
      </c>
      <c r="F1724" s="15">
        <f t="shared" si="1"/>
        <v>9.09</v>
      </c>
      <c r="G1724" s="13" t="str">
        <f>ROUND(Github!O$2151, 2)&amp;"%"</f>
        <v>60.77%</v>
      </c>
      <c r="H1724" s="13" t="str">
        <f>Github!H$2151</f>
        <v>Algorithms</v>
      </c>
      <c r="I1724" s="16" t="str">
        <f>SUBSTITUTE(Github!L$2151, ";", ", ")</f>
        <v>Array, Hash Table, Counting, </v>
      </c>
      <c r="J1724" s="13" t="str">
        <f>Github!E$2151</f>
        <v>Medium</v>
      </c>
      <c r="K1724" s="13" t="str">
        <f>IF(TRIM(Github!D$2151)="TRUE","FALSE","TRUE")</f>
        <v>TRUE</v>
      </c>
      <c r="L1724" s="13" t="b">
        <f>Github!M$2151</f>
        <v>0</v>
      </c>
      <c r="M1724" s="13" t="b">
        <f>Github!N$2151</f>
        <v>0</v>
      </c>
      <c r="N1724" s="13">
        <f>Github!P$2151</f>
        <v>31469</v>
      </c>
      <c r="O1724" s="13">
        <f>Github!Q$2151</f>
        <v>51783</v>
      </c>
    </row>
    <row r="1725">
      <c r="A1725" s="13">
        <f>Github!J$2327</f>
        <v>2326</v>
      </c>
      <c r="B1725" s="14" t="str">
        <f>HYPERLINK(CONCAT("http://leetcode.com/problems/",Github!C$2327), Github!B$2327)</f>
        <v>Spiral Matrix IV</v>
      </c>
      <c r="C1725" s="13">
        <f>Github!F$2327</f>
        <v>405</v>
      </c>
      <c r="D1725" s="13">
        <f>Github!G$2327</f>
        <v>18</v>
      </c>
      <c r="E1725" s="13">
        <f>Github!F$2327+Github!G$2327</f>
        <v>423</v>
      </c>
      <c r="F1725" s="15">
        <f t="shared" si="1"/>
        <v>22.5</v>
      </c>
      <c r="G1725" s="13" t="str">
        <f>ROUND(Github!O$2327, 2)&amp;"%"</f>
        <v>74.61%</v>
      </c>
      <c r="H1725" s="13" t="str">
        <f>Github!H2327</f>
        <v>Algorithms</v>
      </c>
      <c r="I1725" s="16" t="str">
        <f>SUBSTITUTE(Github!L$2327, ";", ", ")</f>
        <v>Array, Linked List, Matrix, Simulation, </v>
      </c>
      <c r="J1725" s="13" t="str">
        <f>Github!E$2327</f>
        <v>Medium</v>
      </c>
      <c r="K1725" s="13" t="str">
        <f>IF(TRIM(Github!D$2327)="TRUE","FALSE","TRUE")</f>
        <v>TRUE</v>
      </c>
      <c r="L1725" s="13" t="b">
        <f>Github!M$2327</f>
        <v>0</v>
      </c>
      <c r="M1725" s="13" t="b">
        <f>Github!N$2327</f>
        <v>0</v>
      </c>
      <c r="N1725" s="13">
        <f>Github!P$2327</f>
        <v>24022</v>
      </c>
      <c r="O1725" s="13">
        <f>Github!Q$2327</f>
        <v>32195</v>
      </c>
    </row>
    <row r="1726">
      <c r="A1726" s="13">
        <f>Github!J$479</f>
        <v>478</v>
      </c>
      <c r="B1726" s="14" t="str">
        <f>HYPERLINK(CONCAT("http://leetcode.com/problems/",Github!C$479), Github!B$479)</f>
        <v>Generate Random Point in a Circle</v>
      </c>
      <c r="C1726" s="13">
        <f>Github!F$479</f>
        <v>391</v>
      </c>
      <c r="D1726" s="13">
        <f>Github!G$479</f>
        <v>710</v>
      </c>
      <c r="E1726" s="13">
        <f>Github!F$479+Github!G$479</f>
        <v>1101</v>
      </c>
      <c r="F1726" s="15">
        <f t="shared" si="1"/>
        <v>0.55</v>
      </c>
      <c r="G1726" s="13" t="str">
        <f>ROUND(Github!O$479, 2)&amp;"%"</f>
        <v>39.59%</v>
      </c>
      <c r="H1726" s="13" t="str">
        <f>Github!H$479</f>
        <v>Algorithms</v>
      </c>
      <c r="I1726" s="16" t="str">
        <f>SUBSTITUTE(Github!L$479, ";", ", ")</f>
        <v>Math, Geometry, Rejection Sampling, Randomized, </v>
      </c>
      <c r="J1726" s="13" t="str">
        <f>Github!E$479</f>
        <v>Medium</v>
      </c>
      <c r="K1726" s="13" t="str">
        <f>IF(TRIM(Github!D$479)="TRUE","FALSE","TRUE")</f>
        <v>TRUE</v>
      </c>
      <c r="L1726" s="13" t="b">
        <f>Github!M$479</f>
        <v>1</v>
      </c>
      <c r="M1726" s="13" t="b">
        <f>Github!N$479</f>
        <v>0</v>
      </c>
      <c r="N1726" s="13">
        <f>Github!P$479</f>
        <v>35959</v>
      </c>
      <c r="O1726" s="13">
        <f>Github!Q$479</f>
        <v>90833</v>
      </c>
    </row>
    <row r="1727">
      <c r="A1727" s="13">
        <f>Github!J$2181</f>
        <v>2180</v>
      </c>
      <c r="B1727" s="14" t="str">
        <f>HYPERLINK(CONCAT("http://leetcode.com/problems/",Github!C$2181), Github!B$2181)</f>
        <v>Count Integers With Even Digit Sum</v>
      </c>
      <c r="C1727" s="13">
        <f>Github!F$2181</f>
        <v>399</v>
      </c>
      <c r="D1727" s="13">
        <f>Github!G$2181</f>
        <v>19</v>
      </c>
      <c r="E1727" s="13">
        <f>Github!F$2181+Github!G$2181</f>
        <v>418</v>
      </c>
      <c r="F1727" s="15">
        <f t="shared" si="1"/>
        <v>21</v>
      </c>
      <c r="G1727" s="13" t="str">
        <f>ROUND(Github!O$2181, 2)&amp;"%"</f>
        <v>64.82%</v>
      </c>
      <c r="H1727" s="13" t="str">
        <f>Github!H$2181</f>
        <v>Algorithms</v>
      </c>
      <c r="I1727" s="16" t="str">
        <f>SUBSTITUTE(Github!L$2181, ";", ", ")</f>
        <v>Math, Simulation, </v>
      </c>
      <c r="J1727" s="13" t="str">
        <f>Github!E$2181</f>
        <v>Easy</v>
      </c>
      <c r="K1727" s="13" t="str">
        <f>IF(TRIM(Github!D$2181)="TRUE","FALSE","TRUE")</f>
        <v>TRUE</v>
      </c>
      <c r="L1727" s="13" t="b">
        <f>Github!M$2181</f>
        <v>0</v>
      </c>
      <c r="M1727" s="13" t="b">
        <f>Github!N$2181</f>
        <v>0</v>
      </c>
      <c r="N1727" s="13">
        <f>Github!P$2181</f>
        <v>36596</v>
      </c>
      <c r="O1727" s="13">
        <f>Github!Q$2181</f>
        <v>56455</v>
      </c>
    </row>
    <row r="1728">
      <c r="A1728" s="13">
        <f>Github!J$1557</f>
        <v>1556</v>
      </c>
      <c r="B1728" s="14" t="str">
        <f>HYPERLINK(CONCAT("http://leetcode.com/problems/",Github!C$1557), Github!B$1557)</f>
        <v>Thousand Separator</v>
      </c>
      <c r="C1728" s="13">
        <f>Github!F$1557</f>
        <v>396</v>
      </c>
      <c r="D1728" s="13">
        <f>Github!G$1557</f>
        <v>22</v>
      </c>
      <c r="E1728" s="13">
        <f>Github!F$1557+Github!G$1557</f>
        <v>418</v>
      </c>
      <c r="F1728" s="15">
        <f t="shared" si="1"/>
        <v>18</v>
      </c>
      <c r="G1728" s="13" t="str">
        <f>ROUND(Github!O$1557, 2)&amp;"%"</f>
        <v>54.86%</v>
      </c>
      <c r="H1728" s="13" t="str">
        <f>Github!H$1557</f>
        <v>Algorithms</v>
      </c>
      <c r="I1728" s="16" t="str">
        <f>SUBSTITUTE(Github!L$1557, ";", ", ")</f>
        <v>String, </v>
      </c>
      <c r="J1728" s="13" t="str">
        <f>Github!E$1557</f>
        <v>Easy</v>
      </c>
      <c r="K1728" s="13" t="str">
        <f>IF(TRIM(Github!D$1557)="TRUE","FALSE","TRUE")</f>
        <v>TRUE</v>
      </c>
      <c r="L1728" s="13" t="b">
        <f>Github!M$1557</f>
        <v>0</v>
      </c>
      <c r="M1728" s="13" t="b">
        <f>Github!N$1557</f>
        <v>0</v>
      </c>
      <c r="N1728" s="13">
        <f>Github!P$1557</f>
        <v>39326</v>
      </c>
      <c r="O1728" s="13">
        <f>Github!Q$1557</f>
        <v>71682</v>
      </c>
    </row>
    <row r="1729">
      <c r="A1729" s="13">
        <f>Github!J$1079</f>
        <v>1078</v>
      </c>
      <c r="B1729" s="14" t="str">
        <f>HYPERLINK(CONCAT("http://leetcode.com/problems/",Github!C$1079), Github!B$1079)</f>
        <v>Occurrences After Bigram</v>
      </c>
      <c r="C1729" s="13">
        <f>Github!F$1079</f>
        <v>392</v>
      </c>
      <c r="D1729" s="13">
        <f>Github!G$1079</f>
        <v>316</v>
      </c>
      <c r="E1729" s="13">
        <f>Github!F$1079+Github!G$1079</f>
        <v>708</v>
      </c>
      <c r="F1729" s="15">
        <f t="shared" si="1"/>
        <v>1.24</v>
      </c>
      <c r="G1729" s="13" t="str">
        <f>ROUND(Github!O$1079, 2)&amp;"%"</f>
        <v>63.72%</v>
      </c>
      <c r="H1729" s="13" t="str">
        <f>Github!H$1079</f>
        <v>Algorithms</v>
      </c>
      <c r="I1729" s="16" t="str">
        <f>SUBSTITUTE(Github!L$1079, ";", ", ")</f>
        <v>String, </v>
      </c>
      <c r="J1729" s="13" t="str">
        <f>Github!E$1079</f>
        <v>Easy</v>
      </c>
      <c r="K1729" s="13" t="str">
        <f>IF(TRIM(Github!D$1079)="TRUE","FALSE","TRUE")</f>
        <v>TRUE</v>
      </c>
      <c r="L1729" s="13" t="b">
        <f>Github!M$1079</f>
        <v>0</v>
      </c>
      <c r="M1729" s="13" t="b">
        <f>Github!N$1079</f>
        <v>0</v>
      </c>
      <c r="N1729" s="13">
        <f>Github!P$1079</f>
        <v>58867</v>
      </c>
      <c r="O1729" s="13">
        <f>Github!Q$1079</f>
        <v>92385</v>
      </c>
    </row>
    <row r="1730">
      <c r="A1730" s="13">
        <f>Github!J$1173</f>
        <v>1172</v>
      </c>
      <c r="B1730" s="14" t="str">
        <f>HYPERLINK(CONCAT("http://leetcode.com/problems/",Github!C$1173), Github!B$1173)</f>
        <v>Dinner Plate Stacks</v>
      </c>
      <c r="C1730" s="13">
        <f>Github!F$1173</f>
        <v>391</v>
      </c>
      <c r="D1730" s="13">
        <f>Github!G$1173</f>
        <v>55</v>
      </c>
      <c r="E1730" s="13">
        <f>Github!F$1173+Github!G$1173</f>
        <v>446</v>
      </c>
      <c r="F1730" s="15">
        <f t="shared" si="1"/>
        <v>7.11</v>
      </c>
      <c r="G1730" s="13" t="str">
        <f>ROUND(Github!O$1173, 2)&amp;"%"</f>
        <v>33.41%</v>
      </c>
      <c r="H1730" s="13" t="str">
        <f>Github!H$1173</f>
        <v>Algorithms</v>
      </c>
      <c r="I1730" s="16" t="str">
        <f>SUBSTITUTE(Github!L$1173, ";", ", ")</f>
        <v>Hash Table, Stack, Design, Heap (Priority Queue), </v>
      </c>
      <c r="J1730" s="13" t="str">
        <f>Github!E$1173</f>
        <v>Hard</v>
      </c>
      <c r="K1730" s="13" t="str">
        <f>IF(TRIM(Github!D$1173)="TRUE","FALSE","TRUE")</f>
        <v>TRUE</v>
      </c>
      <c r="L1730" s="13" t="b">
        <f>Github!M$1173</f>
        <v>0</v>
      </c>
      <c r="M1730" s="13" t="b">
        <f>Github!N$1173</f>
        <v>0</v>
      </c>
      <c r="N1730" s="13">
        <f>Github!P$1173</f>
        <v>15243</v>
      </c>
      <c r="O1730" s="13">
        <f>Github!Q$1173</f>
        <v>45625</v>
      </c>
    </row>
    <row r="1731">
      <c r="A1731" s="13">
        <f>Github!J$2335</f>
        <v>2334</v>
      </c>
      <c r="B1731" s="14" t="str">
        <f>HYPERLINK(CONCAT("http://leetcode.com/problems/",Github!C$2335), Github!B$2335)</f>
        <v>Subarray With Elements Greater Than Varying Threshold</v>
      </c>
      <c r="C1731" s="13">
        <f>Github!F$2335</f>
        <v>394</v>
      </c>
      <c r="D1731" s="13">
        <f>Github!G$2335</f>
        <v>5</v>
      </c>
      <c r="E1731" s="13">
        <f>Github!F$2335+Github!G$2335</f>
        <v>399</v>
      </c>
      <c r="F1731" s="15">
        <f t="shared" si="1"/>
        <v>78.8</v>
      </c>
      <c r="G1731" s="13" t="str">
        <f>ROUND(Github!O$2335, 2)&amp;"%"</f>
        <v>40.82%</v>
      </c>
      <c r="H1731" s="13" t="str">
        <f>Github!H2335</f>
        <v>Algorithms</v>
      </c>
      <c r="I1731" s="16" t="str">
        <f>SUBSTITUTE(Github!L$2335, ";", ", ")</f>
        <v>Array, Stack, Union Find, Monotonic Stack, </v>
      </c>
      <c r="J1731" s="13" t="str">
        <f>Github!E$2335</f>
        <v>Hard</v>
      </c>
      <c r="K1731" s="13" t="str">
        <f>IF(TRIM(Github!D$2335)="TRUE","FALSE","TRUE")</f>
        <v>TRUE</v>
      </c>
      <c r="L1731" s="13" t="b">
        <f>Github!M$2335</f>
        <v>0</v>
      </c>
      <c r="M1731" s="13" t="b">
        <f>Github!N$2335</f>
        <v>0</v>
      </c>
      <c r="N1731" s="13">
        <f>Github!P$2335</f>
        <v>5525</v>
      </c>
      <c r="O1731" s="13">
        <f>Github!Q$2335</f>
        <v>13534</v>
      </c>
    </row>
    <row r="1732">
      <c r="A1732" s="13">
        <f>Github!J$2145</f>
        <v>2144</v>
      </c>
      <c r="B1732" s="14" t="str">
        <f>HYPERLINK(CONCAT("http://leetcode.com/problems/",Github!C$2145), Github!B$2145)</f>
        <v>Minimum Cost of Buying Candies With Discount</v>
      </c>
      <c r="C1732" s="13">
        <f>Github!F$2145</f>
        <v>396</v>
      </c>
      <c r="D1732" s="13">
        <f>Github!G$2145</f>
        <v>12</v>
      </c>
      <c r="E1732" s="13">
        <f>Github!F$2145+Github!G$2145</f>
        <v>408</v>
      </c>
      <c r="F1732" s="15">
        <f t="shared" si="1"/>
        <v>33</v>
      </c>
      <c r="G1732" s="13" t="str">
        <f>ROUND(Github!O$2145, 2)&amp;"%"</f>
        <v>61%</v>
      </c>
      <c r="H1732" s="13" t="str">
        <f>Github!H$2145</f>
        <v>Algorithms</v>
      </c>
      <c r="I1732" s="16" t="str">
        <f>SUBSTITUTE(Github!L$2145, ";", ", ")</f>
        <v>Array, Greedy, Sorting, </v>
      </c>
      <c r="J1732" s="13" t="str">
        <f>Github!E$2145</f>
        <v>Easy</v>
      </c>
      <c r="K1732" s="13" t="str">
        <f>IF(TRIM(Github!D$2145)="TRUE","FALSE","TRUE")</f>
        <v>TRUE</v>
      </c>
      <c r="L1732" s="13" t="b">
        <f>Github!M$2145</f>
        <v>0</v>
      </c>
      <c r="M1732" s="13" t="b">
        <f>Github!N$2145</f>
        <v>0</v>
      </c>
      <c r="N1732" s="13">
        <f>Github!P$2145</f>
        <v>32139</v>
      </c>
      <c r="O1732" s="13">
        <f>Github!Q$2145</f>
        <v>52691</v>
      </c>
    </row>
    <row r="1733">
      <c r="A1733" s="13">
        <f>Github!J$1410</f>
        <v>1409</v>
      </c>
      <c r="B1733" s="14" t="str">
        <f>HYPERLINK(CONCAT("http://leetcode.com/problems/",Github!C$1410), Github!B$1410)</f>
        <v>Queries on a Permutation With Key</v>
      </c>
      <c r="C1733" s="13">
        <f>Github!F$1410</f>
        <v>388</v>
      </c>
      <c r="D1733" s="13">
        <f>Github!G$1410</f>
        <v>569</v>
      </c>
      <c r="E1733" s="13">
        <f>Github!F$1410+Github!G$1410</f>
        <v>957</v>
      </c>
      <c r="F1733" s="15">
        <f t="shared" si="1"/>
        <v>0.68</v>
      </c>
      <c r="G1733" s="13" t="str">
        <f>ROUND(Github!O$1410, 2)&amp;"%"</f>
        <v>83.28%</v>
      </c>
      <c r="H1733" s="13" t="str">
        <f>Github!H$1410</f>
        <v>Algorithms</v>
      </c>
      <c r="I1733" s="16" t="str">
        <f>SUBSTITUTE(Github!L$1410, ";", ", ")</f>
        <v>Array, Binary Indexed Tree, Simulation, </v>
      </c>
      <c r="J1733" s="13" t="str">
        <f>Github!E$1410</f>
        <v>Medium</v>
      </c>
      <c r="K1733" s="13" t="str">
        <f>IF(TRIM(Github!D$1410)="TRUE","FALSE","TRUE")</f>
        <v>TRUE</v>
      </c>
      <c r="L1733" s="13" t="b">
        <f>Github!M$1410</f>
        <v>0</v>
      </c>
      <c r="M1733" s="13" t="b">
        <f>Github!N$1410</f>
        <v>0</v>
      </c>
      <c r="N1733" s="13">
        <f>Github!P$1410</f>
        <v>41651</v>
      </c>
      <c r="O1733" s="13">
        <f>Github!Q$1410</f>
        <v>50012</v>
      </c>
    </row>
    <row r="1734">
      <c r="A1734" s="13">
        <f>Github!J$1894</f>
        <v>1893</v>
      </c>
      <c r="B1734" s="14" t="str">
        <f>HYPERLINK(CONCAT("http://leetcode.com/problems/",Github!C$1894), Github!B$1894)</f>
        <v>Check if All the Integers in a Range Are Covered</v>
      </c>
      <c r="C1734" s="13">
        <f>Github!F$1894</f>
        <v>392</v>
      </c>
      <c r="D1734" s="13">
        <f>Github!G$1894</f>
        <v>72</v>
      </c>
      <c r="E1734" s="13">
        <f>Github!F$1894+Github!G$1894</f>
        <v>464</v>
      </c>
      <c r="F1734" s="15">
        <f t="shared" si="1"/>
        <v>5.44</v>
      </c>
      <c r="G1734" s="13" t="str">
        <f>ROUND(Github!O$1894, 2)&amp;"%"</f>
        <v>50.74%</v>
      </c>
      <c r="H1734" s="13" t="str">
        <f>Github!H$1894</f>
        <v>Algorithms</v>
      </c>
      <c r="I1734" s="16" t="str">
        <f>SUBSTITUTE(Github!L$1894, ";", ", ")</f>
        <v>Array, Hash Table, Prefix Sum, </v>
      </c>
      <c r="J1734" s="13" t="str">
        <f>Github!E$1894</f>
        <v>Easy</v>
      </c>
      <c r="K1734" s="13" t="str">
        <f>IF(TRIM(Github!D$1894)="TRUE","FALSE","TRUE")</f>
        <v>TRUE</v>
      </c>
      <c r="L1734" s="13" t="b">
        <f>Github!M$1894</f>
        <v>0</v>
      </c>
      <c r="M1734" s="13" t="b">
        <f>Github!N$1894</f>
        <v>0</v>
      </c>
      <c r="N1734" s="13">
        <f>Github!P$1894</f>
        <v>28556</v>
      </c>
      <c r="O1734" s="13">
        <f>Github!Q$1894</f>
        <v>56284</v>
      </c>
    </row>
    <row r="1735">
      <c r="A1735" s="13">
        <f>Github!J$1870</f>
        <v>1869</v>
      </c>
      <c r="B1735" s="14" t="str">
        <f>HYPERLINK(CONCAT("http://leetcode.com/problems/",Github!C$1870), Github!B$1870)</f>
        <v>Longer Contiguous Segments of Ones than Zeros</v>
      </c>
      <c r="C1735" s="13">
        <f>Github!F$1870</f>
        <v>392</v>
      </c>
      <c r="D1735" s="13">
        <f>Github!G$1870</f>
        <v>8</v>
      </c>
      <c r="E1735" s="13">
        <f>Github!F$1870+Github!G$1870</f>
        <v>400</v>
      </c>
      <c r="F1735" s="15">
        <f t="shared" si="1"/>
        <v>49</v>
      </c>
      <c r="G1735" s="13" t="str">
        <f>ROUND(Github!O$1870, 2)&amp;"%"</f>
        <v>60.33%</v>
      </c>
      <c r="H1735" s="13" t="str">
        <f>Github!H$1870</f>
        <v>Algorithms</v>
      </c>
      <c r="I1735" s="16" t="str">
        <f>SUBSTITUTE(Github!L$1870, ";", ", ")</f>
        <v>String, </v>
      </c>
      <c r="J1735" s="13" t="str">
        <f>Github!E$1870</f>
        <v>Easy</v>
      </c>
      <c r="K1735" s="13" t="str">
        <f>IF(TRIM(Github!D$1870)="TRUE","FALSE","TRUE")</f>
        <v>TRUE</v>
      </c>
      <c r="L1735" s="13" t="b">
        <f>Github!M$1870</f>
        <v>0</v>
      </c>
      <c r="M1735" s="13" t="b">
        <f>Github!N$1870</f>
        <v>0</v>
      </c>
      <c r="N1735" s="13">
        <f>Github!P$1870</f>
        <v>35631</v>
      </c>
      <c r="O1735" s="13">
        <f>Github!Q$1870</f>
        <v>59062</v>
      </c>
    </row>
    <row r="1736">
      <c r="A1736" s="13">
        <f>Github!J$1850</f>
        <v>1849</v>
      </c>
      <c r="B1736" s="14" t="str">
        <f>HYPERLINK(CONCAT("http://leetcode.com/problems/",Github!C$1850), Github!B$1850)</f>
        <v>Splitting a String Into Descending Consecutive Values</v>
      </c>
      <c r="C1736" s="13">
        <f>Github!F$1850</f>
        <v>392</v>
      </c>
      <c r="D1736" s="13">
        <f>Github!G$1850</f>
        <v>92</v>
      </c>
      <c r="E1736" s="13">
        <f>Github!F$1850+Github!G$1850</f>
        <v>484</v>
      </c>
      <c r="F1736" s="15">
        <f t="shared" si="1"/>
        <v>4.26</v>
      </c>
      <c r="G1736" s="13" t="str">
        <f>ROUND(Github!O$1850, 2)&amp;"%"</f>
        <v>32.49%</v>
      </c>
      <c r="H1736" s="13" t="str">
        <f>Github!H$1850</f>
        <v>Algorithms</v>
      </c>
      <c r="I1736" s="16" t="str">
        <f>SUBSTITUTE(Github!L$1850, ";", ", ")</f>
        <v>String, Backtracking, </v>
      </c>
      <c r="J1736" s="13" t="str">
        <f>Github!E$1850</f>
        <v>Medium</v>
      </c>
      <c r="K1736" s="13" t="str">
        <f>IF(TRIM(Github!D$1850)="TRUE","FALSE","TRUE")</f>
        <v>TRUE</v>
      </c>
      <c r="L1736" s="13" t="b">
        <f>Github!M$1850</f>
        <v>0</v>
      </c>
      <c r="M1736" s="13" t="b">
        <f>Github!N$1850</f>
        <v>0</v>
      </c>
      <c r="N1736" s="13">
        <f>Github!P$1850</f>
        <v>17545</v>
      </c>
      <c r="O1736" s="13">
        <f>Github!Q$1850</f>
        <v>53994</v>
      </c>
    </row>
    <row r="1737">
      <c r="A1737" s="13">
        <f>Github!J$2345</f>
        <v>2344</v>
      </c>
      <c r="B1737" s="14" t="str">
        <f>HYPERLINK(CONCAT("http://leetcode.com/problems/",Github!C$2345), Github!B$2345)</f>
        <v>Minimum Deletions to Make Array Divisible</v>
      </c>
      <c r="C1737" s="13">
        <f>Github!F$2345</f>
        <v>393</v>
      </c>
      <c r="D1737" s="13">
        <f>Github!G$2345</f>
        <v>106</v>
      </c>
      <c r="E1737" s="13">
        <f>Github!F$2345+Github!G$2345</f>
        <v>499</v>
      </c>
      <c r="F1737" s="15">
        <f t="shared" si="1"/>
        <v>3.71</v>
      </c>
      <c r="G1737" s="13" t="str">
        <f>ROUND(Github!O$2345, 2)&amp;"%"</f>
        <v>56.8%</v>
      </c>
      <c r="H1737" s="13" t="str">
        <f>Github!H2345</f>
        <v>Algorithms</v>
      </c>
      <c r="I1737" s="16" t="str">
        <f>SUBSTITUTE(Github!L$2345, ";", ", ")</f>
        <v>Array, Math, Sorting, Heap (Priority Queue), Number Theory, </v>
      </c>
      <c r="J1737" s="13" t="str">
        <f>Github!E$2345</f>
        <v>Hard</v>
      </c>
      <c r="K1737" s="13" t="str">
        <f>IF(TRIM(Github!D$2345)="TRUE","FALSE","TRUE")</f>
        <v>TRUE</v>
      </c>
      <c r="L1737" s="13" t="b">
        <f>Github!M$2345</f>
        <v>0</v>
      </c>
      <c r="M1737" s="13" t="b">
        <f>Github!N$2345</f>
        <v>0</v>
      </c>
      <c r="N1737" s="13">
        <f>Github!P$2345</f>
        <v>21193</v>
      </c>
      <c r="O1737" s="13">
        <f>Github!Q$2345</f>
        <v>37311</v>
      </c>
    </row>
    <row r="1738">
      <c r="A1738" s="13">
        <f>Github!J$532</f>
        <v>531</v>
      </c>
      <c r="B1738" s="14" t="str">
        <f>HYPERLINK(CONCAT("http://leetcode.com/problems/",Github!C$532), Github!B$532)</f>
        <v>Lonely Pixel I</v>
      </c>
      <c r="C1738" s="13">
        <f>Github!F$532</f>
        <v>386</v>
      </c>
      <c r="D1738" s="13">
        <f>Github!G$532</f>
        <v>40</v>
      </c>
      <c r="E1738" s="13">
        <f>Github!F$532+Github!G$532</f>
        <v>426</v>
      </c>
      <c r="F1738" s="15">
        <f t="shared" si="1"/>
        <v>9.65</v>
      </c>
      <c r="G1738" s="13" t="str">
        <f>ROUND(Github!O$532, 2)&amp;"%"</f>
        <v>62.13%</v>
      </c>
      <c r="H1738" s="13" t="str">
        <f>Github!H$532</f>
        <v>Algorithms</v>
      </c>
      <c r="I1738" s="16" t="str">
        <f>SUBSTITUTE(Github!L$532, ";", ", ")</f>
        <v>Array, Hash Table, Matrix, </v>
      </c>
      <c r="J1738" s="13" t="str">
        <f>Github!E$532</f>
        <v>Medium</v>
      </c>
      <c r="K1738" s="13" t="str">
        <f>IF(TRIM(Github!D$532)="TRUE","FALSE","TRUE")</f>
        <v>FALSE</v>
      </c>
      <c r="L1738" s="13" t="b">
        <f>Github!M$532</f>
        <v>1</v>
      </c>
      <c r="M1738" s="13" t="b">
        <f>Github!N$532</f>
        <v>0</v>
      </c>
      <c r="N1738" s="13">
        <f>Github!P$532</f>
        <v>38162</v>
      </c>
      <c r="O1738" s="13">
        <f>Github!Q$532</f>
        <v>61424</v>
      </c>
    </row>
    <row r="1739">
      <c r="A1739" s="13">
        <f>Github!J$1159</f>
        <v>1158</v>
      </c>
      <c r="B1739" s="14" t="str">
        <f>HYPERLINK(CONCAT("http://leetcode.com/problems/",Github!C$1159), Github!B$1159)</f>
        <v>Market Analysis I</v>
      </c>
      <c r="C1739" s="13">
        <f>Github!F$1159</f>
        <v>400</v>
      </c>
      <c r="D1739" s="13">
        <f>Github!G$1159</f>
        <v>54</v>
      </c>
      <c r="E1739" s="13">
        <f>Github!F$1159+Github!G$1159</f>
        <v>454</v>
      </c>
      <c r="F1739" s="15">
        <f t="shared" si="1"/>
        <v>7.41</v>
      </c>
      <c r="G1739" s="13" t="str">
        <f>ROUND(Github!O$1159, 2)&amp;"%"</f>
        <v>62.86%</v>
      </c>
      <c r="H1739" s="13" t="str">
        <f>Github!H$1159</f>
        <v>Database</v>
      </c>
      <c r="I1739" s="16" t="str">
        <f>SUBSTITUTE(Github!L$1159, ";", ", ")</f>
        <v>Database, </v>
      </c>
      <c r="J1739" s="13" t="str">
        <f>Github!E$1159</f>
        <v>Medium</v>
      </c>
      <c r="K1739" s="13" t="str">
        <f>IF(TRIM(Github!D$1159)="TRUE","FALSE","TRUE")</f>
        <v>TRUE</v>
      </c>
      <c r="L1739" s="13" t="b">
        <f>Github!M$1159</f>
        <v>0</v>
      </c>
      <c r="M1739" s="13" t="b">
        <f>Github!N$1159</f>
        <v>0</v>
      </c>
      <c r="N1739" s="13">
        <f>Github!P$1159</f>
        <v>60289</v>
      </c>
      <c r="O1739" s="13">
        <f>Github!Q$1159</f>
        <v>95916</v>
      </c>
    </row>
    <row r="1740">
      <c r="A1740" s="13">
        <f>Github!J$1051</f>
        <v>1050</v>
      </c>
      <c r="B1740" s="14" t="str">
        <f>HYPERLINK(CONCAT("http://leetcode.com/problems/",Github!C$1051), Github!B$1051)</f>
        <v>Actors and Directors Who Cooperated At Least Three Times</v>
      </c>
      <c r="C1740" s="13">
        <f>Github!F$1051</f>
        <v>394</v>
      </c>
      <c r="D1740" s="13">
        <f>Github!G$1051</f>
        <v>36</v>
      </c>
      <c r="E1740" s="13">
        <f>Github!F$1051+Github!G$1051</f>
        <v>430</v>
      </c>
      <c r="F1740" s="15">
        <f t="shared" si="1"/>
        <v>10.94</v>
      </c>
      <c r="G1740" s="13" t="str">
        <f>ROUND(Github!O$1051, 2)&amp;"%"</f>
        <v>71.78%</v>
      </c>
      <c r="H1740" s="13" t="str">
        <f>Github!H$1051</f>
        <v>Database</v>
      </c>
      <c r="I1740" s="16" t="str">
        <f>SUBSTITUTE(Github!L$1051, ";", ", ")</f>
        <v>Database, </v>
      </c>
      <c r="J1740" s="13" t="str">
        <f>Github!E$1051</f>
        <v>Easy</v>
      </c>
      <c r="K1740" s="13" t="str">
        <f>IF(TRIM(Github!D$1051)="TRUE","FALSE","TRUE")</f>
        <v>TRUE</v>
      </c>
      <c r="L1740" s="13" t="b">
        <f>Github!M$1051</f>
        <v>0</v>
      </c>
      <c r="M1740" s="13" t="b">
        <f>Github!N$1051</f>
        <v>0</v>
      </c>
      <c r="N1740" s="13">
        <f>Github!P$1051</f>
        <v>93858</v>
      </c>
      <c r="O1740" s="13">
        <f>Github!Q$1051</f>
        <v>130749</v>
      </c>
    </row>
    <row r="1741">
      <c r="A1741" s="13">
        <f>Github!J$1932</f>
        <v>1931</v>
      </c>
      <c r="B1741" s="14" t="str">
        <f>HYPERLINK(CONCAT("http://leetcode.com/problems/",Github!C$1932), Github!B$1932)</f>
        <v>Painting a Grid With Three Different Colors</v>
      </c>
      <c r="C1741" s="13">
        <f>Github!F$1932</f>
        <v>386</v>
      </c>
      <c r="D1741" s="13">
        <f>Github!G$1932</f>
        <v>20</v>
      </c>
      <c r="E1741" s="13">
        <f>Github!F$1932+Github!G$1932</f>
        <v>406</v>
      </c>
      <c r="F1741" s="15">
        <f t="shared" si="1"/>
        <v>19.3</v>
      </c>
      <c r="G1741" s="13" t="str">
        <f>ROUND(Github!O$1932, 2)&amp;"%"</f>
        <v>57.12%</v>
      </c>
      <c r="H1741" s="13" t="str">
        <f>Github!H$1932</f>
        <v>Algorithms</v>
      </c>
      <c r="I1741" s="16" t="str">
        <f>SUBSTITUTE(Github!L$1932, ";", ", ")</f>
        <v>Dynamic Programming, </v>
      </c>
      <c r="J1741" s="13" t="str">
        <f>Github!E$1932</f>
        <v>Hard</v>
      </c>
      <c r="K1741" s="13" t="str">
        <f>IF(TRIM(Github!D$1932)="TRUE","FALSE","TRUE")</f>
        <v>TRUE</v>
      </c>
      <c r="L1741" s="13" t="b">
        <f>Github!M$1932</f>
        <v>0</v>
      </c>
      <c r="M1741" s="13" t="b">
        <f>Github!N$1932</f>
        <v>0</v>
      </c>
      <c r="N1741" s="13">
        <f>Github!P$1932</f>
        <v>7350</v>
      </c>
      <c r="O1741" s="13">
        <f>Github!Q$1932</f>
        <v>12867</v>
      </c>
    </row>
    <row r="1742">
      <c r="A1742" s="13">
        <f>Github!J$1065</f>
        <v>1064</v>
      </c>
      <c r="B1742" s="14" t="str">
        <f>HYPERLINK(CONCAT("http://leetcode.com/problems/",Github!C$1065), Github!B$1065)</f>
        <v>Fixed Point</v>
      </c>
      <c r="C1742" s="13">
        <f>Github!F$1065</f>
        <v>385</v>
      </c>
      <c r="D1742" s="13">
        <f>Github!G$1065</f>
        <v>61</v>
      </c>
      <c r="E1742" s="13">
        <f>Github!F$1065+Github!G$1065</f>
        <v>446</v>
      </c>
      <c r="F1742" s="15">
        <f t="shared" si="1"/>
        <v>6.31</v>
      </c>
      <c r="G1742" s="13" t="str">
        <f>ROUND(Github!O$1065, 2)&amp;"%"</f>
        <v>63.6%</v>
      </c>
      <c r="H1742" s="13" t="str">
        <f>Github!H$1065</f>
        <v>Algorithms</v>
      </c>
      <c r="I1742" s="16" t="str">
        <f>SUBSTITUTE(Github!L$1065, ";", ", ")</f>
        <v>Array, Binary Search, </v>
      </c>
      <c r="J1742" s="13" t="str">
        <f>Github!E$1065</f>
        <v>Easy</v>
      </c>
      <c r="K1742" s="13" t="str">
        <f>IF(TRIM(Github!D$1065)="TRUE","FALSE","TRUE")</f>
        <v>FALSE</v>
      </c>
      <c r="L1742" s="13" t="b">
        <f>Github!M$1065</f>
        <v>1</v>
      </c>
      <c r="M1742" s="13" t="b">
        <f>Github!N$1065</f>
        <v>0</v>
      </c>
      <c r="N1742" s="13">
        <f>Github!P$1065</f>
        <v>38486</v>
      </c>
      <c r="O1742" s="13">
        <f>Github!Q$1065</f>
        <v>60511</v>
      </c>
    </row>
    <row r="1743">
      <c r="A1743" s="13">
        <f>Github!J$2121</f>
        <v>2120</v>
      </c>
      <c r="B1743" s="14" t="str">
        <f>HYPERLINK(CONCAT("http://leetcode.com/problems/",Github!C$2121), Github!B$2121)</f>
        <v>Execution of All Suffix Instructions Staying in a Grid</v>
      </c>
      <c r="C1743" s="13">
        <f>Github!F$2121</f>
        <v>387</v>
      </c>
      <c r="D1743" s="13">
        <f>Github!G$2121</f>
        <v>37</v>
      </c>
      <c r="E1743" s="13">
        <f>Github!F$2121+Github!G$2121</f>
        <v>424</v>
      </c>
      <c r="F1743" s="15">
        <f t="shared" si="1"/>
        <v>10.46</v>
      </c>
      <c r="G1743" s="13" t="str">
        <f>ROUND(Github!O$2121, 2)&amp;"%"</f>
        <v>83.54%</v>
      </c>
      <c r="H1743" s="13" t="str">
        <f>Github!H$2121</f>
        <v>Algorithms</v>
      </c>
      <c r="I1743" s="16" t="str">
        <f>SUBSTITUTE(Github!L$2121, ";", ", ")</f>
        <v>String, Simulation, </v>
      </c>
      <c r="J1743" s="13" t="str">
        <f>Github!E$2121</f>
        <v>Medium</v>
      </c>
      <c r="K1743" s="13" t="str">
        <f>IF(TRIM(Github!D$2121)="TRUE","FALSE","TRUE")</f>
        <v>TRUE</v>
      </c>
      <c r="L1743" s="13" t="b">
        <f>Github!M$2121</f>
        <v>0</v>
      </c>
      <c r="M1743" s="13" t="b">
        <f>Github!N$2121</f>
        <v>0</v>
      </c>
      <c r="N1743" s="13">
        <f>Github!P$2121</f>
        <v>21525</v>
      </c>
      <c r="O1743" s="13">
        <f>Github!Q$2121</f>
        <v>25766</v>
      </c>
    </row>
    <row r="1744">
      <c r="A1744" s="13">
        <f>Github!J$2262</f>
        <v>2261</v>
      </c>
      <c r="B1744" s="14" t="str">
        <f>HYPERLINK(CONCAT("http://leetcode.com/problems/",Github!C$2262), Github!B$2262)</f>
        <v>K Divisible Elements Subarrays</v>
      </c>
      <c r="C1744" s="13">
        <f>Github!F$2262</f>
        <v>389</v>
      </c>
      <c r="D1744" s="13">
        <f>Github!G$2262</f>
        <v>120</v>
      </c>
      <c r="E1744" s="13">
        <f>Github!F$2262+Github!G$2262</f>
        <v>509</v>
      </c>
      <c r="F1744" s="15">
        <f t="shared" si="1"/>
        <v>3.24</v>
      </c>
      <c r="G1744" s="13" t="str">
        <f>ROUND(Github!O$2262, 2)&amp;"%"</f>
        <v>47.69%</v>
      </c>
      <c r="H1744" s="13" t="str">
        <f>Github!H$2262</f>
        <v>Algorithms</v>
      </c>
      <c r="I1744" s="16" t="str">
        <f>SUBSTITUTE(Github!L$2262, ";", ", ")</f>
        <v>Array, Hash Table, Trie, Rolling Hash, Hash Function, Enumeration, </v>
      </c>
      <c r="J1744" s="13" t="str">
        <f>Github!E$2262</f>
        <v>Medium</v>
      </c>
      <c r="K1744" s="13" t="str">
        <f>IF(TRIM(Github!D$2262)="TRUE","FALSE","TRUE")</f>
        <v>TRUE</v>
      </c>
      <c r="L1744" s="13" t="b">
        <f>Github!M$2262</f>
        <v>0</v>
      </c>
      <c r="M1744" s="13" t="b">
        <f>Github!N$2262</f>
        <v>0</v>
      </c>
      <c r="N1744" s="13">
        <f>Github!P$2262</f>
        <v>18852</v>
      </c>
      <c r="O1744" s="13">
        <f>Github!Q$2262</f>
        <v>39527</v>
      </c>
    </row>
    <row r="1745">
      <c r="A1745" s="13">
        <f>Github!J$1586</f>
        <v>1585</v>
      </c>
      <c r="B1745" s="14" t="str">
        <f>HYPERLINK(CONCAT("http://leetcode.com/problems/",Github!C$1586), Github!B$1586)</f>
        <v>Check If String Is Transformable With Substring Sort Operations</v>
      </c>
      <c r="C1745" s="13">
        <f>Github!F$1586</f>
        <v>382</v>
      </c>
      <c r="D1745" s="13">
        <f>Github!G$1586</f>
        <v>7</v>
      </c>
      <c r="E1745" s="13">
        <f>Github!F$1586+Github!G$1586</f>
        <v>389</v>
      </c>
      <c r="F1745" s="15">
        <f t="shared" si="1"/>
        <v>54.57</v>
      </c>
      <c r="G1745" s="13" t="str">
        <f>ROUND(Github!O$1586, 2)&amp;"%"</f>
        <v>48.38%</v>
      </c>
      <c r="H1745" s="13" t="str">
        <f>Github!H$1586</f>
        <v>Algorithms</v>
      </c>
      <c r="I1745" s="16" t="str">
        <f>SUBSTITUTE(Github!L$1586, ";", ", ")</f>
        <v>String, Greedy, Sorting, </v>
      </c>
      <c r="J1745" s="13" t="str">
        <f>Github!E$1586</f>
        <v>Hard</v>
      </c>
      <c r="K1745" s="13" t="str">
        <f>IF(TRIM(Github!D$1586)="TRUE","FALSE","TRUE")</f>
        <v>TRUE</v>
      </c>
      <c r="L1745" s="13" t="b">
        <f>Github!M$1586</f>
        <v>0</v>
      </c>
      <c r="M1745" s="13" t="b">
        <f>Github!N$1586</f>
        <v>0</v>
      </c>
      <c r="N1745" s="13">
        <f>Github!P$1586</f>
        <v>6669</v>
      </c>
      <c r="O1745" s="13">
        <f>Github!Q$1586</f>
        <v>13785</v>
      </c>
    </row>
    <row r="1746">
      <c r="A1746" s="13">
        <f>Github!J$2152</f>
        <v>2151</v>
      </c>
      <c r="B1746" s="14" t="str">
        <f>HYPERLINK(CONCAT("http://leetcode.com/problems/",Github!C$2152), Github!B$2152)</f>
        <v>Maximum Good People Based on Statements</v>
      </c>
      <c r="C1746" s="13">
        <f>Github!F$2152</f>
        <v>383</v>
      </c>
      <c r="D1746" s="13">
        <f>Github!G$2152</f>
        <v>73</v>
      </c>
      <c r="E1746" s="13">
        <f>Github!F$2152+Github!G$2152</f>
        <v>456</v>
      </c>
      <c r="F1746" s="15">
        <f t="shared" si="1"/>
        <v>5.25</v>
      </c>
      <c r="G1746" s="13" t="str">
        <f>ROUND(Github!O$2152, 2)&amp;"%"</f>
        <v>48.69%</v>
      </c>
      <c r="H1746" s="13" t="str">
        <f>Github!H$2152</f>
        <v>Algorithms</v>
      </c>
      <c r="I1746" s="16" t="str">
        <f>SUBSTITUTE(Github!L$2152, ";", ", ")</f>
        <v>Array, Backtracking, Bit Manipulation, Enumeration, </v>
      </c>
      <c r="J1746" s="13" t="str">
        <f>Github!E$2152</f>
        <v>Hard</v>
      </c>
      <c r="K1746" s="13" t="str">
        <f>IF(TRIM(Github!D$2152)="TRUE","FALSE","TRUE")</f>
        <v>TRUE</v>
      </c>
      <c r="L1746" s="13" t="b">
        <f>Github!M$2152</f>
        <v>0</v>
      </c>
      <c r="M1746" s="13" t="b">
        <f>Github!N$2152</f>
        <v>0</v>
      </c>
      <c r="N1746" s="13">
        <f>Github!P$2152</f>
        <v>10409</v>
      </c>
      <c r="O1746" s="13">
        <f>Github!Q$2152</f>
        <v>21374</v>
      </c>
    </row>
    <row r="1747">
      <c r="A1747" s="13">
        <f>Github!J$1808</f>
        <v>1807</v>
      </c>
      <c r="B1747" s="14" t="str">
        <f>HYPERLINK(CONCAT("http://leetcode.com/problems/",Github!C$1808), Github!B$1808)</f>
        <v>Evaluate the Bracket Pairs of a String</v>
      </c>
      <c r="C1747" s="13">
        <f>Github!F$1808</f>
        <v>386</v>
      </c>
      <c r="D1747" s="13">
        <f>Github!G$1808</f>
        <v>33</v>
      </c>
      <c r="E1747" s="13">
        <f>Github!F$1808+Github!G$1808</f>
        <v>419</v>
      </c>
      <c r="F1747" s="15">
        <f t="shared" si="1"/>
        <v>11.7</v>
      </c>
      <c r="G1747" s="13" t="str">
        <f>ROUND(Github!O$1808, 2)&amp;"%"</f>
        <v>66.81%</v>
      </c>
      <c r="H1747" s="13" t="str">
        <f>Github!H$1808</f>
        <v>Algorithms</v>
      </c>
      <c r="I1747" s="16" t="str">
        <f>SUBSTITUTE(Github!L$1808, ";", ", ")</f>
        <v>Array, Hash Table, String, </v>
      </c>
      <c r="J1747" s="13" t="str">
        <f>Github!E$1808</f>
        <v>Medium</v>
      </c>
      <c r="K1747" s="13" t="str">
        <f>IF(TRIM(Github!D$1808)="TRUE","FALSE","TRUE")</f>
        <v>TRUE</v>
      </c>
      <c r="L1747" s="13" t="b">
        <f>Github!M$1808</f>
        <v>0</v>
      </c>
      <c r="M1747" s="13" t="b">
        <f>Github!N$1808</f>
        <v>0</v>
      </c>
      <c r="N1747" s="13">
        <f>Github!P$1808</f>
        <v>23087</v>
      </c>
      <c r="O1747" s="13">
        <f>Github!Q$1808</f>
        <v>34556</v>
      </c>
    </row>
    <row r="1748">
      <c r="A1748" s="13">
        <f>Github!J$1596</f>
        <v>1595</v>
      </c>
      <c r="B1748" s="14" t="str">
        <f>HYPERLINK(CONCAT("http://leetcode.com/problems/",Github!C$1596), Github!B$1596)</f>
        <v>Minimum Cost to Connect Two Groups of Points</v>
      </c>
      <c r="C1748" s="13">
        <f>Github!F$1596</f>
        <v>380</v>
      </c>
      <c r="D1748" s="13">
        <f>Github!G$1596</f>
        <v>13</v>
      </c>
      <c r="E1748" s="13">
        <f>Github!F$1596+Github!G$1596</f>
        <v>393</v>
      </c>
      <c r="F1748" s="15">
        <f t="shared" si="1"/>
        <v>29.23</v>
      </c>
      <c r="G1748" s="13" t="str">
        <f>ROUND(Github!O$1596, 2)&amp;"%"</f>
        <v>46.44%</v>
      </c>
      <c r="H1748" s="13" t="str">
        <f>Github!H$1596</f>
        <v>Algorithms</v>
      </c>
      <c r="I1748" s="16" t="str">
        <f>SUBSTITUTE(Github!L$1596, ";", ", ")</f>
        <v>Array, Dynamic Programming, Bit Manipulation, Matrix, Bitmask, </v>
      </c>
      <c r="J1748" s="13" t="str">
        <f>Github!E$1596</f>
        <v>Hard</v>
      </c>
      <c r="K1748" s="13" t="str">
        <f>IF(TRIM(Github!D$1596)="TRUE","FALSE","TRUE")</f>
        <v>TRUE</v>
      </c>
      <c r="L1748" s="13" t="b">
        <f>Github!M$1596</f>
        <v>0</v>
      </c>
      <c r="M1748" s="13" t="b">
        <f>Github!N$1596</f>
        <v>0</v>
      </c>
      <c r="N1748" s="13">
        <f>Github!P$1596</f>
        <v>7031</v>
      </c>
      <c r="O1748" s="13">
        <f>Github!Q$1596</f>
        <v>15139</v>
      </c>
    </row>
    <row r="1749">
      <c r="A1749" s="13">
        <f>Github!J$1622</f>
        <v>1621</v>
      </c>
      <c r="B1749" s="14" t="str">
        <f>HYPERLINK(CONCAT("http://leetcode.com/problems/",Github!C$1622), Github!B$1622)</f>
        <v>Number of Sets of K Non-Overlapping Line Segments</v>
      </c>
      <c r="C1749" s="13">
        <f>Github!F$1622</f>
        <v>381</v>
      </c>
      <c r="D1749" s="13">
        <f>Github!G$1622</f>
        <v>40</v>
      </c>
      <c r="E1749" s="13">
        <f>Github!F$1622+Github!G$1622</f>
        <v>421</v>
      </c>
      <c r="F1749" s="15">
        <f t="shared" si="1"/>
        <v>9.53</v>
      </c>
      <c r="G1749" s="13" t="str">
        <f>ROUND(Github!O$1622, 2)&amp;"%"</f>
        <v>42.09%</v>
      </c>
      <c r="H1749" s="13" t="str">
        <f>Github!H$1622</f>
        <v>Algorithms</v>
      </c>
      <c r="I1749" s="16" t="str">
        <f>SUBSTITUTE(Github!L$1622, ";", ", ")</f>
        <v>Math, Dynamic Programming, </v>
      </c>
      <c r="J1749" s="13" t="str">
        <f>Github!E$1622</f>
        <v>Medium</v>
      </c>
      <c r="K1749" s="13" t="str">
        <f>IF(TRIM(Github!D$1622)="TRUE","FALSE","TRUE")</f>
        <v>TRUE</v>
      </c>
      <c r="L1749" s="13" t="b">
        <f>Github!M$1622</f>
        <v>0</v>
      </c>
      <c r="M1749" s="13" t="b">
        <f>Github!N$1622</f>
        <v>0</v>
      </c>
      <c r="N1749" s="13">
        <f>Github!P$1622</f>
        <v>7854</v>
      </c>
      <c r="O1749" s="13">
        <f>Github!Q$1622</f>
        <v>18658</v>
      </c>
    </row>
    <row r="1750">
      <c r="A1750" s="13">
        <f>Github!J$489</f>
        <v>488</v>
      </c>
      <c r="B1750" s="14" t="str">
        <f>HYPERLINK(CONCAT("http://leetcode.com/problems/",Github!C$489), Github!B$489)</f>
        <v>Zuma Game</v>
      </c>
      <c r="C1750" s="13">
        <f>Github!F$489</f>
        <v>382</v>
      </c>
      <c r="D1750" s="13">
        <f>Github!G$489</f>
        <v>450</v>
      </c>
      <c r="E1750" s="13">
        <f>Github!F$489+Github!G$489</f>
        <v>832</v>
      </c>
      <c r="F1750" s="15">
        <f t="shared" si="1"/>
        <v>0.85</v>
      </c>
      <c r="G1750" s="13" t="str">
        <f>ROUND(Github!O$489, 2)&amp;"%"</f>
        <v>34.26%</v>
      </c>
      <c r="H1750" s="13" t="str">
        <f>Github!H$489</f>
        <v>Algorithms</v>
      </c>
      <c r="I1750" s="16" t="str">
        <f>SUBSTITUTE(Github!L$489, ";", ", ")</f>
        <v>String, Dynamic Programming, Breadth-First Search, Memoization, </v>
      </c>
      <c r="J1750" s="13" t="str">
        <f>Github!E$489</f>
        <v>Hard</v>
      </c>
      <c r="K1750" s="13" t="str">
        <f>IF(TRIM(Github!D$489)="TRUE","FALSE","TRUE")</f>
        <v>TRUE</v>
      </c>
      <c r="L1750" s="13" t="b">
        <f>Github!M$489</f>
        <v>0</v>
      </c>
      <c r="M1750" s="13" t="b">
        <f>Github!N$489</f>
        <v>0</v>
      </c>
      <c r="N1750" s="13">
        <f>Github!P$489</f>
        <v>21072</v>
      </c>
      <c r="O1750" s="13">
        <f>Github!Q$489</f>
        <v>61511</v>
      </c>
    </row>
    <row r="1751">
      <c r="A1751" s="13">
        <f>Github!J$1969</f>
        <v>1968</v>
      </c>
      <c r="B1751" s="14" t="str">
        <f>HYPERLINK(CONCAT("http://leetcode.com/problems/",Github!C$1969), Github!B$1969)</f>
        <v>Array With Elements Not Equal to Average of Neighbors</v>
      </c>
      <c r="C1751" s="13">
        <f>Github!F$1969</f>
        <v>391</v>
      </c>
      <c r="D1751" s="13">
        <f>Github!G$1969</f>
        <v>27</v>
      </c>
      <c r="E1751" s="13">
        <f>Github!F$1969+Github!G$1969</f>
        <v>418</v>
      </c>
      <c r="F1751" s="15">
        <f t="shared" si="1"/>
        <v>14.48</v>
      </c>
      <c r="G1751" s="13" t="str">
        <f>ROUND(Github!O$1969, 2)&amp;"%"</f>
        <v>49.44%</v>
      </c>
      <c r="H1751" s="13" t="str">
        <f>Github!H$1969</f>
        <v>Algorithms</v>
      </c>
      <c r="I1751" s="16" t="str">
        <f>SUBSTITUTE(Github!L$1969, ";", ", ")</f>
        <v>Array, Greedy, Sorting, </v>
      </c>
      <c r="J1751" s="13" t="str">
        <f>Github!E$1969</f>
        <v>Medium</v>
      </c>
      <c r="K1751" s="13" t="str">
        <f>IF(TRIM(Github!D$1969)="TRUE","FALSE","TRUE")</f>
        <v>TRUE</v>
      </c>
      <c r="L1751" s="13" t="b">
        <f>Github!M$1969</f>
        <v>0</v>
      </c>
      <c r="M1751" s="13" t="b">
        <f>Github!N$1969</f>
        <v>0</v>
      </c>
      <c r="N1751" s="13">
        <f>Github!P$1969</f>
        <v>21747</v>
      </c>
      <c r="O1751" s="13">
        <f>Github!Q$1969</f>
        <v>43989</v>
      </c>
    </row>
    <row r="1752">
      <c r="A1752" s="13">
        <f>Github!J$1258</f>
        <v>1257</v>
      </c>
      <c r="B1752" s="14" t="str">
        <f>HYPERLINK(CONCAT("http://leetcode.com/problems/",Github!C$1258), Github!B$1258)</f>
        <v>Smallest Common Region</v>
      </c>
      <c r="C1752" s="13">
        <f>Github!F$1258</f>
        <v>379</v>
      </c>
      <c r="D1752" s="13">
        <f>Github!G$1258</f>
        <v>29</v>
      </c>
      <c r="E1752" s="13">
        <f>Github!F$1258+Github!G$1258</f>
        <v>408</v>
      </c>
      <c r="F1752" s="15">
        <f t="shared" si="1"/>
        <v>13.07</v>
      </c>
      <c r="G1752" s="13" t="str">
        <f>ROUND(Github!O$1258, 2)&amp;"%"</f>
        <v>64.08%</v>
      </c>
      <c r="H1752" s="13" t="str">
        <f>Github!H$1258</f>
        <v>Algorithms</v>
      </c>
      <c r="I1752" s="16" t="str">
        <f>SUBSTITUTE(Github!L$1258, ";", ", ")</f>
        <v>Array, Hash Table, String, Tree, Depth-First Search, Breadth-First Search, </v>
      </c>
      <c r="J1752" s="13" t="str">
        <f>Github!E$1258</f>
        <v>Medium</v>
      </c>
      <c r="K1752" s="13" t="str">
        <f>IF(TRIM(Github!D$1258)="TRUE","FALSE","TRUE")</f>
        <v>FALSE</v>
      </c>
      <c r="L1752" s="13" t="b">
        <f>Github!M$1258</f>
        <v>0</v>
      </c>
      <c r="M1752" s="13" t="b">
        <f>Github!N$1258</f>
        <v>0</v>
      </c>
      <c r="N1752" s="13">
        <f>Github!P$1258</f>
        <v>18681</v>
      </c>
      <c r="O1752" s="13">
        <f>Github!Q$1258</f>
        <v>29155</v>
      </c>
    </row>
    <row r="1753">
      <c r="A1753" s="13">
        <f>Github!J$2075</f>
        <v>2074</v>
      </c>
      <c r="B1753" s="14" t="str">
        <f>HYPERLINK(CONCAT("http://leetcode.com/problems/",Github!C$2075), Github!B$2075)</f>
        <v>Reverse Nodes in Even Length Groups</v>
      </c>
      <c r="C1753" s="13">
        <f>Github!F$2075</f>
        <v>389</v>
      </c>
      <c r="D1753" s="13">
        <f>Github!G$2075</f>
        <v>262</v>
      </c>
      <c r="E1753" s="13">
        <f>Github!F$2075+Github!G$2075</f>
        <v>651</v>
      </c>
      <c r="F1753" s="15">
        <f t="shared" si="1"/>
        <v>1.48</v>
      </c>
      <c r="G1753" s="13" t="str">
        <f>ROUND(Github!O$2075, 2)&amp;"%"</f>
        <v>52.44%</v>
      </c>
      <c r="H1753" s="13" t="str">
        <f>Github!H$2075</f>
        <v>Algorithms</v>
      </c>
      <c r="I1753" s="16" t="str">
        <f>SUBSTITUTE(Github!L$2075, ";", ", ")</f>
        <v>Linked List, </v>
      </c>
      <c r="J1753" s="13" t="str">
        <f>Github!E$2075</f>
        <v>Medium</v>
      </c>
      <c r="K1753" s="13" t="str">
        <f>IF(TRIM(Github!D$2075)="TRUE","FALSE","TRUE")</f>
        <v>TRUE</v>
      </c>
      <c r="L1753" s="13" t="b">
        <f>Github!M$2075</f>
        <v>0</v>
      </c>
      <c r="M1753" s="13" t="b">
        <f>Github!N$2075</f>
        <v>0</v>
      </c>
      <c r="N1753" s="13">
        <f>Github!P$2075</f>
        <v>14149</v>
      </c>
      <c r="O1753" s="13">
        <f>Github!Q$2075</f>
        <v>26983</v>
      </c>
    </row>
    <row r="1754">
      <c r="A1754" s="13">
        <f>Github!J$1408</f>
        <v>1407</v>
      </c>
      <c r="B1754" s="14" t="str">
        <f>HYPERLINK(CONCAT("http://leetcode.com/problems/",Github!C$1408), Github!B$1408)</f>
        <v>Top Travellers</v>
      </c>
      <c r="C1754" s="13">
        <f>Github!F$1408</f>
        <v>386</v>
      </c>
      <c r="D1754" s="13">
        <f>Github!G$1408</f>
        <v>41</v>
      </c>
      <c r="E1754" s="13">
        <f>Github!F$1408+Github!G$1408</f>
        <v>427</v>
      </c>
      <c r="F1754" s="15">
        <f t="shared" si="1"/>
        <v>9.41</v>
      </c>
      <c r="G1754" s="13" t="str">
        <f>ROUND(Github!O$1408, 2)&amp;"%"</f>
        <v>65.47%</v>
      </c>
      <c r="H1754" s="13" t="str">
        <f>Github!H$1408</f>
        <v>Database</v>
      </c>
      <c r="I1754" s="16" t="str">
        <f>SUBSTITUTE(Github!L$1408, ";", ", ")</f>
        <v>Database, </v>
      </c>
      <c r="J1754" s="13" t="str">
        <f>Github!E$1408</f>
        <v>Easy</v>
      </c>
      <c r="K1754" s="13" t="str">
        <f>IF(TRIM(Github!D$1408)="TRUE","FALSE","TRUE")</f>
        <v>TRUE</v>
      </c>
      <c r="L1754" s="13" t="b">
        <f>Github!M$1408</f>
        <v>0</v>
      </c>
      <c r="M1754" s="13" t="b">
        <f>Github!N$1408</f>
        <v>0</v>
      </c>
      <c r="N1754" s="13">
        <f>Github!P$1408</f>
        <v>66602</v>
      </c>
      <c r="O1754" s="13">
        <f>Github!Q$1408</f>
        <v>101736</v>
      </c>
    </row>
    <row r="1755">
      <c r="A1755" s="13">
        <f>Github!J$1488</f>
        <v>1487</v>
      </c>
      <c r="B1755" s="14" t="str">
        <f>HYPERLINK(CONCAT("http://leetcode.com/problems/",Github!C$1488), Github!B$1488)</f>
        <v>Making File Names Unique</v>
      </c>
      <c r="C1755" s="13">
        <f>Github!F$1488</f>
        <v>379</v>
      </c>
      <c r="D1755" s="13">
        <f>Github!G$1488</f>
        <v>623</v>
      </c>
      <c r="E1755" s="13">
        <f>Github!F$1488+Github!G$1488</f>
        <v>1002</v>
      </c>
      <c r="F1755" s="15">
        <f t="shared" si="1"/>
        <v>0.61</v>
      </c>
      <c r="G1755" s="13" t="str">
        <f>ROUND(Github!O$1488, 2)&amp;"%"</f>
        <v>35.99%</v>
      </c>
      <c r="H1755" s="13" t="str">
        <f>Github!H$1488</f>
        <v>Algorithms</v>
      </c>
      <c r="I1755" s="16" t="str">
        <f>SUBSTITUTE(Github!L$1488, ";", ", ")</f>
        <v>Array, Hash Table, String, </v>
      </c>
      <c r="J1755" s="13" t="str">
        <f>Github!E$1488</f>
        <v>Medium</v>
      </c>
      <c r="K1755" s="13" t="str">
        <f>IF(TRIM(Github!D$1488)="TRUE","FALSE","TRUE")</f>
        <v>TRUE</v>
      </c>
      <c r="L1755" s="13" t="b">
        <f>Github!M$1488</f>
        <v>0</v>
      </c>
      <c r="M1755" s="13" t="b">
        <f>Github!N$1488</f>
        <v>0</v>
      </c>
      <c r="N1755" s="13">
        <f>Github!P$1488</f>
        <v>28682</v>
      </c>
      <c r="O1755" s="13">
        <f>Github!Q$1488</f>
        <v>79685</v>
      </c>
    </row>
    <row r="1756">
      <c r="A1756" s="13">
        <f>Github!J$1398</f>
        <v>1397</v>
      </c>
      <c r="B1756" s="14" t="str">
        <f>HYPERLINK(CONCAT("http://leetcode.com/problems/",Github!C$1398), Github!B$1398)</f>
        <v>Find All Good Strings</v>
      </c>
      <c r="C1756" s="13">
        <f>Github!F$1398</f>
        <v>376</v>
      </c>
      <c r="D1756" s="13">
        <f>Github!G$1398</f>
        <v>115</v>
      </c>
      <c r="E1756" s="13">
        <f>Github!F$1398+Github!G$1398</f>
        <v>491</v>
      </c>
      <c r="F1756" s="15">
        <f t="shared" si="1"/>
        <v>3.27</v>
      </c>
      <c r="G1756" s="13" t="str">
        <f>ROUND(Github!O$1398, 2)&amp;"%"</f>
        <v>42.27%</v>
      </c>
      <c r="H1756" s="13" t="str">
        <f>Github!H$1398</f>
        <v>Algorithms</v>
      </c>
      <c r="I1756" s="16" t="str">
        <f>SUBSTITUTE(Github!L$1398, ";", ", ")</f>
        <v>String, Dynamic Programming, String Matching, </v>
      </c>
      <c r="J1756" s="13" t="str">
        <f>Github!E$1398</f>
        <v>Hard</v>
      </c>
      <c r="K1756" s="13" t="str">
        <f>IF(TRIM(Github!D$1398)="TRUE","FALSE","TRUE")</f>
        <v>TRUE</v>
      </c>
      <c r="L1756" s="13" t="b">
        <f>Github!M$1398</f>
        <v>0</v>
      </c>
      <c r="M1756" s="13" t="b">
        <f>Github!N$1398</f>
        <v>0</v>
      </c>
      <c r="N1756" s="13">
        <f>Github!P$1398</f>
        <v>5008</v>
      </c>
      <c r="O1756" s="13">
        <f>Github!Q$1398</f>
        <v>11848</v>
      </c>
    </row>
    <row r="1757">
      <c r="A1757" s="13">
        <f>Github!J$1838</f>
        <v>1837</v>
      </c>
      <c r="B1757" s="14" t="str">
        <f>HYPERLINK(CONCAT("http://leetcode.com/problems/",Github!C$1838), Github!B$1838)</f>
        <v>Sum of Digits in Base K</v>
      </c>
      <c r="C1757" s="13">
        <f>Github!F$1838</f>
        <v>381</v>
      </c>
      <c r="D1757" s="13">
        <f>Github!G$1838</f>
        <v>31</v>
      </c>
      <c r="E1757" s="13">
        <f>Github!F$1838+Github!G$1838</f>
        <v>412</v>
      </c>
      <c r="F1757" s="15">
        <f t="shared" si="1"/>
        <v>12.29</v>
      </c>
      <c r="G1757" s="13" t="str">
        <f>ROUND(Github!O$1838, 2)&amp;"%"</f>
        <v>76.9%</v>
      </c>
      <c r="H1757" s="13" t="str">
        <f>Github!H$1838</f>
        <v>Algorithms</v>
      </c>
      <c r="I1757" s="16" t="str">
        <f>SUBSTITUTE(Github!L$1838, ";", ", ")</f>
        <v>Math, </v>
      </c>
      <c r="J1757" s="13" t="str">
        <f>Github!E$1838</f>
        <v>Easy</v>
      </c>
      <c r="K1757" s="13" t="str">
        <f>IF(TRIM(Github!D$1838)="TRUE","FALSE","TRUE")</f>
        <v>TRUE</v>
      </c>
      <c r="L1757" s="13" t="b">
        <f>Github!M$1838</f>
        <v>0</v>
      </c>
      <c r="M1757" s="13" t="b">
        <f>Github!N$1838</f>
        <v>0</v>
      </c>
      <c r="N1757" s="13">
        <f>Github!P$1838</f>
        <v>35856</v>
      </c>
      <c r="O1757" s="13">
        <f>Github!Q$1838</f>
        <v>46626</v>
      </c>
    </row>
    <row r="1758">
      <c r="A1758" s="13">
        <f>Github!J$2251</f>
        <v>2250</v>
      </c>
      <c r="B1758" s="14" t="str">
        <f>HYPERLINK(CONCAT("http://leetcode.com/problems/",Github!C$2251), Github!B$2251)</f>
        <v>Count Number of Rectangles Containing Each Point</v>
      </c>
      <c r="C1758" s="13">
        <f>Github!F$2251</f>
        <v>377</v>
      </c>
      <c r="D1758" s="13">
        <f>Github!G$2251</f>
        <v>121</v>
      </c>
      <c r="E1758" s="13">
        <f>Github!F$2251+Github!G$2251</f>
        <v>498</v>
      </c>
      <c r="F1758" s="15">
        <f t="shared" si="1"/>
        <v>3.12</v>
      </c>
      <c r="G1758" s="13" t="str">
        <f>ROUND(Github!O$2251, 2)&amp;"%"</f>
        <v>34.12%</v>
      </c>
      <c r="H1758" s="13" t="str">
        <f>Github!H$2251</f>
        <v>Algorithms</v>
      </c>
      <c r="I1758" s="16" t="str">
        <f>SUBSTITUTE(Github!L$2251, ";", ", ")</f>
        <v>Array, Binary Search, Binary Indexed Tree, Sorting, </v>
      </c>
      <c r="J1758" s="13" t="str">
        <f>Github!E$2251</f>
        <v>Medium</v>
      </c>
      <c r="K1758" s="13" t="str">
        <f>IF(TRIM(Github!D$2251)="TRUE","FALSE","TRUE")</f>
        <v>TRUE</v>
      </c>
      <c r="L1758" s="13" t="b">
        <f>Github!M$2251</f>
        <v>0</v>
      </c>
      <c r="M1758" s="13" t="b">
        <f>Github!N$2251</f>
        <v>0</v>
      </c>
      <c r="N1758" s="13">
        <f>Github!P$2251</f>
        <v>11281</v>
      </c>
      <c r="O1758" s="13">
        <f>Github!Q$2251</f>
        <v>33067</v>
      </c>
    </row>
    <row r="1759">
      <c r="A1759" s="13">
        <f>Github!J$1254</f>
        <v>1253</v>
      </c>
      <c r="B1759" s="14" t="str">
        <f>HYPERLINK(CONCAT("http://leetcode.com/problems/",Github!C$1254), Github!B$1254)</f>
        <v>Reconstruct a 2-Row Binary Matrix</v>
      </c>
      <c r="C1759" s="13">
        <f>Github!F$1254</f>
        <v>375</v>
      </c>
      <c r="D1759" s="13">
        <f>Github!G$1254</f>
        <v>27</v>
      </c>
      <c r="E1759" s="13">
        <f>Github!F$1254+Github!G$1254</f>
        <v>402</v>
      </c>
      <c r="F1759" s="15">
        <f t="shared" si="1"/>
        <v>13.89</v>
      </c>
      <c r="G1759" s="13" t="str">
        <f>ROUND(Github!O$1254, 2)&amp;"%"</f>
        <v>43.95%</v>
      </c>
      <c r="H1759" s="13" t="str">
        <f>Github!H$1254</f>
        <v>Algorithms</v>
      </c>
      <c r="I1759" s="16" t="str">
        <f>SUBSTITUTE(Github!L$1254, ";", ", ")</f>
        <v>Array, Greedy, Matrix, </v>
      </c>
      <c r="J1759" s="13" t="str">
        <f>Github!E$1254</f>
        <v>Medium</v>
      </c>
      <c r="K1759" s="13" t="str">
        <f>IF(TRIM(Github!D$1254)="TRUE","FALSE","TRUE")</f>
        <v>TRUE</v>
      </c>
      <c r="L1759" s="13" t="b">
        <f>Github!M$1254</f>
        <v>0</v>
      </c>
      <c r="M1759" s="13" t="b">
        <f>Github!N$1254</f>
        <v>0</v>
      </c>
      <c r="N1759" s="13">
        <f>Github!P$1254</f>
        <v>21736</v>
      </c>
      <c r="O1759" s="13">
        <f>Github!Q$1254</f>
        <v>49461</v>
      </c>
    </row>
    <row r="1760">
      <c r="A1760" s="13">
        <f>Github!J$967</f>
        <v>966</v>
      </c>
      <c r="B1760" s="14" t="str">
        <f>HYPERLINK(CONCAT("http://leetcode.com/problems/",Github!C$967), Github!B$967)</f>
        <v>Vowel Spellchecker</v>
      </c>
      <c r="C1760" s="13">
        <f>Github!F$967</f>
        <v>375</v>
      </c>
      <c r="D1760" s="13">
        <f>Github!G$967</f>
        <v>769</v>
      </c>
      <c r="E1760" s="13">
        <f>Github!F$967+Github!G$967</f>
        <v>1144</v>
      </c>
      <c r="F1760" s="15">
        <f t="shared" si="1"/>
        <v>0.49</v>
      </c>
      <c r="G1760" s="13" t="str">
        <f>ROUND(Github!O$967, 2)&amp;"%"</f>
        <v>51.42%</v>
      </c>
      <c r="H1760" s="13" t="str">
        <f>Github!H$967</f>
        <v>Algorithms</v>
      </c>
      <c r="I1760" s="16" t="str">
        <f>SUBSTITUTE(Github!L$967, ";", ", ")</f>
        <v>Array, Hash Table, String, </v>
      </c>
      <c r="J1760" s="13" t="str">
        <f>Github!E$967</f>
        <v>Medium</v>
      </c>
      <c r="K1760" s="13" t="str">
        <f>IF(TRIM(Github!D$967)="TRUE","FALSE","TRUE")</f>
        <v>TRUE</v>
      </c>
      <c r="L1760" s="13" t="b">
        <f>Github!M$967</f>
        <v>1</v>
      </c>
      <c r="M1760" s="13" t="b">
        <f>Github!N$967</f>
        <v>0</v>
      </c>
      <c r="N1760" s="13">
        <f>Github!P$967</f>
        <v>37730</v>
      </c>
      <c r="O1760" s="13">
        <f>Github!Q$967</f>
        <v>73374</v>
      </c>
    </row>
    <row r="1761">
      <c r="A1761" s="13">
        <f>Github!J$2221</f>
        <v>2220</v>
      </c>
      <c r="B1761" s="14" t="str">
        <f>HYPERLINK(CONCAT("http://leetcode.com/problems/",Github!C$2221), Github!B$2221)</f>
        <v>Minimum Bit Flips to Convert Number</v>
      </c>
      <c r="C1761" s="13">
        <f>Github!F$2221</f>
        <v>384</v>
      </c>
      <c r="D1761" s="13">
        <f>Github!G$2221</f>
        <v>7</v>
      </c>
      <c r="E1761" s="13">
        <f>Github!F$2221+Github!G$2221</f>
        <v>391</v>
      </c>
      <c r="F1761" s="15">
        <f t="shared" si="1"/>
        <v>54.86</v>
      </c>
      <c r="G1761" s="13" t="str">
        <f>ROUND(Github!O$2221, 2)&amp;"%"</f>
        <v>82.22%</v>
      </c>
      <c r="H1761" s="13" t="str">
        <f>Github!H$2221</f>
        <v>Algorithms</v>
      </c>
      <c r="I1761" s="16" t="str">
        <f>SUBSTITUTE(Github!L$2221, ";", ", ")</f>
        <v>Bit Manipulation, </v>
      </c>
      <c r="J1761" s="13" t="str">
        <f>Github!E$2221</f>
        <v>Easy</v>
      </c>
      <c r="K1761" s="13" t="str">
        <f>IF(TRIM(Github!D$2221)="TRUE","FALSE","TRUE")</f>
        <v>TRUE</v>
      </c>
      <c r="L1761" s="13" t="b">
        <f>Github!M$2221</f>
        <v>0</v>
      </c>
      <c r="M1761" s="13" t="b">
        <f>Github!N$2221</f>
        <v>0</v>
      </c>
      <c r="N1761" s="13">
        <f>Github!P$2221</f>
        <v>31904</v>
      </c>
      <c r="O1761" s="13">
        <f>Github!Q$2221</f>
        <v>38802</v>
      </c>
    </row>
    <row r="1762">
      <c r="A1762" s="13">
        <f>Github!J$1273</f>
        <v>1272</v>
      </c>
      <c r="B1762" s="14" t="str">
        <f>HYPERLINK(CONCAT("http://leetcode.com/problems/",Github!C$1273), Github!B$1273)</f>
        <v>Remove Interval</v>
      </c>
      <c r="C1762" s="13">
        <f>Github!F$1273</f>
        <v>374</v>
      </c>
      <c r="D1762" s="13">
        <f>Github!G$1273</f>
        <v>26</v>
      </c>
      <c r="E1762" s="13">
        <f>Github!F$1273+Github!G$1273</f>
        <v>400</v>
      </c>
      <c r="F1762" s="15">
        <f t="shared" si="1"/>
        <v>14.38</v>
      </c>
      <c r="G1762" s="13" t="str">
        <f>ROUND(Github!O$1273, 2)&amp;"%"</f>
        <v>63.36%</v>
      </c>
      <c r="H1762" s="13" t="str">
        <f>Github!H$1273</f>
        <v>Algorithms</v>
      </c>
      <c r="I1762" s="16" t="str">
        <f>SUBSTITUTE(Github!L$1273, ";", ", ")</f>
        <v>Array, </v>
      </c>
      <c r="J1762" s="13" t="str">
        <f>Github!E$1273</f>
        <v>Medium</v>
      </c>
      <c r="K1762" s="13" t="str">
        <f>IF(TRIM(Github!D$1273)="TRUE","FALSE","TRUE")</f>
        <v>FALSE</v>
      </c>
      <c r="L1762" s="13" t="b">
        <f>Github!M$1273</f>
        <v>1</v>
      </c>
      <c r="M1762" s="13" t="b">
        <f>Github!N$1273</f>
        <v>1</v>
      </c>
      <c r="N1762" s="13">
        <f>Github!P$1273</f>
        <v>26392</v>
      </c>
      <c r="O1762" s="13">
        <f>Github!Q$1273</f>
        <v>41657</v>
      </c>
    </row>
    <row r="1763">
      <c r="A1763" s="13">
        <f>Github!J$1640</f>
        <v>1639</v>
      </c>
      <c r="B1763" s="14" t="str">
        <f>HYPERLINK(CONCAT("http://leetcode.com/problems/",Github!C$1640), Github!B$1640)</f>
        <v>Number of Ways to Form a Target String Given a Dictionary</v>
      </c>
      <c r="C1763" s="13">
        <f>Github!F$1640</f>
        <v>376</v>
      </c>
      <c r="D1763" s="13">
        <f>Github!G$1640</f>
        <v>17</v>
      </c>
      <c r="E1763" s="13">
        <f>Github!F$1640+Github!G$1640</f>
        <v>393</v>
      </c>
      <c r="F1763" s="15">
        <f t="shared" si="1"/>
        <v>22.12</v>
      </c>
      <c r="G1763" s="13" t="str">
        <f>ROUND(Github!O$1640, 2)&amp;"%"</f>
        <v>43.15%</v>
      </c>
      <c r="H1763" s="13" t="str">
        <f>Github!H$1640</f>
        <v>Algorithms</v>
      </c>
      <c r="I1763" s="16" t="str">
        <f>SUBSTITUTE(Github!L$1640, ";", ", ")</f>
        <v>Array, String, Dynamic Programming, </v>
      </c>
      <c r="J1763" s="13" t="str">
        <f>Github!E$1640</f>
        <v>Hard</v>
      </c>
      <c r="K1763" s="13" t="str">
        <f>IF(TRIM(Github!D$1640)="TRUE","FALSE","TRUE")</f>
        <v>TRUE</v>
      </c>
      <c r="L1763" s="13" t="b">
        <f>Github!M$1640</f>
        <v>0</v>
      </c>
      <c r="M1763" s="13" t="b">
        <f>Github!N$1640</f>
        <v>0</v>
      </c>
      <c r="N1763" s="13">
        <f>Github!P$1640</f>
        <v>9725</v>
      </c>
      <c r="O1763" s="13">
        <f>Github!Q$1640</f>
        <v>22539</v>
      </c>
    </row>
    <row r="1764">
      <c r="A1764" s="13">
        <f>Github!J$2187</f>
        <v>2186</v>
      </c>
      <c r="B1764" s="14" t="str">
        <f>HYPERLINK(CONCAT("http://leetcode.com/problems/",Github!C$2187), Github!B$2187)</f>
        <v>Minimum Number of Steps to Make Two Strings Anagram II</v>
      </c>
      <c r="C1764" s="13">
        <f>Github!F$2187</f>
        <v>380</v>
      </c>
      <c r="D1764" s="13">
        <f>Github!G$2187</f>
        <v>10</v>
      </c>
      <c r="E1764" s="13">
        <f>Github!F$2187+Github!G$2187</f>
        <v>390</v>
      </c>
      <c r="F1764" s="15">
        <f t="shared" si="1"/>
        <v>38</v>
      </c>
      <c r="G1764" s="13" t="str">
        <f>ROUND(Github!O$2187, 2)&amp;"%"</f>
        <v>72.11%</v>
      </c>
      <c r="H1764" s="13" t="str">
        <f>Github!H$2187</f>
        <v>Algorithms</v>
      </c>
      <c r="I1764" s="16" t="str">
        <f>SUBSTITUTE(Github!L$2187, ";", ", ")</f>
        <v>Hash Table, String, Counting, </v>
      </c>
      <c r="J1764" s="13" t="str">
        <f>Github!E$2187</f>
        <v>Medium</v>
      </c>
      <c r="K1764" s="13" t="str">
        <f>IF(TRIM(Github!D$2187)="TRUE","FALSE","TRUE")</f>
        <v>TRUE</v>
      </c>
      <c r="L1764" s="13" t="b">
        <f>Github!M$2187</f>
        <v>0</v>
      </c>
      <c r="M1764" s="13" t="b">
        <f>Github!N$2187</f>
        <v>0</v>
      </c>
      <c r="N1764" s="13">
        <f>Github!P$2187</f>
        <v>29213</v>
      </c>
      <c r="O1764" s="13">
        <f>Github!Q$2187</f>
        <v>40514</v>
      </c>
    </row>
    <row r="1765">
      <c r="A1765" s="13">
        <f>Github!J$2232</f>
        <v>2231</v>
      </c>
      <c r="B1765" s="14" t="str">
        <f>HYPERLINK(CONCAT("http://leetcode.com/problems/",Github!C$2232), Github!B$2232)</f>
        <v>Largest Number After Digit Swaps by Parity</v>
      </c>
      <c r="C1765" s="13">
        <f>Github!F$2232</f>
        <v>378</v>
      </c>
      <c r="D1765" s="13">
        <f>Github!G$2232</f>
        <v>232</v>
      </c>
      <c r="E1765" s="13">
        <f>Github!F$2232+Github!G$2232</f>
        <v>610</v>
      </c>
      <c r="F1765" s="15">
        <f t="shared" si="1"/>
        <v>1.63</v>
      </c>
      <c r="G1765" s="13" t="str">
        <f>ROUND(Github!O$2232, 2)&amp;"%"</f>
        <v>60.65%</v>
      </c>
      <c r="H1765" s="13" t="str">
        <f>Github!H$2232</f>
        <v>Algorithms</v>
      </c>
      <c r="I1765" s="16" t="str">
        <f>SUBSTITUTE(Github!L$2232, ";", ", ")</f>
        <v>Sorting, Heap (Priority Queue), </v>
      </c>
      <c r="J1765" s="13" t="str">
        <f>Github!E$2232</f>
        <v>Easy</v>
      </c>
      <c r="K1765" s="13" t="str">
        <f>IF(TRIM(Github!D$2232)="TRUE","FALSE","TRUE")</f>
        <v>TRUE</v>
      </c>
      <c r="L1765" s="13" t="b">
        <f>Github!M$2232</f>
        <v>0</v>
      </c>
      <c r="M1765" s="13" t="b">
        <f>Github!N$2232</f>
        <v>0</v>
      </c>
      <c r="N1765" s="13">
        <f>Github!P$2232</f>
        <v>28158</v>
      </c>
      <c r="O1765" s="13">
        <f>Github!Q$2232</f>
        <v>46426</v>
      </c>
    </row>
    <row r="1766">
      <c r="A1766" s="13">
        <f>Github!J$1944</f>
        <v>1943</v>
      </c>
      <c r="B1766" s="14" t="str">
        <f>HYPERLINK(CONCAT("http://leetcode.com/problems/",Github!C$1944), Github!B$1944)</f>
        <v>Describe the Painting</v>
      </c>
      <c r="C1766" s="13">
        <f>Github!F$1944</f>
        <v>373</v>
      </c>
      <c r="D1766" s="13">
        <f>Github!G$1944</f>
        <v>24</v>
      </c>
      <c r="E1766" s="13">
        <f>Github!F$1944+Github!G$1944</f>
        <v>397</v>
      </c>
      <c r="F1766" s="15">
        <f t="shared" si="1"/>
        <v>15.54</v>
      </c>
      <c r="G1766" s="13" t="str">
        <f>ROUND(Github!O$1944, 2)&amp;"%"</f>
        <v>48.17%</v>
      </c>
      <c r="H1766" s="13" t="str">
        <f>Github!H$1944</f>
        <v>Algorithms</v>
      </c>
      <c r="I1766" s="16" t="str">
        <f>SUBSTITUTE(Github!L$1944, ";", ", ")</f>
        <v>Array, Prefix Sum, </v>
      </c>
      <c r="J1766" s="13" t="str">
        <f>Github!E$1944</f>
        <v>Medium</v>
      </c>
      <c r="K1766" s="13" t="str">
        <f>IF(TRIM(Github!D$1944)="TRUE","FALSE","TRUE")</f>
        <v>TRUE</v>
      </c>
      <c r="L1766" s="13" t="b">
        <f>Github!M$1944</f>
        <v>0</v>
      </c>
      <c r="M1766" s="13" t="b">
        <f>Github!N$1944</f>
        <v>0</v>
      </c>
      <c r="N1766" s="13">
        <f>Github!P$1944</f>
        <v>9516</v>
      </c>
      <c r="O1766" s="13">
        <f>Github!Q$1944</f>
        <v>19757</v>
      </c>
    </row>
    <row r="1767">
      <c r="A1767" s="13">
        <f>Github!J$545</f>
        <v>544</v>
      </c>
      <c r="B1767" s="14" t="str">
        <f>HYPERLINK(CONCAT("http://leetcode.com/problems/",Github!C$545), Github!B$545)</f>
        <v>Output Contest Matches</v>
      </c>
      <c r="C1767" s="13">
        <f>Github!F$545</f>
        <v>370</v>
      </c>
      <c r="D1767" s="13">
        <f>Github!G$545</f>
        <v>119</v>
      </c>
      <c r="E1767" s="13">
        <f>Github!F$545+Github!G$545</f>
        <v>489</v>
      </c>
      <c r="F1767" s="15">
        <f t="shared" si="1"/>
        <v>3.11</v>
      </c>
      <c r="G1767" s="13" t="str">
        <f>ROUND(Github!O$545, 2)&amp;"%"</f>
        <v>76.81%</v>
      </c>
      <c r="H1767" s="13" t="str">
        <f>Github!H$545</f>
        <v>Algorithms</v>
      </c>
      <c r="I1767" s="16" t="str">
        <f>SUBSTITUTE(Github!L$545, ";", ", ")</f>
        <v>String, Recursion, Simulation, </v>
      </c>
      <c r="J1767" s="13" t="str">
        <f>Github!E$545</f>
        <v>Medium</v>
      </c>
      <c r="K1767" s="13" t="str">
        <f>IF(TRIM(Github!D$545)="TRUE","FALSE","TRUE")</f>
        <v>FALSE</v>
      </c>
      <c r="L1767" s="13" t="b">
        <f>Github!M$545</f>
        <v>0</v>
      </c>
      <c r="M1767" s="13" t="b">
        <f>Github!N$545</f>
        <v>0</v>
      </c>
      <c r="N1767" s="13">
        <f>Github!P$545</f>
        <v>25673</v>
      </c>
      <c r="O1767" s="13">
        <f>Github!Q$545</f>
        <v>33423</v>
      </c>
    </row>
    <row r="1768">
      <c r="A1768" s="13">
        <f>Github!J$2208</f>
        <v>2207</v>
      </c>
      <c r="B1768" s="14" t="str">
        <f>HYPERLINK(CONCAT("http://leetcode.com/problems/",Github!C$2208), Github!B$2208)</f>
        <v>Maximize Number of Subsequences in a String</v>
      </c>
      <c r="C1768" s="13">
        <f>Github!F$2208</f>
        <v>377</v>
      </c>
      <c r="D1768" s="13">
        <f>Github!G$2208</f>
        <v>21</v>
      </c>
      <c r="E1768" s="13">
        <f>Github!F$2208+Github!G$2208</f>
        <v>398</v>
      </c>
      <c r="F1768" s="15">
        <f t="shared" si="1"/>
        <v>17.95</v>
      </c>
      <c r="G1768" s="13" t="str">
        <f>ROUND(Github!O$2208, 2)&amp;"%"</f>
        <v>33.08%</v>
      </c>
      <c r="H1768" s="13" t="str">
        <f>Github!H$2208</f>
        <v>Algorithms</v>
      </c>
      <c r="I1768" s="16" t="str">
        <f>SUBSTITUTE(Github!L$2208, ";", ", ")</f>
        <v>String, Greedy, Prefix Sum, </v>
      </c>
      <c r="J1768" s="13" t="str">
        <f>Github!E$2208</f>
        <v>Medium</v>
      </c>
      <c r="K1768" s="13" t="str">
        <f>IF(TRIM(Github!D$2208)="TRUE","FALSE","TRUE")</f>
        <v>TRUE</v>
      </c>
      <c r="L1768" s="13" t="b">
        <f>Github!M$2208</f>
        <v>0</v>
      </c>
      <c r="M1768" s="13" t="b">
        <f>Github!N$2208</f>
        <v>0</v>
      </c>
      <c r="N1768" s="13">
        <f>Github!P$2208</f>
        <v>14784</v>
      </c>
      <c r="O1768" s="13">
        <f>Github!Q$2208</f>
        <v>44692</v>
      </c>
    </row>
    <row r="1769">
      <c r="A1769" s="13">
        <f>Github!J$528</f>
        <v>527</v>
      </c>
      <c r="B1769" s="14" t="str">
        <f>HYPERLINK(CONCAT("http://leetcode.com/problems/",Github!C$528), Github!B$528)</f>
        <v>Word Abbreviation</v>
      </c>
      <c r="C1769" s="13">
        <f>Github!F$528</f>
        <v>370</v>
      </c>
      <c r="D1769" s="13">
        <f>Github!G$528</f>
        <v>274</v>
      </c>
      <c r="E1769" s="13">
        <f>Github!F$528+Github!G$528</f>
        <v>644</v>
      </c>
      <c r="F1769" s="15">
        <f t="shared" si="1"/>
        <v>1.35</v>
      </c>
      <c r="G1769" s="13" t="str">
        <f>ROUND(Github!O$528, 2)&amp;"%"</f>
        <v>60.5%</v>
      </c>
      <c r="H1769" s="13" t="str">
        <f>Github!H$528</f>
        <v>Algorithms</v>
      </c>
      <c r="I1769" s="16" t="str">
        <f>SUBSTITUTE(Github!L$528, ";", ", ")</f>
        <v>Array, String, Greedy, Trie, Sorting, </v>
      </c>
      <c r="J1769" s="13" t="str">
        <f>Github!E$528</f>
        <v>Hard</v>
      </c>
      <c r="K1769" s="13" t="str">
        <f>IF(TRIM(Github!D$528)="TRUE","FALSE","TRUE")</f>
        <v>FALSE</v>
      </c>
      <c r="L1769" s="13" t="b">
        <f>Github!M$528</f>
        <v>1</v>
      </c>
      <c r="M1769" s="13" t="b">
        <f>Github!N$528</f>
        <v>0</v>
      </c>
      <c r="N1769" s="13">
        <f>Github!P$528</f>
        <v>25596</v>
      </c>
      <c r="O1769" s="13">
        <f>Github!Q$528</f>
        <v>42305</v>
      </c>
    </row>
    <row r="1770">
      <c r="A1770" s="13">
        <f>Github!J$1804</f>
        <v>1803</v>
      </c>
      <c r="B1770" s="14" t="str">
        <f>HYPERLINK(CONCAT("http://leetcode.com/problems/",Github!C$1804), Github!B$1804)</f>
        <v>Count Pairs With XOR in a Range</v>
      </c>
      <c r="C1770" s="13">
        <f>Github!F$1804</f>
        <v>371</v>
      </c>
      <c r="D1770" s="13">
        <f>Github!G$1804</f>
        <v>13</v>
      </c>
      <c r="E1770" s="13">
        <f>Github!F$1804+Github!G$1804</f>
        <v>384</v>
      </c>
      <c r="F1770" s="15">
        <f t="shared" si="1"/>
        <v>28.54</v>
      </c>
      <c r="G1770" s="13" t="str">
        <f>ROUND(Github!O$1804, 2)&amp;"%"</f>
        <v>46.71%</v>
      </c>
      <c r="H1770" s="13" t="str">
        <f>Github!H$1804</f>
        <v>Algorithms</v>
      </c>
      <c r="I1770" s="16" t="str">
        <f>SUBSTITUTE(Github!L$1804, ";", ", ")</f>
        <v>Array, Bit Manipulation, Trie, </v>
      </c>
      <c r="J1770" s="13" t="str">
        <f>Github!E$1804</f>
        <v>Hard</v>
      </c>
      <c r="K1770" s="13" t="str">
        <f>IF(TRIM(Github!D$1804)="TRUE","FALSE","TRUE")</f>
        <v>TRUE</v>
      </c>
      <c r="L1770" s="13" t="b">
        <f>Github!M$1804</f>
        <v>0</v>
      </c>
      <c r="M1770" s="13" t="b">
        <f>Github!N$1804</f>
        <v>0</v>
      </c>
      <c r="N1770" s="13">
        <f>Github!P$1804</f>
        <v>5672</v>
      </c>
      <c r="O1770" s="13">
        <f>Github!Q$1804</f>
        <v>12143</v>
      </c>
    </row>
    <row r="1771">
      <c r="A1771" s="13">
        <f>Github!J$1999</f>
        <v>1998</v>
      </c>
      <c r="B1771" s="14" t="str">
        <f>HYPERLINK(CONCAT("http://leetcode.com/problems/",Github!C$1999), Github!B$1999)</f>
        <v>GCD Sort of an Array</v>
      </c>
      <c r="C1771" s="13">
        <f>Github!F$1999</f>
        <v>372</v>
      </c>
      <c r="D1771" s="13">
        <f>Github!G$1999</f>
        <v>8</v>
      </c>
      <c r="E1771" s="13">
        <f>Github!F$1999+Github!G$1999</f>
        <v>380</v>
      </c>
      <c r="F1771" s="15">
        <f t="shared" si="1"/>
        <v>46.5</v>
      </c>
      <c r="G1771" s="13" t="str">
        <f>ROUND(Github!O$1999, 2)&amp;"%"</f>
        <v>45.59%</v>
      </c>
      <c r="H1771" s="13" t="str">
        <f>Github!H$1999</f>
        <v>Algorithms</v>
      </c>
      <c r="I1771" s="16" t="str">
        <f>SUBSTITUTE(Github!L$1999, ";", ", ")</f>
        <v>Array, Math, Union Find, Sorting, </v>
      </c>
      <c r="J1771" s="13" t="str">
        <f>Github!E$1999</f>
        <v>Hard</v>
      </c>
      <c r="K1771" s="13" t="str">
        <f>IF(TRIM(Github!D$1999)="TRUE","FALSE","TRUE")</f>
        <v>TRUE</v>
      </c>
      <c r="L1771" s="13" t="b">
        <f>Github!M$1999</f>
        <v>0</v>
      </c>
      <c r="M1771" s="13" t="b">
        <f>Github!N$1999</f>
        <v>0</v>
      </c>
      <c r="N1771" s="13">
        <f>Github!P$1999</f>
        <v>6299</v>
      </c>
      <c r="O1771" s="13">
        <f>Github!Q$1999</f>
        <v>13818</v>
      </c>
    </row>
    <row r="1772">
      <c r="A1772" s="13">
        <f>Github!J$2173</f>
        <v>2172</v>
      </c>
      <c r="B1772" s="14" t="str">
        <f>HYPERLINK(CONCAT("http://leetcode.com/problems/",Github!C$2173), Github!B$2173)</f>
        <v>Maximum AND Sum of Array</v>
      </c>
      <c r="C1772" s="13">
        <f>Github!F$2173</f>
        <v>376</v>
      </c>
      <c r="D1772" s="13">
        <f>Github!G$2173</f>
        <v>21</v>
      </c>
      <c r="E1772" s="13">
        <f>Github!F$2173+Github!G$2173</f>
        <v>397</v>
      </c>
      <c r="F1772" s="15">
        <f t="shared" si="1"/>
        <v>17.9</v>
      </c>
      <c r="G1772" s="13" t="str">
        <f>ROUND(Github!O$2173, 2)&amp;"%"</f>
        <v>48.04%</v>
      </c>
      <c r="H1772" s="13" t="str">
        <f>Github!H$2173</f>
        <v>Algorithms</v>
      </c>
      <c r="I1772" s="16" t="str">
        <f>SUBSTITUTE(Github!L$2173, ";", ", ")</f>
        <v>Array, Dynamic Programming, Bit Manipulation, Bitmask, </v>
      </c>
      <c r="J1772" s="13" t="str">
        <f>Github!E$2173</f>
        <v>Hard</v>
      </c>
      <c r="K1772" s="13" t="str">
        <f>IF(TRIM(Github!D$2173)="TRUE","FALSE","TRUE")</f>
        <v>TRUE</v>
      </c>
      <c r="L1772" s="13" t="b">
        <f>Github!M$2173</f>
        <v>0</v>
      </c>
      <c r="M1772" s="13" t="b">
        <f>Github!N$2173</f>
        <v>0</v>
      </c>
      <c r="N1772" s="13">
        <f>Github!P$2173</f>
        <v>9834</v>
      </c>
      <c r="O1772" s="13">
        <f>Github!Q$2173</f>
        <v>20472</v>
      </c>
    </row>
    <row r="1773">
      <c r="A1773" s="13">
        <f>Github!J$1797</f>
        <v>1796</v>
      </c>
      <c r="B1773" s="14" t="str">
        <f>HYPERLINK(CONCAT("http://leetcode.com/problems/",Github!C$1797), Github!B$1797)</f>
        <v>Second Largest Digit in a String</v>
      </c>
      <c r="C1773" s="13">
        <f>Github!F$1797</f>
        <v>371</v>
      </c>
      <c r="D1773" s="13">
        <f>Github!G$1797</f>
        <v>100</v>
      </c>
      <c r="E1773" s="13">
        <f>Github!F$1797+Github!G$1797</f>
        <v>471</v>
      </c>
      <c r="F1773" s="15">
        <f t="shared" si="1"/>
        <v>3.71</v>
      </c>
      <c r="G1773" s="13" t="str">
        <f>ROUND(Github!O$1797, 2)&amp;"%"</f>
        <v>49.21%</v>
      </c>
      <c r="H1773" s="13" t="str">
        <f>Github!H$1797</f>
        <v>Algorithms</v>
      </c>
      <c r="I1773" s="16" t="str">
        <f>SUBSTITUTE(Github!L$1797, ";", ", ")</f>
        <v>Hash Table, String, </v>
      </c>
      <c r="J1773" s="13" t="str">
        <f>Github!E$1797</f>
        <v>Easy</v>
      </c>
      <c r="K1773" s="13" t="str">
        <f>IF(TRIM(Github!D$1797)="TRUE","FALSE","TRUE")</f>
        <v>TRUE</v>
      </c>
      <c r="L1773" s="13" t="b">
        <f>Github!M$1797</f>
        <v>0</v>
      </c>
      <c r="M1773" s="13" t="b">
        <f>Github!N$1797</f>
        <v>0</v>
      </c>
      <c r="N1773" s="13">
        <f>Github!P$1797</f>
        <v>35352</v>
      </c>
      <c r="O1773" s="13">
        <f>Github!Q$1797</f>
        <v>71842</v>
      </c>
    </row>
    <row r="1774">
      <c r="A1774" s="13">
        <f>Github!J$2195</f>
        <v>2194</v>
      </c>
      <c r="B1774" s="14" t="str">
        <f>HYPERLINK(CONCAT("http://leetcode.com/problems/",Github!C$2195), Github!B$2195)</f>
        <v>Cells in a Range on an Excel Sheet</v>
      </c>
      <c r="C1774" s="13">
        <f>Github!F$2195</f>
        <v>371</v>
      </c>
      <c r="D1774" s="13">
        <f>Github!G$2195</f>
        <v>57</v>
      </c>
      <c r="E1774" s="13">
        <f>Github!F$2195+Github!G$2195</f>
        <v>428</v>
      </c>
      <c r="F1774" s="15">
        <f t="shared" si="1"/>
        <v>6.51</v>
      </c>
      <c r="G1774" s="13" t="str">
        <f>ROUND(Github!O$2195, 2)&amp;"%"</f>
        <v>85.44%</v>
      </c>
      <c r="H1774" s="13" t="str">
        <f>Github!H$2195</f>
        <v>Algorithms</v>
      </c>
      <c r="I1774" s="16" t="str">
        <f>SUBSTITUTE(Github!L$2195, ";", ", ")</f>
        <v>String, </v>
      </c>
      <c r="J1774" s="13" t="str">
        <f>Github!E$2195</f>
        <v>Easy</v>
      </c>
      <c r="K1774" s="13" t="str">
        <f>IF(TRIM(Github!D$2195)="TRUE","FALSE","TRUE")</f>
        <v>TRUE</v>
      </c>
      <c r="L1774" s="13" t="b">
        <f>Github!M$2195</f>
        <v>0</v>
      </c>
      <c r="M1774" s="13" t="b">
        <f>Github!N$2195</f>
        <v>0</v>
      </c>
      <c r="N1774" s="13">
        <f>Github!P$2195</f>
        <v>40900</v>
      </c>
      <c r="O1774" s="13">
        <f>Github!Q$2195</f>
        <v>47871</v>
      </c>
    </row>
    <row r="1775">
      <c r="A1775" s="13">
        <f>Github!J$2110</f>
        <v>2109</v>
      </c>
      <c r="B1775" s="14" t="str">
        <f>HYPERLINK(CONCAT("http://leetcode.com/problems/",Github!C$2110), Github!B$2110)</f>
        <v>Adding Spaces to a String</v>
      </c>
      <c r="C1775" s="13">
        <f>Github!F$2110</f>
        <v>372</v>
      </c>
      <c r="D1775" s="13">
        <f>Github!G$2110</f>
        <v>39</v>
      </c>
      <c r="E1775" s="13">
        <f>Github!F$2110+Github!G$2110</f>
        <v>411</v>
      </c>
      <c r="F1775" s="15">
        <f t="shared" si="1"/>
        <v>9.54</v>
      </c>
      <c r="G1775" s="13" t="str">
        <f>ROUND(Github!O$2110, 2)&amp;"%"</f>
        <v>56.32%</v>
      </c>
      <c r="H1775" s="13" t="str">
        <f>Github!H$2110</f>
        <v>Algorithms</v>
      </c>
      <c r="I1775" s="16" t="str">
        <f>SUBSTITUTE(Github!L$2110, ";", ", ")</f>
        <v>Array, String, Simulation, </v>
      </c>
      <c r="J1775" s="13" t="str">
        <f>Github!E$2110</f>
        <v>Medium</v>
      </c>
      <c r="K1775" s="13" t="str">
        <f>IF(TRIM(Github!D$2110)="TRUE","FALSE","TRUE")</f>
        <v>TRUE</v>
      </c>
      <c r="L1775" s="13" t="b">
        <f>Github!M$2110</f>
        <v>0</v>
      </c>
      <c r="M1775" s="13" t="b">
        <f>Github!N$2110</f>
        <v>0</v>
      </c>
      <c r="N1775" s="13">
        <f>Github!P$2110</f>
        <v>28198</v>
      </c>
      <c r="O1775" s="13">
        <f>Github!Q$2110</f>
        <v>50070</v>
      </c>
    </row>
    <row r="1776">
      <c r="A1776" s="13">
        <f>Github!J$2095</f>
        <v>2094</v>
      </c>
      <c r="B1776" s="14" t="str">
        <f>HYPERLINK(CONCAT("http://leetcode.com/problems/",Github!C$2095), Github!B$2095)</f>
        <v>Finding 3-Digit Even Numbers</v>
      </c>
      <c r="C1776" s="13">
        <f>Github!F$2095</f>
        <v>374</v>
      </c>
      <c r="D1776" s="13">
        <f>Github!G$2095</f>
        <v>218</v>
      </c>
      <c r="E1776" s="13">
        <f>Github!F$2095+Github!G$2095</f>
        <v>592</v>
      </c>
      <c r="F1776" s="15">
        <f t="shared" si="1"/>
        <v>1.72</v>
      </c>
      <c r="G1776" s="13" t="str">
        <f>ROUND(Github!O$2095, 2)&amp;"%"</f>
        <v>57.58%</v>
      </c>
      <c r="H1776" s="13" t="str">
        <f>Github!H$2095</f>
        <v>Algorithms</v>
      </c>
      <c r="I1776" s="16" t="str">
        <f>SUBSTITUTE(Github!L$2095, ";", ", ")</f>
        <v>Array, Hash Table, Sorting, Enumeration, </v>
      </c>
      <c r="J1776" s="13" t="str">
        <f>Github!E$2095</f>
        <v>Easy</v>
      </c>
      <c r="K1776" s="13" t="str">
        <f>IF(TRIM(Github!D$2095)="TRUE","FALSE","TRUE")</f>
        <v>TRUE</v>
      </c>
      <c r="L1776" s="13" t="b">
        <f>Github!M$2095</f>
        <v>0</v>
      </c>
      <c r="M1776" s="13" t="b">
        <f>Github!N$2095</f>
        <v>0</v>
      </c>
      <c r="N1776" s="13">
        <f>Github!P$2095</f>
        <v>21183</v>
      </c>
      <c r="O1776" s="13">
        <f>Github!Q$2095</f>
        <v>36789</v>
      </c>
    </row>
    <row r="1777">
      <c r="A1777" s="13">
        <f>Github!J$1612</f>
        <v>1611</v>
      </c>
      <c r="B1777" s="14" t="str">
        <f>HYPERLINK(CONCAT("http://leetcode.com/problems/",Github!C$1612), Github!B$1612)</f>
        <v>Minimum One Bit Operations to Make Integers Zero</v>
      </c>
      <c r="C1777" s="13">
        <f>Github!F$1612</f>
        <v>366</v>
      </c>
      <c r="D1777" s="13">
        <f>Github!G$1612</f>
        <v>325</v>
      </c>
      <c r="E1777" s="13">
        <f>Github!F$1612+Github!G$1612</f>
        <v>691</v>
      </c>
      <c r="F1777" s="15">
        <f t="shared" si="1"/>
        <v>1.13</v>
      </c>
      <c r="G1777" s="13" t="str">
        <f>ROUND(Github!O$1612, 2)&amp;"%"</f>
        <v>63.46%</v>
      </c>
      <c r="H1777" s="13" t="str">
        <f>Github!H$1612</f>
        <v>Algorithms</v>
      </c>
      <c r="I1777" s="16" t="str">
        <f>SUBSTITUTE(Github!L$1612, ";", ", ")</f>
        <v>Dynamic Programming, Bit Manipulation, Memoization, </v>
      </c>
      <c r="J1777" s="13" t="str">
        <f>Github!E$1612</f>
        <v>Hard</v>
      </c>
      <c r="K1777" s="13" t="str">
        <f>IF(TRIM(Github!D$1612)="TRUE","FALSE","TRUE")</f>
        <v>TRUE</v>
      </c>
      <c r="L1777" s="13" t="b">
        <f>Github!M$1612</f>
        <v>0</v>
      </c>
      <c r="M1777" s="13" t="b">
        <f>Github!N$1612</f>
        <v>0</v>
      </c>
      <c r="N1777" s="13">
        <f>Github!P$1612</f>
        <v>12182</v>
      </c>
      <c r="O1777" s="13">
        <f>Github!Q$1612</f>
        <v>19195</v>
      </c>
    </row>
    <row r="1778">
      <c r="A1778" s="13">
        <f>Github!J$2026</f>
        <v>2025</v>
      </c>
      <c r="B1778" s="14" t="str">
        <f>HYPERLINK(CONCAT("http://leetcode.com/problems/",Github!C$2026), Github!B$2026)</f>
        <v>Maximum Number of Ways to Partition an Array</v>
      </c>
      <c r="C1778" s="13">
        <f>Github!F$2026</f>
        <v>369</v>
      </c>
      <c r="D1778" s="13">
        <f>Github!G$2026</f>
        <v>38</v>
      </c>
      <c r="E1778" s="13">
        <f>Github!F$2026+Github!G$2026</f>
        <v>407</v>
      </c>
      <c r="F1778" s="15">
        <f t="shared" si="1"/>
        <v>9.71</v>
      </c>
      <c r="G1778" s="13" t="str">
        <f>ROUND(Github!O$2026, 2)&amp;"%"</f>
        <v>32.62%</v>
      </c>
      <c r="H1778" s="13" t="str">
        <f>Github!H$2026</f>
        <v>Algorithms</v>
      </c>
      <c r="I1778" s="16" t="str">
        <f>SUBSTITUTE(Github!L$2026, ";", ", ")</f>
        <v>Array, Hash Table, Counting, Enumeration, Prefix Sum, </v>
      </c>
      <c r="J1778" s="13" t="str">
        <f>Github!E$2026</f>
        <v>Hard</v>
      </c>
      <c r="K1778" s="13" t="str">
        <f>IF(TRIM(Github!D$2026)="TRUE","FALSE","TRUE")</f>
        <v>TRUE</v>
      </c>
      <c r="L1778" s="13" t="b">
        <f>Github!M$2026</f>
        <v>0</v>
      </c>
      <c r="M1778" s="13" t="b">
        <f>Github!N$2026</f>
        <v>0</v>
      </c>
      <c r="N1778" s="13">
        <f>Github!P$2026</f>
        <v>6585</v>
      </c>
      <c r="O1778" s="13">
        <f>Github!Q$2026</f>
        <v>20184</v>
      </c>
    </row>
    <row r="1779">
      <c r="A1779" s="13">
        <f>Github!J$2072</f>
        <v>2071</v>
      </c>
      <c r="B1779" s="14" t="str">
        <f>HYPERLINK(CONCAT("http://leetcode.com/problems/",Github!C$2072), Github!B$2072)</f>
        <v>Maximum Number of Tasks You Can Assign</v>
      </c>
      <c r="C1779" s="13">
        <f>Github!F$2072</f>
        <v>364</v>
      </c>
      <c r="D1779" s="13">
        <f>Github!G$2072</f>
        <v>15</v>
      </c>
      <c r="E1779" s="13">
        <f>Github!F$2072+Github!G$2072</f>
        <v>379</v>
      </c>
      <c r="F1779" s="15">
        <f t="shared" si="1"/>
        <v>24.27</v>
      </c>
      <c r="G1779" s="13" t="str">
        <f>ROUND(Github!O$2072, 2)&amp;"%"</f>
        <v>34.64%</v>
      </c>
      <c r="H1779" s="13" t="str">
        <f>Github!H$2072</f>
        <v>Algorithms</v>
      </c>
      <c r="I1779" s="16" t="str">
        <f>SUBSTITUTE(Github!L$2072, ";", ", ")</f>
        <v>Array, Binary Search, Greedy, Queue, Sorting, Monotonic Queue, </v>
      </c>
      <c r="J1779" s="13" t="str">
        <f>Github!E$2072</f>
        <v>Hard</v>
      </c>
      <c r="K1779" s="13" t="str">
        <f>IF(TRIM(Github!D$2072)="TRUE","FALSE","TRUE")</f>
        <v>TRUE</v>
      </c>
      <c r="L1779" s="13" t="b">
        <f>Github!M$2072</f>
        <v>0</v>
      </c>
      <c r="M1779" s="13" t="b">
        <f>Github!N$2072</f>
        <v>0</v>
      </c>
      <c r="N1779" s="13">
        <f>Github!P$2072</f>
        <v>6273</v>
      </c>
      <c r="O1779" s="13">
        <f>Github!Q$2072</f>
        <v>18108</v>
      </c>
    </row>
    <row r="1780">
      <c r="A1780" s="13">
        <f>Github!J$2244</f>
        <v>2243</v>
      </c>
      <c r="B1780" s="14" t="str">
        <f>HYPERLINK(CONCAT("http://leetcode.com/problems/",Github!C$2244), Github!B$2244)</f>
        <v>Calculate Digit Sum of a String</v>
      </c>
      <c r="C1780" s="13">
        <f>Github!F$2244</f>
        <v>370</v>
      </c>
      <c r="D1780" s="13">
        <f>Github!G$2244</f>
        <v>30</v>
      </c>
      <c r="E1780" s="13">
        <f>Github!F$2244+Github!G$2244</f>
        <v>400</v>
      </c>
      <c r="F1780" s="15">
        <f t="shared" si="1"/>
        <v>12.33</v>
      </c>
      <c r="G1780" s="13" t="str">
        <f>ROUND(Github!O$2244, 2)&amp;"%"</f>
        <v>66.71%</v>
      </c>
      <c r="H1780" s="13" t="str">
        <f>Github!H$2244</f>
        <v>Algorithms</v>
      </c>
      <c r="I1780" s="16" t="str">
        <f>SUBSTITUTE(Github!L$2244, ";", ", ")</f>
        <v>String, Simulation, </v>
      </c>
      <c r="J1780" s="13" t="str">
        <f>Github!E$2244</f>
        <v>Easy</v>
      </c>
      <c r="K1780" s="13" t="str">
        <f>IF(TRIM(Github!D$2244)="TRUE","FALSE","TRUE")</f>
        <v>TRUE</v>
      </c>
      <c r="L1780" s="13" t="b">
        <f>Github!M$2244</f>
        <v>0</v>
      </c>
      <c r="M1780" s="13" t="b">
        <f>Github!N$2244</f>
        <v>0</v>
      </c>
      <c r="N1780" s="13">
        <f>Github!P$2244</f>
        <v>26886</v>
      </c>
      <c r="O1780" s="13">
        <f>Github!Q$2244</f>
        <v>40302</v>
      </c>
    </row>
    <row r="1781">
      <c r="A1781" s="13">
        <f>Github!J$1917</f>
        <v>1916</v>
      </c>
      <c r="B1781" s="14" t="str">
        <f>HYPERLINK(CONCAT("http://leetcode.com/problems/",Github!C$1917), Github!B$1917)</f>
        <v>Count Ways to Build Rooms in an Ant Colony</v>
      </c>
      <c r="C1781" s="13">
        <f>Github!F$1917</f>
        <v>363</v>
      </c>
      <c r="D1781" s="13">
        <f>Github!G$1917</f>
        <v>45</v>
      </c>
      <c r="E1781" s="13">
        <f>Github!F$1917+Github!G$1917</f>
        <v>408</v>
      </c>
      <c r="F1781" s="15">
        <f t="shared" si="1"/>
        <v>8.07</v>
      </c>
      <c r="G1781" s="13" t="str">
        <f>ROUND(Github!O$1917, 2)&amp;"%"</f>
        <v>49.45%</v>
      </c>
      <c r="H1781" s="13" t="str">
        <f>Github!H$1917</f>
        <v>Algorithms</v>
      </c>
      <c r="I1781" s="16" t="str">
        <f>SUBSTITUTE(Github!L$1917, ";", ", ")</f>
        <v>Math, Dynamic Programming, Tree, Graph, Topological Sort, Combinatorics, </v>
      </c>
      <c r="J1781" s="13" t="str">
        <f>Github!E$1917</f>
        <v>Hard</v>
      </c>
      <c r="K1781" s="13" t="str">
        <f>IF(TRIM(Github!D$1917)="TRUE","FALSE","TRUE")</f>
        <v>TRUE</v>
      </c>
      <c r="L1781" s="13" t="b">
        <f>Github!M$1917</f>
        <v>0</v>
      </c>
      <c r="M1781" s="13" t="b">
        <f>Github!N$1917</f>
        <v>0</v>
      </c>
      <c r="N1781" s="13">
        <f>Github!P$1917</f>
        <v>5033</v>
      </c>
      <c r="O1781" s="13">
        <f>Github!Q$1917</f>
        <v>10177</v>
      </c>
    </row>
    <row r="1782">
      <c r="A1782" s="13">
        <f>Github!J$2270</f>
        <v>2269</v>
      </c>
      <c r="B1782" s="14" t="str">
        <f>HYPERLINK(CONCAT("http://leetcode.com/problems/",Github!C$2270), Github!B$2270)</f>
        <v>Find the K-Beauty of a Number</v>
      </c>
      <c r="C1782" s="13">
        <f>Github!F$2270</f>
        <v>375</v>
      </c>
      <c r="D1782" s="13">
        <f>Github!G$2270</f>
        <v>22</v>
      </c>
      <c r="E1782" s="13">
        <f>Github!F$2270+Github!G$2270</f>
        <v>397</v>
      </c>
      <c r="F1782" s="15">
        <f t="shared" si="1"/>
        <v>17.05</v>
      </c>
      <c r="G1782" s="13" t="str">
        <f>ROUND(Github!O$2270, 2)&amp;"%"</f>
        <v>57%</v>
      </c>
      <c r="H1782" s="13" t="str">
        <f>Github!H2270</f>
        <v>Algorithms</v>
      </c>
      <c r="I1782" s="16" t="str">
        <f>SUBSTITUTE(Github!L$2270, ";", ", ")</f>
        <v>Math, String, Sliding Window, </v>
      </c>
      <c r="J1782" s="13" t="str">
        <f>Github!E$2270</f>
        <v>Easy</v>
      </c>
      <c r="K1782" s="13" t="str">
        <f>IF(TRIM(Github!D$2270)="TRUE","FALSE","TRUE")</f>
        <v>TRUE</v>
      </c>
      <c r="L1782" s="13" t="b">
        <f>Github!M$2270</f>
        <v>0</v>
      </c>
      <c r="M1782" s="13" t="b">
        <f>Github!N$2270</f>
        <v>0</v>
      </c>
      <c r="N1782" s="13">
        <f>Github!P$2270</f>
        <v>30758</v>
      </c>
      <c r="O1782" s="13">
        <f>Github!Q$2270</f>
        <v>53964</v>
      </c>
    </row>
    <row r="1783">
      <c r="A1783" s="13">
        <f>Github!J$2213</f>
        <v>2212</v>
      </c>
      <c r="B1783" s="14" t="str">
        <f>HYPERLINK(CONCAT("http://leetcode.com/problems/",Github!C$2213), Github!B$2213)</f>
        <v>Maximum Points in an Archery Competition</v>
      </c>
      <c r="C1783" s="13">
        <f>Github!F$2213</f>
        <v>362</v>
      </c>
      <c r="D1783" s="13">
        <f>Github!G$2213</f>
        <v>36</v>
      </c>
      <c r="E1783" s="13">
        <f>Github!F$2213+Github!G$2213</f>
        <v>398</v>
      </c>
      <c r="F1783" s="15">
        <f t="shared" si="1"/>
        <v>10.06</v>
      </c>
      <c r="G1783" s="13" t="str">
        <f>ROUND(Github!O$2213, 2)&amp;"%"</f>
        <v>48.75%</v>
      </c>
      <c r="H1783" s="13" t="str">
        <f>Github!H$2213</f>
        <v>Algorithms</v>
      </c>
      <c r="I1783" s="16" t="str">
        <f>SUBSTITUTE(Github!L$2213, ";", ", ")</f>
        <v>Array, Bit Manipulation, Recursion, Enumeration, </v>
      </c>
      <c r="J1783" s="13" t="str">
        <f>Github!E$2213</f>
        <v>Medium</v>
      </c>
      <c r="K1783" s="13" t="str">
        <f>IF(TRIM(Github!D$2213)="TRUE","FALSE","TRUE")</f>
        <v>TRUE</v>
      </c>
      <c r="L1783" s="13" t="b">
        <f>Github!M$2213</f>
        <v>0</v>
      </c>
      <c r="M1783" s="13" t="b">
        <f>Github!N$2213</f>
        <v>0</v>
      </c>
      <c r="N1783" s="13">
        <f>Github!P$2213</f>
        <v>11283</v>
      </c>
      <c r="O1783" s="13">
        <f>Github!Q$2213</f>
        <v>23144</v>
      </c>
    </row>
    <row r="1784">
      <c r="A1784" s="13">
        <f>Github!J$1375</f>
        <v>1374</v>
      </c>
      <c r="B1784" s="14" t="str">
        <f>HYPERLINK(CONCAT("http://leetcode.com/problems/",Github!C$1375), Github!B$1375)</f>
        <v>Generate a String With Characters That Have Odd Counts</v>
      </c>
      <c r="C1784" s="13">
        <f>Github!F$1375</f>
        <v>365</v>
      </c>
      <c r="D1784" s="13">
        <f>Github!G$1375</f>
        <v>1128</v>
      </c>
      <c r="E1784" s="13">
        <f>Github!F$1375+Github!G$1375</f>
        <v>1493</v>
      </c>
      <c r="F1784" s="15">
        <f t="shared" si="1"/>
        <v>0.32</v>
      </c>
      <c r="G1784" s="13" t="str">
        <f>ROUND(Github!O$1375, 2)&amp;"%"</f>
        <v>77.6%</v>
      </c>
      <c r="H1784" s="13" t="str">
        <f>Github!H$1375</f>
        <v>Algorithms</v>
      </c>
      <c r="I1784" s="16" t="str">
        <f>SUBSTITUTE(Github!L$1375, ";", ", ")</f>
        <v>String, </v>
      </c>
      <c r="J1784" s="13" t="str">
        <f>Github!E$1375</f>
        <v>Easy</v>
      </c>
      <c r="K1784" s="13" t="str">
        <f>IF(TRIM(Github!D$1375)="TRUE","FALSE","TRUE")</f>
        <v>TRUE</v>
      </c>
      <c r="L1784" s="13" t="b">
        <f>Github!M$1375</f>
        <v>0</v>
      </c>
      <c r="M1784" s="13" t="b">
        <f>Github!N$1375</f>
        <v>0</v>
      </c>
      <c r="N1784" s="13">
        <f>Github!P$1375</f>
        <v>74849</v>
      </c>
      <c r="O1784" s="13">
        <f>Github!Q$1375</f>
        <v>96454</v>
      </c>
    </row>
    <row r="1785">
      <c r="A1785" s="13">
        <f>Github!J$2157</f>
        <v>2156</v>
      </c>
      <c r="B1785" s="14" t="str">
        <f>HYPERLINK(CONCAT("http://leetcode.com/problems/",Github!C$2157), Github!B$2157)</f>
        <v>Find Substring With Given Hash Value</v>
      </c>
      <c r="C1785" s="13">
        <f>Github!F$2157</f>
        <v>364</v>
      </c>
      <c r="D1785" s="13">
        <f>Github!G$2157</f>
        <v>363</v>
      </c>
      <c r="E1785" s="13">
        <f>Github!F$2157+Github!G$2157</f>
        <v>727</v>
      </c>
      <c r="F1785" s="15">
        <f t="shared" si="1"/>
        <v>1</v>
      </c>
      <c r="G1785" s="13" t="str">
        <f>ROUND(Github!O$2157, 2)&amp;"%"</f>
        <v>22.16%</v>
      </c>
      <c r="H1785" s="13" t="str">
        <f>Github!H$2157</f>
        <v>Algorithms</v>
      </c>
      <c r="I1785" s="16" t="str">
        <f>SUBSTITUTE(Github!L$2157, ";", ", ")</f>
        <v>String, Sliding Window, Rolling Hash, Hash Function, </v>
      </c>
      <c r="J1785" s="13" t="str">
        <f>Github!E$2157</f>
        <v>Hard</v>
      </c>
      <c r="K1785" s="13" t="str">
        <f>IF(TRIM(Github!D$2157)="TRUE","FALSE","TRUE")</f>
        <v>TRUE</v>
      </c>
      <c r="L1785" s="13" t="b">
        <f>Github!M$2157</f>
        <v>0</v>
      </c>
      <c r="M1785" s="13" t="b">
        <f>Github!N$2157</f>
        <v>0</v>
      </c>
      <c r="N1785" s="13">
        <f>Github!P$2157</f>
        <v>10846</v>
      </c>
      <c r="O1785" s="13">
        <f>Github!Q$2157</f>
        <v>48953</v>
      </c>
    </row>
    <row r="1786">
      <c r="A1786" s="13">
        <f>Github!J$2147</f>
        <v>2146</v>
      </c>
      <c r="B1786" s="14" t="str">
        <f>HYPERLINK(CONCAT("http://leetcode.com/problems/",Github!C$2147), Github!B$2147)</f>
        <v>K Highest Ranked Items Within a Price Range</v>
      </c>
      <c r="C1786" s="13">
        <f>Github!F$2147</f>
        <v>363</v>
      </c>
      <c r="D1786" s="13">
        <f>Github!G$2147</f>
        <v>136</v>
      </c>
      <c r="E1786" s="13">
        <f>Github!F$2147+Github!G$2147</f>
        <v>499</v>
      </c>
      <c r="F1786" s="15">
        <f t="shared" si="1"/>
        <v>2.67</v>
      </c>
      <c r="G1786" s="13" t="str">
        <f>ROUND(Github!O$2147, 2)&amp;"%"</f>
        <v>41.16%</v>
      </c>
      <c r="H1786" s="13" t="str">
        <f>Github!H$2147</f>
        <v>Algorithms</v>
      </c>
      <c r="I1786" s="16" t="str">
        <f>SUBSTITUTE(Github!L$2147, ";", ", ")</f>
        <v>Array, Breadth-First Search, Sorting, Heap (Priority Queue), Matrix, </v>
      </c>
      <c r="J1786" s="13" t="str">
        <f>Github!E$2147</f>
        <v>Medium</v>
      </c>
      <c r="K1786" s="13" t="str">
        <f>IF(TRIM(Github!D$2147)="TRUE","FALSE","TRUE")</f>
        <v>TRUE</v>
      </c>
      <c r="L1786" s="13" t="b">
        <f>Github!M$2147</f>
        <v>0</v>
      </c>
      <c r="M1786" s="13" t="b">
        <f>Github!N$2147</f>
        <v>0</v>
      </c>
      <c r="N1786" s="13">
        <f>Github!P$2147</f>
        <v>11316</v>
      </c>
      <c r="O1786" s="13">
        <f>Github!Q$2147</f>
        <v>27495</v>
      </c>
    </row>
    <row r="1787">
      <c r="A1787" s="13">
        <f>Github!J$440</f>
        <v>439</v>
      </c>
      <c r="B1787" s="14" t="str">
        <f>HYPERLINK(CONCAT("http://leetcode.com/problems/",Github!C$440), Github!B$440)</f>
        <v>Ternary Expression Parser</v>
      </c>
      <c r="C1787" s="13">
        <f>Github!F$440</f>
        <v>361</v>
      </c>
      <c r="D1787" s="13">
        <f>Github!G$440</f>
        <v>45</v>
      </c>
      <c r="E1787" s="13">
        <f>Github!F$440+Github!G$440</f>
        <v>406</v>
      </c>
      <c r="F1787" s="15">
        <f t="shared" si="1"/>
        <v>8.02</v>
      </c>
      <c r="G1787" s="13" t="str">
        <f>ROUND(Github!O$440, 2)&amp;"%"</f>
        <v>58.28%</v>
      </c>
      <c r="H1787" s="13" t="str">
        <f>Github!H$440</f>
        <v>Algorithms</v>
      </c>
      <c r="I1787" s="16" t="str">
        <f>SUBSTITUTE(Github!L$440, ";", ", ")</f>
        <v>String, Stack, Recursion, </v>
      </c>
      <c r="J1787" s="13" t="str">
        <f>Github!E$440</f>
        <v>Medium</v>
      </c>
      <c r="K1787" s="13" t="str">
        <f>IF(TRIM(Github!D$440)="TRUE","FALSE","TRUE")</f>
        <v>FALSE</v>
      </c>
      <c r="L1787" s="13" t="b">
        <f>Github!M$440</f>
        <v>0</v>
      </c>
      <c r="M1787" s="13" t="b">
        <f>Github!N$440</f>
        <v>0</v>
      </c>
      <c r="N1787" s="13">
        <f>Github!P$440</f>
        <v>25925</v>
      </c>
      <c r="O1787" s="13">
        <f>Github!Q$440</f>
        <v>44487</v>
      </c>
    </row>
    <row r="1788">
      <c r="A1788" s="13">
        <f>Github!J$1145</f>
        <v>1144</v>
      </c>
      <c r="B1788" s="14" t="str">
        <f>HYPERLINK(CONCAT("http://leetcode.com/problems/",Github!C$1145), Github!B$1145)</f>
        <v>Decrease Elements To Make Array Zigzag</v>
      </c>
      <c r="C1788" s="13">
        <f>Github!F$1145</f>
        <v>361</v>
      </c>
      <c r="D1788" s="13">
        <f>Github!G$1145</f>
        <v>154</v>
      </c>
      <c r="E1788" s="13">
        <f>Github!F$1145+Github!G$1145</f>
        <v>515</v>
      </c>
      <c r="F1788" s="15">
        <f t="shared" si="1"/>
        <v>2.34</v>
      </c>
      <c r="G1788" s="13" t="str">
        <f>ROUND(Github!O$1145, 2)&amp;"%"</f>
        <v>47.16%</v>
      </c>
      <c r="H1788" s="13" t="str">
        <f>Github!H$1145</f>
        <v>Algorithms</v>
      </c>
      <c r="I1788" s="16" t="str">
        <f>SUBSTITUTE(Github!L$1145, ";", ", ")</f>
        <v>Array, Greedy, </v>
      </c>
      <c r="J1788" s="13" t="str">
        <f>Github!E$1145</f>
        <v>Medium</v>
      </c>
      <c r="K1788" s="13" t="str">
        <f>IF(TRIM(Github!D$1145)="TRUE","FALSE","TRUE")</f>
        <v>TRUE</v>
      </c>
      <c r="L1788" s="13" t="b">
        <f>Github!M$1145</f>
        <v>0</v>
      </c>
      <c r="M1788" s="13" t="b">
        <f>Github!N$1145</f>
        <v>0</v>
      </c>
      <c r="N1788" s="13">
        <f>Github!P$1145</f>
        <v>16577</v>
      </c>
      <c r="O1788" s="13">
        <f>Github!Q$1145</f>
        <v>35153</v>
      </c>
    </row>
    <row r="1789">
      <c r="A1789" s="13">
        <f>Github!J$1863</f>
        <v>1862</v>
      </c>
      <c r="B1789" s="14" t="str">
        <f>HYPERLINK(CONCAT("http://leetcode.com/problems/",Github!C$1863), Github!B$1863)</f>
        <v>Sum of Floored Pairs</v>
      </c>
      <c r="C1789" s="13">
        <f>Github!F$1863</f>
        <v>362</v>
      </c>
      <c r="D1789" s="13">
        <f>Github!G$1863</f>
        <v>33</v>
      </c>
      <c r="E1789" s="13">
        <f>Github!F$1863+Github!G$1863</f>
        <v>395</v>
      </c>
      <c r="F1789" s="15">
        <f t="shared" si="1"/>
        <v>10.97</v>
      </c>
      <c r="G1789" s="13" t="str">
        <f>ROUND(Github!O$1863, 2)&amp;"%"</f>
        <v>28.12%</v>
      </c>
      <c r="H1789" s="13" t="str">
        <f>Github!H$1863</f>
        <v>Algorithms</v>
      </c>
      <c r="I1789" s="16" t="str">
        <f>SUBSTITUTE(Github!L$1863, ";", ", ")</f>
        <v>Array, Math, Binary Search, Prefix Sum, </v>
      </c>
      <c r="J1789" s="13" t="str">
        <f>Github!E$1863</f>
        <v>Hard</v>
      </c>
      <c r="K1789" s="13" t="str">
        <f>IF(TRIM(Github!D$1863)="TRUE","FALSE","TRUE")</f>
        <v>TRUE</v>
      </c>
      <c r="L1789" s="13" t="b">
        <f>Github!M$1863</f>
        <v>0</v>
      </c>
      <c r="M1789" s="13" t="b">
        <f>Github!N$1863</f>
        <v>0</v>
      </c>
      <c r="N1789" s="13">
        <f>Github!P$1863</f>
        <v>7155</v>
      </c>
      <c r="O1789" s="13">
        <f>Github!Q$1863</f>
        <v>25448</v>
      </c>
    </row>
    <row r="1790">
      <c r="A1790" s="13">
        <f>Github!J$1751</f>
        <v>1750</v>
      </c>
      <c r="B1790" s="14" t="str">
        <f>HYPERLINK(CONCAT("http://leetcode.com/problems/",Github!C$1751), Github!B$1751)</f>
        <v>Minimum Length of String After Deleting Similar Ends</v>
      </c>
      <c r="C1790" s="13">
        <f>Github!F$1751</f>
        <v>361</v>
      </c>
      <c r="D1790" s="13">
        <f>Github!G$1751</f>
        <v>23</v>
      </c>
      <c r="E1790" s="13">
        <f>Github!F$1751+Github!G$1751</f>
        <v>384</v>
      </c>
      <c r="F1790" s="15">
        <f t="shared" si="1"/>
        <v>15.7</v>
      </c>
      <c r="G1790" s="13" t="str">
        <f>ROUND(Github!O$1751, 2)&amp;"%"</f>
        <v>43.76%</v>
      </c>
      <c r="H1790" s="13" t="str">
        <f>Github!H$1751</f>
        <v>Algorithms</v>
      </c>
      <c r="I1790" s="16" t="str">
        <f>SUBSTITUTE(Github!L$1751, ";", ", ")</f>
        <v>Two Pointers, String, </v>
      </c>
      <c r="J1790" s="13" t="str">
        <f>Github!E$1751</f>
        <v>Medium</v>
      </c>
      <c r="K1790" s="13" t="str">
        <f>IF(TRIM(Github!D$1751)="TRUE","FALSE","TRUE")</f>
        <v>TRUE</v>
      </c>
      <c r="L1790" s="13" t="b">
        <f>Github!M$1751</f>
        <v>0</v>
      </c>
      <c r="M1790" s="13" t="b">
        <f>Github!N$1751</f>
        <v>0</v>
      </c>
      <c r="N1790" s="13">
        <f>Github!P$1751</f>
        <v>17365</v>
      </c>
      <c r="O1790" s="13">
        <f>Github!Q$1751</f>
        <v>39678</v>
      </c>
    </row>
    <row r="1791">
      <c r="A1791" s="13">
        <f>Github!J$1251</f>
        <v>1250</v>
      </c>
      <c r="B1791" s="14" t="str">
        <f>HYPERLINK(CONCAT("http://leetcode.com/problems/",Github!C$1251), Github!B$1251)</f>
        <v>Check If It Is a Good Array</v>
      </c>
      <c r="C1791" s="13">
        <f>Github!F$1251</f>
        <v>362</v>
      </c>
      <c r="D1791" s="13">
        <f>Github!G$1251</f>
        <v>324</v>
      </c>
      <c r="E1791" s="13">
        <f>Github!F$1251+Github!G$1251</f>
        <v>686</v>
      </c>
      <c r="F1791" s="15">
        <f t="shared" si="1"/>
        <v>1.12</v>
      </c>
      <c r="G1791" s="13" t="str">
        <f>ROUND(Github!O$1251, 2)&amp;"%"</f>
        <v>58.73%</v>
      </c>
      <c r="H1791" s="13" t="str">
        <f>Github!H$1251</f>
        <v>Algorithms</v>
      </c>
      <c r="I1791" s="16" t="str">
        <f>SUBSTITUTE(Github!L$1251, ";", ", ")</f>
        <v>Array, Math, Number Theory, </v>
      </c>
      <c r="J1791" s="13" t="str">
        <f>Github!E$1251</f>
        <v>Hard</v>
      </c>
      <c r="K1791" s="13" t="str">
        <f>IF(TRIM(Github!D$1251)="TRUE","FALSE","TRUE")</f>
        <v>TRUE</v>
      </c>
      <c r="L1791" s="13" t="b">
        <f>Github!M$1251</f>
        <v>0</v>
      </c>
      <c r="M1791" s="13" t="b">
        <f>Github!N$1251</f>
        <v>0</v>
      </c>
      <c r="N1791" s="13">
        <f>Github!P$1251</f>
        <v>16427</v>
      </c>
      <c r="O1791" s="13">
        <f>Github!Q$1251</f>
        <v>27968</v>
      </c>
    </row>
    <row r="1792">
      <c r="A1792" s="13">
        <f>Github!J$867</f>
        <v>866</v>
      </c>
      <c r="B1792" s="14" t="str">
        <f>HYPERLINK(CONCAT("http://leetcode.com/problems/",Github!C$867), Github!B$867)</f>
        <v>Prime Palindrome</v>
      </c>
      <c r="C1792" s="13">
        <f>Github!F$867</f>
        <v>357</v>
      </c>
      <c r="D1792" s="13">
        <f>Github!G$867</f>
        <v>750</v>
      </c>
      <c r="E1792" s="13">
        <f>Github!F$867+Github!G$867</f>
        <v>1107</v>
      </c>
      <c r="F1792" s="15">
        <f t="shared" si="1"/>
        <v>0.48</v>
      </c>
      <c r="G1792" s="13" t="str">
        <f>ROUND(Github!O$867, 2)&amp;"%"</f>
        <v>25.79%</v>
      </c>
      <c r="H1792" s="13" t="str">
        <f>Github!H$867</f>
        <v>Algorithms</v>
      </c>
      <c r="I1792" s="16" t="str">
        <f>SUBSTITUTE(Github!L$867, ";", ", ")</f>
        <v>Math, </v>
      </c>
      <c r="J1792" s="13" t="str">
        <f>Github!E$867</f>
        <v>Medium</v>
      </c>
      <c r="K1792" s="13" t="str">
        <f>IF(TRIM(Github!D$867)="TRUE","FALSE","TRUE")</f>
        <v>TRUE</v>
      </c>
      <c r="L1792" s="13" t="b">
        <f>Github!M$867</f>
        <v>1</v>
      </c>
      <c r="M1792" s="13" t="b">
        <f>Github!N$867</f>
        <v>0</v>
      </c>
      <c r="N1792" s="13">
        <f>Github!P$867</f>
        <v>27458</v>
      </c>
      <c r="O1792" s="13">
        <f>Github!Q$867</f>
        <v>106450</v>
      </c>
    </row>
    <row r="1793">
      <c r="A1793" s="13">
        <f>Github!J$2240</f>
        <v>2239</v>
      </c>
      <c r="B1793" s="14" t="str">
        <f>HYPERLINK(CONCAT("http://leetcode.com/problems/",Github!C$2240), Github!B$2240)</f>
        <v>Find Closest Number to Zero</v>
      </c>
      <c r="C1793" s="13">
        <f>Github!F$2240</f>
        <v>363</v>
      </c>
      <c r="D1793" s="13">
        <f>Github!G$2240</f>
        <v>25</v>
      </c>
      <c r="E1793" s="13">
        <f>Github!F$2240+Github!G$2240</f>
        <v>388</v>
      </c>
      <c r="F1793" s="15">
        <f t="shared" si="1"/>
        <v>14.52</v>
      </c>
      <c r="G1793" s="13" t="str">
        <f>ROUND(Github!O$2240, 2)&amp;"%"</f>
        <v>45.87%</v>
      </c>
      <c r="H1793" s="13" t="str">
        <f>Github!H$2240</f>
        <v>Algorithms</v>
      </c>
      <c r="I1793" s="16" t="str">
        <f>SUBSTITUTE(Github!L$2240, ";", ", ")</f>
        <v>Array, </v>
      </c>
      <c r="J1793" s="13" t="str">
        <f>Github!E$2240</f>
        <v>Easy</v>
      </c>
      <c r="K1793" s="13" t="str">
        <f>IF(TRIM(Github!D$2240)="TRUE","FALSE","TRUE")</f>
        <v>TRUE</v>
      </c>
      <c r="L1793" s="13" t="b">
        <f>Github!M$2240</f>
        <v>0</v>
      </c>
      <c r="M1793" s="13" t="b">
        <f>Github!N$2240</f>
        <v>0</v>
      </c>
      <c r="N1793" s="13">
        <f>Github!P$2240</f>
        <v>34244</v>
      </c>
      <c r="O1793" s="13">
        <f>Github!Q$2240</f>
        <v>74646</v>
      </c>
    </row>
    <row r="1794">
      <c r="A1794" s="13">
        <f>Github!J$2318</f>
        <v>2317</v>
      </c>
      <c r="B1794" s="14" t="str">
        <f>HYPERLINK(CONCAT("http://leetcode.com/problems/",Github!C$2318), Github!B$2318)</f>
        <v>Maximum XOR After Operations </v>
      </c>
      <c r="C1794" s="13">
        <f>Github!F$2318</f>
        <v>365</v>
      </c>
      <c r="D1794" s="13">
        <f>Github!G$2318</f>
        <v>130</v>
      </c>
      <c r="E1794" s="13">
        <f>Github!F$2318+Github!G$2318</f>
        <v>495</v>
      </c>
      <c r="F1794" s="15">
        <f t="shared" si="1"/>
        <v>2.81</v>
      </c>
      <c r="G1794" s="13" t="str">
        <f>ROUND(Github!O$2318, 2)&amp;"%"</f>
        <v>78.77%</v>
      </c>
      <c r="H1794" s="13" t="str">
        <f>Github!H2318</f>
        <v>Algorithms</v>
      </c>
      <c r="I1794" s="16" t="str">
        <f>SUBSTITUTE(Github!L$2318, ";", ", ")</f>
        <v>Array, Math, Bit Manipulation, </v>
      </c>
      <c r="J1794" s="13" t="str">
        <f>Github!E$2318</f>
        <v>Medium</v>
      </c>
      <c r="K1794" s="13" t="str">
        <f>IF(TRIM(Github!D$2318)="TRUE","FALSE","TRUE")</f>
        <v>TRUE</v>
      </c>
      <c r="L1794" s="13" t="b">
        <f>Github!M$2318</f>
        <v>0</v>
      </c>
      <c r="M1794" s="13" t="b">
        <f>Github!N$2318</f>
        <v>0</v>
      </c>
      <c r="N1794" s="13">
        <f>Github!P$2318</f>
        <v>15153</v>
      </c>
      <c r="O1794" s="13">
        <f>Github!Q$2318</f>
        <v>19238</v>
      </c>
    </row>
    <row r="1795">
      <c r="A1795" s="13">
        <f>Github!J$1620</f>
        <v>1619</v>
      </c>
      <c r="B1795" s="14" t="str">
        <f>HYPERLINK(CONCAT("http://leetcode.com/problems/",Github!C$1620), Github!B$1620)</f>
        <v>Mean of Array After Removing Some Elements</v>
      </c>
      <c r="C1795" s="13">
        <f>Github!F$1620</f>
        <v>360</v>
      </c>
      <c r="D1795" s="13">
        <f>Github!G$1620</f>
        <v>96</v>
      </c>
      <c r="E1795" s="13">
        <f>Github!F$1620+Github!G$1620</f>
        <v>456</v>
      </c>
      <c r="F1795" s="15">
        <f t="shared" si="1"/>
        <v>3.75</v>
      </c>
      <c r="G1795" s="13" t="str">
        <f>ROUND(Github!O$1620, 2)&amp;"%"</f>
        <v>65.01%</v>
      </c>
      <c r="H1795" s="13" t="str">
        <f>Github!H$1620</f>
        <v>Algorithms</v>
      </c>
      <c r="I1795" s="16" t="str">
        <f>SUBSTITUTE(Github!L$1620, ";", ", ")</f>
        <v>Array, Sorting, </v>
      </c>
      <c r="J1795" s="13" t="str">
        <f>Github!E$1620</f>
        <v>Easy</v>
      </c>
      <c r="K1795" s="13" t="str">
        <f>IF(TRIM(Github!D$1620)="TRUE","FALSE","TRUE")</f>
        <v>TRUE</v>
      </c>
      <c r="L1795" s="13" t="b">
        <f>Github!M$1620</f>
        <v>0</v>
      </c>
      <c r="M1795" s="13" t="b">
        <f>Github!N$1620</f>
        <v>0</v>
      </c>
      <c r="N1795" s="13">
        <f>Github!P$1620</f>
        <v>41109</v>
      </c>
      <c r="O1795" s="13">
        <f>Github!Q$1620</f>
        <v>63234</v>
      </c>
    </row>
    <row r="1796">
      <c r="A1796" s="13">
        <f>Github!J$2339</f>
        <v>2338</v>
      </c>
      <c r="B1796" s="14" t="str">
        <f>HYPERLINK(CONCAT("http://leetcode.com/problems/",Github!C$2339), Github!B$2339)</f>
        <v>Count the Number of Ideal Arrays</v>
      </c>
      <c r="C1796" s="13">
        <f>Github!F$2339</f>
        <v>358</v>
      </c>
      <c r="D1796" s="13">
        <f>Github!G$2339</f>
        <v>23</v>
      </c>
      <c r="E1796" s="13">
        <f>Github!F$2339+Github!G$2339</f>
        <v>381</v>
      </c>
      <c r="F1796" s="15">
        <f t="shared" si="1"/>
        <v>15.57</v>
      </c>
      <c r="G1796" s="13" t="str">
        <f>ROUND(Github!O$2339, 2)&amp;"%"</f>
        <v>25.96%</v>
      </c>
      <c r="H1796" s="13" t="str">
        <f>Github!H2339</f>
        <v>Algorithms</v>
      </c>
      <c r="I1796" s="16" t="str">
        <f>SUBSTITUTE(Github!L$2339, ";", ", ")</f>
        <v>Math, Dynamic Programming, Combinatorics, Number Theory, </v>
      </c>
      <c r="J1796" s="13" t="str">
        <f>Github!E$2339</f>
        <v>Hard</v>
      </c>
      <c r="K1796" s="13" t="str">
        <f>IF(TRIM(Github!D$2339)="TRUE","FALSE","TRUE")</f>
        <v>TRUE</v>
      </c>
      <c r="L1796" s="13" t="b">
        <f>Github!M$2339</f>
        <v>0</v>
      </c>
      <c r="M1796" s="13" t="b">
        <f>Github!N$2339</f>
        <v>0</v>
      </c>
      <c r="N1796" s="13">
        <f>Github!P$2339</f>
        <v>4447</v>
      </c>
      <c r="O1796" s="13">
        <f>Github!Q$2339</f>
        <v>17133</v>
      </c>
    </row>
    <row r="1797">
      <c r="A1797" s="13">
        <f>Github!J$754</f>
        <v>753</v>
      </c>
      <c r="B1797" s="14" t="str">
        <f>HYPERLINK(CONCAT("http://leetcode.com/problems/",Github!C$754), Github!B$754)</f>
        <v>Cracking the Safe</v>
      </c>
      <c r="C1797" s="13">
        <f>Github!F$754</f>
        <v>362</v>
      </c>
      <c r="D1797" s="13">
        <f>Github!G$754</f>
        <v>65</v>
      </c>
      <c r="E1797" s="13">
        <f>Github!F$754+Github!G$754</f>
        <v>427</v>
      </c>
      <c r="F1797" s="15">
        <f t="shared" si="1"/>
        <v>5.57</v>
      </c>
      <c r="G1797" s="13" t="str">
        <f>ROUND(Github!O$754, 2)&amp;"%"</f>
        <v>55.63%</v>
      </c>
      <c r="H1797" s="13" t="str">
        <f>Github!H$754</f>
        <v>Algorithms</v>
      </c>
      <c r="I1797" s="16" t="str">
        <f>SUBSTITUTE(Github!L$754, ";", ", ")</f>
        <v>Depth-First Search, Graph, Eulerian Circuit, </v>
      </c>
      <c r="J1797" s="13" t="str">
        <f>Github!E$754</f>
        <v>Hard</v>
      </c>
      <c r="K1797" s="13" t="str">
        <f>IF(TRIM(Github!D$754)="TRUE","FALSE","TRUE")</f>
        <v>TRUE</v>
      </c>
      <c r="L1797" s="13" t="b">
        <f>Github!M$754</f>
        <v>0</v>
      </c>
      <c r="M1797" s="13" t="b">
        <f>Github!N$754</f>
        <v>0</v>
      </c>
      <c r="N1797" s="13">
        <f>Github!P$754</f>
        <v>51408</v>
      </c>
      <c r="O1797" s="13">
        <f>Github!Q$754</f>
        <v>92418</v>
      </c>
    </row>
    <row r="1798">
      <c r="A1798" s="13">
        <f>Github!J$794</f>
        <v>793</v>
      </c>
      <c r="B1798" s="14" t="str">
        <f>HYPERLINK(CONCAT("http://leetcode.com/problems/",Github!C$794), Github!B$794)</f>
        <v>Preimage Size of Factorial Zeroes Function</v>
      </c>
      <c r="C1798" s="13">
        <f>Github!F$794</f>
        <v>356</v>
      </c>
      <c r="D1798" s="13">
        <f>Github!G$794</f>
        <v>82</v>
      </c>
      <c r="E1798" s="13">
        <f>Github!F$794+Github!G$794</f>
        <v>438</v>
      </c>
      <c r="F1798" s="15">
        <f t="shared" si="1"/>
        <v>4.34</v>
      </c>
      <c r="G1798" s="13" t="str">
        <f>ROUND(Github!O$794, 2)&amp;"%"</f>
        <v>42.95%</v>
      </c>
      <c r="H1798" s="13" t="str">
        <f>Github!H$794</f>
        <v>Algorithms</v>
      </c>
      <c r="I1798" s="16" t="str">
        <f>SUBSTITUTE(Github!L$794, ";", ", ")</f>
        <v>Math, Binary Search, </v>
      </c>
      <c r="J1798" s="13" t="str">
        <f>Github!E$794</f>
        <v>Hard</v>
      </c>
      <c r="K1798" s="13" t="str">
        <f>IF(TRIM(Github!D$794)="TRUE","FALSE","TRUE")</f>
        <v>TRUE</v>
      </c>
      <c r="L1798" s="13" t="b">
        <f>Github!M$794</f>
        <v>1</v>
      </c>
      <c r="M1798" s="13" t="b">
        <f>Github!N$794</f>
        <v>0</v>
      </c>
      <c r="N1798" s="13">
        <f>Github!P$794</f>
        <v>14543</v>
      </c>
      <c r="O1798" s="13">
        <f>Github!Q$794</f>
        <v>33862</v>
      </c>
    </row>
    <row r="1799">
      <c r="A1799" s="13">
        <f>Github!J$1091</f>
        <v>1090</v>
      </c>
      <c r="B1799" s="14" t="str">
        <f>HYPERLINK(CONCAT("http://leetcode.com/problems/",Github!C$1091), Github!B$1091)</f>
        <v>Largest Values From Labels</v>
      </c>
      <c r="C1799" s="13">
        <f>Github!F$1091</f>
        <v>355</v>
      </c>
      <c r="D1799" s="13">
        <f>Github!G$1091</f>
        <v>591</v>
      </c>
      <c r="E1799" s="13">
        <f>Github!F$1091+Github!G$1091</f>
        <v>946</v>
      </c>
      <c r="F1799" s="15">
        <f t="shared" si="1"/>
        <v>0.6</v>
      </c>
      <c r="G1799" s="13" t="str">
        <f>ROUND(Github!O$1091, 2)&amp;"%"</f>
        <v>60.95%</v>
      </c>
      <c r="H1799" s="13" t="str">
        <f>Github!H$1091</f>
        <v>Algorithms</v>
      </c>
      <c r="I1799" s="16" t="str">
        <f>SUBSTITUTE(Github!L$1091, ";", ", ")</f>
        <v>Array, Hash Table, Greedy, Sorting, Counting, </v>
      </c>
      <c r="J1799" s="13" t="str">
        <f>Github!E$1091</f>
        <v>Medium</v>
      </c>
      <c r="K1799" s="13" t="str">
        <f>IF(TRIM(Github!D$1091)="TRUE","FALSE","TRUE")</f>
        <v>TRUE</v>
      </c>
      <c r="L1799" s="13" t="b">
        <f>Github!M$1091</f>
        <v>0</v>
      </c>
      <c r="M1799" s="13" t="b">
        <f>Github!N$1091</f>
        <v>0</v>
      </c>
      <c r="N1799" s="13">
        <f>Github!P$1091</f>
        <v>31763</v>
      </c>
      <c r="O1799" s="13">
        <f>Github!Q$1091</f>
        <v>52109</v>
      </c>
    </row>
    <row r="1800">
      <c r="A1800" s="13">
        <f>Github!J$221</f>
        <v>220</v>
      </c>
      <c r="B1800" s="14" t="str">
        <f>HYPERLINK(CONCAT("http://leetcode.com/problems/",Github!C$221), Github!B$221)</f>
        <v>Contains Duplicate III</v>
      </c>
      <c r="C1800" s="13">
        <f>Github!F$221</f>
        <v>378</v>
      </c>
      <c r="D1800" s="13">
        <f>Github!G$221</f>
        <v>9</v>
      </c>
      <c r="E1800" s="13">
        <f>Github!F$221+Github!G$221</f>
        <v>387</v>
      </c>
      <c r="F1800" s="15">
        <f t="shared" si="1"/>
        <v>42</v>
      </c>
      <c r="G1800" s="13" t="str">
        <f>ROUND(Github!O$221, 2)&amp;"%"</f>
        <v>22.02%</v>
      </c>
      <c r="H1800" s="13" t="str">
        <f>Github!H$221</f>
        <v>Algorithms</v>
      </c>
      <c r="I1800" s="16" t="str">
        <f>SUBSTITUTE(Github!L$221, ";", ", ")</f>
        <v>Array, Sliding Window, Sorting, Bucket Sort, Ordered Set, </v>
      </c>
      <c r="J1800" s="13" t="str">
        <f>Github!E$221</f>
        <v>Hard</v>
      </c>
      <c r="K1800" s="13" t="str">
        <f>IF(TRIM(Github!D$221)="TRUE","FALSE","TRUE")</f>
        <v>TRUE</v>
      </c>
      <c r="L1800" s="13" t="b">
        <f>Github!M$221</f>
        <v>1</v>
      </c>
      <c r="M1800" s="13" t="b">
        <f>Github!N$221</f>
        <v>0</v>
      </c>
      <c r="N1800" s="13">
        <f>Github!P$221</f>
        <v>222905</v>
      </c>
      <c r="O1800" s="13">
        <f>Github!Q$221</f>
        <v>1012350</v>
      </c>
    </row>
    <row r="1801">
      <c r="A1801" s="13">
        <f>Github!J$1677</f>
        <v>1676</v>
      </c>
      <c r="B1801" s="14" t="str">
        <f>HYPERLINK(CONCAT("http://leetcode.com/problems/",Github!C$1677), Github!B$1677)</f>
        <v>Lowest Common Ancestor of a Binary Tree IV</v>
      </c>
      <c r="C1801" s="13">
        <f>Github!F$1677</f>
        <v>353</v>
      </c>
      <c r="D1801" s="13">
        <f>Github!G$1677</f>
        <v>13</v>
      </c>
      <c r="E1801" s="13">
        <f>Github!F$1677+Github!G$1677</f>
        <v>366</v>
      </c>
      <c r="F1801" s="15">
        <f t="shared" si="1"/>
        <v>27.15</v>
      </c>
      <c r="G1801" s="13" t="str">
        <f>ROUND(Github!O$1677, 2)&amp;"%"</f>
        <v>79.28%</v>
      </c>
      <c r="H1801" s="13" t="str">
        <f>Github!H$1677</f>
        <v>Algorithms</v>
      </c>
      <c r="I1801" s="16" t="str">
        <f>SUBSTITUTE(Github!L$1677, ";", ", ")</f>
        <v>Tree, Depth-First Search, Binary Tree, </v>
      </c>
      <c r="J1801" s="13" t="str">
        <f>Github!E$1677</f>
        <v>Medium</v>
      </c>
      <c r="K1801" s="13" t="str">
        <f>IF(TRIM(Github!D$1677)="TRUE","FALSE","TRUE")</f>
        <v>FALSE</v>
      </c>
      <c r="L1801" s="13" t="b">
        <f>Github!M$1677</f>
        <v>0</v>
      </c>
      <c r="M1801" s="13" t="b">
        <f>Github!N$1677</f>
        <v>0</v>
      </c>
      <c r="N1801" s="13">
        <f>Github!P$1677</f>
        <v>27295</v>
      </c>
      <c r="O1801" s="13">
        <f>Github!Q$1677</f>
        <v>34428</v>
      </c>
    </row>
    <row r="1802">
      <c r="A1802" s="13">
        <f>Github!J$2031</f>
        <v>2030</v>
      </c>
      <c r="B1802" s="14" t="str">
        <f>HYPERLINK(CONCAT("http://leetcode.com/problems/",Github!C$2031), Github!B$2031)</f>
        <v>Smallest K-Length Subsequence With Occurrences of a Letter</v>
      </c>
      <c r="C1802" s="13">
        <f>Github!F$2031</f>
        <v>360</v>
      </c>
      <c r="D1802" s="13">
        <f>Github!G$2031</f>
        <v>10</v>
      </c>
      <c r="E1802" s="13">
        <f>Github!F$2031+Github!G$2031</f>
        <v>370</v>
      </c>
      <c r="F1802" s="15">
        <f t="shared" si="1"/>
        <v>36</v>
      </c>
      <c r="G1802" s="13" t="str">
        <f>ROUND(Github!O$2031, 2)&amp;"%"</f>
        <v>38.86%</v>
      </c>
      <c r="H1802" s="13" t="str">
        <f>Github!H$2031</f>
        <v>Algorithms</v>
      </c>
      <c r="I1802" s="16" t="str">
        <f>SUBSTITUTE(Github!L$2031, ";", ", ")</f>
        <v>String, Stack, Greedy, Monotonic Stack, </v>
      </c>
      <c r="J1802" s="13" t="str">
        <f>Github!E$2031</f>
        <v>Hard</v>
      </c>
      <c r="K1802" s="13" t="str">
        <f>IF(TRIM(Github!D$2031)="TRUE","FALSE","TRUE")</f>
        <v>TRUE</v>
      </c>
      <c r="L1802" s="13" t="b">
        <f>Github!M$2031</f>
        <v>0</v>
      </c>
      <c r="M1802" s="13" t="b">
        <f>Github!N$2031</f>
        <v>0</v>
      </c>
      <c r="N1802" s="13">
        <f>Github!P$2031</f>
        <v>5834</v>
      </c>
      <c r="O1802" s="13">
        <f>Github!Q$2031</f>
        <v>15014</v>
      </c>
    </row>
    <row r="1803">
      <c r="A1803" s="13">
        <f>Github!J$1978</f>
        <v>1977</v>
      </c>
      <c r="B1803" s="14" t="str">
        <f>HYPERLINK(CONCAT("http://leetcode.com/problems/",Github!C$1978), Github!B$1978)</f>
        <v>Number of Ways to Separate Numbers</v>
      </c>
      <c r="C1803" s="13">
        <f>Github!F$1978</f>
        <v>355</v>
      </c>
      <c r="D1803" s="13">
        <f>Github!G$1978</f>
        <v>45</v>
      </c>
      <c r="E1803" s="13">
        <f>Github!F$1978+Github!G$1978</f>
        <v>400</v>
      </c>
      <c r="F1803" s="15">
        <f t="shared" si="1"/>
        <v>7.89</v>
      </c>
      <c r="G1803" s="13" t="str">
        <f>ROUND(Github!O$1978, 2)&amp;"%"</f>
        <v>20.71%</v>
      </c>
      <c r="H1803" s="13" t="str">
        <f>Github!H$1978</f>
        <v>Algorithms</v>
      </c>
      <c r="I1803" s="16" t="str">
        <f>SUBSTITUTE(Github!L$1978, ";", ", ")</f>
        <v>String, Dynamic Programming, Suffix Array, </v>
      </c>
      <c r="J1803" s="13" t="str">
        <f>Github!E$1978</f>
        <v>Hard</v>
      </c>
      <c r="K1803" s="13" t="str">
        <f>IF(TRIM(Github!D$1978)="TRUE","FALSE","TRUE")</f>
        <v>TRUE</v>
      </c>
      <c r="L1803" s="13" t="b">
        <f>Github!M$1978</f>
        <v>0</v>
      </c>
      <c r="M1803" s="13" t="b">
        <f>Github!N$1978</f>
        <v>0</v>
      </c>
      <c r="N1803" s="13">
        <f>Github!P$1978</f>
        <v>3930</v>
      </c>
      <c r="O1803" s="13">
        <f>Github!Q$1978</f>
        <v>18977</v>
      </c>
    </row>
    <row r="1804">
      <c r="A1804" s="13">
        <f>Github!J$2098</f>
        <v>2097</v>
      </c>
      <c r="B1804" s="14" t="str">
        <f>HYPERLINK(CONCAT("http://leetcode.com/problems/",Github!C$2098), Github!B$2098)</f>
        <v>Valid Arrangement of Pairs</v>
      </c>
      <c r="C1804" s="13">
        <f>Github!F$2098</f>
        <v>373</v>
      </c>
      <c r="D1804" s="13">
        <f>Github!G$2098</f>
        <v>19</v>
      </c>
      <c r="E1804" s="13">
        <f>Github!F$2098+Github!G$2098</f>
        <v>392</v>
      </c>
      <c r="F1804" s="15">
        <f t="shared" si="1"/>
        <v>19.63</v>
      </c>
      <c r="G1804" s="13" t="str">
        <f>ROUND(Github!O$2098, 2)&amp;"%"</f>
        <v>40.99%</v>
      </c>
      <c r="H1804" s="13" t="str">
        <f>Github!H$2098</f>
        <v>Algorithms</v>
      </c>
      <c r="I1804" s="16" t="str">
        <f>SUBSTITUTE(Github!L$2098, ";", ", ")</f>
        <v>Depth-First Search, Graph, Eulerian Circuit, </v>
      </c>
      <c r="J1804" s="13" t="str">
        <f>Github!E$2098</f>
        <v>Hard</v>
      </c>
      <c r="K1804" s="13" t="str">
        <f>IF(TRIM(Github!D$2098)="TRUE","FALSE","TRUE")</f>
        <v>TRUE</v>
      </c>
      <c r="L1804" s="13" t="b">
        <f>Github!M$2098</f>
        <v>0</v>
      </c>
      <c r="M1804" s="13" t="b">
        <f>Github!N$2098</f>
        <v>0</v>
      </c>
      <c r="N1804" s="13">
        <f>Github!P$2098</f>
        <v>6432</v>
      </c>
      <c r="O1804" s="13">
        <f>Github!Q$2098</f>
        <v>15693</v>
      </c>
    </row>
    <row r="1805">
      <c r="A1805" s="13">
        <f>Github!J$1657</f>
        <v>1656</v>
      </c>
      <c r="B1805" s="14" t="str">
        <f>HYPERLINK(CONCAT("http://leetcode.com/problems/",Github!C$1657), Github!B$1657)</f>
        <v>Design an Ordered Stream</v>
      </c>
      <c r="C1805" s="13">
        <f>Github!F$1657</f>
        <v>353</v>
      </c>
      <c r="D1805" s="13">
        <f>Github!G$1657</f>
        <v>2615</v>
      </c>
      <c r="E1805" s="13">
        <f>Github!F$1657+Github!G$1657</f>
        <v>2968</v>
      </c>
      <c r="F1805" s="15">
        <f t="shared" si="1"/>
        <v>0.13</v>
      </c>
      <c r="G1805" s="13" t="str">
        <f>ROUND(Github!O$1657, 2)&amp;"%"</f>
        <v>85.46%</v>
      </c>
      <c r="H1805" s="13" t="str">
        <f>Github!H$1657</f>
        <v>Algorithms</v>
      </c>
      <c r="I1805" s="16" t="str">
        <f>SUBSTITUTE(Github!L$1657, ";", ", ")</f>
        <v>Array, Hash Table, Design, Data Stream, </v>
      </c>
      <c r="J1805" s="13" t="str">
        <f>Github!E$1657</f>
        <v>Easy</v>
      </c>
      <c r="K1805" s="13" t="str">
        <f>IF(TRIM(Github!D$1657)="TRUE","FALSE","TRUE")</f>
        <v>TRUE</v>
      </c>
      <c r="L1805" s="13" t="b">
        <f>Github!M$1657</f>
        <v>0</v>
      </c>
      <c r="M1805" s="13" t="b">
        <f>Github!N$1657</f>
        <v>0</v>
      </c>
      <c r="N1805" s="13">
        <f>Github!P$1657</f>
        <v>60467</v>
      </c>
      <c r="O1805" s="13">
        <f>Github!Q$1657</f>
        <v>70759</v>
      </c>
    </row>
    <row r="1806">
      <c r="A1806" s="13">
        <f>Github!J$2039</f>
        <v>2038</v>
      </c>
      <c r="B1806" s="14" t="str">
        <f>HYPERLINK(CONCAT("http://leetcode.com/problems/",Github!C$2039), Github!B$2039)</f>
        <v>Remove Colored Pieces if Both Neighbors are the Same Color</v>
      </c>
      <c r="C1806" s="13">
        <f>Github!F$2039</f>
        <v>354</v>
      </c>
      <c r="D1806" s="13">
        <f>Github!G$2039</f>
        <v>33</v>
      </c>
      <c r="E1806" s="13">
        <f>Github!F$2039+Github!G$2039</f>
        <v>387</v>
      </c>
      <c r="F1806" s="15">
        <f t="shared" si="1"/>
        <v>10.73</v>
      </c>
      <c r="G1806" s="13" t="str">
        <f>ROUND(Github!O$2039, 2)&amp;"%"</f>
        <v>58.1%</v>
      </c>
      <c r="H1806" s="13" t="str">
        <f>Github!H$2039</f>
        <v>Algorithms</v>
      </c>
      <c r="I1806" s="16" t="str">
        <f>SUBSTITUTE(Github!L$2039, ";", ", ")</f>
        <v>Math, String, Greedy, Game Theory, </v>
      </c>
      <c r="J1806" s="13" t="str">
        <f>Github!E$2039</f>
        <v>Medium</v>
      </c>
      <c r="K1806" s="13" t="str">
        <f>IF(TRIM(Github!D$2039)="TRUE","FALSE","TRUE")</f>
        <v>TRUE</v>
      </c>
      <c r="L1806" s="13" t="b">
        <f>Github!M$2039</f>
        <v>0</v>
      </c>
      <c r="M1806" s="13" t="b">
        <f>Github!N$2039</f>
        <v>0</v>
      </c>
      <c r="N1806" s="13">
        <f>Github!P$2039</f>
        <v>20836</v>
      </c>
      <c r="O1806" s="13">
        <f>Github!Q$2039</f>
        <v>35862</v>
      </c>
    </row>
    <row r="1807">
      <c r="A1807" s="13">
        <f>Github!J$467</f>
        <v>466</v>
      </c>
      <c r="B1807" s="14" t="str">
        <f>HYPERLINK(CONCAT("http://leetcode.com/problems/",Github!C$467), Github!B$467)</f>
        <v>Count The Repetitions</v>
      </c>
      <c r="C1807" s="13">
        <f>Github!F$467</f>
        <v>350</v>
      </c>
      <c r="D1807" s="13">
        <f>Github!G$467</f>
        <v>296</v>
      </c>
      <c r="E1807" s="13">
        <f>Github!F$467+Github!G$467</f>
        <v>646</v>
      </c>
      <c r="F1807" s="15">
        <f t="shared" si="1"/>
        <v>1.18</v>
      </c>
      <c r="G1807" s="13" t="str">
        <f>ROUND(Github!O$467, 2)&amp;"%"</f>
        <v>29.31%</v>
      </c>
      <c r="H1807" s="13" t="str">
        <f>Github!H$467</f>
        <v>Algorithms</v>
      </c>
      <c r="I1807" s="16" t="str">
        <f>SUBSTITUTE(Github!L$467, ";", ", ")</f>
        <v>String, Dynamic Programming, </v>
      </c>
      <c r="J1807" s="13" t="str">
        <f>Github!E$467</f>
        <v>Hard</v>
      </c>
      <c r="K1807" s="13" t="str">
        <f>IF(TRIM(Github!D$467)="TRUE","FALSE","TRUE")</f>
        <v>TRUE</v>
      </c>
      <c r="L1807" s="13" t="b">
        <f>Github!M$467</f>
        <v>1</v>
      </c>
      <c r="M1807" s="13" t="b">
        <f>Github!N$467</f>
        <v>0</v>
      </c>
      <c r="N1807" s="13">
        <f>Github!P$467</f>
        <v>15371</v>
      </c>
      <c r="O1807" s="13">
        <f>Github!Q$467</f>
        <v>52451</v>
      </c>
    </row>
    <row r="1808">
      <c r="A1808" s="13">
        <f>Github!J$2004</f>
        <v>2003</v>
      </c>
      <c r="B1808" s="14" t="str">
        <f>HYPERLINK(CONCAT("http://leetcode.com/problems/",Github!C$2004), Github!B$2004)</f>
        <v>Smallest Missing Genetic Value in Each Subtree</v>
      </c>
      <c r="C1808" s="13">
        <f>Github!F$2004</f>
        <v>352</v>
      </c>
      <c r="D1808" s="13">
        <f>Github!G$2004</f>
        <v>19</v>
      </c>
      <c r="E1808" s="13">
        <f>Github!F$2004+Github!G$2004</f>
        <v>371</v>
      </c>
      <c r="F1808" s="15">
        <f t="shared" si="1"/>
        <v>18.53</v>
      </c>
      <c r="G1808" s="13" t="str">
        <f>ROUND(Github!O$2004, 2)&amp;"%"</f>
        <v>44.4%</v>
      </c>
      <c r="H1808" s="13" t="str">
        <f>Github!H$2004</f>
        <v>Algorithms</v>
      </c>
      <c r="I1808" s="16" t="str">
        <f>SUBSTITUTE(Github!L$2004, ";", ", ")</f>
        <v>Dynamic Programming, Tree, Depth-First Search, Union Find, </v>
      </c>
      <c r="J1808" s="13" t="str">
        <f>Github!E$2004</f>
        <v>Hard</v>
      </c>
      <c r="K1808" s="13" t="str">
        <f>IF(TRIM(Github!D$2004)="TRUE","FALSE","TRUE")</f>
        <v>TRUE</v>
      </c>
      <c r="L1808" s="13" t="b">
        <f>Github!M$2004</f>
        <v>0</v>
      </c>
      <c r="M1808" s="13" t="b">
        <f>Github!N$2004</f>
        <v>0</v>
      </c>
      <c r="N1808" s="13">
        <f>Github!P$2004</f>
        <v>6158</v>
      </c>
      <c r="O1808" s="13">
        <f>Github!Q$2004</f>
        <v>13869</v>
      </c>
    </row>
    <row r="1809">
      <c r="A1809" s="13">
        <f>Github!J$1151</f>
        <v>1150</v>
      </c>
      <c r="B1809" s="14" t="str">
        <f>HYPERLINK(CONCAT("http://leetcode.com/problems/",Github!C$1151), Github!B$1151)</f>
        <v>Check If a Number Is Majority Element in a Sorted Array</v>
      </c>
      <c r="C1809" s="13">
        <f>Github!F$1151</f>
        <v>352</v>
      </c>
      <c r="D1809" s="13">
        <f>Github!G$1151</f>
        <v>34</v>
      </c>
      <c r="E1809" s="13">
        <f>Github!F$1151+Github!G$1151</f>
        <v>386</v>
      </c>
      <c r="F1809" s="15">
        <f t="shared" si="1"/>
        <v>10.35</v>
      </c>
      <c r="G1809" s="13" t="str">
        <f>ROUND(Github!O$1151, 2)&amp;"%"</f>
        <v>57.06%</v>
      </c>
      <c r="H1809" s="13" t="str">
        <f>Github!H$1151</f>
        <v>Algorithms</v>
      </c>
      <c r="I1809" s="16" t="str">
        <f>SUBSTITUTE(Github!L$1151, ";", ", ")</f>
        <v>Array, Binary Search, </v>
      </c>
      <c r="J1809" s="13" t="str">
        <f>Github!E$1151</f>
        <v>Easy</v>
      </c>
      <c r="K1809" s="13" t="str">
        <f>IF(TRIM(Github!D$1151)="TRUE","FALSE","TRUE")</f>
        <v>FALSE</v>
      </c>
      <c r="L1809" s="13" t="b">
        <f>Github!M$1151</f>
        <v>0</v>
      </c>
      <c r="M1809" s="13" t="b">
        <f>Github!N$1151</f>
        <v>0</v>
      </c>
      <c r="N1809" s="13">
        <f>Github!P$1151</f>
        <v>37008</v>
      </c>
      <c r="O1809" s="13">
        <f>Github!Q$1151</f>
        <v>64859</v>
      </c>
    </row>
    <row r="1810">
      <c r="A1810" s="13">
        <f>Github!J$2158</f>
        <v>2157</v>
      </c>
      <c r="B1810" s="14" t="str">
        <f>HYPERLINK(CONCAT("http://leetcode.com/problems/",Github!C$2158), Github!B$2158)</f>
        <v>Groups of Strings</v>
      </c>
      <c r="C1810" s="13">
        <f>Github!F$2158</f>
        <v>353</v>
      </c>
      <c r="D1810" s="13">
        <f>Github!G$2158</f>
        <v>44</v>
      </c>
      <c r="E1810" s="13">
        <f>Github!F$2158+Github!G$2158</f>
        <v>397</v>
      </c>
      <c r="F1810" s="15">
        <f t="shared" si="1"/>
        <v>8.02</v>
      </c>
      <c r="G1810" s="13" t="str">
        <f>ROUND(Github!O$2158, 2)&amp;"%"</f>
        <v>25.45%</v>
      </c>
      <c r="H1810" s="13" t="str">
        <f>Github!H$2158</f>
        <v>Algorithms</v>
      </c>
      <c r="I1810" s="16" t="str">
        <f>SUBSTITUTE(Github!L$2158, ";", ", ")</f>
        <v>String, Bit Manipulation, Union Find, </v>
      </c>
      <c r="J1810" s="13" t="str">
        <f>Github!E$2158</f>
        <v>Hard</v>
      </c>
      <c r="K1810" s="13" t="str">
        <f>IF(TRIM(Github!D$2158)="TRUE","FALSE","TRUE")</f>
        <v>TRUE</v>
      </c>
      <c r="L1810" s="13" t="b">
        <f>Github!M$2158</f>
        <v>0</v>
      </c>
      <c r="M1810" s="13" t="b">
        <f>Github!N$2158</f>
        <v>0</v>
      </c>
      <c r="N1810" s="13">
        <f>Github!P$2158</f>
        <v>7238</v>
      </c>
      <c r="O1810" s="13">
        <f>Github!Q$2158</f>
        <v>28443</v>
      </c>
    </row>
    <row r="1811">
      <c r="A1811" s="13">
        <f>Github!J$2271</f>
        <v>2270</v>
      </c>
      <c r="B1811" s="14" t="str">
        <f>HYPERLINK(CONCAT("http://leetcode.com/problems/",Github!C$2271), Github!B$2271)</f>
        <v>Number of Ways to Split Array</v>
      </c>
      <c r="C1811" s="13">
        <f>Github!F$2271</f>
        <v>358</v>
      </c>
      <c r="D1811" s="13">
        <f>Github!G$2271</f>
        <v>30</v>
      </c>
      <c r="E1811" s="13">
        <f>Github!F$2271+Github!G$2271</f>
        <v>388</v>
      </c>
      <c r="F1811" s="15">
        <f t="shared" si="1"/>
        <v>11.93</v>
      </c>
      <c r="G1811" s="13" t="str">
        <f>ROUND(Github!O$2271, 2)&amp;"%"</f>
        <v>45.39%</v>
      </c>
      <c r="H1811" s="13" t="str">
        <f>Github!H2271</f>
        <v>Algorithms</v>
      </c>
      <c r="I1811" s="16" t="str">
        <f>SUBSTITUTE(Github!L$2271, ";", ", ")</f>
        <v>Array, Prefix Sum, </v>
      </c>
      <c r="J1811" s="13" t="str">
        <f>Github!E$2271</f>
        <v>Medium</v>
      </c>
      <c r="K1811" s="13" t="str">
        <f>IF(TRIM(Github!D$2271)="TRUE","FALSE","TRUE")</f>
        <v>TRUE</v>
      </c>
      <c r="L1811" s="13" t="b">
        <f>Github!M$2271</f>
        <v>0</v>
      </c>
      <c r="M1811" s="13" t="b">
        <f>Github!N$2271</f>
        <v>0</v>
      </c>
      <c r="N1811" s="13">
        <f>Github!P$2271</f>
        <v>23082</v>
      </c>
      <c r="O1811" s="13">
        <f>Github!Q$2271</f>
        <v>50850</v>
      </c>
    </row>
    <row r="1812">
      <c r="A1812" s="13">
        <f>Github!J$1491</f>
        <v>1490</v>
      </c>
      <c r="B1812" s="14" t="str">
        <f>HYPERLINK(CONCAT("http://leetcode.com/problems/",Github!C$1491), Github!B$1491)</f>
        <v>Clone N-ary Tree</v>
      </c>
      <c r="C1812" s="13">
        <f>Github!F$1491</f>
        <v>348</v>
      </c>
      <c r="D1812" s="13">
        <f>Github!G$1491</f>
        <v>14</v>
      </c>
      <c r="E1812" s="13">
        <f>Github!F$1491+Github!G$1491</f>
        <v>362</v>
      </c>
      <c r="F1812" s="15">
        <f t="shared" si="1"/>
        <v>24.86</v>
      </c>
      <c r="G1812" s="13" t="str">
        <f>ROUND(Github!O$1491, 2)&amp;"%"</f>
        <v>83.58%</v>
      </c>
      <c r="H1812" s="13" t="str">
        <f>Github!H$1491</f>
        <v>Algorithms</v>
      </c>
      <c r="I1812" s="16" t="str">
        <f>SUBSTITUTE(Github!L$1491, ";", ", ")</f>
        <v>Hash Table, Tree, Depth-First Search, Breadth-First Search, </v>
      </c>
      <c r="J1812" s="13" t="str">
        <f>Github!E$1491</f>
        <v>Medium</v>
      </c>
      <c r="K1812" s="13" t="str">
        <f>IF(TRIM(Github!D$1491)="TRUE","FALSE","TRUE")</f>
        <v>FALSE</v>
      </c>
      <c r="L1812" s="13" t="b">
        <f>Github!M$1491</f>
        <v>1</v>
      </c>
      <c r="M1812" s="13" t="b">
        <f>Github!N$1491</f>
        <v>0</v>
      </c>
      <c r="N1812" s="13">
        <f>Github!P$1491</f>
        <v>23983</v>
      </c>
      <c r="O1812" s="13">
        <f>Github!Q$1491</f>
        <v>28695</v>
      </c>
    </row>
    <row r="1813">
      <c r="A1813" s="13">
        <f>Github!J$1112</f>
        <v>1111</v>
      </c>
      <c r="B1813" s="14" t="str">
        <f>HYPERLINK(CONCAT("http://leetcode.com/problems/",Github!C$1112), Github!B$1112)</f>
        <v>Maximum Nesting Depth of Two Valid Parentheses Strings</v>
      </c>
      <c r="C1813" s="13">
        <f>Github!F$1112</f>
        <v>349</v>
      </c>
      <c r="D1813" s="13">
        <f>Github!G$1112</f>
        <v>1447</v>
      </c>
      <c r="E1813" s="13">
        <f>Github!F$1112+Github!G$1112</f>
        <v>1796</v>
      </c>
      <c r="F1813" s="15">
        <f t="shared" si="1"/>
        <v>0.24</v>
      </c>
      <c r="G1813" s="13" t="str">
        <f>ROUND(Github!O$1112, 2)&amp;"%"</f>
        <v>73.17%</v>
      </c>
      <c r="H1813" s="13" t="str">
        <f>Github!H$1112</f>
        <v>Algorithms</v>
      </c>
      <c r="I1813" s="16" t="str">
        <f>SUBSTITUTE(Github!L$1112, ";", ", ")</f>
        <v>String, Stack, </v>
      </c>
      <c r="J1813" s="13" t="str">
        <f>Github!E$1112</f>
        <v>Medium</v>
      </c>
      <c r="K1813" s="13" t="str">
        <f>IF(TRIM(Github!D$1112)="TRUE","FALSE","TRUE")</f>
        <v>TRUE</v>
      </c>
      <c r="L1813" s="13" t="b">
        <f>Github!M$1112</f>
        <v>0</v>
      </c>
      <c r="M1813" s="13" t="b">
        <f>Github!N$1112</f>
        <v>0</v>
      </c>
      <c r="N1813" s="13">
        <f>Github!P$1112</f>
        <v>22236</v>
      </c>
      <c r="O1813" s="13">
        <f>Github!Q$1112</f>
        <v>30389</v>
      </c>
    </row>
    <row r="1814">
      <c r="A1814" s="13">
        <f>Github!J$2319</f>
        <v>2318</v>
      </c>
      <c r="B1814" s="14" t="str">
        <f>HYPERLINK(CONCAT("http://leetcode.com/problems/",Github!C$2319), Github!B$2319)</f>
        <v>Number of Distinct Roll Sequences</v>
      </c>
      <c r="C1814" s="13">
        <f>Github!F$2319</f>
        <v>348</v>
      </c>
      <c r="D1814" s="13">
        <f>Github!G$2319</f>
        <v>12</v>
      </c>
      <c r="E1814" s="13">
        <f>Github!F$2319+Github!G$2319</f>
        <v>360</v>
      </c>
      <c r="F1814" s="15">
        <f t="shared" si="1"/>
        <v>29</v>
      </c>
      <c r="G1814" s="13" t="str">
        <f>ROUND(Github!O$2319, 2)&amp;"%"</f>
        <v>56.19%</v>
      </c>
      <c r="H1814" s="13" t="str">
        <f>Github!H2319</f>
        <v>Algorithms</v>
      </c>
      <c r="I1814" s="16" t="str">
        <f>SUBSTITUTE(Github!L$2319, ";", ", ")</f>
        <v>Dynamic Programming, Memoization, </v>
      </c>
      <c r="J1814" s="13" t="str">
        <f>Github!E$2319</f>
        <v>Hard</v>
      </c>
      <c r="K1814" s="13" t="str">
        <f>IF(TRIM(Github!D$2319)="TRUE","FALSE","TRUE")</f>
        <v>TRUE</v>
      </c>
      <c r="L1814" s="13" t="b">
        <f>Github!M$2319</f>
        <v>0</v>
      </c>
      <c r="M1814" s="13" t="b">
        <f>Github!N$2319</f>
        <v>0</v>
      </c>
      <c r="N1814" s="13">
        <f>Github!P$2319</f>
        <v>7984</v>
      </c>
      <c r="O1814" s="13">
        <f>Github!Q$2319</f>
        <v>14209</v>
      </c>
    </row>
    <row r="1815">
      <c r="A1815" s="13">
        <f>Github!J$2284</f>
        <v>2283</v>
      </c>
      <c r="B1815" s="14" t="str">
        <f>HYPERLINK(CONCAT("http://leetcode.com/problems/",Github!C$2284), Github!B$2284)</f>
        <v>Check if Number Has Equal Digit Count and Digit Value</v>
      </c>
      <c r="C1815" s="13">
        <f>Github!F$2284</f>
        <v>354</v>
      </c>
      <c r="D1815" s="13">
        <f>Github!G$2284</f>
        <v>35</v>
      </c>
      <c r="E1815" s="13">
        <f>Github!F$2284+Github!G$2284</f>
        <v>389</v>
      </c>
      <c r="F1815" s="15">
        <f t="shared" si="1"/>
        <v>10.11</v>
      </c>
      <c r="G1815" s="13" t="str">
        <f>ROUND(Github!O$2284, 2)&amp;"%"</f>
        <v>73.39%</v>
      </c>
      <c r="H1815" s="13" t="str">
        <f>Github!H2284</f>
        <v>Algorithms</v>
      </c>
      <c r="I1815" s="16" t="str">
        <f>SUBSTITUTE(Github!L$2284, ";", ", ")</f>
        <v>Hash Table, String, Counting, </v>
      </c>
      <c r="J1815" s="13" t="str">
        <f>Github!E$2284</f>
        <v>Easy</v>
      </c>
      <c r="K1815" s="13" t="str">
        <f>IF(TRIM(Github!D$2284)="TRUE","FALSE","TRUE")</f>
        <v>TRUE</v>
      </c>
      <c r="L1815" s="13" t="b">
        <f>Github!M$2284</f>
        <v>0</v>
      </c>
      <c r="M1815" s="13" t="b">
        <f>Github!N$2284</f>
        <v>0</v>
      </c>
      <c r="N1815" s="13">
        <f>Github!P$2284</f>
        <v>33526</v>
      </c>
      <c r="O1815" s="13">
        <f>Github!Q$2284</f>
        <v>45680</v>
      </c>
    </row>
    <row r="1816">
      <c r="A1816" s="13">
        <f>Github!J$2294</f>
        <v>2293</v>
      </c>
      <c r="B1816" s="14" t="str">
        <f>HYPERLINK(CONCAT("http://leetcode.com/problems/",Github!C$2294), Github!B$2294)</f>
        <v>Min Max Game</v>
      </c>
      <c r="C1816" s="13">
        <f>Github!F$2294</f>
        <v>356</v>
      </c>
      <c r="D1816" s="13">
        <f>Github!G$2294</f>
        <v>17</v>
      </c>
      <c r="E1816" s="13">
        <f>Github!F$2294+Github!G$2294</f>
        <v>373</v>
      </c>
      <c r="F1816" s="15">
        <f t="shared" si="1"/>
        <v>20.94</v>
      </c>
      <c r="G1816" s="13" t="str">
        <f>ROUND(Github!O$2294, 2)&amp;"%"</f>
        <v>64.08%</v>
      </c>
      <c r="H1816" s="13" t="str">
        <f>Github!H2294</f>
        <v>Algorithms</v>
      </c>
      <c r="I1816" s="16" t="str">
        <f>SUBSTITUTE(Github!L$2294, ";", ", ")</f>
        <v>Array, Simulation, </v>
      </c>
      <c r="J1816" s="13" t="str">
        <f>Github!E$2294</f>
        <v>Easy</v>
      </c>
      <c r="K1816" s="13" t="str">
        <f>IF(TRIM(Github!D$2294)="TRUE","FALSE","TRUE")</f>
        <v>TRUE</v>
      </c>
      <c r="L1816" s="13" t="b">
        <f>Github!M$2294</f>
        <v>0</v>
      </c>
      <c r="M1816" s="13" t="b">
        <f>Github!N$2294</f>
        <v>0</v>
      </c>
      <c r="N1816" s="13">
        <f>Github!P$2294</f>
        <v>32914</v>
      </c>
      <c r="O1816" s="13">
        <f>Github!Q$2294</f>
        <v>51363</v>
      </c>
    </row>
    <row r="1817">
      <c r="A1817" s="13">
        <f>Github!J$1873</f>
        <v>1872</v>
      </c>
      <c r="B1817" s="14" t="str">
        <f>HYPERLINK(CONCAT("http://leetcode.com/problems/",Github!C$1873), Github!B$1873)</f>
        <v>Stone Game VIII</v>
      </c>
      <c r="C1817" s="13">
        <f>Github!F$1873</f>
        <v>351</v>
      </c>
      <c r="D1817" s="13">
        <f>Github!G$1873</f>
        <v>17</v>
      </c>
      <c r="E1817" s="13">
        <f>Github!F$1873+Github!G$1873</f>
        <v>368</v>
      </c>
      <c r="F1817" s="15">
        <f t="shared" si="1"/>
        <v>20.65</v>
      </c>
      <c r="G1817" s="13" t="str">
        <f>ROUND(Github!O$1873, 2)&amp;"%"</f>
        <v>52.52%</v>
      </c>
      <c r="H1817" s="13" t="str">
        <f>Github!H$1873</f>
        <v>Algorithms</v>
      </c>
      <c r="I1817" s="16" t="str">
        <f>SUBSTITUTE(Github!L$1873, ";", ", ")</f>
        <v>Array, Math, Dynamic Programming, Prefix Sum, Game Theory, </v>
      </c>
      <c r="J1817" s="13" t="str">
        <f>Github!E$1873</f>
        <v>Hard</v>
      </c>
      <c r="K1817" s="13" t="str">
        <f>IF(TRIM(Github!D$1873)="TRUE","FALSE","TRUE")</f>
        <v>TRUE</v>
      </c>
      <c r="L1817" s="13" t="b">
        <f>Github!M$1873</f>
        <v>0</v>
      </c>
      <c r="M1817" s="13" t="b">
        <f>Github!N$1873</f>
        <v>0</v>
      </c>
      <c r="N1817" s="13">
        <f>Github!P$1873</f>
        <v>6905</v>
      </c>
      <c r="O1817" s="13">
        <f>Github!Q$1873</f>
        <v>13148</v>
      </c>
    </row>
    <row r="1818">
      <c r="A1818" s="13">
        <f>Github!J$1455</f>
        <v>1454</v>
      </c>
      <c r="B1818" s="14" t="str">
        <f>HYPERLINK(CONCAT("http://leetcode.com/problems/",Github!C$1455), Github!B$1455)</f>
        <v>Active Users</v>
      </c>
      <c r="C1818" s="13">
        <f>Github!F$1455</f>
        <v>349</v>
      </c>
      <c r="D1818" s="13">
        <f>Github!G$1455</f>
        <v>33</v>
      </c>
      <c r="E1818" s="13">
        <f>Github!F$1455+Github!G$1455</f>
        <v>382</v>
      </c>
      <c r="F1818" s="15">
        <f t="shared" si="1"/>
        <v>10.58</v>
      </c>
      <c r="G1818" s="13" t="str">
        <f>ROUND(Github!O$1455, 2)&amp;"%"</f>
        <v>38.06%</v>
      </c>
      <c r="H1818" s="13" t="str">
        <f>Github!H$1455</f>
        <v>Database</v>
      </c>
      <c r="I1818" s="16" t="str">
        <f>SUBSTITUTE(Github!L$1455, ";", ", ")</f>
        <v>Database, </v>
      </c>
      <c r="J1818" s="13" t="str">
        <f>Github!E$1455</f>
        <v>Medium</v>
      </c>
      <c r="K1818" s="13" t="str">
        <f>IF(TRIM(Github!D$1455)="TRUE","FALSE","TRUE")</f>
        <v>FALSE</v>
      </c>
      <c r="L1818" s="13" t="b">
        <f>Github!M$1455</f>
        <v>0</v>
      </c>
      <c r="M1818" s="13" t="b">
        <f>Github!N$1455</f>
        <v>0</v>
      </c>
      <c r="N1818" s="13">
        <f>Github!P$1455</f>
        <v>29824</v>
      </c>
      <c r="O1818" s="13">
        <f>Github!Q$1455</f>
        <v>78353</v>
      </c>
    </row>
    <row r="1819">
      <c r="A1819" s="13">
        <f>Github!J$520</f>
        <v>519</v>
      </c>
      <c r="B1819" s="14" t="str">
        <f>HYPERLINK(CONCAT("http://leetcode.com/problems/",Github!C$520), Github!B$520)</f>
        <v>Random Flip Matrix</v>
      </c>
      <c r="C1819" s="13">
        <f>Github!F$520</f>
        <v>344</v>
      </c>
      <c r="D1819" s="13">
        <f>Github!G$520</f>
        <v>97</v>
      </c>
      <c r="E1819" s="13">
        <f>Github!F$520+Github!G$520</f>
        <v>441</v>
      </c>
      <c r="F1819" s="15">
        <f t="shared" si="1"/>
        <v>3.55</v>
      </c>
      <c r="G1819" s="13" t="str">
        <f>ROUND(Github!O$520, 2)&amp;"%"</f>
        <v>39.98%</v>
      </c>
      <c r="H1819" s="13" t="str">
        <f>Github!H$520</f>
        <v>Algorithms</v>
      </c>
      <c r="I1819" s="16" t="str">
        <f>SUBSTITUTE(Github!L$520, ";", ", ")</f>
        <v>Hash Table, Math, Reservoir Sampling, Randomized, </v>
      </c>
      <c r="J1819" s="13" t="str">
        <f>Github!E$520</f>
        <v>Medium</v>
      </c>
      <c r="K1819" s="13" t="str">
        <f>IF(TRIM(Github!D$520)="TRUE","FALSE","TRUE")</f>
        <v>TRUE</v>
      </c>
      <c r="L1819" s="13" t="b">
        <f>Github!M$520</f>
        <v>1</v>
      </c>
      <c r="M1819" s="13" t="b">
        <f>Github!N$520</f>
        <v>0</v>
      </c>
      <c r="N1819" s="13">
        <f>Github!P$520</f>
        <v>15518</v>
      </c>
      <c r="O1819" s="13">
        <f>Github!Q$520</f>
        <v>38811</v>
      </c>
    </row>
    <row r="1820">
      <c r="A1820" s="13">
        <f>Github!J$2198</f>
        <v>2197</v>
      </c>
      <c r="B1820" s="14" t="str">
        <f>HYPERLINK(CONCAT("http://leetcode.com/problems/",Github!C$2198), Github!B$2198)</f>
        <v>Replace Non-Coprime Numbers in Array</v>
      </c>
      <c r="C1820" s="13">
        <f>Github!F$2198</f>
        <v>345</v>
      </c>
      <c r="D1820" s="13">
        <f>Github!G$2198</f>
        <v>9</v>
      </c>
      <c r="E1820" s="13">
        <f>Github!F$2198+Github!G$2198</f>
        <v>354</v>
      </c>
      <c r="F1820" s="15">
        <f t="shared" si="1"/>
        <v>38.33</v>
      </c>
      <c r="G1820" s="13" t="str">
        <f>ROUND(Github!O$2198, 2)&amp;"%"</f>
        <v>38.67%</v>
      </c>
      <c r="H1820" s="13" t="str">
        <f>Github!H$2198</f>
        <v>Algorithms</v>
      </c>
      <c r="I1820" s="16" t="str">
        <f>SUBSTITUTE(Github!L$2198, ";", ", ")</f>
        <v>Array, Math, Stack, Number Theory, </v>
      </c>
      <c r="J1820" s="13" t="str">
        <f>Github!E$2198</f>
        <v>Hard</v>
      </c>
      <c r="K1820" s="13" t="str">
        <f>IF(TRIM(Github!D$2198)="TRUE","FALSE","TRUE")</f>
        <v>TRUE</v>
      </c>
      <c r="L1820" s="13" t="b">
        <f>Github!M$2198</f>
        <v>0</v>
      </c>
      <c r="M1820" s="13" t="b">
        <f>Github!N$2198</f>
        <v>0</v>
      </c>
      <c r="N1820" s="13">
        <f>Github!P$2198</f>
        <v>11067</v>
      </c>
      <c r="O1820" s="13">
        <f>Github!Q$2198</f>
        <v>28620</v>
      </c>
    </row>
    <row r="1821">
      <c r="A1821" s="13">
        <f>Github!J$1271</f>
        <v>1270</v>
      </c>
      <c r="B1821" s="14" t="str">
        <f>HYPERLINK(CONCAT("http://leetcode.com/problems/",Github!C$1271), Github!B$1271)</f>
        <v>All People Report to the Given Manager</v>
      </c>
      <c r="C1821" s="13">
        <f>Github!F$1271</f>
        <v>347</v>
      </c>
      <c r="D1821" s="13">
        <f>Github!G$1271</f>
        <v>24</v>
      </c>
      <c r="E1821" s="13">
        <f>Github!F$1271+Github!G$1271</f>
        <v>371</v>
      </c>
      <c r="F1821" s="15">
        <f t="shared" si="1"/>
        <v>14.46</v>
      </c>
      <c r="G1821" s="13" t="str">
        <f>ROUND(Github!O$1271, 2)&amp;"%"</f>
        <v>87.78%</v>
      </c>
      <c r="H1821" s="13" t="str">
        <f>Github!H$1271</f>
        <v>Database</v>
      </c>
      <c r="I1821" s="16" t="str">
        <f>SUBSTITUTE(Github!L$1271, ";", ", ")</f>
        <v>Database, </v>
      </c>
      <c r="J1821" s="13" t="str">
        <f>Github!E$1271</f>
        <v>Medium</v>
      </c>
      <c r="K1821" s="13" t="str">
        <f>IF(TRIM(Github!D$1271)="TRUE","FALSE","TRUE")</f>
        <v>FALSE</v>
      </c>
      <c r="L1821" s="13" t="b">
        <f>Github!M$1271</f>
        <v>0</v>
      </c>
      <c r="M1821" s="13" t="b">
        <f>Github!N$1271</f>
        <v>0</v>
      </c>
      <c r="N1821" s="13">
        <f>Github!P$1271</f>
        <v>44990</v>
      </c>
      <c r="O1821" s="13">
        <f>Github!Q$1271</f>
        <v>51256</v>
      </c>
    </row>
    <row r="1822">
      <c r="A1822" s="13">
        <f>Github!J$2323</f>
        <v>2322</v>
      </c>
      <c r="B1822" s="14" t="str">
        <f>HYPERLINK(CONCAT("http://leetcode.com/problems/",Github!C$2323), Github!B$2323)</f>
        <v>Minimum Score After Removals on a Tree</v>
      </c>
      <c r="C1822" s="13">
        <f>Github!F$2323</f>
        <v>347</v>
      </c>
      <c r="D1822" s="13">
        <f>Github!G$2323</f>
        <v>12</v>
      </c>
      <c r="E1822" s="13">
        <f>Github!F$2323+Github!G$2323</f>
        <v>359</v>
      </c>
      <c r="F1822" s="15">
        <f t="shared" si="1"/>
        <v>28.92</v>
      </c>
      <c r="G1822" s="13" t="str">
        <f>ROUND(Github!O$2323, 2)&amp;"%"</f>
        <v>50.78%</v>
      </c>
      <c r="H1822" s="13" t="str">
        <f>Github!H2323</f>
        <v>Algorithms</v>
      </c>
      <c r="I1822" s="16" t="str">
        <f>SUBSTITUTE(Github!L$2323, ";", ", ")</f>
        <v>Array, Bit Manipulation, Tree, Depth-First Search, </v>
      </c>
      <c r="J1822" s="13" t="str">
        <f>Github!E$2323</f>
        <v>Hard</v>
      </c>
      <c r="K1822" s="13" t="str">
        <f>IF(TRIM(Github!D$2323)="TRUE","FALSE","TRUE")</f>
        <v>TRUE</v>
      </c>
      <c r="L1822" s="13" t="b">
        <f>Github!M$2323</f>
        <v>0</v>
      </c>
      <c r="M1822" s="13" t="b">
        <f>Github!N$2323</f>
        <v>0</v>
      </c>
      <c r="N1822" s="13">
        <f>Github!P$2323</f>
        <v>5146</v>
      </c>
      <c r="O1822" s="13">
        <f>Github!Q$2323</f>
        <v>10133</v>
      </c>
    </row>
    <row r="1823">
      <c r="A1823" s="13">
        <f>Github!J$2316</f>
        <v>2315</v>
      </c>
      <c r="B1823" s="14" t="str">
        <f>HYPERLINK(CONCAT("http://leetcode.com/problems/",Github!C$2316), Github!B$2316)</f>
        <v>Count Asterisks</v>
      </c>
      <c r="C1823" s="13">
        <f>Github!F$2316</f>
        <v>350</v>
      </c>
      <c r="D1823" s="13">
        <f>Github!G$2316</f>
        <v>54</v>
      </c>
      <c r="E1823" s="13">
        <f>Github!F$2316+Github!G$2316</f>
        <v>404</v>
      </c>
      <c r="F1823" s="15">
        <f t="shared" si="1"/>
        <v>6.48</v>
      </c>
      <c r="G1823" s="13" t="str">
        <f>ROUND(Github!O$2316, 2)&amp;"%"</f>
        <v>82.28%</v>
      </c>
      <c r="H1823" s="13" t="str">
        <f>Github!H2316</f>
        <v>Algorithms</v>
      </c>
      <c r="I1823" s="16" t="str">
        <f>SUBSTITUTE(Github!L$2316, ";", ", ")</f>
        <v>String, </v>
      </c>
      <c r="J1823" s="13" t="str">
        <f>Github!E$2316</f>
        <v>Easy</v>
      </c>
      <c r="K1823" s="13" t="str">
        <f>IF(TRIM(Github!D$2316)="TRUE","FALSE","TRUE")</f>
        <v>TRUE</v>
      </c>
      <c r="L1823" s="13" t="b">
        <f>Github!M$2316</f>
        <v>0</v>
      </c>
      <c r="M1823" s="13" t="b">
        <f>Github!N$2316</f>
        <v>0</v>
      </c>
      <c r="N1823" s="13">
        <f>Github!P$2316</f>
        <v>36780</v>
      </c>
      <c r="O1823" s="13">
        <f>Github!Q$2316</f>
        <v>44701</v>
      </c>
    </row>
    <row r="1824">
      <c r="A1824" s="13">
        <f>Github!J$1555</f>
        <v>1554</v>
      </c>
      <c r="B1824" s="14" t="str">
        <f>HYPERLINK(CONCAT("http://leetcode.com/problems/",Github!C$1555), Github!B$1555)</f>
        <v>Strings Differ by One Character</v>
      </c>
      <c r="C1824" s="13">
        <f>Github!F$1555</f>
        <v>342</v>
      </c>
      <c r="D1824" s="13">
        <f>Github!G$1555</f>
        <v>82</v>
      </c>
      <c r="E1824" s="13">
        <f>Github!F$1555+Github!G$1555</f>
        <v>424</v>
      </c>
      <c r="F1824" s="15">
        <f t="shared" si="1"/>
        <v>4.17</v>
      </c>
      <c r="G1824" s="13" t="str">
        <f>ROUND(Github!O$1555, 2)&amp;"%"</f>
        <v>42.9%</v>
      </c>
      <c r="H1824" s="13" t="str">
        <f>Github!H$1555</f>
        <v>Algorithms</v>
      </c>
      <c r="I1824" s="16" t="str">
        <f>SUBSTITUTE(Github!L$1555, ";", ", ")</f>
        <v>Hash Table, String, Rolling Hash, Hash Function, </v>
      </c>
      <c r="J1824" s="13" t="str">
        <f>Github!E$1555</f>
        <v>Medium</v>
      </c>
      <c r="K1824" s="13" t="str">
        <f>IF(TRIM(Github!D$1555)="TRUE","FALSE","TRUE")</f>
        <v>FALSE</v>
      </c>
      <c r="L1824" s="13" t="b">
        <f>Github!M$1555</f>
        <v>0</v>
      </c>
      <c r="M1824" s="13" t="b">
        <f>Github!N$1555</f>
        <v>0</v>
      </c>
      <c r="N1824" s="13">
        <f>Github!P$1555</f>
        <v>21552</v>
      </c>
      <c r="O1824" s="13">
        <f>Github!Q$1555</f>
        <v>50233</v>
      </c>
    </row>
    <row r="1825">
      <c r="A1825" s="13">
        <f>Github!J$1593</f>
        <v>1592</v>
      </c>
      <c r="B1825" s="14" t="str">
        <f>HYPERLINK(CONCAT("http://leetcode.com/problems/",Github!C$1593), Github!B$1593)</f>
        <v>Rearrange Spaces Between Words</v>
      </c>
      <c r="C1825" s="13">
        <f>Github!F$1593</f>
        <v>343</v>
      </c>
      <c r="D1825" s="13">
        <f>Github!G$1593</f>
        <v>286</v>
      </c>
      <c r="E1825" s="13">
        <f>Github!F$1593+Github!G$1593</f>
        <v>629</v>
      </c>
      <c r="F1825" s="15">
        <f t="shared" si="1"/>
        <v>1.2</v>
      </c>
      <c r="G1825" s="13" t="str">
        <f>ROUND(Github!O$1593, 2)&amp;"%"</f>
        <v>43.69%</v>
      </c>
      <c r="H1825" s="13" t="str">
        <f>Github!H$1593</f>
        <v>Algorithms</v>
      </c>
      <c r="I1825" s="16" t="str">
        <f>SUBSTITUTE(Github!L$1593, ";", ", ")</f>
        <v>String, </v>
      </c>
      <c r="J1825" s="13" t="str">
        <f>Github!E$1593</f>
        <v>Easy</v>
      </c>
      <c r="K1825" s="13" t="str">
        <f>IF(TRIM(Github!D$1593)="TRUE","FALSE","TRUE")</f>
        <v>TRUE</v>
      </c>
      <c r="L1825" s="13" t="b">
        <f>Github!M$1593</f>
        <v>0</v>
      </c>
      <c r="M1825" s="13" t="b">
        <f>Github!N$1593</f>
        <v>0</v>
      </c>
      <c r="N1825" s="13">
        <f>Github!P$1593</f>
        <v>44886</v>
      </c>
      <c r="O1825" s="13">
        <f>Github!Q$1593</f>
        <v>102743</v>
      </c>
    </row>
    <row r="1826">
      <c r="A1826" s="13">
        <f>Github!J$593</f>
        <v>592</v>
      </c>
      <c r="B1826" s="14" t="str">
        <f>HYPERLINK(CONCAT("http://leetcode.com/problems/",Github!C$593), Github!B$593)</f>
        <v>Fraction Addition and Subtraction</v>
      </c>
      <c r="C1826" s="13">
        <f>Github!F$593</f>
        <v>340</v>
      </c>
      <c r="D1826" s="13">
        <f>Github!G$593</f>
        <v>476</v>
      </c>
      <c r="E1826" s="13">
        <f>Github!F$593+Github!G$593</f>
        <v>816</v>
      </c>
      <c r="F1826" s="15">
        <f t="shared" si="1"/>
        <v>0.71</v>
      </c>
      <c r="G1826" s="13" t="str">
        <f>ROUND(Github!O$593, 2)&amp;"%"</f>
        <v>52.21%</v>
      </c>
      <c r="H1826" s="13" t="str">
        <f>Github!H$593</f>
        <v>Algorithms</v>
      </c>
      <c r="I1826" s="16" t="str">
        <f>SUBSTITUTE(Github!L$593, ";", ", ")</f>
        <v>Math, String, Simulation, </v>
      </c>
      <c r="J1826" s="13" t="str">
        <f>Github!E$593</f>
        <v>Medium</v>
      </c>
      <c r="K1826" s="13" t="str">
        <f>IF(TRIM(Github!D$593)="TRUE","FALSE","TRUE")</f>
        <v>TRUE</v>
      </c>
      <c r="L1826" s="13" t="b">
        <f>Github!M$593</f>
        <v>1</v>
      </c>
      <c r="M1826" s="13" t="b">
        <f>Github!N$593</f>
        <v>0</v>
      </c>
      <c r="N1826" s="13">
        <f>Github!P$593</f>
        <v>31509</v>
      </c>
      <c r="O1826" s="13">
        <f>Github!Q$593</f>
        <v>60355</v>
      </c>
    </row>
    <row r="1827">
      <c r="A1827" s="13">
        <f>Github!J$1953</f>
        <v>1952</v>
      </c>
      <c r="B1827" s="14" t="str">
        <f>HYPERLINK(CONCAT("http://leetcode.com/problems/",Github!C$1953), Github!B$1953)</f>
        <v>Three Divisors</v>
      </c>
      <c r="C1827" s="13">
        <f>Github!F$1953</f>
        <v>348</v>
      </c>
      <c r="D1827" s="13">
        <f>Github!G$1953</f>
        <v>19</v>
      </c>
      <c r="E1827" s="13">
        <f>Github!F$1953+Github!G$1953</f>
        <v>367</v>
      </c>
      <c r="F1827" s="15">
        <f t="shared" si="1"/>
        <v>18.32</v>
      </c>
      <c r="G1827" s="13" t="str">
        <f>ROUND(Github!O$1953, 2)&amp;"%"</f>
        <v>57.33%</v>
      </c>
      <c r="H1827" s="13" t="str">
        <f>Github!H$1953</f>
        <v>Algorithms</v>
      </c>
      <c r="I1827" s="16" t="str">
        <f>SUBSTITUTE(Github!L$1953, ";", ", ")</f>
        <v>Math, </v>
      </c>
      <c r="J1827" s="13" t="str">
        <f>Github!E$1953</f>
        <v>Easy</v>
      </c>
      <c r="K1827" s="13" t="str">
        <f>IF(TRIM(Github!D$1953)="TRUE","FALSE","TRUE")</f>
        <v>TRUE</v>
      </c>
      <c r="L1827" s="13" t="b">
        <f>Github!M$1953</f>
        <v>0</v>
      </c>
      <c r="M1827" s="13" t="b">
        <f>Github!N$1953</f>
        <v>0</v>
      </c>
      <c r="N1827" s="13">
        <f>Github!P$1953</f>
        <v>37451</v>
      </c>
      <c r="O1827" s="13">
        <f>Github!Q$1953</f>
        <v>65329</v>
      </c>
    </row>
    <row r="1828">
      <c r="A1828" s="13">
        <f>Github!J$964</f>
        <v>963</v>
      </c>
      <c r="B1828" s="14" t="str">
        <f>HYPERLINK(CONCAT("http://leetcode.com/problems/",Github!C$964), Github!B$964)</f>
        <v>Minimum Area Rectangle II</v>
      </c>
      <c r="C1828" s="13">
        <f>Github!F$964</f>
        <v>339</v>
      </c>
      <c r="D1828" s="13">
        <f>Github!G$964</f>
        <v>425</v>
      </c>
      <c r="E1828" s="13">
        <f>Github!F$964+Github!G$964</f>
        <v>764</v>
      </c>
      <c r="F1828" s="15">
        <f t="shared" si="1"/>
        <v>0.8</v>
      </c>
      <c r="G1828" s="13" t="str">
        <f>ROUND(Github!O$964, 2)&amp;"%"</f>
        <v>54.7%</v>
      </c>
      <c r="H1828" s="13" t="str">
        <f>Github!H$964</f>
        <v>Algorithms</v>
      </c>
      <c r="I1828" s="16" t="str">
        <f>SUBSTITUTE(Github!L$964, ";", ", ")</f>
        <v>Array, Math, Geometry, </v>
      </c>
      <c r="J1828" s="13" t="str">
        <f>Github!E$964</f>
        <v>Medium</v>
      </c>
      <c r="K1828" s="13" t="str">
        <f>IF(TRIM(Github!D$964)="TRUE","FALSE","TRUE")</f>
        <v>TRUE</v>
      </c>
      <c r="L1828" s="13" t="b">
        <f>Github!M$964</f>
        <v>0</v>
      </c>
      <c r="M1828" s="13" t="b">
        <f>Github!N$964</f>
        <v>0</v>
      </c>
      <c r="N1828" s="13">
        <f>Github!P$964</f>
        <v>24747</v>
      </c>
      <c r="O1828" s="13">
        <f>Github!Q$964</f>
        <v>45241</v>
      </c>
    </row>
    <row r="1829">
      <c r="A1829" s="13">
        <f>Github!J$1054</f>
        <v>1053</v>
      </c>
      <c r="B1829" s="14" t="str">
        <f>HYPERLINK(CONCAT("http://leetcode.com/problems/",Github!C$1054), Github!B$1054)</f>
        <v>Previous Permutation With One Swap</v>
      </c>
      <c r="C1829" s="13">
        <f>Github!F$1054</f>
        <v>342</v>
      </c>
      <c r="D1829" s="13">
        <f>Github!G$1054</f>
        <v>28</v>
      </c>
      <c r="E1829" s="13">
        <f>Github!F$1054+Github!G$1054</f>
        <v>370</v>
      </c>
      <c r="F1829" s="15">
        <f t="shared" si="1"/>
        <v>12.21</v>
      </c>
      <c r="G1829" s="13" t="str">
        <f>ROUND(Github!O$1054, 2)&amp;"%"</f>
        <v>50.68%</v>
      </c>
      <c r="H1829" s="13" t="str">
        <f>Github!H$1054</f>
        <v>Algorithms</v>
      </c>
      <c r="I1829" s="16" t="str">
        <f>SUBSTITUTE(Github!L$1054, ";", ", ")</f>
        <v>Array, Greedy, </v>
      </c>
      <c r="J1829" s="13" t="str">
        <f>Github!E$1054</f>
        <v>Medium</v>
      </c>
      <c r="K1829" s="13" t="str">
        <f>IF(TRIM(Github!D$1054)="TRUE","FALSE","TRUE")</f>
        <v>TRUE</v>
      </c>
      <c r="L1829" s="13" t="b">
        <f>Github!M$1054</f>
        <v>0</v>
      </c>
      <c r="M1829" s="13" t="b">
        <f>Github!N$1054</f>
        <v>0</v>
      </c>
      <c r="N1829" s="13">
        <f>Github!P$1054</f>
        <v>34580</v>
      </c>
      <c r="O1829" s="13">
        <f>Github!Q$1054</f>
        <v>68238</v>
      </c>
    </row>
    <row r="1830">
      <c r="A1830" s="13">
        <f>Github!J$2307</f>
        <v>2306</v>
      </c>
      <c r="B1830" s="14" t="str">
        <f>HYPERLINK(CONCAT("http://leetcode.com/problems/",Github!C$2307), Github!B$2307)</f>
        <v>Naming a Company</v>
      </c>
      <c r="C1830" s="13">
        <f>Github!F$2307</f>
        <v>339</v>
      </c>
      <c r="D1830" s="13">
        <f>Github!G$2307</f>
        <v>18</v>
      </c>
      <c r="E1830" s="13">
        <f>Github!F$2307+Github!G$2307</f>
        <v>357</v>
      </c>
      <c r="F1830" s="15">
        <f t="shared" si="1"/>
        <v>18.83</v>
      </c>
      <c r="G1830" s="13" t="str">
        <f>ROUND(Github!O$2307, 2)&amp;"%"</f>
        <v>34.57%</v>
      </c>
      <c r="H1830" s="13" t="str">
        <f>Github!H2307</f>
        <v>Algorithms</v>
      </c>
      <c r="I1830" s="16" t="str">
        <f>SUBSTITUTE(Github!L$2307, ";", ", ")</f>
        <v>Array, Hash Table, String, Bit Manipulation, Enumeration, </v>
      </c>
      <c r="J1830" s="13" t="str">
        <f>Github!E$2307</f>
        <v>Hard</v>
      </c>
      <c r="K1830" s="13" t="str">
        <f>IF(TRIM(Github!D$2307)="TRUE","FALSE","TRUE")</f>
        <v>TRUE</v>
      </c>
      <c r="L1830" s="13" t="b">
        <f>Github!M$2307</f>
        <v>0</v>
      </c>
      <c r="M1830" s="13" t="b">
        <f>Github!N$2307</f>
        <v>0</v>
      </c>
      <c r="N1830" s="13">
        <f>Github!P$2307</f>
        <v>7887</v>
      </c>
      <c r="O1830" s="13">
        <f>Github!Q$2307</f>
        <v>22817</v>
      </c>
    </row>
    <row r="1831">
      <c r="A1831" s="13">
        <f>Github!J$1741</f>
        <v>1740</v>
      </c>
      <c r="B1831" s="14" t="str">
        <f>HYPERLINK(CONCAT("http://leetcode.com/problems/",Github!C$1741), Github!B$1741)</f>
        <v>Find Distance in a Binary Tree</v>
      </c>
      <c r="C1831" s="13">
        <f>Github!F$1741</f>
        <v>340</v>
      </c>
      <c r="D1831" s="13">
        <f>Github!G$1741</f>
        <v>12</v>
      </c>
      <c r="E1831" s="13">
        <f>Github!F$1741+Github!G$1741</f>
        <v>352</v>
      </c>
      <c r="F1831" s="15">
        <f t="shared" si="1"/>
        <v>28.33</v>
      </c>
      <c r="G1831" s="13" t="str">
        <f>ROUND(Github!O$1741, 2)&amp;"%"</f>
        <v>68.89%</v>
      </c>
      <c r="H1831" s="13" t="str">
        <f>Github!H$1741</f>
        <v>Algorithms</v>
      </c>
      <c r="I1831" s="16" t="str">
        <f>SUBSTITUTE(Github!L$1741, ";", ", ")</f>
        <v>Hash Table, Tree, Depth-First Search, Breadth-First Search, Binary Tree, </v>
      </c>
      <c r="J1831" s="13" t="str">
        <f>Github!E$1741</f>
        <v>Medium</v>
      </c>
      <c r="K1831" s="13" t="str">
        <f>IF(TRIM(Github!D$1741)="TRUE","FALSE","TRUE")</f>
        <v>FALSE</v>
      </c>
      <c r="L1831" s="13" t="b">
        <f>Github!M$1741</f>
        <v>0</v>
      </c>
      <c r="M1831" s="13" t="b">
        <f>Github!N$1741</f>
        <v>0</v>
      </c>
      <c r="N1831" s="13">
        <f>Github!P$1741</f>
        <v>17147</v>
      </c>
      <c r="O1831" s="13">
        <f>Github!Q$1741</f>
        <v>24889</v>
      </c>
    </row>
    <row r="1832">
      <c r="A1832" s="13">
        <f>Github!J$2139</f>
        <v>2138</v>
      </c>
      <c r="B1832" s="14" t="str">
        <f>HYPERLINK(CONCAT("http://leetcode.com/problems/",Github!C$2139), Github!B$2139)</f>
        <v>Divide a String Into Groups of Size k</v>
      </c>
      <c r="C1832" s="13">
        <f>Github!F$2139</f>
        <v>339</v>
      </c>
      <c r="D1832" s="13">
        <f>Github!G$2139</f>
        <v>14</v>
      </c>
      <c r="E1832" s="13">
        <f>Github!F$2139+Github!G$2139</f>
        <v>353</v>
      </c>
      <c r="F1832" s="15">
        <f t="shared" si="1"/>
        <v>24.21</v>
      </c>
      <c r="G1832" s="13" t="str">
        <f>ROUND(Github!O$2139, 2)&amp;"%"</f>
        <v>65.25%</v>
      </c>
      <c r="H1832" s="13" t="str">
        <f>Github!H$2139</f>
        <v>Algorithms</v>
      </c>
      <c r="I1832" s="16" t="str">
        <f>SUBSTITUTE(Github!L$2139, ";", ", ")</f>
        <v>String, Simulation, </v>
      </c>
      <c r="J1832" s="13" t="str">
        <f>Github!E$2139</f>
        <v>Easy</v>
      </c>
      <c r="K1832" s="13" t="str">
        <f>IF(TRIM(Github!D$2139)="TRUE","FALSE","TRUE")</f>
        <v>TRUE</v>
      </c>
      <c r="L1832" s="13" t="b">
        <f>Github!M$2139</f>
        <v>0</v>
      </c>
      <c r="M1832" s="13" t="b">
        <f>Github!N$2139</f>
        <v>0</v>
      </c>
      <c r="N1832" s="13">
        <f>Github!P$2139</f>
        <v>32738</v>
      </c>
      <c r="O1832" s="13">
        <f>Github!Q$2139</f>
        <v>50174</v>
      </c>
    </row>
    <row r="1833">
      <c r="A1833" s="13">
        <f>Github!J$1475</f>
        <v>1474</v>
      </c>
      <c r="B1833" s="14" t="str">
        <f>HYPERLINK(CONCAT("http://leetcode.com/problems/",Github!C$1475), Github!B$1475)</f>
        <v>Delete N Nodes After M Nodes of a Linked List</v>
      </c>
      <c r="C1833" s="13">
        <f>Github!F$1475</f>
        <v>337</v>
      </c>
      <c r="D1833" s="13">
        <f>Github!G$1475</f>
        <v>9</v>
      </c>
      <c r="E1833" s="13">
        <f>Github!F$1475+Github!G$1475</f>
        <v>346</v>
      </c>
      <c r="F1833" s="15">
        <f t="shared" si="1"/>
        <v>37.44</v>
      </c>
      <c r="G1833" s="13" t="str">
        <f>ROUND(Github!O$1475, 2)&amp;"%"</f>
        <v>73.73%</v>
      </c>
      <c r="H1833" s="13" t="str">
        <f>Github!H$1475</f>
        <v>Algorithms</v>
      </c>
      <c r="I1833" s="16" t="str">
        <f>SUBSTITUTE(Github!L$1475, ";", ", ")</f>
        <v>Linked List, </v>
      </c>
      <c r="J1833" s="13" t="str">
        <f>Github!E$1475</f>
        <v>Easy</v>
      </c>
      <c r="K1833" s="13" t="str">
        <f>IF(TRIM(Github!D$1475)="TRUE","FALSE","TRUE")</f>
        <v>FALSE</v>
      </c>
      <c r="L1833" s="13" t="b">
        <f>Github!M$1475</f>
        <v>1</v>
      </c>
      <c r="M1833" s="13" t="b">
        <f>Github!N$1475</f>
        <v>0</v>
      </c>
      <c r="N1833" s="13">
        <f>Github!P$1475</f>
        <v>23991</v>
      </c>
      <c r="O1833" s="13">
        <f>Github!Q$1475</f>
        <v>32539</v>
      </c>
    </row>
    <row r="1834">
      <c r="A1834" s="13">
        <f>Github!J$1400</f>
        <v>1399</v>
      </c>
      <c r="B1834" s="14" t="str">
        <f>HYPERLINK(CONCAT("http://leetcode.com/problems/",Github!C$1400), Github!B$1400)</f>
        <v>Count Largest Group</v>
      </c>
      <c r="C1834" s="13">
        <f>Github!F$1400</f>
        <v>338</v>
      </c>
      <c r="D1834" s="13">
        <f>Github!G$1400</f>
        <v>768</v>
      </c>
      <c r="E1834" s="13">
        <f>Github!F$1400+Github!G$1400</f>
        <v>1106</v>
      </c>
      <c r="F1834" s="15">
        <f t="shared" si="1"/>
        <v>0.44</v>
      </c>
      <c r="G1834" s="13" t="str">
        <f>ROUND(Github!O$1400, 2)&amp;"%"</f>
        <v>67.17%</v>
      </c>
      <c r="H1834" s="13" t="str">
        <f>Github!H$1400</f>
        <v>Algorithms</v>
      </c>
      <c r="I1834" s="16" t="str">
        <f>SUBSTITUTE(Github!L$1400, ";", ", ")</f>
        <v>Hash Table, Math, </v>
      </c>
      <c r="J1834" s="13" t="str">
        <f>Github!E$1400</f>
        <v>Easy</v>
      </c>
      <c r="K1834" s="13" t="str">
        <f>IF(TRIM(Github!D$1400)="TRUE","FALSE","TRUE")</f>
        <v>TRUE</v>
      </c>
      <c r="L1834" s="13" t="b">
        <f>Github!M$1400</f>
        <v>0</v>
      </c>
      <c r="M1834" s="13" t="b">
        <f>Github!N$1400</f>
        <v>0</v>
      </c>
      <c r="N1834" s="13">
        <f>Github!P$1400</f>
        <v>35809</v>
      </c>
      <c r="O1834" s="13">
        <f>Github!Q$1400</f>
        <v>53312</v>
      </c>
    </row>
    <row r="1835">
      <c r="A1835" s="13">
        <f>Github!J$2029</f>
        <v>2028</v>
      </c>
      <c r="B1835" s="14" t="str">
        <f>HYPERLINK(CONCAT("http://leetcode.com/problems/",Github!C$2029), Github!B$2029)</f>
        <v>Find Missing Observations</v>
      </c>
      <c r="C1835" s="13">
        <f>Github!F$2029</f>
        <v>338</v>
      </c>
      <c r="D1835" s="13">
        <f>Github!G$2029</f>
        <v>19</v>
      </c>
      <c r="E1835" s="13">
        <f>Github!F$2029+Github!G$2029</f>
        <v>357</v>
      </c>
      <c r="F1835" s="15">
        <f t="shared" si="1"/>
        <v>17.79</v>
      </c>
      <c r="G1835" s="13" t="str">
        <f>ROUND(Github!O$2029, 2)&amp;"%"</f>
        <v>44.13%</v>
      </c>
      <c r="H1835" s="13" t="str">
        <f>Github!H$2029</f>
        <v>Algorithms</v>
      </c>
      <c r="I1835" s="16" t="str">
        <f>SUBSTITUTE(Github!L$2029, ";", ", ")</f>
        <v>Array, Math, Simulation, </v>
      </c>
      <c r="J1835" s="13" t="str">
        <f>Github!E$2029</f>
        <v>Medium</v>
      </c>
      <c r="K1835" s="13" t="str">
        <f>IF(TRIM(Github!D$2029)="TRUE","FALSE","TRUE")</f>
        <v>TRUE</v>
      </c>
      <c r="L1835" s="13" t="b">
        <f>Github!M$2029</f>
        <v>0</v>
      </c>
      <c r="M1835" s="13" t="b">
        <f>Github!N$2029</f>
        <v>0</v>
      </c>
      <c r="N1835" s="13">
        <f>Github!P$2029</f>
        <v>18338</v>
      </c>
      <c r="O1835" s="13">
        <f>Github!Q$2029</f>
        <v>41553</v>
      </c>
    </row>
    <row r="1836">
      <c r="A1836" s="13">
        <f>Github!J$194</f>
        <v>193</v>
      </c>
      <c r="B1836" s="14" t="str">
        <f>HYPERLINK(CONCAT("http://leetcode.com/problems/",Github!C$194), Github!B$194)</f>
        <v>Valid Phone Numbers</v>
      </c>
      <c r="C1836" s="13">
        <f>Github!F$194</f>
        <v>333</v>
      </c>
      <c r="D1836" s="13">
        <f>Github!G$194</f>
        <v>820</v>
      </c>
      <c r="E1836" s="13">
        <f>Github!F$194+Github!G$194</f>
        <v>1153</v>
      </c>
      <c r="F1836" s="15">
        <f t="shared" si="1"/>
        <v>0.41</v>
      </c>
      <c r="G1836" s="13" t="str">
        <f>ROUND(Github!O$194, 2)&amp;"%"</f>
        <v>26.03%</v>
      </c>
      <c r="H1836" s="13" t="str">
        <f>Github!H$194</f>
        <v>Shell</v>
      </c>
      <c r="I1836" s="16" t="str">
        <f>SUBSTITUTE(Github!L$194, ";", ", ")</f>
        <v>Shell, </v>
      </c>
      <c r="J1836" s="13" t="str">
        <f>Github!E$194</f>
        <v>Easy</v>
      </c>
      <c r="K1836" s="13" t="str">
        <f>IF(TRIM(Github!D$194)="TRUE","FALSE","TRUE")</f>
        <v>TRUE</v>
      </c>
      <c r="L1836" s="13" t="b">
        <f>Github!M$194</f>
        <v>0</v>
      </c>
      <c r="M1836" s="13" t="b">
        <f>Github!N$194</f>
        <v>0</v>
      </c>
      <c r="N1836" s="13">
        <f>Github!P$194</f>
        <v>63922</v>
      </c>
      <c r="O1836" s="13">
        <f>Github!Q$194</f>
        <v>245613</v>
      </c>
    </row>
    <row r="1837">
      <c r="A1837" s="13">
        <f>Github!J$1322</f>
        <v>1321</v>
      </c>
      <c r="B1837" s="14" t="str">
        <f>HYPERLINK(CONCAT("http://leetcode.com/problems/",Github!C$1322), Github!B$1322)</f>
        <v>Restaurant Growth</v>
      </c>
      <c r="C1837" s="13">
        <f>Github!F$1322</f>
        <v>334</v>
      </c>
      <c r="D1837" s="13">
        <f>Github!G$1322</f>
        <v>53</v>
      </c>
      <c r="E1837" s="13">
        <f>Github!F$1322+Github!G$1322</f>
        <v>387</v>
      </c>
      <c r="F1837" s="15">
        <f t="shared" si="1"/>
        <v>6.3</v>
      </c>
      <c r="G1837" s="13" t="str">
        <f>ROUND(Github!O$1322, 2)&amp;"%"</f>
        <v>71.47%</v>
      </c>
      <c r="H1837" s="13" t="str">
        <f>Github!H$1322</f>
        <v>Database</v>
      </c>
      <c r="I1837" s="16" t="str">
        <f>SUBSTITUTE(Github!L$1322, ";", ", ")</f>
        <v>Database, </v>
      </c>
      <c r="J1837" s="13" t="str">
        <f>Github!E$1322</f>
        <v>Medium</v>
      </c>
      <c r="K1837" s="13" t="str">
        <f>IF(TRIM(Github!D$1322)="TRUE","FALSE","TRUE")</f>
        <v>FALSE</v>
      </c>
      <c r="L1837" s="13" t="b">
        <f>Github!M$1322</f>
        <v>0</v>
      </c>
      <c r="M1837" s="13" t="b">
        <f>Github!N$1322</f>
        <v>0</v>
      </c>
      <c r="N1837" s="13">
        <f>Github!P$1322</f>
        <v>28082</v>
      </c>
      <c r="O1837" s="13">
        <f>Github!Q$1322</f>
        <v>39290</v>
      </c>
    </row>
    <row r="1838">
      <c r="A1838" s="13">
        <f>Github!J$2028</f>
        <v>2027</v>
      </c>
      <c r="B1838" s="14" t="str">
        <f>HYPERLINK(CONCAT("http://leetcode.com/problems/",Github!C$2028), Github!B$2028)</f>
        <v>Minimum Moves to Convert String</v>
      </c>
      <c r="C1838" s="13">
        <f>Github!F$2028</f>
        <v>339</v>
      </c>
      <c r="D1838" s="13">
        <f>Github!G$2028</f>
        <v>58</v>
      </c>
      <c r="E1838" s="13">
        <f>Github!F$2028+Github!G$2028</f>
        <v>397</v>
      </c>
      <c r="F1838" s="15">
        <f t="shared" si="1"/>
        <v>5.84</v>
      </c>
      <c r="G1838" s="13" t="str">
        <f>ROUND(Github!O$2028, 2)&amp;"%"</f>
        <v>53.87%</v>
      </c>
      <c r="H1838" s="13" t="str">
        <f>Github!H$2028</f>
        <v>Algorithms</v>
      </c>
      <c r="I1838" s="16" t="str">
        <f>SUBSTITUTE(Github!L$2028, ";", ", ")</f>
        <v>String, Greedy, </v>
      </c>
      <c r="J1838" s="13" t="str">
        <f>Github!E$2028</f>
        <v>Easy</v>
      </c>
      <c r="K1838" s="13" t="str">
        <f>IF(TRIM(Github!D$2028)="TRUE","FALSE","TRUE")</f>
        <v>TRUE</v>
      </c>
      <c r="L1838" s="13" t="b">
        <f>Github!M$2028</f>
        <v>0</v>
      </c>
      <c r="M1838" s="13" t="b">
        <f>Github!N$2028</f>
        <v>0</v>
      </c>
      <c r="N1838" s="13">
        <f>Github!P$2028</f>
        <v>24910</v>
      </c>
      <c r="O1838" s="13">
        <f>Github!Q$2028</f>
        <v>46239</v>
      </c>
    </row>
    <row r="1839">
      <c r="A1839" s="13">
        <f>Github!J$1898</f>
        <v>1897</v>
      </c>
      <c r="B1839" s="14" t="str">
        <f>HYPERLINK(CONCAT("http://leetcode.com/problems/",Github!C$1898), Github!B$1898)</f>
        <v>Redistribute Characters to Make All Strings Equal</v>
      </c>
      <c r="C1839" s="13">
        <f>Github!F$1898</f>
        <v>336</v>
      </c>
      <c r="D1839" s="13">
        <f>Github!G$1898</f>
        <v>36</v>
      </c>
      <c r="E1839" s="13">
        <f>Github!F$1898+Github!G$1898</f>
        <v>372</v>
      </c>
      <c r="F1839" s="15">
        <f t="shared" si="1"/>
        <v>9.33</v>
      </c>
      <c r="G1839" s="13" t="str">
        <f>ROUND(Github!O$1898, 2)&amp;"%"</f>
        <v>59.81%</v>
      </c>
      <c r="H1839" s="13" t="str">
        <f>Github!H$1898</f>
        <v>Algorithms</v>
      </c>
      <c r="I1839" s="16" t="str">
        <f>SUBSTITUTE(Github!L$1898, ";", ", ")</f>
        <v>Hash Table, String, Counting, </v>
      </c>
      <c r="J1839" s="13" t="str">
        <f>Github!E$1898</f>
        <v>Easy</v>
      </c>
      <c r="K1839" s="13" t="str">
        <f>IF(TRIM(Github!D$1898)="TRUE","FALSE","TRUE")</f>
        <v>TRUE</v>
      </c>
      <c r="L1839" s="13" t="b">
        <f>Github!M$1898</f>
        <v>0</v>
      </c>
      <c r="M1839" s="13" t="b">
        <f>Github!N$1898</f>
        <v>0</v>
      </c>
      <c r="N1839" s="13">
        <f>Github!P$1898</f>
        <v>26937</v>
      </c>
      <c r="O1839" s="13">
        <f>Github!Q$1898</f>
        <v>45038</v>
      </c>
    </row>
    <row r="1840">
      <c r="A1840" s="13">
        <f>Github!J$2235</f>
        <v>2234</v>
      </c>
      <c r="B1840" s="14" t="str">
        <f>HYPERLINK(CONCAT("http://leetcode.com/problems/",Github!C$2235), Github!B$2235)</f>
        <v>Maximum Total Beauty of the Gardens</v>
      </c>
      <c r="C1840" s="13">
        <f>Github!F$2235</f>
        <v>331</v>
      </c>
      <c r="D1840" s="13">
        <f>Github!G$2235</f>
        <v>32</v>
      </c>
      <c r="E1840" s="13">
        <f>Github!F$2235+Github!G$2235</f>
        <v>363</v>
      </c>
      <c r="F1840" s="15">
        <f t="shared" si="1"/>
        <v>10.34</v>
      </c>
      <c r="G1840" s="13" t="str">
        <f>ROUND(Github!O$2235, 2)&amp;"%"</f>
        <v>28.47%</v>
      </c>
      <c r="H1840" s="13" t="str">
        <f>Github!H$2235</f>
        <v>Algorithms</v>
      </c>
      <c r="I1840" s="16" t="str">
        <f>SUBSTITUTE(Github!L$2235, ";", ", ")</f>
        <v>Array, Two Pointers, Binary Search, Greedy, Sorting, </v>
      </c>
      <c r="J1840" s="13" t="str">
        <f>Github!E$2235</f>
        <v>Hard</v>
      </c>
      <c r="K1840" s="13" t="str">
        <f>IF(TRIM(Github!D$2235)="TRUE","FALSE","TRUE")</f>
        <v>TRUE</v>
      </c>
      <c r="L1840" s="13" t="b">
        <f>Github!M$2235</f>
        <v>0</v>
      </c>
      <c r="M1840" s="13" t="b">
        <f>Github!N$2235</f>
        <v>0</v>
      </c>
      <c r="N1840" s="13">
        <f>Github!P$2235</f>
        <v>5085</v>
      </c>
      <c r="O1840" s="13">
        <f>Github!Q$2235</f>
        <v>17858</v>
      </c>
    </row>
    <row r="1841">
      <c r="A1841" s="13">
        <f>Github!J$535</f>
        <v>534</v>
      </c>
      <c r="B1841" s="14" t="str">
        <f>HYPERLINK(CONCAT("http://leetcode.com/problems/",Github!C$535), Github!B$535)</f>
        <v>Game Play Analysis III</v>
      </c>
      <c r="C1841" s="13">
        <f>Github!F$535</f>
        <v>333</v>
      </c>
      <c r="D1841" s="13">
        <f>Github!G$535</f>
        <v>15</v>
      </c>
      <c r="E1841" s="13">
        <f>Github!F$535+Github!G$535</f>
        <v>348</v>
      </c>
      <c r="F1841" s="15">
        <f t="shared" si="1"/>
        <v>22.2</v>
      </c>
      <c r="G1841" s="13" t="str">
        <f>ROUND(Github!O$535, 2)&amp;"%"</f>
        <v>81.97%</v>
      </c>
      <c r="H1841" s="13" t="str">
        <f>Github!H$535</f>
        <v>Database</v>
      </c>
      <c r="I1841" s="16" t="str">
        <f>SUBSTITUTE(Github!L$535, ";", ", ")</f>
        <v>Database, </v>
      </c>
      <c r="J1841" s="13" t="str">
        <f>Github!E$535</f>
        <v>Medium</v>
      </c>
      <c r="K1841" s="13" t="str">
        <f>IF(TRIM(Github!D$535)="TRUE","FALSE","TRUE")</f>
        <v>FALSE</v>
      </c>
      <c r="L1841" s="13" t="b">
        <f>Github!M$535</f>
        <v>1</v>
      </c>
      <c r="M1841" s="13" t="b">
        <f>Github!N$535</f>
        <v>0</v>
      </c>
      <c r="N1841" s="13">
        <f>Github!P$535</f>
        <v>60402</v>
      </c>
      <c r="O1841" s="13">
        <f>Github!Q$535</f>
        <v>73688</v>
      </c>
    </row>
    <row r="1842">
      <c r="A1842" s="13">
        <f>Github!J$1962</f>
        <v>1961</v>
      </c>
      <c r="B1842" s="14" t="str">
        <f>HYPERLINK(CONCAT("http://leetcode.com/problems/",Github!C$1962), Github!B$1962)</f>
        <v>Check If String Is a Prefix of Array</v>
      </c>
      <c r="C1842" s="13">
        <f>Github!F$1962</f>
        <v>338</v>
      </c>
      <c r="D1842" s="13">
        <f>Github!G$1962</f>
        <v>56</v>
      </c>
      <c r="E1842" s="13">
        <f>Github!F$1962+Github!G$1962</f>
        <v>394</v>
      </c>
      <c r="F1842" s="15">
        <f t="shared" si="1"/>
        <v>6.04</v>
      </c>
      <c r="G1842" s="13" t="str">
        <f>ROUND(Github!O$1962, 2)&amp;"%"</f>
        <v>53.87%</v>
      </c>
      <c r="H1842" s="13" t="str">
        <f>Github!H$1962</f>
        <v>Algorithms</v>
      </c>
      <c r="I1842" s="16" t="str">
        <f>SUBSTITUTE(Github!L$1962, ";", ", ")</f>
        <v>Array, String, </v>
      </c>
      <c r="J1842" s="13" t="str">
        <f>Github!E$1962</f>
        <v>Easy</v>
      </c>
      <c r="K1842" s="13" t="str">
        <f>IF(TRIM(Github!D$1962)="TRUE","FALSE","TRUE")</f>
        <v>TRUE</v>
      </c>
      <c r="L1842" s="13" t="b">
        <f>Github!M$1962</f>
        <v>0</v>
      </c>
      <c r="M1842" s="13" t="b">
        <f>Github!N$1962</f>
        <v>0</v>
      </c>
      <c r="N1842" s="13">
        <f>Github!P$1962</f>
        <v>34366</v>
      </c>
      <c r="O1842" s="13">
        <f>Github!Q$1962</f>
        <v>63797</v>
      </c>
    </row>
    <row r="1843">
      <c r="A1843" s="13">
        <f>Github!J$983</f>
        <v>982</v>
      </c>
      <c r="B1843" s="14" t="str">
        <f>HYPERLINK(CONCAT("http://leetcode.com/problems/",Github!C$983), Github!B$983)</f>
        <v>Triples with Bitwise AND Equal To Zero</v>
      </c>
      <c r="C1843" s="13">
        <f>Github!F$983</f>
        <v>331</v>
      </c>
      <c r="D1843" s="13">
        <f>Github!G$983</f>
        <v>198</v>
      </c>
      <c r="E1843" s="13">
        <f>Github!F$983+Github!G$983</f>
        <v>529</v>
      </c>
      <c r="F1843" s="15">
        <f t="shared" si="1"/>
        <v>1.67</v>
      </c>
      <c r="G1843" s="13" t="str">
        <f>ROUND(Github!O$983, 2)&amp;"%"</f>
        <v>57.69%</v>
      </c>
      <c r="H1843" s="13" t="str">
        <f>Github!H$983</f>
        <v>Algorithms</v>
      </c>
      <c r="I1843" s="16" t="str">
        <f>SUBSTITUTE(Github!L$983, ";", ", ")</f>
        <v>Array, Hash Table, Bit Manipulation, </v>
      </c>
      <c r="J1843" s="13" t="str">
        <f>Github!E$983</f>
        <v>Hard</v>
      </c>
      <c r="K1843" s="13" t="str">
        <f>IF(TRIM(Github!D$983)="TRUE","FALSE","TRUE")</f>
        <v>TRUE</v>
      </c>
      <c r="L1843" s="13" t="b">
        <f>Github!M$983</f>
        <v>0</v>
      </c>
      <c r="M1843" s="13" t="b">
        <f>Github!N$983</f>
        <v>0</v>
      </c>
      <c r="N1843" s="13">
        <f>Github!P$983</f>
        <v>14167</v>
      </c>
      <c r="O1843" s="13">
        <f>Github!Q$983</f>
        <v>24557</v>
      </c>
    </row>
    <row r="1844">
      <c r="A1844" s="13">
        <f>Github!J$1788</f>
        <v>1787</v>
      </c>
      <c r="B1844" s="14" t="str">
        <f>HYPERLINK(CONCAT("http://leetcode.com/problems/",Github!C$1788), Github!B$1788)</f>
        <v>Make the XOR of All Segments Equal to Zero</v>
      </c>
      <c r="C1844" s="13">
        <f>Github!F$1788</f>
        <v>327</v>
      </c>
      <c r="D1844" s="13">
        <f>Github!G$1788</f>
        <v>19</v>
      </c>
      <c r="E1844" s="13">
        <f>Github!F$1788+Github!G$1788</f>
        <v>346</v>
      </c>
      <c r="F1844" s="15">
        <f t="shared" si="1"/>
        <v>17.21</v>
      </c>
      <c r="G1844" s="13" t="str">
        <f>ROUND(Github!O$1788, 2)&amp;"%"</f>
        <v>39.53%</v>
      </c>
      <c r="H1844" s="13" t="str">
        <f>Github!H$1788</f>
        <v>Algorithms</v>
      </c>
      <c r="I1844" s="16" t="str">
        <f>SUBSTITUTE(Github!L$1788, ";", ", ")</f>
        <v>Array, Dynamic Programming, Bit Manipulation, </v>
      </c>
      <c r="J1844" s="13" t="str">
        <f>Github!E$1788</f>
        <v>Hard</v>
      </c>
      <c r="K1844" s="13" t="str">
        <f>IF(TRIM(Github!D$1788)="TRUE","FALSE","TRUE")</f>
        <v>TRUE</v>
      </c>
      <c r="L1844" s="13" t="b">
        <f>Github!M$1788</f>
        <v>0</v>
      </c>
      <c r="M1844" s="13" t="b">
        <f>Github!N$1788</f>
        <v>0</v>
      </c>
      <c r="N1844" s="13">
        <f>Github!P$1788</f>
        <v>4247</v>
      </c>
      <c r="O1844" s="13">
        <f>Github!Q$1788</f>
        <v>10743</v>
      </c>
    </row>
    <row r="1845">
      <c r="A1845" s="13">
        <f>Github!J$2159</f>
        <v>2158</v>
      </c>
      <c r="B1845" s="14" t="str">
        <f>HYPERLINK(CONCAT("http://leetcode.com/problems/",Github!C$2159), Github!B$2159)</f>
        <v>Amount of New Area Painted Each Day</v>
      </c>
      <c r="C1845" s="13">
        <f>Github!F$2159</f>
        <v>335</v>
      </c>
      <c r="D1845" s="13">
        <f>Github!G$2159</f>
        <v>35</v>
      </c>
      <c r="E1845" s="13">
        <f>Github!F$2159+Github!G$2159</f>
        <v>370</v>
      </c>
      <c r="F1845" s="15">
        <f t="shared" si="1"/>
        <v>9.57</v>
      </c>
      <c r="G1845" s="13" t="str">
        <f>ROUND(Github!O$2159, 2)&amp;"%"</f>
        <v>54.65%</v>
      </c>
      <c r="H1845" s="13" t="str">
        <f>Github!H$2159</f>
        <v>Algorithms</v>
      </c>
      <c r="I1845" s="16" t="str">
        <f>SUBSTITUTE(Github!L$2159, ";", ", ")</f>
        <v>Array, Segment Tree, Ordered Set, </v>
      </c>
      <c r="J1845" s="13" t="str">
        <f>Github!E$2159</f>
        <v>Hard</v>
      </c>
      <c r="K1845" s="13" t="str">
        <f>IF(TRIM(Github!D$2159)="TRUE","FALSE","TRUE")</f>
        <v>FALSE</v>
      </c>
      <c r="L1845" s="13" t="b">
        <f>Github!M$2159</f>
        <v>0</v>
      </c>
      <c r="M1845" s="13" t="b">
        <f>Github!N$2159</f>
        <v>0</v>
      </c>
      <c r="N1845" s="13">
        <f>Github!P$2159</f>
        <v>21919</v>
      </c>
      <c r="O1845" s="13">
        <f>Github!Q$2159</f>
        <v>40108</v>
      </c>
    </row>
    <row r="1846">
      <c r="A1846" s="13">
        <f>Github!J$1165</f>
        <v>1164</v>
      </c>
      <c r="B1846" s="14" t="str">
        <f>HYPERLINK(CONCAT("http://leetcode.com/problems/",Github!C$1165), Github!B$1165)</f>
        <v>Product Price at a Given Date</v>
      </c>
      <c r="C1846" s="13">
        <f>Github!F$1165</f>
        <v>328</v>
      </c>
      <c r="D1846" s="13">
        <f>Github!G$1165</f>
        <v>96</v>
      </c>
      <c r="E1846" s="13">
        <f>Github!F$1165+Github!G$1165</f>
        <v>424</v>
      </c>
      <c r="F1846" s="15">
        <f t="shared" si="1"/>
        <v>3.42</v>
      </c>
      <c r="G1846" s="13" t="str">
        <f>ROUND(Github!O$1165, 2)&amp;"%"</f>
        <v>68.22%</v>
      </c>
      <c r="H1846" s="13" t="str">
        <f>Github!H$1165</f>
        <v>Database</v>
      </c>
      <c r="I1846" s="16" t="str">
        <f>SUBSTITUTE(Github!L$1165, ";", ", ")</f>
        <v>Database, </v>
      </c>
      <c r="J1846" s="13" t="str">
        <f>Github!E$1165</f>
        <v>Medium</v>
      </c>
      <c r="K1846" s="13" t="str">
        <f>IF(TRIM(Github!D$1165)="TRUE","FALSE","TRUE")</f>
        <v>FALSE</v>
      </c>
      <c r="L1846" s="13" t="b">
        <f>Github!M$1165</f>
        <v>1</v>
      </c>
      <c r="M1846" s="13" t="b">
        <f>Github!N$1165</f>
        <v>0</v>
      </c>
      <c r="N1846" s="13">
        <f>Github!P$1165</f>
        <v>39032</v>
      </c>
      <c r="O1846" s="13">
        <f>Github!Q$1165</f>
        <v>57214</v>
      </c>
    </row>
    <row r="1847">
      <c r="A1847" s="13">
        <f>Github!J$1041</f>
        <v>1040</v>
      </c>
      <c r="B1847" s="14" t="str">
        <f>HYPERLINK(CONCAT("http://leetcode.com/problems/",Github!C$1041), Github!B$1041)</f>
        <v>Moving Stones Until Consecutive II</v>
      </c>
      <c r="C1847" s="13">
        <f>Github!F$1041</f>
        <v>327</v>
      </c>
      <c r="D1847" s="13">
        <f>Github!G$1041</f>
        <v>540</v>
      </c>
      <c r="E1847" s="13">
        <f>Github!F$1041+Github!G$1041</f>
        <v>867</v>
      </c>
      <c r="F1847" s="15">
        <f t="shared" si="1"/>
        <v>0.61</v>
      </c>
      <c r="G1847" s="13" t="str">
        <f>ROUND(Github!O$1041, 2)&amp;"%"</f>
        <v>55.72%</v>
      </c>
      <c r="H1847" s="13" t="str">
        <f>Github!H$1041</f>
        <v>Algorithms</v>
      </c>
      <c r="I1847" s="16" t="str">
        <f>SUBSTITUTE(Github!L$1041, ";", ", ")</f>
        <v>Array, Math, Two Pointers, Sorting, </v>
      </c>
      <c r="J1847" s="13" t="str">
        <f>Github!E$1041</f>
        <v>Medium</v>
      </c>
      <c r="K1847" s="13" t="str">
        <f>IF(TRIM(Github!D$1041)="TRUE","FALSE","TRUE")</f>
        <v>TRUE</v>
      </c>
      <c r="L1847" s="13" t="b">
        <f>Github!M$1041</f>
        <v>0</v>
      </c>
      <c r="M1847" s="13" t="b">
        <f>Github!N$1041</f>
        <v>0</v>
      </c>
      <c r="N1847" s="13">
        <f>Github!P$1041</f>
        <v>8405</v>
      </c>
      <c r="O1847" s="13">
        <f>Github!Q$1041</f>
        <v>15084</v>
      </c>
    </row>
    <row r="1848">
      <c r="A1848" s="13">
        <f>Github!J$2256</f>
        <v>2255</v>
      </c>
      <c r="B1848" s="14" t="str">
        <f>HYPERLINK(CONCAT("http://leetcode.com/problems/",Github!C$2256), Github!B$2256)</f>
        <v>Count Prefixes of a Given String</v>
      </c>
      <c r="C1848" s="13">
        <f>Github!F$2256</f>
        <v>334</v>
      </c>
      <c r="D1848" s="13">
        <f>Github!G$2256</f>
        <v>10</v>
      </c>
      <c r="E1848" s="13">
        <f>Github!F$2256+Github!G$2256</f>
        <v>344</v>
      </c>
      <c r="F1848" s="15">
        <f t="shared" si="1"/>
        <v>33.4</v>
      </c>
      <c r="G1848" s="13" t="str">
        <f>ROUND(Github!O$2256, 2)&amp;"%"</f>
        <v>73.35%</v>
      </c>
      <c r="H1848" s="13" t="str">
        <f>Github!H$2256</f>
        <v>Algorithms</v>
      </c>
      <c r="I1848" s="16" t="str">
        <f>SUBSTITUTE(Github!L$2256, ";", ", ")</f>
        <v>Array, String, </v>
      </c>
      <c r="J1848" s="13" t="str">
        <f>Github!E$2256</f>
        <v>Easy</v>
      </c>
      <c r="K1848" s="13" t="str">
        <f>IF(TRIM(Github!D$2256)="TRUE","FALSE","TRUE")</f>
        <v>TRUE</v>
      </c>
      <c r="L1848" s="13" t="b">
        <f>Github!M$2256</f>
        <v>0</v>
      </c>
      <c r="M1848" s="13" t="b">
        <f>Github!N$2256</f>
        <v>0</v>
      </c>
      <c r="N1848" s="13">
        <f>Github!P$2256</f>
        <v>34191</v>
      </c>
      <c r="O1848" s="13">
        <f>Github!Q$2256</f>
        <v>46617</v>
      </c>
    </row>
    <row r="1849">
      <c r="A1849" s="13">
        <f>Github!J$1820</f>
        <v>1819</v>
      </c>
      <c r="B1849" s="14" t="str">
        <f>HYPERLINK(CONCAT("http://leetcode.com/problems/",Github!C$1820), Github!B$1820)</f>
        <v>Number of Different Subsequences GCDs</v>
      </c>
      <c r="C1849" s="13">
        <f>Github!F$1820</f>
        <v>328</v>
      </c>
      <c r="D1849" s="13">
        <f>Github!G$1820</f>
        <v>35</v>
      </c>
      <c r="E1849" s="13">
        <f>Github!F$1820+Github!G$1820</f>
        <v>363</v>
      </c>
      <c r="F1849" s="15">
        <f t="shared" si="1"/>
        <v>9.37</v>
      </c>
      <c r="G1849" s="13" t="str">
        <f>ROUND(Github!O$1820, 2)&amp;"%"</f>
        <v>38.55%</v>
      </c>
      <c r="H1849" s="13" t="str">
        <f>Github!H$1820</f>
        <v>Algorithms</v>
      </c>
      <c r="I1849" s="16" t="str">
        <f>SUBSTITUTE(Github!L$1820, ";", ", ")</f>
        <v>Array, Math, Counting, Number Theory, </v>
      </c>
      <c r="J1849" s="13" t="str">
        <f>Github!E$1820</f>
        <v>Hard</v>
      </c>
      <c r="K1849" s="13" t="str">
        <f>IF(TRIM(Github!D$1820)="TRUE","FALSE","TRUE")</f>
        <v>TRUE</v>
      </c>
      <c r="L1849" s="13" t="b">
        <f>Github!M$1820</f>
        <v>0</v>
      </c>
      <c r="M1849" s="13" t="b">
        <f>Github!N$1820</f>
        <v>0</v>
      </c>
      <c r="N1849" s="13">
        <f>Github!P$1820</f>
        <v>6928</v>
      </c>
      <c r="O1849" s="13">
        <f>Github!Q$1820</f>
        <v>17970</v>
      </c>
    </row>
    <row r="1850">
      <c r="A1850" s="13">
        <f>Github!J$1767</f>
        <v>1766</v>
      </c>
      <c r="B1850" s="14" t="str">
        <f>HYPERLINK(CONCAT("http://leetcode.com/problems/",Github!C$1767), Github!B$1767)</f>
        <v>Tree of Coprimes</v>
      </c>
      <c r="C1850" s="13">
        <f>Github!F$1767</f>
        <v>328</v>
      </c>
      <c r="D1850" s="13">
        <f>Github!G$1767</f>
        <v>23</v>
      </c>
      <c r="E1850" s="13">
        <f>Github!F$1767+Github!G$1767</f>
        <v>351</v>
      </c>
      <c r="F1850" s="15">
        <f t="shared" si="1"/>
        <v>14.26</v>
      </c>
      <c r="G1850" s="13" t="str">
        <f>ROUND(Github!O$1767, 2)&amp;"%"</f>
        <v>39.27%</v>
      </c>
      <c r="H1850" s="13" t="str">
        <f>Github!H$1767</f>
        <v>Algorithms</v>
      </c>
      <c r="I1850" s="16" t="str">
        <f>SUBSTITUTE(Github!L$1767, ";", ", ")</f>
        <v>Math, Tree, Depth-First Search, Breadth-First Search, </v>
      </c>
      <c r="J1850" s="13" t="str">
        <f>Github!E$1767</f>
        <v>Hard</v>
      </c>
      <c r="K1850" s="13" t="str">
        <f>IF(TRIM(Github!D$1767)="TRUE","FALSE","TRUE")</f>
        <v>TRUE</v>
      </c>
      <c r="L1850" s="13" t="b">
        <f>Github!M$1767</f>
        <v>0</v>
      </c>
      <c r="M1850" s="13" t="b">
        <f>Github!N$1767</f>
        <v>0</v>
      </c>
      <c r="N1850" s="13">
        <f>Github!P$1767</f>
        <v>6982</v>
      </c>
      <c r="O1850" s="13">
        <f>Github!Q$1767</f>
        <v>17778</v>
      </c>
    </row>
    <row r="1851">
      <c r="A1851" s="13">
        <f>Github!J$1995</f>
        <v>1994</v>
      </c>
      <c r="B1851" s="14" t="str">
        <f>HYPERLINK(CONCAT("http://leetcode.com/problems/",Github!C$1995), Github!B$1995)</f>
        <v>The Number of Good Subsets</v>
      </c>
      <c r="C1851" s="13">
        <f>Github!F$1995</f>
        <v>324</v>
      </c>
      <c r="D1851" s="13">
        <f>Github!G$1995</f>
        <v>9</v>
      </c>
      <c r="E1851" s="13">
        <f>Github!F$1995+Github!G$1995</f>
        <v>333</v>
      </c>
      <c r="F1851" s="15">
        <f t="shared" si="1"/>
        <v>36</v>
      </c>
      <c r="G1851" s="13" t="str">
        <f>ROUND(Github!O$1995, 2)&amp;"%"</f>
        <v>34.48%</v>
      </c>
      <c r="H1851" s="13" t="str">
        <f>Github!H$1995</f>
        <v>Algorithms</v>
      </c>
      <c r="I1851" s="16" t="str">
        <f>SUBSTITUTE(Github!L$1995, ";", ", ")</f>
        <v>Array, Math, Dynamic Programming, Bit Manipulation, Bitmask, </v>
      </c>
      <c r="J1851" s="13" t="str">
        <f>Github!E$1995</f>
        <v>Hard</v>
      </c>
      <c r="K1851" s="13" t="str">
        <f>IF(TRIM(Github!D$1995)="TRUE","FALSE","TRUE")</f>
        <v>TRUE</v>
      </c>
      <c r="L1851" s="13" t="b">
        <f>Github!M$1995</f>
        <v>0</v>
      </c>
      <c r="M1851" s="13" t="b">
        <f>Github!N$1995</f>
        <v>0</v>
      </c>
      <c r="N1851" s="13">
        <f>Github!P$1995</f>
        <v>4798</v>
      </c>
      <c r="O1851" s="13">
        <f>Github!Q$1995</f>
        <v>13916</v>
      </c>
    </row>
    <row r="1852">
      <c r="A1852" s="13">
        <f>Github!J$1508</f>
        <v>1507</v>
      </c>
      <c r="B1852" s="14" t="str">
        <f>HYPERLINK(CONCAT("http://leetcode.com/problems/",Github!C$1508), Github!B$1508)</f>
        <v>Reformat Date</v>
      </c>
      <c r="C1852" s="13">
        <f>Github!F$1508</f>
        <v>327</v>
      </c>
      <c r="D1852" s="13">
        <f>Github!G$1508</f>
        <v>380</v>
      </c>
      <c r="E1852" s="13">
        <f>Github!F$1508+Github!G$1508</f>
        <v>707</v>
      </c>
      <c r="F1852" s="15">
        <f t="shared" si="1"/>
        <v>0.86</v>
      </c>
      <c r="G1852" s="13" t="str">
        <f>ROUND(Github!O$1508, 2)&amp;"%"</f>
        <v>62.74%</v>
      </c>
      <c r="H1852" s="13" t="str">
        <f>Github!H$1508</f>
        <v>Algorithms</v>
      </c>
      <c r="I1852" s="16" t="str">
        <f>SUBSTITUTE(Github!L$1508, ";", ", ")</f>
        <v>String, </v>
      </c>
      <c r="J1852" s="13" t="str">
        <f>Github!E$1508</f>
        <v>Easy</v>
      </c>
      <c r="K1852" s="13" t="str">
        <f>IF(TRIM(Github!D$1508)="TRUE","FALSE","TRUE")</f>
        <v>TRUE</v>
      </c>
      <c r="L1852" s="13" t="b">
        <f>Github!M$1508</f>
        <v>0</v>
      </c>
      <c r="M1852" s="13" t="b">
        <f>Github!N$1508</f>
        <v>0</v>
      </c>
      <c r="N1852" s="13">
        <f>Github!P$1508</f>
        <v>50383</v>
      </c>
      <c r="O1852" s="13">
        <f>Github!Q$1508</f>
        <v>80302</v>
      </c>
    </row>
    <row r="1853">
      <c r="A1853" s="13">
        <f>Github!J$2258</f>
        <v>2257</v>
      </c>
      <c r="B1853" s="14" t="str">
        <f>HYPERLINK(CONCAT("http://leetcode.com/problems/",Github!C$2258), Github!B$2258)</f>
        <v>Count Unguarded Cells in the Grid</v>
      </c>
      <c r="C1853" s="13">
        <f>Github!F$2258</f>
        <v>323</v>
      </c>
      <c r="D1853" s="13">
        <f>Github!G$2258</f>
        <v>30</v>
      </c>
      <c r="E1853" s="13">
        <f>Github!F$2258+Github!G$2258</f>
        <v>353</v>
      </c>
      <c r="F1853" s="15">
        <f t="shared" si="1"/>
        <v>10.77</v>
      </c>
      <c r="G1853" s="13" t="str">
        <f>ROUND(Github!O$2258, 2)&amp;"%"</f>
        <v>52.39%</v>
      </c>
      <c r="H1853" s="13" t="str">
        <f>Github!H$2258</f>
        <v>Algorithms</v>
      </c>
      <c r="I1853" s="16" t="str">
        <f>SUBSTITUTE(Github!L$2258, ";", ", ")</f>
        <v>Array, Matrix, Simulation, </v>
      </c>
      <c r="J1853" s="13" t="str">
        <f>Github!E$2258</f>
        <v>Medium</v>
      </c>
      <c r="K1853" s="13" t="str">
        <f>IF(TRIM(Github!D$2258)="TRUE","FALSE","TRUE")</f>
        <v>TRUE</v>
      </c>
      <c r="L1853" s="13" t="b">
        <f>Github!M$2258</f>
        <v>0</v>
      </c>
      <c r="M1853" s="13" t="b">
        <f>Github!N$2258</f>
        <v>0</v>
      </c>
      <c r="N1853" s="13">
        <f>Github!P$2258</f>
        <v>12583</v>
      </c>
      <c r="O1853" s="13">
        <f>Github!Q$2258</f>
        <v>24020</v>
      </c>
    </row>
    <row r="1854">
      <c r="A1854" s="13">
        <f>Github!J$2015</f>
        <v>2014</v>
      </c>
      <c r="B1854" s="14" t="str">
        <f>HYPERLINK(CONCAT("http://leetcode.com/problems/",Github!C$2015), Github!B$2015)</f>
        <v>Longest Subsequence Repeated k Times</v>
      </c>
      <c r="C1854" s="13">
        <f>Github!F$2015</f>
        <v>325</v>
      </c>
      <c r="D1854" s="13">
        <f>Github!G$2015</f>
        <v>63</v>
      </c>
      <c r="E1854" s="13">
        <f>Github!F$2015+Github!G$2015</f>
        <v>388</v>
      </c>
      <c r="F1854" s="15">
        <f t="shared" si="1"/>
        <v>5.16</v>
      </c>
      <c r="G1854" s="13" t="str">
        <f>ROUND(Github!O$2015, 2)&amp;"%"</f>
        <v>55.57%</v>
      </c>
      <c r="H1854" s="13" t="str">
        <f>Github!H$2015</f>
        <v>Algorithms</v>
      </c>
      <c r="I1854" s="16" t="str">
        <f>SUBSTITUTE(Github!L$2015, ";", ", ")</f>
        <v>String, Backtracking, Greedy, Counting, Enumeration, </v>
      </c>
      <c r="J1854" s="13" t="str">
        <f>Github!E$2015</f>
        <v>Hard</v>
      </c>
      <c r="K1854" s="13" t="str">
        <f>IF(TRIM(Github!D$2015)="TRUE","FALSE","TRUE")</f>
        <v>TRUE</v>
      </c>
      <c r="L1854" s="13" t="b">
        <f>Github!M$2015</f>
        <v>0</v>
      </c>
      <c r="M1854" s="13" t="b">
        <f>Github!N$2015</f>
        <v>0</v>
      </c>
      <c r="N1854" s="13">
        <f>Github!P$2015</f>
        <v>5420</v>
      </c>
      <c r="O1854" s="13">
        <f>Github!Q$2015</f>
        <v>9752</v>
      </c>
    </row>
    <row r="1855">
      <c r="A1855" s="13">
        <f>Github!J$574</f>
        <v>573</v>
      </c>
      <c r="B1855" s="14" t="str">
        <f>HYPERLINK(CONCAT("http://leetcode.com/problems/",Github!C$574), Github!B$574)</f>
        <v>Squirrel Simulation</v>
      </c>
      <c r="C1855" s="13">
        <f>Github!F$574</f>
        <v>320</v>
      </c>
      <c r="D1855" s="13">
        <f>Github!G$574</f>
        <v>34</v>
      </c>
      <c r="E1855" s="13">
        <f>Github!F$574+Github!G$574</f>
        <v>354</v>
      </c>
      <c r="F1855" s="15">
        <f t="shared" si="1"/>
        <v>9.41</v>
      </c>
      <c r="G1855" s="13" t="str">
        <f>ROUND(Github!O$574, 2)&amp;"%"</f>
        <v>55.03%</v>
      </c>
      <c r="H1855" s="13" t="str">
        <f>Github!H$574</f>
        <v>Algorithms</v>
      </c>
      <c r="I1855" s="16" t="str">
        <f>SUBSTITUTE(Github!L$574, ";", ", ")</f>
        <v>Array, Math, </v>
      </c>
      <c r="J1855" s="13" t="str">
        <f>Github!E$574</f>
        <v>Medium</v>
      </c>
      <c r="K1855" s="13" t="str">
        <f>IF(TRIM(Github!D$574)="TRUE","FALSE","TRUE")</f>
        <v>FALSE</v>
      </c>
      <c r="L1855" s="13" t="b">
        <f>Github!M$574</f>
        <v>1</v>
      </c>
      <c r="M1855" s="13" t="b">
        <f>Github!N$574</f>
        <v>0</v>
      </c>
      <c r="N1855" s="13">
        <f>Github!P$574</f>
        <v>17711</v>
      </c>
      <c r="O1855" s="13">
        <f>Github!Q$574</f>
        <v>32184</v>
      </c>
    </row>
    <row r="1856">
      <c r="A1856" s="13">
        <f>Github!J$907</f>
        <v>906</v>
      </c>
      <c r="B1856" s="14" t="str">
        <f>HYPERLINK(CONCAT("http://leetcode.com/problems/",Github!C$907), Github!B$907)</f>
        <v>Super Palindromes</v>
      </c>
      <c r="C1856" s="13">
        <f>Github!F$907</f>
        <v>322</v>
      </c>
      <c r="D1856" s="13">
        <f>Github!G$907</f>
        <v>393</v>
      </c>
      <c r="E1856" s="13">
        <f>Github!F$907+Github!G$907</f>
        <v>715</v>
      </c>
      <c r="F1856" s="15">
        <f t="shared" si="1"/>
        <v>0.82</v>
      </c>
      <c r="G1856" s="13" t="str">
        <f>ROUND(Github!O$907, 2)&amp;"%"</f>
        <v>39.17%</v>
      </c>
      <c r="H1856" s="13" t="str">
        <f>Github!H$907</f>
        <v>Algorithms</v>
      </c>
      <c r="I1856" s="16" t="str">
        <f>SUBSTITUTE(Github!L$907, ";", ", ")</f>
        <v>Math, Enumeration, </v>
      </c>
      <c r="J1856" s="13" t="str">
        <f>Github!E$907</f>
        <v>Hard</v>
      </c>
      <c r="K1856" s="13" t="str">
        <f>IF(TRIM(Github!D$907)="TRUE","FALSE","TRUE")</f>
        <v>TRUE</v>
      </c>
      <c r="L1856" s="13" t="b">
        <f>Github!M$907</f>
        <v>1</v>
      </c>
      <c r="M1856" s="13" t="b">
        <f>Github!N$907</f>
        <v>0</v>
      </c>
      <c r="N1856" s="13">
        <f>Github!P$907</f>
        <v>22221</v>
      </c>
      <c r="O1856" s="13">
        <f>Github!Q$907</f>
        <v>56726</v>
      </c>
    </row>
    <row r="1857">
      <c r="A1857" s="13">
        <f>Github!J$2209</f>
        <v>2208</v>
      </c>
      <c r="B1857" s="14" t="str">
        <f>HYPERLINK(CONCAT("http://leetcode.com/problems/",Github!C$2209), Github!B$2209)</f>
        <v>Minimum Operations to Halve Array Sum</v>
      </c>
      <c r="C1857" s="13">
        <f>Github!F$2209</f>
        <v>408</v>
      </c>
      <c r="D1857" s="13">
        <f>Github!G$2209</f>
        <v>15</v>
      </c>
      <c r="E1857" s="13">
        <f>Github!F$2209+Github!G$2209</f>
        <v>423</v>
      </c>
      <c r="F1857" s="15">
        <f t="shared" si="1"/>
        <v>27.2</v>
      </c>
      <c r="G1857" s="13" t="str">
        <f>ROUND(Github!O$2209, 2)&amp;"%"</f>
        <v>45.19%</v>
      </c>
      <c r="H1857" s="13" t="str">
        <f>Github!H$2209</f>
        <v>Algorithms</v>
      </c>
      <c r="I1857" s="16" t="str">
        <f>SUBSTITUTE(Github!L$2209, ";", ", ")</f>
        <v>Array, Greedy, Heap (Priority Queue), </v>
      </c>
      <c r="J1857" s="13" t="str">
        <f>Github!E$2209</f>
        <v>Medium</v>
      </c>
      <c r="K1857" s="13" t="str">
        <f>IF(TRIM(Github!D$2209)="TRUE","FALSE","TRUE")</f>
        <v>TRUE</v>
      </c>
      <c r="L1857" s="13" t="b">
        <f>Github!M$2209</f>
        <v>0</v>
      </c>
      <c r="M1857" s="13" t="b">
        <f>Github!N$2209</f>
        <v>0</v>
      </c>
      <c r="N1857" s="13">
        <f>Github!P$2209</f>
        <v>18699</v>
      </c>
      <c r="O1857" s="13">
        <f>Github!Q$2209</f>
        <v>41384</v>
      </c>
    </row>
    <row r="1858">
      <c r="A1858" s="13">
        <f>Github!J$1486</f>
        <v>1485</v>
      </c>
      <c r="B1858" s="14" t="str">
        <f>HYPERLINK(CONCAT("http://leetcode.com/problems/",Github!C$1486), Github!B$1486)</f>
        <v>Clone Binary Tree With Random Pointer</v>
      </c>
      <c r="C1858" s="13">
        <f>Github!F$1486</f>
        <v>319</v>
      </c>
      <c r="D1858" s="13">
        <f>Github!G$1486</f>
        <v>58</v>
      </c>
      <c r="E1858" s="13">
        <f>Github!F$1486+Github!G$1486</f>
        <v>377</v>
      </c>
      <c r="F1858" s="15">
        <f t="shared" si="1"/>
        <v>5.5</v>
      </c>
      <c r="G1858" s="13" t="str">
        <f>ROUND(Github!O$1486, 2)&amp;"%"</f>
        <v>79.31%</v>
      </c>
      <c r="H1858" s="13" t="str">
        <f>Github!H$1486</f>
        <v>Algorithms</v>
      </c>
      <c r="I1858" s="16" t="str">
        <f>SUBSTITUTE(Github!L$1486, ";", ", ")</f>
        <v>Hash Table, Tree, Depth-First Search, Breadth-First Search, Binary Tree, </v>
      </c>
      <c r="J1858" s="13" t="str">
        <f>Github!E$1486</f>
        <v>Medium</v>
      </c>
      <c r="K1858" s="13" t="str">
        <f>IF(TRIM(Github!D$1486)="TRUE","FALSE","TRUE")</f>
        <v>FALSE</v>
      </c>
      <c r="L1858" s="13" t="b">
        <f>Github!M$1486</f>
        <v>1</v>
      </c>
      <c r="M1858" s="13" t="b">
        <f>Github!N$1486</f>
        <v>0</v>
      </c>
      <c r="N1858" s="13">
        <f>Github!P$1486</f>
        <v>19375</v>
      </c>
      <c r="O1858" s="13">
        <f>Github!Q$1486</f>
        <v>24428</v>
      </c>
    </row>
    <row r="1859">
      <c r="A1859" s="13">
        <f>Github!J$484</f>
        <v>483</v>
      </c>
      <c r="B1859" s="14" t="str">
        <f>HYPERLINK(CONCAT("http://leetcode.com/problems/",Github!C$484), Github!B$484)</f>
        <v>Smallest Good Base</v>
      </c>
      <c r="C1859" s="13">
        <f>Github!F$484</f>
        <v>319</v>
      </c>
      <c r="D1859" s="13">
        <f>Github!G$484</f>
        <v>455</v>
      </c>
      <c r="E1859" s="13">
        <f>Github!F$484+Github!G$484</f>
        <v>774</v>
      </c>
      <c r="F1859" s="15">
        <f t="shared" si="1"/>
        <v>0.7</v>
      </c>
      <c r="G1859" s="13" t="str">
        <f>ROUND(Github!O$484, 2)&amp;"%"</f>
        <v>38.44%</v>
      </c>
      <c r="H1859" s="13" t="str">
        <f>Github!H$484</f>
        <v>Algorithms</v>
      </c>
      <c r="I1859" s="16" t="str">
        <f>SUBSTITUTE(Github!L$484, ";", ", ")</f>
        <v>Math, Binary Search, </v>
      </c>
      <c r="J1859" s="13" t="str">
        <f>Github!E$484</f>
        <v>Hard</v>
      </c>
      <c r="K1859" s="13" t="str">
        <f>IF(TRIM(Github!D$484)="TRUE","FALSE","TRUE")</f>
        <v>TRUE</v>
      </c>
      <c r="L1859" s="13" t="b">
        <f>Github!M$484</f>
        <v>0</v>
      </c>
      <c r="M1859" s="13" t="b">
        <f>Github!N$484</f>
        <v>0</v>
      </c>
      <c r="N1859" s="13">
        <f>Github!P$484</f>
        <v>18397</v>
      </c>
      <c r="O1859" s="13">
        <f>Github!Q$484</f>
        <v>47853</v>
      </c>
    </row>
    <row r="1860">
      <c r="A1860" s="13">
        <f>Github!J$783</f>
        <v>782</v>
      </c>
      <c r="B1860" s="14" t="str">
        <f>HYPERLINK(CONCAT("http://leetcode.com/problems/",Github!C$783), Github!B$783)</f>
        <v>Transform to Chessboard</v>
      </c>
      <c r="C1860" s="13">
        <f>Github!F$783</f>
        <v>318</v>
      </c>
      <c r="D1860" s="13">
        <f>Github!G$783</f>
        <v>291</v>
      </c>
      <c r="E1860" s="13">
        <f>Github!F$783+Github!G$783</f>
        <v>609</v>
      </c>
      <c r="F1860" s="15">
        <f t="shared" si="1"/>
        <v>1.09</v>
      </c>
      <c r="G1860" s="13" t="str">
        <f>ROUND(Github!O$783, 2)&amp;"%"</f>
        <v>51.82%</v>
      </c>
      <c r="H1860" s="13" t="str">
        <f>Github!H$783</f>
        <v>Algorithms</v>
      </c>
      <c r="I1860" s="16" t="str">
        <f>SUBSTITUTE(Github!L$783, ";", ", ")</f>
        <v>Array, Math, Bit Manipulation, Matrix, </v>
      </c>
      <c r="J1860" s="13" t="str">
        <f>Github!E$783</f>
        <v>Hard</v>
      </c>
      <c r="K1860" s="13" t="str">
        <f>IF(TRIM(Github!D$783)="TRUE","FALSE","TRUE")</f>
        <v>TRUE</v>
      </c>
      <c r="L1860" s="13" t="b">
        <f>Github!M$783</f>
        <v>1</v>
      </c>
      <c r="M1860" s="13" t="b">
        <f>Github!N$783</f>
        <v>0</v>
      </c>
      <c r="N1860" s="13">
        <f>Github!P$783</f>
        <v>15660</v>
      </c>
      <c r="O1860" s="13">
        <f>Github!Q$783</f>
        <v>30219</v>
      </c>
    </row>
    <row r="1861">
      <c r="A1861" s="13">
        <f>Github!J$2225</f>
        <v>2224</v>
      </c>
      <c r="B1861" s="14" t="str">
        <f>HYPERLINK(CONCAT("http://leetcode.com/problems/",Github!C$2225), Github!B$2225)</f>
        <v>Minimum Number of Operations to Convert Time</v>
      </c>
      <c r="C1861" s="13">
        <f>Github!F$2225</f>
        <v>326</v>
      </c>
      <c r="D1861" s="13">
        <f>Github!G$2225</f>
        <v>27</v>
      </c>
      <c r="E1861" s="13">
        <f>Github!F$2225+Github!G$2225</f>
        <v>353</v>
      </c>
      <c r="F1861" s="15">
        <f t="shared" si="1"/>
        <v>12.07</v>
      </c>
      <c r="G1861" s="13" t="str">
        <f>ROUND(Github!O$2225, 2)&amp;"%"</f>
        <v>65.54%</v>
      </c>
      <c r="H1861" s="13" t="str">
        <f>Github!H$2225</f>
        <v>Algorithms</v>
      </c>
      <c r="I1861" s="16" t="str">
        <f>SUBSTITUTE(Github!L$2225, ";", ", ")</f>
        <v>String, Greedy, </v>
      </c>
      <c r="J1861" s="13" t="str">
        <f>Github!E$2225</f>
        <v>Easy</v>
      </c>
      <c r="K1861" s="13" t="str">
        <f>IF(TRIM(Github!D$2225)="TRUE","FALSE","TRUE")</f>
        <v>TRUE</v>
      </c>
      <c r="L1861" s="13" t="b">
        <f>Github!M$2225</f>
        <v>0</v>
      </c>
      <c r="M1861" s="13" t="b">
        <f>Github!N$2225</f>
        <v>0</v>
      </c>
      <c r="N1861" s="13">
        <f>Github!P$2225</f>
        <v>29591</v>
      </c>
      <c r="O1861" s="13">
        <f>Github!Q$2225</f>
        <v>45150</v>
      </c>
    </row>
    <row r="1862">
      <c r="A1862" s="13">
        <f>Github!J$423</f>
        <v>422</v>
      </c>
      <c r="B1862" s="14" t="str">
        <f>HYPERLINK(CONCAT("http://leetcode.com/problems/",Github!C$423), Github!B$423)</f>
        <v>Valid Word Square</v>
      </c>
      <c r="C1862" s="13">
        <f>Github!F$423</f>
        <v>319</v>
      </c>
      <c r="D1862" s="13">
        <f>Github!G$423</f>
        <v>189</v>
      </c>
      <c r="E1862" s="13">
        <f>Github!F$423+Github!G$423</f>
        <v>508</v>
      </c>
      <c r="F1862" s="15">
        <f t="shared" si="1"/>
        <v>1.69</v>
      </c>
      <c r="G1862" s="13" t="str">
        <f>ROUND(Github!O$423, 2)&amp;"%"</f>
        <v>38.92%</v>
      </c>
      <c r="H1862" s="13" t="str">
        <f>Github!H$423</f>
        <v>Algorithms</v>
      </c>
      <c r="I1862" s="16" t="str">
        <f>SUBSTITUTE(Github!L$423, ";", ", ")</f>
        <v>Array, Matrix, </v>
      </c>
      <c r="J1862" s="13" t="str">
        <f>Github!E$423</f>
        <v>Easy</v>
      </c>
      <c r="K1862" s="13" t="str">
        <f>IF(TRIM(Github!D$423)="TRUE","FALSE","TRUE")</f>
        <v>FALSE</v>
      </c>
      <c r="L1862" s="13" t="b">
        <f>Github!M$423</f>
        <v>1</v>
      </c>
      <c r="M1862" s="13" t="b">
        <f>Github!N$423</f>
        <v>0</v>
      </c>
      <c r="N1862" s="13">
        <f>Github!P$423</f>
        <v>43795</v>
      </c>
      <c r="O1862" s="13">
        <f>Github!Q$423</f>
        <v>112514</v>
      </c>
    </row>
    <row r="1863">
      <c r="A1863" s="13">
        <f>Github!J$667</f>
        <v>666</v>
      </c>
      <c r="B1863" s="14" t="str">
        <f>HYPERLINK(CONCAT("http://leetcode.com/problems/",Github!C$667), Github!B$667)</f>
        <v>Path Sum IV</v>
      </c>
      <c r="C1863" s="13">
        <f>Github!F$667</f>
        <v>317</v>
      </c>
      <c r="D1863" s="13">
        <f>Github!G$667</f>
        <v>402</v>
      </c>
      <c r="E1863" s="13">
        <f>Github!F$667+Github!G$667</f>
        <v>719</v>
      </c>
      <c r="F1863" s="15">
        <f t="shared" si="1"/>
        <v>0.79</v>
      </c>
      <c r="G1863" s="13" t="str">
        <f>ROUND(Github!O$667, 2)&amp;"%"</f>
        <v>59.26%</v>
      </c>
      <c r="H1863" s="13" t="str">
        <f>Github!H$667</f>
        <v>Algorithms</v>
      </c>
      <c r="I1863" s="16" t="str">
        <f>SUBSTITUTE(Github!L$667, ";", ", ")</f>
        <v>Array, Tree, Depth-First Search, Binary Tree, </v>
      </c>
      <c r="J1863" s="13" t="str">
        <f>Github!E$667</f>
        <v>Medium</v>
      </c>
      <c r="K1863" s="13" t="str">
        <f>IF(TRIM(Github!D$667)="TRUE","FALSE","TRUE")</f>
        <v>FALSE</v>
      </c>
      <c r="L1863" s="13" t="b">
        <f>Github!M$667</f>
        <v>1</v>
      </c>
      <c r="M1863" s="13" t="b">
        <f>Github!N$667</f>
        <v>0</v>
      </c>
      <c r="N1863" s="13">
        <f>Github!P$667</f>
        <v>21010</v>
      </c>
      <c r="O1863" s="13">
        <f>Github!Q$667</f>
        <v>35452</v>
      </c>
    </row>
    <row r="1864">
      <c r="A1864" s="13">
        <f>Github!J$1239</f>
        <v>1238</v>
      </c>
      <c r="B1864" s="14" t="str">
        <f>HYPERLINK(CONCAT("http://leetcode.com/problems/",Github!C$1239), Github!B$1239)</f>
        <v>Circular Permutation in Binary Representation</v>
      </c>
      <c r="C1864" s="13">
        <f>Github!F$1239</f>
        <v>321</v>
      </c>
      <c r="D1864" s="13">
        <f>Github!G$1239</f>
        <v>171</v>
      </c>
      <c r="E1864" s="13">
        <f>Github!F$1239+Github!G$1239</f>
        <v>492</v>
      </c>
      <c r="F1864" s="15">
        <f t="shared" si="1"/>
        <v>1.88</v>
      </c>
      <c r="G1864" s="13" t="str">
        <f>ROUND(Github!O$1239, 2)&amp;"%"</f>
        <v>68.97%</v>
      </c>
      <c r="H1864" s="13" t="str">
        <f>Github!H$1239</f>
        <v>Algorithms</v>
      </c>
      <c r="I1864" s="16" t="str">
        <f>SUBSTITUTE(Github!L$1239, ";", ", ")</f>
        <v>Math, Backtracking, Bit Manipulation, </v>
      </c>
      <c r="J1864" s="13" t="str">
        <f>Github!E$1239</f>
        <v>Medium</v>
      </c>
      <c r="K1864" s="13" t="str">
        <f>IF(TRIM(Github!D$1239)="TRUE","FALSE","TRUE")</f>
        <v>TRUE</v>
      </c>
      <c r="L1864" s="13" t="b">
        <f>Github!M$1239</f>
        <v>0</v>
      </c>
      <c r="M1864" s="13" t="b">
        <f>Github!N$1239</f>
        <v>0</v>
      </c>
      <c r="N1864" s="13">
        <f>Github!P$1239</f>
        <v>14034</v>
      </c>
      <c r="O1864" s="13">
        <f>Github!Q$1239</f>
        <v>20347</v>
      </c>
    </row>
    <row r="1865">
      <c r="A1865" s="13">
        <f>Github!J$1522</f>
        <v>1521</v>
      </c>
      <c r="B1865" s="14" t="str">
        <f>HYPERLINK(CONCAT("http://leetcode.com/problems/",Github!C$1522), Github!B$1522)</f>
        <v>Find a Value of a Mysterious Function Closest to Target</v>
      </c>
      <c r="C1865" s="13">
        <f>Github!F$1522</f>
        <v>315</v>
      </c>
      <c r="D1865" s="13">
        <f>Github!G$1522</f>
        <v>15</v>
      </c>
      <c r="E1865" s="13">
        <f>Github!F$1522+Github!G$1522</f>
        <v>330</v>
      </c>
      <c r="F1865" s="15">
        <f t="shared" si="1"/>
        <v>21</v>
      </c>
      <c r="G1865" s="13" t="str">
        <f>ROUND(Github!O$1522, 2)&amp;"%"</f>
        <v>43.61%</v>
      </c>
      <c r="H1865" s="13" t="str">
        <f>Github!H$1522</f>
        <v>Algorithms</v>
      </c>
      <c r="I1865" s="16" t="str">
        <f>SUBSTITUTE(Github!L$1522, ";", ", ")</f>
        <v>Array, Binary Search, Bit Manipulation, Segment Tree, </v>
      </c>
      <c r="J1865" s="13" t="str">
        <f>Github!E$1522</f>
        <v>Hard</v>
      </c>
      <c r="K1865" s="13" t="str">
        <f>IF(TRIM(Github!D$1522)="TRUE","FALSE","TRUE")</f>
        <v>TRUE</v>
      </c>
      <c r="L1865" s="13" t="b">
        <f>Github!M$1522</f>
        <v>0</v>
      </c>
      <c r="M1865" s="13" t="b">
        <f>Github!N$1522</f>
        <v>0</v>
      </c>
      <c r="N1865" s="13">
        <f>Github!P$1522</f>
        <v>8346</v>
      </c>
      <c r="O1865" s="13">
        <f>Github!Q$1522</f>
        <v>19138</v>
      </c>
    </row>
    <row r="1866">
      <c r="A1866" s="13">
        <f>Github!J$1281</f>
        <v>1280</v>
      </c>
      <c r="B1866" s="14" t="str">
        <f>HYPERLINK(CONCAT("http://leetcode.com/problems/",Github!C$1281), Github!B$1281)</f>
        <v>Students and Examinations</v>
      </c>
      <c r="C1866" s="13">
        <f>Github!F$1281</f>
        <v>314</v>
      </c>
      <c r="D1866" s="13">
        <f>Github!G$1281</f>
        <v>48</v>
      </c>
      <c r="E1866" s="13">
        <f>Github!F$1281+Github!G$1281</f>
        <v>362</v>
      </c>
      <c r="F1866" s="15">
        <f t="shared" si="1"/>
        <v>6.54</v>
      </c>
      <c r="G1866" s="13" t="str">
        <f>ROUND(Github!O$1281, 2)&amp;"%"</f>
        <v>74%</v>
      </c>
      <c r="H1866" s="13" t="str">
        <f>Github!H$1281</f>
        <v>Database</v>
      </c>
      <c r="I1866" s="16" t="str">
        <f>SUBSTITUTE(Github!L$1281, ";", ", ")</f>
        <v>Database, </v>
      </c>
      <c r="J1866" s="13" t="str">
        <f>Github!E$1281</f>
        <v>Easy</v>
      </c>
      <c r="K1866" s="13" t="str">
        <f>IF(TRIM(Github!D$1281)="TRUE","FALSE","TRUE")</f>
        <v>FALSE</v>
      </c>
      <c r="L1866" s="13" t="b">
        <f>Github!M$1281</f>
        <v>0</v>
      </c>
      <c r="M1866" s="13" t="b">
        <f>Github!N$1281</f>
        <v>0</v>
      </c>
      <c r="N1866" s="13">
        <f>Github!P$1281</f>
        <v>32239</v>
      </c>
      <c r="O1866" s="13">
        <f>Github!Q$1281</f>
        <v>43566</v>
      </c>
    </row>
    <row r="1867">
      <c r="A1867" s="13">
        <f>Github!J$2069</f>
        <v>2068</v>
      </c>
      <c r="B1867" s="14" t="str">
        <f>HYPERLINK(CONCAT("http://leetcode.com/problems/",Github!C$2069), Github!B$2069)</f>
        <v>Check Whether Two Strings are Almost Equivalent</v>
      </c>
      <c r="C1867" s="13">
        <f>Github!F$2069</f>
        <v>319</v>
      </c>
      <c r="D1867" s="13">
        <f>Github!G$2069</f>
        <v>13</v>
      </c>
      <c r="E1867" s="13">
        <f>Github!F$2069+Github!G$2069</f>
        <v>332</v>
      </c>
      <c r="F1867" s="15">
        <f t="shared" si="1"/>
        <v>24.54</v>
      </c>
      <c r="G1867" s="13" t="str">
        <f>ROUND(Github!O$2069, 2)&amp;"%"</f>
        <v>64.62%</v>
      </c>
      <c r="H1867" s="13" t="str">
        <f>Github!H$2069</f>
        <v>Algorithms</v>
      </c>
      <c r="I1867" s="16" t="str">
        <f>SUBSTITUTE(Github!L$2069, ";", ", ")</f>
        <v>Hash Table, String, Counting, </v>
      </c>
      <c r="J1867" s="13" t="str">
        <f>Github!E$2069</f>
        <v>Easy</v>
      </c>
      <c r="K1867" s="13" t="str">
        <f>IF(TRIM(Github!D$2069)="TRUE","FALSE","TRUE")</f>
        <v>TRUE</v>
      </c>
      <c r="L1867" s="13" t="b">
        <f>Github!M$2069</f>
        <v>0</v>
      </c>
      <c r="M1867" s="13" t="b">
        <f>Github!N$2069</f>
        <v>0</v>
      </c>
      <c r="N1867" s="13">
        <f>Github!P$2069</f>
        <v>27869</v>
      </c>
      <c r="O1867" s="13">
        <f>Github!Q$2069</f>
        <v>43128</v>
      </c>
    </row>
    <row r="1868">
      <c r="A1868" s="13">
        <f>Github!J$1549</f>
        <v>1548</v>
      </c>
      <c r="B1868" s="14" t="str">
        <f>HYPERLINK(CONCAT("http://leetcode.com/problems/",Github!C$1549), Github!B$1549)</f>
        <v>The Most Similar Path in a Graph</v>
      </c>
      <c r="C1868" s="13">
        <f>Github!F$1549</f>
        <v>313</v>
      </c>
      <c r="D1868" s="13">
        <f>Github!G$1549</f>
        <v>151</v>
      </c>
      <c r="E1868" s="13">
        <f>Github!F$1549+Github!G$1549</f>
        <v>464</v>
      </c>
      <c r="F1868" s="15">
        <f t="shared" si="1"/>
        <v>2.07</v>
      </c>
      <c r="G1868" s="13" t="str">
        <f>ROUND(Github!O$1549, 2)&amp;"%"</f>
        <v>56.88%</v>
      </c>
      <c r="H1868" s="13" t="str">
        <f>Github!H$1549</f>
        <v>Algorithms</v>
      </c>
      <c r="I1868" s="16" t="str">
        <f>SUBSTITUTE(Github!L$1549, ";", ", ")</f>
        <v>Dynamic Programming, Graph, </v>
      </c>
      <c r="J1868" s="13" t="str">
        <f>Github!E$1549</f>
        <v>Hard</v>
      </c>
      <c r="K1868" s="13" t="str">
        <f>IF(TRIM(Github!D$1549)="TRUE","FALSE","TRUE")</f>
        <v>FALSE</v>
      </c>
      <c r="L1868" s="13" t="b">
        <f>Github!M$1549</f>
        <v>0</v>
      </c>
      <c r="M1868" s="13" t="b">
        <f>Github!N$1549</f>
        <v>0</v>
      </c>
      <c r="N1868" s="13">
        <f>Github!P$1549</f>
        <v>14427</v>
      </c>
      <c r="O1868" s="13">
        <f>Github!Q$1549</f>
        <v>25364</v>
      </c>
    </row>
    <row r="1869">
      <c r="A1869" s="13">
        <f>Github!J$2002</f>
        <v>2001</v>
      </c>
      <c r="B1869" s="14" t="str">
        <f>HYPERLINK(CONCAT("http://leetcode.com/problems/",Github!C$2002), Github!B$2002)</f>
        <v>Number of Pairs of Interchangeable Rectangles</v>
      </c>
      <c r="C1869" s="13">
        <f>Github!F$2002</f>
        <v>316</v>
      </c>
      <c r="D1869" s="13">
        <f>Github!G$2002</f>
        <v>27</v>
      </c>
      <c r="E1869" s="13">
        <f>Github!F$2002+Github!G$2002</f>
        <v>343</v>
      </c>
      <c r="F1869" s="15">
        <f t="shared" si="1"/>
        <v>11.7</v>
      </c>
      <c r="G1869" s="13" t="str">
        <f>ROUND(Github!O$2002, 2)&amp;"%"</f>
        <v>45.42%</v>
      </c>
      <c r="H1869" s="13" t="str">
        <f>Github!H$2002</f>
        <v>Algorithms</v>
      </c>
      <c r="I1869" s="16" t="str">
        <f>SUBSTITUTE(Github!L$2002, ";", ", ")</f>
        <v>Array, Hash Table, Math, Counting, Number Theory, </v>
      </c>
      <c r="J1869" s="13" t="str">
        <f>Github!E$2002</f>
        <v>Medium</v>
      </c>
      <c r="K1869" s="13" t="str">
        <f>IF(TRIM(Github!D$2002)="TRUE","FALSE","TRUE")</f>
        <v>TRUE</v>
      </c>
      <c r="L1869" s="13" t="b">
        <f>Github!M$2002</f>
        <v>0</v>
      </c>
      <c r="M1869" s="13" t="b">
        <f>Github!N$2002</f>
        <v>0</v>
      </c>
      <c r="N1869" s="13">
        <f>Github!P$2002</f>
        <v>21645</v>
      </c>
      <c r="O1869" s="13">
        <f>Github!Q$2002</f>
        <v>47656</v>
      </c>
    </row>
    <row r="1870">
      <c r="A1870" s="13">
        <f>Github!J$1448</f>
        <v>1447</v>
      </c>
      <c r="B1870" s="14" t="str">
        <f>HYPERLINK(CONCAT("http://leetcode.com/problems/",Github!C$1448), Github!B$1448)</f>
        <v>Simplified Fractions</v>
      </c>
      <c r="C1870" s="13">
        <f>Github!F$1448</f>
        <v>312</v>
      </c>
      <c r="D1870" s="13">
        <f>Github!G$1448</f>
        <v>40</v>
      </c>
      <c r="E1870" s="13">
        <f>Github!F$1448+Github!G$1448</f>
        <v>352</v>
      </c>
      <c r="F1870" s="15">
        <f t="shared" si="1"/>
        <v>7.8</v>
      </c>
      <c r="G1870" s="13" t="str">
        <f>ROUND(Github!O$1448, 2)&amp;"%"</f>
        <v>65.01%</v>
      </c>
      <c r="H1870" s="13" t="str">
        <f>Github!H$1448</f>
        <v>Algorithms</v>
      </c>
      <c r="I1870" s="16" t="str">
        <f>SUBSTITUTE(Github!L$1448, ";", ", ")</f>
        <v>Math, String, Number Theory, </v>
      </c>
      <c r="J1870" s="13" t="str">
        <f>Github!E$1448</f>
        <v>Medium</v>
      </c>
      <c r="K1870" s="13" t="str">
        <f>IF(TRIM(Github!D$1448)="TRUE","FALSE","TRUE")</f>
        <v>TRUE</v>
      </c>
      <c r="L1870" s="13" t="b">
        <f>Github!M$1448</f>
        <v>0</v>
      </c>
      <c r="M1870" s="13" t="b">
        <f>Github!N$1448</f>
        <v>0</v>
      </c>
      <c r="N1870" s="13">
        <f>Github!P$1448</f>
        <v>24903</v>
      </c>
      <c r="O1870" s="13">
        <f>Github!Q$1448</f>
        <v>38307</v>
      </c>
    </row>
    <row r="1871">
      <c r="A1871" s="13">
        <f>Github!J$1688</f>
        <v>1687</v>
      </c>
      <c r="B1871" s="14" t="str">
        <f>HYPERLINK(CONCAT("http://leetcode.com/problems/",Github!C$1688), Github!B$1688)</f>
        <v>Delivering Boxes from Storage to Ports</v>
      </c>
      <c r="C1871" s="13">
        <f>Github!F$1688</f>
        <v>314</v>
      </c>
      <c r="D1871" s="13">
        <f>Github!G$1688</f>
        <v>24</v>
      </c>
      <c r="E1871" s="13">
        <f>Github!F$1688+Github!G$1688</f>
        <v>338</v>
      </c>
      <c r="F1871" s="15">
        <f t="shared" si="1"/>
        <v>13.08</v>
      </c>
      <c r="G1871" s="13" t="str">
        <f>ROUND(Github!O$1688, 2)&amp;"%"</f>
        <v>38.74%</v>
      </c>
      <c r="H1871" s="13" t="str">
        <f>Github!H$1688</f>
        <v>Algorithms</v>
      </c>
      <c r="I1871" s="16" t="str">
        <f>SUBSTITUTE(Github!L$1688, ";", ", ")</f>
        <v>Array, Dynamic Programming, Segment Tree, Queue, Heap (Priority Queue), Monotonic Queue, </v>
      </c>
      <c r="J1871" s="13" t="str">
        <f>Github!E$1688</f>
        <v>Hard</v>
      </c>
      <c r="K1871" s="13" t="str">
        <f>IF(TRIM(Github!D$1688)="TRUE","FALSE","TRUE")</f>
        <v>TRUE</v>
      </c>
      <c r="L1871" s="13" t="b">
        <f>Github!M$1688</f>
        <v>0</v>
      </c>
      <c r="M1871" s="13" t="b">
        <f>Github!N$1688</f>
        <v>0</v>
      </c>
      <c r="N1871" s="13">
        <f>Github!P$1688</f>
        <v>4757</v>
      </c>
      <c r="O1871" s="13">
        <f>Github!Q$1688</f>
        <v>12278</v>
      </c>
    </row>
    <row r="1872">
      <c r="A1872" s="13">
        <f>Github!J$2123</f>
        <v>2122</v>
      </c>
      <c r="B1872" s="14" t="str">
        <f>HYPERLINK(CONCAT("http://leetcode.com/problems/",Github!C$2123), Github!B$2123)</f>
        <v>Recover the Original Array</v>
      </c>
      <c r="C1872" s="13">
        <f>Github!F$2123</f>
        <v>313</v>
      </c>
      <c r="D1872" s="13">
        <f>Github!G$2123</f>
        <v>28</v>
      </c>
      <c r="E1872" s="13">
        <f>Github!F$2123+Github!G$2123</f>
        <v>341</v>
      </c>
      <c r="F1872" s="15">
        <f t="shared" si="1"/>
        <v>11.18</v>
      </c>
      <c r="G1872" s="13" t="str">
        <f>ROUND(Github!O$2123, 2)&amp;"%"</f>
        <v>38.29%</v>
      </c>
      <c r="H1872" s="13" t="str">
        <f>Github!H$2123</f>
        <v>Algorithms</v>
      </c>
      <c r="I1872" s="16" t="str">
        <f>SUBSTITUTE(Github!L$2123, ";", ", ")</f>
        <v>Array, Hash Table, Sorting, Enumeration, </v>
      </c>
      <c r="J1872" s="13" t="str">
        <f>Github!E$2123</f>
        <v>Hard</v>
      </c>
      <c r="K1872" s="13" t="str">
        <f>IF(TRIM(Github!D$2123)="TRUE","FALSE","TRUE")</f>
        <v>TRUE</v>
      </c>
      <c r="L1872" s="13" t="b">
        <f>Github!M$2123</f>
        <v>0</v>
      </c>
      <c r="M1872" s="13" t="b">
        <f>Github!N$2123</f>
        <v>0</v>
      </c>
      <c r="N1872" s="13">
        <f>Github!P$2123</f>
        <v>8425</v>
      </c>
      <c r="O1872" s="13">
        <f>Github!Q$2123</f>
        <v>22002</v>
      </c>
    </row>
    <row r="1873">
      <c r="A1873" s="13">
        <f>Github!J$1890</f>
        <v>1889</v>
      </c>
      <c r="B1873" s="14" t="str">
        <f>HYPERLINK(CONCAT("http://leetcode.com/problems/",Github!C$1890), Github!B$1890)</f>
        <v>Minimum Space Wasted From Packaging</v>
      </c>
      <c r="C1873" s="13">
        <f>Github!F$1890</f>
        <v>312</v>
      </c>
      <c r="D1873" s="13">
        <f>Github!G$1890</f>
        <v>31</v>
      </c>
      <c r="E1873" s="13">
        <f>Github!F$1890+Github!G$1890</f>
        <v>343</v>
      </c>
      <c r="F1873" s="15">
        <f t="shared" si="1"/>
        <v>10.06</v>
      </c>
      <c r="G1873" s="13" t="str">
        <f>ROUND(Github!O$1890, 2)&amp;"%"</f>
        <v>31%</v>
      </c>
      <c r="H1873" s="13" t="str">
        <f>Github!H$1890</f>
        <v>Algorithms</v>
      </c>
      <c r="I1873" s="16" t="str">
        <f>SUBSTITUTE(Github!L$1890, ";", ", ")</f>
        <v>Array, Binary Search, Sorting, Prefix Sum, </v>
      </c>
      <c r="J1873" s="13" t="str">
        <f>Github!E$1890</f>
        <v>Hard</v>
      </c>
      <c r="K1873" s="13" t="str">
        <f>IF(TRIM(Github!D$1890)="TRUE","FALSE","TRUE")</f>
        <v>TRUE</v>
      </c>
      <c r="L1873" s="13" t="b">
        <f>Github!M$1890</f>
        <v>0</v>
      </c>
      <c r="M1873" s="13" t="b">
        <f>Github!N$1890</f>
        <v>0</v>
      </c>
      <c r="N1873" s="13">
        <f>Github!P$1890</f>
        <v>9447</v>
      </c>
      <c r="O1873" s="13">
        <f>Github!Q$1890</f>
        <v>30472</v>
      </c>
    </row>
    <row r="1874">
      <c r="A1874" s="13">
        <f>Github!J$656</f>
        <v>655</v>
      </c>
      <c r="B1874" s="14" t="str">
        <f>HYPERLINK(CONCAT("http://leetcode.com/problems/",Github!C$656), Github!B$656)</f>
        <v>Print Binary Tree</v>
      </c>
      <c r="C1874" s="13">
        <f>Github!F$656</f>
        <v>317</v>
      </c>
      <c r="D1874" s="13">
        <f>Github!G$656</f>
        <v>338</v>
      </c>
      <c r="E1874" s="13">
        <f>Github!F$656+Github!G$656</f>
        <v>655</v>
      </c>
      <c r="F1874" s="15">
        <f t="shared" si="1"/>
        <v>0.94</v>
      </c>
      <c r="G1874" s="13" t="str">
        <f>ROUND(Github!O$656, 2)&amp;"%"</f>
        <v>61.6%</v>
      </c>
      <c r="H1874" s="13" t="str">
        <f>Github!H$656</f>
        <v>Algorithms</v>
      </c>
      <c r="I1874" s="16" t="str">
        <f>SUBSTITUTE(Github!L$656, ";", ", ")</f>
        <v>Tree, Depth-First Search, Breadth-First Search, Binary Tree, </v>
      </c>
      <c r="J1874" s="13" t="str">
        <f>Github!E$656</f>
        <v>Medium</v>
      </c>
      <c r="K1874" s="13" t="str">
        <f>IF(TRIM(Github!D$656)="TRUE","FALSE","TRUE")</f>
        <v>TRUE</v>
      </c>
      <c r="L1874" s="13" t="b">
        <f>Github!M$656</f>
        <v>0</v>
      </c>
      <c r="M1874" s="13" t="b">
        <f>Github!N$656</f>
        <v>0</v>
      </c>
      <c r="N1874" s="13">
        <f>Github!P$656</f>
        <v>57603</v>
      </c>
      <c r="O1874" s="13">
        <f>Github!Q$656</f>
        <v>93514</v>
      </c>
    </row>
    <row r="1875">
      <c r="A1875" s="13">
        <f>Github!J$1623</f>
        <v>1622</v>
      </c>
      <c r="B1875" s="14" t="str">
        <f>HYPERLINK(CONCAT("http://leetcode.com/problems/",Github!C$1623), Github!B$1623)</f>
        <v>Fancy Sequence</v>
      </c>
      <c r="C1875" s="13">
        <f>Github!F$1623</f>
        <v>314</v>
      </c>
      <c r="D1875" s="13">
        <f>Github!G$1623</f>
        <v>108</v>
      </c>
      <c r="E1875" s="13">
        <f>Github!F$1623+Github!G$1623</f>
        <v>422</v>
      </c>
      <c r="F1875" s="15">
        <f t="shared" si="1"/>
        <v>2.91</v>
      </c>
      <c r="G1875" s="13" t="str">
        <f>ROUND(Github!O$1623, 2)&amp;"%"</f>
        <v>16%</v>
      </c>
      <c r="H1875" s="13" t="str">
        <f>Github!H$1623</f>
        <v>Algorithms</v>
      </c>
      <c r="I1875" s="16" t="str">
        <f>SUBSTITUTE(Github!L$1623, ";", ", ")</f>
        <v>Math, Design, Segment Tree, </v>
      </c>
      <c r="J1875" s="13" t="str">
        <f>Github!E$1623</f>
        <v>Hard</v>
      </c>
      <c r="K1875" s="13" t="str">
        <f>IF(TRIM(Github!D$1623)="TRUE","FALSE","TRUE")</f>
        <v>TRUE</v>
      </c>
      <c r="L1875" s="13" t="b">
        <f>Github!M$1623</f>
        <v>0</v>
      </c>
      <c r="M1875" s="13" t="b">
        <f>Github!N$1623</f>
        <v>0</v>
      </c>
      <c r="N1875" s="13">
        <f>Github!P$1623</f>
        <v>8994</v>
      </c>
      <c r="O1875" s="13">
        <f>Github!Q$1623</f>
        <v>56211</v>
      </c>
    </row>
    <row r="1876">
      <c r="A1876" s="13">
        <f>Github!J$1841</f>
        <v>1840</v>
      </c>
      <c r="B1876" s="14" t="str">
        <f>HYPERLINK(CONCAT("http://leetcode.com/problems/",Github!C$1841), Github!B$1841)</f>
        <v>Maximum Building Height</v>
      </c>
      <c r="C1876" s="13">
        <f>Github!F$1841</f>
        <v>310</v>
      </c>
      <c r="D1876" s="13">
        <f>Github!G$1841</f>
        <v>11</v>
      </c>
      <c r="E1876" s="13">
        <f>Github!F$1841+Github!G$1841</f>
        <v>321</v>
      </c>
      <c r="F1876" s="15">
        <f t="shared" si="1"/>
        <v>28.18</v>
      </c>
      <c r="G1876" s="13" t="str">
        <f>ROUND(Github!O$1841, 2)&amp;"%"</f>
        <v>35.35%</v>
      </c>
      <c r="H1876" s="13" t="str">
        <f>Github!H$1841</f>
        <v>Algorithms</v>
      </c>
      <c r="I1876" s="16" t="str">
        <f>SUBSTITUTE(Github!L$1841, ";", ", ")</f>
        <v>Array, Math, </v>
      </c>
      <c r="J1876" s="13" t="str">
        <f>Github!E$1841</f>
        <v>Hard</v>
      </c>
      <c r="K1876" s="13" t="str">
        <f>IF(TRIM(Github!D$1841)="TRUE","FALSE","TRUE")</f>
        <v>TRUE</v>
      </c>
      <c r="L1876" s="13" t="b">
        <f>Github!M$1841</f>
        <v>0</v>
      </c>
      <c r="M1876" s="13" t="b">
        <f>Github!N$1841</f>
        <v>0</v>
      </c>
      <c r="N1876" s="13">
        <f>Github!P$1841</f>
        <v>5809</v>
      </c>
      <c r="O1876" s="13">
        <f>Github!Q$1841</f>
        <v>16431</v>
      </c>
    </row>
    <row r="1877">
      <c r="A1877" s="13">
        <f>Github!J$1318</f>
        <v>1317</v>
      </c>
      <c r="B1877" s="14" t="str">
        <f>HYPERLINK(CONCAT("http://leetcode.com/problems/",Github!C$1318), Github!B$1318)</f>
        <v>Convert Integer to the Sum of Two No-Zero Integers</v>
      </c>
      <c r="C1877" s="13">
        <f>Github!F$1318</f>
        <v>312</v>
      </c>
      <c r="D1877" s="13">
        <f>Github!G$1318</f>
        <v>255</v>
      </c>
      <c r="E1877" s="13">
        <f>Github!F$1318+Github!G$1318</f>
        <v>567</v>
      </c>
      <c r="F1877" s="15">
        <f t="shared" si="1"/>
        <v>1.22</v>
      </c>
      <c r="G1877" s="13" t="str">
        <f>ROUND(Github!O$1318, 2)&amp;"%"</f>
        <v>55.94%</v>
      </c>
      <c r="H1877" s="13" t="str">
        <f>Github!H$1318</f>
        <v>Algorithms</v>
      </c>
      <c r="I1877" s="16" t="str">
        <f>SUBSTITUTE(Github!L$1318, ";", ", ")</f>
        <v>Math, </v>
      </c>
      <c r="J1877" s="13" t="str">
        <f>Github!E$1318</f>
        <v>Easy</v>
      </c>
      <c r="K1877" s="13" t="str">
        <f>IF(TRIM(Github!D$1318)="TRUE","FALSE","TRUE")</f>
        <v>TRUE</v>
      </c>
      <c r="L1877" s="13" t="b">
        <f>Github!M$1318</f>
        <v>0</v>
      </c>
      <c r="M1877" s="13" t="b">
        <f>Github!N$1318</f>
        <v>0</v>
      </c>
      <c r="N1877" s="13">
        <f>Github!P$1318</f>
        <v>35122</v>
      </c>
      <c r="O1877" s="13">
        <f>Github!Q$1318</f>
        <v>62788</v>
      </c>
    </row>
    <row r="1878">
      <c r="A1878" s="13">
        <f>Github!J$1155</f>
        <v>1154</v>
      </c>
      <c r="B1878" s="14" t="str">
        <f>HYPERLINK(CONCAT("http://leetcode.com/problems/",Github!C$1155), Github!B$1155)</f>
        <v>Day of the Year</v>
      </c>
      <c r="C1878" s="13">
        <f>Github!F$1155</f>
        <v>314</v>
      </c>
      <c r="D1878" s="13">
        <f>Github!G$1155</f>
        <v>372</v>
      </c>
      <c r="E1878" s="13">
        <f>Github!F$1155+Github!G$1155</f>
        <v>686</v>
      </c>
      <c r="F1878" s="15">
        <f t="shared" si="1"/>
        <v>0.84</v>
      </c>
      <c r="G1878" s="13" t="str">
        <f>ROUND(Github!O$1155, 2)&amp;"%"</f>
        <v>50.03%</v>
      </c>
      <c r="H1878" s="13" t="str">
        <f>Github!H$1155</f>
        <v>Algorithms</v>
      </c>
      <c r="I1878" s="16" t="str">
        <f>SUBSTITUTE(Github!L$1155, ";", ", ")</f>
        <v>Math, String, </v>
      </c>
      <c r="J1878" s="13" t="str">
        <f>Github!E$1155</f>
        <v>Easy</v>
      </c>
      <c r="K1878" s="13" t="str">
        <f>IF(TRIM(Github!D$1155)="TRUE","FALSE","TRUE")</f>
        <v>TRUE</v>
      </c>
      <c r="L1878" s="13" t="b">
        <f>Github!M$1155</f>
        <v>0</v>
      </c>
      <c r="M1878" s="13" t="b">
        <f>Github!N$1155</f>
        <v>0</v>
      </c>
      <c r="N1878" s="13">
        <f>Github!P$1155</f>
        <v>40416</v>
      </c>
      <c r="O1878" s="13">
        <f>Github!Q$1155</f>
        <v>80774</v>
      </c>
    </row>
    <row r="1879">
      <c r="A1879" s="13">
        <f>Github!J$554</f>
        <v>553</v>
      </c>
      <c r="B1879" s="14" t="str">
        <f>HYPERLINK(CONCAT("http://leetcode.com/problems/",Github!C$554), Github!B$554)</f>
        <v>Optimal Division</v>
      </c>
      <c r="C1879" s="13">
        <f>Github!F$554</f>
        <v>308</v>
      </c>
      <c r="D1879" s="13">
        <f>Github!G$554</f>
        <v>1475</v>
      </c>
      <c r="E1879" s="13">
        <f>Github!F$554+Github!G$554</f>
        <v>1783</v>
      </c>
      <c r="F1879" s="15">
        <f t="shared" si="1"/>
        <v>0.21</v>
      </c>
      <c r="G1879" s="13" t="str">
        <f>ROUND(Github!O$554, 2)&amp;"%"</f>
        <v>59.81%</v>
      </c>
      <c r="H1879" s="13" t="str">
        <f>Github!H$554</f>
        <v>Algorithms</v>
      </c>
      <c r="I1879" s="16" t="str">
        <f>SUBSTITUTE(Github!L$554, ";", ", ")</f>
        <v>Array, Math, Dynamic Programming, </v>
      </c>
      <c r="J1879" s="13" t="str">
        <f>Github!E$554</f>
        <v>Medium</v>
      </c>
      <c r="K1879" s="13" t="str">
        <f>IF(TRIM(Github!D$554)="TRUE","FALSE","TRUE")</f>
        <v>TRUE</v>
      </c>
      <c r="L1879" s="13" t="b">
        <f>Github!M$554</f>
        <v>1</v>
      </c>
      <c r="M1879" s="13" t="b">
        <f>Github!N$554</f>
        <v>0</v>
      </c>
      <c r="N1879" s="13">
        <f>Github!P$554</f>
        <v>34422</v>
      </c>
      <c r="O1879" s="13">
        <f>Github!Q$554</f>
        <v>57556</v>
      </c>
    </row>
    <row r="1880">
      <c r="A1880" s="13">
        <f>Github!J$1176</f>
        <v>1175</v>
      </c>
      <c r="B1880" s="14" t="str">
        <f>HYPERLINK(CONCAT("http://leetcode.com/problems/",Github!C$1176), Github!B$1176)</f>
        <v>Prime Arrangements</v>
      </c>
      <c r="C1880" s="13">
        <f>Github!F$1176</f>
        <v>313</v>
      </c>
      <c r="D1880" s="13">
        <f>Github!G$1176</f>
        <v>433</v>
      </c>
      <c r="E1880" s="13">
        <f>Github!F$1176+Github!G$1176</f>
        <v>746</v>
      </c>
      <c r="F1880" s="15">
        <f t="shared" si="1"/>
        <v>0.72</v>
      </c>
      <c r="G1880" s="13" t="str">
        <f>ROUND(Github!O$1176, 2)&amp;"%"</f>
        <v>53.91%</v>
      </c>
      <c r="H1880" s="13" t="str">
        <f>Github!H$1176</f>
        <v>Algorithms</v>
      </c>
      <c r="I1880" s="16" t="str">
        <f>SUBSTITUTE(Github!L$1176, ";", ", ")</f>
        <v>Math, </v>
      </c>
      <c r="J1880" s="13" t="str">
        <f>Github!E$1176</f>
        <v>Easy</v>
      </c>
      <c r="K1880" s="13" t="str">
        <f>IF(TRIM(Github!D$1176)="TRUE","FALSE","TRUE")</f>
        <v>TRUE</v>
      </c>
      <c r="L1880" s="13" t="b">
        <f>Github!M$1176</f>
        <v>0</v>
      </c>
      <c r="M1880" s="13" t="b">
        <f>Github!N$1176</f>
        <v>0</v>
      </c>
      <c r="N1880" s="13">
        <f>Github!P$1176</f>
        <v>23717</v>
      </c>
      <c r="O1880" s="13">
        <f>Github!Q$1176</f>
        <v>43997</v>
      </c>
    </row>
    <row r="1881">
      <c r="A1881" s="13">
        <f>Github!J$735</f>
        <v>734</v>
      </c>
      <c r="B1881" s="14" t="str">
        <f>HYPERLINK(CONCAT("http://leetcode.com/problems/",Github!C$735), Github!B$735)</f>
        <v>Sentence Similarity</v>
      </c>
      <c r="C1881" s="13">
        <f>Github!F$735</f>
        <v>312</v>
      </c>
      <c r="D1881" s="13">
        <f>Github!G$735</f>
        <v>483</v>
      </c>
      <c r="E1881" s="13">
        <f>Github!F$735+Github!G$735</f>
        <v>795</v>
      </c>
      <c r="F1881" s="15">
        <f t="shared" si="1"/>
        <v>0.65</v>
      </c>
      <c r="G1881" s="13" t="str">
        <f>ROUND(Github!O$735, 2)&amp;"%"</f>
        <v>43.09%</v>
      </c>
      <c r="H1881" s="13" t="str">
        <f>Github!H$735</f>
        <v>Algorithms</v>
      </c>
      <c r="I1881" s="16" t="str">
        <f>SUBSTITUTE(Github!L$735, ";", ", ")</f>
        <v>Array, Hash Table, String, </v>
      </c>
      <c r="J1881" s="13" t="str">
        <f>Github!E$735</f>
        <v>Easy</v>
      </c>
      <c r="K1881" s="13" t="str">
        <f>IF(TRIM(Github!D$735)="TRUE","FALSE","TRUE")</f>
        <v>FALSE</v>
      </c>
      <c r="L1881" s="13" t="b">
        <f>Github!M$735</f>
        <v>1</v>
      </c>
      <c r="M1881" s="13" t="b">
        <f>Github!N$735</f>
        <v>0</v>
      </c>
      <c r="N1881" s="13">
        <f>Github!P$735</f>
        <v>54207</v>
      </c>
      <c r="O1881" s="13">
        <f>Github!Q$735</f>
        <v>125810</v>
      </c>
    </row>
    <row r="1882">
      <c r="A1882" s="13">
        <f>Github!J$750</f>
        <v>749</v>
      </c>
      <c r="B1882" s="14" t="str">
        <f>HYPERLINK(CONCAT("http://leetcode.com/problems/",Github!C$750), Github!B$750)</f>
        <v>Contain Virus</v>
      </c>
      <c r="C1882" s="13">
        <f>Github!F$750</f>
        <v>309</v>
      </c>
      <c r="D1882" s="13">
        <f>Github!G$750</f>
        <v>421</v>
      </c>
      <c r="E1882" s="13">
        <f>Github!F$750+Github!G$750</f>
        <v>730</v>
      </c>
      <c r="F1882" s="15">
        <f t="shared" si="1"/>
        <v>0.73</v>
      </c>
      <c r="G1882" s="13" t="str">
        <f>ROUND(Github!O$750, 2)&amp;"%"</f>
        <v>50.91%</v>
      </c>
      <c r="H1882" s="13" t="str">
        <f>Github!H$750</f>
        <v>Algorithms</v>
      </c>
      <c r="I1882" s="16" t="str">
        <f>SUBSTITUTE(Github!L$750, ";", ", ")</f>
        <v>Array, Depth-First Search, Breadth-First Search, Matrix, Simulation, </v>
      </c>
      <c r="J1882" s="13" t="str">
        <f>Github!E$750</f>
        <v>Hard</v>
      </c>
      <c r="K1882" s="13" t="str">
        <f>IF(TRIM(Github!D$750)="TRUE","FALSE","TRUE")</f>
        <v>TRUE</v>
      </c>
      <c r="L1882" s="13" t="b">
        <f>Github!M$750</f>
        <v>1</v>
      </c>
      <c r="M1882" s="13" t="b">
        <f>Github!N$750</f>
        <v>0</v>
      </c>
      <c r="N1882" s="13">
        <f>Github!P$750</f>
        <v>9921</v>
      </c>
      <c r="O1882" s="13">
        <f>Github!Q$750</f>
        <v>19486</v>
      </c>
    </row>
    <row r="1883">
      <c r="A1883" s="13">
        <f>Github!J$196</f>
        <v>195</v>
      </c>
      <c r="B1883" s="14" t="str">
        <f>HYPERLINK(CONCAT("http://leetcode.com/problems/",Github!C$196), Github!B$196)</f>
        <v>Tenth Line</v>
      </c>
      <c r="C1883" s="13">
        <f>Github!F$196</f>
        <v>307</v>
      </c>
      <c r="D1883" s="13">
        <f>Github!G$196</f>
        <v>401</v>
      </c>
      <c r="E1883" s="13">
        <f>Github!F$196+Github!G$196</f>
        <v>708</v>
      </c>
      <c r="F1883" s="15">
        <f t="shared" si="1"/>
        <v>0.77</v>
      </c>
      <c r="G1883" s="13" t="str">
        <f>ROUND(Github!O$196, 2)&amp;"%"</f>
        <v>32.94%</v>
      </c>
      <c r="H1883" s="13" t="str">
        <f>Github!H$196</f>
        <v>Shell</v>
      </c>
      <c r="I1883" s="16" t="str">
        <f>SUBSTITUTE(Github!L$196, ";", ", ")</f>
        <v>Shell, </v>
      </c>
      <c r="J1883" s="13" t="str">
        <f>Github!E$196</f>
        <v>Easy</v>
      </c>
      <c r="K1883" s="13" t="str">
        <f>IF(TRIM(Github!D$196)="TRUE","FALSE","TRUE")</f>
        <v>TRUE</v>
      </c>
      <c r="L1883" s="13" t="b">
        <f>Github!M$196</f>
        <v>0</v>
      </c>
      <c r="M1883" s="13" t="b">
        <f>Github!N$196</f>
        <v>0</v>
      </c>
      <c r="N1883" s="13">
        <f>Github!P$196</f>
        <v>82521</v>
      </c>
      <c r="O1883" s="13">
        <f>Github!Q$196</f>
        <v>250512</v>
      </c>
    </row>
    <row r="1884">
      <c r="A1884" s="13">
        <f>Github!J$2288</f>
        <v>2287</v>
      </c>
      <c r="B1884" s="14" t="str">
        <f>HYPERLINK(CONCAT("http://leetcode.com/problems/",Github!C$2288), Github!B$2288)</f>
        <v>Rearrange Characters to Make Target String</v>
      </c>
      <c r="C1884" s="13">
        <f>Github!F$2288</f>
        <v>315</v>
      </c>
      <c r="D1884" s="13">
        <f>Github!G$2288</f>
        <v>23</v>
      </c>
      <c r="E1884" s="13">
        <f>Github!F$2288+Github!G$2288</f>
        <v>338</v>
      </c>
      <c r="F1884" s="15">
        <f t="shared" si="1"/>
        <v>13.7</v>
      </c>
      <c r="G1884" s="13" t="str">
        <f>ROUND(Github!O$2288, 2)&amp;"%"</f>
        <v>57.94%</v>
      </c>
      <c r="H1884" s="13" t="str">
        <f>Github!H2288</f>
        <v>Algorithms</v>
      </c>
      <c r="I1884" s="16" t="str">
        <f>SUBSTITUTE(Github!L$2288, ";", ", ")</f>
        <v>Hash Table, String, Counting, </v>
      </c>
      <c r="J1884" s="13" t="str">
        <f>Github!E$2288</f>
        <v>Easy</v>
      </c>
      <c r="K1884" s="13" t="str">
        <f>IF(TRIM(Github!D$2288)="TRUE","FALSE","TRUE")</f>
        <v>TRUE</v>
      </c>
      <c r="L1884" s="13" t="b">
        <f>Github!M$2288</f>
        <v>0</v>
      </c>
      <c r="M1884" s="13" t="b">
        <f>Github!N$2288</f>
        <v>0</v>
      </c>
      <c r="N1884" s="13">
        <f>Github!P$2288</f>
        <v>27902</v>
      </c>
      <c r="O1884" s="13">
        <f>Github!Q$2288</f>
        <v>48156</v>
      </c>
    </row>
    <row r="1885">
      <c r="A1885" s="13">
        <f>Github!J$1994</f>
        <v>1993</v>
      </c>
      <c r="B1885" s="14" t="str">
        <f>HYPERLINK(CONCAT("http://leetcode.com/problems/",Github!C$1994), Github!B$1994)</f>
        <v>Operations on Tree</v>
      </c>
      <c r="C1885" s="13">
        <f>Github!F$1994</f>
        <v>310</v>
      </c>
      <c r="D1885" s="13">
        <f>Github!G$1994</f>
        <v>53</v>
      </c>
      <c r="E1885" s="13">
        <f>Github!F$1994+Github!G$1994</f>
        <v>363</v>
      </c>
      <c r="F1885" s="15">
        <f t="shared" si="1"/>
        <v>5.85</v>
      </c>
      <c r="G1885" s="13" t="str">
        <f>ROUND(Github!O$1994, 2)&amp;"%"</f>
        <v>43.63%</v>
      </c>
      <c r="H1885" s="13" t="str">
        <f>Github!H$1994</f>
        <v>Algorithms</v>
      </c>
      <c r="I1885" s="16" t="str">
        <f>SUBSTITUTE(Github!L$1994, ";", ", ")</f>
        <v>Hash Table, Tree, Depth-First Search, Breadth-First Search, Design, </v>
      </c>
      <c r="J1885" s="13" t="str">
        <f>Github!E$1994</f>
        <v>Medium</v>
      </c>
      <c r="K1885" s="13" t="str">
        <f>IF(TRIM(Github!D$1994)="TRUE","FALSE","TRUE")</f>
        <v>TRUE</v>
      </c>
      <c r="L1885" s="13" t="b">
        <f>Github!M$1994</f>
        <v>0</v>
      </c>
      <c r="M1885" s="13" t="b">
        <f>Github!N$1994</f>
        <v>0</v>
      </c>
      <c r="N1885" s="13">
        <f>Github!P$1994</f>
        <v>9415</v>
      </c>
      <c r="O1885" s="13">
        <f>Github!Q$1994</f>
        <v>21581</v>
      </c>
    </row>
    <row r="1886">
      <c r="A1886" s="13">
        <f>Github!J$380</f>
        <v>379</v>
      </c>
      <c r="B1886" s="14" t="str">
        <f>HYPERLINK(CONCAT("http://leetcode.com/problems/",Github!C$380), Github!B$380)</f>
        <v>Design Phone Directory</v>
      </c>
      <c r="C1886" s="13">
        <f>Github!F$380</f>
        <v>306</v>
      </c>
      <c r="D1886" s="13">
        <f>Github!G$380</f>
        <v>435</v>
      </c>
      <c r="E1886" s="13">
        <f>Github!F$380+Github!G$380</f>
        <v>741</v>
      </c>
      <c r="F1886" s="15">
        <f t="shared" si="1"/>
        <v>0.7</v>
      </c>
      <c r="G1886" s="13" t="str">
        <f>ROUND(Github!O$380, 2)&amp;"%"</f>
        <v>51.02%</v>
      </c>
      <c r="H1886" s="13" t="str">
        <f>Github!H$380</f>
        <v>Algorithms</v>
      </c>
      <c r="I1886" s="16" t="str">
        <f>SUBSTITUTE(Github!L$380, ";", ", ")</f>
        <v>Array, Hash Table, Linked List, Design, Queue, </v>
      </c>
      <c r="J1886" s="13" t="str">
        <f>Github!E$380</f>
        <v>Medium</v>
      </c>
      <c r="K1886" s="13" t="str">
        <f>IF(TRIM(Github!D$380)="TRUE","FALSE","TRUE")</f>
        <v>FALSE</v>
      </c>
      <c r="L1886" s="13" t="b">
        <f>Github!M$380</f>
        <v>0</v>
      </c>
      <c r="M1886" s="13" t="b">
        <f>Github!N$380</f>
        <v>0</v>
      </c>
      <c r="N1886" s="13">
        <f>Github!P$380</f>
        <v>60022</v>
      </c>
      <c r="O1886" s="13">
        <f>Github!Q$380</f>
        <v>117649</v>
      </c>
    </row>
    <row r="1887">
      <c r="A1887" s="13">
        <f>Github!J$1694</f>
        <v>1693</v>
      </c>
      <c r="B1887" s="14" t="str">
        <f>HYPERLINK(CONCAT("http://leetcode.com/problems/",Github!C$1694), Github!B$1694)</f>
        <v>Daily Leads and Partners</v>
      </c>
      <c r="C1887" s="13">
        <f>Github!F$1694</f>
        <v>313</v>
      </c>
      <c r="D1887" s="13">
        <f>Github!G$1694</f>
        <v>26</v>
      </c>
      <c r="E1887" s="13">
        <f>Github!F$1694+Github!G$1694</f>
        <v>339</v>
      </c>
      <c r="F1887" s="15">
        <f t="shared" si="1"/>
        <v>12.04</v>
      </c>
      <c r="G1887" s="13" t="str">
        <f>ROUND(Github!O$1694, 2)&amp;"%"</f>
        <v>89.56%</v>
      </c>
      <c r="H1887" s="13" t="str">
        <f>Github!H$1694</f>
        <v>Database</v>
      </c>
      <c r="I1887" s="16" t="str">
        <f>SUBSTITUTE(Github!L$1694, ";", ", ")</f>
        <v>Database, </v>
      </c>
      <c r="J1887" s="13" t="str">
        <f>Github!E$1694</f>
        <v>Easy</v>
      </c>
      <c r="K1887" s="13" t="str">
        <f>IF(TRIM(Github!D$1694)="TRUE","FALSE","TRUE")</f>
        <v>TRUE</v>
      </c>
      <c r="L1887" s="13" t="b">
        <f>Github!M$1694</f>
        <v>0</v>
      </c>
      <c r="M1887" s="13" t="b">
        <f>Github!N$1694</f>
        <v>0</v>
      </c>
      <c r="N1887" s="13">
        <f>Github!P$1694</f>
        <v>59790</v>
      </c>
      <c r="O1887" s="13">
        <f>Github!Q$1694</f>
        <v>66763</v>
      </c>
    </row>
    <row r="1888">
      <c r="A1888" s="13">
        <f>Github!J$809</f>
        <v>808</v>
      </c>
      <c r="B1888" s="14" t="str">
        <f>HYPERLINK(CONCAT("http://leetcode.com/problems/",Github!C$809), Github!B$809)</f>
        <v>Soup Servings</v>
      </c>
      <c r="C1888" s="13">
        <f>Github!F$809</f>
        <v>305</v>
      </c>
      <c r="D1888" s="13">
        <f>Github!G$809</f>
        <v>833</v>
      </c>
      <c r="E1888" s="13">
        <f>Github!F$809+Github!G$809</f>
        <v>1138</v>
      </c>
      <c r="F1888" s="15">
        <f t="shared" si="1"/>
        <v>0.37</v>
      </c>
      <c r="G1888" s="13" t="str">
        <f>ROUND(Github!O$809, 2)&amp;"%"</f>
        <v>43.38%</v>
      </c>
      <c r="H1888" s="13" t="str">
        <f>Github!H$809</f>
        <v>Algorithms</v>
      </c>
      <c r="I1888" s="16" t="str">
        <f>SUBSTITUTE(Github!L$809, ";", ", ")</f>
        <v>Math, Dynamic Programming, Probability and Statistics, </v>
      </c>
      <c r="J1888" s="13" t="str">
        <f>Github!E$809</f>
        <v>Medium</v>
      </c>
      <c r="K1888" s="13" t="str">
        <f>IF(TRIM(Github!D$809)="TRUE","FALSE","TRUE")</f>
        <v>TRUE</v>
      </c>
      <c r="L1888" s="13" t="b">
        <f>Github!M$809</f>
        <v>0</v>
      </c>
      <c r="M1888" s="13" t="b">
        <f>Github!N$809</f>
        <v>0</v>
      </c>
      <c r="N1888" s="13">
        <f>Github!P$809</f>
        <v>16907</v>
      </c>
      <c r="O1888" s="13">
        <f>Github!Q$809</f>
        <v>38973</v>
      </c>
    </row>
    <row r="1889">
      <c r="A1889" s="13">
        <f>Github!J$2302</f>
        <v>2301</v>
      </c>
      <c r="B1889" s="14" t="str">
        <f>HYPERLINK(CONCAT("http://leetcode.com/problems/",Github!C$2302), Github!B$2302)</f>
        <v>Match Substring After Replacement</v>
      </c>
      <c r="C1889" s="13">
        <f>Github!F$2302</f>
        <v>305</v>
      </c>
      <c r="D1889" s="13">
        <f>Github!G$2302</f>
        <v>67</v>
      </c>
      <c r="E1889" s="13">
        <f>Github!F$2302+Github!G$2302</f>
        <v>372</v>
      </c>
      <c r="F1889" s="15">
        <f t="shared" si="1"/>
        <v>4.55</v>
      </c>
      <c r="G1889" s="13" t="str">
        <f>ROUND(Github!O$2302, 2)&amp;"%"</f>
        <v>39.19%</v>
      </c>
      <c r="H1889" s="13" t="str">
        <f>Github!H2302</f>
        <v>Algorithms</v>
      </c>
      <c r="I1889" s="16" t="str">
        <f>SUBSTITUTE(Github!L$2302, ";", ", ")</f>
        <v>Array, Hash Table, String, String Matching, </v>
      </c>
      <c r="J1889" s="13" t="str">
        <f>Github!E$2302</f>
        <v>Hard</v>
      </c>
      <c r="K1889" s="13" t="str">
        <f>IF(TRIM(Github!D$2302)="TRUE","FALSE","TRUE")</f>
        <v>TRUE</v>
      </c>
      <c r="L1889" s="13" t="b">
        <f>Github!M$2302</f>
        <v>0</v>
      </c>
      <c r="M1889" s="13" t="b">
        <f>Github!N$2302</f>
        <v>0</v>
      </c>
      <c r="N1889" s="13">
        <f>Github!P$2302</f>
        <v>10688</v>
      </c>
      <c r="O1889" s="13">
        <f>Github!Q$2302</f>
        <v>27273</v>
      </c>
    </row>
    <row r="1890">
      <c r="A1890" s="13">
        <f>Github!J$2310</f>
        <v>2309</v>
      </c>
      <c r="B1890" s="14" t="str">
        <f>HYPERLINK(CONCAT("http://leetcode.com/problems/",Github!C$2310), Github!B$2310)</f>
        <v>Greatest English Letter in Upper and Lower Case</v>
      </c>
      <c r="C1890" s="13">
        <f>Github!F$2310</f>
        <v>312</v>
      </c>
      <c r="D1890" s="13">
        <f>Github!G$2310</f>
        <v>21</v>
      </c>
      <c r="E1890" s="13">
        <f>Github!F$2310+Github!G$2310</f>
        <v>333</v>
      </c>
      <c r="F1890" s="15">
        <f t="shared" si="1"/>
        <v>14.86</v>
      </c>
      <c r="G1890" s="13" t="str">
        <f>ROUND(Github!O$2310, 2)&amp;"%"</f>
        <v>68.58%</v>
      </c>
      <c r="H1890" s="13" t="str">
        <f>Github!H2310</f>
        <v>Algorithms</v>
      </c>
      <c r="I1890" s="16" t="str">
        <f>SUBSTITUTE(Github!L$2310, ";", ", ")</f>
        <v>Hash Table, String, Enumeration, </v>
      </c>
      <c r="J1890" s="13" t="str">
        <f>Github!E$2310</f>
        <v>Easy</v>
      </c>
      <c r="K1890" s="13" t="str">
        <f>IF(TRIM(Github!D$2310)="TRUE","FALSE","TRUE")</f>
        <v>TRUE</v>
      </c>
      <c r="L1890" s="13" t="b">
        <f>Github!M$2310</f>
        <v>0</v>
      </c>
      <c r="M1890" s="13" t="b">
        <f>Github!N$2310</f>
        <v>0</v>
      </c>
      <c r="N1890" s="13">
        <f>Github!P$2310</f>
        <v>34944</v>
      </c>
      <c r="O1890" s="13">
        <f>Github!Q$2310</f>
        <v>50957</v>
      </c>
    </row>
    <row r="1891">
      <c r="A1891" s="13">
        <f>Github!J$1541</f>
        <v>1540</v>
      </c>
      <c r="B1891" s="14" t="str">
        <f>HYPERLINK(CONCAT("http://leetcode.com/problems/",Github!C$1541), Github!B$1541)</f>
        <v>Can Convert String in K Moves</v>
      </c>
      <c r="C1891" s="13">
        <f>Github!F$1541</f>
        <v>306</v>
      </c>
      <c r="D1891" s="13">
        <f>Github!G$1541</f>
        <v>253</v>
      </c>
      <c r="E1891" s="13">
        <f>Github!F$1541+Github!G$1541</f>
        <v>559</v>
      </c>
      <c r="F1891" s="15">
        <f t="shared" si="1"/>
        <v>1.21</v>
      </c>
      <c r="G1891" s="13" t="str">
        <f>ROUND(Github!O$1541, 2)&amp;"%"</f>
        <v>33.28%</v>
      </c>
      <c r="H1891" s="13" t="str">
        <f>Github!H$1541</f>
        <v>Algorithms</v>
      </c>
      <c r="I1891" s="16" t="str">
        <f>SUBSTITUTE(Github!L$1541, ";", ", ")</f>
        <v>Hash Table, String, </v>
      </c>
      <c r="J1891" s="13" t="str">
        <f>Github!E$1541</f>
        <v>Medium</v>
      </c>
      <c r="K1891" s="13" t="str">
        <f>IF(TRIM(Github!D$1541)="TRUE","FALSE","TRUE")</f>
        <v>TRUE</v>
      </c>
      <c r="L1891" s="13" t="b">
        <f>Github!M$1541</f>
        <v>0</v>
      </c>
      <c r="M1891" s="13" t="b">
        <f>Github!N$1541</f>
        <v>0</v>
      </c>
      <c r="N1891" s="13">
        <f>Github!P$1541</f>
        <v>15088</v>
      </c>
      <c r="O1891" s="13">
        <f>Github!Q$1541</f>
        <v>45340</v>
      </c>
    </row>
    <row r="1892">
      <c r="A1892" s="13">
        <f>Github!J$2127</f>
        <v>2126</v>
      </c>
      <c r="B1892" s="14" t="str">
        <f>HYPERLINK(CONCAT("http://leetcode.com/problems/",Github!C$2127), Github!B$2127)</f>
        <v>Destroying Asteroids</v>
      </c>
      <c r="C1892" s="13">
        <f>Github!F$2127</f>
        <v>309</v>
      </c>
      <c r="D1892" s="13">
        <f>Github!G$2127</f>
        <v>140</v>
      </c>
      <c r="E1892" s="13">
        <f>Github!F$2127+Github!G$2127</f>
        <v>449</v>
      </c>
      <c r="F1892" s="15">
        <f t="shared" si="1"/>
        <v>2.21</v>
      </c>
      <c r="G1892" s="13" t="str">
        <f>ROUND(Github!O$2127, 2)&amp;"%"</f>
        <v>49.71%</v>
      </c>
      <c r="H1892" s="13" t="str">
        <f>Github!H$2127</f>
        <v>Algorithms</v>
      </c>
      <c r="I1892" s="16" t="str">
        <f>SUBSTITUTE(Github!L$2127, ";", ", ")</f>
        <v>Array, Greedy, Sorting, </v>
      </c>
      <c r="J1892" s="13" t="str">
        <f>Github!E$2127</f>
        <v>Medium</v>
      </c>
      <c r="K1892" s="13" t="str">
        <f>IF(TRIM(Github!D$2127)="TRUE","FALSE","TRUE")</f>
        <v>TRUE</v>
      </c>
      <c r="L1892" s="13" t="b">
        <f>Github!M$2127</f>
        <v>0</v>
      </c>
      <c r="M1892" s="13" t="b">
        <f>Github!N$2127</f>
        <v>0</v>
      </c>
      <c r="N1892" s="13">
        <f>Github!P$2127</f>
        <v>24863</v>
      </c>
      <c r="O1892" s="13">
        <f>Github!Q$2127</f>
        <v>50018</v>
      </c>
    </row>
    <row r="1893">
      <c r="A1893" s="13">
        <f>Github!J$1939</f>
        <v>1938</v>
      </c>
      <c r="B1893" s="14" t="str">
        <f>HYPERLINK(CONCAT("http://leetcode.com/problems/",Github!C$1939), Github!B$1939)</f>
        <v>Maximum Genetic Difference Query</v>
      </c>
      <c r="C1893" s="13">
        <f>Github!F$1939</f>
        <v>305</v>
      </c>
      <c r="D1893" s="13">
        <f>Github!G$1939</f>
        <v>14</v>
      </c>
      <c r="E1893" s="13">
        <f>Github!F$1939+Github!G$1939</f>
        <v>319</v>
      </c>
      <c r="F1893" s="15">
        <f t="shared" si="1"/>
        <v>21.79</v>
      </c>
      <c r="G1893" s="13" t="str">
        <f>ROUND(Github!O$1939, 2)&amp;"%"</f>
        <v>39.5%</v>
      </c>
      <c r="H1893" s="13" t="str">
        <f>Github!H$1939</f>
        <v>Algorithms</v>
      </c>
      <c r="I1893" s="16" t="str">
        <f>SUBSTITUTE(Github!L$1939, ";", ", ")</f>
        <v>Array, Bit Manipulation, Trie, </v>
      </c>
      <c r="J1893" s="13" t="str">
        <f>Github!E$1939</f>
        <v>Hard</v>
      </c>
      <c r="K1893" s="13" t="str">
        <f>IF(TRIM(Github!D$1939)="TRUE","FALSE","TRUE")</f>
        <v>TRUE</v>
      </c>
      <c r="L1893" s="13" t="b">
        <f>Github!M$1939</f>
        <v>0</v>
      </c>
      <c r="M1893" s="13" t="b">
        <f>Github!N$1939</f>
        <v>0</v>
      </c>
      <c r="N1893" s="13">
        <f>Github!P$1939</f>
        <v>4114</v>
      </c>
      <c r="O1893" s="13">
        <f>Github!Q$1939</f>
        <v>10415</v>
      </c>
    </row>
    <row r="1894">
      <c r="A1894" s="13">
        <f>Github!J$1826</f>
        <v>1825</v>
      </c>
      <c r="B1894" s="14" t="str">
        <f>HYPERLINK(CONCAT("http://leetcode.com/problems/",Github!C$1826), Github!B$1826)</f>
        <v>Finding MK Average</v>
      </c>
      <c r="C1894" s="13">
        <f>Github!F$1826</f>
        <v>304</v>
      </c>
      <c r="D1894" s="13">
        <f>Github!G$1826</f>
        <v>94</v>
      </c>
      <c r="E1894" s="13">
        <f>Github!F$1826+Github!G$1826</f>
        <v>398</v>
      </c>
      <c r="F1894" s="15">
        <f t="shared" si="1"/>
        <v>3.23</v>
      </c>
      <c r="G1894" s="13" t="str">
        <f>ROUND(Github!O$1826, 2)&amp;"%"</f>
        <v>35.53%</v>
      </c>
      <c r="H1894" s="13" t="str">
        <f>Github!H$1826</f>
        <v>Algorithms</v>
      </c>
      <c r="I1894" s="16" t="str">
        <f>SUBSTITUTE(Github!L$1826, ";", ", ")</f>
        <v>Design, Queue, Heap (Priority Queue), Data Stream, Ordered Set, </v>
      </c>
      <c r="J1894" s="13" t="str">
        <f>Github!E$1826</f>
        <v>Hard</v>
      </c>
      <c r="K1894" s="13" t="str">
        <f>IF(TRIM(Github!D$1826)="TRUE","FALSE","TRUE")</f>
        <v>TRUE</v>
      </c>
      <c r="L1894" s="13" t="b">
        <f>Github!M$1826</f>
        <v>0</v>
      </c>
      <c r="M1894" s="13" t="b">
        <f>Github!N$1826</f>
        <v>0</v>
      </c>
      <c r="N1894" s="13">
        <f>Github!P$1826</f>
        <v>9741</v>
      </c>
      <c r="O1894" s="13">
        <f>Github!Q$1826</f>
        <v>27418</v>
      </c>
    </row>
    <row r="1895">
      <c r="A1895" s="13">
        <f>Github!J$1958</f>
        <v>1957</v>
      </c>
      <c r="B1895" s="14" t="str">
        <f>HYPERLINK(CONCAT("http://leetcode.com/problems/",Github!C$1958), Github!B$1958)</f>
        <v>Delete Characters to Make Fancy String</v>
      </c>
      <c r="C1895" s="13">
        <f>Github!F$1958</f>
        <v>305</v>
      </c>
      <c r="D1895" s="13">
        <f>Github!G$1958</f>
        <v>15</v>
      </c>
      <c r="E1895" s="13">
        <f>Github!F$1958+Github!G$1958</f>
        <v>320</v>
      </c>
      <c r="F1895" s="15">
        <f t="shared" si="1"/>
        <v>20.33</v>
      </c>
      <c r="G1895" s="13" t="str">
        <f>ROUND(Github!O$1958, 2)&amp;"%"</f>
        <v>56.76%</v>
      </c>
      <c r="H1895" s="13" t="str">
        <f>Github!H$1958</f>
        <v>Algorithms</v>
      </c>
      <c r="I1895" s="16" t="str">
        <f>SUBSTITUTE(Github!L$1958, ";", ", ")</f>
        <v>String, </v>
      </c>
      <c r="J1895" s="13" t="str">
        <f>Github!E$1958</f>
        <v>Easy</v>
      </c>
      <c r="K1895" s="13" t="str">
        <f>IF(TRIM(Github!D$1958)="TRUE","FALSE","TRUE")</f>
        <v>TRUE</v>
      </c>
      <c r="L1895" s="13" t="b">
        <f>Github!M$1958</f>
        <v>0</v>
      </c>
      <c r="M1895" s="13" t="b">
        <f>Github!N$1958</f>
        <v>0</v>
      </c>
      <c r="N1895" s="13">
        <f>Github!P$1958</f>
        <v>25164</v>
      </c>
      <c r="O1895" s="13">
        <f>Github!Q$1958</f>
        <v>44334</v>
      </c>
    </row>
    <row r="1896">
      <c r="A1896" s="13">
        <f>Github!J$1259</f>
        <v>1258</v>
      </c>
      <c r="B1896" s="14" t="str">
        <f>HYPERLINK(CONCAT("http://leetcode.com/problems/",Github!C$1259), Github!B$1259)</f>
        <v>Synonymous Sentences</v>
      </c>
      <c r="C1896" s="13">
        <f>Github!F$1259</f>
        <v>302</v>
      </c>
      <c r="D1896" s="13">
        <f>Github!G$1259</f>
        <v>130</v>
      </c>
      <c r="E1896" s="13">
        <f>Github!F$1259+Github!G$1259</f>
        <v>432</v>
      </c>
      <c r="F1896" s="15">
        <f t="shared" si="1"/>
        <v>2.32</v>
      </c>
      <c r="G1896" s="13" t="str">
        <f>ROUND(Github!O$1259, 2)&amp;"%"</f>
        <v>56.42%</v>
      </c>
      <c r="H1896" s="13" t="str">
        <f>Github!H$1259</f>
        <v>Algorithms</v>
      </c>
      <c r="I1896" s="16" t="str">
        <f>SUBSTITUTE(Github!L$1259, ";", ", ")</f>
        <v>Array, Hash Table, String, Backtracking, Union Find, </v>
      </c>
      <c r="J1896" s="13" t="str">
        <f>Github!E$1259</f>
        <v>Medium</v>
      </c>
      <c r="K1896" s="13" t="str">
        <f>IF(TRIM(Github!D$1259)="TRUE","FALSE","TRUE")</f>
        <v>FALSE</v>
      </c>
      <c r="L1896" s="13" t="b">
        <f>Github!M$1259</f>
        <v>0</v>
      </c>
      <c r="M1896" s="13" t="b">
        <f>Github!N$1259</f>
        <v>0</v>
      </c>
      <c r="N1896" s="13">
        <f>Github!P$1259</f>
        <v>18054</v>
      </c>
      <c r="O1896" s="13">
        <f>Github!Q$1259</f>
        <v>31997</v>
      </c>
    </row>
    <row r="1897">
      <c r="A1897" s="13">
        <f>Github!J$1837</f>
        <v>1836</v>
      </c>
      <c r="B1897" s="14" t="str">
        <f>HYPERLINK(CONCAT("http://leetcode.com/problems/",Github!C$1837), Github!B$1837)</f>
        <v>Remove Duplicates From an Unsorted Linked List</v>
      </c>
      <c r="C1897" s="13">
        <f>Github!F$1837</f>
        <v>306</v>
      </c>
      <c r="D1897" s="13">
        <f>Github!G$1837</f>
        <v>10</v>
      </c>
      <c r="E1897" s="13">
        <f>Github!F$1837+Github!G$1837</f>
        <v>316</v>
      </c>
      <c r="F1897" s="15">
        <f t="shared" si="1"/>
        <v>30.6</v>
      </c>
      <c r="G1897" s="13" t="str">
        <f>ROUND(Github!O$1837, 2)&amp;"%"</f>
        <v>69.85%</v>
      </c>
      <c r="H1897" s="13" t="str">
        <f>Github!H$1837</f>
        <v>Algorithms</v>
      </c>
      <c r="I1897" s="16" t="str">
        <f>SUBSTITUTE(Github!L$1837, ";", ", ")</f>
        <v>Hash Table, Linked List, </v>
      </c>
      <c r="J1897" s="13" t="str">
        <f>Github!E$1837</f>
        <v>Medium</v>
      </c>
      <c r="K1897" s="13" t="str">
        <f>IF(TRIM(Github!D$1837)="TRUE","FALSE","TRUE")</f>
        <v>FALSE</v>
      </c>
      <c r="L1897" s="13" t="b">
        <f>Github!M$1837</f>
        <v>0</v>
      </c>
      <c r="M1897" s="13" t="b">
        <f>Github!N$1837</f>
        <v>0</v>
      </c>
      <c r="N1897" s="13">
        <f>Github!P$1837</f>
        <v>21349</v>
      </c>
      <c r="O1897" s="13">
        <f>Github!Q$1837</f>
        <v>30562</v>
      </c>
    </row>
    <row r="1898">
      <c r="A1898" s="13">
        <f>Github!J$1120</f>
        <v>1119</v>
      </c>
      <c r="B1898" s="14" t="str">
        <f>HYPERLINK(CONCAT("http://leetcode.com/problems/",Github!C$1120), Github!B$1120)</f>
        <v>Remove Vowels from a String</v>
      </c>
      <c r="C1898" s="13">
        <f>Github!F$1120</f>
        <v>305</v>
      </c>
      <c r="D1898" s="13">
        <f>Github!G$1120</f>
        <v>108</v>
      </c>
      <c r="E1898" s="13">
        <f>Github!F$1120+Github!G$1120</f>
        <v>413</v>
      </c>
      <c r="F1898" s="15">
        <f t="shared" si="1"/>
        <v>2.82</v>
      </c>
      <c r="G1898" s="13" t="str">
        <f>ROUND(Github!O$1120, 2)&amp;"%"</f>
        <v>90.76%</v>
      </c>
      <c r="H1898" s="13" t="str">
        <f>Github!H$1120</f>
        <v>Algorithms</v>
      </c>
      <c r="I1898" s="16" t="str">
        <f>SUBSTITUTE(Github!L$1120, ";", ", ")</f>
        <v>String, </v>
      </c>
      <c r="J1898" s="13" t="str">
        <f>Github!E$1120</f>
        <v>Easy</v>
      </c>
      <c r="K1898" s="13" t="str">
        <f>IF(TRIM(Github!D$1120)="TRUE","FALSE","TRUE")</f>
        <v>FALSE</v>
      </c>
      <c r="L1898" s="13" t="b">
        <f>Github!M$1120</f>
        <v>0</v>
      </c>
      <c r="M1898" s="13" t="b">
        <f>Github!N$1120</f>
        <v>0</v>
      </c>
      <c r="N1898" s="13">
        <f>Github!P$1120</f>
        <v>91356</v>
      </c>
      <c r="O1898" s="13">
        <f>Github!Q$1120</f>
        <v>100662</v>
      </c>
    </row>
    <row r="1899">
      <c r="A1899" s="13">
        <f>Github!J$2133</f>
        <v>2132</v>
      </c>
      <c r="B1899" s="14" t="str">
        <f>HYPERLINK(CONCAT("http://leetcode.com/problems/",Github!C$2133), Github!B$2133)</f>
        <v>Stamping the Grid</v>
      </c>
      <c r="C1899" s="13">
        <f>Github!F$2133</f>
        <v>304</v>
      </c>
      <c r="D1899" s="13">
        <f>Github!G$2133</f>
        <v>31</v>
      </c>
      <c r="E1899" s="13">
        <f>Github!F$2133+Github!G$2133</f>
        <v>335</v>
      </c>
      <c r="F1899" s="15">
        <f t="shared" si="1"/>
        <v>9.81</v>
      </c>
      <c r="G1899" s="13" t="str">
        <f>ROUND(Github!O$2133, 2)&amp;"%"</f>
        <v>31.07%</v>
      </c>
      <c r="H1899" s="13" t="str">
        <f>Github!H$2133</f>
        <v>Algorithms</v>
      </c>
      <c r="I1899" s="16" t="str">
        <f>SUBSTITUTE(Github!L$2133, ";", ", ")</f>
        <v>Array, Greedy, Matrix, Prefix Sum, </v>
      </c>
      <c r="J1899" s="13" t="str">
        <f>Github!E$2133</f>
        <v>Hard</v>
      </c>
      <c r="K1899" s="13" t="str">
        <f>IF(TRIM(Github!D$2133)="TRUE","FALSE","TRUE")</f>
        <v>TRUE</v>
      </c>
      <c r="L1899" s="13" t="b">
        <f>Github!M$2133</f>
        <v>0</v>
      </c>
      <c r="M1899" s="13" t="b">
        <f>Github!N$2133</f>
        <v>0</v>
      </c>
      <c r="N1899" s="13">
        <f>Github!P$2133</f>
        <v>5142</v>
      </c>
      <c r="O1899" s="13">
        <f>Github!Q$2133</f>
        <v>16549</v>
      </c>
    </row>
    <row r="1900">
      <c r="A1900" s="13">
        <f>Github!J$1181</f>
        <v>1180</v>
      </c>
      <c r="B1900" s="14" t="str">
        <f>HYPERLINK(CONCAT("http://leetcode.com/problems/",Github!C$1181), Github!B$1181)</f>
        <v>Count Substrings with Only One Distinct Letter</v>
      </c>
      <c r="C1900" s="13">
        <f>Github!F$1181</f>
        <v>305</v>
      </c>
      <c r="D1900" s="13">
        <f>Github!G$1181</f>
        <v>47</v>
      </c>
      <c r="E1900" s="13">
        <f>Github!F$1181+Github!G$1181</f>
        <v>352</v>
      </c>
      <c r="F1900" s="15">
        <f t="shared" si="1"/>
        <v>6.49</v>
      </c>
      <c r="G1900" s="13" t="str">
        <f>ROUND(Github!O$1181, 2)&amp;"%"</f>
        <v>79.13%</v>
      </c>
      <c r="H1900" s="13" t="str">
        <f>Github!H$1181</f>
        <v>Algorithms</v>
      </c>
      <c r="I1900" s="16" t="str">
        <f>SUBSTITUTE(Github!L$1181, ";", ", ")</f>
        <v>Math, String, </v>
      </c>
      <c r="J1900" s="13" t="str">
        <f>Github!E$1181</f>
        <v>Easy</v>
      </c>
      <c r="K1900" s="13" t="str">
        <f>IF(TRIM(Github!D$1181)="TRUE","FALSE","TRUE")</f>
        <v>FALSE</v>
      </c>
      <c r="L1900" s="13" t="b">
        <f>Github!M$1181</f>
        <v>1</v>
      </c>
      <c r="M1900" s="13" t="b">
        <f>Github!N$1181</f>
        <v>0</v>
      </c>
      <c r="N1900" s="13">
        <f>Github!P$1181</f>
        <v>22911</v>
      </c>
      <c r="O1900" s="13">
        <f>Github!Q$1181</f>
        <v>28955</v>
      </c>
    </row>
    <row r="1901">
      <c r="A1901" s="13">
        <f>Github!J$1565</f>
        <v>1564</v>
      </c>
      <c r="B1901" s="14" t="str">
        <f>HYPERLINK(CONCAT("http://leetcode.com/problems/",Github!C$1565), Github!B$1565)</f>
        <v>Put Boxes Into the Warehouse I</v>
      </c>
      <c r="C1901" s="13">
        <f>Github!F$1565</f>
        <v>300</v>
      </c>
      <c r="D1901" s="13">
        <f>Github!G$1565</f>
        <v>22</v>
      </c>
      <c r="E1901" s="13">
        <f>Github!F$1565+Github!G$1565</f>
        <v>322</v>
      </c>
      <c r="F1901" s="15">
        <f t="shared" si="1"/>
        <v>13.64</v>
      </c>
      <c r="G1901" s="13" t="str">
        <f>ROUND(Github!O$1565, 2)&amp;"%"</f>
        <v>67.03%</v>
      </c>
      <c r="H1901" s="13" t="str">
        <f>Github!H$1565</f>
        <v>Algorithms</v>
      </c>
      <c r="I1901" s="16" t="str">
        <f>SUBSTITUTE(Github!L$1565, ";", ", ")</f>
        <v>Array, Greedy, Sorting, </v>
      </c>
      <c r="J1901" s="13" t="str">
        <f>Github!E$1565</f>
        <v>Medium</v>
      </c>
      <c r="K1901" s="13" t="str">
        <f>IF(TRIM(Github!D$1565)="TRUE","FALSE","TRUE")</f>
        <v>FALSE</v>
      </c>
      <c r="L1901" s="13" t="b">
        <f>Github!M$1565</f>
        <v>1</v>
      </c>
      <c r="M1901" s="13" t="b">
        <f>Github!N$1565</f>
        <v>0</v>
      </c>
      <c r="N1901" s="13">
        <f>Github!P$1565</f>
        <v>14020</v>
      </c>
      <c r="O1901" s="13">
        <f>Github!Q$1565</f>
        <v>20917</v>
      </c>
    </row>
    <row r="1902">
      <c r="A1902" s="13">
        <f>Github!J$1149</f>
        <v>1148</v>
      </c>
      <c r="B1902" s="14" t="str">
        <f>HYPERLINK(CONCAT("http://leetcode.com/problems/",Github!C$1149), Github!B$1149)</f>
        <v>Article Views I</v>
      </c>
      <c r="C1902" s="13">
        <f>Github!F$1149</f>
        <v>313</v>
      </c>
      <c r="D1902" s="13">
        <f>Github!G$1149</f>
        <v>29</v>
      </c>
      <c r="E1902" s="13">
        <f>Github!F$1149+Github!G$1149</f>
        <v>342</v>
      </c>
      <c r="F1902" s="15">
        <f t="shared" si="1"/>
        <v>10.79</v>
      </c>
      <c r="G1902" s="13" t="str">
        <f>ROUND(Github!O$1149, 2)&amp;"%"</f>
        <v>76.87%</v>
      </c>
      <c r="H1902" s="13" t="str">
        <f>Github!H$1149</f>
        <v>Database</v>
      </c>
      <c r="I1902" s="16" t="str">
        <f>SUBSTITUTE(Github!L$1149, ";", ", ")</f>
        <v>Database, </v>
      </c>
      <c r="J1902" s="13" t="str">
        <f>Github!E$1149</f>
        <v>Easy</v>
      </c>
      <c r="K1902" s="13" t="str">
        <f>IF(TRIM(Github!D$1149)="TRUE","FALSE","TRUE")</f>
        <v>TRUE</v>
      </c>
      <c r="L1902" s="13" t="b">
        <f>Github!M$1149</f>
        <v>0</v>
      </c>
      <c r="M1902" s="13" t="b">
        <f>Github!N$1149</f>
        <v>0</v>
      </c>
      <c r="N1902" s="13">
        <f>Github!P$1149</f>
        <v>89626</v>
      </c>
      <c r="O1902" s="13">
        <f>Github!Q$1149</f>
        <v>116597</v>
      </c>
    </row>
    <row r="1903">
      <c r="A1903" s="13">
        <f>Github!J$1578</f>
        <v>1577</v>
      </c>
      <c r="B1903" s="14" t="str">
        <f>HYPERLINK(CONCAT("http://leetcode.com/problems/",Github!C$1578), Github!B$1578)</f>
        <v>Number of Ways Where Square of Number Is Equal to Product of Two Numbers</v>
      </c>
      <c r="C1903" s="13">
        <f>Github!F$1578</f>
        <v>302</v>
      </c>
      <c r="D1903" s="13">
        <f>Github!G$1578</f>
        <v>52</v>
      </c>
      <c r="E1903" s="13">
        <f>Github!F$1578+Github!G$1578</f>
        <v>354</v>
      </c>
      <c r="F1903" s="15">
        <f t="shared" si="1"/>
        <v>5.81</v>
      </c>
      <c r="G1903" s="13" t="str">
        <f>ROUND(Github!O$1578, 2)&amp;"%"</f>
        <v>40.03%</v>
      </c>
      <c r="H1903" s="13" t="str">
        <f>Github!H$1578</f>
        <v>Algorithms</v>
      </c>
      <c r="I1903" s="16" t="str">
        <f>SUBSTITUTE(Github!L$1578, ";", ", ")</f>
        <v>Array, Hash Table, Math, Two Pointers, </v>
      </c>
      <c r="J1903" s="13" t="str">
        <f>Github!E$1578</f>
        <v>Medium</v>
      </c>
      <c r="K1903" s="13" t="str">
        <f>IF(TRIM(Github!D$1578)="TRUE","FALSE","TRUE")</f>
        <v>TRUE</v>
      </c>
      <c r="L1903" s="13" t="b">
        <f>Github!M$1578</f>
        <v>0</v>
      </c>
      <c r="M1903" s="13" t="b">
        <f>Github!N$1578</f>
        <v>0</v>
      </c>
      <c r="N1903" s="13">
        <f>Github!P$1578</f>
        <v>17442</v>
      </c>
      <c r="O1903" s="13">
        <f>Github!Q$1578</f>
        <v>43574</v>
      </c>
    </row>
    <row r="1904">
      <c r="A1904" s="13">
        <f>Github!J$2337</f>
        <v>2336</v>
      </c>
      <c r="B1904" s="14" t="str">
        <f>HYPERLINK(CONCAT("http://leetcode.com/problems/",Github!C$2337), Github!B$2337)</f>
        <v>Smallest Number in Infinite Set</v>
      </c>
      <c r="C1904" s="13">
        <f>Github!F$2337</f>
        <v>308</v>
      </c>
      <c r="D1904" s="13">
        <f>Github!G$2337</f>
        <v>26</v>
      </c>
      <c r="E1904" s="13">
        <f>Github!F$2337+Github!G$2337</f>
        <v>334</v>
      </c>
      <c r="F1904" s="15">
        <f t="shared" si="1"/>
        <v>11.85</v>
      </c>
      <c r="G1904" s="13" t="str">
        <f>ROUND(Github!O$2337, 2)&amp;"%"</f>
        <v>71.59%</v>
      </c>
      <c r="H1904" s="13" t="str">
        <f>Github!H2337</f>
        <v>Algorithms</v>
      </c>
      <c r="I1904" s="16" t="str">
        <f>SUBSTITUTE(Github!L$2337, ";", ", ")</f>
        <v>Hash Table, Design, Heap (Priority Queue), </v>
      </c>
      <c r="J1904" s="13" t="str">
        <f>Github!E$2337</f>
        <v>Medium</v>
      </c>
      <c r="K1904" s="13" t="str">
        <f>IF(TRIM(Github!D$2337)="TRUE","FALSE","TRUE")</f>
        <v>TRUE</v>
      </c>
      <c r="L1904" s="13" t="b">
        <f>Github!M$2337</f>
        <v>0</v>
      </c>
      <c r="M1904" s="13" t="b">
        <f>Github!N$2337</f>
        <v>0</v>
      </c>
      <c r="N1904" s="13">
        <f>Github!P$2337</f>
        <v>25962</v>
      </c>
      <c r="O1904" s="13">
        <f>Github!Q$2337</f>
        <v>36266</v>
      </c>
    </row>
    <row r="1905">
      <c r="A1905" s="13">
        <f>Github!J$336</f>
        <v>335</v>
      </c>
      <c r="B1905" s="14" t="str">
        <f>HYPERLINK(CONCAT("http://leetcode.com/problems/",Github!C$336), Github!B$336)</f>
        <v>Self Crossing</v>
      </c>
      <c r="C1905" s="13">
        <f>Github!F$336</f>
        <v>298</v>
      </c>
      <c r="D1905" s="13">
        <f>Github!G$336</f>
        <v>477</v>
      </c>
      <c r="E1905" s="13">
        <f>Github!F$336+Github!G$336</f>
        <v>775</v>
      </c>
      <c r="F1905" s="15">
        <f t="shared" si="1"/>
        <v>0.62</v>
      </c>
      <c r="G1905" s="13" t="str">
        <f>ROUND(Github!O$336, 2)&amp;"%"</f>
        <v>29.34%</v>
      </c>
      <c r="H1905" s="13" t="str">
        <f>Github!H$336</f>
        <v>Algorithms</v>
      </c>
      <c r="I1905" s="16" t="str">
        <f>SUBSTITUTE(Github!L$336, ";", ", ")</f>
        <v>Array, Math, Geometry, </v>
      </c>
      <c r="J1905" s="13" t="str">
        <f>Github!E$336</f>
        <v>Hard</v>
      </c>
      <c r="K1905" s="13" t="str">
        <f>IF(TRIM(Github!D$336)="TRUE","FALSE","TRUE")</f>
        <v>TRUE</v>
      </c>
      <c r="L1905" s="13" t="b">
        <f>Github!M$336</f>
        <v>0</v>
      </c>
      <c r="M1905" s="13" t="b">
        <f>Github!N$336</f>
        <v>0</v>
      </c>
      <c r="N1905" s="13">
        <f>Github!P$336</f>
        <v>29497</v>
      </c>
      <c r="O1905" s="13">
        <f>Github!Q$336</f>
        <v>100531</v>
      </c>
    </row>
    <row r="1906">
      <c r="A1906" s="13">
        <f>Github!J$971</f>
        <v>970</v>
      </c>
      <c r="B1906" s="14" t="str">
        <f>HYPERLINK(CONCAT("http://leetcode.com/problems/",Github!C$971), Github!B$971)</f>
        <v>Powerful Integers</v>
      </c>
      <c r="C1906" s="13">
        <f>Github!F$971</f>
        <v>301</v>
      </c>
      <c r="D1906" s="13">
        <f>Github!G$971</f>
        <v>71</v>
      </c>
      <c r="E1906" s="13">
        <f>Github!F$971+Github!G$971</f>
        <v>372</v>
      </c>
      <c r="F1906" s="15">
        <f t="shared" si="1"/>
        <v>4.24</v>
      </c>
      <c r="G1906" s="13" t="str">
        <f>ROUND(Github!O$971, 2)&amp;"%"</f>
        <v>43.61%</v>
      </c>
      <c r="H1906" s="13" t="str">
        <f>Github!H$971</f>
        <v>Algorithms</v>
      </c>
      <c r="I1906" s="16" t="str">
        <f>SUBSTITUTE(Github!L$971, ";", ", ")</f>
        <v>Hash Table, Math, </v>
      </c>
      <c r="J1906" s="13" t="str">
        <f>Github!E$971</f>
        <v>Medium</v>
      </c>
      <c r="K1906" s="13" t="str">
        <f>IF(TRIM(Github!D$971)="TRUE","FALSE","TRUE")</f>
        <v>TRUE</v>
      </c>
      <c r="L1906" s="13" t="b">
        <f>Github!M$971</f>
        <v>1</v>
      </c>
      <c r="M1906" s="13" t="b">
        <f>Github!N$971</f>
        <v>0</v>
      </c>
      <c r="N1906" s="13">
        <f>Github!P$971</f>
        <v>49179</v>
      </c>
      <c r="O1906" s="13">
        <f>Github!Q$971</f>
        <v>112767</v>
      </c>
    </row>
    <row r="1907">
      <c r="A1907" s="13">
        <f>Github!J$1926</f>
        <v>1925</v>
      </c>
      <c r="B1907" s="14" t="str">
        <f>HYPERLINK(CONCAT("http://leetcode.com/problems/",Github!C$1926), Github!B$1926)</f>
        <v>Count Square Sum Triples</v>
      </c>
      <c r="C1907" s="13">
        <f>Github!F$1926</f>
        <v>301</v>
      </c>
      <c r="D1907" s="13">
        <f>Github!G$1926</f>
        <v>27</v>
      </c>
      <c r="E1907" s="13">
        <f>Github!F$1926+Github!G$1926</f>
        <v>328</v>
      </c>
      <c r="F1907" s="15">
        <f t="shared" si="1"/>
        <v>11.15</v>
      </c>
      <c r="G1907" s="13" t="str">
        <f>ROUND(Github!O$1926, 2)&amp;"%"</f>
        <v>68.02%</v>
      </c>
      <c r="H1907" s="13" t="str">
        <f>Github!H$1926</f>
        <v>Algorithms</v>
      </c>
      <c r="I1907" s="16" t="str">
        <f>SUBSTITUTE(Github!L$1926, ";", ", ")</f>
        <v>Math, Enumeration, </v>
      </c>
      <c r="J1907" s="13" t="str">
        <f>Github!E$1926</f>
        <v>Easy</v>
      </c>
      <c r="K1907" s="13" t="str">
        <f>IF(TRIM(Github!D$1926)="TRUE","FALSE","TRUE")</f>
        <v>TRUE</v>
      </c>
      <c r="L1907" s="13" t="b">
        <f>Github!M$1926</f>
        <v>0</v>
      </c>
      <c r="M1907" s="13" t="b">
        <f>Github!N$1926</f>
        <v>0</v>
      </c>
      <c r="N1907" s="13">
        <f>Github!P$1926</f>
        <v>29199</v>
      </c>
      <c r="O1907" s="13">
        <f>Github!Q$1926</f>
        <v>42929</v>
      </c>
    </row>
    <row r="1908">
      <c r="A1908" s="13">
        <f>Github!J$2241</f>
        <v>2240</v>
      </c>
      <c r="B1908" s="14" t="str">
        <f>HYPERLINK(CONCAT("http://leetcode.com/problems/",Github!C$2241), Github!B$2241)</f>
        <v>Number of Ways to Buy Pens and Pencils</v>
      </c>
      <c r="C1908" s="13">
        <f>Github!F$2241</f>
        <v>299</v>
      </c>
      <c r="D1908" s="13">
        <f>Github!G$2241</f>
        <v>19</v>
      </c>
      <c r="E1908" s="13">
        <f>Github!F$2241+Github!G$2241</f>
        <v>318</v>
      </c>
      <c r="F1908" s="15">
        <f t="shared" si="1"/>
        <v>15.74</v>
      </c>
      <c r="G1908" s="13" t="str">
        <f>ROUND(Github!O$2241, 2)&amp;"%"</f>
        <v>57.03%</v>
      </c>
      <c r="H1908" s="13" t="str">
        <f>Github!H$2241</f>
        <v>Algorithms</v>
      </c>
      <c r="I1908" s="16" t="str">
        <f>SUBSTITUTE(Github!L$2241, ";", ", ")</f>
        <v>Math, Enumeration, </v>
      </c>
      <c r="J1908" s="13" t="str">
        <f>Github!E$2241</f>
        <v>Medium</v>
      </c>
      <c r="K1908" s="13" t="str">
        <f>IF(TRIM(Github!D$2241)="TRUE","FALSE","TRUE")</f>
        <v>TRUE</v>
      </c>
      <c r="L1908" s="13" t="b">
        <f>Github!M$2241</f>
        <v>0</v>
      </c>
      <c r="M1908" s="13" t="b">
        <f>Github!N$2241</f>
        <v>0</v>
      </c>
      <c r="N1908" s="13">
        <f>Github!P$2241</f>
        <v>18830</v>
      </c>
      <c r="O1908" s="13">
        <f>Github!Q$2241</f>
        <v>33020</v>
      </c>
    </row>
    <row r="1909">
      <c r="A1909" s="13">
        <f>Github!J$1882</f>
        <v>1881</v>
      </c>
      <c r="B1909" s="14" t="str">
        <f>HYPERLINK(CONCAT("http://leetcode.com/problems/",Github!C$1882), Github!B$1882)</f>
        <v>Maximum Value after Insertion</v>
      </c>
      <c r="C1909" s="13">
        <f>Github!F$1882</f>
        <v>296</v>
      </c>
      <c r="D1909" s="13">
        <f>Github!G$1882</f>
        <v>50</v>
      </c>
      <c r="E1909" s="13">
        <f>Github!F$1882+Github!G$1882</f>
        <v>346</v>
      </c>
      <c r="F1909" s="15">
        <f t="shared" si="1"/>
        <v>5.92</v>
      </c>
      <c r="G1909" s="13" t="str">
        <f>ROUND(Github!O$1882, 2)&amp;"%"</f>
        <v>36.75%</v>
      </c>
      <c r="H1909" s="13" t="str">
        <f>Github!H$1882</f>
        <v>Algorithms</v>
      </c>
      <c r="I1909" s="16" t="str">
        <f>SUBSTITUTE(Github!L$1882, ";", ", ")</f>
        <v>String, Greedy, </v>
      </c>
      <c r="J1909" s="13" t="str">
        <f>Github!E$1882</f>
        <v>Medium</v>
      </c>
      <c r="K1909" s="13" t="str">
        <f>IF(TRIM(Github!D$1882)="TRUE","FALSE","TRUE")</f>
        <v>TRUE</v>
      </c>
      <c r="L1909" s="13" t="b">
        <f>Github!M$1882</f>
        <v>0</v>
      </c>
      <c r="M1909" s="13" t="b">
        <f>Github!N$1882</f>
        <v>0</v>
      </c>
      <c r="N1909" s="13">
        <f>Github!P$1882</f>
        <v>21792</v>
      </c>
      <c r="O1909" s="13">
        <f>Github!Q$1882</f>
        <v>59291</v>
      </c>
    </row>
    <row r="1910">
      <c r="A1910" s="13">
        <f>Github!J$1186</f>
        <v>1185</v>
      </c>
      <c r="B1910" s="14" t="str">
        <f>HYPERLINK(CONCAT("http://leetcode.com/problems/",Github!C$1186), Github!B$1186)</f>
        <v>Day of the Week</v>
      </c>
      <c r="C1910" s="13">
        <f>Github!F$1186</f>
        <v>296</v>
      </c>
      <c r="D1910" s="13">
        <f>Github!G$1186</f>
        <v>2136</v>
      </c>
      <c r="E1910" s="13">
        <f>Github!F$1186+Github!G$1186</f>
        <v>2432</v>
      </c>
      <c r="F1910" s="15">
        <f t="shared" si="1"/>
        <v>0.14</v>
      </c>
      <c r="G1910" s="13" t="str">
        <f>ROUND(Github!O$1186, 2)&amp;"%"</f>
        <v>57.67%</v>
      </c>
      <c r="H1910" s="13" t="str">
        <f>Github!H$1186</f>
        <v>Algorithms</v>
      </c>
      <c r="I1910" s="16" t="str">
        <f>SUBSTITUTE(Github!L$1186, ";", ", ")</f>
        <v>Math, </v>
      </c>
      <c r="J1910" s="13" t="str">
        <f>Github!E$1186</f>
        <v>Easy</v>
      </c>
      <c r="K1910" s="13" t="str">
        <f>IF(TRIM(Github!D$1186)="TRUE","FALSE","TRUE")</f>
        <v>TRUE</v>
      </c>
      <c r="L1910" s="13" t="b">
        <f>Github!M$1186</f>
        <v>0</v>
      </c>
      <c r="M1910" s="13" t="b">
        <f>Github!N$1186</f>
        <v>0</v>
      </c>
      <c r="N1910" s="13">
        <f>Github!P$1186</f>
        <v>50351</v>
      </c>
      <c r="O1910" s="13">
        <f>Github!Q$1186</f>
        <v>87304</v>
      </c>
    </row>
    <row r="1911">
      <c r="A1911" s="13">
        <f>Github!J$2192</f>
        <v>2191</v>
      </c>
      <c r="B1911" s="14" t="str">
        <f>HYPERLINK(CONCAT("http://leetcode.com/problems/",Github!C$2192), Github!B$2192)</f>
        <v>Sort the Jumbled Numbers</v>
      </c>
      <c r="C1911" s="13">
        <f>Github!F$2192</f>
        <v>295</v>
      </c>
      <c r="D1911" s="13">
        <f>Github!G$2192</f>
        <v>39</v>
      </c>
      <c r="E1911" s="13">
        <f>Github!F$2192+Github!G$2192</f>
        <v>334</v>
      </c>
      <c r="F1911" s="15">
        <f t="shared" si="1"/>
        <v>7.56</v>
      </c>
      <c r="G1911" s="13" t="str">
        <f>ROUND(Github!O$2192, 2)&amp;"%"</f>
        <v>45.43%</v>
      </c>
      <c r="H1911" s="13" t="str">
        <f>Github!H$2192</f>
        <v>Algorithms</v>
      </c>
      <c r="I1911" s="16" t="str">
        <f>SUBSTITUTE(Github!L$2192, ";", ", ")</f>
        <v>Array, Sorting, </v>
      </c>
      <c r="J1911" s="13" t="str">
        <f>Github!E$2192</f>
        <v>Medium</v>
      </c>
      <c r="K1911" s="13" t="str">
        <f>IF(TRIM(Github!D$2192)="TRUE","FALSE","TRUE")</f>
        <v>TRUE</v>
      </c>
      <c r="L1911" s="13" t="b">
        <f>Github!M$2192</f>
        <v>0</v>
      </c>
      <c r="M1911" s="13" t="b">
        <f>Github!N$2192</f>
        <v>0</v>
      </c>
      <c r="N1911" s="13">
        <f>Github!P$2192</f>
        <v>15423</v>
      </c>
      <c r="O1911" s="13">
        <f>Github!Q$2192</f>
        <v>33945</v>
      </c>
    </row>
    <row r="1912">
      <c r="A1912" s="13">
        <f>Github!J$1017</f>
        <v>1016</v>
      </c>
      <c r="B1912" s="14" t="str">
        <f>HYPERLINK(CONCAT("http://leetcode.com/problems/",Github!C$1017), Github!B$1017)</f>
        <v>Binary String With Substrings Representing 1 To N</v>
      </c>
      <c r="C1912" s="13">
        <f>Github!F$1017</f>
        <v>293</v>
      </c>
      <c r="D1912" s="13">
        <f>Github!G$1017</f>
        <v>491</v>
      </c>
      <c r="E1912" s="13">
        <f>Github!F$1017+Github!G$1017</f>
        <v>784</v>
      </c>
      <c r="F1912" s="15">
        <f t="shared" si="1"/>
        <v>0.6</v>
      </c>
      <c r="G1912" s="13" t="str">
        <f>ROUND(Github!O$1017, 2)&amp;"%"</f>
        <v>57.47%</v>
      </c>
      <c r="H1912" s="13" t="str">
        <f>Github!H$1017</f>
        <v>Algorithms</v>
      </c>
      <c r="I1912" s="16" t="str">
        <f>SUBSTITUTE(Github!L$1017, ";", ", ")</f>
        <v>String, </v>
      </c>
      <c r="J1912" s="13" t="str">
        <f>Github!E$1017</f>
        <v>Medium</v>
      </c>
      <c r="K1912" s="13" t="str">
        <f>IF(TRIM(Github!D$1017)="TRUE","FALSE","TRUE")</f>
        <v>TRUE</v>
      </c>
      <c r="L1912" s="13" t="b">
        <f>Github!M$1017</f>
        <v>0</v>
      </c>
      <c r="M1912" s="13" t="b">
        <f>Github!N$1017</f>
        <v>0</v>
      </c>
      <c r="N1912" s="13">
        <f>Github!P$1017</f>
        <v>32121</v>
      </c>
      <c r="O1912" s="13">
        <f>Github!Q$1017</f>
        <v>55892</v>
      </c>
    </row>
    <row r="1913">
      <c r="A1913" s="13">
        <f>Github!J$2279</f>
        <v>2278</v>
      </c>
      <c r="B1913" s="14" t="str">
        <f>HYPERLINK(CONCAT("http://leetcode.com/problems/",Github!C$2279), Github!B$2279)</f>
        <v>Percentage of Letter in String</v>
      </c>
      <c r="C1913" s="13">
        <f>Github!F$2279</f>
        <v>303</v>
      </c>
      <c r="D1913" s="13">
        <f>Github!G$2279</f>
        <v>35</v>
      </c>
      <c r="E1913" s="13">
        <f>Github!F$2279+Github!G$2279</f>
        <v>338</v>
      </c>
      <c r="F1913" s="15">
        <f t="shared" si="1"/>
        <v>8.66</v>
      </c>
      <c r="G1913" s="13" t="str">
        <f>ROUND(Github!O$2279, 2)&amp;"%"</f>
        <v>74.25%</v>
      </c>
      <c r="H1913" s="13" t="str">
        <f>Github!H2279</f>
        <v>Algorithms</v>
      </c>
      <c r="I1913" s="16" t="str">
        <f>SUBSTITUTE(Github!L$2279, ";", ", ")</f>
        <v>String, </v>
      </c>
      <c r="J1913" s="13" t="str">
        <f>Github!E$2279</f>
        <v>Easy</v>
      </c>
      <c r="K1913" s="13" t="str">
        <f>IF(TRIM(Github!D$2279)="TRUE","FALSE","TRUE")</f>
        <v>TRUE</v>
      </c>
      <c r="L1913" s="13" t="b">
        <f>Github!M$2279</f>
        <v>0</v>
      </c>
      <c r="M1913" s="13" t="b">
        <f>Github!N$2279</f>
        <v>0</v>
      </c>
      <c r="N1913" s="13">
        <f>Github!P$2279</f>
        <v>41450</v>
      </c>
      <c r="O1913" s="13">
        <f>Github!Q$2279</f>
        <v>55828</v>
      </c>
    </row>
    <row r="1914">
      <c r="A1914" s="13">
        <f>Github!J$1038</f>
        <v>1037</v>
      </c>
      <c r="B1914" s="14" t="str">
        <f>HYPERLINK(CONCAT("http://leetcode.com/problems/",Github!C$1038), Github!B$1038)</f>
        <v>Valid Boomerang</v>
      </c>
      <c r="C1914" s="13">
        <f>Github!F$1038</f>
        <v>296</v>
      </c>
      <c r="D1914" s="13">
        <f>Github!G$1038</f>
        <v>428</v>
      </c>
      <c r="E1914" s="13">
        <f>Github!F$1038+Github!G$1038</f>
        <v>724</v>
      </c>
      <c r="F1914" s="15">
        <f t="shared" si="1"/>
        <v>0.69</v>
      </c>
      <c r="G1914" s="13" t="str">
        <f>ROUND(Github!O$1038, 2)&amp;"%"</f>
        <v>37.28%</v>
      </c>
      <c r="H1914" s="13" t="str">
        <f>Github!H$1038</f>
        <v>Algorithms</v>
      </c>
      <c r="I1914" s="16" t="str">
        <f>SUBSTITUTE(Github!L$1038, ";", ", ")</f>
        <v>Array, Math, Geometry, </v>
      </c>
      <c r="J1914" s="13" t="str">
        <f>Github!E$1038</f>
        <v>Easy</v>
      </c>
      <c r="K1914" s="13" t="str">
        <f>IF(TRIM(Github!D$1038)="TRUE","FALSE","TRUE")</f>
        <v>TRUE</v>
      </c>
      <c r="L1914" s="13" t="b">
        <f>Github!M$1038</f>
        <v>0</v>
      </c>
      <c r="M1914" s="13" t="b">
        <f>Github!N$1038</f>
        <v>0</v>
      </c>
      <c r="N1914" s="13">
        <f>Github!P$1038</f>
        <v>38161</v>
      </c>
      <c r="O1914" s="13">
        <f>Github!Q$1038</f>
        <v>102353</v>
      </c>
    </row>
    <row r="1915">
      <c r="A1915" s="13">
        <f>Github!J$1603</f>
        <v>1602</v>
      </c>
      <c r="B1915" s="14" t="str">
        <f>HYPERLINK(CONCAT("http://leetcode.com/problems/",Github!C$1603), Github!B$1603)</f>
        <v>Find Nearest Right Node in Binary Tree</v>
      </c>
      <c r="C1915" s="13">
        <f>Github!F$1603</f>
        <v>290</v>
      </c>
      <c r="D1915" s="13">
        <f>Github!G$1603</f>
        <v>9</v>
      </c>
      <c r="E1915" s="13">
        <f>Github!F$1603+Github!G$1603</f>
        <v>299</v>
      </c>
      <c r="F1915" s="15">
        <f t="shared" si="1"/>
        <v>32.22</v>
      </c>
      <c r="G1915" s="13" t="str">
        <f>ROUND(Github!O$1603, 2)&amp;"%"</f>
        <v>75.44%</v>
      </c>
      <c r="H1915" s="13" t="str">
        <f>Github!H$1603</f>
        <v>Algorithms</v>
      </c>
      <c r="I1915" s="16" t="str">
        <f>SUBSTITUTE(Github!L$1603, ";", ", ")</f>
        <v>Tree, Breadth-First Search, Binary Tree, </v>
      </c>
      <c r="J1915" s="13" t="str">
        <f>Github!E$1603</f>
        <v>Medium</v>
      </c>
      <c r="K1915" s="13" t="str">
        <f>IF(TRIM(Github!D$1603)="TRUE","FALSE","TRUE")</f>
        <v>FALSE</v>
      </c>
      <c r="L1915" s="13" t="b">
        <f>Github!M$1603</f>
        <v>1</v>
      </c>
      <c r="M1915" s="13" t="b">
        <f>Github!N$1603</f>
        <v>1</v>
      </c>
      <c r="N1915" s="13">
        <f>Github!P$1603</f>
        <v>20489</v>
      </c>
      <c r="O1915" s="13">
        <f>Github!Q$1603</f>
        <v>27160</v>
      </c>
    </row>
    <row r="1916">
      <c r="A1916" s="13">
        <f>Github!J$1814</f>
        <v>1813</v>
      </c>
      <c r="B1916" s="14" t="str">
        <f>HYPERLINK(CONCAT("http://leetcode.com/problems/",Github!C$1814), Github!B$1814)</f>
        <v>Sentence Similarity III</v>
      </c>
      <c r="C1916" s="13">
        <f>Github!F$1814</f>
        <v>294</v>
      </c>
      <c r="D1916" s="13">
        <f>Github!G$1814</f>
        <v>50</v>
      </c>
      <c r="E1916" s="13">
        <f>Github!F$1814+Github!G$1814</f>
        <v>344</v>
      </c>
      <c r="F1916" s="15">
        <f t="shared" si="1"/>
        <v>5.88</v>
      </c>
      <c r="G1916" s="13" t="str">
        <f>ROUND(Github!O$1814, 2)&amp;"%"</f>
        <v>33.15%</v>
      </c>
      <c r="H1916" s="13" t="str">
        <f>Github!H$1814</f>
        <v>Algorithms</v>
      </c>
      <c r="I1916" s="16" t="str">
        <f>SUBSTITUTE(Github!L$1814, ";", ", ")</f>
        <v>Array, Two Pointers, String, </v>
      </c>
      <c r="J1916" s="13" t="str">
        <f>Github!E$1814</f>
        <v>Medium</v>
      </c>
      <c r="K1916" s="13" t="str">
        <f>IF(TRIM(Github!D$1814)="TRUE","FALSE","TRUE")</f>
        <v>TRUE</v>
      </c>
      <c r="L1916" s="13" t="b">
        <f>Github!M$1814</f>
        <v>0</v>
      </c>
      <c r="M1916" s="13" t="b">
        <f>Github!N$1814</f>
        <v>0</v>
      </c>
      <c r="N1916" s="13">
        <f>Github!P$1814</f>
        <v>12272</v>
      </c>
      <c r="O1916" s="13">
        <f>Github!Q$1814</f>
        <v>37024</v>
      </c>
    </row>
    <row r="1917">
      <c r="A1917" s="13">
        <f>Github!J$2311</f>
        <v>2310</v>
      </c>
      <c r="B1917" s="14" t="str">
        <f>HYPERLINK(CONCAT("http://leetcode.com/problems/",Github!C$2311), Github!B$2311)</f>
        <v>Sum of Numbers With Units Digit K</v>
      </c>
      <c r="C1917" s="13">
        <f>Github!F$2311</f>
        <v>293</v>
      </c>
      <c r="D1917" s="13">
        <f>Github!G$2311</f>
        <v>282</v>
      </c>
      <c r="E1917" s="13">
        <f>Github!F$2311+Github!G$2311</f>
        <v>575</v>
      </c>
      <c r="F1917" s="15">
        <f t="shared" si="1"/>
        <v>1.04</v>
      </c>
      <c r="G1917" s="13" t="str">
        <f>ROUND(Github!O$2311, 2)&amp;"%"</f>
        <v>25.65%</v>
      </c>
      <c r="H1917" s="13" t="str">
        <f>Github!H2311</f>
        <v>Algorithms</v>
      </c>
      <c r="I1917" s="16" t="str">
        <f>SUBSTITUTE(Github!L$2311, ";", ", ")</f>
        <v>Math, Dynamic Programming, Greedy, Enumeration, </v>
      </c>
      <c r="J1917" s="13" t="str">
        <f>Github!E$2311</f>
        <v>Medium</v>
      </c>
      <c r="K1917" s="13" t="str">
        <f>IF(TRIM(Github!D$2311)="TRUE","FALSE","TRUE")</f>
        <v>TRUE</v>
      </c>
      <c r="L1917" s="13" t="b">
        <f>Github!M$2311</f>
        <v>0</v>
      </c>
      <c r="M1917" s="13" t="b">
        <f>Github!N$2311</f>
        <v>0</v>
      </c>
      <c r="N1917" s="13">
        <f>Github!P$2311</f>
        <v>20427</v>
      </c>
      <c r="O1917" s="13">
        <f>Github!Q$2311</f>
        <v>79637</v>
      </c>
    </row>
    <row r="1918">
      <c r="A1918" s="13">
        <f>Github!J$1847</f>
        <v>1846</v>
      </c>
      <c r="B1918" s="14" t="str">
        <f>HYPERLINK(CONCAT("http://leetcode.com/problems/",Github!C$1847), Github!B$1847)</f>
        <v>Maximum Element After Decreasing and Rearranging</v>
      </c>
      <c r="C1918" s="13">
        <f>Github!F$1847</f>
        <v>289</v>
      </c>
      <c r="D1918" s="13">
        <f>Github!G$1847</f>
        <v>64</v>
      </c>
      <c r="E1918" s="13">
        <f>Github!F$1847+Github!G$1847</f>
        <v>353</v>
      </c>
      <c r="F1918" s="15">
        <f t="shared" si="1"/>
        <v>4.52</v>
      </c>
      <c r="G1918" s="13" t="str">
        <f>ROUND(Github!O$1847, 2)&amp;"%"</f>
        <v>59.08%</v>
      </c>
      <c r="H1918" s="13" t="str">
        <f>Github!H$1847</f>
        <v>Algorithms</v>
      </c>
      <c r="I1918" s="16" t="str">
        <f>SUBSTITUTE(Github!L$1847, ";", ", ")</f>
        <v>Array, Greedy, Sorting, </v>
      </c>
      <c r="J1918" s="13" t="str">
        <f>Github!E$1847</f>
        <v>Medium</v>
      </c>
      <c r="K1918" s="13" t="str">
        <f>IF(TRIM(Github!D$1847)="TRUE","FALSE","TRUE")</f>
        <v>TRUE</v>
      </c>
      <c r="L1918" s="13" t="b">
        <f>Github!M$1847</f>
        <v>0</v>
      </c>
      <c r="M1918" s="13" t="b">
        <f>Github!N$1847</f>
        <v>0</v>
      </c>
      <c r="N1918" s="13">
        <f>Github!P$1847</f>
        <v>18122</v>
      </c>
      <c r="O1918" s="13">
        <f>Github!Q$1847</f>
        <v>30675</v>
      </c>
    </row>
    <row r="1919">
      <c r="A1919" s="13">
        <f>Github!J$2201</f>
        <v>2200</v>
      </c>
      <c r="B1919" s="14" t="str">
        <f>HYPERLINK(CONCAT("http://leetcode.com/problems/",Github!C$2201), Github!B$2201)</f>
        <v>Find All K-Distant Indices in an Array</v>
      </c>
      <c r="C1919" s="13">
        <f>Github!F$2201</f>
        <v>292</v>
      </c>
      <c r="D1919" s="13">
        <f>Github!G$2201</f>
        <v>47</v>
      </c>
      <c r="E1919" s="13">
        <f>Github!F$2201+Github!G$2201</f>
        <v>339</v>
      </c>
      <c r="F1919" s="15">
        <f t="shared" si="1"/>
        <v>6.21</v>
      </c>
      <c r="G1919" s="13" t="str">
        <f>ROUND(Github!O$2201, 2)&amp;"%"</f>
        <v>64.71%</v>
      </c>
      <c r="H1919" s="13" t="str">
        <f>Github!H$2201</f>
        <v>Algorithms</v>
      </c>
      <c r="I1919" s="16" t="str">
        <f>SUBSTITUTE(Github!L$2201, ";", ", ")</f>
        <v>Array, </v>
      </c>
      <c r="J1919" s="13" t="str">
        <f>Github!E$2201</f>
        <v>Easy</v>
      </c>
      <c r="K1919" s="13" t="str">
        <f>IF(TRIM(Github!D$2201)="TRUE","FALSE","TRUE")</f>
        <v>TRUE</v>
      </c>
      <c r="L1919" s="13" t="b">
        <f>Github!M$2201</f>
        <v>0</v>
      </c>
      <c r="M1919" s="13" t="b">
        <f>Github!N$2201</f>
        <v>0</v>
      </c>
      <c r="N1919" s="13">
        <f>Github!P$2201</f>
        <v>29663</v>
      </c>
      <c r="O1919" s="13">
        <f>Github!Q$2201</f>
        <v>45840</v>
      </c>
    </row>
    <row r="1920">
      <c r="A1920" s="13">
        <f>Github!J$249</f>
        <v>248</v>
      </c>
      <c r="B1920" s="14" t="str">
        <f>HYPERLINK(CONCAT("http://leetcode.com/problems/",Github!C$249), Github!B$249)</f>
        <v>Strobogrammatic Number III</v>
      </c>
      <c r="C1920" s="13">
        <f>Github!F$249</f>
        <v>287</v>
      </c>
      <c r="D1920" s="13">
        <f>Github!G$249</f>
        <v>180</v>
      </c>
      <c r="E1920" s="13">
        <f>Github!F$249+Github!G$249</f>
        <v>467</v>
      </c>
      <c r="F1920" s="15">
        <f t="shared" si="1"/>
        <v>1.59</v>
      </c>
      <c r="G1920" s="13" t="str">
        <f>ROUND(Github!O$249, 2)&amp;"%"</f>
        <v>41.82%</v>
      </c>
      <c r="H1920" s="13" t="str">
        <f>Github!H$249</f>
        <v>Algorithms</v>
      </c>
      <c r="I1920" s="16" t="str">
        <f>SUBSTITUTE(Github!L$249, ";", ", ")</f>
        <v>Array, String, Recursion, </v>
      </c>
      <c r="J1920" s="13" t="str">
        <f>Github!E$249</f>
        <v>Hard</v>
      </c>
      <c r="K1920" s="13" t="str">
        <f>IF(TRIM(Github!D$249)="TRUE","FALSE","TRUE")</f>
        <v>FALSE</v>
      </c>
      <c r="L1920" s="13" t="b">
        <f>Github!M$249</f>
        <v>0</v>
      </c>
      <c r="M1920" s="13" t="b">
        <f>Github!N$249</f>
        <v>0</v>
      </c>
      <c r="N1920" s="13">
        <f>Github!P$249</f>
        <v>34995</v>
      </c>
      <c r="O1920" s="13">
        <f>Github!Q$249</f>
        <v>83683</v>
      </c>
    </row>
    <row r="1921">
      <c r="A1921" s="13">
        <f>Github!J$1453</f>
        <v>1452</v>
      </c>
      <c r="B1921" s="14" t="str">
        <f>HYPERLINK(CONCAT("http://leetcode.com/problems/",Github!C$1453), Github!B$1453)</f>
        <v>People Whose List of Favorite Companies Is Not a Subset of Another List</v>
      </c>
      <c r="C1921" s="13">
        <f>Github!F$1453</f>
        <v>287</v>
      </c>
      <c r="D1921" s="13">
        <f>Github!G$1453</f>
        <v>204</v>
      </c>
      <c r="E1921" s="13">
        <f>Github!F$1453+Github!G$1453</f>
        <v>491</v>
      </c>
      <c r="F1921" s="15">
        <f t="shared" si="1"/>
        <v>1.41</v>
      </c>
      <c r="G1921" s="13" t="str">
        <f>ROUND(Github!O$1453, 2)&amp;"%"</f>
        <v>56.82%</v>
      </c>
      <c r="H1921" s="13" t="str">
        <f>Github!H$1453</f>
        <v>Algorithms</v>
      </c>
      <c r="I1921" s="16" t="str">
        <f>SUBSTITUTE(Github!L$1453, ";", ", ")</f>
        <v>Array, Hash Table, String, </v>
      </c>
      <c r="J1921" s="13" t="str">
        <f>Github!E$1453</f>
        <v>Medium</v>
      </c>
      <c r="K1921" s="13" t="str">
        <f>IF(TRIM(Github!D$1453)="TRUE","FALSE","TRUE")</f>
        <v>TRUE</v>
      </c>
      <c r="L1921" s="13" t="b">
        <f>Github!M$1453</f>
        <v>0</v>
      </c>
      <c r="M1921" s="13" t="b">
        <f>Github!N$1453</f>
        <v>0</v>
      </c>
      <c r="N1921" s="13">
        <f>Github!P$1453</f>
        <v>20495</v>
      </c>
      <c r="O1921" s="13">
        <f>Github!Q$1453</f>
        <v>36072</v>
      </c>
    </row>
    <row r="1922">
      <c r="A1922" s="13">
        <f>Github!J$2148</f>
        <v>2147</v>
      </c>
      <c r="B1922" s="14" t="str">
        <f>HYPERLINK(CONCAT("http://leetcode.com/problems/",Github!C$2148), Github!B$2148)</f>
        <v>Number of Ways to Divide a Long Corridor</v>
      </c>
      <c r="C1922" s="13">
        <f>Github!F$2148</f>
        <v>290</v>
      </c>
      <c r="D1922" s="13">
        <f>Github!G$2148</f>
        <v>25</v>
      </c>
      <c r="E1922" s="13">
        <f>Github!F$2148+Github!G$2148</f>
        <v>315</v>
      </c>
      <c r="F1922" s="15">
        <f t="shared" si="1"/>
        <v>11.6</v>
      </c>
      <c r="G1922" s="13" t="str">
        <f>ROUND(Github!O$2148, 2)&amp;"%"</f>
        <v>39.81%</v>
      </c>
      <c r="H1922" s="13" t="str">
        <f>Github!H$2148</f>
        <v>Algorithms</v>
      </c>
      <c r="I1922" s="16" t="str">
        <f>SUBSTITUTE(Github!L$2148, ";", ", ")</f>
        <v>Math, String, Dynamic Programming, </v>
      </c>
      <c r="J1922" s="13" t="str">
        <f>Github!E$2148</f>
        <v>Hard</v>
      </c>
      <c r="K1922" s="13" t="str">
        <f>IF(TRIM(Github!D$2148)="TRUE","FALSE","TRUE")</f>
        <v>TRUE</v>
      </c>
      <c r="L1922" s="13" t="b">
        <f>Github!M$2148</f>
        <v>0</v>
      </c>
      <c r="M1922" s="13" t="b">
        <f>Github!N$2148</f>
        <v>0</v>
      </c>
      <c r="N1922" s="13">
        <f>Github!P$2148</f>
        <v>9035</v>
      </c>
      <c r="O1922" s="13">
        <f>Github!Q$2148</f>
        <v>22694</v>
      </c>
    </row>
    <row r="1923">
      <c r="A1923" s="13">
        <f>Github!J$1626</f>
        <v>1625</v>
      </c>
      <c r="B1923" s="14" t="str">
        <f>HYPERLINK(CONCAT("http://leetcode.com/problems/",Github!C$1626), Github!B$1626)</f>
        <v>Lexicographically Smallest String After Applying Operations</v>
      </c>
      <c r="C1923" s="13">
        <f>Github!F$1626</f>
        <v>286</v>
      </c>
      <c r="D1923" s="13">
        <f>Github!G$1626</f>
        <v>246</v>
      </c>
      <c r="E1923" s="13">
        <f>Github!F$1626+Github!G$1626</f>
        <v>532</v>
      </c>
      <c r="F1923" s="15">
        <f t="shared" si="1"/>
        <v>1.16</v>
      </c>
      <c r="G1923" s="13" t="str">
        <f>ROUND(Github!O$1626, 2)&amp;"%"</f>
        <v>65.89%</v>
      </c>
      <c r="H1923" s="13" t="str">
        <f>Github!H$1626</f>
        <v>Algorithms</v>
      </c>
      <c r="I1923" s="16" t="str">
        <f>SUBSTITUTE(Github!L$1626, ";", ", ")</f>
        <v>String, Breadth-First Search, </v>
      </c>
      <c r="J1923" s="13" t="str">
        <f>Github!E$1626</f>
        <v>Medium</v>
      </c>
      <c r="K1923" s="13" t="str">
        <f>IF(TRIM(Github!D$1626)="TRUE","FALSE","TRUE")</f>
        <v>TRUE</v>
      </c>
      <c r="L1923" s="13" t="b">
        <f>Github!M$1626</f>
        <v>0</v>
      </c>
      <c r="M1923" s="13" t="b">
        <f>Github!N$1626</f>
        <v>0</v>
      </c>
      <c r="N1923" s="13">
        <f>Github!P$1626</f>
        <v>11860</v>
      </c>
      <c r="O1923" s="13">
        <f>Github!Q$1626</f>
        <v>18001</v>
      </c>
    </row>
    <row r="1924">
      <c r="A1924" s="13">
        <f>Github!J$2103</f>
        <v>2102</v>
      </c>
      <c r="B1924" s="14" t="str">
        <f>HYPERLINK(CONCAT("http://leetcode.com/problems/",Github!C$2103), Github!B$2103)</f>
        <v>Sequentially Ordinal Rank Tracker</v>
      </c>
      <c r="C1924" s="13">
        <f>Github!F$2103</f>
        <v>285</v>
      </c>
      <c r="D1924" s="13">
        <f>Github!G$2103</f>
        <v>35</v>
      </c>
      <c r="E1924" s="13">
        <f>Github!F$2103+Github!G$2103</f>
        <v>320</v>
      </c>
      <c r="F1924" s="15">
        <f t="shared" si="1"/>
        <v>8.14</v>
      </c>
      <c r="G1924" s="13" t="str">
        <f>ROUND(Github!O$2103, 2)&amp;"%"</f>
        <v>66.05%</v>
      </c>
      <c r="H1924" s="13" t="str">
        <f>Github!H$2103</f>
        <v>Algorithms</v>
      </c>
      <c r="I1924" s="16" t="str">
        <f>SUBSTITUTE(Github!L$2103, ";", ", ")</f>
        <v>Design, Heap (Priority Queue), Data Stream, Ordered Set, </v>
      </c>
      <c r="J1924" s="13" t="str">
        <f>Github!E$2103</f>
        <v>Hard</v>
      </c>
      <c r="K1924" s="13" t="str">
        <f>IF(TRIM(Github!D$2103)="TRUE","FALSE","TRUE")</f>
        <v>TRUE</v>
      </c>
      <c r="L1924" s="13" t="b">
        <f>Github!M$2103</f>
        <v>0</v>
      </c>
      <c r="M1924" s="13" t="b">
        <f>Github!N$2103</f>
        <v>0</v>
      </c>
      <c r="N1924" s="13">
        <f>Github!P$2103</f>
        <v>11521</v>
      </c>
      <c r="O1924" s="13">
        <f>Github!Q$2103</f>
        <v>17442</v>
      </c>
    </row>
    <row r="1925">
      <c r="A1925" s="13">
        <f>Github!J$1391</f>
        <v>1390</v>
      </c>
      <c r="B1925" s="14" t="str">
        <f>HYPERLINK(CONCAT("http://leetcode.com/problems/",Github!C$1391), Github!B$1391)</f>
        <v>Four Divisors</v>
      </c>
      <c r="C1925" s="13">
        <f>Github!F$1391</f>
        <v>288</v>
      </c>
      <c r="D1925" s="13">
        <f>Github!G$1391</f>
        <v>163</v>
      </c>
      <c r="E1925" s="13">
        <f>Github!F$1391+Github!G$1391</f>
        <v>451</v>
      </c>
      <c r="F1925" s="15">
        <f t="shared" si="1"/>
        <v>1.77</v>
      </c>
      <c r="G1925" s="13" t="str">
        <f>ROUND(Github!O$1391, 2)&amp;"%"</f>
        <v>41.24%</v>
      </c>
      <c r="H1925" s="13" t="str">
        <f>Github!H$1391</f>
        <v>Algorithms</v>
      </c>
      <c r="I1925" s="16" t="str">
        <f>SUBSTITUTE(Github!L$1391, ";", ", ")</f>
        <v>Array, Math, </v>
      </c>
      <c r="J1925" s="13" t="str">
        <f>Github!E$1391</f>
        <v>Medium</v>
      </c>
      <c r="K1925" s="13" t="str">
        <f>IF(TRIM(Github!D$1391)="TRUE","FALSE","TRUE")</f>
        <v>TRUE</v>
      </c>
      <c r="L1925" s="13" t="b">
        <f>Github!M$1391</f>
        <v>0</v>
      </c>
      <c r="M1925" s="13" t="b">
        <f>Github!N$1391</f>
        <v>0</v>
      </c>
      <c r="N1925" s="13">
        <f>Github!P$1391</f>
        <v>24161</v>
      </c>
      <c r="O1925" s="13">
        <f>Github!Q$1391</f>
        <v>58580</v>
      </c>
    </row>
    <row r="1926">
      <c r="A1926" s="13">
        <f>Github!J$1247</f>
        <v>1246</v>
      </c>
      <c r="B1926" s="14" t="str">
        <f>HYPERLINK(CONCAT("http://leetcode.com/problems/",Github!C$1247), Github!B$1247)</f>
        <v>Palindrome Removal</v>
      </c>
      <c r="C1926" s="13">
        <f>Github!F$1247</f>
        <v>288</v>
      </c>
      <c r="D1926" s="13">
        <f>Github!G$1247</f>
        <v>13</v>
      </c>
      <c r="E1926" s="13">
        <f>Github!F$1247+Github!G$1247</f>
        <v>301</v>
      </c>
      <c r="F1926" s="15">
        <f t="shared" si="1"/>
        <v>22.15</v>
      </c>
      <c r="G1926" s="13" t="str">
        <f>ROUND(Github!O$1247, 2)&amp;"%"</f>
        <v>46.06%</v>
      </c>
      <c r="H1926" s="13" t="str">
        <f>Github!H$1247</f>
        <v>Algorithms</v>
      </c>
      <c r="I1926" s="16" t="str">
        <f>SUBSTITUTE(Github!L$1247, ";", ", ")</f>
        <v>Array, Dynamic Programming, </v>
      </c>
      <c r="J1926" s="13" t="str">
        <f>Github!E$1247</f>
        <v>Hard</v>
      </c>
      <c r="K1926" s="13" t="str">
        <f>IF(TRIM(Github!D$1247)="TRUE","FALSE","TRUE")</f>
        <v>FALSE</v>
      </c>
      <c r="L1926" s="13" t="b">
        <f>Github!M$1247</f>
        <v>0</v>
      </c>
      <c r="M1926" s="13" t="b">
        <f>Github!N$1247</f>
        <v>0</v>
      </c>
      <c r="N1926" s="13">
        <f>Github!P$1247</f>
        <v>9663</v>
      </c>
      <c r="O1926" s="13">
        <f>Github!Q$1247</f>
        <v>20978</v>
      </c>
    </row>
    <row r="1927">
      <c r="A1927" s="13">
        <f>Github!J$817</f>
        <v>816</v>
      </c>
      <c r="B1927" s="14" t="str">
        <f>HYPERLINK(CONCAT("http://leetcode.com/problems/",Github!C$817), Github!B$817)</f>
        <v>Ambiguous Coordinates</v>
      </c>
      <c r="C1927" s="13">
        <f>Github!F$817</f>
        <v>283</v>
      </c>
      <c r="D1927" s="13">
        <f>Github!G$817</f>
        <v>622</v>
      </c>
      <c r="E1927" s="13">
        <f>Github!F$817+Github!G$817</f>
        <v>905</v>
      </c>
      <c r="F1927" s="15">
        <f t="shared" si="1"/>
        <v>0.45</v>
      </c>
      <c r="G1927" s="13" t="str">
        <f>ROUND(Github!O$817, 2)&amp;"%"</f>
        <v>56.15%</v>
      </c>
      <c r="H1927" s="13" t="str">
        <f>Github!H$817</f>
        <v>Algorithms</v>
      </c>
      <c r="I1927" s="16" t="str">
        <f>SUBSTITUTE(Github!L$817, ";", ", ")</f>
        <v>String, Backtracking, </v>
      </c>
      <c r="J1927" s="13" t="str">
        <f>Github!E$817</f>
        <v>Medium</v>
      </c>
      <c r="K1927" s="13" t="str">
        <f>IF(TRIM(Github!D$817)="TRUE","FALSE","TRUE")</f>
        <v>TRUE</v>
      </c>
      <c r="L1927" s="13" t="b">
        <f>Github!M$817</f>
        <v>1</v>
      </c>
      <c r="M1927" s="13" t="b">
        <f>Github!N$817</f>
        <v>0</v>
      </c>
      <c r="N1927" s="13">
        <f>Github!P$817</f>
        <v>27080</v>
      </c>
      <c r="O1927" s="13">
        <f>Github!Q$817</f>
        <v>48227</v>
      </c>
    </row>
    <row r="1928">
      <c r="A1928" s="13">
        <f>Github!J$756</f>
        <v>755</v>
      </c>
      <c r="B1928" s="14" t="str">
        <f>HYPERLINK(CONCAT("http://leetcode.com/problems/",Github!C$756), Github!B$756)</f>
        <v>Pour Water</v>
      </c>
      <c r="C1928" s="13">
        <f>Github!F$756</f>
        <v>283</v>
      </c>
      <c r="D1928" s="13">
        <f>Github!G$756</f>
        <v>682</v>
      </c>
      <c r="E1928" s="13">
        <f>Github!F$756+Github!G$756</f>
        <v>965</v>
      </c>
      <c r="F1928" s="15">
        <f t="shared" si="1"/>
        <v>0.41</v>
      </c>
      <c r="G1928" s="13" t="str">
        <f>ROUND(Github!O$756, 2)&amp;"%"</f>
        <v>46.28%</v>
      </c>
      <c r="H1928" s="13" t="str">
        <f>Github!H$756</f>
        <v>Algorithms</v>
      </c>
      <c r="I1928" s="16" t="str">
        <f>SUBSTITUTE(Github!L$756, ";", ", ")</f>
        <v>Array, Simulation, </v>
      </c>
      <c r="J1928" s="13" t="str">
        <f>Github!E$756</f>
        <v>Medium</v>
      </c>
      <c r="K1928" s="13" t="str">
        <f>IF(TRIM(Github!D$756)="TRUE","FALSE","TRUE")</f>
        <v>FALSE</v>
      </c>
      <c r="L1928" s="13" t="b">
        <f>Github!M$756</f>
        <v>0</v>
      </c>
      <c r="M1928" s="13" t="b">
        <f>Github!N$756</f>
        <v>0</v>
      </c>
      <c r="N1928" s="13">
        <f>Github!P$756</f>
        <v>33883</v>
      </c>
      <c r="O1928" s="13">
        <f>Github!Q$756</f>
        <v>73206</v>
      </c>
    </row>
    <row r="1929">
      <c r="A1929" s="13">
        <f>Github!J$614</f>
        <v>613</v>
      </c>
      <c r="B1929" s="14" t="str">
        <f>HYPERLINK(CONCAT("http://leetcode.com/problems/",Github!C$614), Github!B$614)</f>
        <v>Shortest Distance in a Line</v>
      </c>
      <c r="C1929" s="13">
        <f>Github!F$614</f>
        <v>286</v>
      </c>
      <c r="D1929" s="13">
        <f>Github!G$614</f>
        <v>37</v>
      </c>
      <c r="E1929" s="13">
        <f>Github!F$614+Github!G$614</f>
        <v>323</v>
      </c>
      <c r="F1929" s="15">
        <f t="shared" si="1"/>
        <v>7.73</v>
      </c>
      <c r="G1929" s="13" t="str">
        <f>ROUND(Github!O$614, 2)&amp;"%"</f>
        <v>81.31%</v>
      </c>
      <c r="H1929" s="13" t="str">
        <f>Github!H$614</f>
        <v>Database</v>
      </c>
      <c r="I1929" s="16" t="str">
        <f>SUBSTITUTE(Github!L$614, ";", ", ")</f>
        <v>Database, </v>
      </c>
      <c r="J1929" s="13" t="str">
        <f>Github!E$614</f>
        <v>Easy</v>
      </c>
      <c r="K1929" s="13" t="str">
        <f>IF(TRIM(Github!D$614)="TRUE","FALSE","TRUE")</f>
        <v>FALSE</v>
      </c>
      <c r="L1929" s="13" t="b">
        <f>Github!M$614</f>
        <v>1</v>
      </c>
      <c r="M1929" s="13" t="b">
        <f>Github!N$614</f>
        <v>0</v>
      </c>
      <c r="N1929" s="13">
        <f>Github!P$614</f>
        <v>59637</v>
      </c>
      <c r="O1929" s="13">
        <f>Github!Q$614</f>
        <v>73343</v>
      </c>
    </row>
    <row r="1930">
      <c r="A1930" s="13">
        <f>Github!J$2285</f>
        <v>2284</v>
      </c>
      <c r="B1930" s="14" t="str">
        <f>HYPERLINK(CONCAT("http://leetcode.com/problems/",Github!C$2285), Github!B$2285)</f>
        <v>Sender With Largest Word Count</v>
      </c>
      <c r="C1930" s="13">
        <f>Github!F$2285</f>
        <v>283</v>
      </c>
      <c r="D1930" s="13">
        <f>Github!G$2285</f>
        <v>23</v>
      </c>
      <c r="E1930" s="13">
        <f>Github!F$2285+Github!G$2285</f>
        <v>306</v>
      </c>
      <c r="F1930" s="15">
        <f t="shared" si="1"/>
        <v>12.3</v>
      </c>
      <c r="G1930" s="13" t="str">
        <f>ROUND(Github!O$2285, 2)&amp;"%"</f>
        <v>55.92%</v>
      </c>
      <c r="H1930" s="13" t="str">
        <f>Github!H2285</f>
        <v>Algorithms</v>
      </c>
      <c r="I1930" s="16" t="str">
        <f>SUBSTITUTE(Github!L$2285, ";", ", ")</f>
        <v>Array, Hash Table, String, Counting, </v>
      </c>
      <c r="J1930" s="13" t="str">
        <f>Github!E$2285</f>
        <v>Medium</v>
      </c>
      <c r="K1930" s="13" t="str">
        <f>IF(TRIM(Github!D$2285)="TRUE","FALSE","TRUE")</f>
        <v>TRUE</v>
      </c>
      <c r="L1930" s="13" t="b">
        <f>Github!M$2285</f>
        <v>0</v>
      </c>
      <c r="M1930" s="13" t="b">
        <f>Github!N$2285</f>
        <v>0</v>
      </c>
      <c r="N1930" s="13">
        <f>Github!P$2285</f>
        <v>24311</v>
      </c>
      <c r="O1930" s="13">
        <f>Github!Q$2285</f>
        <v>43472</v>
      </c>
    </row>
    <row r="1931">
      <c r="A1931" s="13">
        <f>Github!J$1816</f>
        <v>1815</v>
      </c>
      <c r="B1931" s="14" t="str">
        <f>HYPERLINK(CONCAT("http://leetcode.com/problems/",Github!C$1816), Github!B$1816)</f>
        <v>Maximum Number of Groups Getting Fresh Donuts</v>
      </c>
      <c r="C1931" s="13">
        <f>Github!F$1816</f>
        <v>283</v>
      </c>
      <c r="D1931" s="13">
        <f>Github!G$1816</f>
        <v>18</v>
      </c>
      <c r="E1931" s="13">
        <f>Github!F$1816+Github!G$1816</f>
        <v>301</v>
      </c>
      <c r="F1931" s="15">
        <f t="shared" si="1"/>
        <v>15.72</v>
      </c>
      <c r="G1931" s="13" t="str">
        <f>ROUND(Github!O$1816, 2)&amp;"%"</f>
        <v>40.1%</v>
      </c>
      <c r="H1931" s="13" t="str">
        <f>Github!H$1816</f>
        <v>Algorithms</v>
      </c>
      <c r="I1931" s="16" t="str">
        <f>SUBSTITUTE(Github!L$1816, ";", ", ")</f>
        <v>Array, Dynamic Programming, Bit Manipulation, Memoization, Bitmask, </v>
      </c>
      <c r="J1931" s="13" t="str">
        <f>Github!E$1816</f>
        <v>Hard</v>
      </c>
      <c r="K1931" s="13" t="str">
        <f>IF(TRIM(Github!D$1816)="TRUE","FALSE","TRUE")</f>
        <v>TRUE</v>
      </c>
      <c r="L1931" s="13" t="b">
        <f>Github!M$1816</f>
        <v>0</v>
      </c>
      <c r="M1931" s="13" t="b">
        <f>Github!N$1816</f>
        <v>0</v>
      </c>
      <c r="N1931" s="13">
        <f>Github!P$1816</f>
        <v>5154</v>
      </c>
      <c r="O1931" s="13">
        <f>Github!Q$1816</f>
        <v>12852</v>
      </c>
    </row>
    <row r="1932">
      <c r="A1932" s="13">
        <f>Github!J$1588</f>
        <v>1587</v>
      </c>
      <c r="B1932" s="14" t="str">
        <f>HYPERLINK(CONCAT("http://leetcode.com/problems/",Github!C$1588), Github!B$1588)</f>
        <v>Bank Account Summary II</v>
      </c>
      <c r="C1932" s="13">
        <f>Github!F$1588</f>
        <v>290</v>
      </c>
      <c r="D1932" s="13">
        <f>Github!G$1588</f>
        <v>4</v>
      </c>
      <c r="E1932" s="13">
        <f>Github!F$1588+Github!G$1588</f>
        <v>294</v>
      </c>
      <c r="F1932" s="15">
        <f t="shared" si="1"/>
        <v>72.5</v>
      </c>
      <c r="G1932" s="13" t="str">
        <f>ROUND(Github!O$1588, 2)&amp;"%"</f>
        <v>88.54%</v>
      </c>
      <c r="H1932" s="13" t="str">
        <f>Github!H$1588</f>
        <v>Database</v>
      </c>
      <c r="I1932" s="16" t="str">
        <f>SUBSTITUTE(Github!L$1588, ";", ", ")</f>
        <v>Database, </v>
      </c>
      <c r="J1932" s="13" t="str">
        <f>Github!E$1588</f>
        <v>Easy</v>
      </c>
      <c r="K1932" s="13" t="str">
        <f>IF(TRIM(Github!D$1588)="TRUE","FALSE","TRUE")</f>
        <v>TRUE</v>
      </c>
      <c r="L1932" s="13" t="b">
        <f>Github!M$1588</f>
        <v>0</v>
      </c>
      <c r="M1932" s="13" t="b">
        <f>Github!N$1588</f>
        <v>0</v>
      </c>
      <c r="N1932" s="13">
        <f>Github!P$1588</f>
        <v>56279</v>
      </c>
      <c r="O1932" s="13">
        <f>Github!Q$1588</f>
        <v>63558</v>
      </c>
    </row>
    <row r="1933">
      <c r="A1933" s="13">
        <f>Github!J$1656</f>
        <v>1655</v>
      </c>
      <c r="B1933" s="14" t="str">
        <f>HYPERLINK(CONCAT("http://leetcode.com/problems/",Github!C$1656), Github!B$1656)</f>
        <v>Distribute Repeating Integers</v>
      </c>
      <c r="C1933" s="13">
        <f>Github!F$1656</f>
        <v>286</v>
      </c>
      <c r="D1933" s="13">
        <f>Github!G$1656</f>
        <v>18</v>
      </c>
      <c r="E1933" s="13">
        <f>Github!F$1656+Github!G$1656</f>
        <v>304</v>
      </c>
      <c r="F1933" s="15">
        <f t="shared" si="1"/>
        <v>15.89</v>
      </c>
      <c r="G1933" s="13" t="str">
        <f>ROUND(Github!O$1656, 2)&amp;"%"</f>
        <v>39.15%</v>
      </c>
      <c r="H1933" s="13" t="str">
        <f>Github!H$1656</f>
        <v>Algorithms</v>
      </c>
      <c r="I1933" s="16" t="str">
        <f>SUBSTITUTE(Github!L$1656, ";", ", ")</f>
        <v>Array, Dynamic Programming, Backtracking, Bit Manipulation, Bitmask, </v>
      </c>
      <c r="J1933" s="13" t="str">
        <f>Github!E$1656</f>
        <v>Hard</v>
      </c>
      <c r="K1933" s="13" t="str">
        <f>IF(TRIM(Github!D$1656)="TRUE","FALSE","TRUE")</f>
        <v>TRUE</v>
      </c>
      <c r="L1933" s="13" t="b">
        <f>Github!M$1656</f>
        <v>0</v>
      </c>
      <c r="M1933" s="13" t="b">
        <f>Github!N$1656</f>
        <v>0</v>
      </c>
      <c r="N1933" s="13">
        <f>Github!P$1656</f>
        <v>9655</v>
      </c>
      <c r="O1933" s="13">
        <f>Github!Q$1656</f>
        <v>24663</v>
      </c>
    </row>
    <row r="1934">
      <c r="A1934" s="13">
        <f>Github!J$2320</f>
        <v>2319</v>
      </c>
      <c r="B1934" s="14" t="str">
        <f>HYPERLINK(CONCAT("http://leetcode.com/problems/",Github!C$2320), Github!B$2320)</f>
        <v>Check if Matrix Is X-Matrix</v>
      </c>
      <c r="C1934" s="13">
        <f>Github!F$2320</f>
        <v>296</v>
      </c>
      <c r="D1934" s="13">
        <f>Github!G$2320</f>
        <v>9</v>
      </c>
      <c r="E1934" s="13">
        <f>Github!F$2320+Github!G$2320</f>
        <v>305</v>
      </c>
      <c r="F1934" s="15">
        <f t="shared" si="1"/>
        <v>32.89</v>
      </c>
      <c r="G1934" s="13" t="str">
        <f>ROUND(Github!O$2320, 2)&amp;"%"</f>
        <v>67.16%</v>
      </c>
      <c r="H1934" s="13" t="str">
        <f>Github!H2320</f>
        <v>Algorithms</v>
      </c>
      <c r="I1934" s="16" t="str">
        <f>SUBSTITUTE(Github!L$2320, ";", ", ")</f>
        <v>Array, Matrix, </v>
      </c>
      <c r="J1934" s="13" t="str">
        <f>Github!E$2320</f>
        <v>Easy</v>
      </c>
      <c r="K1934" s="13" t="str">
        <f>IF(TRIM(Github!D$2320)="TRUE","FALSE","TRUE")</f>
        <v>TRUE</v>
      </c>
      <c r="L1934" s="13" t="b">
        <f>Github!M$2320</f>
        <v>0</v>
      </c>
      <c r="M1934" s="13" t="b">
        <f>Github!N$2320</f>
        <v>0</v>
      </c>
      <c r="N1934" s="13">
        <f>Github!P$2320</f>
        <v>33873</v>
      </c>
      <c r="O1934" s="13">
        <f>Github!Q$2320</f>
        <v>50438</v>
      </c>
    </row>
    <row r="1935">
      <c r="A1935" s="13">
        <f>Github!J$841</f>
        <v>840</v>
      </c>
      <c r="B1935" s="14" t="str">
        <f>HYPERLINK(CONCAT("http://leetcode.com/problems/",Github!C$841), Github!B$841)</f>
        <v>Magic Squares In Grid</v>
      </c>
      <c r="C1935" s="13">
        <f>Github!F$841</f>
        <v>280</v>
      </c>
      <c r="D1935" s="13">
        <f>Github!G$841</f>
        <v>1520</v>
      </c>
      <c r="E1935" s="13">
        <f>Github!F$841+Github!G$841</f>
        <v>1800</v>
      </c>
      <c r="F1935" s="15">
        <f t="shared" si="1"/>
        <v>0.18</v>
      </c>
      <c r="G1935" s="13" t="str">
        <f>ROUND(Github!O$841, 2)&amp;"%"</f>
        <v>38.57%</v>
      </c>
      <c r="H1935" s="13" t="str">
        <f>Github!H$841</f>
        <v>Algorithms</v>
      </c>
      <c r="I1935" s="16" t="str">
        <f>SUBSTITUTE(Github!L$841, ";", ", ")</f>
        <v>Array, Math, Matrix, </v>
      </c>
      <c r="J1935" s="13" t="str">
        <f>Github!E$841</f>
        <v>Medium</v>
      </c>
      <c r="K1935" s="13" t="str">
        <f>IF(TRIM(Github!D$841)="TRUE","FALSE","TRUE")</f>
        <v>TRUE</v>
      </c>
      <c r="L1935" s="13" t="b">
        <f>Github!M$841</f>
        <v>1</v>
      </c>
      <c r="M1935" s="13" t="b">
        <f>Github!N$841</f>
        <v>0</v>
      </c>
      <c r="N1935" s="13">
        <f>Github!P$841</f>
        <v>34344</v>
      </c>
      <c r="O1935" s="13">
        <f>Github!Q$841</f>
        <v>89033</v>
      </c>
    </row>
    <row r="1936">
      <c r="A1936" s="13">
        <f>Github!J$551</f>
        <v>550</v>
      </c>
      <c r="B1936" s="14" t="str">
        <f>HYPERLINK(CONCAT("http://leetcode.com/problems/",Github!C$551), Github!B$551)</f>
        <v>Game Play Analysis IV</v>
      </c>
      <c r="C1936" s="13">
        <f>Github!F$551</f>
        <v>285</v>
      </c>
      <c r="D1936" s="13">
        <f>Github!G$551</f>
        <v>76</v>
      </c>
      <c r="E1936" s="13">
        <f>Github!F$551+Github!G$551</f>
        <v>361</v>
      </c>
      <c r="F1936" s="15">
        <f t="shared" si="1"/>
        <v>3.75</v>
      </c>
      <c r="G1936" s="13" t="str">
        <f>ROUND(Github!O$551, 2)&amp;"%"</f>
        <v>43.82%</v>
      </c>
      <c r="H1936" s="13" t="str">
        <f>Github!H$551</f>
        <v>Database</v>
      </c>
      <c r="I1936" s="16" t="str">
        <f>SUBSTITUTE(Github!L$551, ";", ", ")</f>
        <v>Database, </v>
      </c>
      <c r="J1936" s="13" t="str">
        <f>Github!E$551</f>
        <v>Medium</v>
      </c>
      <c r="K1936" s="13" t="str">
        <f>IF(TRIM(Github!D$551)="TRUE","FALSE","TRUE")</f>
        <v>FALSE</v>
      </c>
      <c r="L1936" s="13" t="b">
        <f>Github!M$551</f>
        <v>1</v>
      </c>
      <c r="M1936" s="13" t="b">
        <f>Github!N$551</f>
        <v>0</v>
      </c>
      <c r="N1936" s="13">
        <f>Github!P$551</f>
        <v>50843</v>
      </c>
      <c r="O1936" s="13">
        <f>Github!Q$551</f>
        <v>116030</v>
      </c>
    </row>
    <row r="1937">
      <c r="A1937" s="13">
        <f>Github!J$1528</f>
        <v>1527</v>
      </c>
      <c r="B1937" s="14" t="str">
        <f>HYPERLINK(CONCAT("http://leetcode.com/problems/",Github!C$1528), Github!B$1528)</f>
        <v>Patients With a Condition</v>
      </c>
      <c r="C1937" s="13">
        <f>Github!F$1528</f>
        <v>289</v>
      </c>
      <c r="D1937" s="13">
        <f>Github!G$1528</f>
        <v>323</v>
      </c>
      <c r="E1937" s="13">
        <f>Github!F$1528+Github!G$1528</f>
        <v>612</v>
      </c>
      <c r="F1937" s="15">
        <f t="shared" si="1"/>
        <v>0.89</v>
      </c>
      <c r="G1937" s="13" t="str">
        <f>ROUND(Github!O$1528, 2)&amp;"%"</f>
        <v>41.75%</v>
      </c>
      <c r="H1937" s="13" t="str">
        <f>Github!H$1528</f>
        <v>Database</v>
      </c>
      <c r="I1937" s="16" t="str">
        <f>SUBSTITUTE(Github!L$1528, ";", ", ")</f>
        <v>Database, </v>
      </c>
      <c r="J1937" s="13" t="str">
        <f>Github!E$1528</f>
        <v>Easy</v>
      </c>
      <c r="K1937" s="13" t="str">
        <f>IF(TRIM(Github!D$1528)="TRUE","FALSE","TRUE")</f>
        <v>TRUE</v>
      </c>
      <c r="L1937" s="13" t="b">
        <f>Github!M$1528</f>
        <v>0</v>
      </c>
      <c r="M1937" s="13" t="b">
        <f>Github!N$1528</f>
        <v>0</v>
      </c>
      <c r="N1937" s="13">
        <f>Github!P$1528</f>
        <v>80732</v>
      </c>
      <c r="O1937" s="13">
        <f>Github!Q$1528</f>
        <v>193377</v>
      </c>
    </row>
    <row r="1938">
      <c r="A1938" s="13">
        <f>Github!J$965</f>
        <v>964</v>
      </c>
      <c r="B1938" s="14" t="str">
        <f>HYPERLINK(CONCAT("http://leetcode.com/problems/",Github!C$965), Github!B$965)</f>
        <v>Least Operators to Express Number</v>
      </c>
      <c r="C1938" s="13">
        <f>Github!F$965</f>
        <v>279</v>
      </c>
      <c r="D1938" s="13">
        <f>Github!G$965</f>
        <v>66</v>
      </c>
      <c r="E1938" s="13">
        <f>Github!F$965+Github!G$965</f>
        <v>345</v>
      </c>
      <c r="F1938" s="15">
        <f t="shared" si="1"/>
        <v>4.23</v>
      </c>
      <c r="G1938" s="13" t="str">
        <f>ROUND(Github!O$965, 2)&amp;"%"</f>
        <v>47.95%</v>
      </c>
      <c r="H1938" s="13" t="str">
        <f>Github!H$965</f>
        <v>Algorithms</v>
      </c>
      <c r="I1938" s="16" t="str">
        <f>SUBSTITUTE(Github!L$965, ";", ", ")</f>
        <v>Math, Dynamic Programming, </v>
      </c>
      <c r="J1938" s="13" t="str">
        <f>Github!E$965</f>
        <v>Hard</v>
      </c>
      <c r="K1938" s="13" t="str">
        <f>IF(TRIM(Github!D$965)="TRUE","FALSE","TRUE")</f>
        <v>TRUE</v>
      </c>
      <c r="L1938" s="13" t="b">
        <f>Github!M$965</f>
        <v>0</v>
      </c>
      <c r="M1938" s="13" t="b">
        <f>Github!N$965</f>
        <v>0</v>
      </c>
      <c r="N1938" s="13">
        <f>Github!P$965</f>
        <v>8611</v>
      </c>
      <c r="O1938" s="13">
        <f>Github!Q$965</f>
        <v>17959</v>
      </c>
    </row>
    <row r="1939">
      <c r="A1939" s="13">
        <f>Github!J$1937</f>
        <v>1936</v>
      </c>
      <c r="B1939" s="14" t="str">
        <f>HYPERLINK(CONCAT("http://leetcode.com/problems/",Github!C$1937), Github!B$1937)</f>
        <v>Add Minimum Number of Rungs</v>
      </c>
      <c r="C1939" s="13">
        <f>Github!F$1937</f>
        <v>281</v>
      </c>
      <c r="D1939" s="13">
        <f>Github!G$1937</f>
        <v>22</v>
      </c>
      <c r="E1939" s="13">
        <f>Github!F$1937+Github!G$1937</f>
        <v>303</v>
      </c>
      <c r="F1939" s="15">
        <f t="shared" si="1"/>
        <v>12.77</v>
      </c>
      <c r="G1939" s="13" t="str">
        <f>ROUND(Github!O$1937, 2)&amp;"%"</f>
        <v>42.86%</v>
      </c>
      <c r="H1939" s="13" t="str">
        <f>Github!H$1937</f>
        <v>Algorithms</v>
      </c>
      <c r="I1939" s="16" t="str">
        <f>SUBSTITUTE(Github!L$1937, ";", ", ")</f>
        <v>Array, Greedy, </v>
      </c>
      <c r="J1939" s="13" t="str">
        <f>Github!E$1937</f>
        <v>Medium</v>
      </c>
      <c r="K1939" s="13" t="str">
        <f>IF(TRIM(Github!D$1937)="TRUE","FALSE","TRUE")</f>
        <v>TRUE</v>
      </c>
      <c r="L1939" s="13" t="b">
        <f>Github!M$1937</f>
        <v>0</v>
      </c>
      <c r="M1939" s="13" t="b">
        <f>Github!N$1937</f>
        <v>0</v>
      </c>
      <c r="N1939" s="13">
        <f>Github!P$1937</f>
        <v>22065</v>
      </c>
      <c r="O1939" s="13">
        <f>Github!Q$1937</f>
        <v>51478</v>
      </c>
    </row>
    <row r="1940">
      <c r="A1940" s="13">
        <f>Github!J$1955</f>
        <v>1954</v>
      </c>
      <c r="B1940" s="14" t="str">
        <f>HYPERLINK(CONCAT("http://leetcode.com/problems/",Github!C$1955), Github!B$1955)</f>
        <v>Minimum Garden Perimeter to Collect Enough Apples</v>
      </c>
      <c r="C1940" s="13">
        <f>Github!F$1955</f>
        <v>280</v>
      </c>
      <c r="D1940" s="13">
        <f>Github!G$1955</f>
        <v>76</v>
      </c>
      <c r="E1940" s="13">
        <f>Github!F$1955+Github!G$1955</f>
        <v>356</v>
      </c>
      <c r="F1940" s="15">
        <f t="shared" si="1"/>
        <v>3.68</v>
      </c>
      <c r="G1940" s="13" t="str">
        <f>ROUND(Github!O$1955, 2)&amp;"%"</f>
        <v>53.12%</v>
      </c>
      <c r="H1940" s="13" t="str">
        <f>Github!H$1955</f>
        <v>Algorithms</v>
      </c>
      <c r="I1940" s="16" t="str">
        <f>SUBSTITUTE(Github!L$1955, ";", ", ")</f>
        <v>Math, Binary Search, </v>
      </c>
      <c r="J1940" s="13" t="str">
        <f>Github!E$1955</f>
        <v>Medium</v>
      </c>
      <c r="K1940" s="13" t="str">
        <f>IF(TRIM(Github!D$1955)="TRUE","FALSE","TRUE")</f>
        <v>TRUE</v>
      </c>
      <c r="L1940" s="13" t="b">
        <f>Github!M$1955</f>
        <v>0</v>
      </c>
      <c r="M1940" s="13" t="b">
        <f>Github!N$1955</f>
        <v>0</v>
      </c>
      <c r="N1940" s="13">
        <f>Github!P$1955</f>
        <v>13093</v>
      </c>
      <c r="O1940" s="13">
        <f>Github!Q$1955</f>
        <v>24648</v>
      </c>
    </row>
    <row r="1941">
      <c r="A1941" s="13">
        <f>Github!J$571</f>
        <v>570</v>
      </c>
      <c r="B1941" s="14" t="str">
        <f>HYPERLINK(CONCAT("http://leetcode.com/problems/",Github!C$571), Github!B$571)</f>
        <v>Managers with at Least 5 Direct Reports</v>
      </c>
      <c r="C1941" s="13">
        <f>Github!F$571</f>
        <v>281</v>
      </c>
      <c r="D1941" s="13">
        <f>Github!G$571</f>
        <v>39</v>
      </c>
      <c r="E1941" s="13">
        <f>Github!F$571+Github!G$571</f>
        <v>320</v>
      </c>
      <c r="F1941" s="15">
        <f t="shared" si="1"/>
        <v>7.21</v>
      </c>
      <c r="G1941" s="13" t="str">
        <f>ROUND(Github!O$571, 2)&amp;"%"</f>
        <v>67.02%</v>
      </c>
      <c r="H1941" s="13" t="str">
        <f>Github!H$571</f>
        <v>Database</v>
      </c>
      <c r="I1941" s="16" t="str">
        <f>SUBSTITUTE(Github!L$571, ";", ", ")</f>
        <v>Database, </v>
      </c>
      <c r="J1941" s="13" t="str">
        <f>Github!E$571</f>
        <v>Medium</v>
      </c>
      <c r="K1941" s="13" t="str">
        <f>IF(TRIM(Github!D$571)="TRUE","FALSE","TRUE")</f>
        <v>FALSE</v>
      </c>
      <c r="L1941" s="13" t="b">
        <f>Github!M$571</f>
        <v>1</v>
      </c>
      <c r="M1941" s="13" t="b">
        <f>Github!N$571</f>
        <v>0</v>
      </c>
      <c r="N1941" s="13">
        <f>Github!P$571</f>
        <v>73439</v>
      </c>
      <c r="O1941" s="13">
        <f>Github!Q$571</f>
        <v>109579</v>
      </c>
    </row>
    <row r="1942">
      <c r="A1942" s="13">
        <f>Github!J$570</f>
        <v>569</v>
      </c>
      <c r="B1942" s="14" t="str">
        <f>HYPERLINK(CONCAT("http://leetcode.com/problems/",Github!C$570), Github!B$570)</f>
        <v>Median Employee Salary</v>
      </c>
      <c r="C1942" s="13">
        <f>Github!F$570</f>
        <v>280</v>
      </c>
      <c r="D1942" s="13">
        <f>Github!G$570</f>
        <v>143</v>
      </c>
      <c r="E1942" s="13">
        <f>Github!F$570+Github!G$570</f>
        <v>423</v>
      </c>
      <c r="F1942" s="15">
        <f t="shared" si="1"/>
        <v>1.96</v>
      </c>
      <c r="G1942" s="13" t="str">
        <f>ROUND(Github!O$570, 2)&amp;"%"</f>
        <v>67.97%</v>
      </c>
      <c r="H1942" s="13" t="str">
        <f>Github!H$570</f>
        <v>Database</v>
      </c>
      <c r="I1942" s="16" t="str">
        <f>SUBSTITUTE(Github!L$570, ";", ", ")</f>
        <v>Database, </v>
      </c>
      <c r="J1942" s="13" t="str">
        <f>Github!E$570</f>
        <v>Hard</v>
      </c>
      <c r="K1942" s="13" t="str">
        <f>IF(TRIM(Github!D$570)="TRUE","FALSE","TRUE")</f>
        <v>FALSE</v>
      </c>
      <c r="L1942" s="13" t="b">
        <f>Github!M$570</f>
        <v>0</v>
      </c>
      <c r="M1942" s="13" t="b">
        <f>Github!N$570</f>
        <v>0</v>
      </c>
      <c r="N1942" s="13">
        <f>Github!P$570</f>
        <v>32710</v>
      </c>
      <c r="O1942" s="13">
        <f>Github!Q$570</f>
        <v>48125</v>
      </c>
    </row>
    <row r="1943">
      <c r="A1943" s="13">
        <f>Github!J$1304</f>
        <v>1303</v>
      </c>
      <c r="B1943" s="14" t="str">
        <f>HYPERLINK(CONCAT("http://leetcode.com/problems/",Github!C$1304), Github!B$1304)</f>
        <v>Find the Team Size</v>
      </c>
      <c r="C1943" s="13">
        <f>Github!F$1304</f>
        <v>282</v>
      </c>
      <c r="D1943" s="13">
        <f>Github!G$1304</f>
        <v>16</v>
      </c>
      <c r="E1943" s="13">
        <f>Github!F$1304+Github!G$1304</f>
        <v>298</v>
      </c>
      <c r="F1943" s="15">
        <f t="shared" si="1"/>
        <v>17.63</v>
      </c>
      <c r="G1943" s="13" t="str">
        <f>ROUND(Github!O$1304, 2)&amp;"%"</f>
        <v>90.7%</v>
      </c>
      <c r="H1943" s="13" t="str">
        <f>Github!H$1304</f>
        <v>Database</v>
      </c>
      <c r="I1943" s="16" t="str">
        <f>SUBSTITUTE(Github!L$1304, ";", ", ")</f>
        <v>Database, </v>
      </c>
      <c r="J1943" s="13" t="str">
        <f>Github!E$1304</f>
        <v>Easy</v>
      </c>
      <c r="K1943" s="13" t="str">
        <f>IF(TRIM(Github!D$1304)="TRUE","FALSE","TRUE")</f>
        <v>FALSE</v>
      </c>
      <c r="L1943" s="13" t="b">
        <f>Github!M$1304</f>
        <v>0</v>
      </c>
      <c r="M1943" s="13" t="b">
        <f>Github!N$1304</f>
        <v>0</v>
      </c>
      <c r="N1943" s="13">
        <f>Github!P$1304</f>
        <v>55332</v>
      </c>
      <c r="O1943" s="13">
        <f>Github!Q$1304</f>
        <v>61004</v>
      </c>
    </row>
    <row r="1944">
      <c r="A1944" s="13">
        <f>Github!J$1252</f>
        <v>1251</v>
      </c>
      <c r="B1944" s="14" t="str">
        <f>HYPERLINK(CONCAT("http://leetcode.com/problems/",Github!C$1252), Github!B$1252)</f>
        <v>Average Selling Price</v>
      </c>
      <c r="C1944" s="13">
        <f>Github!F$1252</f>
        <v>279</v>
      </c>
      <c r="D1944" s="13">
        <f>Github!G$1252</f>
        <v>30</v>
      </c>
      <c r="E1944" s="13">
        <f>Github!F$1252+Github!G$1252</f>
        <v>309</v>
      </c>
      <c r="F1944" s="15">
        <f t="shared" si="1"/>
        <v>9.3</v>
      </c>
      <c r="G1944" s="13" t="str">
        <f>ROUND(Github!O$1252, 2)&amp;"%"</f>
        <v>82.7%</v>
      </c>
      <c r="H1944" s="13" t="str">
        <f>Github!H$1252</f>
        <v>Database</v>
      </c>
      <c r="I1944" s="16" t="str">
        <f>SUBSTITUTE(Github!L$1252, ";", ", ")</f>
        <v>Database, </v>
      </c>
      <c r="J1944" s="13" t="str">
        <f>Github!E$1252</f>
        <v>Easy</v>
      </c>
      <c r="K1944" s="13" t="str">
        <f>IF(TRIM(Github!D$1252)="TRUE","FALSE","TRUE")</f>
        <v>FALSE</v>
      </c>
      <c r="L1944" s="13" t="b">
        <f>Github!M$1252</f>
        <v>0</v>
      </c>
      <c r="M1944" s="13" t="b">
        <f>Github!N$1252</f>
        <v>0</v>
      </c>
      <c r="N1944" s="13">
        <f>Github!P$1252</f>
        <v>47870</v>
      </c>
      <c r="O1944" s="13">
        <f>Github!Q$1252</f>
        <v>57883</v>
      </c>
    </row>
    <row r="1945">
      <c r="A1945" s="13">
        <f>Github!J$603</f>
        <v>602</v>
      </c>
      <c r="B1945" s="14" t="str">
        <f>HYPERLINK(CONCAT("http://leetcode.com/problems/",Github!C$603), Github!B$603)</f>
        <v>Friend Requests II: Who Has the Most Friends</v>
      </c>
      <c r="C1945" s="13">
        <f>Github!F$603</f>
        <v>281</v>
      </c>
      <c r="D1945" s="13">
        <f>Github!G$603</f>
        <v>77</v>
      </c>
      <c r="E1945" s="13">
        <f>Github!F$603+Github!G$603</f>
        <v>358</v>
      </c>
      <c r="F1945" s="15">
        <f t="shared" si="1"/>
        <v>3.65</v>
      </c>
      <c r="G1945" s="13" t="str">
        <f>ROUND(Github!O$603, 2)&amp;"%"</f>
        <v>61.38%</v>
      </c>
      <c r="H1945" s="13" t="str">
        <f>Github!H$603</f>
        <v>Database</v>
      </c>
      <c r="I1945" s="16" t="str">
        <f>SUBSTITUTE(Github!L$603, ";", ", ")</f>
        <v>Database, </v>
      </c>
      <c r="J1945" s="13" t="str">
        <f>Github!E$603</f>
        <v>Medium</v>
      </c>
      <c r="K1945" s="13" t="str">
        <f>IF(TRIM(Github!D$603)="TRUE","FALSE","TRUE")</f>
        <v>FALSE</v>
      </c>
      <c r="L1945" s="13" t="b">
        <f>Github!M$603</f>
        <v>0</v>
      </c>
      <c r="M1945" s="13" t="b">
        <f>Github!N$603</f>
        <v>0</v>
      </c>
      <c r="N1945" s="13">
        <f>Github!P$603</f>
        <v>55073</v>
      </c>
      <c r="O1945" s="13">
        <f>Github!Q$603</f>
        <v>89728</v>
      </c>
    </row>
    <row r="1946">
      <c r="A1946" s="13">
        <f>Github!J$598</f>
        <v>597</v>
      </c>
      <c r="B1946" s="14" t="str">
        <f>HYPERLINK(CONCAT("http://leetcode.com/problems/",Github!C$598), Github!B$598)</f>
        <v>Friend Requests I: Overall Acceptance Rate</v>
      </c>
      <c r="C1946" s="13">
        <f>Github!F$598</f>
        <v>276</v>
      </c>
      <c r="D1946" s="13">
        <f>Github!G$598</f>
        <v>679</v>
      </c>
      <c r="E1946" s="13">
        <f>Github!F$598+Github!G$598</f>
        <v>955</v>
      </c>
      <c r="F1946" s="15">
        <f t="shared" si="1"/>
        <v>0.41</v>
      </c>
      <c r="G1946" s="13" t="str">
        <f>ROUND(Github!O$598, 2)&amp;"%"</f>
        <v>42.77%</v>
      </c>
      <c r="H1946" s="13" t="str">
        <f>Github!H$598</f>
        <v>Database</v>
      </c>
      <c r="I1946" s="16" t="str">
        <f>SUBSTITUTE(Github!L$598, ";", ", ")</f>
        <v>Database, </v>
      </c>
      <c r="J1946" s="13" t="str">
        <f>Github!E$598</f>
        <v>Easy</v>
      </c>
      <c r="K1946" s="13" t="str">
        <f>IF(TRIM(Github!D$598)="TRUE","FALSE","TRUE")</f>
        <v>FALSE</v>
      </c>
      <c r="L1946" s="13" t="b">
        <f>Github!M$598</f>
        <v>1</v>
      </c>
      <c r="M1946" s="13" t="b">
        <f>Github!N$598</f>
        <v>0</v>
      </c>
      <c r="N1946" s="13">
        <f>Github!P$598</f>
        <v>65949</v>
      </c>
      <c r="O1946" s="13">
        <f>Github!Q$598</f>
        <v>154181</v>
      </c>
    </row>
    <row r="1947">
      <c r="A1947" s="13">
        <f>Github!J$2275</f>
        <v>2274</v>
      </c>
      <c r="B1947" s="14" t="str">
        <f>HYPERLINK(CONCAT("http://leetcode.com/problems/",Github!C$2275), Github!B$2275)</f>
        <v>Maximum Consecutive Floors Without Special Floors</v>
      </c>
      <c r="C1947" s="13">
        <f>Github!F$2275</f>
        <v>277</v>
      </c>
      <c r="D1947" s="13">
        <f>Github!G$2275</f>
        <v>27</v>
      </c>
      <c r="E1947" s="13">
        <f>Github!F$2275+Github!G$2275</f>
        <v>304</v>
      </c>
      <c r="F1947" s="15">
        <f t="shared" si="1"/>
        <v>10.26</v>
      </c>
      <c r="G1947" s="13" t="str">
        <f>ROUND(Github!O$2275, 2)&amp;"%"</f>
        <v>52.16%</v>
      </c>
      <c r="H1947" s="13" t="str">
        <f>Github!H2275</f>
        <v>Algorithms</v>
      </c>
      <c r="I1947" s="16" t="str">
        <f>SUBSTITUTE(Github!L$2275, ";", ", ")</f>
        <v>Array, Sorting, </v>
      </c>
      <c r="J1947" s="13" t="str">
        <f>Github!E$2275</f>
        <v>Medium</v>
      </c>
      <c r="K1947" s="13" t="str">
        <f>IF(TRIM(Github!D$2275)="TRUE","FALSE","TRUE")</f>
        <v>TRUE</v>
      </c>
      <c r="L1947" s="13" t="b">
        <f>Github!M$2275</f>
        <v>0</v>
      </c>
      <c r="M1947" s="13" t="b">
        <f>Github!N$2275</f>
        <v>0</v>
      </c>
      <c r="N1947" s="13">
        <f>Github!P$2275</f>
        <v>23764</v>
      </c>
      <c r="O1947" s="13">
        <f>Github!Q$2275</f>
        <v>45557</v>
      </c>
    </row>
    <row r="1948">
      <c r="A1948" s="13">
        <f>Github!J$1869</f>
        <v>1868</v>
      </c>
      <c r="B1948" s="14" t="str">
        <f>HYPERLINK(CONCAT("http://leetcode.com/problems/",Github!C$1869), Github!B$1869)</f>
        <v>Product of Two Run-Length Encoded Arrays</v>
      </c>
      <c r="C1948" s="13">
        <f>Github!F$1869</f>
        <v>274</v>
      </c>
      <c r="D1948" s="13">
        <f>Github!G$1869</f>
        <v>45</v>
      </c>
      <c r="E1948" s="13">
        <f>Github!F$1869+Github!G$1869</f>
        <v>319</v>
      </c>
      <c r="F1948" s="15">
        <f t="shared" si="1"/>
        <v>6.09</v>
      </c>
      <c r="G1948" s="13" t="str">
        <f>ROUND(Github!O$1869, 2)&amp;"%"</f>
        <v>57.78%</v>
      </c>
      <c r="H1948" s="13" t="str">
        <f>Github!H$1869</f>
        <v>Algorithms</v>
      </c>
      <c r="I1948" s="16" t="str">
        <f>SUBSTITUTE(Github!L$1869, ";", ", ")</f>
        <v>Array, Two Pointers, </v>
      </c>
      <c r="J1948" s="13" t="str">
        <f>Github!E$1869</f>
        <v>Medium</v>
      </c>
      <c r="K1948" s="13" t="str">
        <f>IF(TRIM(Github!D$1869)="TRUE","FALSE","TRUE")</f>
        <v>FALSE</v>
      </c>
      <c r="L1948" s="13" t="b">
        <f>Github!M$1869</f>
        <v>0</v>
      </c>
      <c r="M1948" s="13" t="b">
        <f>Github!N$1869</f>
        <v>0</v>
      </c>
      <c r="N1948" s="13">
        <f>Github!P$1869</f>
        <v>25062</v>
      </c>
      <c r="O1948" s="13">
        <f>Github!Q$1869</f>
        <v>43378</v>
      </c>
    </row>
    <row r="1949">
      <c r="A1949" s="13">
        <f>Github!J$1737</f>
        <v>1736</v>
      </c>
      <c r="B1949" s="14" t="str">
        <f>HYPERLINK(CONCAT("http://leetcode.com/problems/",Github!C$1737), Github!B$1737)</f>
        <v>Latest Time by Replacing Hidden Digits</v>
      </c>
      <c r="C1949" s="13">
        <f>Github!F$1737</f>
        <v>277</v>
      </c>
      <c r="D1949" s="13">
        <f>Github!G$1737</f>
        <v>138</v>
      </c>
      <c r="E1949" s="13">
        <f>Github!F$1737+Github!G$1737</f>
        <v>415</v>
      </c>
      <c r="F1949" s="15">
        <f t="shared" si="1"/>
        <v>2.01</v>
      </c>
      <c r="G1949" s="13" t="str">
        <f>ROUND(Github!O$1737, 2)&amp;"%"</f>
        <v>42.29%</v>
      </c>
      <c r="H1949" s="13" t="str">
        <f>Github!H$1737</f>
        <v>Algorithms</v>
      </c>
      <c r="I1949" s="16" t="str">
        <f>SUBSTITUTE(Github!L$1737, ";", ", ")</f>
        <v>String, Greedy, </v>
      </c>
      <c r="J1949" s="13" t="str">
        <f>Github!E$1737</f>
        <v>Easy</v>
      </c>
      <c r="K1949" s="13" t="str">
        <f>IF(TRIM(Github!D$1737)="TRUE","FALSE","TRUE")</f>
        <v>TRUE</v>
      </c>
      <c r="L1949" s="13" t="b">
        <f>Github!M$1737</f>
        <v>0</v>
      </c>
      <c r="M1949" s="13" t="b">
        <f>Github!N$1737</f>
        <v>0</v>
      </c>
      <c r="N1949" s="13">
        <f>Github!P$1737</f>
        <v>27050</v>
      </c>
      <c r="O1949" s="13">
        <f>Github!Q$1737</f>
        <v>63958</v>
      </c>
    </row>
    <row r="1950">
      <c r="A1950" s="13">
        <f>Github!J$1738</f>
        <v>1737</v>
      </c>
      <c r="B1950" s="14" t="str">
        <f>HYPERLINK(CONCAT("http://leetcode.com/problems/",Github!C$1738), Github!B$1738)</f>
        <v>Change Minimum Characters to Satisfy One of Three Conditions</v>
      </c>
      <c r="C1950" s="13">
        <f>Github!F$1738</f>
        <v>272</v>
      </c>
      <c r="D1950" s="13">
        <f>Github!G$1738</f>
        <v>299</v>
      </c>
      <c r="E1950" s="13">
        <f>Github!F$1738+Github!G$1738</f>
        <v>571</v>
      </c>
      <c r="F1950" s="15">
        <f t="shared" si="1"/>
        <v>0.91</v>
      </c>
      <c r="G1950" s="13" t="str">
        <f>ROUND(Github!O$1738, 2)&amp;"%"</f>
        <v>35.35%</v>
      </c>
      <c r="H1950" s="13" t="str">
        <f>Github!H$1738</f>
        <v>Algorithms</v>
      </c>
      <c r="I1950" s="16" t="str">
        <f>SUBSTITUTE(Github!L$1738, ";", ", ")</f>
        <v>Hash Table, String, Counting, Prefix Sum, </v>
      </c>
      <c r="J1950" s="13" t="str">
        <f>Github!E$1738</f>
        <v>Medium</v>
      </c>
      <c r="K1950" s="13" t="str">
        <f>IF(TRIM(Github!D$1738)="TRUE","FALSE","TRUE")</f>
        <v>TRUE</v>
      </c>
      <c r="L1950" s="13" t="b">
        <f>Github!M$1738</f>
        <v>0</v>
      </c>
      <c r="M1950" s="13" t="b">
        <f>Github!N$1738</f>
        <v>0</v>
      </c>
      <c r="N1950" s="13">
        <f>Github!P$1738</f>
        <v>11128</v>
      </c>
      <c r="O1950" s="13">
        <f>Github!Q$1738</f>
        <v>31478</v>
      </c>
    </row>
    <row r="1951">
      <c r="A1951" s="13">
        <f>Github!J$1660</f>
        <v>1659</v>
      </c>
      <c r="B1951" s="14" t="str">
        <f>HYPERLINK(CONCAT("http://leetcode.com/problems/",Github!C$1660), Github!B$1660)</f>
        <v>Maximize Grid Happiness</v>
      </c>
      <c r="C1951" s="13">
        <f>Github!F$1660</f>
        <v>271</v>
      </c>
      <c r="D1951" s="13">
        <f>Github!G$1660</f>
        <v>46</v>
      </c>
      <c r="E1951" s="13">
        <f>Github!F$1660+Github!G$1660</f>
        <v>317</v>
      </c>
      <c r="F1951" s="15">
        <f t="shared" si="1"/>
        <v>5.89</v>
      </c>
      <c r="G1951" s="13" t="str">
        <f>ROUND(Github!O$1660, 2)&amp;"%"</f>
        <v>38.36%</v>
      </c>
      <c r="H1951" s="13" t="str">
        <f>Github!H$1660</f>
        <v>Algorithms</v>
      </c>
      <c r="I1951" s="16" t="str">
        <f>SUBSTITUTE(Github!L$1660, ";", ", ")</f>
        <v>Dynamic Programming, Bit Manipulation, Memoization, Bitmask, </v>
      </c>
      <c r="J1951" s="13" t="str">
        <f>Github!E$1660</f>
        <v>Hard</v>
      </c>
      <c r="K1951" s="13" t="str">
        <f>IF(TRIM(Github!D$1660)="TRUE","FALSE","TRUE")</f>
        <v>TRUE</v>
      </c>
      <c r="L1951" s="13" t="b">
        <f>Github!M$1660</f>
        <v>0</v>
      </c>
      <c r="M1951" s="13" t="b">
        <f>Github!N$1660</f>
        <v>0</v>
      </c>
      <c r="N1951" s="13">
        <f>Github!P$1660</f>
        <v>4189</v>
      </c>
      <c r="O1951" s="13">
        <f>Github!Q$1660</f>
        <v>10921</v>
      </c>
    </row>
    <row r="1952">
      <c r="A1952" s="13">
        <f>Github!J$2228</f>
        <v>2227</v>
      </c>
      <c r="B1952" s="14" t="str">
        <f>HYPERLINK(CONCAT("http://leetcode.com/problems/",Github!C$2228), Github!B$2228)</f>
        <v>Encrypt and Decrypt Strings</v>
      </c>
      <c r="C1952" s="13">
        <f>Github!F$2228</f>
        <v>270</v>
      </c>
      <c r="D1952" s="13">
        <f>Github!G$2228</f>
        <v>49</v>
      </c>
      <c r="E1952" s="13">
        <f>Github!F$2228+Github!G$2228</f>
        <v>319</v>
      </c>
      <c r="F1952" s="15">
        <f t="shared" si="1"/>
        <v>5.51</v>
      </c>
      <c r="G1952" s="13" t="str">
        <f>ROUND(Github!O$2228, 2)&amp;"%"</f>
        <v>39.43%</v>
      </c>
      <c r="H1952" s="13" t="str">
        <f>Github!H$2228</f>
        <v>Algorithms</v>
      </c>
      <c r="I1952" s="16" t="str">
        <f>SUBSTITUTE(Github!L$2228, ";", ", ")</f>
        <v>Array, Hash Table, String, Design, Trie, </v>
      </c>
      <c r="J1952" s="13" t="str">
        <f>Github!E$2228</f>
        <v>Hard</v>
      </c>
      <c r="K1952" s="13" t="str">
        <f>IF(TRIM(Github!D$2228)="TRUE","FALSE","TRUE")</f>
        <v>TRUE</v>
      </c>
      <c r="L1952" s="13" t="b">
        <f>Github!M$2228</f>
        <v>0</v>
      </c>
      <c r="M1952" s="13" t="b">
        <f>Github!N$2228</f>
        <v>0</v>
      </c>
      <c r="N1952" s="13">
        <f>Github!P$2228</f>
        <v>9561</v>
      </c>
      <c r="O1952" s="13">
        <f>Github!Q$2228</f>
        <v>24249</v>
      </c>
    </row>
    <row r="1953">
      <c r="A1953" s="13">
        <f>Github!J$1419</f>
        <v>1418</v>
      </c>
      <c r="B1953" s="14" t="str">
        <f>HYPERLINK(CONCAT("http://leetcode.com/problems/",Github!C$1419), Github!B$1419)</f>
        <v>Display Table of Food Orders in a Restaurant</v>
      </c>
      <c r="C1953" s="13">
        <f>Github!F$1419</f>
        <v>271</v>
      </c>
      <c r="D1953" s="13">
        <f>Github!G$1419</f>
        <v>406</v>
      </c>
      <c r="E1953" s="13">
        <f>Github!F$1419+Github!G$1419</f>
        <v>677</v>
      </c>
      <c r="F1953" s="15">
        <f t="shared" si="1"/>
        <v>0.67</v>
      </c>
      <c r="G1953" s="13" t="str">
        <f>ROUND(Github!O$1419, 2)&amp;"%"</f>
        <v>73.83%</v>
      </c>
      <c r="H1953" s="13" t="str">
        <f>Github!H$1419</f>
        <v>Algorithms</v>
      </c>
      <c r="I1953" s="16" t="str">
        <f>SUBSTITUTE(Github!L$1419, ";", ", ")</f>
        <v>Array, Hash Table, String, Sorting, Ordered Set, </v>
      </c>
      <c r="J1953" s="13" t="str">
        <f>Github!E$1419</f>
        <v>Medium</v>
      </c>
      <c r="K1953" s="13" t="str">
        <f>IF(TRIM(Github!D$1419)="TRUE","FALSE","TRUE")</f>
        <v>TRUE</v>
      </c>
      <c r="L1953" s="13" t="b">
        <f>Github!M$1419</f>
        <v>0</v>
      </c>
      <c r="M1953" s="13" t="b">
        <f>Github!N$1419</f>
        <v>0</v>
      </c>
      <c r="N1953" s="13">
        <f>Github!P$1419</f>
        <v>22083</v>
      </c>
      <c r="O1953" s="13">
        <f>Github!Q$1419</f>
        <v>29910</v>
      </c>
    </row>
    <row r="1954">
      <c r="A1954" s="13">
        <f>Github!J$1312</f>
        <v>1311</v>
      </c>
      <c r="B1954" s="14" t="str">
        <f>HYPERLINK(CONCAT("http://leetcode.com/problems/",Github!C$1312), Github!B$1312)</f>
        <v>Get Watched Videos by Your Friends</v>
      </c>
      <c r="C1954" s="13">
        <f>Github!F$1312</f>
        <v>269</v>
      </c>
      <c r="D1954" s="13">
        <f>Github!G$1312</f>
        <v>346</v>
      </c>
      <c r="E1954" s="13">
        <f>Github!F$1312+Github!G$1312</f>
        <v>615</v>
      </c>
      <c r="F1954" s="15">
        <f t="shared" si="1"/>
        <v>0.78</v>
      </c>
      <c r="G1954" s="13" t="str">
        <f>ROUND(Github!O$1312, 2)&amp;"%"</f>
        <v>45.93%</v>
      </c>
      <c r="H1954" s="13" t="str">
        <f>Github!H$1312</f>
        <v>Algorithms</v>
      </c>
      <c r="I1954" s="16" t="str">
        <f>SUBSTITUTE(Github!L$1312, ";", ", ")</f>
        <v>Array, Hash Table, Breadth-First Search, Graph, Sorting, </v>
      </c>
      <c r="J1954" s="13" t="str">
        <f>Github!E$1312</f>
        <v>Medium</v>
      </c>
      <c r="K1954" s="13" t="str">
        <f>IF(TRIM(Github!D$1312)="TRUE","FALSE","TRUE")</f>
        <v>TRUE</v>
      </c>
      <c r="L1954" s="13" t="b">
        <f>Github!M$1312</f>
        <v>0</v>
      </c>
      <c r="M1954" s="13" t="b">
        <f>Github!N$1312</f>
        <v>0</v>
      </c>
      <c r="N1954" s="13">
        <f>Github!P$1312</f>
        <v>17347</v>
      </c>
      <c r="O1954" s="13">
        <f>Github!Q$1312</f>
        <v>37765</v>
      </c>
    </row>
    <row r="1955">
      <c r="A1955" s="13">
        <f>Github!J$1229</f>
        <v>1228</v>
      </c>
      <c r="B1955" s="14" t="str">
        <f>HYPERLINK(CONCAT("http://leetcode.com/problems/",Github!C$1229), Github!B$1229)</f>
        <v>Missing Number In Arithmetic Progression</v>
      </c>
      <c r="C1955" s="13">
        <f>Github!F$1229</f>
        <v>269</v>
      </c>
      <c r="D1955" s="13">
        <f>Github!G$1229</f>
        <v>36</v>
      </c>
      <c r="E1955" s="13">
        <f>Github!F$1229+Github!G$1229</f>
        <v>305</v>
      </c>
      <c r="F1955" s="15">
        <f t="shared" si="1"/>
        <v>7.47</v>
      </c>
      <c r="G1955" s="13" t="str">
        <f>ROUND(Github!O$1229, 2)&amp;"%"</f>
        <v>51.44%</v>
      </c>
      <c r="H1955" s="13" t="str">
        <f>Github!H$1229</f>
        <v>Algorithms</v>
      </c>
      <c r="I1955" s="16" t="str">
        <f>SUBSTITUTE(Github!L$1229, ";", ", ")</f>
        <v>Array, Math, </v>
      </c>
      <c r="J1955" s="13" t="str">
        <f>Github!E$1229</f>
        <v>Easy</v>
      </c>
      <c r="K1955" s="13" t="str">
        <f>IF(TRIM(Github!D$1229)="TRUE","FALSE","TRUE")</f>
        <v>FALSE</v>
      </c>
      <c r="L1955" s="13" t="b">
        <f>Github!M$1229</f>
        <v>1</v>
      </c>
      <c r="M1955" s="13" t="b">
        <f>Github!N$1229</f>
        <v>1</v>
      </c>
      <c r="N1955" s="13">
        <f>Github!P$1229</f>
        <v>22844</v>
      </c>
      <c r="O1955" s="13">
        <f>Github!Q$1229</f>
        <v>44408</v>
      </c>
    </row>
    <row r="1956">
      <c r="A1956" s="13">
        <f>Github!J$1512</f>
        <v>1511</v>
      </c>
      <c r="B1956" s="14" t="str">
        <f>HYPERLINK(CONCAT("http://leetcode.com/problems/",Github!C$1512), Github!B$1512)</f>
        <v>Customer Order Frequency</v>
      </c>
      <c r="C1956" s="13">
        <f>Github!F$1512</f>
        <v>269</v>
      </c>
      <c r="D1956" s="13">
        <f>Github!G$1512</f>
        <v>54</v>
      </c>
      <c r="E1956" s="13">
        <f>Github!F$1512+Github!G$1512</f>
        <v>323</v>
      </c>
      <c r="F1956" s="15">
        <f t="shared" si="1"/>
        <v>4.98</v>
      </c>
      <c r="G1956" s="13" t="str">
        <f>ROUND(Github!O$1512, 2)&amp;"%"</f>
        <v>72.77%</v>
      </c>
      <c r="H1956" s="13" t="str">
        <f>Github!H$1512</f>
        <v>Database</v>
      </c>
      <c r="I1956" s="16" t="str">
        <f>SUBSTITUTE(Github!L$1512, ";", ", ")</f>
        <v>Database, </v>
      </c>
      <c r="J1956" s="13" t="str">
        <f>Github!E$1512</f>
        <v>Easy</v>
      </c>
      <c r="K1956" s="13" t="str">
        <f>IF(TRIM(Github!D$1512)="TRUE","FALSE","TRUE")</f>
        <v>FALSE</v>
      </c>
      <c r="L1956" s="13" t="b">
        <f>Github!M$1512</f>
        <v>0</v>
      </c>
      <c r="M1956" s="13" t="b">
        <f>Github!N$1512</f>
        <v>0</v>
      </c>
      <c r="N1956" s="13">
        <f>Github!P$1512</f>
        <v>33486</v>
      </c>
      <c r="O1956" s="13">
        <f>Github!Q$1512</f>
        <v>46016</v>
      </c>
    </row>
    <row r="1957">
      <c r="A1957" s="13">
        <f>Github!J$1074</f>
        <v>1073</v>
      </c>
      <c r="B1957" s="14" t="str">
        <f>HYPERLINK(CONCAT("http://leetcode.com/problems/",Github!C$1074), Github!B$1074)</f>
        <v>Adding Two Negabinary Numbers</v>
      </c>
      <c r="C1957" s="13">
        <f>Github!F$1074</f>
        <v>266</v>
      </c>
      <c r="D1957" s="13">
        <f>Github!G$1074</f>
        <v>100</v>
      </c>
      <c r="E1957" s="13">
        <f>Github!F$1074+Github!G$1074</f>
        <v>366</v>
      </c>
      <c r="F1957" s="15">
        <f t="shared" si="1"/>
        <v>2.66</v>
      </c>
      <c r="G1957" s="13" t="str">
        <f>ROUND(Github!O$1074, 2)&amp;"%"</f>
        <v>36.38%</v>
      </c>
      <c r="H1957" s="13" t="str">
        <f>Github!H$1074</f>
        <v>Algorithms</v>
      </c>
      <c r="I1957" s="16" t="str">
        <f>SUBSTITUTE(Github!L$1074, ";", ", ")</f>
        <v>Array, Math, </v>
      </c>
      <c r="J1957" s="13" t="str">
        <f>Github!E$1074</f>
        <v>Medium</v>
      </c>
      <c r="K1957" s="13" t="str">
        <f>IF(TRIM(Github!D$1074)="TRUE","FALSE","TRUE")</f>
        <v>TRUE</v>
      </c>
      <c r="L1957" s="13" t="b">
        <f>Github!M$1074</f>
        <v>0</v>
      </c>
      <c r="M1957" s="13" t="b">
        <f>Github!N$1074</f>
        <v>0</v>
      </c>
      <c r="N1957" s="13">
        <f>Github!P$1074</f>
        <v>14542</v>
      </c>
      <c r="O1957" s="13">
        <f>Github!Q$1074</f>
        <v>39978</v>
      </c>
    </row>
    <row r="1958">
      <c r="A1958" s="13">
        <f>Github!J$1402</f>
        <v>1401</v>
      </c>
      <c r="B1958" s="14" t="str">
        <f>HYPERLINK(CONCAT("http://leetcode.com/problems/",Github!C$1402), Github!B$1402)</f>
        <v>Circle and Rectangle Overlapping</v>
      </c>
      <c r="C1958" s="13">
        <f>Github!F$1402</f>
        <v>265</v>
      </c>
      <c r="D1958" s="13">
        <f>Github!G$1402</f>
        <v>60</v>
      </c>
      <c r="E1958" s="13">
        <f>Github!F$1402+Github!G$1402</f>
        <v>325</v>
      </c>
      <c r="F1958" s="15">
        <f t="shared" si="1"/>
        <v>4.42</v>
      </c>
      <c r="G1958" s="13" t="str">
        <f>ROUND(Github!O$1402, 2)&amp;"%"</f>
        <v>44.2%</v>
      </c>
      <c r="H1958" s="13" t="str">
        <f>Github!H$1402</f>
        <v>Algorithms</v>
      </c>
      <c r="I1958" s="16" t="str">
        <f>SUBSTITUTE(Github!L$1402, ";", ", ")</f>
        <v>Math, Geometry, </v>
      </c>
      <c r="J1958" s="13" t="str">
        <f>Github!E$1402</f>
        <v>Medium</v>
      </c>
      <c r="K1958" s="13" t="str">
        <f>IF(TRIM(Github!D$1402)="TRUE","FALSE","TRUE")</f>
        <v>TRUE</v>
      </c>
      <c r="L1958" s="13" t="b">
        <f>Github!M$1402</f>
        <v>0</v>
      </c>
      <c r="M1958" s="13" t="b">
        <f>Github!N$1402</f>
        <v>0</v>
      </c>
      <c r="N1958" s="13">
        <f>Github!P$1402</f>
        <v>11211</v>
      </c>
      <c r="O1958" s="13">
        <f>Github!Q$1402</f>
        <v>25364</v>
      </c>
    </row>
    <row r="1959">
      <c r="A1959" s="13">
        <f>Github!J$1807</f>
        <v>1806</v>
      </c>
      <c r="B1959" s="14" t="str">
        <f>HYPERLINK(CONCAT("http://leetcode.com/problems/",Github!C$1807), Github!B$1807)</f>
        <v>Minimum Number of Operations to Reinitialize a Permutation</v>
      </c>
      <c r="C1959" s="13">
        <f>Github!F$1807</f>
        <v>265</v>
      </c>
      <c r="D1959" s="13">
        <f>Github!G$1807</f>
        <v>142</v>
      </c>
      <c r="E1959" s="13">
        <f>Github!F$1807+Github!G$1807</f>
        <v>407</v>
      </c>
      <c r="F1959" s="15">
        <f t="shared" si="1"/>
        <v>1.87</v>
      </c>
      <c r="G1959" s="13" t="str">
        <f>ROUND(Github!O$1807, 2)&amp;"%"</f>
        <v>71.67%</v>
      </c>
      <c r="H1959" s="13" t="str">
        <f>Github!H$1807</f>
        <v>Algorithms</v>
      </c>
      <c r="I1959" s="16" t="str">
        <f>SUBSTITUTE(Github!L$1807, ";", ", ")</f>
        <v>Array, Math, Simulation, </v>
      </c>
      <c r="J1959" s="13" t="str">
        <f>Github!E$1807</f>
        <v>Medium</v>
      </c>
      <c r="K1959" s="13" t="str">
        <f>IF(TRIM(Github!D$1807)="TRUE","FALSE","TRUE")</f>
        <v>TRUE</v>
      </c>
      <c r="L1959" s="13" t="b">
        <f>Github!M$1807</f>
        <v>0</v>
      </c>
      <c r="M1959" s="13" t="b">
        <f>Github!N$1807</f>
        <v>0</v>
      </c>
      <c r="N1959" s="13">
        <f>Github!P$1807</f>
        <v>15069</v>
      </c>
      <c r="O1959" s="13">
        <f>Github!Q$1807</f>
        <v>21026</v>
      </c>
    </row>
    <row r="1960">
      <c r="A1960" s="13">
        <f>Github!J$2058</f>
        <v>2057</v>
      </c>
      <c r="B1960" s="14" t="str">
        <f>HYPERLINK(CONCAT("http://leetcode.com/problems/",Github!C$2058), Github!B$2058)</f>
        <v>Smallest Index With Equal Value</v>
      </c>
      <c r="C1960" s="13">
        <f>Github!F$2058</f>
        <v>273</v>
      </c>
      <c r="D1960" s="13">
        <f>Github!G$2058</f>
        <v>96</v>
      </c>
      <c r="E1960" s="13">
        <f>Github!F$2058+Github!G$2058</f>
        <v>369</v>
      </c>
      <c r="F1960" s="15">
        <f t="shared" si="1"/>
        <v>2.84</v>
      </c>
      <c r="G1960" s="13" t="str">
        <f>ROUND(Github!O$2058, 2)&amp;"%"</f>
        <v>71.38%</v>
      </c>
      <c r="H1960" s="13" t="str">
        <f>Github!H$2058</f>
        <v>Algorithms</v>
      </c>
      <c r="I1960" s="16" t="str">
        <f>SUBSTITUTE(Github!L$2058, ";", ", ")</f>
        <v>Array, </v>
      </c>
      <c r="J1960" s="13" t="str">
        <f>Github!E$2058</f>
        <v>Easy</v>
      </c>
      <c r="K1960" s="13" t="str">
        <f>IF(TRIM(Github!D$2058)="TRUE","FALSE","TRUE")</f>
        <v>TRUE</v>
      </c>
      <c r="L1960" s="13" t="b">
        <f>Github!M$2058</f>
        <v>0</v>
      </c>
      <c r="M1960" s="13" t="b">
        <f>Github!N$2058</f>
        <v>0</v>
      </c>
      <c r="N1960" s="13">
        <f>Github!P$2058</f>
        <v>36979</v>
      </c>
      <c r="O1960" s="13">
        <f>Github!Q$2058</f>
        <v>51807</v>
      </c>
    </row>
    <row r="1961">
      <c r="A1961" s="13">
        <f>Github!J$572</f>
        <v>571</v>
      </c>
      <c r="B1961" s="14" t="str">
        <f>HYPERLINK(CONCAT("http://leetcode.com/problems/",Github!C$572), Github!B$572)</f>
        <v>Find Median Given Frequency of Numbers</v>
      </c>
      <c r="C1961" s="13">
        <f>Github!F$572</f>
        <v>263</v>
      </c>
      <c r="D1961" s="13">
        <f>Github!G$572</f>
        <v>71</v>
      </c>
      <c r="E1961" s="13">
        <f>Github!F$572+Github!G$572</f>
        <v>334</v>
      </c>
      <c r="F1961" s="15">
        <f t="shared" si="1"/>
        <v>3.7</v>
      </c>
      <c r="G1961" s="13" t="str">
        <f>ROUND(Github!O$572, 2)&amp;"%"</f>
        <v>44.41%</v>
      </c>
      <c r="H1961" s="13" t="str">
        <f>Github!H$572</f>
        <v>Database</v>
      </c>
      <c r="I1961" s="16" t="str">
        <f>SUBSTITUTE(Github!L$572, ";", ", ")</f>
        <v>Database, </v>
      </c>
      <c r="J1961" s="13" t="str">
        <f>Github!E$572</f>
        <v>Hard</v>
      </c>
      <c r="K1961" s="13" t="str">
        <f>IF(TRIM(Github!D$572)="TRUE","FALSE","TRUE")</f>
        <v>FALSE</v>
      </c>
      <c r="L1961" s="13" t="b">
        <f>Github!M$572</f>
        <v>0</v>
      </c>
      <c r="M1961" s="13" t="b">
        <f>Github!N$572</f>
        <v>0</v>
      </c>
      <c r="N1961" s="13">
        <f>Github!P$572</f>
        <v>23262</v>
      </c>
      <c r="O1961" s="13">
        <f>Github!Q$572</f>
        <v>52381</v>
      </c>
    </row>
    <row r="1962">
      <c r="A1962" s="13">
        <f>Github!J$1213</f>
        <v>1212</v>
      </c>
      <c r="B1962" s="14" t="str">
        <f>HYPERLINK(CONCAT("http://leetcode.com/problems/",Github!C$1213), Github!B$1213)</f>
        <v>Team Scores in Football Tournament</v>
      </c>
      <c r="C1962" s="13">
        <f>Github!F$1213</f>
        <v>264</v>
      </c>
      <c r="D1962" s="13">
        <f>Github!G$1213</f>
        <v>22</v>
      </c>
      <c r="E1962" s="13">
        <f>Github!F$1213+Github!G$1213</f>
        <v>286</v>
      </c>
      <c r="F1962" s="15">
        <f t="shared" si="1"/>
        <v>12</v>
      </c>
      <c r="G1962" s="13" t="str">
        <f>ROUND(Github!O$1213, 2)&amp;"%"</f>
        <v>57.53%</v>
      </c>
      <c r="H1962" s="13" t="str">
        <f>Github!H$1213</f>
        <v>Database</v>
      </c>
      <c r="I1962" s="16" t="str">
        <f>SUBSTITUTE(Github!L$1213, ";", ", ")</f>
        <v>Database, </v>
      </c>
      <c r="J1962" s="13" t="str">
        <f>Github!E$1213</f>
        <v>Medium</v>
      </c>
      <c r="K1962" s="13" t="str">
        <f>IF(TRIM(Github!D$1213)="TRUE","FALSE","TRUE")</f>
        <v>FALSE</v>
      </c>
      <c r="L1962" s="13" t="b">
        <f>Github!M$1213</f>
        <v>0</v>
      </c>
      <c r="M1962" s="13" t="b">
        <f>Github!N$1213</f>
        <v>0</v>
      </c>
      <c r="N1962" s="13">
        <f>Github!P$1213</f>
        <v>29428</v>
      </c>
      <c r="O1962" s="13">
        <f>Github!Q$1213</f>
        <v>51154</v>
      </c>
    </row>
    <row r="1963">
      <c r="A1963" s="13">
        <f>Github!J$1231</f>
        <v>1230</v>
      </c>
      <c r="B1963" s="14" t="str">
        <f>HYPERLINK(CONCAT("http://leetcode.com/problems/",Github!C$1231), Github!B$1231)</f>
        <v>Toss Strange Coins</v>
      </c>
      <c r="C1963" s="13">
        <f>Github!F$1231</f>
        <v>261</v>
      </c>
      <c r="D1963" s="13">
        <f>Github!G$1231</f>
        <v>30</v>
      </c>
      <c r="E1963" s="13">
        <f>Github!F$1231+Github!G$1231</f>
        <v>291</v>
      </c>
      <c r="F1963" s="15">
        <f t="shared" si="1"/>
        <v>8.7</v>
      </c>
      <c r="G1963" s="13" t="str">
        <f>ROUND(Github!O$1231, 2)&amp;"%"</f>
        <v>53.65%</v>
      </c>
      <c r="H1963" s="13" t="str">
        <f>Github!H$1231</f>
        <v>Algorithms</v>
      </c>
      <c r="I1963" s="16" t="str">
        <f>SUBSTITUTE(Github!L$1231, ";", ", ")</f>
        <v>Math, Dynamic Programming, Probability and Statistics, </v>
      </c>
      <c r="J1963" s="13" t="str">
        <f>Github!E$1231</f>
        <v>Medium</v>
      </c>
      <c r="K1963" s="13" t="str">
        <f>IF(TRIM(Github!D$1231)="TRUE","FALSE","TRUE")</f>
        <v>FALSE</v>
      </c>
      <c r="L1963" s="13" t="b">
        <f>Github!M$1231</f>
        <v>0</v>
      </c>
      <c r="M1963" s="13" t="b">
        <f>Github!N$1231</f>
        <v>0</v>
      </c>
      <c r="N1963" s="13">
        <f>Github!P$1231</f>
        <v>12066</v>
      </c>
      <c r="O1963" s="13">
        <f>Github!Q$1231</f>
        <v>22492</v>
      </c>
    </row>
    <row r="1964">
      <c r="A1964" s="13">
        <f>Github!J$1884</f>
        <v>1883</v>
      </c>
      <c r="B1964" s="14" t="str">
        <f>HYPERLINK(CONCAT("http://leetcode.com/problems/",Github!C$1884), Github!B$1884)</f>
        <v>Minimum Skips to Arrive at Meeting On Time</v>
      </c>
      <c r="C1964" s="13">
        <f>Github!F$1884</f>
        <v>265</v>
      </c>
      <c r="D1964" s="13">
        <f>Github!G$1884</f>
        <v>44</v>
      </c>
      <c r="E1964" s="13">
        <f>Github!F$1884+Github!G$1884</f>
        <v>309</v>
      </c>
      <c r="F1964" s="15">
        <f t="shared" si="1"/>
        <v>6.02</v>
      </c>
      <c r="G1964" s="13" t="str">
        <f>ROUND(Github!O$1884, 2)&amp;"%"</f>
        <v>38.42%</v>
      </c>
      <c r="H1964" s="13" t="str">
        <f>Github!H$1884</f>
        <v>Algorithms</v>
      </c>
      <c r="I1964" s="16" t="str">
        <f>SUBSTITUTE(Github!L$1884, ";", ", ")</f>
        <v>Array, Dynamic Programming, </v>
      </c>
      <c r="J1964" s="13" t="str">
        <f>Github!E$1884</f>
        <v>Hard</v>
      </c>
      <c r="K1964" s="13" t="str">
        <f>IF(TRIM(Github!D$1884)="TRUE","FALSE","TRUE")</f>
        <v>TRUE</v>
      </c>
      <c r="L1964" s="13" t="b">
        <f>Github!M$1884</f>
        <v>0</v>
      </c>
      <c r="M1964" s="13" t="b">
        <f>Github!N$1884</f>
        <v>0</v>
      </c>
      <c r="N1964" s="13">
        <f>Github!P$1884</f>
        <v>5351</v>
      </c>
      <c r="O1964" s="13">
        <f>Github!Q$1884</f>
        <v>13926</v>
      </c>
    </row>
    <row r="1965">
      <c r="A1965" s="13">
        <f>Github!J$1602</f>
        <v>1601</v>
      </c>
      <c r="B1965" s="14" t="str">
        <f>HYPERLINK(CONCAT("http://leetcode.com/problems/",Github!C$1602), Github!B$1602)</f>
        <v>Maximum Number of Achievable Transfer Requests</v>
      </c>
      <c r="C1965" s="13">
        <f>Github!F$1602</f>
        <v>262</v>
      </c>
      <c r="D1965" s="13">
        <f>Github!G$1602</f>
        <v>28</v>
      </c>
      <c r="E1965" s="13">
        <f>Github!F$1602+Github!G$1602</f>
        <v>290</v>
      </c>
      <c r="F1965" s="15">
        <f t="shared" si="1"/>
        <v>9.36</v>
      </c>
      <c r="G1965" s="13" t="str">
        <f>ROUND(Github!O$1602, 2)&amp;"%"</f>
        <v>51.16%</v>
      </c>
      <c r="H1965" s="13" t="str">
        <f>Github!H$1602</f>
        <v>Algorithms</v>
      </c>
      <c r="I1965" s="16" t="str">
        <f>SUBSTITUTE(Github!L$1602, ";", ", ")</f>
        <v>Array, Backtracking, Bit Manipulation, Enumeration, </v>
      </c>
      <c r="J1965" s="13" t="str">
        <f>Github!E$1602</f>
        <v>Hard</v>
      </c>
      <c r="K1965" s="13" t="str">
        <f>IF(TRIM(Github!D$1602)="TRUE","FALSE","TRUE")</f>
        <v>TRUE</v>
      </c>
      <c r="L1965" s="13" t="b">
        <f>Github!M$1602</f>
        <v>0</v>
      </c>
      <c r="M1965" s="13" t="b">
        <f>Github!N$1602</f>
        <v>0</v>
      </c>
      <c r="N1965" s="13">
        <f>Github!P$1602</f>
        <v>8982</v>
      </c>
      <c r="O1965" s="13">
        <f>Github!Q$1602</f>
        <v>17556</v>
      </c>
    </row>
    <row r="1966">
      <c r="A1966" s="13">
        <f>Github!J$1277</f>
        <v>1276</v>
      </c>
      <c r="B1966" s="14" t="str">
        <f>HYPERLINK(CONCAT("http://leetcode.com/problems/",Github!C$1277), Github!B$1277)</f>
        <v>Number of Burgers with No Waste of Ingredients</v>
      </c>
      <c r="C1966" s="13">
        <f>Github!F$1277</f>
        <v>262</v>
      </c>
      <c r="D1966" s="13">
        <f>Github!G$1277</f>
        <v>210</v>
      </c>
      <c r="E1966" s="13">
        <f>Github!F$1277+Github!G$1277</f>
        <v>472</v>
      </c>
      <c r="F1966" s="15">
        <f t="shared" si="1"/>
        <v>1.25</v>
      </c>
      <c r="G1966" s="13" t="str">
        <f>ROUND(Github!O$1277, 2)&amp;"%"</f>
        <v>50.67%</v>
      </c>
      <c r="H1966" s="13" t="str">
        <f>Github!H$1277</f>
        <v>Algorithms</v>
      </c>
      <c r="I1966" s="16" t="str">
        <f>SUBSTITUTE(Github!L$1277, ";", ", ")</f>
        <v>Math, </v>
      </c>
      <c r="J1966" s="13" t="str">
        <f>Github!E$1277</f>
        <v>Medium</v>
      </c>
      <c r="K1966" s="13" t="str">
        <f>IF(TRIM(Github!D$1277)="TRUE","FALSE","TRUE")</f>
        <v>TRUE</v>
      </c>
      <c r="L1966" s="13" t="b">
        <f>Github!M$1277</f>
        <v>0</v>
      </c>
      <c r="M1966" s="13" t="b">
        <f>Github!N$1277</f>
        <v>0</v>
      </c>
      <c r="N1966" s="13">
        <f>Github!P$1277</f>
        <v>20585</v>
      </c>
      <c r="O1966" s="13">
        <f>Github!Q$1277</f>
        <v>40625</v>
      </c>
    </row>
    <row r="1967">
      <c r="A1967" s="13">
        <f>Github!J$1066</f>
        <v>1065</v>
      </c>
      <c r="B1967" s="14" t="str">
        <f>HYPERLINK(CONCAT("http://leetcode.com/problems/",Github!C$1066), Github!B$1066)</f>
        <v>Index Pairs of a String</v>
      </c>
      <c r="C1967" s="13">
        <f>Github!F$1066</f>
        <v>261</v>
      </c>
      <c r="D1967" s="13">
        <f>Github!G$1066</f>
        <v>85</v>
      </c>
      <c r="E1967" s="13">
        <f>Github!F$1066+Github!G$1066</f>
        <v>346</v>
      </c>
      <c r="F1967" s="15">
        <f t="shared" si="1"/>
        <v>3.07</v>
      </c>
      <c r="G1967" s="13" t="str">
        <f>ROUND(Github!O$1066, 2)&amp;"%"</f>
        <v>63.32%</v>
      </c>
      <c r="H1967" s="13" t="str">
        <f>Github!H$1066</f>
        <v>Algorithms</v>
      </c>
      <c r="I1967" s="16" t="str">
        <f>SUBSTITUTE(Github!L$1066, ";", ", ")</f>
        <v>Array, String, Trie, Sorting, </v>
      </c>
      <c r="J1967" s="13" t="str">
        <f>Github!E$1066</f>
        <v>Easy</v>
      </c>
      <c r="K1967" s="13" t="str">
        <f>IF(TRIM(Github!D$1066)="TRUE","FALSE","TRUE")</f>
        <v>FALSE</v>
      </c>
      <c r="L1967" s="13" t="b">
        <f>Github!M$1066</f>
        <v>0</v>
      </c>
      <c r="M1967" s="13" t="b">
        <f>Github!N$1066</f>
        <v>0</v>
      </c>
      <c r="N1967" s="13">
        <f>Github!P$1066</f>
        <v>20041</v>
      </c>
      <c r="O1967" s="13">
        <f>Github!Q$1066</f>
        <v>31648</v>
      </c>
    </row>
    <row r="1968">
      <c r="A1968" s="13">
        <f>Github!J$1762</f>
        <v>1761</v>
      </c>
      <c r="B1968" s="14" t="str">
        <f>HYPERLINK(CONCAT("http://leetcode.com/problems/",Github!C$1762), Github!B$1762)</f>
        <v>Minimum Degree of a Connected Trio in a Graph</v>
      </c>
      <c r="C1968" s="13">
        <f>Github!F$1762</f>
        <v>262</v>
      </c>
      <c r="D1968" s="13">
        <f>Github!G$1762</f>
        <v>260</v>
      </c>
      <c r="E1968" s="13">
        <f>Github!F$1762+Github!G$1762</f>
        <v>522</v>
      </c>
      <c r="F1968" s="15">
        <f t="shared" si="1"/>
        <v>1.01</v>
      </c>
      <c r="G1968" s="13" t="str">
        <f>ROUND(Github!O$1762, 2)&amp;"%"</f>
        <v>41.55%</v>
      </c>
      <c r="H1968" s="13" t="str">
        <f>Github!H$1762</f>
        <v>Algorithms</v>
      </c>
      <c r="I1968" s="16" t="str">
        <f>SUBSTITUTE(Github!L$1762, ";", ", ")</f>
        <v>Graph, </v>
      </c>
      <c r="J1968" s="13" t="str">
        <f>Github!E$1762</f>
        <v>Hard</v>
      </c>
      <c r="K1968" s="13" t="str">
        <f>IF(TRIM(Github!D$1762)="TRUE","FALSE","TRUE")</f>
        <v>TRUE</v>
      </c>
      <c r="L1968" s="13" t="b">
        <f>Github!M$1762</f>
        <v>0</v>
      </c>
      <c r="M1968" s="13" t="b">
        <f>Github!N$1762</f>
        <v>0</v>
      </c>
      <c r="N1968" s="13">
        <f>Github!P$1762</f>
        <v>18948</v>
      </c>
      <c r="O1968" s="13">
        <f>Github!Q$1762</f>
        <v>45606</v>
      </c>
    </row>
    <row r="1969">
      <c r="A1969" s="13">
        <f>Github!J$1361</f>
        <v>1360</v>
      </c>
      <c r="B1969" s="14" t="str">
        <f>HYPERLINK(CONCAT("http://leetcode.com/problems/",Github!C$1361), Github!B$1361)</f>
        <v>Number of Days Between Two Dates</v>
      </c>
      <c r="C1969" s="13">
        <f>Github!F$1361</f>
        <v>258</v>
      </c>
      <c r="D1969" s="13">
        <f>Github!G$1361</f>
        <v>1016</v>
      </c>
      <c r="E1969" s="13">
        <f>Github!F$1361+Github!G$1361</f>
        <v>1274</v>
      </c>
      <c r="F1969" s="15">
        <f t="shared" si="1"/>
        <v>0.25</v>
      </c>
      <c r="G1969" s="13" t="str">
        <f>ROUND(Github!O$1361, 2)&amp;"%"</f>
        <v>47.73%</v>
      </c>
      <c r="H1969" s="13" t="str">
        <f>Github!H$1361</f>
        <v>Algorithms</v>
      </c>
      <c r="I1969" s="16" t="str">
        <f>SUBSTITUTE(Github!L$1361, ";", ", ")</f>
        <v>Math, String, </v>
      </c>
      <c r="J1969" s="13" t="str">
        <f>Github!E$1361</f>
        <v>Easy</v>
      </c>
      <c r="K1969" s="13" t="str">
        <f>IF(TRIM(Github!D$1361)="TRUE","FALSE","TRUE")</f>
        <v>TRUE</v>
      </c>
      <c r="L1969" s="13" t="b">
        <f>Github!M$1361</f>
        <v>0</v>
      </c>
      <c r="M1969" s="13" t="b">
        <f>Github!N$1361</f>
        <v>0</v>
      </c>
      <c r="N1969" s="13">
        <f>Github!P$1361</f>
        <v>37233</v>
      </c>
      <c r="O1969" s="13">
        <f>Github!Q$1361</f>
        <v>78003</v>
      </c>
    </row>
    <row r="1970">
      <c r="A1970" s="13">
        <f>Github!J$2089</f>
        <v>2088</v>
      </c>
      <c r="B1970" s="14" t="str">
        <f>HYPERLINK(CONCAT("http://leetcode.com/problems/",Github!C$2089), Github!B$2089)</f>
        <v>Count Fertile Pyramids in a Land</v>
      </c>
      <c r="C1970" s="13">
        <f>Github!F$2089</f>
        <v>260</v>
      </c>
      <c r="D1970" s="13">
        <f>Github!G$2089</f>
        <v>8</v>
      </c>
      <c r="E1970" s="13">
        <f>Github!F$2089+Github!G$2089</f>
        <v>268</v>
      </c>
      <c r="F1970" s="15">
        <f t="shared" si="1"/>
        <v>32.5</v>
      </c>
      <c r="G1970" s="13" t="str">
        <f>ROUND(Github!O$2089, 2)&amp;"%"</f>
        <v>63.58%</v>
      </c>
      <c r="H1970" s="13" t="str">
        <f>Github!H$2089</f>
        <v>Algorithms</v>
      </c>
      <c r="I1970" s="16" t="str">
        <f>SUBSTITUTE(Github!L$2089, ";", ", ")</f>
        <v>Array, Dynamic Programming, Matrix, </v>
      </c>
      <c r="J1970" s="13" t="str">
        <f>Github!E$2089</f>
        <v>Hard</v>
      </c>
      <c r="K1970" s="13" t="str">
        <f>IF(TRIM(Github!D$2089)="TRUE","FALSE","TRUE")</f>
        <v>TRUE</v>
      </c>
      <c r="L1970" s="13" t="b">
        <f>Github!M$2089</f>
        <v>0</v>
      </c>
      <c r="M1970" s="13" t="b">
        <f>Github!N$2089</f>
        <v>0</v>
      </c>
      <c r="N1970" s="13">
        <f>Github!P$2089</f>
        <v>5436</v>
      </c>
      <c r="O1970" s="13">
        <f>Github!Q$2089</f>
        <v>8550</v>
      </c>
    </row>
    <row r="1971">
      <c r="A1971" s="13">
        <f>Github!J$1226</f>
        <v>1225</v>
      </c>
      <c r="B1971" s="14" t="str">
        <f>HYPERLINK(CONCAT("http://leetcode.com/problems/",Github!C$1226), Github!B$1226)</f>
        <v>Report Contiguous Dates</v>
      </c>
      <c r="C1971" s="13">
        <f>Github!F$1226</f>
        <v>259</v>
      </c>
      <c r="D1971" s="13">
        <f>Github!G$1226</f>
        <v>20</v>
      </c>
      <c r="E1971" s="13">
        <f>Github!F$1226+Github!G$1226</f>
        <v>279</v>
      </c>
      <c r="F1971" s="15">
        <f t="shared" si="1"/>
        <v>12.95</v>
      </c>
      <c r="G1971" s="13" t="str">
        <f>ROUND(Github!O$1226, 2)&amp;"%"</f>
        <v>63.03%</v>
      </c>
      <c r="H1971" s="13" t="str">
        <f>Github!H$1226</f>
        <v>Database</v>
      </c>
      <c r="I1971" s="16" t="str">
        <f>SUBSTITUTE(Github!L$1226, ";", ", ")</f>
        <v>Database, </v>
      </c>
      <c r="J1971" s="13" t="str">
        <f>Github!E$1226</f>
        <v>Hard</v>
      </c>
      <c r="K1971" s="13" t="str">
        <f>IF(TRIM(Github!D$1226)="TRUE","FALSE","TRUE")</f>
        <v>FALSE</v>
      </c>
      <c r="L1971" s="13" t="b">
        <f>Github!M$1226</f>
        <v>0</v>
      </c>
      <c r="M1971" s="13" t="b">
        <f>Github!N$1226</f>
        <v>0</v>
      </c>
      <c r="N1971" s="13">
        <f>Github!P$1226</f>
        <v>16860</v>
      </c>
      <c r="O1971" s="13">
        <f>Github!Q$1226</f>
        <v>26748</v>
      </c>
    </row>
    <row r="1972">
      <c r="A1972" s="13">
        <f>Github!J$1695</f>
        <v>1694</v>
      </c>
      <c r="B1972" s="14" t="str">
        <f>HYPERLINK(CONCAT("http://leetcode.com/problems/",Github!C$1695), Github!B$1695)</f>
        <v>Reformat Phone Number</v>
      </c>
      <c r="C1972" s="13">
        <f>Github!F$1695</f>
        <v>259</v>
      </c>
      <c r="D1972" s="13">
        <f>Github!G$1695</f>
        <v>180</v>
      </c>
      <c r="E1972" s="13">
        <f>Github!F$1695+Github!G$1695</f>
        <v>439</v>
      </c>
      <c r="F1972" s="15">
        <f t="shared" si="1"/>
        <v>1.44</v>
      </c>
      <c r="G1972" s="13" t="str">
        <f>ROUND(Github!O$1695, 2)&amp;"%"</f>
        <v>65.05%</v>
      </c>
      <c r="H1972" s="13" t="str">
        <f>Github!H$1695</f>
        <v>Algorithms</v>
      </c>
      <c r="I1972" s="16" t="str">
        <f>SUBSTITUTE(Github!L$1695, ";", ", ")</f>
        <v>String, </v>
      </c>
      <c r="J1972" s="13" t="str">
        <f>Github!E$1695</f>
        <v>Easy</v>
      </c>
      <c r="K1972" s="13" t="str">
        <f>IF(TRIM(Github!D$1695)="TRUE","FALSE","TRUE")</f>
        <v>TRUE</v>
      </c>
      <c r="L1972" s="13" t="b">
        <f>Github!M$1695</f>
        <v>0</v>
      </c>
      <c r="M1972" s="13" t="b">
        <f>Github!N$1695</f>
        <v>0</v>
      </c>
      <c r="N1972" s="13">
        <f>Github!P$1695</f>
        <v>29178</v>
      </c>
      <c r="O1972" s="13">
        <f>Github!Q$1695</f>
        <v>44850</v>
      </c>
    </row>
    <row r="1973">
      <c r="A1973" s="13">
        <f>Github!J$1765</f>
        <v>1764</v>
      </c>
      <c r="B1973" s="14" t="str">
        <f>HYPERLINK(CONCAT("http://leetcode.com/problems/",Github!C$1765), Github!B$1765)</f>
        <v>Form Array by Concatenating Subarrays of Another Array</v>
      </c>
      <c r="C1973" s="13">
        <f>Github!F$1765</f>
        <v>258</v>
      </c>
      <c r="D1973" s="13">
        <f>Github!G$1765</f>
        <v>33</v>
      </c>
      <c r="E1973" s="13">
        <f>Github!F$1765+Github!G$1765</f>
        <v>291</v>
      </c>
      <c r="F1973" s="15">
        <f t="shared" si="1"/>
        <v>7.82</v>
      </c>
      <c r="G1973" s="13" t="str">
        <f>ROUND(Github!O$1765, 2)&amp;"%"</f>
        <v>52.88%</v>
      </c>
      <c r="H1973" s="13" t="str">
        <f>Github!H$1765</f>
        <v>Algorithms</v>
      </c>
      <c r="I1973" s="16" t="str">
        <f>SUBSTITUTE(Github!L$1765, ";", ", ")</f>
        <v>Array, Greedy, String Matching, </v>
      </c>
      <c r="J1973" s="13" t="str">
        <f>Github!E$1765</f>
        <v>Medium</v>
      </c>
      <c r="K1973" s="13" t="str">
        <f>IF(TRIM(Github!D$1765)="TRUE","FALSE","TRUE")</f>
        <v>TRUE</v>
      </c>
      <c r="L1973" s="13" t="b">
        <f>Github!M$1765</f>
        <v>0</v>
      </c>
      <c r="M1973" s="13" t="b">
        <f>Github!N$1765</f>
        <v>0</v>
      </c>
      <c r="N1973" s="13">
        <f>Github!P$1765</f>
        <v>12122</v>
      </c>
      <c r="O1973" s="13">
        <f>Github!Q$1765</f>
        <v>22923</v>
      </c>
    </row>
    <row r="1974">
      <c r="A1974" s="13">
        <f>Github!J$1142</f>
        <v>1141</v>
      </c>
      <c r="B1974" s="14" t="str">
        <f>HYPERLINK(CONCAT("http://leetcode.com/problems/",Github!C$1142), Github!B$1142)</f>
        <v>User Activity for the Past 30 Days I</v>
      </c>
      <c r="C1974" s="13">
        <f>Github!F$1142</f>
        <v>261</v>
      </c>
      <c r="D1974" s="13">
        <f>Github!G$1142</f>
        <v>394</v>
      </c>
      <c r="E1974" s="13">
        <f>Github!F$1142+Github!G$1142</f>
        <v>655</v>
      </c>
      <c r="F1974" s="15">
        <f t="shared" si="1"/>
        <v>0.66</v>
      </c>
      <c r="G1974" s="13" t="str">
        <f>ROUND(Github!O$1142, 2)&amp;"%"</f>
        <v>49.54%</v>
      </c>
      <c r="H1974" s="13" t="str">
        <f>Github!H$1142</f>
        <v>Database</v>
      </c>
      <c r="I1974" s="16" t="str">
        <f>SUBSTITUTE(Github!L$1142, ";", ", ")</f>
        <v>Database, </v>
      </c>
      <c r="J1974" s="13" t="str">
        <f>Github!E$1142</f>
        <v>Easy</v>
      </c>
      <c r="K1974" s="13" t="str">
        <f>IF(TRIM(Github!D$1142)="TRUE","FALSE","TRUE")</f>
        <v>TRUE</v>
      </c>
      <c r="L1974" s="13" t="b">
        <f>Github!M$1142</f>
        <v>0</v>
      </c>
      <c r="M1974" s="13" t="b">
        <f>Github!N$1142</f>
        <v>0</v>
      </c>
      <c r="N1974" s="13">
        <f>Github!P$1142</f>
        <v>77454</v>
      </c>
      <c r="O1974" s="13">
        <f>Github!Q$1142</f>
        <v>156362</v>
      </c>
    </row>
    <row r="1975">
      <c r="A1975" s="13">
        <f>Github!J$1007</f>
        <v>1006</v>
      </c>
      <c r="B1975" s="14" t="str">
        <f>HYPERLINK(CONCAT("http://leetcode.com/problems/",Github!C$1007), Github!B$1007)</f>
        <v>Clumsy Factorial</v>
      </c>
      <c r="C1975" s="13">
        <f>Github!F$1007</f>
        <v>256</v>
      </c>
      <c r="D1975" s="13">
        <f>Github!G$1007</f>
        <v>279</v>
      </c>
      <c r="E1975" s="13">
        <f>Github!F$1007+Github!G$1007</f>
        <v>535</v>
      </c>
      <c r="F1975" s="15">
        <f t="shared" si="1"/>
        <v>0.92</v>
      </c>
      <c r="G1975" s="13" t="str">
        <f>ROUND(Github!O$1007, 2)&amp;"%"</f>
        <v>55.12%</v>
      </c>
      <c r="H1975" s="13" t="str">
        <f>Github!H$1007</f>
        <v>Algorithms</v>
      </c>
      <c r="I1975" s="16" t="str">
        <f>SUBSTITUTE(Github!L$1007, ";", ", ")</f>
        <v>Math, Stack, Simulation, </v>
      </c>
      <c r="J1975" s="13" t="str">
        <f>Github!E$1007</f>
        <v>Medium</v>
      </c>
      <c r="K1975" s="13" t="str">
        <f>IF(TRIM(Github!D$1007)="TRUE","FALSE","TRUE")</f>
        <v>TRUE</v>
      </c>
      <c r="L1975" s="13" t="b">
        <f>Github!M$1007</f>
        <v>0</v>
      </c>
      <c r="M1975" s="13" t="b">
        <f>Github!N$1007</f>
        <v>0</v>
      </c>
      <c r="N1975" s="13">
        <f>Github!P$1007</f>
        <v>23366</v>
      </c>
      <c r="O1975" s="13">
        <f>Github!Q$1007</f>
        <v>42390</v>
      </c>
    </row>
    <row r="1976">
      <c r="A1976" s="13">
        <f>Github!J$1334</f>
        <v>1333</v>
      </c>
      <c r="B1976" s="14" t="str">
        <f>HYPERLINK(CONCAT("http://leetcode.com/problems/",Github!C$1334), Github!B$1334)</f>
        <v>Filter Restaurants by Vegan-Friendly, Price and Distance</v>
      </c>
      <c r="C1976" s="13">
        <f>Github!F$1334</f>
        <v>256</v>
      </c>
      <c r="D1976" s="13">
        <f>Github!G$1334</f>
        <v>196</v>
      </c>
      <c r="E1976" s="13">
        <f>Github!F$1334+Github!G$1334</f>
        <v>452</v>
      </c>
      <c r="F1976" s="15">
        <f t="shared" si="1"/>
        <v>1.31</v>
      </c>
      <c r="G1976" s="13" t="str">
        <f>ROUND(Github!O$1334, 2)&amp;"%"</f>
        <v>59.75%</v>
      </c>
      <c r="H1976" s="13" t="str">
        <f>Github!H$1334</f>
        <v>Algorithms</v>
      </c>
      <c r="I1976" s="16" t="str">
        <f>SUBSTITUTE(Github!L$1334, ";", ", ")</f>
        <v>Array, Sorting, </v>
      </c>
      <c r="J1976" s="13" t="str">
        <f>Github!E$1334</f>
        <v>Medium</v>
      </c>
      <c r="K1976" s="13" t="str">
        <f>IF(TRIM(Github!D$1334)="TRUE","FALSE","TRUE")</f>
        <v>TRUE</v>
      </c>
      <c r="L1976" s="13" t="b">
        <f>Github!M$1334</f>
        <v>0</v>
      </c>
      <c r="M1976" s="13" t="b">
        <f>Github!N$1334</f>
        <v>0</v>
      </c>
      <c r="N1976" s="13">
        <f>Github!P$1334</f>
        <v>25414</v>
      </c>
      <c r="O1976" s="13">
        <f>Github!Q$1334</f>
        <v>42536</v>
      </c>
    </row>
    <row r="1977">
      <c r="A1977" s="13">
        <f>Github!J$2281</f>
        <v>2280</v>
      </c>
      <c r="B1977" s="14" t="str">
        <f>HYPERLINK(CONCAT("http://leetcode.com/problems/",Github!C$2281), Github!B$2281)</f>
        <v>Minimum Lines to Represent a Line Chart</v>
      </c>
      <c r="C1977" s="13">
        <f>Github!F$2281</f>
        <v>267</v>
      </c>
      <c r="D1977" s="13">
        <f>Github!G$2281</f>
        <v>449</v>
      </c>
      <c r="E1977" s="13">
        <f>Github!F$2281+Github!G$2281</f>
        <v>716</v>
      </c>
      <c r="F1977" s="15">
        <f t="shared" si="1"/>
        <v>0.59</v>
      </c>
      <c r="G1977" s="13" t="str">
        <f>ROUND(Github!O$2281, 2)&amp;"%"</f>
        <v>23.9%</v>
      </c>
      <c r="H1977" s="13" t="str">
        <f>Github!H2281</f>
        <v>Algorithms</v>
      </c>
      <c r="I1977" s="16" t="str">
        <f>SUBSTITUTE(Github!L$2281, ";", ", ")</f>
        <v>Array, Math, Geometry, Sorting, Number Theory, </v>
      </c>
      <c r="J1977" s="13" t="str">
        <f>Github!E$2281</f>
        <v>Medium</v>
      </c>
      <c r="K1977" s="13" t="str">
        <f>IF(TRIM(Github!D$2281)="TRUE","FALSE","TRUE")</f>
        <v>TRUE</v>
      </c>
      <c r="L1977" s="13" t="b">
        <f>Github!M$2281</f>
        <v>0</v>
      </c>
      <c r="M1977" s="13" t="b">
        <f>Github!N$2281</f>
        <v>0</v>
      </c>
      <c r="N1977" s="13">
        <f>Github!P$2281</f>
        <v>20384</v>
      </c>
      <c r="O1977" s="13">
        <f>Github!Q$2281</f>
        <v>85279</v>
      </c>
    </row>
    <row r="1978">
      <c r="A1978" s="13">
        <f>Github!J$1638</f>
        <v>1637</v>
      </c>
      <c r="B1978" s="14" t="str">
        <f>HYPERLINK(CONCAT("http://leetcode.com/problems/",Github!C$1638), Github!B$1638)</f>
        <v>Widest Vertical Area Between Two Points Containing No Points</v>
      </c>
      <c r="C1978" s="13">
        <f>Github!F$1638</f>
        <v>254</v>
      </c>
      <c r="D1978" s="13">
        <f>Github!G$1638</f>
        <v>638</v>
      </c>
      <c r="E1978" s="13">
        <f>Github!F$1638+Github!G$1638</f>
        <v>892</v>
      </c>
      <c r="F1978" s="15">
        <f t="shared" si="1"/>
        <v>0.4</v>
      </c>
      <c r="G1978" s="13" t="str">
        <f>ROUND(Github!O$1638, 2)&amp;"%"</f>
        <v>84.27%</v>
      </c>
      <c r="H1978" s="13" t="str">
        <f>Github!H$1638</f>
        <v>Algorithms</v>
      </c>
      <c r="I1978" s="16" t="str">
        <f>SUBSTITUTE(Github!L$1638, ";", ", ")</f>
        <v>Array, Sorting, </v>
      </c>
      <c r="J1978" s="13" t="str">
        <f>Github!E$1638</f>
        <v>Medium</v>
      </c>
      <c r="K1978" s="13" t="str">
        <f>IF(TRIM(Github!D$1638)="TRUE","FALSE","TRUE")</f>
        <v>TRUE</v>
      </c>
      <c r="L1978" s="13" t="b">
        <f>Github!M$1638</f>
        <v>0</v>
      </c>
      <c r="M1978" s="13" t="b">
        <f>Github!N$1638</f>
        <v>0</v>
      </c>
      <c r="N1978" s="13">
        <f>Github!P$1638</f>
        <v>36359</v>
      </c>
      <c r="O1978" s="13">
        <f>Github!Q$1638</f>
        <v>43144</v>
      </c>
    </row>
    <row r="1979">
      <c r="A1979" s="13">
        <f>Github!J$2333</f>
        <v>2332</v>
      </c>
      <c r="B1979" s="14" t="str">
        <f>HYPERLINK(CONCAT("http://leetcode.com/problems/",Github!C$2333), Github!B$2333)</f>
        <v>The Latest Time to Catch a Bus</v>
      </c>
      <c r="C1979" s="13">
        <f>Github!F$2333</f>
        <v>262</v>
      </c>
      <c r="D1979" s="13">
        <f>Github!G$2333</f>
        <v>579</v>
      </c>
      <c r="E1979" s="13">
        <f>Github!F$2333+Github!G$2333</f>
        <v>841</v>
      </c>
      <c r="F1979" s="15">
        <f t="shared" si="1"/>
        <v>0.45</v>
      </c>
      <c r="G1979" s="13" t="str">
        <f>ROUND(Github!O$2333, 2)&amp;"%"</f>
        <v>22.99%</v>
      </c>
      <c r="H1979" s="13" t="str">
        <f>Github!H2333</f>
        <v>Algorithms</v>
      </c>
      <c r="I1979" s="16" t="str">
        <f>SUBSTITUTE(Github!L$2333, ";", ", ")</f>
        <v>Array, Two Pointers, Binary Search, Sorting, </v>
      </c>
      <c r="J1979" s="13" t="str">
        <f>Github!E$2333</f>
        <v>Medium</v>
      </c>
      <c r="K1979" s="13" t="str">
        <f>IF(TRIM(Github!D$2333)="TRUE","FALSE","TRUE")</f>
        <v>TRUE</v>
      </c>
      <c r="L1979" s="13" t="b">
        <f>Github!M$2333</f>
        <v>0</v>
      </c>
      <c r="M1979" s="13" t="b">
        <f>Github!N$2333</f>
        <v>0</v>
      </c>
      <c r="N1979" s="13">
        <f>Github!P$2333</f>
        <v>12056</v>
      </c>
      <c r="O1979" s="13">
        <f>Github!Q$2333</f>
        <v>52448</v>
      </c>
    </row>
    <row r="1980">
      <c r="A1980" s="13">
        <f>Github!J$1502</f>
        <v>1501</v>
      </c>
      <c r="B1980" s="14" t="str">
        <f>HYPERLINK(CONCAT("http://leetcode.com/problems/",Github!C$1502), Github!B$1502)</f>
        <v>Countries You Can Safely Invest In</v>
      </c>
      <c r="C1980" s="13">
        <f>Github!F$1502</f>
        <v>258</v>
      </c>
      <c r="D1980" s="13">
        <f>Github!G$1502</f>
        <v>34</v>
      </c>
      <c r="E1980" s="13">
        <f>Github!F$1502+Github!G$1502</f>
        <v>292</v>
      </c>
      <c r="F1980" s="15">
        <f t="shared" si="1"/>
        <v>7.59</v>
      </c>
      <c r="G1980" s="13" t="str">
        <f>ROUND(Github!O$1502, 2)&amp;"%"</f>
        <v>57.66%</v>
      </c>
      <c r="H1980" s="13" t="str">
        <f>Github!H$1502</f>
        <v>Database</v>
      </c>
      <c r="I1980" s="16" t="str">
        <f>SUBSTITUTE(Github!L$1502, ";", ", ")</f>
        <v>Database, </v>
      </c>
      <c r="J1980" s="13" t="str">
        <f>Github!E$1502</f>
        <v>Medium</v>
      </c>
      <c r="K1980" s="13" t="str">
        <f>IF(TRIM(Github!D$1502)="TRUE","FALSE","TRUE")</f>
        <v>FALSE</v>
      </c>
      <c r="L1980" s="13" t="b">
        <f>Github!M$1502</f>
        <v>0</v>
      </c>
      <c r="M1980" s="13" t="b">
        <f>Github!N$1502</f>
        <v>0</v>
      </c>
      <c r="N1980" s="13">
        <f>Github!P$1502</f>
        <v>28379</v>
      </c>
      <c r="O1980" s="13">
        <f>Github!Q$1502</f>
        <v>49215</v>
      </c>
    </row>
    <row r="1981">
      <c r="A1981" s="13">
        <f>Github!J$2265</f>
        <v>2264</v>
      </c>
      <c r="B1981" s="14" t="str">
        <f>HYPERLINK(CONCAT("http://leetcode.com/problems/",Github!C$2265), Github!B$2265)</f>
        <v>Largest 3-Same-Digit Number in String</v>
      </c>
      <c r="C1981" s="13">
        <f>Github!F$2265</f>
        <v>257</v>
      </c>
      <c r="D1981" s="13">
        <f>Github!G$2265</f>
        <v>16</v>
      </c>
      <c r="E1981" s="13">
        <f>Github!F$2265+Github!G$2265</f>
        <v>273</v>
      </c>
      <c r="F1981" s="15">
        <f t="shared" si="1"/>
        <v>16.06</v>
      </c>
      <c r="G1981" s="13" t="str">
        <f>ROUND(Github!O$2265, 2)&amp;"%"</f>
        <v>59.26%</v>
      </c>
      <c r="H1981" s="13" t="str">
        <f>Github!H$2265</f>
        <v>Algorithms</v>
      </c>
      <c r="I1981" s="16" t="str">
        <f>SUBSTITUTE(Github!L$2265, ";", ", ")</f>
        <v>String, </v>
      </c>
      <c r="J1981" s="13" t="str">
        <f>Github!E$2265</f>
        <v>Easy</v>
      </c>
      <c r="K1981" s="13" t="str">
        <f>IF(TRIM(Github!D$2265)="TRUE","FALSE","TRUE")</f>
        <v>TRUE</v>
      </c>
      <c r="L1981" s="13" t="b">
        <f>Github!M$2265</f>
        <v>0</v>
      </c>
      <c r="M1981" s="13" t="b">
        <f>Github!N$2265</f>
        <v>0</v>
      </c>
      <c r="N1981" s="13">
        <f>Github!P$2265</f>
        <v>28306</v>
      </c>
      <c r="O1981" s="13">
        <f>Github!Q$2265</f>
        <v>47765</v>
      </c>
    </row>
    <row r="1982">
      <c r="A1982" s="13">
        <f>Github!J$1317</f>
        <v>1316</v>
      </c>
      <c r="B1982" s="14" t="str">
        <f>HYPERLINK(CONCAT("http://leetcode.com/problems/",Github!C$1317), Github!B$1317)</f>
        <v>Distinct Echo Substrings</v>
      </c>
      <c r="C1982" s="13">
        <f>Github!F$1317</f>
        <v>253</v>
      </c>
      <c r="D1982" s="13">
        <f>Github!G$1317</f>
        <v>184</v>
      </c>
      <c r="E1982" s="13">
        <f>Github!F$1317+Github!G$1317</f>
        <v>437</v>
      </c>
      <c r="F1982" s="15">
        <f t="shared" si="1"/>
        <v>1.38</v>
      </c>
      <c r="G1982" s="13" t="str">
        <f>ROUND(Github!O$1317, 2)&amp;"%"</f>
        <v>49.67%</v>
      </c>
      <c r="H1982" s="13" t="str">
        <f>Github!H$1317</f>
        <v>Algorithms</v>
      </c>
      <c r="I1982" s="16" t="str">
        <f>SUBSTITUTE(Github!L$1317, ";", ", ")</f>
        <v>String, Trie, Rolling Hash, Hash Function, </v>
      </c>
      <c r="J1982" s="13" t="str">
        <f>Github!E$1317</f>
        <v>Hard</v>
      </c>
      <c r="K1982" s="13" t="str">
        <f>IF(TRIM(Github!D$1317)="TRUE","FALSE","TRUE")</f>
        <v>TRUE</v>
      </c>
      <c r="L1982" s="13" t="b">
        <f>Github!M$1317</f>
        <v>0</v>
      </c>
      <c r="M1982" s="13" t="b">
        <f>Github!N$1317</f>
        <v>0</v>
      </c>
      <c r="N1982" s="13">
        <f>Github!P$1317</f>
        <v>13263</v>
      </c>
      <c r="O1982" s="13">
        <f>Github!Q$1317</f>
        <v>26702</v>
      </c>
    </row>
    <row r="1983">
      <c r="A1983" s="13">
        <f>Github!J$759</f>
        <v>758</v>
      </c>
      <c r="B1983" s="14" t="str">
        <f>HYPERLINK(CONCAT("http://leetcode.com/problems/",Github!C$759), Github!B$759)</f>
        <v>Bold Words in String</v>
      </c>
      <c r="C1983" s="13">
        <f>Github!F$759</f>
        <v>252</v>
      </c>
      <c r="D1983" s="13">
        <f>Github!G$759</f>
        <v>121</v>
      </c>
      <c r="E1983" s="13">
        <f>Github!F$759+Github!G$759</f>
        <v>373</v>
      </c>
      <c r="F1983" s="15">
        <f t="shared" si="1"/>
        <v>2.08</v>
      </c>
      <c r="G1983" s="13" t="str">
        <f>ROUND(Github!O$759, 2)&amp;"%"</f>
        <v>50.7%</v>
      </c>
      <c r="H1983" s="13" t="str">
        <f>Github!H$759</f>
        <v>Algorithms</v>
      </c>
      <c r="I1983" s="16" t="str">
        <f>SUBSTITUTE(Github!L$759, ";", ", ")</f>
        <v>Array, Hash Table, String, Trie, String Matching, </v>
      </c>
      <c r="J1983" s="13" t="str">
        <f>Github!E$759</f>
        <v>Medium</v>
      </c>
      <c r="K1983" s="13" t="str">
        <f>IF(TRIM(Github!D$759)="TRUE","FALSE","TRUE")</f>
        <v>FALSE</v>
      </c>
      <c r="L1983" s="13" t="b">
        <f>Github!M$759</f>
        <v>0</v>
      </c>
      <c r="M1983" s="13" t="b">
        <f>Github!N$759</f>
        <v>0</v>
      </c>
      <c r="N1983" s="13">
        <f>Github!P$759</f>
        <v>17555</v>
      </c>
      <c r="O1983" s="13">
        <f>Github!Q$759</f>
        <v>34622</v>
      </c>
    </row>
    <row r="1984">
      <c r="A1984" s="13">
        <f>Github!J$1134</f>
        <v>1133</v>
      </c>
      <c r="B1984" s="14" t="str">
        <f>HYPERLINK(CONCAT("http://leetcode.com/problems/",Github!C$1134), Github!B$1134)</f>
        <v>Largest Unique Number</v>
      </c>
      <c r="C1984" s="13">
        <f>Github!F$1134</f>
        <v>254</v>
      </c>
      <c r="D1984" s="13">
        <f>Github!G$1134</f>
        <v>16</v>
      </c>
      <c r="E1984" s="13">
        <f>Github!F$1134+Github!G$1134</f>
        <v>270</v>
      </c>
      <c r="F1984" s="15">
        <f t="shared" si="1"/>
        <v>15.88</v>
      </c>
      <c r="G1984" s="13" t="str">
        <f>ROUND(Github!O$1134, 2)&amp;"%"</f>
        <v>67.43%</v>
      </c>
      <c r="H1984" s="13" t="str">
        <f>Github!H$1134</f>
        <v>Algorithms</v>
      </c>
      <c r="I1984" s="16" t="str">
        <f>SUBSTITUTE(Github!L$1134, ";", ", ")</f>
        <v>Array, Hash Table, Sorting, </v>
      </c>
      <c r="J1984" s="13" t="str">
        <f>Github!E$1134</f>
        <v>Easy</v>
      </c>
      <c r="K1984" s="13" t="str">
        <f>IF(TRIM(Github!D$1134)="TRUE","FALSE","TRUE")</f>
        <v>FALSE</v>
      </c>
      <c r="L1984" s="13" t="b">
        <f>Github!M$1134</f>
        <v>1</v>
      </c>
      <c r="M1984" s="13" t="b">
        <f>Github!N$1134</f>
        <v>0</v>
      </c>
      <c r="N1984" s="13">
        <f>Github!P$1134</f>
        <v>34608</v>
      </c>
      <c r="O1984" s="13">
        <f>Github!Q$1134</f>
        <v>51321</v>
      </c>
    </row>
    <row r="1985">
      <c r="A1985" s="13">
        <f>Github!J$1062</f>
        <v>1061</v>
      </c>
      <c r="B1985" s="14" t="str">
        <f>HYPERLINK(CONCAT("http://leetcode.com/problems/",Github!C$1062), Github!B$1062)</f>
        <v>Lexicographically Smallest Equivalent String</v>
      </c>
      <c r="C1985" s="13">
        <f>Github!F$1062</f>
        <v>253</v>
      </c>
      <c r="D1985" s="13">
        <f>Github!G$1062</f>
        <v>17</v>
      </c>
      <c r="E1985" s="13">
        <f>Github!F$1062+Github!G$1062</f>
        <v>270</v>
      </c>
      <c r="F1985" s="15">
        <f t="shared" si="1"/>
        <v>14.88</v>
      </c>
      <c r="G1985" s="13" t="str">
        <f>ROUND(Github!O$1062, 2)&amp;"%"</f>
        <v>70.83%</v>
      </c>
      <c r="H1985" s="13" t="str">
        <f>Github!H$1062</f>
        <v>Algorithms</v>
      </c>
      <c r="I1985" s="16" t="str">
        <f>SUBSTITUTE(Github!L$1062, ";", ", ")</f>
        <v>String, Union Find, </v>
      </c>
      <c r="J1985" s="13" t="str">
        <f>Github!E$1062</f>
        <v>Medium</v>
      </c>
      <c r="K1985" s="13" t="str">
        <f>IF(TRIM(Github!D$1062)="TRUE","FALSE","TRUE")</f>
        <v>FALSE</v>
      </c>
      <c r="L1985" s="13" t="b">
        <f>Github!M$1062</f>
        <v>1</v>
      </c>
      <c r="M1985" s="13" t="b">
        <f>Github!N$1062</f>
        <v>0</v>
      </c>
      <c r="N1985" s="13">
        <f>Github!P$1062</f>
        <v>11715</v>
      </c>
      <c r="O1985" s="13">
        <f>Github!Q$1062</f>
        <v>16539</v>
      </c>
    </row>
    <row r="1986">
      <c r="A1986" s="13">
        <f>Github!J$1561</f>
        <v>1560</v>
      </c>
      <c r="B1986" s="14" t="str">
        <f>HYPERLINK(CONCAT("http://leetcode.com/problems/",Github!C$1561), Github!B$1561)</f>
        <v>Most Visited Sector in  a Circular Track</v>
      </c>
      <c r="C1986" s="13">
        <f>Github!F$1561</f>
        <v>250</v>
      </c>
      <c r="D1986" s="13">
        <f>Github!G$1561</f>
        <v>512</v>
      </c>
      <c r="E1986" s="13">
        <f>Github!F$1561+Github!G$1561</f>
        <v>762</v>
      </c>
      <c r="F1986" s="15">
        <f t="shared" si="1"/>
        <v>0.49</v>
      </c>
      <c r="G1986" s="13" t="str">
        <f>ROUND(Github!O$1561, 2)&amp;"%"</f>
        <v>58.42%</v>
      </c>
      <c r="H1986" s="13" t="str">
        <f>Github!H$1561</f>
        <v>Algorithms</v>
      </c>
      <c r="I1986" s="16" t="str">
        <f>SUBSTITUTE(Github!L$1561, ";", ", ")</f>
        <v>Array, Simulation, </v>
      </c>
      <c r="J1986" s="13" t="str">
        <f>Github!E$1561</f>
        <v>Easy</v>
      </c>
      <c r="K1986" s="13" t="str">
        <f>IF(TRIM(Github!D$1561)="TRUE","FALSE","TRUE")</f>
        <v>TRUE</v>
      </c>
      <c r="L1986" s="13" t="b">
        <f>Github!M$1561</f>
        <v>0</v>
      </c>
      <c r="M1986" s="13" t="b">
        <f>Github!N$1561</f>
        <v>0</v>
      </c>
      <c r="N1986" s="13">
        <f>Github!P$1561</f>
        <v>25089</v>
      </c>
      <c r="O1986" s="13">
        <f>Github!Q$1561</f>
        <v>42945</v>
      </c>
    </row>
    <row r="1987">
      <c r="A1987" s="13">
        <f>Github!J$1849</f>
        <v>1848</v>
      </c>
      <c r="B1987" s="14" t="str">
        <f>HYPERLINK(CONCAT("http://leetcode.com/problems/",Github!C$1849), Github!B$1849)</f>
        <v>Minimum Distance to the Target Element</v>
      </c>
      <c r="C1987" s="13">
        <f>Github!F$1849</f>
        <v>257</v>
      </c>
      <c r="D1987" s="13">
        <f>Github!G$1849</f>
        <v>50</v>
      </c>
      <c r="E1987" s="13">
        <f>Github!F$1849+Github!G$1849</f>
        <v>307</v>
      </c>
      <c r="F1987" s="15">
        <f t="shared" si="1"/>
        <v>5.14</v>
      </c>
      <c r="G1987" s="13" t="str">
        <f>ROUND(Github!O$1849, 2)&amp;"%"</f>
        <v>58.39%</v>
      </c>
      <c r="H1987" s="13" t="str">
        <f>Github!H$1849</f>
        <v>Algorithms</v>
      </c>
      <c r="I1987" s="16" t="str">
        <f>SUBSTITUTE(Github!L$1849, ";", ", ")</f>
        <v>Array, </v>
      </c>
      <c r="J1987" s="13" t="str">
        <f>Github!E$1849</f>
        <v>Easy</v>
      </c>
      <c r="K1987" s="13" t="str">
        <f>IF(TRIM(Github!D$1849)="TRUE","FALSE","TRUE")</f>
        <v>TRUE</v>
      </c>
      <c r="L1987" s="13" t="b">
        <f>Github!M$1849</f>
        <v>0</v>
      </c>
      <c r="M1987" s="13" t="b">
        <f>Github!N$1849</f>
        <v>0</v>
      </c>
      <c r="N1987" s="13">
        <f>Github!P$1849</f>
        <v>31314</v>
      </c>
      <c r="O1987" s="13">
        <f>Github!Q$1849</f>
        <v>53627</v>
      </c>
    </row>
    <row r="1988">
      <c r="A1988" s="13">
        <f>Github!J$1949</f>
        <v>1948</v>
      </c>
      <c r="B1988" s="14" t="str">
        <f>HYPERLINK(CONCAT("http://leetcode.com/problems/",Github!C$1949), Github!B$1949)</f>
        <v>Delete Duplicate Folders in System</v>
      </c>
      <c r="C1988" s="13">
        <f>Github!F$1949</f>
        <v>251</v>
      </c>
      <c r="D1988" s="13">
        <f>Github!G$1949</f>
        <v>61</v>
      </c>
      <c r="E1988" s="13">
        <f>Github!F$1949+Github!G$1949</f>
        <v>312</v>
      </c>
      <c r="F1988" s="15">
        <f t="shared" si="1"/>
        <v>4.11</v>
      </c>
      <c r="G1988" s="13" t="str">
        <f>ROUND(Github!O$1949, 2)&amp;"%"</f>
        <v>56.86%</v>
      </c>
      <c r="H1988" s="13" t="str">
        <f>Github!H$1949</f>
        <v>Algorithms</v>
      </c>
      <c r="I1988" s="16" t="str">
        <f>SUBSTITUTE(Github!L$1949, ";", ", ")</f>
        <v>Array, Hash Table, String, Trie, Hash Function, </v>
      </c>
      <c r="J1988" s="13" t="str">
        <f>Github!E$1949</f>
        <v>Hard</v>
      </c>
      <c r="K1988" s="13" t="str">
        <f>IF(TRIM(Github!D$1949)="TRUE","FALSE","TRUE")</f>
        <v>TRUE</v>
      </c>
      <c r="L1988" s="13" t="b">
        <f>Github!M$1949</f>
        <v>0</v>
      </c>
      <c r="M1988" s="13" t="b">
        <f>Github!N$1949</f>
        <v>0</v>
      </c>
      <c r="N1988" s="13">
        <f>Github!P$1949</f>
        <v>6726</v>
      </c>
      <c r="O1988" s="13">
        <f>Github!Q$1949</f>
        <v>11830</v>
      </c>
    </row>
    <row r="1989">
      <c r="A1989" s="13">
        <f>Github!J$2061</f>
        <v>2060</v>
      </c>
      <c r="B1989" s="14" t="str">
        <f>HYPERLINK(CONCAT("http://leetcode.com/problems/",Github!C$2061), Github!B$2061)</f>
        <v>Check if an Original String Exists Given Two Encoded Strings</v>
      </c>
      <c r="C1989" s="13">
        <f>Github!F$2061</f>
        <v>249</v>
      </c>
      <c r="D1989" s="13">
        <f>Github!G$2061</f>
        <v>120</v>
      </c>
      <c r="E1989" s="13">
        <f>Github!F$2061+Github!G$2061</f>
        <v>369</v>
      </c>
      <c r="F1989" s="15">
        <f t="shared" si="1"/>
        <v>2.08</v>
      </c>
      <c r="G1989" s="13" t="str">
        <f>ROUND(Github!O$2061, 2)&amp;"%"</f>
        <v>40.77%</v>
      </c>
      <c r="H1989" s="13" t="str">
        <f>Github!H$2061</f>
        <v>Algorithms</v>
      </c>
      <c r="I1989" s="16" t="str">
        <f>SUBSTITUTE(Github!L$2061, ";", ", ")</f>
        <v>String, Dynamic Programming, </v>
      </c>
      <c r="J1989" s="13" t="str">
        <f>Github!E$2061</f>
        <v>Hard</v>
      </c>
      <c r="K1989" s="13" t="str">
        <f>IF(TRIM(Github!D$2061)="TRUE","FALSE","TRUE")</f>
        <v>TRUE</v>
      </c>
      <c r="L1989" s="13" t="b">
        <f>Github!M$2061</f>
        <v>0</v>
      </c>
      <c r="M1989" s="13" t="b">
        <f>Github!N$2061</f>
        <v>0</v>
      </c>
      <c r="N1989" s="13">
        <f>Github!P$2061</f>
        <v>8746</v>
      </c>
      <c r="O1989" s="13">
        <f>Github!Q$2061</f>
        <v>21454</v>
      </c>
    </row>
    <row r="1990">
      <c r="A1990" s="13">
        <f>Github!J$1783</f>
        <v>1782</v>
      </c>
      <c r="B1990" s="14" t="str">
        <f>HYPERLINK(CONCAT("http://leetcode.com/problems/",Github!C$1783), Github!B$1783)</f>
        <v>Count Pairs Of Nodes</v>
      </c>
      <c r="C1990" s="13">
        <f>Github!F$1783</f>
        <v>246</v>
      </c>
      <c r="D1990" s="13">
        <f>Github!G$1783</f>
        <v>142</v>
      </c>
      <c r="E1990" s="13">
        <f>Github!F$1783+Github!G$1783</f>
        <v>388</v>
      </c>
      <c r="F1990" s="15">
        <f t="shared" si="1"/>
        <v>1.73</v>
      </c>
      <c r="G1990" s="13" t="str">
        <f>ROUND(Github!O$1783, 2)&amp;"%"</f>
        <v>38.28%</v>
      </c>
      <c r="H1990" s="13" t="str">
        <f>Github!H$1783</f>
        <v>Algorithms</v>
      </c>
      <c r="I1990" s="16" t="str">
        <f>SUBSTITUTE(Github!L$1783, ";", ", ")</f>
        <v>Two Pointers, Binary Search, Graph, </v>
      </c>
      <c r="J1990" s="13" t="str">
        <f>Github!E$1783</f>
        <v>Hard</v>
      </c>
      <c r="K1990" s="13" t="str">
        <f>IF(TRIM(Github!D$1783)="TRUE","FALSE","TRUE")</f>
        <v>TRUE</v>
      </c>
      <c r="L1990" s="13" t="b">
        <f>Github!M$1783</f>
        <v>0</v>
      </c>
      <c r="M1990" s="13" t="b">
        <f>Github!N$1783</f>
        <v>0</v>
      </c>
      <c r="N1990" s="13">
        <f>Github!P$1783</f>
        <v>5180</v>
      </c>
      <c r="O1990" s="13">
        <f>Github!Q$1783</f>
        <v>13532</v>
      </c>
    </row>
    <row r="1991">
      <c r="A1991" s="13">
        <f>Github!J$1747</f>
        <v>1746</v>
      </c>
      <c r="B1991" s="14" t="str">
        <f>HYPERLINK(CONCAT("http://leetcode.com/problems/",Github!C$1747), Github!B$1747)</f>
        <v>Maximum Subarray Sum After One Operation</v>
      </c>
      <c r="C1991" s="13">
        <f>Github!F$1747</f>
        <v>246</v>
      </c>
      <c r="D1991" s="13">
        <f>Github!G$1747</f>
        <v>5</v>
      </c>
      <c r="E1991" s="13">
        <f>Github!F$1747+Github!G$1747</f>
        <v>251</v>
      </c>
      <c r="F1991" s="15">
        <f t="shared" si="1"/>
        <v>49.2</v>
      </c>
      <c r="G1991" s="13" t="str">
        <f>ROUND(Github!O$1747, 2)&amp;"%"</f>
        <v>62.2%</v>
      </c>
      <c r="H1991" s="13" t="str">
        <f>Github!H$1747</f>
        <v>Algorithms</v>
      </c>
      <c r="I1991" s="16" t="str">
        <f>SUBSTITUTE(Github!L$1747, ";", ", ")</f>
        <v>Array, Dynamic Programming, </v>
      </c>
      <c r="J1991" s="13" t="str">
        <f>Github!E$1747</f>
        <v>Medium</v>
      </c>
      <c r="K1991" s="13" t="str">
        <f>IF(TRIM(Github!D$1747)="TRUE","FALSE","TRUE")</f>
        <v>FALSE</v>
      </c>
      <c r="L1991" s="13" t="b">
        <f>Github!M$1747</f>
        <v>0</v>
      </c>
      <c r="M1991" s="13" t="b">
        <f>Github!N$1747</f>
        <v>0</v>
      </c>
      <c r="N1991" s="13">
        <f>Github!P$1747</f>
        <v>7558</v>
      </c>
      <c r="O1991" s="13">
        <f>Github!Q$1747</f>
        <v>12152</v>
      </c>
    </row>
    <row r="1992">
      <c r="A1992" s="13">
        <f>Github!J$1740</f>
        <v>1739</v>
      </c>
      <c r="B1992" s="14" t="str">
        <f>HYPERLINK(CONCAT("http://leetcode.com/problems/",Github!C$1740), Github!B$1740)</f>
        <v>Building Boxes</v>
      </c>
      <c r="C1992" s="13">
        <f>Github!F$1740</f>
        <v>248</v>
      </c>
      <c r="D1992" s="13">
        <f>Github!G$1740</f>
        <v>42</v>
      </c>
      <c r="E1992" s="13">
        <f>Github!F$1740+Github!G$1740</f>
        <v>290</v>
      </c>
      <c r="F1992" s="15">
        <f t="shared" si="1"/>
        <v>5.9</v>
      </c>
      <c r="G1992" s="13" t="str">
        <f>ROUND(Github!O$1740, 2)&amp;"%"</f>
        <v>52.15%</v>
      </c>
      <c r="H1992" s="13" t="str">
        <f>Github!H$1740</f>
        <v>Algorithms</v>
      </c>
      <c r="I1992" s="16" t="str">
        <f>SUBSTITUTE(Github!L$1740, ";", ", ")</f>
        <v>Math, Binary Search, Greedy, </v>
      </c>
      <c r="J1992" s="13" t="str">
        <f>Github!E$1740</f>
        <v>Hard</v>
      </c>
      <c r="K1992" s="13" t="str">
        <f>IF(TRIM(Github!D$1740)="TRUE","FALSE","TRUE")</f>
        <v>TRUE</v>
      </c>
      <c r="L1992" s="13" t="b">
        <f>Github!M$1740</f>
        <v>0</v>
      </c>
      <c r="M1992" s="13" t="b">
        <f>Github!N$1740</f>
        <v>0</v>
      </c>
      <c r="N1992" s="13">
        <f>Github!P$1740</f>
        <v>5678</v>
      </c>
      <c r="O1992" s="13">
        <f>Github!Q$1740</f>
        <v>10888</v>
      </c>
    </row>
    <row r="1993">
      <c r="A1993" s="13">
        <f>Github!J$1891</f>
        <v>1890</v>
      </c>
      <c r="B1993" s="14" t="str">
        <f>HYPERLINK(CONCAT("http://leetcode.com/problems/",Github!C$1891), Github!B$1891)</f>
        <v>The Latest Login in 2020</v>
      </c>
      <c r="C1993" s="13">
        <f>Github!F$1891</f>
        <v>249</v>
      </c>
      <c r="D1993" s="13">
        <f>Github!G$1891</f>
        <v>5</v>
      </c>
      <c r="E1993" s="13">
        <f>Github!F$1891+Github!G$1891</f>
        <v>254</v>
      </c>
      <c r="F1993" s="15">
        <f t="shared" si="1"/>
        <v>49.8</v>
      </c>
      <c r="G1993" s="13" t="str">
        <f>ROUND(Github!O$1891, 2)&amp;"%"</f>
        <v>80.96%</v>
      </c>
      <c r="H1993" s="13" t="str">
        <f>Github!H$1891</f>
        <v>Database</v>
      </c>
      <c r="I1993" s="16" t="str">
        <f>SUBSTITUTE(Github!L$1891, ";", ", ")</f>
        <v>Database, </v>
      </c>
      <c r="J1993" s="13" t="str">
        <f>Github!E$1891</f>
        <v>Easy</v>
      </c>
      <c r="K1993" s="13" t="str">
        <f>IF(TRIM(Github!D$1891)="TRUE","FALSE","TRUE")</f>
        <v>TRUE</v>
      </c>
      <c r="L1993" s="13" t="b">
        <f>Github!M$1891</f>
        <v>0</v>
      </c>
      <c r="M1993" s="13" t="b">
        <f>Github!N$1891</f>
        <v>0</v>
      </c>
      <c r="N1993" s="13">
        <f>Github!P$1891</f>
        <v>43454</v>
      </c>
      <c r="O1993" s="13">
        <f>Github!Q$1891</f>
        <v>53676</v>
      </c>
    </row>
    <row r="1994">
      <c r="A1994" s="13">
        <f>Github!J$1227</f>
        <v>1226</v>
      </c>
      <c r="B1994" s="14" t="str">
        <f>HYPERLINK(CONCAT("http://leetcode.com/problems/",Github!C$1227), Github!B$1227)</f>
        <v>The Dining Philosophers</v>
      </c>
      <c r="C1994" s="13">
        <f>Github!F$1227</f>
        <v>244</v>
      </c>
      <c r="D1994" s="13">
        <f>Github!G$1227</f>
        <v>253</v>
      </c>
      <c r="E1994" s="13">
        <f>Github!F$1227+Github!G$1227</f>
        <v>497</v>
      </c>
      <c r="F1994" s="15">
        <f t="shared" si="1"/>
        <v>0.96</v>
      </c>
      <c r="G1994" s="13" t="str">
        <f>ROUND(Github!O$1227, 2)&amp;"%"</f>
        <v>56.52%</v>
      </c>
      <c r="H1994" s="13" t="str">
        <f>Github!H$1227</f>
        <v>Concurrency</v>
      </c>
      <c r="I1994" s="16" t="str">
        <f>SUBSTITUTE(Github!L$1227, ";", ", ")</f>
        <v>Concurrency, </v>
      </c>
      <c r="J1994" s="13" t="str">
        <f>Github!E$1227</f>
        <v>Medium</v>
      </c>
      <c r="K1994" s="13" t="str">
        <f>IF(TRIM(Github!D$1227)="TRUE","FALSE","TRUE")</f>
        <v>TRUE</v>
      </c>
      <c r="L1994" s="13" t="b">
        <f>Github!M$1227</f>
        <v>0</v>
      </c>
      <c r="M1994" s="13" t="b">
        <f>Github!N$1227</f>
        <v>0</v>
      </c>
      <c r="N1994" s="13">
        <f>Github!P$1227</f>
        <v>23040</v>
      </c>
      <c r="O1994" s="13">
        <f>Github!Q$1227</f>
        <v>40764</v>
      </c>
    </row>
    <row r="1995">
      <c r="A1995" s="13">
        <f>Github!J$2191</f>
        <v>2190</v>
      </c>
      <c r="B1995" s="14" t="str">
        <f>HYPERLINK(CONCAT("http://leetcode.com/problems/",Github!C$2191), Github!B$2191)</f>
        <v>Most Frequent Number Following Key In an Array</v>
      </c>
      <c r="C1995" s="13">
        <f>Github!F$2191</f>
        <v>249</v>
      </c>
      <c r="D1995" s="13">
        <f>Github!G$2191</f>
        <v>128</v>
      </c>
      <c r="E1995" s="13">
        <f>Github!F$2191+Github!G$2191</f>
        <v>377</v>
      </c>
      <c r="F1995" s="15">
        <f t="shared" si="1"/>
        <v>1.95</v>
      </c>
      <c r="G1995" s="13" t="str">
        <f>ROUND(Github!O$2191, 2)&amp;"%"</f>
        <v>60.39%</v>
      </c>
      <c r="H1995" s="13" t="str">
        <f>Github!H$2191</f>
        <v>Algorithms</v>
      </c>
      <c r="I1995" s="16" t="str">
        <f>SUBSTITUTE(Github!L$2191, ";", ", ")</f>
        <v>Array, Hash Table, Counting, </v>
      </c>
      <c r="J1995" s="13" t="str">
        <f>Github!E$2191</f>
        <v>Easy</v>
      </c>
      <c r="K1995" s="13" t="str">
        <f>IF(TRIM(Github!D$2191)="TRUE","FALSE","TRUE")</f>
        <v>TRUE</v>
      </c>
      <c r="L1995" s="13" t="b">
        <f>Github!M$2191</f>
        <v>0</v>
      </c>
      <c r="M1995" s="13" t="b">
        <f>Github!N$2191</f>
        <v>0</v>
      </c>
      <c r="N1995" s="13">
        <f>Github!P$2191</f>
        <v>24355</v>
      </c>
      <c r="O1995" s="13">
        <f>Github!Q$2191</f>
        <v>40331</v>
      </c>
    </row>
    <row r="1996">
      <c r="A1996" s="13">
        <f>Github!J$357</f>
        <v>356</v>
      </c>
      <c r="B1996" s="14" t="str">
        <f>HYPERLINK(CONCAT("http://leetcode.com/problems/",Github!C$357), Github!B$357)</f>
        <v>Line Reflection</v>
      </c>
      <c r="C1996" s="13">
        <f>Github!F$357</f>
        <v>242</v>
      </c>
      <c r="D1996" s="13">
        <f>Github!G$357</f>
        <v>512</v>
      </c>
      <c r="E1996" s="13">
        <f>Github!F$357+Github!G$357</f>
        <v>754</v>
      </c>
      <c r="F1996" s="15">
        <f t="shared" si="1"/>
        <v>0.47</v>
      </c>
      <c r="G1996" s="13" t="str">
        <f>ROUND(Github!O$357, 2)&amp;"%"</f>
        <v>34.71%</v>
      </c>
      <c r="H1996" s="13" t="str">
        <f>Github!H$357</f>
        <v>Algorithms</v>
      </c>
      <c r="I1996" s="16" t="str">
        <f>SUBSTITUTE(Github!L$357, ";", ", ")</f>
        <v>Array, Hash Table, Math, </v>
      </c>
      <c r="J1996" s="13" t="str">
        <f>Github!E$357</f>
        <v>Medium</v>
      </c>
      <c r="K1996" s="13" t="str">
        <f>IF(TRIM(Github!D$357)="TRUE","FALSE","TRUE")</f>
        <v>FALSE</v>
      </c>
      <c r="L1996" s="13" t="b">
        <f>Github!M$357</f>
        <v>0</v>
      </c>
      <c r="M1996" s="13" t="b">
        <f>Github!N$357</f>
        <v>0</v>
      </c>
      <c r="N1996" s="13">
        <f>Github!P$357</f>
        <v>33673</v>
      </c>
      <c r="O1996" s="13">
        <f>Github!Q$357</f>
        <v>97020</v>
      </c>
    </row>
    <row r="1997">
      <c r="A1997" s="13">
        <f>Github!J$1587</f>
        <v>1586</v>
      </c>
      <c r="B1997" s="14" t="str">
        <f>HYPERLINK(CONCAT("http://leetcode.com/problems/",Github!C$1587), Github!B$1587)</f>
        <v>Binary Search Tree Iterator II</v>
      </c>
      <c r="C1997" s="13">
        <f>Github!F$1587</f>
        <v>240</v>
      </c>
      <c r="D1997" s="13">
        <f>Github!G$1587</f>
        <v>29</v>
      </c>
      <c r="E1997" s="13">
        <f>Github!F$1587+Github!G$1587</f>
        <v>269</v>
      </c>
      <c r="F1997" s="15">
        <f t="shared" si="1"/>
        <v>8.28</v>
      </c>
      <c r="G1997" s="13" t="str">
        <f>ROUND(Github!O$1587, 2)&amp;"%"</f>
        <v>70.83%</v>
      </c>
      <c r="H1997" s="13" t="str">
        <f>Github!H$1587</f>
        <v>Algorithms</v>
      </c>
      <c r="I1997" s="16" t="str">
        <f>SUBSTITUTE(Github!L$1587, ";", ", ")</f>
        <v>Stack, Tree, Design, Binary Search Tree, Binary Tree, Iterator, </v>
      </c>
      <c r="J1997" s="13" t="str">
        <f>Github!E$1587</f>
        <v>Medium</v>
      </c>
      <c r="K1997" s="13" t="str">
        <f>IF(TRIM(Github!D$1587)="TRUE","FALSE","TRUE")</f>
        <v>FALSE</v>
      </c>
      <c r="L1997" s="13" t="b">
        <f>Github!M$1587</f>
        <v>1</v>
      </c>
      <c r="M1997" s="13" t="b">
        <f>Github!N$1587</f>
        <v>0</v>
      </c>
      <c r="N1997" s="13">
        <f>Github!P$1587</f>
        <v>12126</v>
      </c>
      <c r="O1997" s="13">
        <f>Github!Q$1587</f>
        <v>17121</v>
      </c>
    </row>
    <row r="1998">
      <c r="A1998" s="13">
        <f>Github!J$1598</f>
        <v>1597</v>
      </c>
      <c r="B1998" s="14" t="str">
        <f>HYPERLINK(CONCAT("http://leetcode.com/problems/",Github!C$1598), Github!B$1598)</f>
        <v>Build Binary Expression Tree From Infix Expression</v>
      </c>
      <c r="C1998" s="13">
        <f>Github!F$1598</f>
        <v>243</v>
      </c>
      <c r="D1998" s="13">
        <f>Github!G$1598</f>
        <v>44</v>
      </c>
      <c r="E1998" s="13">
        <f>Github!F$1598+Github!G$1598</f>
        <v>287</v>
      </c>
      <c r="F1998" s="15">
        <f t="shared" si="1"/>
        <v>5.52</v>
      </c>
      <c r="G1998" s="13" t="str">
        <f>ROUND(Github!O$1598, 2)&amp;"%"</f>
        <v>62.46%</v>
      </c>
      <c r="H1998" s="13" t="str">
        <f>Github!H$1598</f>
        <v>Algorithms</v>
      </c>
      <c r="I1998" s="16" t="str">
        <f>SUBSTITUTE(Github!L$1598, ";", ", ")</f>
        <v>String, Stack, Tree, Binary Tree, </v>
      </c>
      <c r="J1998" s="13" t="str">
        <f>Github!E$1598</f>
        <v>Hard</v>
      </c>
      <c r="K1998" s="13" t="str">
        <f>IF(TRIM(Github!D$1598)="TRUE","FALSE","TRUE")</f>
        <v>FALSE</v>
      </c>
      <c r="L1998" s="13" t="b">
        <f>Github!M$1598</f>
        <v>0</v>
      </c>
      <c r="M1998" s="13" t="b">
        <f>Github!N$1598</f>
        <v>0</v>
      </c>
      <c r="N1998" s="13">
        <f>Github!P$1598</f>
        <v>11539</v>
      </c>
      <c r="O1998" s="13">
        <f>Github!Q$1598</f>
        <v>18475</v>
      </c>
    </row>
    <row r="1999">
      <c r="A1999" s="13">
        <f>Github!J$1113</f>
        <v>1112</v>
      </c>
      <c r="B1999" s="14" t="str">
        <f>HYPERLINK(CONCAT("http://leetcode.com/problems/",Github!C$1113), Github!B$1113)</f>
        <v>Highest Grade For Each Student</v>
      </c>
      <c r="C1999" s="13">
        <f>Github!F$1113</f>
        <v>244</v>
      </c>
      <c r="D1999" s="13">
        <f>Github!G$1113</f>
        <v>12</v>
      </c>
      <c r="E1999" s="13">
        <f>Github!F$1113+Github!G$1113</f>
        <v>256</v>
      </c>
      <c r="F1999" s="15">
        <f t="shared" si="1"/>
        <v>20.33</v>
      </c>
      <c r="G1999" s="13" t="str">
        <f>ROUND(Github!O$1113, 2)&amp;"%"</f>
        <v>73.24%</v>
      </c>
      <c r="H1999" s="13" t="str">
        <f>Github!H$1113</f>
        <v>Database</v>
      </c>
      <c r="I1999" s="16" t="str">
        <f>SUBSTITUTE(Github!L$1113, ";", ", ")</f>
        <v>Database, </v>
      </c>
      <c r="J1999" s="13" t="str">
        <f>Github!E$1113</f>
        <v>Medium</v>
      </c>
      <c r="K1999" s="13" t="str">
        <f>IF(TRIM(Github!D$1113)="TRUE","FALSE","TRUE")</f>
        <v>FALSE</v>
      </c>
      <c r="L1999" s="13" t="b">
        <f>Github!M$1113</f>
        <v>0</v>
      </c>
      <c r="M1999" s="13" t="b">
        <f>Github!N$1113</f>
        <v>0</v>
      </c>
      <c r="N1999" s="13">
        <f>Github!P$1113</f>
        <v>45156</v>
      </c>
      <c r="O1999" s="13">
        <f>Github!Q$1113</f>
        <v>61657</v>
      </c>
    </row>
    <row r="2000">
      <c r="A2000" s="13">
        <f>Github!J$1798</f>
        <v>1797</v>
      </c>
      <c r="B2000" s="14" t="str">
        <f>HYPERLINK(CONCAT("http://leetcode.com/problems/",Github!C$1798), Github!B$1798)</f>
        <v>Design Authentication Manager</v>
      </c>
      <c r="C2000" s="13">
        <f>Github!F$1798</f>
        <v>241</v>
      </c>
      <c r="D2000" s="13">
        <f>Github!G$1798</f>
        <v>37</v>
      </c>
      <c r="E2000" s="13">
        <f>Github!F$1798+Github!G$1798</f>
        <v>278</v>
      </c>
      <c r="F2000" s="15">
        <f t="shared" si="1"/>
        <v>6.51</v>
      </c>
      <c r="G2000" s="13" t="str">
        <f>ROUND(Github!O$1798, 2)&amp;"%"</f>
        <v>56.44%</v>
      </c>
      <c r="H2000" s="13" t="str">
        <f>Github!H$1798</f>
        <v>Algorithms</v>
      </c>
      <c r="I2000" s="16" t="str">
        <f>SUBSTITUTE(Github!L$1798, ";", ", ")</f>
        <v>Hash Table, Design, </v>
      </c>
      <c r="J2000" s="13" t="str">
        <f>Github!E$1798</f>
        <v>Medium</v>
      </c>
      <c r="K2000" s="13" t="str">
        <f>IF(TRIM(Github!D$1798)="TRUE","FALSE","TRUE")</f>
        <v>TRUE</v>
      </c>
      <c r="L2000" s="13" t="b">
        <f>Github!M$1798</f>
        <v>0</v>
      </c>
      <c r="M2000" s="13" t="b">
        <f>Github!N$1798</f>
        <v>0</v>
      </c>
      <c r="N2000" s="13">
        <f>Github!P$1798</f>
        <v>15098</v>
      </c>
      <c r="O2000" s="13">
        <f>Github!Q$1798</f>
        <v>26750</v>
      </c>
    </row>
    <row r="2001">
      <c r="A2001" s="13">
        <f>Github!J$1363</f>
        <v>1362</v>
      </c>
      <c r="B2001" s="14" t="str">
        <f>HYPERLINK(CONCAT("http://leetcode.com/problems/",Github!C$1363), Github!B$1363)</f>
        <v>Closest Divisors</v>
      </c>
      <c r="C2001" s="13">
        <f>Github!F$1363</f>
        <v>236</v>
      </c>
      <c r="D2001" s="13">
        <f>Github!G$1363</f>
        <v>91</v>
      </c>
      <c r="E2001" s="13">
        <f>Github!F$1363+Github!G$1363</f>
        <v>327</v>
      </c>
      <c r="F2001" s="15">
        <f t="shared" si="1"/>
        <v>2.59</v>
      </c>
      <c r="G2001" s="13" t="str">
        <f>ROUND(Github!O$1363, 2)&amp;"%"</f>
        <v>59.95%</v>
      </c>
      <c r="H2001" s="13" t="str">
        <f>Github!H$1363</f>
        <v>Algorithms</v>
      </c>
      <c r="I2001" s="16" t="str">
        <f>SUBSTITUTE(Github!L$1363, ";", ", ")</f>
        <v>Math, </v>
      </c>
      <c r="J2001" s="13" t="str">
        <f>Github!E$1363</f>
        <v>Medium</v>
      </c>
      <c r="K2001" s="13" t="str">
        <f>IF(TRIM(Github!D$1363)="TRUE","FALSE","TRUE")</f>
        <v>TRUE</v>
      </c>
      <c r="L2001" s="13" t="b">
        <f>Github!M$1363</f>
        <v>0</v>
      </c>
      <c r="M2001" s="13" t="b">
        <f>Github!N$1363</f>
        <v>0</v>
      </c>
      <c r="N2001" s="13">
        <f>Github!P$1363</f>
        <v>17889</v>
      </c>
      <c r="O2001" s="13">
        <f>Github!Q$1363</f>
        <v>29841</v>
      </c>
    </row>
    <row r="2002">
      <c r="A2002" s="13">
        <f>Github!J$1205</f>
        <v>1204</v>
      </c>
      <c r="B2002" s="14" t="str">
        <f>HYPERLINK(CONCAT("http://leetcode.com/problems/",Github!C$1205), Github!B$1205)</f>
        <v>Last Person to Fit in the Bus</v>
      </c>
      <c r="C2002" s="13">
        <f>Github!F$1205</f>
        <v>236</v>
      </c>
      <c r="D2002" s="13">
        <f>Github!G$1205</f>
        <v>19</v>
      </c>
      <c r="E2002" s="13">
        <f>Github!F$1205+Github!G$1205</f>
        <v>255</v>
      </c>
      <c r="F2002" s="15">
        <f t="shared" si="1"/>
        <v>12.42</v>
      </c>
      <c r="G2002" s="13" t="str">
        <f>ROUND(Github!O$1205, 2)&amp;"%"</f>
        <v>74.07%</v>
      </c>
      <c r="H2002" s="13" t="str">
        <f>Github!H$1205</f>
        <v>Database</v>
      </c>
      <c r="I2002" s="16" t="str">
        <f>SUBSTITUTE(Github!L$1205, ";", ", ")</f>
        <v>Database, </v>
      </c>
      <c r="J2002" s="13" t="str">
        <f>Github!E$1205</f>
        <v>Medium</v>
      </c>
      <c r="K2002" s="13" t="str">
        <f>IF(TRIM(Github!D$1205)="TRUE","FALSE","TRUE")</f>
        <v>FALSE</v>
      </c>
      <c r="L2002" s="13" t="b">
        <f>Github!M$1205</f>
        <v>0</v>
      </c>
      <c r="M2002" s="13" t="b">
        <f>Github!N$1205</f>
        <v>0</v>
      </c>
      <c r="N2002" s="13">
        <f>Github!P$1205</f>
        <v>34284</v>
      </c>
      <c r="O2002" s="13">
        <f>Github!Q$1205</f>
        <v>46284</v>
      </c>
    </row>
    <row r="2003">
      <c r="A2003" s="13">
        <f>Github!J$1785</f>
        <v>1784</v>
      </c>
      <c r="B2003" s="14" t="str">
        <f>HYPERLINK(CONCAT("http://leetcode.com/problems/",Github!C$1785), Github!B$1785)</f>
        <v>Check if Binary String Has at Most One Segment of Ones</v>
      </c>
      <c r="C2003" s="13">
        <f>Github!F$1785</f>
        <v>238</v>
      </c>
      <c r="D2003" s="13">
        <f>Github!G$1785</f>
        <v>723</v>
      </c>
      <c r="E2003" s="13">
        <f>Github!F$1785+Github!G$1785</f>
        <v>961</v>
      </c>
      <c r="F2003" s="15">
        <f t="shared" si="1"/>
        <v>0.33</v>
      </c>
      <c r="G2003" s="13" t="str">
        <f>ROUND(Github!O$1785, 2)&amp;"%"</f>
        <v>40.37%</v>
      </c>
      <c r="H2003" s="13" t="str">
        <f>Github!H$1785</f>
        <v>Algorithms</v>
      </c>
      <c r="I2003" s="16" t="str">
        <f>SUBSTITUTE(Github!L$1785, ";", ", ")</f>
        <v>String, </v>
      </c>
      <c r="J2003" s="13" t="str">
        <f>Github!E$1785</f>
        <v>Easy</v>
      </c>
      <c r="K2003" s="13" t="str">
        <f>IF(TRIM(Github!D$1785)="TRUE","FALSE","TRUE")</f>
        <v>TRUE</v>
      </c>
      <c r="L2003" s="13" t="b">
        <f>Github!M$1785</f>
        <v>0</v>
      </c>
      <c r="M2003" s="13" t="b">
        <f>Github!N$1785</f>
        <v>0</v>
      </c>
      <c r="N2003" s="13">
        <f>Github!P$1785</f>
        <v>30413</v>
      </c>
      <c r="O2003" s="13">
        <f>Github!Q$1785</f>
        <v>75333</v>
      </c>
    </row>
    <row r="2004">
      <c r="A2004" s="13">
        <f>Github!J$1468</f>
        <v>1467</v>
      </c>
      <c r="B2004" s="14" t="str">
        <f>HYPERLINK(CONCAT("http://leetcode.com/problems/",Github!C$1468), Github!B$1468)</f>
        <v>Probability of a Two Boxes Having The Same Number of Distinct Balls</v>
      </c>
      <c r="C2004" s="13">
        <f>Github!F$1468</f>
        <v>236</v>
      </c>
      <c r="D2004" s="13">
        <f>Github!G$1468</f>
        <v>158</v>
      </c>
      <c r="E2004" s="13">
        <f>Github!F$1468+Github!G$1468</f>
        <v>394</v>
      </c>
      <c r="F2004" s="15">
        <f t="shared" si="1"/>
        <v>1.49</v>
      </c>
      <c r="G2004" s="13" t="str">
        <f>ROUND(Github!O$1468, 2)&amp;"%"</f>
        <v>61%</v>
      </c>
      <c r="H2004" s="13" t="str">
        <f>Github!H$1468</f>
        <v>Algorithms</v>
      </c>
      <c r="I2004" s="16" t="str">
        <f>SUBSTITUTE(Github!L$1468, ";", ", ")</f>
        <v>Math, Dynamic Programming, Backtracking, Combinatorics, Probability and Statistics, </v>
      </c>
      <c r="J2004" s="13" t="str">
        <f>Github!E$1468</f>
        <v>Hard</v>
      </c>
      <c r="K2004" s="13" t="str">
        <f>IF(TRIM(Github!D$1468)="TRUE","FALSE","TRUE")</f>
        <v>TRUE</v>
      </c>
      <c r="L2004" s="13" t="b">
        <f>Github!M$1468</f>
        <v>0</v>
      </c>
      <c r="M2004" s="13" t="b">
        <f>Github!N$1468</f>
        <v>0</v>
      </c>
      <c r="N2004" s="13">
        <f>Github!P$1468</f>
        <v>6796</v>
      </c>
      <c r="O2004" s="13">
        <f>Github!Q$1468</f>
        <v>11141</v>
      </c>
    </row>
    <row r="2005">
      <c r="A2005" s="13">
        <f>Github!J$1399</f>
        <v>1398</v>
      </c>
      <c r="B2005" s="14" t="str">
        <f>HYPERLINK(CONCAT("http://leetcode.com/problems/",Github!C$1399), Github!B$1399)</f>
        <v>Customers Who Bought Products A and B but Not C</v>
      </c>
      <c r="C2005" s="13">
        <f>Github!F$1399</f>
        <v>235</v>
      </c>
      <c r="D2005" s="13">
        <f>Github!G$1399</f>
        <v>13</v>
      </c>
      <c r="E2005" s="13">
        <f>Github!F$1399+Github!G$1399</f>
        <v>248</v>
      </c>
      <c r="F2005" s="15">
        <f t="shared" si="1"/>
        <v>18.08</v>
      </c>
      <c r="G2005" s="13" t="str">
        <f>ROUND(Github!O$1399, 2)&amp;"%"</f>
        <v>77.2%</v>
      </c>
      <c r="H2005" s="13" t="str">
        <f>Github!H$1399</f>
        <v>Database</v>
      </c>
      <c r="I2005" s="16" t="str">
        <f>SUBSTITUTE(Github!L$1399, ";", ", ")</f>
        <v>Database, </v>
      </c>
      <c r="J2005" s="13" t="str">
        <f>Github!E$1399</f>
        <v>Medium</v>
      </c>
      <c r="K2005" s="13" t="str">
        <f>IF(TRIM(Github!D$1399)="TRUE","FALSE","TRUE")</f>
        <v>FALSE</v>
      </c>
      <c r="L2005" s="13" t="b">
        <f>Github!M$1399</f>
        <v>0</v>
      </c>
      <c r="M2005" s="13" t="b">
        <f>Github!N$1399</f>
        <v>0</v>
      </c>
      <c r="N2005" s="13">
        <f>Github!P$1399</f>
        <v>37493</v>
      </c>
      <c r="O2005" s="13">
        <f>Github!Q$1399</f>
        <v>48564</v>
      </c>
    </row>
    <row r="2006">
      <c r="A2006" s="13">
        <f>Github!J$1605</f>
        <v>1604</v>
      </c>
      <c r="B2006" s="14" t="str">
        <f>HYPERLINK(CONCAT("http://leetcode.com/problems/",Github!C$1605), Github!B$1605)</f>
        <v>Alert Using Same Key-Card Three or More Times in a One Hour Period</v>
      </c>
      <c r="C2006" s="13">
        <f>Github!F$1605</f>
        <v>234</v>
      </c>
      <c r="D2006" s="13">
        <f>Github!G$1605</f>
        <v>350</v>
      </c>
      <c r="E2006" s="13">
        <f>Github!F$1605+Github!G$1605</f>
        <v>584</v>
      </c>
      <c r="F2006" s="15">
        <f t="shared" si="1"/>
        <v>0.67</v>
      </c>
      <c r="G2006" s="13" t="str">
        <f>ROUND(Github!O$1605, 2)&amp;"%"</f>
        <v>47.12%</v>
      </c>
      <c r="H2006" s="13" t="str">
        <f>Github!H$1605</f>
        <v>Algorithms</v>
      </c>
      <c r="I2006" s="16" t="str">
        <f>SUBSTITUTE(Github!L$1605, ";", ", ")</f>
        <v>Array, Hash Table, String, Sorting, </v>
      </c>
      <c r="J2006" s="13" t="str">
        <f>Github!E$1605</f>
        <v>Medium</v>
      </c>
      <c r="K2006" s="13" t="str">
        <f>IF(TRIM(Github!D$1605)="TRUE","FALSE","TRUE")</f>
        <v>TRUE</v>
      </c>
      <c r="L2006" s="13" t="b">
        <f>Github!M$1605</f>
        <v>0</v>
      </c>
      <c r="M2006" s="13" t="b">
        <f>Github!N$1605</f>
        <v>0</v>
      </c>
      <c r="N2006" s="13">
        <f>Github!P$1605</f>
        <v>27901</v>
      </c>
      <c r="O2006" s="13">
        <f>Github!Q$1605</f>
        <v>59212</v>
      </c>
    </row>
    <row r="2007">
      <c r="A2007" s="13">
        <f>Github!J$1299</f>
        <v>1298</v>
      </c>
      <c r="B2007" s="14" t="str">
        <f>HYPERLINK(CONCAT("http://leetcode.com/problems/",Github!C$1299), Github!B$1299)</f>
        <v>Maximum Candies You Can Get from Boxes</v>
      </c>
      <c r="C2007" s="13">
        <f>Github!F$1299</f>
        <v>238</v>
      </c>
      <c r="D2007" s="13">
        <f>Github!G$1299</f>
        <v>126</v>
      </c>
      <c r="E2007" s="13">
        <f>Github!F$1299+Github!G$1299</f>
        <v>364</v>
      </c>
      <c r="F2007" s="15">
        <f t="shared" si="1"/>
        <v>1.89</v>
      </c>
      <c r="G2007" s="13" t="str">
        <f>ROUND(Github!O$1299, 2)&amp;"%"</f>
        <v>60.62%</v>
      </c>
      <c r="H2007" s="13" t="str">
        <f>Github!H$1299</f>
        <v>Algorithms</v>
      </c>
      <c r="I2007" s="16" t="str">
        <f>SUBSTITUTE(Github!L$1299, ";", ", ")</f>
        <v>Array, Breadth-First Search, Graph, </v>
      </c>
      <c r="J2007" s="13" t="str">
        <f>Github!E$1299</f>
        <v>Hard</v>
      </c>
      <c r="K2007" s="13" t="str">
        <f>IF(TRIM(Github!D$1299)="TRUE","FALSE","TRUE")</f>
        <v>TRUE</v>
      </c>
      <c r="L2007" s="13" t="b">
        <f>Github!M$1299</f>
        <v>0</v>
      </c>
      <c r="M2007" s="13" t="b">
        <f>Github!N$1299</f>
        <v>0</v>
      </c>
      <c r="N2007" s="13">
        <f>Github!P$1299</f>
        <v>12181</v>
      </c>
      <c r="O2007" s="13">
        <f>Github!Q$1299</f>
        <v>20094</v>
      </c>
    </row>
    <row r="2008">
      <c r="A2008" s="13">
        <f>Github!J$657</f>
        <v>656</v>
      </c>
      <c r="B2008" s="14" t="str">
        <f>HYPERLINK(CONCAT("http://leetcode.com/problems/",Github!C$657), Github!B$657)</f>
        <v>Coin Path</v>
      </c>
      <c r="C2008" s="13">
        <f>Github!F$657</f>
        <v>232</v>
      </c>
      <c r="D2008" s="13">
        <f>Github!G$657</f>
        <v>105</v>
      </c>
      <c r="E2008" s="13">
        <f>Github!F$657+Github!G$657</f>
        <v>337</v>
      </c>
      <c r="F2008" s="15">
        <f t="shared" si="1"/>
        <v>2.21</v>
      </c>
      <c r="G2008" s="13" t="str">
        <f>ROUND(Github!O$657, 2)&amp;"%"</f>
        <v>31.66%</v>
      </c>
      <c r="H2008" s="13" t="str">
        <f>Github!H$657</f>
        <v>Algorithms</v>
      </c>
      <c r="I2008" s="16" t="str">
        <f>SUBSTITUTE(Github!L$657, ";", ", ")</f>
        <v>Array, Dynamic Programming, </v>
      </c>
      <c r="J2008" s="13" t="str">
        <f>Github!E$657</f>
        <v>Hard</v>
      </c>
      <c r="K2008" s="13" t="str">
        <f>IF(TRIM(Github!D$657)="TRUE","FALSE","TRUE")</f>
        <v>FALSE</v>
      </c>
      <c r="L2008" s="13" t="b">
        <f>Github!M$657</f>
        <v>1</v>
      </c>
      <c r="M2008" s="13" t="b">
        <f>Github!N$657</f>
        <v>0</v>
      </c>
      <c r="N2008" s="13">
        <f>Github!P$657</f>
        <v>13161</v>
      </c>
      <c r="O2008" s="13">
        <f>Github!Q$657</f>
        <v>41564</v>
      </c>
    </row>
    <row r="2009">
      <c r="A2009" s="13">
        <f>Github!J$1127</f>
        <v>1126</v>
      </c>
      <c r="B2009" s="14" t="str">
        <f>HYPERLINK(CONCAT("http://leetcode.com/problems/",Github!C$1127), Github!B$1127)</f>
        <v>Active Businesses</v>
      </c>
      <c r="C2009" s="13">
        <f>Github!F$1127</f>
        <v>235</v>
      </c>
      <c r="D2009" s="13">
        <f>Github!G$1127</f>
        <v>25</v>
      </c>
      <c r="E2009" s="13">
        <f>Github!F$1127+Github!G$1127</f>
        <v>260</v>
      </c>
      <c r="F2009" s="15">
        <f t="shared" si="1"/>
        <v>9.4</v>
      </c>
      <c r="G2009" s="13" t="str">
        <f>ROUND(Github!O$1127, 2)&amp;"%"</f>
        <v>67.56%</v>
      </c>
      <c r="H2009" s="13" t="str">
        <f>Github!H$1127</f>
        <v>Database</v>
      </c>
      <c r="I2009" s="16" t="str">
        <f>SUBSTITUTE(Github!L$1127, ";", ", ")</f>
        <v>Database, </v>
      </c>
      <c r="J2009" s="13" t="str">
        <f>Github!E$1127</f>
        <v>Medium</v>
      </c>
      <c r="K2009" s="13" t="str">
        <f>IF(TRIM(Github!D$1127)="TRUE","FALSE","TRUE")</f>
        <v>FALSE</v>
      </c>
      <c r="L2009" s="13" t="b">
        <f>Github!M$1127</f>
        <v>0</v>
      </c>
      <c r="M2009" s="13" t="b">
        <f>Github!N$1127</f>
        <v>0</v>
      </c>
      <c r="N2009" s="13">
        <f>Github!P$1127</f>
        <v>36915</v>
      </c>
      <c r="O2009" s="13">
        <f>Github!Q$1127</f>
        <v>54637</v>
      </c>
    </row>
    <row r="2010">
      <c r="A2010" s="13">
        <f>Github!J$712</f>
        <v>711</v>
      </c>
      <c r="B2010" s="14" t="str">
        <f>HYPERLINK(CONCAT("http://leetcode.com/problems/",Github!C$712), Github!B$712)</f>
        <v>Number of Distinct Islands II</v>
      </c>
      <c r="C2010" s="13">
        <f>Github!F$712</f>
        <v>232</v>
      </c>
      <c r="D2010" s="13">
        <f>Github!G$712</f>
        <v>233</v>
      </c>
      <c r="E2010" s="13">
        <f>Github!F$712+Github!G$712</f>
        <v>465</v>
      </c>
      <c r="F2010" s="15">
        <f t="shared" si="1"/>
        <v>1</v>
      </c>
      <c r="G2010" s="13" t="str">
        <f>ROUND(Github!O$712, 2)&amp;"%"</f>
        <v>51.75%</v>
      </c>
      <c r="H2010" s="13" t="str">
        <f>Github!H$712</f>
        <v>Algorithms</v>
      </c>
      <c r="I2010" s="16" t="str">
        <f>SUBSTITUTE(Github!L$712, ";", ", ")</f>
        <v>Hash Table, Depth-First Search, Breadth-First Search, Union Find, Hash Function, </v>
      </c>
      <c r="J2010" s="13" t="str">
        <f>Github!E$712</f>
        <v>Hard</v>
      </c>
      <c r="K2010" s="13" t="str">
        <f>IF(TRIM(Github!D$712)="TRUE","FALSE","TRUE")</f>
        <v>FALSE</v>
      </c>
      <c r="L2010" s="13" t="b">
        <f>Github!M$712</f>
        <v>1</v>
      </c>
      <c r="M2010" s="13" t="b">
        <f>Github!N$712</f>
        <v>0</v>
      </c>
      <c r="N2010" s="13">
        <f>Github!P$712</f>
        <v>9068</v>
      </c>
      <c r="O2010" s="13">
        <f>Github!Q$712</f>
        <v>17523</v>
      </c>
    </row>
    <row r="2011">
      <c r="A2011" s="13">
        <f>Github!J$1211</f>
        <v>1210</v>
      </c>
      <c r="B2011" s="14" t="str">
        <f>HYPERLINK(CONCAT("http://leetcode.com/problems/",Github!C$1211), Github!B$1211)</f>
        <v>Minimum Moves to Reach Target with Rotations</v>
      </c>
      <c r="C2011" s="13">
        <f>Github!F$1211</f>
        <v>233</v>
      </c>
      <c r="D2011" s="13">
        <f>Github!G$1211</f>
        <v>65</v>
      </c>
      <c r="E2011" s="13">
        <f>Github!F$1211+Github!G$1211</f>
        <v>298</v>
      </c>
      <c r="F2011" s="15">
        <f t="shared" si="1"/>
        <v>3.58</v>
      </c>
      <c r="G2011" s="13" t="str">
        <f>ROUND(Github!O$1211, 2)&amp;"%"</f>
        <v>49.23%</v>
      </c>
      <c r="H2011" s="13" t="str">
        <f>Github!H$1211</f>
        <v>Algorithms</v>
      </c>
      <c r="I2011" s="16" t="str">
        <f>SUBSTITUTE(Github!L$1211, ";", ", ")</f>
        <v>Array, Breadth-First Search, Matrix, </v>
      </c>
      <c r="J2011" s="13" t="str">
        <f>Github!E$1211</f>
        <v>Hard</v>
      </c>
      <c r="K2011" s="13" t="str">
        <f>IF(TRIM(Github!D$1211)="TRUE","FALSE","TRUE")</f>
        <v>TRUE</v>
      </c>
      <c r="L2011" s="13" t="b">
        <f>Github!M$1211</f>
        <v>0</v>
      </c>
      <c r="M2011" s="13" t="b">
        <f>Github!N$1211</f>
        <v>0</v>
      </c>
      <c r="N2011" s="13">
        <f>Github!P$1211</f>
        <v>8072</v>
      </c>
      <c r="O2011" s="13">
        <f>Github!Q$1211</f>
        <v>16398</v>
      </c>
    </row>
    <row r="2012">
      <c r="A2012" s="13">
        <f>Github!J$2019</f>
        <v>2018</v>
      </c>
      <c r="B2012" s="14" t="str">
        <f>HYPERLINK(CONCAT("http://leetcode.com/problems/",Github!C$2019), Github!B$2019)</f>
        <v>Check if Word Can Be Placed In Crossword</v>
      </c>
      <c r="C2012" s="13">
        <f>Github!F$2019</f>
        <v>232</v>
      </c>
      <c r="D2012" s="13">
        <f>Github!G$2019</f>
        <v>270</v>
      </c>
      <c r="E2012" s="13">
        <f>Github!F$2019+Github!G$2019</f>
        <v>502</v>
      </c>
      <c r="F2012" s="15">
        <f t="shared" si="1"/>
        <v>0.86</v>
      </c>
      <c r="G2012" s="13" t="str">
        <f>ROUND(Github!O$2019, 2)&amp;"%"</f>
        <v>49.52%</v>
      </c>
      <c r="H2012" s="13" t="str">
        <f>Github!H$2019</f>
        <v>Algorithms</v>
      </c>
      <c r="I2012" s="16" t="str">
        <f>SUBSTITUTE(Github!L$2019, ";", ", ")</f>
        <v>Array, Matrix, Enumeration, </v>
      </c>
      <c r="J2012" s="13" t="str">
        <f>Github!E$2019</f>
        <v>Medium</v>
      </c>
      <c r="K2012" s="13" t="str">
        <f>IF(TRIM(Github!D$2019)="TRUE","FALSE","TRUE")</f>
        <v>TRUE</v>
      </c>
      <c r="L2012" s="13" t="b">
        <f>Github!M$2019</f>
        <v>0</v>
      </c>
      <c r="M2012" s="13" t="b">
        <f>Github!N$2019</f>
        <v>0</v>
      </c>
      <c r="N2012" s="13">
        <f>Github!P$2019</f>
        <v>16407</v>
      </c>
      <c r="O2012" s="13">
        <f>Github!Q$2019</f>
        <v>33132</v>
      </c>
    </row>
    <row r="2013">
      <c r="A2013" s="13">
        <f>Github!J$611</f>
        <v>610</v>
      </c>
      <c r="B2013" s="14" t="str">
        <f>HYPERLINK(CONCAT("http://leetcode.com/problems/",Github!C$611), Github!B$611)</f>
        <v>Triangle Judgement</v>
      </c>
      <c r="C2013" s="13">
        <f>Github!F$611</f>
        <v>229</v>
      </c>
      <c r="D2013" s="13">
        <f>Github!G$611</f>
        <v>58</v>
      </c>
      <c r="E2013" s="13">
        <f>Github!F$611+Github!G$611</f>
        <v>287</v>
      </c>
      <c r="F2013" s="15">
        <f t="shared" si="1"/>
        <v>3.95</v>
      </c>
      <c r="G2013" s="13" t="str">
        <f>ROUND(Github!O$611, 2)&amp;"%"</f>
        <v>71.05%</v>
      </c>
      <c r="H2013" s="13" t="str">
        <f>Github!H$611</f>
        <v>Database</v>
      </c>
      <c r="I2013" s="16" t="str">
        <f>SUBSTITUTE(Github!L$611, ";", ", ")</f>
        <v>Database, </v>
      </c>
      <c r="J2013" s="13" t="str">
        <f>Github!E$611</f>
        <v>Easy</v>
      </c>
      <c r="K2013" s="13" t="str">
        <f>IF(TRIM(Github!D$611)="TRUE","FALSE","TRUE")</f>
        <v>FALSE</v>
      </c>
      <c r="L2013" s="13" t="b">
        <f>Github!M$611</f>
        <v>1</v>
      </c>
      <c r="M2013" s="13" t="b">
        <f>Github!N$611</f>
        <v>0</v>
      </c>
      <c r="N2013" s="13">
        <f>Github!P$611</f>
        <v>58083</v>
      </c>
      <c r="O2013" s="13">
        <f>Github!Q$611</f>
        <v>81755</v>
      </c>
    </row>
    <row r="2014">
      <c r="A2014" s="13">
        <f>Github!J$1896</f>
        <v>1895</v>
      </c>
      <c r="B2014" s="14" t="str">
        <f>HYPERLINK(CONCAT("http://leetcode.com/problems/",Github!C$1896), Github!B$1896)</f>
        <v>Largest Magic Square</v>
      </c>
      <c r="C2014" s="13">
        <f>Github!F$1896</f>
        <v>232</v>
      </c>
      <c r="D2014" s="13">
        <f>Github!G$1896</f>
        <v>228</v>
      </c>
      <c r="E2014" s="13">
        <f>Github!F$1896+Github!G$1896</f>
        <v>460</v>
      </c>
      <c r="F2014" s="15">
        <f t="shared" si="1"/>
        <v>1.02</v>
      </c>
      <c r="G2014" s="13" t="str">
        <f>ROUND(Github!O$1896, 2)&amp;"%"</f>
        <v>51.98%</v>
      </c>
      <c r="H2014" s="13" t="str">
        <f>Github!H$1896</f>
        <v>Algorithms</v>
      </c>
      <c r="I2014" s="16" t="str">
        <f>SUBSTITUTE(Github!L$1896, ";", ", ")</f>
        <v>Array, Matrix, Prefix Sum, </v>
      </c>
      <c r="J2014" s="13" t="str">
        <f>Github!E$1896</f>
        <v>Medium</v>
      </c>
      <c r="K2014" s="13" t="str">
        <f>IF(TRIM(Github!D$1896)="TRUE","FALSE","TRUE")</f>
        <v>TRUE</v>
      </c>
      <c r="L2014" s="13" t="b">
        <f>Github!M$1896</f>
        <v>0</v>
      </c>
      <c r="M2014" s="13" t="b">
        <f>Github!N$1896</f>
        <v>0</v>
      </c>
      <c r="N2014" s="13">
        <f>Github!P$1896</f>
        <v>8784</v>
      </c>
      <c r="O2014" s="13">
        <f>Github!Q$1896</f>
        <v>16900</v>
      </c>
    </row>
    <row r="2015">
      <c r="A2015" s="13">
        <f>Github!J$1046</f>
        <v>1045</v>
      </c>
      <c r="B2015" s="14" t="str">
        <f>HYPERLINK(CONCAT("http://leetcode.com/problems/",Github!C$1046), Github!B$1046)</f>
        <v>Customers Who Bought All Products</v>
      </c>
      <c r="C2015" s="13">
        <f>Github!F$1046</f>
        <v>231</v>
      </c>
      <c r="D2015" s="13">
        <f>Github!G$1046</f>
        <v>39</v>
      </c>
      <c r="E2015" s="13">
        <f>Github!F$1046+Github!G$1046</f>
        <v>270</v>
      </c>
      <c r="F2015" s="15">
        <f t="shared" si="1"/>
        <v>5.92</v>
      </c>
      <c r="G2015" s="13" t="str">
        <f>ROUND(Github!O$1046, 2)&amp;"%"</f>
        <v>67.34%</v>
      </c>
      <c r="H2015" s="13" t="str">
        <f>Github!H$1046</f>
        <v>Database</v>
      </c>
      <c r="I2015" s="16" t="str">
        <f>SUBSTITUTE(Github!L$1046, ";", ", ")</f>
        <v>Database, </v>
      </c>
      <c r="J2015" s="13" t="str">
        <f>Github!E$1046</f>
        <v>Medium</v>
      </c>
      <c r="K2015" s="13" t="str">
        <f>IF(TRIM(Github!D$1046)="TRUE","FALSE","TRUE")</f>
        <v>FALSE</v>
      </c>
      <c r="L2015" s="13" t="b">
        <f>Github!M$1046</f>
        <v>1</v>
      </c>
      <c r="M2015" s="13" t="b">
        <f>Github!N$1046</f>
        <v>0</v>
      </c>
      <c r="N2015" s="13">
        <f>Github!P$1046</f>
        <v>46555</v>
      </c>
      <c r="O2015" s="13">
        <f>Github!Q$1046</f>
        <v>69137</v>
      </c>
    </row>
    <row r="2016">
      <c r="A2016" s="13">
        <f>Github!J$482</f>
        <v>481</v>
      </c>
      <c r="B2016" s="14" t="str">
        <f>HYPERLINK(CONCAT("http://leetcode.com/problems/",Github!C$482), Github!B$482)</f>
        <v>Magical String</v>
      </c>
      <c r="C2016" s="13">
        <f>Github!F$482</f>
        <v>229</v>
      </c>
      <c r="D2016" s="13">
        <f>Github!G$482</f>
        <v>1060</v>
      </c>
      <c r="E2016" s="13">
        <f>Github!F$482+Github!G$482</f>
        <v>1289</v>
      </c>
      <c r="F2016" s="15">
        <f t="shared" si="1"/>
        <v>0.22</v>
      </c>
      <c r="G2016" s="13" t="str">
        <f>ROUND(Github!O$482, 2)&amp;"%"</f>
        <v>50.6%</v>
      </c>
      <c r="H2016" s="13" t="str">
        <f>Github!H$482</f>
        <v>Algorithms</v>
      </c>
      <c r="I2016" s="16" t="str">
        <f>SUBSTITUTE(Github!L$482, ";", ", ")</f>
        <v>Two Pointers, String, </v>
      </c>
      <c r="J2016" s="13" t="str">
        <f>Github!E$482</f>
        <v>Medium</v>
      </c>
      <c r="K2016" s="13" t="str">
        <f>IF(TRIM(Github!D$482)="TRUE","FALSE","TRUE")</f>
        <v>TRUE</v>
      </c>
      <c r="L2016" s="13" t="b">
        <f>Github!M$482</f>
        <v>0</v>
      </c>
      <c r="M2016" s="13" t="b">
        <f>Github!N$482</f>
        <v>0</v>
      </c>
      <c r="N2016" s="13">
        <f>Github!P$482</f>
        <v>30360</v>
      </c>
      <c r="O2016" s="13">
        <f>Github!Q$482</f>
        <v>59998</v>
      </c>
    </row>
    <row r="2017">
      <c r="A2017" s="13">
        <f>Github!J$1084</f>
        <v>1083</v>
      </c>
      <c r="B2017" s="14" t="str">
        <f>HYPERLINK(CONCAT("http://leetcode.com/problems/",Github!C$1084), Github!B$1084)</f>
        <v>Sales Analysis II</v>
      </c>
      <c r="C2017" s="13">
        <f>Github!F$1084</f>
        <v>227</v>
      </c>
      <c r="D2017" s="13">
        <f>Github!G$1084</f>
        <v>43</v>
      </c>
      <c r="E2017" s="13">
        <f>Github!F$1084+Github!G$1084</f>
        <v>270</v>
      </c>
      <c r="F2017" s="15">
        <f t="shared" si="1"/>
        <v>5.28</v>
      </c>
      <c r="G2017" s="13" t="str">
        <f>ROUND(Github!O$1084, 2)&amp;"%"</f>
        <v>50.27%</v>
      </c>
      <c r="H2017" s="13" t="str">
        <f>Github!H$1084</f>
        <v>Database</v>
      </c>
      <c r="I2017" s="16" t="str">
        <f>SUBSTITUTE(Github!L$1084, ";", ", ")</f>
        <v>Database, </v>
      </c>
      <c r="J2017" s="13" t="str">
        <f>Github!E$1084</f>
        <v>Easy</v>
      </c>
      <c r="K2017" s="13" t="str">
        <f>IF(TRIM(Github!D$1084)="TRUE","FALSE","TRUE")</f>
        <v>FALSE</v>
      </c>
      <c r="L2017" s="13" t="b">
        <f>Github!M$1084</f>
        <v>0</v>
      </c>
      <c r="M2017" s="13" t="b">
        <f>Github!N$1084</f>
        <v>0</v>
      </c>
      <c r="N2017" s="13">
        <f>Github!P$1084</f>
        <v>49299</v>
      </c>
      <c r="O2017" s="13">
        <f>Github!Q$1084</f>
        <v>98060</v>
      </c>
    </row>
    <row r="2018">
      <c r="A2018" s="13">
        <f>Github!J$1682</f>
        <v>1681</v>
      </c>
      <c r="B2018" s="14" t="str">
        <f>HYPERLINK(CONCAT("http://leetcode.com/problems/",Github!C$1682), Github!B$1682)</f>
        <v>Minimum Incompatibility</v>
      </c>
      <c r="C2018" s="13">
        <f>Github!F$1682</f>
        <v>225</v>
      </c>
      <c r="D2018" s="13">
        <f>Github!G$1682</f>
        <v>88</v>
      </c>
      <c r="E2018" s="13">
        <f>Github!F$1682+Github!G$1682</f>
        <v>313</v>
      </c>
      <c r="F2018" s="15">
        <f t="shared" si="1"/>
        <v>2.56</v>
      </c>
      <c r="G2018" s="13" t="str">
        <f>ROUND(Github!O$1682, 2)&amp;"%"</f>
        <v>37.4%</v>
      </c>
      <c r="H2018" s="13" t="str">
        <f>Github!H$1682</f>
        <v>Algorithms</v>
      </c>
      <c r="I2018" s="16" t="str">
        <f>SUBSTITUTE(Github!L$1682, ";", ", ")</f>
        <v>Array, Dynamic Programming, Bit Manipulation, Bitmask, </v>
      </c>
      <c r="J2018" s="13" t="str">
        <f>Github!E$1682</f>
        <v>Hard</v>
      </c>
      <c r="K2018" s="13" t="str">
        <f>IF(TRIM(Github!D$1682)="TRUE","FALSE","TRUE")</f>
        <v>TRUE</v>
      </c>
      <c r="L2018" s="13" t="b">
        <f>Github!M$1682</f>
        <v>0</v>
      </c>
      <c r="M2018" s="13" t="b">
        <f>Github!N$1682</f>
        <v>0</v>
      </c>
      <c r="N2018" s="13">
        <f>Github!P$1682</f>
        <v>6568</v>
      </c>
      <c r="O2018" s="13">
        <f>Github!Q$1682</f>
        <v>17563</v>
      </c>
    </row>
    <row r="2019">
      <c r="A2019" s="13">
        <f>Github!J$2287</f>
        <v>2286</v>
      </c>
      <c r="B2019" s="14" t="str">
        <f>HYPERLINK(CONCAT("http://leetcode.com/problems/",Github!C$2287), Github!B$2287)</f>
        <v>Booking Concert Tickets in Groups</v>
      </c>
      <c r="C2019" s="13">
        <f>Github!F$2287</f>
        <v>228</v>
      </c>
      <c r="D2019" s="13">
        <f>Github!G$2287</f>
        <v>45</v>
      </c>
      <c r="E2019" s="13">
        <f>Github!F$2287+Github!G$2287</f>
        <v>273</v>
      </c>
      <c r="F2019" s="15">
        <f t="shared" si="1"/>
        <v>5.07</v>
      </c>
      <c r="G2019" s="13" t="str">
        <f>ROUND(Github!O$2287, 2)&amp;"%"</f>
        <v>15.5%</v>
      </c>
      <c r="H2019" s="13" t="str">
        <f>Github!H2287</f>
        <v>Algorithms</v>
      </c>
      <c r="I2019" s="16" t="str">
        <f>SUBSTITUTE(Github!L$2287, ";", ", ")</f>
        <v>Binary Search, Design, Binary Indexed Tree, Segment Tree, </v>
      </c>
      <c r="J2019" s="13" t="str">
        <f>Github!E$2287</f>
        <v>Hard</v>
      </c>
      <c r="K2019" s="13" t="str">
        <f>IF(TRIM(Github!D$2287)="TRUE","FALSE","TRUE")</f>
        <v>TRUE</v>
      </c>
      <c r="L2019" s="13" t="b">
        <f>Github!M$2287</f>
        <v>0</v>
      </c>
      <c r="M2019" s="13" t="b">
        <f>Github!N$2287</f>
        <v>0</v>
      </c>
      <c r="N2019" s="13">
        <f>Github!P$2287</f>
        <v>4016</v>
      </c>
      <c r="O2019" s="13">
        <f>Github!Q$2287</f>
        <v>25908</v>
      </c>
    </row>
    <row r="2020">
      <c r="A2020" s="13">
        <f>Github!J$1805</f>
        <v>1804</v>
      </c>
      <c r="B2020" s="14" t="str">
        <f>HYPERLINK(CONCAT("http://leetcode.com/problems/",Github!C$1805), Github!B$1805)</f>
        <v>Implement Trie II (Prefix Tree)</v>
      </c>
      <c r="C2020" s="13">
        <f>Github!F$1805</f>
        <v>223</v>
      </c>
      <c r="D2020" s="13">
        <f>Github!G$1805</f>
        <v>11</v>
      </c>
      <c r="E2020" s="13">
        <f>Github!F$1805+Github!G$1805</f>
        <v>234</v>
      </c>
      <c r="F2020" s="15">
        <f t="shared" si="1"/>
        <v>20.27</v>
      </c>
      <c r="G2020" s="13" t="str">
        <f>ROUND(Github!O$1805, 2)&amp;"%"</f>
        <v>59.62%</v>
      </c>
      <c r="H2020" s="13" t="str">
        <f>Github!H$1805</f>
        <v>Algorithms</v>
      </c>
      <c r="I2020" s="16" t="str">
        <f>SUBSTITUTE(Github!L$1805, ";", ", ")</f>
        <v>Hash Table, String, Design, Trie, </v>
      </c>
      <c r="J2020" s="13" t="str">
        <f>Github!E$1805</f>
        <v>Medium</v>
      </c>
      <c r="K2020" s="13" t="str">
        <f>IF(TRIM(Github!D$1805)="TRUE","FALSE","TRUE")</f>
        <v>FALSE</v>
      </c>
      <c r="L2020" s="13" t="b">
        <f>Github!M$1805</f>
        <v>0</v>
      </c>
      <c r="M2020" s="13" t="b">
        <f>Github!N$1805</f>
        <v>0</v>
      </c>
      <c r="N2020" s="13">
        <f>Github!P$1805</f>
        <v>10833</v>
      </c>
      <c r="O2020" s="13">
        <f>Github!Q$1805</f>
        <v>18170</v>
      </c>
    </row>
    <row r="2021">
      <c r="A2021" s="13">
        <f>Github!J$2215</f>
        <v>2214</v>
      </c>
      <c r="B2021" s="14" t="str">
        <f>HYPERLINK(CONCAT("http://leetcode.com/problems/",Github!C$2215), Github!B$2215)</f>
        <v>Minimum Health to Beat Game</v>
      </c>
      <c r="C2021" s="13">
        <f>Github!F$2215</f>
        <v>225</v>
      </c>
      <c r="D2021" s="13">
        <f>Github!G$2215</f>
        <v>140</v>
      </c>
      <c r="E2021" s="13">
        <f>Github!F$2215+Github!G$2215</f>
        <v>365</v>
      </c>
      <c r="F2021" s="15">
        <f t="shared" si="1"/>
        <v>1.61</v>
      </c>
      <c r="G2021" s="13" t="str">
        <f>ROUND(Github!O$2215, 2)&amp;"%"</f>
        <v>57.52%</v>
      </c>
      <c r="H2021" s="13" t="str">
        <f>Github!H$2215</f>
        <v>Algorithms</v>
      </c>
      <c r="I2021" s="16" t="str">
        <f>SUBSTITUTE(Github!L$2215, ";", ", ")</f>
        <v>Array, Greedy, Prefix Sum, </v>
      </c>
      <c r="J2021" s="13" t="str">
        <f>Github!E$2215</f>
        <v>Medium</v>
      </c>
      <c r="K2021" s="13" t="str">
        <f>IF(TRIM(Github!D$2215)="TRUE","FALSE","TRUE")</f>
        <v>FALSE</v>
      </c>
      <c r="L2021" s="13" t="b">
        <f>Github!M$2215</f>
        <v>1</v>
      </c>
      <c r="M2021" s="13" t="b">
        <f>Github!N$2215</f>
        <v>0</v>
      </c>
      <c r="N2021" s="13">
        <f>Github!P$2215</f>
        <v>20755</v>
      </c>
      <c r="O2021" s="13">
        <f>Github!Q$2215</f>
        <v>36080</v>
      </c>
    </row>
    <row r="2022">
      <c r="A2022" s="13">
        <f>Github!J$1078</f>
        <v>1077</v>
      </c>
      <c r="B2022" s="14" t="str">
        <f>HYPERLINK(CONCAT("http://leetcode.com/problems/",Github!C$1078), Github!B$1078)</f>
        <v>Project Employees III</v>
      </c>
      <c r="C2022" s="13">
        <f>Github!F$1078</f>
        <v>226</v>
      </c>
      <c r="D2022" s="13">
        <f>Github!G$1078</f>
        <v>8</v>
      </c>
      <c r="E2022" s="13">
        <f>Github!F$1078+Github!G$1078</f>
        <v>234</v>
      </c>
      <c r="F2022" s="15">
        <f t="shared" si="1"/>
        <v>28.25</v>
      </c>
      <c r="G2022" s="13" t="str">
        <f>ROUND(Github!O$1078, 2)&amp;"%"</f>
        <v>78.43%</v>
      </c>
      <c r="H2022" s="13" t="str">
        <f>Github!H$1078</f>
        <v>Database</v>
      </c>
      <c r="I2022" s="16" t="str">
        <f>SUBSTITUTE(Github!L$1078, ";", ", ")</f>
        <v>Database, </v>
      </c>
      <c r="J2022" s="13" t="str">
        <f>Github!E$1078</f>
        <v>Medium</v>
      </c>
      <c r="K2022" s="13" t="str">
        <f>IF(TRIM(Github!D$1078)="TRUE","FALSE","TRUE")</f>
        <v>FALSE</v>
      </c>
      <c r="L2022" s="13" t="b">
        <f>Github!M$1078</f>
        <v>0</v>
      </c>
      <c r="M2022" s="13" t="b">
        <f>Github!N$1078</f>
        <v>0</v>
      </c>
      <c r="N2022" s="13">
        <f>Github!P$1078</f>
        <v>44222</v>
      </c>
      <c r="O2022" s="13">
        <f>Github!Q$1078</f>
        <v>56386</v>
      </c>
    </row>
    <row r="2023">
      <c r="A2023" s="13">
        <f>Github!J$1729</f>
        <v>1728</v>
      </c>
      <c r="B2023" s="14" t="str">
        <f>HYPERLINK(CONCAT("http://leetcode.com/problems/",Github!C$1729), Github!B$1729)</f>
        <v>Cat and Mouse II</v>
      </c>
      <c r="C2023" s="13">
        <f>Github!F$1729</f>
        <v>219</v>
      </c>
      <c r="D2023" s="13">
        <f>Github!G$1729</f>
        <v>35</v>
      </c>
      <c r="E2023" s="13">
        <f>Github!F$1729+Github!G$1729</f>
        <v>254</v>
      </c>
      <c r="F2023" s="15">
        <f t="shared" si="1"/>
        <v>6.26</v>
      </c>
      <c r="G2023" s="13" t="str">
        <f>ROUND(Github!O$1729, 2)&amp;"%"</f>
        <v>40.2%</v>
      </c>
      <c r="H2023" s="13" t="str">
        <f>Github!H$1729</f>
        <v>Algorithms</v>
      </c>
      <c r="I2023" s="16" t="str">
        <f>SUBSTITUTE(Github!L$1729, ";", ", ")</f>
        <v>Array, Math, Dynamic Programming, Graph, Topological Sort, Memoization, Matrix, Game Theory, </v>
      </c>
      <c r="J2023" s="13" t="str">
        <f>Github!E$1729</f>
        <v>Hard</v>
      </c>
      <c r="K2023" s="13" t="str">
        <f>IF(TRIM(Github!D$1729)="TRUE","FALSE","TRUE")</f>
        <v>TRUE</v>
      </c>
      <c r="L2023" s="13" t="b">
        <f>Github!M$1729</f>
        <v>0</v>
      </c>
      <c r="M2023" s="13" t="b">
        <f>Github!N$1729</f>
        <v>0</v>
      </c>
      <c r="N2023" s="13">
        <f>Github!P$1729</f>
        <v>5523</v>
      </c>
      <c r="O2023" s="13">
        <f>Github!Q$1729</f>
        <v>13738</v>
      </c>
    </row>
    <row r="2024">
      <c r="A2024" s="13">
        <f>Github!J$1802</f>
        <v>1801</v>
      </c>
      <c r="B2024" s="14" t="str">
        <f>HYPERLINK(CONCAT("http://leetcode.com/problems/",Github!C$1802), Github!B$1802)</f>
        <v>Number of Orders in the Backlog</v>
      </c>
      <c r="C2024" s="13">
        <f>Github!F$1802</f>
        <v>225</v>
      </c>
      <c r="D2024" s="13">
        <f>Github!G$1802</f>
        <v>203</v>
      </c>
      <c r="E2024" s="13">
        <f>Github!F$1802+Github!G$1802</f>
        <v>428</v>
      </c>
      <c r="F2024" s="15">
        <f t="shared" si="1"/>
        <v>1.11</v>
      </c>
      <c r="G2024" s="13" t="str">
        <f>ROUND(Github!O$1802, 2)&amp;"%"</f>
        <v>47.61%</v>
      </c>
      <c r="H2024" s="13" t="str">
        <f>Github!H$1802</f>
        <v>Algorithms</v>
      </c>
      <c r="I2024" s="16" t="str">
        <f>SUBSTITUTE(Github!L$1802, ";", ", ")</f>
        <v>Array, Heap (Priority Queue), Simulation, </v>
      </c>
      <c r="J2024" s="13" t="str">
        <f>Github!E$1802</f>
        <v>Medium</v>
      </c>
      <c r="K2024" s="13" t="str">
        <f>IF(TRIM(Github!D$1802)="TRUE","FALSE","TRUE")</f>
        <v>TRUE</v>
      </c>
      <c r="L2024" s="13" t="b">
        <f>Github!M$1802</f>
        <v>0</v>
      </c>
      <c r="M2024" s="13" t="b">
        <f>Github!N$1802</f>
        <v>0</v>
      </c>
      <c r="N2024" s="13">
        <f>Github!P$1802</f>
        <v>14827</v>
      </c>
      <c r="O2024" s="13">
        <f>Github!Q$1802</f>
        <v>31144</v>
      </c>
    </row>
    <row r="2025">
      <c r="A2025" s="13">
        <f>Github!J$586</f>
        <v>585</v>
      </c>
      <c r="B2025" s="14" t="str">
        <f>HYPERLINK(CONCAT("http://leetcode.com/problems/",Github!C$586), Github!B$586)</f>
        <v>Investments in 2016</v>
      </c>
      <c r="C2025" s="13">
        <f>Github!F$586</f>
        <v>220</v>
      </c>
      <c r="D2025" s="13">
        <f>Github!G$586</f>
        <v>234</v>
      </c>
      <c r="E2025" s="13">
        <f>Github!F$586+Github!G$586</f>
        <v>454</v>
      </c>
      <c r="F2025" s="15">
        <f t="shared" si="1"/>
        <v>0.94</v>
      </c>
      <c r="G2025" s="13" t="str">
        <f>ROUND(Github!O$586, 2)&amp;"%"</f>
        <v>53.1%</v>
      </c>
      <c r="H2025" s="13" t="str">
        <f>Github!H$586</f>
        <v>Database</v>
      </c>
      <c r="I2025" s="16" t="str">
        <f>SUBSTITUTE(Github!L$586, ";", ", ")</f>
        <v>Database, </v>
      </c>
      <c r="J2025" s="13" t="str">
        <f>Github!E$586</f>
        <v>Medium</v>
      </c>
      <c r="K2025" s="13" t="str">
        <f>IF(TRIM(Github!D$586)="TRUE","FALSE","TRUE")</f>
        <v>FALSE</v>
      </c>
      <c r="L2025" s="13" t="b">
        <f>Github!M$586</f>
        <v>1</v>
      </c>
      <c r="M2025" s="13" t="b">
        <f>Github!N$586</f>
        <v>0</v>
      </c>
      <c r="N2025" s="13">
        <f>Github!P$586</f>
        <v>37539</v>
      </c>
      <c r="O2025" s="13">
        <f>Github!Q$586</f>
        <v>70695</v>
      </c>
    </row>
    <row r="2026">
      <c r="A2026" s="13">
        <f>Github!J$2300</f>
        <v>2299</v>
      </c>
      <c r="B2026" s="14" t="str">
        <f>HYPERLINK(CONCAT("http://leetcode.com/problems/",Github!C$2300), Github!B$2300)</f>
        <v>Strong Password Checker II</v>
      </c>
      <c r="C2026" s="13">
        <f>Github!F$2300</f>
        <v>221</v>
      </c>
      <c r="D2026" s="13">
        <f>Github!G$2300</f>
        <v>31</v>
      </c>
      <c r="E2026" s="13">
        <f>Github!F$2300+Github!G$2300</f>
        <v>252</v>
      </c>
      <c r="F2026" s="15">
        <f t="shared" si="1"/>
        <v>7.13</v>
      </c>
      <c r="G2026" s="13" t="str">
        <f>ROUND(Github!O$2300, 2)&amp;"%"</f>
        <v>56.58%</v>
      </c>
      <c r="H2026" s="13" t="str">
        <f>Github!H2300</f>
        <v>Algorithms</v>
      </c>
      <c r="I2026" s="16" t="str">
        <f>SUBSTITUTE(Github!L$2300, ";", ", ")</f>
        <v>String, </v>
      </c>
      <c r="J2026" s="13" t="str">
        <f>Github!E$2300</f>
        <v>Easy</v>
      </c>
      <c r="K2026" s="13" t="str">
        <f>IF(TRIM(Github!D$2300)="TRUE","FALSE","TRUE")</f>
        <v>TRUE</v>
      </c>
      <c r="L2026" s="13" t="b">
        <f>Github!M$2300</f>
        <v>0</v>
      </c>
      <c r="M2026" s="13" t="b">
        <f>Github!N$2300</f>
        <v>0</v>
      </c>
      <c r="N2026" s="13">
        <f>Github!P$2300</f>
        <v>26862</v>
      </c>
      <c r="O2026" s="13">
        <f>Github!Q$2300</f>
        <v>47474</v>
      </c>
    </row>
    <row r="2027">
      <c r="A2027" s="13">
        <f>Github!J$1584</f>
        <v>1583</v>
      </c>
      <c r="B2027" s="14" t="str">
        <f>HYPERLINK(CONCAT("http://leetcode.com/problems/",Github!C$1584), Github!B$1584)</f>
        <v>Count Unhappy Friends</v>
      </c>
      <c r="C2027" s="13">
        <f>Github!F$1584</f>
        <v>220</v>
      </c>
      <c r="D2027" s="13">
        <f>Github!G$1584</f>
        <v>719</v>
      </c>
      <c r="E2027" s="13">
        <f>Github!F$1584+Github!G$1584</f>
        <v>939</v>
      </c>
      <c r="F2027" s="15">
        <f t="shared" si="1"/>
        <v>0.31</v>
      </c>
      <c r="G2027" s="13" t="str">
        <f>ROUND(Github!O$1584, 2)&amp;"%"</f>
        <v>60.56%</v>
      </c>
      <c r="H2027" s="13" t="str">
        <f>Github!H$1584</f>
        <v>Algorithms</v>
      </c>
      <c r="I2027" s="16" t="str">
        <f>SUBSTITUTE(Github!L$1584, ";", ", ")</f>
        <v>Array, Simulation, </v>
      </c>
      <c r="J2027" s="13" t="str">
        <f>Github!E$1584</f>
        <v>Medium</v>
      </c>
      <c r="K2027" s="13" t="str">
        <f>IF(TRIM(Github!D$1584)="TRUE","FALSE","TRUE")</f>
        <v>TRUE</v>
      </c>
      <c r="L2027" s="13" t="b">
        <f>Github!M$1584</f>
        <v>0</v>
      </c>
      <c r="M2027" s="13" t="b">
        <f>Github!N$1584</f>
        <v>0</v>
      </c>
      <c r="N2027" s="13">
        <f>Github!P$1584</f>
        <v>22146</v>
      </c>
      <c r="O2027" s="13">
        <f>Github!Q$1584</f>
        <v>36568</v>
      </c>
    </row>
    <row r="2028">
      <c r="A2028" s="13">
        <f>Github!J$581</f>
        <v>580</v>
      </c>
      <c r="B2028" s="14" t="str">
        <f>HYPERLINK(CONCAT("http://leetcode.com/problems/",Github!C$581), Github!B$581)</f>
        <v>Count Student Number in Departments</v>
      </c>
      <c r="C2028" s="13">
        <f>Github!F$581</f>
        <v>220</v>
      </c>
      <c r="D2028" s="13">
        <f>Github!G$581</f>
        <v>35</v>
      </c>
      <c r="E2028" s="13">
        <f>Github!F$581+Github!G$581</f>
        <v>255</v>
      </c>
      <c r="F2028" s="15">
        <f t="shared" si="1"/>
        <v>6.29</v>
      </c>
      <c r="G2028" s="13" t="str">
        <f>ROUND(Github!O$581, 2)&amp;"%"</f>
        <v>58.49%</v>
      </c>
      <c r="H2028" s="13" t="str">
        <f>Github!H$581</f>
        <v>Database</v>
      </c>
      <c r="I2028" s="16" t="str">
        <f>SUBSTITUTE(Github!L$581, ";", ", ")</f>
        <v>Database, </v>
      </c>
      <c r="J2028" s="13" t="str">
        <f>Github!E$581</f>
        <v>Medium</v>
      </c>
      <c r="K2028" s="13" t="str">
        <f>IF(TRIM(Github!D$581)="TRUE","FALSE","TRUE")</f>
        <v>FALSE</v>
      </c>
      <c r="L2028" s="13" t="b">
        <f>Github!M$581</f>
        <v>1</v>
      </c>
      <c r="M2028" s="13" t="b">
        <f>Github!N$581</f>
        <v>0</v>
      </c>
      <c r="N2028" s="13">
        <f>Github!P$581</f>
        <v>55996</v>
      </c>
      <c r="O2028" s="13">
        <f>Github!Q$581</f>
        <v>95730</v>
      </c>
    </row>
    <row r="2029">
      <c r="A2029" s="13">
        <f>Github!J$1323</f>
        <v>1322</v>
      </c>
      <c r="B2029" s="14" t="str">
        <f>HYPERLINK(CONCAT("http://leetcode.com/problems/",Github!C$1323), Github!B$1323)</f>
        <v>Ads Performance</v>
      </c>
      <c r="C2029" s="13">
        <f>Github!F$1323</f>
        <v>220</v>
      </c>
      <c r="D2029" s="13">
        <f>Github!G$1323</f>
        <v>54</v>
      </c>
      <c r="E2029" s="13">
        <f>Github!F$1323+Github!G$1323</f>
        <v>274</v>
      </c>
      <c r="F2029" s="15">
        <f t="shared" si="1"/>
        <v>4.07</v>
      </c>
      <c r="G2029" s="13" t="str">
        <f>ROUND(Github!O$1323, 2)&amp;"%"</f>
        <v>60.84%</v>
      </c>
      <c r="H2029" s="13" t="str">
        <f>Github!H$1323</f>
        <v>Database</v>
      </c>
      <c r="I2029" s="16" t="str">
        <f>SUBSTITUTE(Github!L$1323, ";", ", ")</f>
        <v>Database, </v>
      </c>
      <c r="J2029" s="13" t="str">
        <f>Github!E$1323</f>
        <v>Easy</v>
      </c>
      <c r="K2029" s="13" t="str">
        <f>IF(TRIM(Github!D$1323)="TRUE","FALSE","TRUE")</f>
        <v>FALSE</v>
      </c>
      <c r="L2029" s="13" t="b">
        <f>Github!M$1323</f>
        <v>0</v>
      </c>
      <c r="M2029" s="13" t="b">
        <f>Github!N$1323</f>
        <v>0</v>
      </c>
      <c r="N2029" s="13">
        <f>Github!P$1323</f>
        <v>34144</v>
      </c>
      <c r="O2029" s="13">
        <f>Github!Q$1323</f>
        <v>56123</v>
      </c>
    </row>
    <row r="2030">
      <c r="A2030" s="13">
        <f>Github!J$1601</f>
        <v>1600</v>
      </c>
      <c r="B2030" s="14" t="str">
        <f>HYPERLINK(CONCAT("http://leetcode.com/problems/",Github!C$1601), Github!B$1601)</f>
        <v>Throne Inheritance</v>
      </c>
      <c r="C2030" s="13">
        <f>Github!F$1601</f>
        <v>218</v>
      </c>
      <c r="D2030" s="13">
        <f>Github!G$1601</f>
        <v>268</v>
      </c>
      <c r="E2030" s="13">
        <f>Github!F$1601+Github!G$1601</f>
        <v>486</v>
      </c>
      <c r="F2030" s="15">
        <f t="shared" si="1"/>
        <v>0.81</v>
      </c>
      <c r="G2030" s="13" t="str">
        <f>ROUND(Github!O$1601, 2)&amp;"%"</f>
        <v>63.71%</v>
      </c>
      <c r="H2030" s="13" t="str">
        <f>Github!H$1601</f>
        <v>Algorithms</v>
      </c>
      <c r="I2030" s="16" t="str">
        <f>SUBSTITUTE(Github!L$1601, ";", ", ")</f>
        <v>Hash Table, Tree, Depth-First Search, Design, </v>
      </c>
      <c r="J2030" s="13" t="str">
        <f>Github!E$1601</f>
        <v>Medium</v>
      </c>
      <c r="K2030" s="13" t="str">
        <f>IF(TRIM(Github!D$1601)="TRUE","FALSE","TRUE")</f>
        <v>TRUE</v>
      </c>
      <c r="L2030" s="13" t="b">
        <f>Github!M$1601</f>
        <v>0</v>
      </c>
      <c r="M2030" s="13" t="b">
        <f>Github!N$1601</f>
        <v>0</v>
      </c>
      <c r="N2030" s="13">
        <f>Github!P$1601</f>
        <v>13253</v>
      </c>
      <c r="O2030" s="13">
        <f>Github!Q$1601</f>
        <v>20802</v>
      </c>
    </row>
    <row r="2031">
      <c r="A2031" s="13">
        <f>Github!J$1730</f>
        <v>1729</v>
      </c>
      <c r="B2031" s="14" t="str">
        <f>HYPERLINK(CONCAT("http://leetcode.com/problems/",Github!C$1730), Github!B$1730)</f>
        <v>Find Followers Count</v>
      </c>
      <c r="C2031" s="13">
        <f>Github!F$1730</f>
        <v>223</v>
      </c>
      <c r="D2031" s="13">
        <f>Github!G$1730</f>
        <v>16</v>
      </c>
      <c r="E2031" s="13">
        <f>Github!F$1730+Github!G$1730</f>
        <v>239</v>
      </c>
      <c r="F2031" s="15">
        <f t="shared" si="1"/>
        <v>13.94</v>
      </c>
      <c r="G2031" s="13" t="str">
        <f>ROUND(Github!O$1730, 2)&amp;"%"</f>
        <v>71.37%</v>
      </c>
      <c r="H2031" s="13" t="str">
        <f>Github!H$1730</f>
        <v>Database</v>
      </c>
      <c r="I2031" s="16" t="str">
        <f>SUBSTITUTE(Github!L$1730, ";", ", ")</f>
        <v>Database, </v>
      </c>
      <c r="J2031" s="13" t="str">
        <f>Github!E$1730</f>
        <v>Easy</v>
      </c>
      <c r="K2031" s="13" t="str">
        <f>IF(TRIM(Github!D$1730)="TRUE","FALSE","TRUE")</f>
        <v>TRUE</v>
      </c>
      <c r="L2031" s="13" t="b">
        <f>Github!M$1730</f>
        <v>0</v>
      </c>
      <c r="M2031" s="13" t="b">
        <f>Github!N$1730</f>
        <v>0</v>
      </c>
      <c r="N2031" s="13">
        <f>Github!P$1730</f>
        <v>48802</v>
      </c>
      <c r="O2031" s="13">
        <f>Github!Q$1730</f>
        <v>68379</v>
      </c>
    </row>
    <row r="2032">
      <c r="A2032" s="13">
        <f>Github!J$513</f>
        <v>512</v>
      </c>
      <c r="B2032" s="14" t="str">
        <f>HYPERLINK(CONCAT("http://leetcode.com/problems/",Github!C$513), Github!B$513)</f>
        <v>Game Play Analysis II</v>
      </c>
      <c r="C2032" s="13">
        <f>Github!F$513</f>
        <v>214</v>
      </c>
      <c r="D2032" s="13">
        <f>Github!G$513</f>
        <v>37</v>
      </c>
      <c r="E2032" s="13">
        <f>Github!F$513+Github!G$513</f>
        <v>251</v>
      </c>
      <c r="F2032" s="15">
        <f t="shared" si="1"/>
        <v>5.78</v>
      </c>
      <c r="G2032" s="13" t="str">
        <f>ROUND(Github!O$513, 2)&amp;"%"</f>
        <v>53.65%</v>
      </c>
      <c r="H2032" s="13" t="str">
        <f>Github!H$513</f>
        <v>Database</v>
      </c>
      <c r="I2032" s="16" t="str">
        <f>SUBSTITUTE(Github!L$513, ";", ", ")</f>
        <v>Database, </v>
      </c>
      <c r="J2032" s="13" t="str">
        <f>Github!E$513</f>
        <v>Easy</v>
      </c>
      <c r="K2032" s="13" t="str">
        <f>IF(TRIM(Github!D$513)="TRUE","FALSE","TRUE")</f>
        <v>FALSE</v>
      </c>
      <c r="L2032" s="13" t="b">
        <f>Github!M$513</f>
        <v>1</v>
      </c>
      <c r="M2032" s="13" t="b">
        <f>Github!N$513</f>
        <v>0</v>
      </c>
      <c r="N2032" s="13">
        <f>Github!P$513</f>
        <v>68584</v>
      </c>
      <c r="O2032" s="13">
        <f>Github!Q$513</f>
        <v>127827</v>
      </c>
    </row>
    <row r="2033">
      <c r="A2033" s="13">
        <f>Github!J$2214</f>
        <v>2213</v>
      </c>
      <c r="B2033" s="14" t="str">
        <f>HYPERLINK(CONCAT("http://leetcode.com/problems/",Github!C$2214), Github!B$2214)</f>
        <v>Longest Substring of One Repeating Character</v>
      </c>
      <c r="C2033" s="13">
        <f>Github!F$2214</f>
        <v>212</v>
      </c>
      <c r="D2033" s="13">
        <f>Github!G$2214</f>
        <v>78</v>
      </c>
      <c r="E2033" s="13">
        <f>Github!F$2214+Github!G$2214</f>
        <v>290</v>
      </c>
      <c r="F2033" s="15">
        <f t="shared" si="1"/>
        <v>2.72</v>
      </c>
      <c r="G2033" s="13" t="str">
        <f>ROUND(Github!O$2214, 2)&amp;"%"</f>
        <v>31.04%</v>
      </c>
      <c r="H2033" s="13" t="str">
        <f>Github!H$2214</f>
        <v>Algorithms</v>
      </c>
      <c r="I2033" s="16" t="str">
        <f>SUBSTITUTE(Github!L$2214, ";", ", ")</f>
        <v>Array, String, Segment Tree, Ordered Set, </v>
      </c>
      <c r="J2033" s="13" t="str">
        <f>Github!E$2214</f>
        <v>Hard</v>
      </c>
      <c r="K2033" s="13" t="str">
        <f>IF(TRIM(Github!D$2214)="TRUE","FALSE","TRUE")</f>
        <v>TRUE</v>
      </c>
      <c r="L2033" s="13" t="b">
        <f>Github!M$2214</f>
        <v>0</v>
      </c>
      <c r="M2033" s="13" t="b">
        <f>Github!N$2214</f>
        <v>0</v>
      </c>
      <c r="N2033" s="13">
        <f>Github!P$2214</f>
        <v>3214</v>
      </c>
      <c r="O2033" s="13">
        <f>Github!Q$2214</f>
        <v>10356</v>
      </c>
    </row>
    <row r="2034">
      <c r="A2034" s="13">
        <f>Github!J$2214</f>
        <v>2213</v>
      </c>
      <c r="B2034" s="14" t="str">
        <f>HYPERLINK(CONCAT("http://leetcode.com/problems/",Github!C$2214), Github!B$2214)</f>
        <v>Longest Substring of One Repeating Character</v>
      </c>
      <c r="C2034" s="13">
        <f>Github!F$2214</f>
        <v>212</v>
      </c>
      <c r="D2034" s="13">
        <f>Github!G$2214</f>
        <v>78</v>
      </c>
      <c r="E2034" s="13">
        <f>Github!F$2214+Github!G$2214</f>
        <v>290</v>
      </c>
      <c r="F2034" s="15">
        <f t="shared" si="1"/>
        <v>2.72</v>
      </c>
      <c r="G2034" s="13" t="str">
        <f>ROUND(Github!O$2214, 2)&amp;"%"</f>
        <v>31.04%</v>
      </c>
      <c r="H2034" s="13" t="str">
        <f>Github!H$2214</f>
        <v>Algorithms</v>
      </c>
      <c r="I2034" s="16" t="str">
        <f>SUBSTITUTE(Github!L$2214, ";", ", ")</f>
        <v>Array, String, Segment Tree, Ordered Set, </v>
      </c>
      <c r="J2034" s="13" t="str">
        <f>Github!E$2214</f>
        <v>Hard</v>
      </c>
      <c r="K2034" s="13" t="str">
        <f>IF(TRIM(Github!D$2214)="TRUE","FALSE","TRUE")</f>
        <v>TRUE</v>
      </c>
      <c r="L2034" s="13" t="b">
        <f>Github!M$2214</f>
        <v>0</v>
      </c>
      <c r="M2034" s="13" t="b">
        <f>Github!N$2214</f>
        <v>0</v>
      </c>
      <c r="N2034" s="13">
        <f>Github!P$2214</f>
        <v>3214</v>
      </c>
      <c r="O2034" s="13">
        <f>Github!Q$2214</f>
        <v>10356</v>
      </c>
    </row>
    <row r="2035">
      <c r="A2035" s="13">
        <f>Github!J$1237</f>
        <v>1236</v>
      </c>
      <c r="B2035" s="14" t="str">
        <f>HYPERLINK(CONCAT("http://leetcode.com/problems/",Github!C$1237), Github!B$1237)</f>
        <v>Web Crawler</v>
      </c>
      <c r="C2035" s="13">
        <f>Github!F$1237</f>
        <v>210</v>
      </c>
      <c r="D2035" s="13">
        <f>Github!G$1237</f>
        <v>249</v>
      </c>
      <c r="E2035" s="13">
        <f>Github!F$1237+Github!G$1237</f>
        <v>459</v>
      </c>
      <c r="F2035" s="15">
        <f t="shared" si="1"/>
        <v>0.84</v>
      </c>
      <c r="G2035" s="13" t="str">
        <f>ROUND(Github!O$1237, 2)&amp;"%"</f>
        <v>66.42%</v>
      </c>
      <c r="H2035" s="13" t="str">
        <f>Github!H$1237</f>
        <v>Algorithms</v>
      </c>
      <c r="I2035" s="16" t="str">
        <f>SUBSTITUTE(Github!L$1237, ";", ", ")</f>
        <v>String, Depth-First Search, Breadth-First Search, Interactive, </v>
      </c>
      <c r="J2035" s="13" t="str">
        <f>Github!E$1237</f>
        <v>Medium</v>
      </c>
      <c r="K2035" s="13" t="str">
        <f>IF(TRIM(Github!D$1237)="TRUE","FALSE","TRUE")</f>
        <v>FALSE</v>
      </c>
      <c r="L2035" s="13" t="b">
        <f>Github!M$1237</f>
        <v>0</v>
      </c>
      <c r="M2035" s="13" t="b">
        <f>Github!N$1237</f>
        <v>0</v>
      </c>
      <c r="N2035" s="13">
        <f>Github!P$1237</f>
        <v>28476</v>
      </c>
      <c r="O2035" s="13">
        <f>Github!Q$1237</f>
        <v>42871</v>
      </c>
    </row>
    <row r="2036">
      <c r="A2036" s="13">
        <f>Github!J$1736</f>
        <v>1735</v>
      </c>
      <c r="B2036" s="14" t="str">
        <f>HYPERLINK(CONCAT("http://leetcode.com/problems/",Github!C$1736), Github!B$1736)</f>
        <v>Count Ways to Make Array With Product</v>
      </c>
      <c r="C2036" s="13">
        <f>Github!F$1736</f>
        <v>215</v>
      </c>
      <c r="D2036" s="13">
        <f>Github!G$1736</f>
        <v>30</v>
      </c>
      <c r="E2036" s="13">
        <f>Github!F$1736+Github!G$1736</f>
        <v>245</v>
      </c>
      <c r="F2036" s="15">
        <f t="shared" si="1"/>
        <v>7.17</v>
      </c>
      <c r="G2036" s="13" t="str">
        <f>ROUND(Github!O$1736, 2)&amp;"%"</f>
        <v>50.39%</v>
      </c>
      <c r="H2036" s="13" t="str">
        <f>Github!H$1736</f>
        <v>Algorithms</v>
      </c>
      <c r="I2036" s="16" t="str">
        <f>SUBSTITUTE(Github!L$1736, ";", ", ")</f>
        <v>Array, Math, Dynamic Programming, Combinatorics, Number Theory, </v>
      </c>
      <c r="J2036" s="13" t="str">
        <f>Github!E$1736</f>
        <v>Hard</v>
      </c>
      <c r="K2036" s="13" t="str">
        <f>IF(TRIM(Github!D$1736)="TRUE","FALSE","TRUE")</f>
        <v>TRUE</v>
      </c>
      <c r="L2036" s="13" t="b">
        <f>Github!M$1736</f>
        <v>0</v>
      </c>
      <c r="M2036" s="13" t="b">
        <f>Github!N$1736</f>
        <v>0</v>
      </c>
      <c r="N2036" s="13">
        <f>Github!P$1736</f>
        <v>4256</v>
      </c>
      <c r="O2036" s="13">
        <f>Github!Q$1736</f>
        <v>8446</v>
      </c>
    </row>
    <row r="2037">
      <c r="A2037" s="13">
        <f>Github!J$1700</f>
        <v>1699</v>
      </c>
      <c r="B2037" s="14" t="str">
        <f>HYPERLINK(CONCAT("http://leetcode.com/problems/",Github!C$1700), Github!B$1700)</f>
        <v>Number of Calls Between Two Persons</v>
      </c>
      <c r="C2037" s="13">
        <f>Github!F$1700</f>
        <v>215</v>
      </c>
      <c r="D2037" s="13">
        <f>Github!G$1700</f>
        <v>11</v>
      </c>
      <c r="E2037" s="13">
        <f>Github!F$1700+Github!G$1700</f>
        <v>226</v>
      </c>
      <c r="F2037" s="15">
        <f t="shared" si="1"/>
        <v>19.55</v>
      </c>
      <c r="G2037" s="13" t="str">
        <f>ROUND(Github!O$1700, 2)&amp;"%"</f>
        <v>84.72%</v>
      </c>
      <c r="H2037" s="13" t="str">
        <f>Github!H$1700</f>
        <v>Database</v>
      </c>
      <c r="I2037" s="16" t="str">
        <f>SUBSTITUTE(Github!L$1700, ";", ", ")</f>
        <v>Database, </v>
      </c>
      <c r="J2037" s="13" t="str">
        <f>Github!E$1700</f>
        <v>Medium</v>
      </c>
      <c r="K2037" s="13" t="str">
        <f>IF(TRIM(Github!D$1700)="TRUE","FALSE","TRUE")</f>
        <v>FALSE</v>
      </c>
      <c r="L2037" s="13" t="b">
        <f>Github!M$1700</f>
        <v>0</v>
      </c>
      <c r="M2037" s="13" t="b">
        <f>Github!N$1700</f>
        <v>0</v>
      </c>
      <c r="N2037" s="13">
        <f>Github!P$1700</f>
        <v>29422</v>
      </c>
      <c r="O2037" s="13">
        <f>Github!Q$1700</f>
        <v>34727</v>
      </c>
    </row>
    <row r="2038">
      <c r="A2038" s="13">
        <f>Github!J$1757</f>
        <v>1756</v>
      </c>
      <c r="B2038" s="14" t="str">
        <f>HYPERLINK(CONCAT("http://leetcode.com/problems/",Github!C$1757), Github!B$1757)</f>
        <v>Design Most Recently Used Queue</v>
      </c>
      <c r="C2038" s="13">
        <f>Github!F$1757</f>
        <v>209</v>
      </c>
      <c r="D2038" s="13">
        <f>Github!G$1757</f>
        <v>15</v>
      </c>
      <c r="E2038" s="13">
        <f>Github!F$1757+Github!G$1757</f>
        <v>224</v>
      </c>
      <c r="F2038" s="15">
        <f t="shared" si="1"/>
        <v>13.93</v>
      </c>
      <c r="G2038" s="13" t="str">
        <f>ROUND(Github!O$1757, 2)&amp;"%"</f>
        <v>78.81%</v>
      </c>
      <c r="H2038" s="13" t="str">
        <f>Github!H$1757</f>
        <v>Algorithms</v>
      </c>
      <c r="I2038" s="16" t="str">
        <f>SUBSTITUTE(Github!L$1757, ";", ", ")</f>
        <v>Array, Hash Table, Stack, Design, Binary Indexed Tree, Ordered Set, </v>
      </c>
      <c r="J2038" s="13" t="str">
        <f>Github!E$1757</f>
        <v>Medium</v>
      </c>
      <c r="K2038" s="13" t="str">
        <f>IF(TRIM(Github!D$1757)="TRUE","FALSE","TRUE")</f>
        <v>FALSE</v>
      </c>
      <c r="L2038" s="13" t="b">
        <f>Github!M$1757</f>
        <v>0</v>
      </c>
      <c r="M2038" s="13" t="b">
        <f>Github!N$1757</f>
        <v>0</v>
      </c>
      <c r="N2038" s="13">
        <f>Github!P$1757</f>
        <v>8066</v>
      </c>
      <c r="O2038" s="13">
        <f>Github!Q$1757</f>
        <v>10235</v>
      </c>
    </row>
    <row r="2039">
      <c r="A2039" s="13">
        <f>Github!J$1274</f>
        <v>1273</v>
      </c>
      <c r="B2039" s="14" t="str">
        <f>HYPERLINK(CONCAT("http://leetcode.com/problems/",Github!C$1274), Github!B$1274)</f>
        <v>Delete Tree Nodes</v>
      </c>
      <c r="C2039" s="13">
        <f>Github!F$1274</f>
        <v>206</v>
      </c>
      <c r="D2039" s="13">
        <f>Github!G$1274</f>
        <v>60</v>
      </c>
      <c r="E2039" s="13">
        <f>Github!F$1274+Github!G$1274</f>
        <v>266</v>
      </c>
      <c r="F2039" s="15">
        <f t="shared" si="1"/>
        <v>3.43</v>
      </c>
      <c r="G2039" s="13" t="str">
        <f>ROUND(Github!O$1274, 2)&amp;"%"</f>
        <v>60.96%</v>
      </c>
      <c r="H2039" s="13" t="str">
        <f>Github!H$1274</f>
        <v>Algorithms</v>
      </c>
      <c r="I2039" s="16" t="str">
        <f>SUBSTITUTE(Github!L$1274, ";", ", ")</f>
        <v>Tree, Depth-First Search, Breadth-First Search, </v>
      </c>
      <c r="J2039" s="13" t="str">
        <f>Github!E$1274</f>
        <v>Medium</v>
      </c>
      <c r="K2039" s="13" t="str">
        <f>IF(TRIM(Github!D$1274)="TRUE","FALSE","TRUE")</f>
        <v>FALSE</v>
      </c>
      <c r="L2039" s="13" t="b">
        <f>Github!M$1274</f>
        <v>0</v>
      </c>
      <c r="M2039" s="13" t="b">
        <f>Github!N$1274</f>
        <v>0</v>
      </c>
      <c r="N2039" s="13">
        <f>Github!P$1274</f>
        <v>9140</v>
      </c>
      <c r="O2039" s="13">
        <f>Github!Q$1274</f>
        <v>14993</v>
      </c>
    </row>
    <row r="2040">
      <c r="A2040" s="13">
        <f>Github!J$632</f>
        <v>631</v>
      </c>
      <c r="B2040" s="14" t="str">
        <f>HYPERLINK(CONCAT("http://leetcode.com/problems/",Github!C$632), Github!B$632)</f>
        <v>Design Excel Sum Formula</v>
      </c>
      <c r="C2040" s="13">
        <f>Github!F$632</f>
        <v>204</v>
      </c>
      <c r="D2040" s="13">
        <f>Github!G$632</f>
        <v>241</v>
      </c>
      <c r="E2040" s="13">
        <f>Github!F$632+Github!G$632</f>
        <v>445</v>
      </c>
      <c r="F2040" s="15">
        <f t="shared" si="1"/>
        <v>0.85</v>
      </c>
      <c r="G2040" s="13" t="str">
        <f>ROUND(Github!O$632, 2)&amp;"%"</f>
        <v>43.42%</v>
      </c>
      <c r="H2040" s="13" t="str">
        <f>Github!H$632</f>
        <v>Algorithms</v>
      </c>
      <c r="I2040" s="16" t="str">
        <f>SUBSTITUTE(Github!L$632, ";", ", ")</f>
        <v>Graph, Design, Topological Sort, </v>
      </c>
      <c r="J2040" s="13" t="str">
        <f>Github!E$632</f>
        <v>Hard</v>
      </c>
      <c r="K2040" s="13" t="str">
        <f>IF(TRIM(Github!D$632)="TRUE","FALSE","TRUE")</f>
        <v>FALSE</v>
      </c>
      <c r="L2040" s="13" t="b">
        <f>Github!M$632</f>
        <v>1</v>
      </c>
      <c r="M2040" s="13" t="b">
        <f>Github!N$632</f>
        <v>0</v>
      </c>
      <c r="N2040" s="13">
        <f>Github!P$632</f>
        <v>13136</v>
      </c>
      <c r="O2040" s="13">
        <f>Github!Q$632</f>
        <v>30253</v>
      </c>
    </row>
    <row r="2041">
      <c r="A2041" s="13">
        <f>Github!J$1064</f>
        <v>1063</v>
      </c>
      <c r="B2041" s="14" t="str">
        <f>HYPERLINK(CONCAT("http://leetcode.com/problems/",Github!C$1064), Github!B$1064)</f>
        <v>Number of Valid Subarrays</v>
      </c>
      <c r="C2041" s="13">
        <f>Github!F$1064</f>
        <v>204</v>
      </c>
      <c r="D2041" s="13">
        <f>Github!G$1064</f>
        <v>9</v>
      </c>
      <c r="E2041" s="13">
        <f>Github!F$1064+Github!G$1064</f>
        <v>213</v>
      </c>
      <c r="F2041" s="15">
        <f t="shared" si="1"/>
        <v>22.67</v>
      </c>
      <c r="G2041" s="13" t="str">
        <f>ROUND(Github!O$1064, 2)&amp;"%"</f>
        <v>74.12%</v>
      </c>
      <c r="H2041" s="13" t="str">
        <f>Github!H$1064</f>
        <v>Algorithms</v>
      </c>
      <c r="I2041" s="16" t="str">
        <f>SUBSTITUTE(Github!L$1064, ";", ", ")</f>
        <v>Array, Stack, Monotonic Stack, </v>
      </c>
      <c r="J2041" s="13" t="str">
        <f>Github!E$1064</f>
        <v>Hard</v>
      </c>
      <c r="K2041" s="13" t="str">
        <f>IF(TRIM(Github!D$1064)="TRUE","FALSE","TRUE")</f>
        <v>FALSE</v>
      </c>
      <c r="L2041" s="13" t="b">
        <f>Github!M$1064</f>
        <v>0</v>
      </c>
      <c r="M2041" s="13" t="b">
        <f>Github!N$1064</f>
        <v>0</v>
      </c>
      <c r="N2041" s="13">
        <f>Github!P$1064</f>
        <v>7179</v>
      </c>
      <c r="O2041" s="13">
        <f>Github!Q$1064</f>
        <v>9685</v>
      </c>
    </row>
    <row r="2042">
      <c r="A2042" s="13">
        <f>Github!J$616</f>
        <v>615</v>
      </c>
      <c r="B2042" s="14" t="str">
        <f>HYPERLINK(CONCAT("http://leetcode.com/problems/",Github!C$616), Github!B$616)</f>
        <v>Average Salary: Departments VS Company</v>
      </c>
      <c r="C2042" s="13">
        <f>Github!F$616</f>
        <v>207</v>
      </c>
      <c r="D2042" s="13">
        <f>Github!G$616</f>
        <v>68</v>
      </c>
      <c r="E2042" s="13">
        <f>Github!F$616+Github!G$616</f>
        <v>275</v>
      </c>
      <c r="F2042" s="15">
        <f t="shared" si="1"/>
        <v>3.04</v>
      </c>
      <c r="G2042" s="13" t="str">
        <f>ROUND(Github!O$616, 2)&amp;"%"</f>
        <v>57.13%</v>
      </c>
      <c r="H2042" s="13" t="str">
        <f>Github!H$616</f>
        <v>Database</v>
      </c>
      <c r="I2042" s="16" t="str">
        <f>SUBSTITUTE(Github!L$616, ";", ", ")</f>
        <v>Database, </v>
      </c>
      <c r="J2042" s="13" t="str">
        <f>Github!E$616</f>
        <v>Hard</v>
      </c>
      <c r="K2042" s="13" t="str">
        <f>IF(TRIM(Github!D$616)="TRUE","FALSE","TRUE")</f>
        <v>FALSE</v>
      </c>
      <c r="L2042" s="13" t="b">
        <f>Github!M$616</f>
        <v>1</v>
      </c>
      <c r="M2042" s="13" t="b">
        <f>Github!N$616</f>
        <v>0</v>
      </c>
      <c r="N2042" s="13">
        <f>Github!P$616</f>
        <v>30603</v>
      </c>
      <c r="O2042" s="13">
        <f>Github!Q$616</f>
        <v>53569</v>
      </c>
    </row>
    <row r="2043">
      <c r="A2043" s="13">
        <f>Github!J$635</f>
        <v>634</v>
      </c>
      <c r="B2043" s="14" t="str">
        <f>HYPERLINK(CONCAT("http://leetcode.com/problems/",Github!C$635), Github!B$635)</f>
        <v>Find the Derangement of An Array</v>
      </c>
      <c r="C2043" s="13">
        <f>Github!F$635</f>
        <v>200</v>
      </c>
      <c r="D2043" s="13">
        <f>Github!G$635</f>
        <v>157</v>
      </c>
      <c r="E2043" s="13">
        <f>Github!F$635+Github!G$635</f>
        <v>357</v>
      </c>
      <c r="F2043" s="15">
        <f t="shared" si="1"/>
        <v>1.27</v>
      </c>
      <c r="G2043" s="13" t="str">
        <f>ROUND(Github!O$635, 2)&amp;"%"</f>
        <v>41.95%</v>
      </c>
      <c r="H2043" s="13" t="str">
        <f>Github!H$635</f>
        <v>Algorithms</v>
      </c>
      <c r="I2043" s="16" t="str">
        <f>SUBSTITUTE(Github!L$635, ";", ", ")</f>
        <v>Math, Dynamic Programming, </v>
      </c>
      <c r="J2043" s="13" t="str">
        <f>Github!E$635</f>
        <v>Medium</v>
      </c>
      <c r="K2043" s="13" t="str">
        <f>IF(TRIM(Github!D$635)="TRUE","FALSE","TRUE")</f>
        <v>FALSE</v>
      </c>
      <c r="L2043" s="13" t="b">
        <f>Github!M$635</f>
        <v>1</v>
      </c>
      <c r="M2043" s="13" t="b">
        <f>Github!N$635</f>
        <v>0</v>
      </c>
      <c r="N2043" s="13">
        <f>Github!P$635</f>
        <v>10048</v>
      </c>
      <c r="O2043" s="13">
        <f>Github!Q$635</f>
        <v>23950</v>
      </c>
    </row>
    <row r="2044">
      <c r="A2044" s="13">
        <f>Github!J$1901</f>
        <v>1900</v>
      </c>
      <c r="B2044" s="14" t="str">
        <f>HYPERLINK(CONCAT("http://leetcode.com/problems/",Github!C$1901), Github!B$1901)</f>
        <v>The Earliest and Latest Rounds Where Players Compete</v>
      </c>
      <c r="C2044" s="13">
        <f>Github!F$1901</f>
        <v>201</v>
      </c>
      <c r="D2044" s="13">
        <f>Github!G$1901</f>
        <v>17</v>
      </c>
      <c r="E2044" s="13">
        <f>Github!F$1901+Github!G$1901</f>
        <v>218</v>
      </c>
      <c r="F2044" s="15">
        <f t="shared" si="1"/>
        <v>11.82</v>
      </c>
      <c r="G2044" s="13" t="str">
        <f>ROUND(Github!O$1901, 2)&amp;"%"</f>
        <v>51.81%</v>
      </c>
      <c r="H2044" s="13" t="str">
        <f>Github!H$1901</f>
        <v>Algorithms</v>
      </c>
      <c r="I2044" s="16" t="str">
        <f>SUBSTITUTE(Github!L$1901, ";", ", ")</f>
        <v>Dynamic Programming, Memoization, </v>
      </c>
      <c r="J2044" s="13" t="str">
        <f>Github!E$1901</f>
        <v>Hard</v>
      </c>
      <c r="K2044" s="13" t="str">
        <f>IF(TRIM(Github!D$1901)="TRUE","FALSE","TRUE")</f>
        <v>TRUE</v>
      </c>
      <c r="L2044" s="13" t="b">
        <f>Github!M$1901</f>
        <v>0</v>
      </c>
      <c r="M2044" s="13" t="b">
        <f>Github!N$1901</f>
        <v>0</v>
      </c>
      <c r="N2044" s="13">
        <f>Github!P$1901</f>
        <v>4484</v>
      </c>
      <c r="O2044" s="13">
        <f>Github!Q$1901</f>
        <v>8654</v>
      </c>
    </row>
    <row r="2045">
      <c r="A2045" s="13">
        <f>Github!J$157</f>
        <v>156</v>
      </c>
      <c r="B2045" s="14" t="str">
        <f>HYPERLINK(CONCAT("http://leetcode.com/problems/",Github!C$157), Github!B$157)</f>
        <v>Binary Tree Upside Down</v>
      </c>
      <c r="C2045" s="13">
        <f>Github!F$157</f>
        <v>203</v>
      </c>
      <c r="D2045" s="13">
        <f>Github!G$157</f>
        <v>294</v>
      </c>
      <c r="E2045" s="13">
        <f>Github!F$157+Github!G$157</f>
        <v>497</v>
      </c>
      <c r="F2045" s="15">
        <f t="shared" si="1"/>
        <v>0.69</v>
      </c>
      <c r="G2045" s="13" t="str">
        <f>ROUND(Github!O$157, 2)&amp;"%"</f>
        <v>61.73%</v>
      </c>
      <c r="H2045" s="13" t="str">
        <f>Github!H$157</f>
        <v>Algorithms</v>
      </c>
      <c r="I2045" s="16" t="str">
        <f>SUBSTITUTE(Github!L$157, ";", ", ")</f>
        <v>Tree, Depth-First Search, Binary Tree, </v>
      </c>
      <c r="J2045" s="13" t="str">
        <f>Github!E$157</f>
        <v>Medium</v>
      </c>
      <c r="K2045" s="13" t="str">
        <f>IF(TRIM(Github!D$157)="TRUE","FALSE","TRUE")</f>
        <v>FALSE</v>
      </c>
      <c r="L2045" s="13" t="b">
        <f>Github!M$157</f>
        <v>0</v>
      </c>
      <c r="M2045" s="13" t="b">
        <f>Github!N$157</f>
        <v>0</v>
      </c>
      <c r="N2045" s="13">
        <f>Github!P$157</f>
        <v>95268</v>
      </c>
      <c r="O2045" s="13">
        <f>Github!Q$157</f>
        <v>154328</v>
      </c>
    </row>
    <row r="2046">
      <c r="A2046" s="13">
        <f>Github!J$1661</f>
        <v>1660</v>
      </c>
      <c r="B2046" s="14" t="str">
        <f>HYPERLINK(CONCAT("http://leetcode.com/problems/",Github!C$1661), Github!B$1661)</f>
        <v>Correct a Binary Tree</v>
      </c>
      <c r="C2046" s="13">
        <f>Github!F$1661</f>
        <v>201</v>
      </c>
      <c r="D2046" s="13">
        <f>Github!G$1661</f>
        <v>30</v>
      </c>
      <c r="E2046" s="13">
        <f>Github!F$1661+Github!G$1661</f>
        <v>231</v>
      </c>
      <c r="F2046" s="15">
        <f t="shared" si="1"/>
        <v>6.7</v>
      </c>
      <c r="G2046" s="13" t="str">
        <f>ROUND(Github!O$1661, 2)&amp;"%"</f>
        <v>72.42%</v>
      </c>
      <c r="H2046" s="13" t="str">
        <f>Github!H$1661</f>
        <v>Algorithms</v>
      </c>
      <c r="I2046" s="16" t="str">
        <f>SUBSTITUTE(Github!L$1661, ";", ", ")</f>
        <v>Hash Table, Tree, Depth-First Search, Breadth-First Search, Binary Tree, </v>
      </c>
      <c r="J2046" s="13" t="str">
        <f>Github!E$1661</f>
        <v>Medium</v>
      </c>
      <c r="K2046" s="13" t="str">
        <f>IF(TRIM(Github!D$1661)="TRUE","FALSE","TRUE")</f>
        <v>FALSE</v>
      </c>
      <c r="L2046" s="13" t="b">
        <f>Github!M$1661</f>
        <v>0</v>
      </c>
      <c r="M2046" s="13" t="b">
        <f>Github!N$1661</f>
        <v>0</v>
      </c>
      <c r="N2046" s="13">
        <f>Github!P$1661</f>
        <v>13288</v>
      </c>
      <c r="O2046" s="13">
        <f>Github!Q$1661</f>
        <v>18349</v>
      </c>
    </row>
    <row r="2047">
      <c r="A2047" s="13">
        <f>Github!J$2076</f>
        <v>2075</v>
      </c>
      <c r="B2047" s="14" t="str">
        <f>HYPERLINK(CONCAT("http://leetcode.com/problems/",Github!C$2076), Github!B$2076)</f>
        <v>Decode the Slanted Ciphertext</v>
      </c>
      <c r="C2047" s="13">
        <f>Github!F$2076</f>
        <v>203</v>
      </c>
      <c r="D2047" s="13">
        <f>Github!G$2076</f>
        <v>39</v>
      </c>
      <c r="E2047" s="13">
        <f>Github!F$2076+Github!G$2076</f>
        <v>242</v>
      </c>
      <c r="F2047" s="15">
        <f t="shared" si="1"/>
        <v>5.21</v>
      </c>
      <c r="G2047" s="13" t="str">
        <f>ROUND(Github!O$2076, 2)&amp;"%"</f>
        <v>50.22%</v>
      </c>
      <c r="H2047" s="13" t="str">
        <f>Github!H$2076</f>
        <v>Algorithms</v>
      </c>
      <c r="I2047" s="16" t="str">
        <f>SUBSTITUTE(Github!L$2076, ";", ", ")</f>
        <v>String, Simulation, </v>
      </c>
      <c r="J2047" s="13" t="str">
        <f>Github!E$2076</f>
        <v>Medium</v>
      </c>
      <c r="K2047" s="13" t="str">
        <f>IF(TRIM(Github!D$2076)="TRUE","FALSE","TRUE")</f>
        <v>TRUE</v>
      </c>
      <c r="L2047" s="13" t="b">
        <f>Github!M$2076</f>
        <v>0</v>
      </c>
      <c r="M2047" s="13" t="b">
        <f>Github!N$2076</f>
        <v>0</v>
      </c>
      <c r="N2047" s="13">
        <f>Github!P$2076</f>
        <v>10285</v>
      </c>
      <c r="O2047" s="13">
        <f>Github!Q$2076</f>
        <v>20478</v>
      </c>
    </row>
    <row r="2048">
      <c r="A2048" s="13">
        <f>Github!J$2048</f>
        <v>2047</v>
      </c>
      <c r="B2048" s="14" t="str">
        <f>HYPERLINK(CONCAT("http://leetcode.com/problems/",Github!C$2048), Github!B$2048)</f>
        <v>Number of Valid Words in a Sentence</v>
      </c>
      <c r="C2048" s="13">
        <f>Github!F$2048</f>
        <v>201</v>
      </c>
      <c r="D2048" s="13">
        <f>Github!G$2048</f>
        <v>639</v>
      </c>
      <c r="E2048" s="13">
        <f>Github!F$2048+Github!G$2048</f>
        <v>840</v>
      </c>
      <c r="F2048" s="15">
        <f t="shared" si="1"/>
        <v>0.31</v>
      </c>
      <c r="G2048" s="13" t="str">
        <f>ROUND(Github!O$2048, 2)&amp;"%"</f>
        <v>29.48%</v>
      </c>
      <c r="H2048" s="13" t="str">
        <f>Github!H$2048</f>
        <v>Algorithms</v>
      </c>
      <c r="I2048" s="16" t="str">
        <f>SUBSTITUTE(Github!L$2048, ";", ", ")</f>
        <v>String, </v>
      </c>
      <c r="J2048" s="13" t="str">
        <f>Github!E$2048</f>
        <v>Easy</v>
      </c>
      <c r="K2048" s="13" t="str">
        <f>IF(TRIM(Github!D$2048)="TRUE","FALSE","TRUE")</f>
        <v>TRUE</v>
      </c>
      <c r="L2048" s="13" t="b">
        <f>Github!M$2048</f>
        <v>0</v>
      </c>
      <c r="M2048" s="13" t="b">
        <f>Github!N$2048</f>
        <v>0</v>
      </c>
      <c r="N2048" s="13">
        <f>Github!P$2048</f>
        <v>19935</v>
      </c>
      <c r="O2048" s="13">
        <f>Github!Q$2048</f>
        <v>67621</v>
      </c>
    </row>
    <row r="2049">
      <c r="A2049" s="13">
        <f>Github!J$2020</f>
        <v>2019</v>
      </c>
      <c r="B2049" s="14" t="str">
        <f>HYPERLINK(CONCAT("http://leetcode.com/problems/",Github!C$2020), Github!B$2020)</f>
        <v>The Score of Students Solving Math Expression</v>
      </c>
      <c r="C2049" s="13">
        <f>Github!F$2020</f>
        <v>198</v>
      </c>
      <c r="D2049" s="13">
        <f>Github!G$2020</f>
        <v>71</v>
      </c>
      <c r="E2049" s="13">
        <f>Github!F$2020+Github!G$2020</f>
        <v>269</v>
      </c>
      <c r="F2049" s="15">
        <f t="shared" si="1"/>
        <v>2.79</v>
      </c>
      <c r="G2049" s="13" t="str">
        <f>ROUND(Github!O$2020, 2)&amp;"%"</f>
        <v>33.78%</v>
      </c>
      <c r="H2049" s="13" t="str">
        <f>Github!H$2020</f>
        <v>Algorithms</v>
      </c>
      <c r="I2049" s="16" t="str">
        <f>SUBSTITUTE(Github!L$2020, ";", ", ")</f>
        <v>Array, Math, String, Dynamic Programming, Stack, Memoization, </v>
      </c>
      <c r="J2049" s="13" t="str">
        <f>Github!E$2020</f>
        <v>Hard</v>
      </c>
      <c r="K2049" s="13" t="str">
        <f>IF(TRIM(Github!D$2020)="TRUE","FALSE","TRUE")</f>
        <v>TRUE</v>
      </c>
      <c r="L2049" s="13" t="b">
        <f>Github!M$2020</f>
        <v>0</v>
      </c>
      <c r="M2049" s="13" t="b">
        <f>Github!N$2020</f>
        <v>0</v>
      </c>
      <c r="N2049" s="13">
        <f>Github!P$2020</f>
        <v>5456</v>
      </c>
      <c r="O2049" s="13">
        <f>Github!Q$2020</f>
        <v>16153</v>
      </c>
    </row>
    <row r="2050">
      <c r="A2050" s="13">
        <f>Github!J$1516</f>
        <v>1515</v>
      </c>
      <c r="B2050" s="14" t="str">
        <f>HYPERLINK(CONCAT("http://leetcode.com/problems/",Github!C$1516), Github!B$1516)</f>
        <v>Best Position for a Service Centre</v>
      </c>
      <c r="C2050" s="13">
        <f>Github!F$1516</f>
        <v>197</v>
      </c>
      <c r="D2050" s="13">
        <f>Github!G$1516</f>
        <v>235</v>
      </c>
      <c r="E2050" s="13">
        <f>Github!F$1516+Github!G$1516</f>
        <v>432</v>
      </c>
      <c r="F2050" s="15">
        <f t="shared" si="1"/>
        <v>0.84</v>
      </c>
      <c r="G2050" s="13" t="str">
        <f>ROUND(Github!O$1516, 2)&amp;"%"</f>
        <v>37.85%</v>
      </c>
      <c r="H2050" s="13" t="str">
        <f>Github!H$1516</f>
        <v>Algorithms</v>
      </c>
      <c r="I2050" s="16" t="str">
        <f>SUBSTITUTE(Github!L$1516, ";", ", ")</f>
        <v>Math, Geometry, Randomized, </v>
      </c>
      <c r="J2050" s="13" t="str">
        <f>Github!E$1516</f>
        <v>Hard</v>
      </c>
      <c r="K2050" s="13" t="str">
        <f>IF(TRIM(Github!D$1516)="TRUE","FALSE","TRUE")</f>
        <v>TRUE</v>
      </c>
      <c r="L2050" s="13" t="b">
        <f>Github!M$1516</f>
        <v>0</v>
      </c>
      <c r="M2050" s="13" t="b">
        <f>Github!N$1516</f>
        <v>0</v>
      </c>
      <c r="N2050" s="13">
        <f>Github!P$1516</f>
        <v>11430</v>
      </c>
      <c r="O2050" s="13">
        <f>Github!Q$1516</f>
        <v>30202</v>
      </c>
    </row>
    <row r="2051">
      <c r="A2051" s="13">
        <f>Github!J$1915</f>
        <v>1914</v>
      </c>
      <c r="B2051" s="14" t="str">
        <f>HYPERLINK(CONCAT("http://leetcode.com/problems/",Github!C$1915), Github!B$1915)</f>
        <v>Cyclically Rotating a Grid</v>
      </c>
      <c r="C2051" s="13">
        <f>Github!F$1915</f>
        <v>197</v>
      </c>
      <c r="D2051" s="13">
        <f>Github!G$1915</f>
        <v>251</v>
      </c>
      <c r="E2051" s="13">
        <f>Github!F$1915+Github!G$1915</f>
        <v>448</v>
      </c>
      <c r="F2051" s="15">
        <f t="shared" si="1"/>
        <v>0.78</v>
      </c>
      <c r="G2051" s="13" t="str">
        <f>ROUND(Github!O$1915, 2)&amp;"%"</f>
        <v>48.17%</v>
      </c>
      <c r="H2051" s="13" t="str">
        <f>Github!H$1915</f>
        <v>Algorithms</v>
      </c>
      <c r="I2051" s="16" t="str">
        <f>SUBSTITUTE(Github!L$1915, ";", ", ")</f>
        <v>Array, Matrix, Simulation, </v>
      </c>
      <c r="J2051" s="13" t="str">
        <f>Github!E$1915</f>
        <v>Medium</v>
      </c>
      <c r="K2051" s="13" t="str">
        <f>IF(TRIM(Github!D$1915)="TRUE","FALSE","TRUE")</f>
        <v>TRUE</v>
      </c>
      <c r="L2051" s="13" t="b">
        <f>Github!M$1915</f>
        <v>0</v>
      </c>
      <c r="M2051" s="13" t="b">
        <f>Github!N$1915</f>
        <v>0</v>
      </c>
      <c r="N2051" s="13">
        <f>Github!P$1915</f>
        <v>10530</v>
      </c>
      <c r="O2051" s="13">
        <f>Github!Q$1915</f>
        <v>21862</v>
      </c>
    </row>
    <row r="2052">
      <c r="A2052" s="13">
        <f>Github!J$1897</f>
        <v>1896</v>
      </c>
      <c r="B2052" s="14" t="str">
        <f>HYPERLINK(CONCAT("http://leetcode.com/problems/",Github!C$1897), Github!B$1897)</f>
        <v>Minimum Cost to Change the Final Value of Expression</v>
      </c>
      <c r="C2052" s="13">
        <f>Github!F$1897</f>
        <v>195</v>
      </c>
      <c r="D2052" s="13">
        <f>Github!G$1897</f>
        <v>39</v>
      </c>
      <c r="E2052" s="13">
        <f>Github!F$1897+Github!G$1897</f>
        <v>234</v>
      </c>
      <c r="F2052" s="15">
        <f t="shared" si="1"/>
        <v>5</v>
      </c>
      <c r="G2052" s="13" t="str">
        <f>ROUND(Github!O$1897, 2)&amp;"%"</f>
        <v>54.81%</v>
      </c>
      <c r="H2052" s="13" t="str">
        <f>Github!H$1897</f>
        <v>Algorithms</v>
      </c>
      <c r="I2052" s="16" t="str">
        <f>SUBSTITUTE(Github!L$1897, ";", ", ")</f>
        <v>Math, String, Dynamic Programming, Stack, </v>
      </c>
      <c r="J2052" s="13" t="str">
        <f>Github!E$1897</f>
        <v>Hard</v>
      </c>
      <c r="K2052" s="13" t="str">
        <f>IF(TRIM(Github!D$1897)="TRUE","FALSE","TRUE")</f>
        <v>TRUE</v>
      </c>
      <c r="L2052" s="13" t="b">
        <f>Github!M$1897</f>
        <v>0</v>
      </c>
      <c r="M2052" s="13" t="b">
        <f>Github!N$1897</f>
        <v>0</v>
      </c>
      <c r="N2052" s="13">
        <f>Github!P$1897</f>
        <v>3148</v>
      </c>
      <c r="O2052" s="13">
        <f>Github!Q$1897</f>
        <v>5743</v>
      </c>
    </row>
    <row r="2053">
      <c r="A2053" s="13">
        <f>Github!J$1875</f>
        <v>1874</v>
      </c>
      <c r="B2053" s="14" t="str">
        <f>HYPERLINK(CONCAT("http://leetcode.com/problems/",Github!C$1875), Github!B$1875)</f>
        <v>Minimize Product Sum of Two Arrays</v>
      </c>
      <c r="C2053" s="13">
        <f>Github!F$1875</f>
        <v>200</v>
      </c>
      <c r="D2053" s="13">
        <f>Github!G$1875</f>
        <v>23</v>
      </c>
      <c r="E2053" s="13">
        <f>Github!F$1875+Github!G$1875</f>
        <v>223</v>
      </c>
      <c r="F2053" s="15">
        <f t="shared" si="1"/>
        <v>8.7</v>
      </c>
      <c r="G2053" s="13" t="str">
        <f>ROUND(Github!O$1875, 2)&amp;"%"</f>
        <v>90.34%</v>
      </c>
      <c r="H2053" s="13" t="str">
        <f>Github!H$1875</f>
        <v>Algorithms</v>
      </c>
      <c r="I2053" s="16" t="str">
        <f>SUBSTITUTE(Github!L$1875, ";", ", ")</f>
        <v>Array, Greedy, Sorting, </v>
      </c>
      <c r="J2053" s="13" t="str">
        <f>Github!E$1875</f>
        <v>Medium</v>
      </c>
      <c r="K2053" s="13" t="str">
        <f>IF(TRIM(Github!D$1875)="TRUE","FALSE","TRUE")</f>
        <v>FALSE</v>
      </c>
      <c r="L2053" s="13" t="b">
        <f>Github!M$1875</f>
        <v>1</v>
      </c>
      <c r="M2053" s="13" t="b">
        <f>Github!N$1875</f>
        <v>0</v>
      </c>
      <c r="N2053" s="13">
        <f>Github!P$1875</f>
        <v>15207</v>
      </c>
      <c r="O2053" s="13">
        <f>Github!Q$1875</f>
        <v>16834</v>
      </c>
    </row>
    <row r="2054">
      <c r="A2054" s="13">
        <f>Github!J$1446</f>
        <v>1445</v>
      </c>
      <c r="B2054" s="14" t="str">
        <f>HYPERLINK(CONCAT("http://leetcode.com/problems/",Github!C$1446), Github!B$1446)</f>
        <v>Apples &amp; Oranges</v>
      </c>
      <c r="C2054" s="13">
        <f>Github!F$1446</f>
        <v>198</v>
      </c>
      <c r="D2054" s="13">
        <f>Github!G$1446</f>
        <v>17</v>
      </c>
      <c r="E2054" s="13">
        <f>Github!F$1446+Github!G$1446</f>
        <v>215</v>
      </c>
      <c r="F2054" s="15">
        <f t="shared" si="1"/>
        <v>11.65</v>
      </c>
      <c r="G2054" s="13" t="str">
        <f>ROUND(Github!O$1446, 2)&amp;"%"</f>
        <v>90.77%</v>
      </c>
      <c r="H2054" s="13" t="str">
        <f>Github!H$1446</f>
        <v>Database</v>
      </c>
      <c r="I2054" s="16" t="str">
        <f>SUBSTITUTE(Github!L$1446, ";", ", ")</f>
        <v>Database, </v>
      </c>
      <c r="J2054" s="13" t="str">
        <f>Github!E$1446</f>
        <v>Medium</v>
      </c>
      <c r="K2054" s="13" t="str">
        <f>IF(TRIM(Github!D$1446)="TRUE","FALSE","TRUE")</f>
        <v>FALSE</v>
      </c>
      <c r="L2054" s="13" t="b">
        <f>Github!M$1446</f>
        <v>0</v>
      </c>
      <c r="M2054" s="13" t="b">
        <f>Github!N$1446</f>
        <v>0</v>
      </c>
      <c r="N2054" s="13">
        <f>Github!P$1446</f>
        <v>38609</v>
      </c>
      <c r="O2054" s="13">
        <f>Github!Q$1446</f>
        <v>42533</v>
      </c>
    </row>
    <row r="2055">
      <c r="A2055" s="13">
        <f>Github!J$613</f>
        <v>612</v>
      </c>
      <c r="B2055" s="14" t="str">
        <f>HYPERLINK(CONCAT("http://leetcode.com/problems/",Github!C$613), Github!B$613)</f>
        <v>Shortest Distance in a Plane</v>
      </c>
      <c r="C2055" s="13">
        <f>Github!F$613</f>
        <v>194</v>
      </c>
      <c r="D2055" s="13">
        <f>Github!G$613</f>
        <v>66</v>
      </c>
      <c r="E2055" s="13">
        <f>Github!F$613+Github!G$613</f>
        <v>260</v>
      </c>
      <c r="F2055" s="15">
        <f t="shared" si="1"/>
        <v>2.94</v>
      </c>
      <c r="G2055" s="13" t="str">
        <f>ROUND(Github!O$613, 2)&amp;"%"</f>
        <v>63.23%</v>
      </c>
      <c r="H2055" s="13" t="str">
        <f>Github!H$613</f>
        <v>Database</v>
      </c>
      <c r="I2055" s="16" t="str">
        <f>SUBSTITUTE(Github!L$613, ";", ", ")</f>
        <v>Database, </v>
      </c>
      <c r="J2055" s="13" t="str">
        <f>Github!E$613</f>
        <v>Medium</v>
      </c>
      <c r="K2055" s="13" t="str">
        <f>IF(TRIM(Github!D$613)="TRUE","FALSE","TRUE")</f>
        <v>FALSE</v>
      </c>
      <c r="L2055" s="13" t="b">
        <f>Github!M$613</f>
        <v>1</v>
      </c>
      <c r="M2055" s="13" t="b">
        <f>Github!N$613</f>
        <v>0</v>
      </c>
      <c r="N2055" s="13">
        <f>Github!P$613</f>
        <v>34811</v>
      </c>
      <c r="O2055" s="13">
        <f>Github!Q$613</f>
        <v>55053</v>
      </c>
    </row>
    <row r="2056">
      <c r="A2056" s="13">
        <f>Github!J$1597</f>
        <v>1596</v>
      </c>
      <c r="B2056" s="14" t="str">
        <f>HYPERLINK(CONCAT("http://leetcode.com/problems/",Github!C$1597), Github!B$1597)</f>
        <v>The Most Frequently Ordered Products for Each Customer</v>
      </c>
      <c r="C2056" s="13">
        <f>Github!F$1597</f>
        <v>195</v>
      </c>
      <c r="D2056" s="13">
        <f>Github!G$1597</f>
        <v>16</v>
      </c>
      <c r="E2056" s="13">
        <f>Github!F$1597+Github!G$1597</f>
        <v>211</v>
      </c>
      <c r="F2056" s="15">
        <f t="shared" si="1"/>
        <v>12.19</v>
      </c>
      <c r="G2056" s="13" t="str">
        <f>ROUND(Github!O$1597, 2)&amp;"%"</f>
        <v>84.96%</v>
      </c>
      <c r="H2056" s="13" t="str">
        <f>Github!H$1597</f>
        <v>Database</v>
      </c>
      <c r="I2056" s="16" t="str">
        <f>SUBSTITUTE(Github!L$1597, ";", ", ")</f>
        <v>Database, </v>
      </c>
      <c r="J2056" s="13" t="str">
        <f>Github!E$1597</f>
        <v>Medium</v>
      </c>
      <c r="K2056" s="13" t="str">
        <f>IF(TRIM(Github!D$1597)="TRUE","FALSE","TRUE")</f>
        <v>FALSE</v>
      </c>
      <c r="L2056" s="13" t="b">
        <f>Github!M$1597</f>
        <v>0</v>
      </c>
      <c r="M2056" s="13" t="b">
        <f>Github!N$1597</f>
        <v>0</v>
      </c>
      <c r="N2056" s="13">
        <f>Github!P$1597</f>
        <v>24414</v>
      </c>
      <c r="O2056" s="13">
        <f>Github!Q$1597</f>
        <v>28737</v>
      </c>
    </row>
    <row r="2057">
      <c r="A2057" s="13">
        <f>Github!J$1265</f>
        <v>1264</v>
      </c>
      <c r="B2057" s="14" t="str">
        <f>HYPERLINK(CONCAT("http://leetcode.com/problems/",Github!C$1265), Github!B$1265)</f>
        <v>Page Recommendations</v>
      </c>
      <c r="C2057" s="13">
        <f>Github!F$1265</f>
        <v>197</v>
      </c>
      <c r="D2057" s="13">
        <f>Github!G$1265</f>
        <v>17</v>
      </c>
      <c r="E2057" s="13">
        <f>Github!F$1265+Github!G$1265</f>
        <v>214</v>
      </c>
      <c r="F2057" s="15">
        <f t="shared" si="1"/>
        <v>11.59</v>
      </c>
      <c r="G2057" s="13" t="str">
        <f>ROUND(Github!O$1265, 2)&amp;"%"</f>
        <v>67.52%</v>
      </c>
      <c r="H2057" s="13" t="str">
        <f>Github!H$1265</f>
        <v>Database</v>
      </c>
      <c r="I2057" s="16" t="str">
        <f>SUBSTITUTE(Github!L$1265, ";", ", ")</f>
        <v>Database, </v>
      </c>
      <c r="J2057" s="13" t="str">
        <f>Github!E$1265</f>
        <v>Medium</v>
      </c>
      <c r="K2057" s="13" t="str">
        <f>IF(TRIM(Github!D$1265)="TRUE","FALSE","TRUE")</f>
        <v>FALSE</v>
      </c>
      <c r="L2057" s="13" t="b">
        <f>Github!M$1265</f>
        <v>0</v>
      </c>
      <c r="M2057" s="13" t="b">
        <f>Github!N$1265</f>
        <v>0</v>
      </c>
      <c r="N2057" s="13">
        <f>Github!P$1265</f>
        <v>31004</v>
      </c>
      <c r="O2057" s="13">
        <f>Github!Q$1265</f>
        <v>45920</v>
      </c>
    </row>
    <row r="2058">
      <c r="A2058" s="13">
        <f>Github!J$1786</f>
        <v>1785</v>
      </c>
      <c r="B2058" s="14" t="str">
        <f>HYPERLINK(CONCAT("http://leetcode.com/problems/",Github!C$1786), Github!B$1786)</f>
        <v>Minimum Elements to Add to Form a Given Sum</v>
      </c>
      <c r="C2058" s="13">
        <f>Github!F$1786</f>
        <v>193</v>
      </c>
      <c r="D2058" s="13">
        <f>Github!G$1786</f>
        <v>166</v>
      </c>
      <c r="E2058" s="13">
        <f>Github!F$1786+Github!G$1786</f>
        <v>359</v>
      </c>
      <c r="F2058" s="15">
        <f t="shared" si="1"/>
        <v>1.16</v>
      </c>
      <c r="G2058" s="13" t="str">
        <f>ROUND(Github!O$1786, 2)&amp;"%"</f>
        <v>42.59%</v>
      </c>
      <c r="H2058" s="13" t="str">
        <f>Github!H$1786</f>
        <v>Algorithms</v>
      </c>
      <c r="I2058" s="16" t="str">
        <f>SUBSTITUTE(Github!L$1786, ";", ", ")</f>
        <v>Array, Greedy, </v>
      </c>
      <c r="J2058" s="13" t="str">
        <f>Github!E$1786</f>
        <v>Medium</v>
      </c>
      <c r="K2058" s="13" t="str">
        <f>IF(TRIM(Github!D$1786)="TRUE","FALSE","TRUE")</f>
        <v>TRUE</v>
      </c>
      <c r="L2058" s="13" t="b">
        <f>Github!M$1786</f>
        <v>0</v>
      </c>
      <c r="M2058" s="13" t="b">
        <f>Github!N$1786</f>
        <v>0</v>
      </c>
      <c r="N2058" s="13">
        <f>Github!P$1786</f>
        <v>16801</v>
      </c>
      <c r="O2058" s="13">
        <f>Github!Q$1786</f>
        <v>39449</v>
      </c>
    </row>
    <row r="2059">
      <c r="A2059" s="13">
        <f>Github!J$580</f>
        <v>579</v>
      </c>
      <c r="B2059" s="14" t="str">
        <f>HYPERLINK(CONCAT("http://leetcode.com/problems/",Github!C$580), Github!B$580)</f>
        <v>Find Cumulative Salary of an Employee</v>
      </c>
      <c r="C2059" s="13">
        <f>Github!F$580</f>
        <v>193</v>
      </c>
      <c r="D2059" s="13">
        <f>Github!G$580</f>
        <v>389</v>
      </c>
      <c r="E2059" s="13">
        <f>Github!F$580+Github!G$580</f>
        <v>582</v>
      </c>
      <c r="F2059" s="15">
        <f t="shared" si="1"/>
        <v>0.5</v>
      </c>
      <c r="G2059" s="13" t="str">
        <f>ROUND(Github!O$580, 2)&amp;"%"</f>
        <v>45.37%</v>
      </c>
      <c r="H2059" s="13" t="str">
        <f>Github!H$580</f>
        <v>Database</v>
      </c>
      <c r="I2059" s="16" t="str">
        <f>SUBSTITUTE(Github!L$580, ";", ", ")</f>
        <v>Database, </v>
      </c>
      <c r="J2059" s="13" t="str">
        <f>Github!E$580</f>
        <v>Hard</v>
      </c>
      <c r="K2059" s="13" t="str">
        <f>IF(TRIM(Github!D$580)="TRUE","FALSE","TRUE")</f>
        <v>FALSE</v>
      </c>
      <c r="L2059" s="13" t="b">
        <f>Github!M$580</f>
        <v>1</v>
      </c>
      <c r="M2059" s="13" t="b">
        <f>Github!N$580</f>
        <v>0</v>
      </c>
      <c r="N2059" s="13">
        <f>Github!P$580</f>
        <v>29432</v>
      </c>
      <c r="O2059" s="13">
        <f>Github!Q$580</f>
        <v>64868</v>
      </c>
    </row>
    <row r="2060">
      <c r="A2060" s="13">
        <f>Github!J$2106</f>
        <v>2105</v>
      </c>
      <c r="B2060" s="14" t="str">
        <f>HYPERLINK(CONCAT("http://leetcode.com/problems/",Github!C$2106), Github!B$2106)</f>
        <v>Watering Plants II</v>
      </c>
      <c r="C2060" s="13">
        <f>Github!F$2106</f>
        <v>194</v>
      </c>
      <c r="D2060" s="13">
        <f>Github!G$2106</f>
        <v>140</v>
      </c>
      <c r="E2060" s="13">
        <f>Github!F$2106+Github!G$2106</f>
        <v>334</v>
      </c>
      <c r="F2060" s="15">
        <f t="shared" si="1"/>
        <v>1.39</v>
      </c>
      <c r="G2060" s="13" t="str">
        <f>ROUND(Github!O$2106, 2)&amp;"%"</f>
        <v>50.04%</v>
      </c>
      <c r="H2060" s="13" t="str">
        <f>Github!H$2106</f>
        <v>Algorithms</v>
      </c>
      <c r="I2060" s="16" t="str">
        <f>SUBSTITUTE(Github!L$2106, ";", ", ")</f>
        <v>Array, Two Pointers, Simulation, </v>
      </c>
      <c r="J2060" s="13" t="str">
        <f>Github!E$2106</f>
        <v>Medium</v>
      </c>
      <c r="K2060" s="13" t="str">
        <f>IF(TRIM(Github!D$2106)="TRUE","FALSE","TRUE")</f>
        <v>TRUE</v>
      </c>
      <c r="L2060" s="13" t="b">
        <f>Github!M$2106</f>
        <v>0</v>
      </c>
      <c r="M2060" s="13" t="b">
        <f>Github!N$2106</f>
        <v>0</v>
      </c>
      <c r="N2060" s="13">
        <f>Github!P$2106</f>
        <v>14441</v>
      </c>
      <c r="O2060" s="13">
        <f>Github!Q$2106</f>
        <v>28861</v>
      </c>
    </row>
    <row r="2061">
      <c r="A2061" s="13">
        <f>Github!J$1385</f>
        <v>1384</v>
      </c>
      <c r="B2061" s="14" t="str">
        <f>HYPERLINK(CONCAT("http://leetcode.com/problems/",Github!C$1385), Github!B$1385)</f>
        <v>Total Sales Amount by Year</v>
      </c>
      <c r="C2061" s="13">
        <f>Github!F$1385</f>
        <v>192</v>
      </c>
      <c r="D2061" s="13">
        <f>Github!G$1385</f>
        <v>98</v>
      </c>
      <c r="E2061" s="13">
        <f>Github!F$1385+Github!G$1385</f>
        <v>290</v>
      </c>
      <c r="F2061" s="15">
        <f t="shared" si="1"/>
        <v>1.96</v>
      </c>
      <c r="G2061" s="13" t="str">
        <f>ROUND(Github!O$1385, 2)&amp;"%"</f>
        <v>67.17%</v>
      </c>
      <c r="H2061" s="13" t="str">
        <f>Github!H$1385</f>
        <v>Database</v>
      </c>
      <c r="I2061" s="16" t="str">
        <f>SUBSTITUTE(Github!L$1385, ";", ", ")</f>
        <v>Database, </v>
      </c>
      <c r="J2061" s="13" t="str">
        <f>Github!E$1385</f>
        <v>Hard</v>
      </c>
      <c r="K2061" s="13" t="str">
        <f>IF(TRIM(Github!D$1385)="TRUE","FALSE","TRUE")</f>
        <v>FALSE</v>
      </c>
      <c r="L2061" s="13" t="b">
        <f>Github!M$1385</f>
        <v>0</v>
      </c>
      <c r="M2061" s="13" t="b">
        <f>Github!N$1385</f>
        <v>0</v>
      </c>
      <c r="N2061" s="13">
        <f>Github!P$1385</f>
        <v>13412</v>
      </c>
      <c r="O2061" s="13">
        <f>Github!Q$1385</f>
        <v>19968</v>
      </c>
    </row>
    <row r="2062">
      <c r="A2062" s="13">
        <f>Github!J$2344</f>
        <v>2343</v>
      </c>
      <c r="B2062" s="14" t="str">
        <f>HYPERLINK(CONCAT("http://leetcode.com/problems/",Github!C$2344), Github!B$2344)</f>
        <v>Query Kth Smallest Trimmed Number</v>
      </c>
      <c r="C2062" s="13">
        <f>Github!F$2344</f>
        <v>190</v>
      </c>
      <c r="D2062" s="13">
        <f>Github!G$2344</f>
        <v>350</v>
      </c>
      <c r="E2062" s="13">
        <f>Github!F$2344+Github!G$2344</f>
        <v>540</v>
      </c>
      <c r="F2062" s="15">
        <f t="shared" si="1"/>
        <v>0.54</v>
      </c>
      <c r="G2062" s="13" t="str">
        <f>ROUND(Github!O$2344, 2)&amp;"%"</f>
        <v>40.99%</v>
      </c>
      <c r="H2062" s="13" t="str">
        <f>Github!H2344</f>
        <v>Algorithms</v>
      </c>
      <c r="I2062" s="16" t="str">
        <f>SUBSTITUTE(Github!L$2344, ";", ", ")</f>
        <v>Array, String, Divide and Conquer, Sorting, Heap (Priority Queue), Radix Sort, Quickselect, </v>
      </c>
      <c r="J2062" s="13" t="str">
        <f>Github!E$2344</f>
        <v>Medium</v>
      </c>
      <c r="K2062" s="13" t="str">
        <f>IF(TRIM(Github!D$2344)="TRUE","FALSE","TRUE")</f>
        <v>TRUE</v>
      </c>
      <c r="L2062" s="13" t="b">
        <f>Github!M$2344</f>
        <v>0</v>
      </c>
      <c r="M2062" s="13" t="b">
        <f>Github!N$2344</f>
        <v>0</v>
      </c>
      <c r="N2062" s="13">
        <f>Github!P$2344</f>
        <v>19434</v>
      </c>
      <c r="O2062" s="13">
        <f>Github!Q$2344</f>
        <v>47411</v>
      </c>
    </row>
    <row r="2063">
      <c r="A2063" s="13">
        <f>Github!J$1174</f>
        <v>1173</v>
      </c>
      <c r="B2063" s="14" t="str">
        <f>HYPERLINK(CONCAT("http://leetcode.com/problems/",Github!C$1174), Github!B$1174)</f>
        <v>Immediate Food Delivery I</v>
      </c>
      <c r="C2063" s="13">
        <f>Github!F$1174</f>
        <v>191</v>
      </c>
      <c r="D2063" s="13">
        <f>Github!G$1174</f>
        <v>10</v>
      </c>
      <c r="E2063" s="13">
        <f>Github!F$1174+Github!G$1174</f>
        <v>201</v>
      </c>
      <c r="F2063" s="15">
        <f t="shared" si="1"/>
        <v>19.1</v>
      </c>
      <c r="G2063" s="13" t="str">
        <f>ROUND(Github!O$1174, 2)&amp;"%"</f>
        <v>83.28%</v>
      </c>
      <c r="H2063" s="13" t="str">
        <f>Github!H$1174</f>
        <v>Database</v>
      </c>
      <c r="I2063" s="16" t="str">
        <f>SUBSTITUTE(Github!L$1174, ";", ", ")</f>
        <v>Database, </v>
      </c>
      <c r="J2063" s="13" t="str">
        <f>Github!E$1174</f>
        <v>Easy</v>
      </c>
      <c r="K2063" s="13" t="str">
        <f>IF(TRIM(Github!D$1174)="TRUE","FALSE","TRUE")</f>
        <v>FALSE</v>
      </c>
      <c r="L2063" s="13" t="b">
        <f>Github!M$1174</f>
        <v>0</v>
      </c>
      <c r="M2063" s="13" t="b">
        <f>Github!N$1174</f>
        <v>0</v>
      </c>
      <c r="N2063" s="13">
        <f>Github!P$1174</f>
        <v>49776</v>
      </c>
      <c r="O2063" s="13">
        <f>Github!Q$1174</f>
        <v>59770</v>
      </c>
    </row>
    <row r="2064">
      <c r="A2064" s="13">
        <f>Github!J$1913</f>
        <v>1912</v>
      </c>
      <c r="B2064" s="14" t="str">
        <f>HYPERLINK(CONCAT("http://leetcode.com/problems/",Github!C$1913), Github!B$1913)</f>
        <v>Design Movie Rental System</v>
      </c>
      <c r="C2064" s="13">
        <f>Github!F$1913</f>
        <v>192</v>
      </c>
      <c r="D2064" s="13">
        <f>Github!G$1913</f>
        <v>34</v>
      </c>
      <c r="E2064" s="13">
        <f>Github!F$1913+Github!G$1913</f>
        <v>226</v>
      </c>
      <c r="F2064" s="15">
        <f t="shared" si="1"/>
        <v>5.65</v>
      </c>
      <c r="G2064" s="13" t="str">
        <f>ROUND(Github!O$1913, 2)&amp;"%"</f>
        <v>40.66%</v>
      </c>
      <c r="H2064" s="13" t="str">
        <f>Github!H$1913</f>
        <v>Algorithms</v>
      </c>
      <c r="I2064" s="16" t="str">
        <f>SUBSTITUTE(Github!L$1913, ";", ", ")</f>
        <v>Array, Hash Table, Design, Heap (Priority Queue), Ordered Set, </v>
      </c>
      <c r="J2064" s="13" t="str">
        <f>Github!E$1913</f>
        <v>Hard</v>
      </c>
      <c r="K2064" s="13" t="str">
        <f>IF(TRIM(Github!D$1913)="TRUE","FALSE","TRUE")</f>
        <v>TRUE</v>
      </c>
      <c r="L2064" s="13" t="b">
        <f>Github!M$1913</f>
        <v>0</v>
      </c>
      <c r="M2064" s="13" t="b">
        <f>Github!N$1913</f>
        <v>0</v>
      </c>
      <c r="N2064" s="13">
        <f>Github!P$1913</f>
        <v>4700</v>
      </c>
      <c r="O2064" s="13">
        <f>Github!Q$1913</f>
        <v>11559</v>
      </c>
    </row>
    <row r="2065">
      <c r="A2065" s="13">
        <f>Github!J$790</f>
        <v>789</v>
      </c>
      <c r="B2065" s="14" t="str">
        <f>HYPERLINK(CONCAT("http://leetcode.com/problems/",Github!C$790), Github!B$790)</f>
        <v>Escape The Ghosts</v>
      </c>
      <c r="C2065" s="13">
        <f>Github!F$790</f>
        <v>187</v>
      </c>
      <c r="D2065" s="13">
        <f>Github!G$790</f>
        <v>21</v>
      </c>
      <c r="E2065" s="13">
        <f>Github!F$790+Github!G$790</f>
        <v>208</v>
      </c>
      <c r="F2065" s="15">
        <f t="shared" si="1"/>
        <v>8.9</v>
      </c>
      <c r="G2065" s="13" t="str">
        <f>ROUND(Github!O$790, 2)&amp;"%"</f>
        <v>60.78%</v>
      </c>
      <c r="H2065" s="13" t="str">
        <f>Github!H$790</f>
        <v>Algorithms</v>
      </c>
      <c r="I2065" s="16" t="str">
        <f>SUBSTITUTE(Github!L$790, ";", ", ")</f>
        <v>Array, Math, </v>
      </c>
      <c r="J2065" s="13" t="str">
        <f>Github!E$790</f>
        <v>Medium</v>
      </c>
      <c r="K2065" s="13" t="str">
        <f>IF(TRIM(Github!D$790)="TRUE","FALSE","TRUE")</f>
        <v>TRUE</v>
      </c>
      <c r="L2065" s="13" t="b">
        <f>Github!M$790</f>
        <v>1</v>
      </c>
      <c r="M2065" s="13" t="b">
        <f>Github!N$790</f>
        <v>0</v>
      </c>
      <c r="N2065" s="13">
        <f>Github!P$790</f>
        <v>23904</v>
      </c>
      <c r="O2065" s="13">
        <f>Github!Q$790</f>
        <v>39330</v>
      </c>
    </row>
    <row r="2066">
      <c r="A2066" s="13">
        <f>Github!J$2030</f>
        <v>2029</v>
      </c>
      <c r="B2066" s="14" t="str">
        <f>HYPERLINK(CONCAT("http://leetcode.com/problems/",Github!C$2030), Github!B$2030)</f>
        <v>Stone Game IX</v>
      </c>
      <c r="C2066" s="13">
        <f>Github!F$2030</f>
        <v>187</v>
      </c>
      <c r="D2066" s="13">
        <f>Github!G$2030</f>
        <v>240</v>
      </c>
      <c r="E2066" s="13">
        <f>Github!F$2030+Github!G$2030</f>
        <v>427</v>
      </c>
      <c r="F2066" s="15">
        <f t="shared" si="1"/>
        <v>0.78</v>
      </c>
      <c r="G2066" s="13" t="str">
        <f>ROUND(Github!O$2030, 2)&amp;"%"</f>
        <v>26.46%</v>
      </c>
      <c r="H2066" s="13" t="str">
        <f>Github!H$2030</f>
        <v>Algorithms</v>
      </c>
      <c r="I2066" s="16" t="str">
        <f>SUBSTITUTE(Github!L$2030, ";", ", ")</f>
        <v>Array, Math, Greedy, Counting, Game Theory, </v>
      </c>
      <c r="J2066" s="13" t="str">
        <f>Github!E$2030</f>
        <v>Medium</v>
      </c>
      <c r="K2066" s="13" t="str">
        <f>IF(TRIM(Github!D$2030)="TRUE","FALSE","TRUE")</f>
        <v>TRUE</v>
      </c>
      <c r="L2066" s="13" t="b">
        <f>Github!M$2030</f>
        <v>0</v>
      </c>
      <c r="M2066" s="13" t="b">
        <f>Github!N$2030</f>
        <v>0</v>
      </c>
      <c r="N2066" s="13">
        <f>Github!P$2030</f>
        <v>6073</v>
      </c>
      <c r="O2066" s="13">
        <f>Github!Q$2030</f>
        <v>22955</v>
      </c>
    </row>
    <row r="2067">
      <c r="A2067" s="13">
        <f>Github!J$1431</f>
        <v>1430</v>
      </c>
      <c r="B2067" s="14" t="str">
        <f>HYPERLINK(CONCAT("http://leetcode.com/problems/",Github!C$1431), Github!B$1431)</f>
        <v>Check If a String Is a Valid Sequence from Root to Leaves Path in a Binary Tree</v>
      </c>
      <c r="C2067" s="13">
        <f>Github!F$1431</f>
        <v>184</v>
      </c>
      <c r="D2067" s="13">
        <f>Github!G$1431</f>
        <v>12</v>
      </c>
      <c r="E2067" s="13">
        <f>Github!F$1431+Github!G$1431</f>
        <v>196</v>
      </c>
      <c r="F2067" s="15">
        <f t="shared" si="1"/>
        <v>15.33</v>
      </c>
      <c r="G2067" s="13" t="str">
        <f>ROUND(Github!O$1431, 2)&amp;"%"</f>
        <v>46.28%</v>
      </c>
      <c r="H2067" s="13" t="str">
        <f>Github!H$1431</f>
        <v>Algorithms</v>
      </c>
      <c r="I2067" s="16" t="str">
        <f>SUBSTITUTE(Github!L$1431, ";", ", ")</f>
        <v>Tree, Depth-First Search, Breadth-First Search, Binary Tree, </v>
      </c>
      <c r="J2067" s="13" t="str">
        <f>Github!E$1431</f>
        <v>Medium</v>
      </c>
      <c r="K2067" s="13" t="str">
        <f>IF(TRIM(Github!D$1431)="TRUE","FALSE","TRUE")</f>
        <v>FALSE</v>
      </c>
      <c r="L2067" s="13" t="b">
        <f>Github!M$1431</f>
        <v>0</v>
      </c>
      <c r="M2067" s="13" t="b">
        <f>Github!N$1431</f>
        <v>0</v>
      </c>
      <c r="N2067" s="13">
        <f>Github!P$1431</f>
        <v>42103</v>
      </c>
      <c r="O2067" s="13">
        <f>Github!Q$1431</f>
        <v>90969</v>
      </c>
    </row>
    <row r="2068">
      <c r="A2068" s="13">
        <f>Github!J$1614</f>
        <v>1613</v>
      </c>
      <c r="B2068" s="14" t="str">
        <f>HYPERLINK(CONCAT("http://leetcode.com/problems/",Github!C$1614), Github!B$1614)</f>
        <v>Find the Missing IDs</v>
      </c>
      <c r="C2068" s="13">
        <f>Github!F$1614</f>
        <v>184</v>
      </c>
      <c r="D2068" s="13">
        <f>Github!G$1614</f>
        <v>25</v>
      </c>
      <c r="E2068" s="13">
        <f>Github!F$1614+Github!G$1614</f>
        <v>209</v>
      </c>
      <c r="F2068" s="15">
        <f t="shared" si="1"/>
        <v>7.36</v>
      </c>
      <c r="G2068" s="13" t="str">
        <f>ROUND(Github!O$1614, 2)&amp;"%"</f>
        <v>75.88%</v>
      </c>
      <c r="H2068" s="13" t="str">
        <f>Github!H$1614</f>
        <v>Database</v>
      </c>
      <c r="I2068" s="16" t="str">
        <f>SUBSTITUTE(Github!L$1614, ";", ", ")</f>
        <v>Database, </v>
      </c>
      <c r="J2068" s="13" t="str">
        <f>Github!E$1614</f>
        <v>Medium</v>
      </c>
      <c r="K2068" s="13" t="str">
        <f>IF(TRIM(Github!D$1614)="TRUE","FALSE","TRUE")</f>
        <v>FALSE</v>
      </c>
      <c r="L2068" s="13" t="b">
        <f>Github!M$1614</f>
        <v>0</v>
      </c>
      <c r="M2068" s="13" t="b">
        <f>Github!N$1614</f>
        <v>0</v>
      </c>
      <c r="N2068" s="13">
        <f>Github!P$1614</f>
        <v>14138</v>
      </c>
      <c r="O2068" s="13">
        <f>Github!Q$1614</f>
        <v>18632</v>
      </c>
    </row>
    <row r="2069">
      <c r="A2069" s="13">
        <f>Github!J$1057</f>
        <v>1056</v>
      </c>
      <c r="B2069" s="14" t="str">
        <f>HYPERLINK(CONCAT("http://leetcode.com/problems/",Github!C$1057), Github!B$1057)</f>
        <v>Confusing Number</v>
      </c>
      <c r="C2069" s="13">
        <f>Github!F$1057</f>
        <v>203</v>
      </c>
      <c r="D2069" s="13">
        <f>Github!G$1057</f>
        <v>108</v>
      </c>
      <c r="E2069" s="13">
        <f>Github!F$1057+Github!G$1057</f>
        <v>311</v>
      </c>
      <c r="F2069" s="15">
        <f t="shared" si="1"/>
        <v>1.88</v>
      </c>
      <c r="G2069" s="13" t="str">
        <f>ROUND(Github!O$1057, 2)&amp;"%"</f>
        <v>47.09%</v>
      </c>
      <c r="H2069" s="13" t="str">
        <f>Github!H$1057</f>
        <v>Algorithms</v>
      </c>
      <c r="I2069" s="16" t="str">
        <f>SUBSTITUTE(Github!L$1057, ";", ", ")</f>
        <v>Math, </v>
      </c>
      <c r="J2069" s="13" t="str">
        <f>Github!E$1057</f>
        <v>Easy</v>
      </c>
      <c r="K2069" s="13" t="str">
        <f>IF(TRIM(Github!D$1057)="TRUE","FALSE","TRUE")</f>
        <v>FALSE</v>
      </c>
      <c r="L2069" s="13" t="b">
        <f>Github!M$1057</f>
        <v>1</v>
      </c>
      <c r="M2069" s="13" t="b">
        <f>Github!N$1057</f>
        <v>0</v>
      </c>
      <c r="N2069" s="13">
        <f>Github!P$1057</f>
        <v>30740</v>
      </c>
      <c r="O2069" s="13">
        <f>Github!Q$1057</f>
        <v>65290</v>
      </c>
    </row>
    <row r="2070">
      <c r="A2070" s="13">
        <f>Github!J$294</f>
        <v>293</v>
      </c>
      <c r="B2070" s="14" t="str">
        <f>HYPERLINK(CONCAT("http://leetcode.com/problems/",Github!C$294), Github!B$294)</f>
        <v>Flip Game</v>
      </c>
      <c r="C2070" s="13">
        <f>Github!F$294</f>
        <v>182</v>
      </c>
      <c r="D2070" s="13">
        <f>Github!G$294</f>
        <v>415</v>
      </c>
      <c r="E2070" s="13">
        <f>Github!F$294+Github!G$294</f>
        <v>597</v>
      </c>
      <c r="F2070" s="15">
        <f t="shared" si="1"/>
        <v>0.44</v>
      </c>
      <c r="G2070" s="13" t="str">
        <f>ROUND(Github!O$294, 2)&amp;"%"</f>
        <v>63.11%</v>
      </c>
      <c r="H2070" s="13" t="str">
        <f>Github!H$294</f>
        <v>Algorithms</v>
      </c>
      <c r="I2070" s="16" t="str">
        <f>SUBSTITUTE(Github!L$294, ";", ", ")</f>
        <v>String, </v>
      </c>
      <c r="J2070" s="13" t="str">
        <f>Github!E$294</f>
        <v>Easy</v>
      </c>
      <c r="K2070" s="13" t="str">
        <f>IF(TRIM(Github!D$294)="TRUE","FALSE","TRUE")</f>
        <v>FALSE</v>
      </c>
      <c r="L2070" s="13" t="b">
        <f>Github!M$294</f>
        <v>0</v>
      </c>
      <c r="M2070" s="13" t="b">
        <f>Github!N$294</f>
        <v>0</v>
      </c>
      <c r="N2070" s="13">
        <f>Github!P$294</f>
        <v>62640</v>
      </c>
      <c r="O2070" s="13">
        <f>Github!Q$294</f>
        <v>99255</v>
      </c>
    </row>
    <row r="2071">
      <c r="A2071" s="13">
        <f>Github!J$1809</f>
        <v>1808</v>
      </c>
      <c r="B2071" s="14" t="str">
        <f>HYPERLINK(CONCAT("http://leetcode.com/problems/",Github!C$1809), Github!B$1809)</f>
        <v>Maximize Number of Nice Divisors</v>
      </c>
      <c r="C2071" s="13">
        <f>Github!F$1809</f>
        <v>178</v>
      </c>
      <c r="D2071" s="13">
        <f>Github!G$1809</f>
        <v>150</v>
      </c>
      <c r="E2071" s="13">
        <f>Github!F$1809+Github!G$1809</f>
        <v>328</v>
      </c>
      <c r="F2071" s="15">
        <f t="shared" si="1"/>
        <v>1.19</v>
      </c>
      <c r="G2071" s="13" t="str">
        <f>ROUND(Github!O$1809, 2)&amp;"%"</f>
        <v>31.37%</v>
      </c>
      <c r="H2071" s="13" t="str">
        <f>Github!H$1809</f>
        <v>Algorithms</v>
      </c>
      <c r="I2071" s="16" t="str">
        <f>SUBSTITUTE(Github!L$1809, ";", ", ")</f>
        <v>Math, Recursion, </v>
      </c>
      <c r="J2071" s="13" t="str">
        <f>Github!E$1809</f>
        <v>Hard</v>
      </c>
      <c r="K2071" s="13" t="str">
        <f>IF(TRIM(Github!D$1809)="TRUE","FALSE","TRUE")</f>
        <v>TRUE</v>
      </c>
      <c r="L2071" s="13" t="b">
        <f>Github!M$1809</f>
        <v>0</v>
      </c>
      <c r="M2071" s="13" t="b">
        <f>Github!N$1809</f>
        <v>0</v>
      </c>
      <c r="N2071" s="13">
        <f>Github!P$1809</f>
        <v>5264</v>
      </c>
      <c r="O2071" s="13">
        <f>Github!Q$1809</f>
        <v>16780</v>
      </c>
    </row>
    <row r="2072">
      <c r="A2072" s="13">
        <f>Github!J$1961</f>
        <v>1960</v>
      </c>
      <c r="B2072" s="14" t="str">
        <f>HYPERLINK(CONCAT("http://leetcode.com/problems/",Github!C$1961), Github!B$1961)</f>
        <v>Maximum Product of the Length of Two Palindromic Substrings</v>
      </c>
      <c r="C2072" s="13">
        <f>Github!F$1961</f>
        <v>179</v>
      </c>
      <c r="D2072" s="13">
        <f>Github!G$1961</f>
        <v>35</v>
      </c>
      <c r="E2072" s="13">
        <f>Github!F$1961+Github!G$1961</f>
        <v>214</v>
      </c>
      <c r="F2072" s="15">
        <f t="shared" si="1"/>
        <v>5.11</v>
      </c>
      <c r="G2072" s="13" t="str">
        <f>ROUND(Github!O$1961, 2)&amp;"%"</f>
        <v>29.5%</v>
      </c>
      <c r="H2072" s="13" t="str">
        <f>Github!H$1961</f>
        <v>Algorithms</v>
      </c>
      <c r="I2072" s="16" t="str">
        <f>SUBSTITUTE(Github!L$1961, ";", ", ")</f>
        <v>String, Rolling Hash, Hash Function, </v>
      </c>
      <c r="J2072" s="13" t="str">
        <f>Github!E$1961</f>
        <v>Hard</v>
      </c>
      <c r="K2072" s="13" t="str">
        <f>IF(TRIM(Github!D$1961)="TRUE","FALSE","TRUE")</f>
        <v>TRUE</v>
      </c>
      <c r="L2072" s="13" t="b">
        <f>Github!M$1961</f>
        <v>0</v>
      </c>
      <c r="M2072" s="13" t="b">
        <f>Github!N$1961</f>
        <v>0</v>
      </c>
      <c r="N2072" s="13">
        <f>Github!P$1961</f>
        <v>2472</v>
      </c>
      <c r="O2072" s="13">
        <f>Github!Q$1961</f>
        <v>8379</v>
      </c>
    </row>
    <row r="2073">
      <c r="A2073" s="13">
        <f>Github!J$1905</f>
        <v>1904</v>
      </c>
      <c r="B2073" s="14" t="str">
        <f>HYPERLINK(CONCAT("http://leetcode.com/problems/",Github!C$1905), Github!B$1905)</f>
        <v>The Number of Full Rounds You Have Played</v>
      </c>
      <c r="C2073" s="13">
        <f>Github!F$1905</f>
        <v>178</v>
      </c>
      <c r="D2073" s="13">
        <f>Github!G$1905</f>
        <v>235</v>
      </c>
      <c r="E2073" s="13">
        <f>Github!F$1905+Github!G$1905</f>
        <v>413</v>
      </c>
      <c r="F2073" s="15">
        <f t="shared" si="1"/>
        <v>0.76</v>
      </c>
      <c r="G2073" s="13" t="str">
        <f>ROUND(Github!O$1905, 2)&amp;"%"</f>
        <v>45.3%</v>
      </c>
      <c r="H2073" s="13" t="str">
        <f>Github!H$1905</f>
        <v>Algorithms</v>
      </c>
      <c r="I2073" s="16" t="str">
        <f>SUBSTITUTE(Github!L$1905, ";", ", ")</f>
        <v>Math, String, </v>
      </c>
      <c r="J2073" s="13" t="str">
        <f>Github!E$1905</f>
        <v>Medium</v>
      </c>
      <c r="K2073" s="13" t="str">
        <f>IF(TRIM(Github!D$1905)="TRUE","FALSE","TRUE")</f>
        <v>TRUE</v>
      </c>
      <c r="L2073" s="13" t="b">
        <f>Github!M$1905</f>
        <v>0</v>
      </c>
      <c r="M2073" s="13" t="b">
        <f>Github!N$1905</f>
        <v>0</v>
      </c>
      <c r="N2073" s="13">
        <f>Github!P$1905</f>
        <v>18375</v>
      </c>
      <c r="O2073" s="13">
        <f>Github!Q$1905</f>
        <v>40567</v>
      </c>
    </row>
    <row r="2074">
      <c r="A2074" s="13">
        <f>Github!J$1077</f>
        <v>1076</v>
      </c>
      <c r="B2074" s="14" t="str">
        <f>HYPERLINK(CONCAT("http://leetcode.com/problems/",Github!C$1077), Github!B$1077)</f>
        <v>Project Employees II</v>
      </c>
      <c r="C2074" s="13">
        <f>Github!F$1077</f>
        <v>179</v>
      </c>
      <c r="D2074" s="13">
        <f>Github!G$1077</f>
        <v>54</v>
      </c>
      <c r="E2074" s="13">
        <f>Github!F$1077+Github!G$1077</f>
        <v>233</v>
      </c>
      <c r="F2074" s="15">
        <f t="shared" si="1"/>
        <v>3.31</v>
      </c>
      <c r="G2074" s="13" t="str">
        <f>ROUND(Github!O$1077, 2)&amp;"%"</f>
        <v>50.78%</v>
      </c>
      <c r="H2074" s="13" t="str">
        <f>Github!H$1077</f>
        <v>Database</v>
      </c>
      <c r="I2074" s="16" t="str">
        <f>SUBSTITUTE(Github!L$1077, ";", ", ")</f>
        <v>Database, </v>
      </c>
      <c r="J2074" s="13" t="str">
        <f>Github!E$1077</f>
        <v>Easy</v>
      </c>
      <c r="K2074" s="13" t="str">
        <f>IF(TRIM(Github!D$1077)="TRUE","FALSE","TRUE")</f>
        <v>FALSE</v>
      </c>
      <c r="L2074" s="13" t="b">
        <f>Github!M$1077</f>
        <v>0</v>
      </c>
      <c r="M2074" s="13" t="b">
        <f>Github!N$1077</f>
        <v>0</v>
      </c>
      <c r="N2074" s="13">
        <f>Github!P$1077</f>
        <v>47768</v>
      </c>
      <c r="O2074" s="13">
        <f>Github!Q$1077</f>
        <v>94074</v>
      </c>
    </row>
    <row r="2075">
      <c r="A2075" s="13">
        <f>Github!J$289</f>
        <v>288</v>
      </c>
      <c r="B2075" s="14" t="str">
        <f>HYPERLINK(CONCAT("http://leetcode.com/problems/",Github!C$289), Github!B$289)</f>
        <v>Unique Word Abbreviation</v>
      </c>
      <c r="C2075" s="13">
        <f>Github!F$289</f>
        <v>177</v>
      </c>
      <c r="D2075" s="13">
        <f>Github!G$289</f>
        <v>1734</v>
      </c>
      <c r="E2075" s="13">
        <f>Github!F$289+Github!G$289</f>
        <v>1911</v>
      </c>
      <c r="F2075" s="15">
        <f t="shared" si="1"/>
        <v>0.1</v>
      </c>
      <c r="G2075" s="13" t="str">
        <f>ROUND(Github!O$289, 2)&amp;"%"</f>
        <v>25.42%</v>
      </c>
      <c r="H2075" s="13" t="str">
        <f>Github!H$289</f>
        <v>Algorithms</v>
      </c>
      <c r="I2075" s="16" t="str">
        <f>SUBSTITUTE(Github!L$289, ";", ", ")</f>
        <v>Array, Hash Table, String, Design, </v>
      </c>
      <c r="J2075" s="13" t="str">
        <f>Github!E$289</f>
        <v>Medium</v>
      </c>
      <c r="K2075" s="13" t="str">
        <f>IF(TRIM(Github!D$289)="TRUE","FALSE","TRUE")</f>
        <v>FALSE</v>
      </c>
      <c r="L2075" s="13" t="b">
        <f>Github!M$289</f>
        <v>0</v>
      </c>
      <c r="M2075" s="13" t="b">
        <f>Github!N$289</f>
        <v>0</v>
      </c>
      <c r="N2075" s="13">
        <f>Github!P$289</f>
        <v>68279</v>
      </c>
      <c r="O2075" s="13">
        <f>Github!Q$289</f>
        <v>268575</v>
      </c>
    </row>
    <row r="2076">
      <c r="A2076" s="13">
        <f>Github!J$578</f>
        <v>577</v>
      </c>
      <c r="B2076" s="14" t="str">
        <f>HYPERLINK(CONCAT("http://leetcode.com/problems/",Github!C$578), Github!B$578)</f>
        <v>Employee Bonus</v>
      </c>
      <c r="C2076" s="13">
        <f>Github!F$578</f>
        <v>179</v>
      </c>
      <c r="D2076" s="13">
        <f>Github!G$578</f>
        <v>101</v>
      </c>
      <c r="E2076" s="13">
        <f>Github!F$578+Github!G$578</f>
        <v>280</v>
      </c>
      <c r="F2076" s="15">
        <f t="shared" si="1"/>
        <v>1.77</v>
      </c>
      <c r="G2076" s="13" t="str">
        <f>ROUND(Github!O$578, 2)&amp;"%"</f>
        <v>75.26%</v>
      </c>
      <c r="H2076" s="13" t="str">
        <f>Github!H$578</f>
        <v>Database</v>
      </c>
      <c r="I2076" s="16" t="str">
        <f>SUBSTITUTE(Github!L$578, ";", ", ")</f>
        <v>Database, </v>
      </c>
      <c r="J2076" s="13" t="str">
        <f>Github!E$578</f>
        <v>Easy</v>
      </c>
      <c r="K2076" s="13" t="str">
        <f>IF(TRIM(Github!D$578)="TRUE","FALSE","TRUE")</f>
        <v>FALSE</v>
      </c>
      <c r="L2076" s="13" t="b">
        <f>Github!M$578</f>
        <v>1</v>
      </c>
      <c r="M2076" s="13" t="b">
        <f>Github!N$578</f>
        <v>0</v>
      </c>
      <c r="N2076" s="13">
        <f>Github!P$578</f>
        <v>68437</v>
      </c>
      <c r="O2076" s="13">
        <f>Github!Q$578</f>
        <v>90934</v>
      </c>
    </row>
    <row r="2077">
      <c r="A2077" s="13">
        <f>Github!J$1309</f>
        <v>1308</v>
      </c>
      <c r="B2077" s="14" t="str">
        <f>HYPERLINK(CONCAT("http://leetcode.com/problems/",Github!C$1309), Github!B$1309)</f>
        <v>Running Total for Different Genders</v>
      </c>
      <c r="C2077" s="13">
        <f>Github!F$1309</f>
        <v>181</v>
      </c>
      <c r="D2077" s="13">
        <f>Github!G$1309</f>
        <v>50</v>
      </c>
      <c r="E2077" s="13">
        <f>Github!F$1309+Github!G$1309</f>
        <v>231</v>
      </c>
      <c r="F2077" s="15">
        <f t="shared" si="1"/>
        <v>3.62</v>
      </c>
      <c r="G2077" s="13" t="str">
        <f>ROUND(Github!O$1309, 2)&amp;"%"</f>
        <v>88.01%</v>
      </c>
      <c r="H2077" s="13" t="str">
        <f>Github!H$1309</f>
        <v>Database</v>
      </c>
      <c r="I2077" s="16" t="str">
        <f>SUBSTITUTE(Github!L$1309, ";", ", ")</f>
        <v>Database, </v>
      </c>
      <c r="J2077" s="13" t="str">
        <f>Github!E$1309</f>
        <v>Medium</v>
      </c>
      <c r="K2077" s="13" t="str">
        <f>IF(TRIM(Github!D$1309)="TRUE","FALSE","TRUE")</f>
        <v>FALSE</v>
      </c>
      <c r="L2077" s="13" t="b">
        <f>Github!M$1309</f>
        <v>0</v>
      </c>
      <c r="M2077" s="13" t="b">
        <f>Github!N$1309</f>
        <v>0</v>
      </c>
      <c r="N2077" s="13">
        <f>Github!P$1309</f>
        <v>32703</v>
      </c>
      <c r="O2077" s="13">
        <f>Github!Q$1309</f>
        <v>37158</v>
      </c>
    </row>
    <row r="2078">
      <c r="A2078" s="13">
        <f>Github!J$1428</f>
        <v>1427</v>
      </c>
      <c r="B2078" s="14" t="str">
        <f>HYPERLINK(CONCAT("http://leetcode.com/problems/",Github!C$1428), Github!B$1428)</f>
        <v>Perform String Shifts</v>
      </c>
      <c r="C2078" s="13">
        <f>Github!F$1428</f>
        <v>178</v>
      </c>
      <c r="D2078" s="13">
        <f>Github!G$1428</f>
        <v>4</v>
      </c>
      <c r="E2078" s="13">
        <f>Github!F$1428+Github!G$1428</f>
        <v>182</v>
      </c>
      <c r="F2078" s="15">
        <f t="shared" si="1"/>
        <v>44.5</v>
      </c>
      <c r="G2078" s="13" t="str">
        <f>ROUND(Github!O$1428, 2)&amp;"%"</f>
        <v>54.28%</v>
      </c>
      <c r="H2078" s="13" t="str">
        <f>Github!H$1428</f>
        <v>Algorithms</v>
      </c>
      <c r="I2078" s="16" t="str">
        <f>SUBSTITUTE(Github!L$1428, ";", ", ")</f>
        <v>Array, Math, String, </v>
      </c>
      <c r="J2078" s="13" t="str">
        <f>Github!E$1428</f>
        <v>Easy</v>
      </c>
      <c r="K2078" s="13" t="str">
        <f>IF(TRIM(Github!D$1428)="TRUE","FALSE","TRUE")</f>
        <v>FALSE</v>
      </c>
      <c r="L2078" s="13" t="b">
        <f>Github!M$1428</f>
        <v>1</v>
      </c>
      <c r="M2078" s="13" t="b">
        <f>Github!N$1428</f>
        <v>0</v>
      </c>
      <c r="N2078" s="13">
        <f>Github!P$1428</f>
        <v>72699</v>
      </c>
      <c r="O2078" s="13">
        <f>Github!Q$1428</f>
        <v>133942</v>
      </c>
    </row>
    <row r="2079">
      <c r="A2079" s="13">
        <f>Github!J$1034</f>
        <v>1033</v>
      </c>
      <c r="B2079" s="14" t="str">
        <f>HYPERLINK(CONCAT("http://leetcode.com/problems/",Github!C$1034), Github!B$1034)</f>
        <v>Moving Stones Until Consecutive</v>
      </c>
      <c r="C2079" s="13">
        <f>Github!F$1034</f>
        <v>176</v>
      </c>
      <c r="D2079" s="13">
        <f>Github!G$1034</f>
        <v>619</v>
      </c>
      <c r="E2079" s="13">
        <f>Github!F$1034+Github!G$1034</f>
        <v>795</v>
      </c>
      <c r="F2079" s="15">
        <f t="shared" si="1"/>
        <v>0.28</v>
      </c>
      <c r="G2079" s="13" t="str">
        <f>ROUND(Github!O$1034, 2)&amp;"%"</f>
        <v>45.92%</v>
      </c>
      <c r="H2079" s="13" t="str">
        <f>Github!H$1034</f>
        <v>Algorithms</v>
      </c>
      <c r="I2079" s="16" t="str">
        <f>SUBSTITUTE(Github!L$1034, ";", ", ")</f>
        <v>Math, Brainteaser, </v>
      </c>
      <c r="J2079" s="13" t="str">
        <f>Github!E$1034</f>
        <v>Medium</v>
      </c>
      <c r="K2079" s="13" t="str">
        <f>IF(TRIM(Github!D$1034)="TRUE","FALSE","TRUE")</f>
        <v>TRUE</v>
      </c>
      <c r="L2079" s="13" t="b">
        <f>Github!M$1034</f>
        <v>0</v>
      </c>
      <c r="M2079" s="13" t="b">
        <f>Github!N$1034</f>
        <v>0</v>
      </c>
      <c r="N2079" s="13">
        <f>Github!P$1034</f>
        <v>21334</v>
      </c>
      <c r="O2079" s="13">
        <f>Github!Q$1034</f>
        <v>46457</v>
      </c>
    </row>
    <row r="2080">
      <c r="A2080" s="13">
        <f>Github!J$1720</f>
        <v>1719</v>
      </c>
      <c r="B2080" s="14" t="str">
        <f>HYPERLINK(CONCAT("http://leetcode.com/problems/",Github!C$1720), Github!B$1720)</f>
        <v>Number Of Ways To Reconstruct A Tree</v>
      </c>
      <c r="C2080" s="13">
        <f>Github!F$1720</f>
        <v>177</v>
      </c>
      <c r="D2080" s="13">
        <f>Github!G$1720</f>
        <v>125</v>
      </c>
      <c r="E2080" s="13">
        <f>Github!F$1720+Github!G$1720</f>
        <v>302</v>
      </c>
      <c r="F2080" s="15">
        <f t="shared" si="1"/>
        <v>1.42</v>
      </c>
      <c r="G2080" s="13" t="str">
        <f>ROUND(Github!O$1720, 2)&amp;"%"</f>
        <v>43.06%</v>
      </c>
      <c r="H2080" s="13" t="str">
        <f>Github!H$1720</f>
        <v>Algorithms</v>
      </c>
      <c r="I2080" s="16" t="str">
        <f>SUBSTITUTE(Github!L$1720, ";", ", ")</f>
        <v>Tree, Graph, </v>
      </c>
      <c r="J2080" s="13" t="str">
        <f>Github!E$1720</f>
        <v>Hard</v>
      </c>
      <c r="K2080" s="13" t="str">
        <f>IF(TRIM(Github!D$1720)="TRUE","FALSE","TRUE")</f>
        <v>TRUE</v>
      </c>
      <c r="L2080" s="13" t="b">
        <f>Github!M$1720</f>
        <v>0</v>
      </c>
      <c r="M2080" s="13" t="b">
        <f>Github!N$1720</f>
        <v>0</v>
      </c>
      <c r="N2080" s="13">
        <f>Github!P$1720</f>
        <v>3121</v>
      </c>
      <c r="O2080" s="13">
        <f>Github!Q$1720</f>
        <v>7248</v>
      </c>
    </row>
    <row r="2081">
      <c r="A2081" s="13">
        <f>Github!J$1413</f>
        <v>1412</v>
      </c>
      <c r="B2081" s="14" t="str">
        <f>HYPERLINK(CONCAT("http://leetcode.com/problems/",Github!C$1413), Github!B$1413)</f>
        <v>Find the Quiet Students in All Exams</v>
      </c>
      <c r="C2081" s="13">
        <f>Github!F$1413</f>
        <v>176</v>
      </c>
      <c r="D2081" s="13">
        <f>Github!G$1413</f>
        <v>14</v>
      </c>
      <c r="E2081" s="13">
        <f>Github!F$1413+Github!G$1413</f>
        <v>190</v>
      </c>
      <c r="F2081" s="15">
        <f t="shared" si="1"/>
        <v>12.57</v>
      </c>
      <c r="G2081" s="13" t="str">
        <f>ROUND(Github!O$1413, 2)&amp;"%"</f>
        <v>62.93%</v>
      </c>
      <c r="H2081" s="13" t="str">
        <f>Github!H$1413</f>
        <v>Database</v>
      </c>
      <c r="I2081" s="16" t="str">
        <f>SUBSTITUTE(Github!L$1413, ";", ", ")</f>
        <v>Database, </v>
      </c>
      <c r="J2081" s="13" t="str">
        <f>Github!E$1413</f>
        <v>Hard</v>
      </c>
      <c r="K2081" s="13" t="str">
        <f>IF(TRIM(Github!D$1413)="TRUE","FALSE","TRUE")</f>
        <v>FALSE</v>
      </c>
      <c r="L2081" s="13" t="b">
        <f>Github!M$1413</f>
        <v>0</v>
      </c>
      <c r="M2081" s="13" t="b">
        <f>Github!N$1413</f>
        <v>0</v>
      </c>
      <c r="N2081" s="13">
        <f>Github!P$1413</f>
        <v>19721</v>
      </c>
      <c r="O2081" s="13">
        <f>Github!Q$1413</f>
        <v>31337</v>
      </c>
    </row>
    <row r="2082">
      <c r="A2082" s="13">
        <f>Github!J$1197</f>
        <v>1196</v>
      </c>
      <c r="B2082" s="14" t="str">
        <f>HYPERLINK(CONCAT("http://leetcode.com/problems/",Github!C$1197), Github!B$1197)</f>
        <v>How Many Apples Can You Put into the Basket</v>
      </c>
      <c r="C2082" s="13">
        <f>Github!F$1197</f>
        <v>176</v>
      </c>
      <c r="D2082" s="13">
        <f>Github!G$1197</f>
        <v>14</v>
      </c>
      <c r="E2082" s="13">
        <f>Github!F$1197+Github!G$1197</f>
        <v>190</v>
      </c>
      <c r="F2082" s="15">
        <f t="shared" si="1"/>
        <v>12.57</v>
      </c>
      <c r="G2082" s="13" t="str">
        <f>ROUND(Github!O$1197, 2)&amp;"%"</f>
        <v>66.89%</v>
      </c>
      <c r="H2082" s="13" t="str">
        <f>Github!H$1197</f>
        <v>Algorithms</v>
      </c>
      <c r="I2082" s="16" t="str">
        <f>SUBSTITUTE(Github!L$1197, ";", ", ")</f>
        <v>Array, Greedy, Sorting, </v>
      </c>
      <c r="J2082" s="13" t="str">
        <f>Github!E$1197</f>
        <v>Easy</v>
      </c>
      <c r="K2082" s="13" t="str">
        <f>IF(TRIM(Github!D$1197)="TRUE","FALSE","TRUE")</f>
        <v>FALSE</v>
      </c>
      <c r="L2082" s="13" t="b">
        <f>Github!M$1197</f>
        <v>1</v>
      </c>
      <c r="M2082" s="13" t="b">
        <f>Github!N$1197</f>
        <v>0</v>
      </c>
      <c r="N2082" s="13">
        <f>Github!P$1197</f>
        <v>23258</v>
      </c>
      <c r="O2082" s="13">
        <f>Github!Q$1197</f>
        <v>34768</v>
      </c>
    </row>
    <row r="2083">
      <c r="A2083" s="13">
        <f>Github!J$1135</f>
        <v>1134</v>
      </c>
      <c r="B2083" s="14" t="str">
        <f>HYPERLINK(CONCAT("http://leetcode.com/problems/",Github!C$1135), Github!B$1135)</f>
        <v>Armstrong Number</v>
      </c>
      <c r="C2083" s="13">
        <f>Github!F$1135</f>
        <v>173</v>
      </c>
      <c r="D2083" s="13">
        <f>Github!G$1135</f>
        <v>18</v>
      </c>
      <c r="E2083" s="13">
        <f>Github!F$1135+Github!G$1135</f>
        <v>191</v>
      </c>
      <c r="F2083" s="15">
        <f t="shared" si="1"/>
        <v>9.61</v>
      </c>
      <c r="G2083" s="13" t="str">
        <f>ROUND(Github!O$1135, 2)&amp;"%"</f>
        <v>78.16%</v>
      </c>
      <c r="H2083" s="13" t="str">
        <f>Github!H$1135</f>
        <v>Algorithms</v>
      </c>
      <c r="I2083" s="16" t="str">
        <f>SUBSTITUTE(Github!L$1135, ";", ", ")</f>
        <v>Math, </v>
      </c>
      <c r="J2083" s="13" t="str">
        <f>Github!E$1135</f>
        <v>Easy</v>
      </c>
      <c r="K2083" s="13" t="str">
        <f>IF(TRIM(Github!D$1135)="TRUE","FALSE","TRUE")</f>
        <v>FALSE</v>
      </c>
      <c r="L2083" s="13" t="b">
        <f>Github!M$1135</f>
        <v>1</v>
      </c>
      <c r="M2083" s="13" t="b">
        <f>Github!N$1135</f>
        <v>0</v>
      </c>
      <c r="N2083" s="13">
        <f>Github!P$1135</f>
        <v>30873</v>
      </c>
      <c r="O2083" s="13">
        <f>Github!Q$1135</f>
        <v>39500</v>
      </c>
    </row>
    <row r="2084">
      <c r="A2084" s="13">
        <f>Github!J$1216</f>
        <v>1215</v>
      </c>
      <c r="B2084" s="14" t="str">
        <f>HYPERLINK(CONCAT("http://leetcode.com/problems/",Github!C$1216), Github!B$1216)</f>
        <v>Stepping Numbers</v>
      </c>
      <c r="C2084" s="13">
        <f>Github!F$1216</f>
        <v>171</v>
      </c>
      <c r="D2084" s="13">
        <f>Github!G$1216</f>
        <v>17</v>
      </c>
      <c r="E2084" s="13">
        <f>Github!F$1216+Github!G$1216</f>
        <v>188</v>
      </c>
      <c r="F2084" s="15">
        <f t="shared" si="1"/>
        <v>10.06</v>
      </c>
      <c r="G2084" s="13" t="str">
        <f>ROUND(Github!O$1216, 2)&amp;"%"</f>
        <v>46%</v>
      </c>
      <c r="H2084" s="13" t="str">
        <f>Github!H$1216</f>
        <v>Algorithms</v>
      </c>
      <c r="I2084" s="16" t="str">
        <f>SUBSTITUTE(Github!L$1216, ";", ", ")</f>
        <v>Backtracking, Breadth-First Search, </v>
      </c>
      <c r="J2084" s="13" t="str">
        <f>Github!E$1216</f>
        <v>Medium</v>
      </c>
      <c r="K2084" s="13" t="str">
        <f>IF(TRIM(Github!D$1216)="TRUE","FALSE","TRUE")</f>
        <v>FALSE</v>
      </c>
      <c r="L2084" s="13" t="b">
        <f>Github!M$1216</f>
        <v>0</v>
      </c>
      <c r="M2084" s="13" t="b">
        <f>Github!N$1216</f>
        <v>0</v>
      </c>
      <c r="N2084" s="13">
        <f>Github!P$1216</f>
        <v>8117</v>
      </c>
      <c r="O2084" s="13">
        <f>Github!Q$1216</f>
        <v>17647</v>
      </c>
    </row>
    <row r="2085">
      <c r="A2085" s="13">
        <f>Github!J$412</f>
        <v>411</v>
      </c>
      <c r="B2085" s="14" t="str">
        <f>HYPERLINK(CONCAT("http://leetcode.com/problems/",Github!C$412), Github!B$412)</f>
        <v>Minimum Unique Word Abbreviation</v>
      </c>
      <c r="C2085" s="13">
        <f>Github!F$412</f>
        <v>173</v>
      </c>
      <c r="D2085" s="13">
        <f>Github!G$412</f>
        <v>140</v>
      </c>
      <c r="E2085" s="13">
        <f>Github!F$412+Github!G$412</f>
        <v>313</v>
      </c>
      <c r="F2085" s="15">
        <f t="shared" si="1"/>
        <v>1.24</v>
      </c>
      <c r="G2085" s="13" t="str">
        <f>ROUND(Github!O$412, 2)&amp;"%"</f>
        <v>39.31%</v>
      </c>
      <c r="H2085" s="13" t="str">
        <f>Github!H$412</f>
        <v>Algorithms</v>
      </c>
      <c r="I2085" s="16" t="str">
        <f>SUBSTITUTE(Github!L$412, ";", ", ")</f>
        <v>String, Backtracking, Bit Manipulation, </v>
      </c>
      <c r="J2085" s="13" t="str">
        <f>Github!E$412</f>
        <v>Hard</v>
      </c>
      <c r="K2085" s="13" t="str">
        <f>IF(TRIM(Github!D$412)="TRUE","FALSE","TRUE")</f>
        <v>FALSE</v>
      </c>
      <c r="L2085" s="13" t="b">
        <f>Github!M$412</f>
        <v>0</v>
      </c>
      <c r="M2085" s="13" t="b">
        <f>Github!N$412</f>
        <v>0</v>
      </c>
      <c r="N2085" s="13">
        <f>Github!P$412</f>
        <v>14099</v>
      </c>
      <c r="O2085" s="13">
        <f>Github!Q$412</f>
        <v>35862</v>
      </c>
    </row>
    <row r="2086">
      <c r="A2086" s="13">
        <f>Github!J$1099</f>
        <v>1098</v>
      </c>
      <c r="B2086" s="14" t="str">
        <f>HYPERLINK(CONCAT("http://leetcode.com/problems/",Github!C$1099), Github!B$1099)</f>
        <v>Unpopular Books</v>
      </c>
      <c r="C2086" s="13">
        <f>Github!F$1099</f>
        <v>174</v>
      </c>
      <c r="D2086" s="13">
        <f>Github!G$1099</f>
        <v>519</v>
      </c>
      <c r="E2086" s="13">
        <f>Github!F$1099+Github!G$1099</f>
        <v>693</v>
      </c>
      <c r="F2086" s="15">
        <f t="shared" si="1"/>
        <v>0.34</v>
      </c>
      <c r="G2086" s="13" t="str">
        <f>ROUND(Github!O$1099, 2)&amp;"%"</f>
        <v>45%</v>
      </c>
      <c r="H2086" s="13" t="str">
        <f>Github!H$1099</f>
        <v>Database</v>
      </c>
      <c r="I2086" s="16" t="str">
        <f>SUBSTITUTE(Github!L$1099, ";", ", ")</f>
        <v>Database, </v>
      </c>
      <c r="J2086" s="13" t="str">
        <f>Github!E$1099</f>
        <v>Medium</v>
      </c>
      <c r="K2086" s="13" t="str">
        <f>IF(TRIM(Github!D$1099)="TRUE","FALSE","TRUE")</f>
        <v>FALSE</v>
      </c>
      <c r="L2086" s="13" t="b">
        <f>Github!M$1099</f>
        <v>0</v>
      </c>
      <c r="M2086" s="13" t="b">
        <f>Github!N$1099</f>
        <v>0</v>
      </c>
      <c r="N2086" s="13">
        <f>Github!P$1099</f>
        <v>32734</v>
      </c>
      <c r="O2086" s="13">
        <f>Github!Q$1099</f>
        <v>72738</v>
      </c>
    </row>
    <row r="2087">
      <c r="A2087" s="13">
        <f>Github!J$1784</f>
        <v>1783</v>
      </c>
      <c r="B2087" s="14" t="str">
        <f>HYPERLINK(CONCAT("http://leetcode.com/problems/",Github!C$1784), Github!B$1784)</f>
        <v>Grand Slam Titles</v>
      </c>
      <c r="C2087" s="13">
        <f>Github!F$1784</f>
        <v>172</v>
      </c>
      <c r="D2087" s="13">
        <f>Github!G$1784</f>
        <v>4</v>
      </c>
      <c r="E2087" s="13">
        <f>Github!F$1784+Github!G$1784</f>
        <v>176</v>
      </c>
      <c r="F2087" s="15">
        <f t="shared" si="1"/>
        <v>43</v>
      </c>
      <c r="G2087" s="13" t="str">
        <f>ROUND(Github!O$1784, 2)&amp;"%"</f>
        <v>87.77%</v>
      </c>
      <c r="H2087" s="13" t="str">
        <f>Github!H$1784</f>
        <v>Database</v>
      </c>
      <c r="I2087" s="16" t="str">
        <f>SUBSTITUTE(Github!L$1784, ";", ", ")</f>
        <v>Database, </v>
      </c>
      <c r="J2087" s="13" t="str">
        <f>Github!E$1784</f>
        <v>Medium</v>
      </c>
      <c r="K2087" s="13" t="str">
        <f>IF(TRIM(Github!D$1784)="TRUE","FALSE","TRUE")</f>
        <v>FALSE</v>
      </c>
      <c r="L2087" s="13" t="b">
        <f>Github!M$1784</f>
        <v>0</v>
      </c>
      <c r="M2087" s="13" t="b">
        <f>Github!N$1784</f>
        <v>0</v>
      </c>
      <c r="N2087" s="13">
        <f>Github!P$1784</f>
        <v>16528</v>
      </c>
      <c r="O2087" s="13">
        <f>Github!Q$1784</f>
        <v>18830</v>
      </c>
    </row>
    <row r="2088">
      <c r="A2088" s="13">
        <f>Github!J$1947</f>
        <v>1946</v>
      </c>
      <c r="B2088" s="14" t="str">
        <f>HYPERLINK(CONCAT("http://leetcode.com/problems/",Github!C$1947), Github!B$1947)</f>
        <v>Largest Number After Mutating Substring</v>
      </c>
      <c r="C2088" s="13">
        <f>Github!F$1947</f>
        <v>171</v>
      </c>
      <c r="D2088" s="13">
        <f>Github!G$1947</f>
        <v>191</v>
      </c>
      <c r="E2088" s="13">
        <f>Github!F$1947+Github!G$1947</f>
        <v>362</v>
      </c>
      <c r="F2088" s="15">
        <f t="shared" si="1"/>
        <v>0.9</v>
      </c>
      <c r="G2088" s="13" t="str">
        <f>ROUND(Github!O$1947, 2)&amp;"%"</f>
        <v>34.73%</v>
      </c>
      <c r="H2088" s="13" t="str">
        <f>Github!H$1947</f>
        <v>Algorithms</v>
      </c>
      <c r="I2088" s="16" t="str">
        <f>SUBSTITUTE(Github!L$1947, ";", ", ")</f>
        <v>Array, String, Greedy, </v>
      </c>
      <c r="J2088" s="13" t="str">
        <f>Github!E$1947</f>
        <v>Medium</v>
      </c>
      <c r="K2088" s="13" t="str">
        <f>IF(TRIM(Github!D$1947)="TRUE","FALSE","TRUE")</f>
        <v>TRUE</v>
      </c>
      <c r="L2088" s="13" t="b">
        <f>Github!M$1947</f>
        <v>0</v>
      </c>
      <c r="M2088" s="13" t="b">
        <f>Github!N$1947</f>
        <v>0</v>
      </c>
      <c r="N2088" s="13">
        <f>Github!P$1947</f>
        <v>16483</v>
      </c>
      <c r="O2088" s="13">
        <f>Github!Q$1947</f>
        <v>47461</v>
      </c>
    </row>
    <row r="2089">
      <c r="A2089" s="13">
        <f>Github!J$2224</f>
        <v>2223</v>
      </c>
      <c r="B2089" s="14" t="str">
        <f>HYPERLINK(CONCAT("http://leetcode.com/problems/",Github!C$2224), Github!B$2224)</f>
        <v>Sum of Scores of Built Strings</v>
      </c>
      <c r="C2089" s="13">
        <f>Github!F$2224</f>
        <v>172</v>
      </c>
      <c r="D2089" s="13">
        <f>Github!G$2224</f>
        <v>169</v>
      </c>
      <c r="E2089" s="13">
        <f>Github!F$2224+Github!G$2224</f>
        <v>341</v>
      </c>
      <c r="F2089" s="15">
        <f t="shared" si="1"/>
        <v>1.02</v>
      </c>
      <c r="G2089" s="13" t="str">
        <f>ROUND(Github!O$2224, 2)&amp;"%"</f>
        <v>37.12%</v>
      </c>
      <c r="H2089" s="13" t="str">
        <f>Github!H$2224</f>
        <v>Algorithms</v>
      </c>
      <c r="I2089" s="16" t="str">
        <f>SUBSTITUTE(Github!L$2224, ";", ", ")</f>
        <v>String, Binary Search, Rolling Hash, Suffix Array, String Matching, Hash Function, </v>
      </c>
      <c r="J2089" s="13" t="str">
        <f>Github!E$2224</f>
        <v>Hard</v>
      </c>
      <c r="K2089" s="13" t="str">
        <f>IF(TRIM(Github!D$2224)="TRUE","FALSE","TRUE")</f>
        <v>TRUE</v>
      </c>
      <c r="L2089" s="13" t="b">
        <f>Github!M$2224</f>
        <v>0</v>
      </c>
      <c r="M2089" s="13" t="b">
        <f>Github!N$2224</f>
        <v>0</v>
      </c>
      <c r="N2089" s="13">
        <f>Github!P$2224</f>
        <v>4965</v>
      </c>
      <c r="O2089" s="13">
        <f>Github!Q$2224</f>
        <v>13375</v>
      </c>
    </row>
    <row r="2090">
      <c r="A2090" s="13">
        <f>Github!J$2163</f>
        <v>2162</v>
      </c>
      <c r="B2090" s="14" t="str">
        <f>HYPERLINK(CONCAT("http://leetcode.com/problems/",Github!C$2163), Github!B$2163)</f>
        <v>Minimum Cost to Set Cooking Time</v>
      </c>
      <c r="C2090" s="13">
        <f>Github!F$2163</f>
        <v>172</v>
      </c>
      <c r="D2090" s="13">
        <f>Github!G$2163</f>
        <v>564</v>
      </c>
      <c r="E2090" s="13">
        <f>Github!F$2163+Github!G$2163</f>
        <v>736</v>
      </c>
      <c r="F2090" s="15">
        <f t="shared" si="1"/>
        <v>0.3</v>
      </c>
      <c r="G2090" s="13" t="str">
        <f>ROUND(Github!O$2163, 2)&amp;"%"</f>
        <v>39.75%</v>
      </c>
      <c r="H2090" s="13" t="str">
        <f>Github!H$2163</f>
        <v>Algorithms</v>
      </c>
      <c r="I2090" s="16" t="str">
        <f>SUBSTITUTE(Github!L$2163, ";", ", ")</f>
        <v>Math, Enumeration, </v>
      </c>
      <c r="J2090" s="13" t="str">
        <f>Github!E$2163</f>
        <v>Medium</v>
      </c>
      <c r="K2090" s="13" t="str">
        <f>IF(TRIM(Github!D$2163)="TRUE","FALSE","TRUE")</f>
        <v>TRUE</v>
      </c>
      <c r="L2090" s="13" t="b">
        <f>Github!M$2163</f>
        <v>0</v>
      </c>
      <c r="M2090" s="13" t="b">
        <f>Github!N$2163</f>
        <v>0</v>
      </c>
      <c r="N2090" s="13">
        <f>Github!P$2163</f>
        <v>12984</v>
      </c>
      <c r="O2090" s="13">
        <f>Github!Q$2163</f>
        <v>32664</v>
      </c>
    </row>
    <row r="2091">
      <c r="A2091" s="13">
        <f>Github!J$1083</f>
        <v>1082</v>
      </c>
      <c r="B2091" s="14" t="str">
        <f>HYPERLINK(CONCAT("http://leetcode.com/problems/",Github!C$1083), Github!B$1083)</f>
        <v>Sales Analysis I</v>
      </c>
      <c r="C2091" s="13">
        <f>Github!F$1083</f>
        <v>168</v>
      </c>
      <c r="D2091" s="13">
        <f>Github!G$1083</f>
        <v>66</v>
      </c>
      <c r="E2091" s="13">
        <f>Github!F$1083+Github!G$1083</f>
        <v>234</v>
      </c>
      <c r="F2091" s="15">
        <f t="shared" si="1"/>
        <v>2.55</v>
      </c>
      <c r="G2091" s="13" t="str">
        <f>ROUND(Github!O$1083, 2)&amp;"%"</f>
        <v>75.29%</v>
      </c>
      <c r="H2091" s="13" t="str">
        <f>Github!H$1083</f>
        <v>Database</v>
      </c>
      <c r="I2091" s="16" t="str">
        <f>SUBSTITUTE(Github!L$1083, ";", ", ")</f>
        <v>Database, </v>
      </c>
      <c r="J2091" s="13" t="str">
        <f>Github!E$1083</f>
        <v>Easy</v>
      </c>
      <c r="K2091" s="13" t="str">
        <f>IF(TRIM(Github!D$1083)="TRUE","FALSE","TRUE")</f>
        <v>FALSE</v>
      </c>
      <c r="L2091" s="13" t="b">
        <f>Github!M$1083</f>
        <v>0</v>
      </c>
      <c r="M2091" s="13" t="b">
        <f>Github!N$1083</f>
        <v>0</v>
      </c>
      <c r="N2091" s="13">
        <f>Github!P$1083</f>
        <v>49088</v>
      </c>
      <c r="O2091" s="13">
        <f>Github!Q$1083</f>
        <v>65198</v>
      </c>
    </row>
    <row r="2092">
      <c r="A2092" s="13">
        <f>Github!J$1433</f>
        <v>1432</v>
      </c>
      <c r="B2092" s="14" t="str">
        <f>HYPERLINK(CONCAT("http://leetcode.com/problems/",Github!C$1433), Github!B$1433)</f>
        <v>Max Difference You Can Get From Changing an Integer</v>
      </c>
      <c r="C2092" s="13">
        <f>Github!F$1433</f>
        <v>167</v>
      </c>
      <c r="D2092" s="13">
        <f>Github!G$1433</f>
        <v>216</v>
      </c>
      <c r="E2092" s="13">
        <f>Github!F$1433+Github!G$1433</f>
        <v>383</v>
      </c>
      <c r="F2092" s="15">
        <f t="shared" si="1"/>
        <v>0.77</v>
      </c>
      <c r="G2092" s="13" t="str">
        <f>ROUND(Github!O$1433, 2)&amp;"%"</f>
        <v>42.82%</v>
      </c>
      <c r="H2092" s="13" t="str">
        <f>Github!H$1433</f>
        <v>Algorithms</v>
      </c>
      <c r="I2092" s="16" t="str">
        <f>SUBSTITUTE(Github!L$1433, ";", ", ")</f>
        <v>Math, Greedy, </v>
      </c>
      <c r="J2092" s="13" t="str">
        <f>Github!E$1433</f>
        <v>Medium</v>
      </c>
      <c r="K2092" s="13" t="str">
        <f>IF(TRIM(Github!D$1433)="TRUE","FALSE","TRUE")</f>
        <v>TRUE</v>
      </c>
      <c r="L2092" s="13" t="b">
        <f>Github!M$1433</f>
        <v>0</v>
      </c>
      <c r="M2092" s="13" t="b">
        <f>Github!N$1433</f>
        <v>0</v>
      </c>
      <c r="N2092" s="13">
        <f>Github!P$1433</f>
        <v>13799</v>
      </c>
      <c r="O2092" s="13">
        <f>Github!Q$1433</f>
        <v>32227</v>
      </c>
    </row>
    <row r="2093">
      <c r="A2093" s="13">
        <f>Github!J$1970</f>
        <v>1969</v>
      </c>
      <c r="B2093" s="14" t="str">
        <f>HYPERLINK(CONCAT("http://leetcode.com/problems/",Github!C$1970), Github!B$1970)</f>
        <v>Minimum Non-Zero Product of the Array Elements</v>
      </c>
      <c r="C2093" s="13">
        <f>Github!F$1970</f>
        <v>168</v>
      </c>
      <c r="D2093" s="13">
        <f>Github!G$1970</f>
        <v>323</v>
      </c>
      <c r="E2093" s="13">
        <f>Github!F$1970+Github!G$1970</f>
        <v>491</v>
      </c>
      <c r="F2093" s="15">
        <f t="shared" si="1"/>
        <v>0.52</v>
      </c>
      <c r="G2093" s="13" t="str">
        <f>ROUND(Github!O$1970, 2)&amp;"%"</f>
        <v>33.85%</v>
      </c>
      <c r="H2093" s="13" t="str">
        <f>Github!H$1970</f>
        <v>Algorithms</v>
      </c>
      <c r="I2093" s="16" t="str">
        <f>SUBSTITUTE(Github!L$1970, ";", ", ")</f>
        <v>Math, Greedy, Recursion, </v>
      </c>
      <c r="J2093" s="13" t="str">
        <f>Github!E$1970</f>
        <v>Medium</v>
      </c>
      <c r="K2093" s="13" t="str">
        <f>IF(TRIM(Github!D$1970)="TRUE","FALSE","TRUE")</f>
        <v>TRUE</v>
      </c>
      <c r="L2093" s="13" t="b">
        <f>Github!M$1970</f>
        <v>0</v>
      </c>
      <c r="M2093" s="13" t="b">
        <f>Github!N$1970</f>
        <v>0</v>
      </c>
      <c r="N2093" s="13">
        <f>Github!P$1970</f>
        <v>8443</v>
      </c>
      <c r="O2093" s="13">
        <f>Github!Q$1970</f>
        <v>24944</v>
      </c>
    </row>
    <row r="2094">
      <c r="A2094" s="13">
        <f>Github!J$1734</f>
        <v>1733</v>
      </c>
      <c r="B2094" s="14" t="str">
        <f>HYPERLINK(CONCAT("http://leetcode.com/problems/",Github!C$1734), Github!B$1734)</f>
        <v>Minimum Number of People to Teach</v>
      </c>
      <c r="C2094" s="13">
        <f>Github!F$1734</f>
        <v>168</v>
      </c>
      <c r="D2094" s="13">
        <f>Github!G$1734</f>
        <v>336</v>
      </c>
      <c r="E2094" s="13">
        <f>Github!F$1734+Github!G$1734</f>
        <v>504</v>
      </c>
      <c r="F2094" s="15">
        <f t="shared" si="1"/>
        <v>0.5</v>
      </c>
      <c r="G2094" s="13" t="str">
        <f>ROUND(Github!O$1734, 2)&amp;"%"</f>
        <v>41.91%</v>
      </c>
      <c r="H2094" s="13" t="str">
        <f>Github!H$1734</f>
        <v>Algorithms</v>
      </c>
      <c r="I2094" s="16" t="str">
        <f>SUBSTITUTE(Github!L$1734, ";", ", ")</f>
        <v>Array, Greedy, </v>
      </c>
      <c r="J2094" s="13" t="str">
        <f>Github!E$1734</f>
        <v>Medium</v>
      </c>
      <c r="K2094" s="13" t="str">
        <f>IF(TRIM(Github!D$1734)="TRUE","FALSE","TRUE")</f>
        <v>TRUE</v>
      </c>
      <c r="L2094" s="13" t="b">
        <f>Github!M$1734</f>
        <v>0</v>
      </c>
      <c r="M2094" s="13" t="b">
        <f>Github!N$1734</f>
        <v>0</v>
      </c>
      <c r="N2094" s="13">
        <f>Github!P$1734</f>
        <v>7215</v>
      </c>
      <c r="O2094" s="13">
        <f>Github!Q$1734</f>
        <v>17216</v>
      </c>
    </row>
    <row r="2095">
      <c r="A2095" s="13">
        <f>Github!J$1441</f>
        <v>1440</v>
      </c>
      <c r="B2095" s="14" t="str">
        <f>HYPERLINK(CONCAT("http://leetcode.com/problems/",Github!C$1441), Github!B$1441)</f>
        <v>Evaluate Boolean Expression</v>
      </c>
      <c r="C2095" s="13">
        <f>Github!F$1441</f>
        <v>170</v>
      </c>
      <c r="D2095" s="13">
        <f>Github!G$1441</f>
        <v>11</v>
      </c>
      <c r="E2095" s="13">
        <f>Github!F$1441+Github!G$1441</f>
        <v>181</v>
      </c>
      <c r="F2095" s="15">
        <f t="shared" si="1"/>
        <v>15.45</v>
      </c>
      <c r="G2095" s="13" t="str">
        <f>ROUND(Github!O$1441, 2)&amp;"%"</f>
        <v>76.09%</v>
      </c>
      <c r="H2095" s="13" t="str">
        <f>Github!H$1441</f>
        <v>Database</v>
      </c>
      <c r="I2095" s="16" t="str">
        <f>SUBSTITUTE(Github!L$1441, ";", ", ")</f>
        <v>Database, </v>
      </c>
      <c r="J2095" s="13" t="str">
        <f>Github!E$1441</f>
        <v>Medium</v>
      </c>
      <c r="K2095" s="13" t="str">
        <f>IF(TRIM(Github!D$1441)="TRUE","FALSE","TRUE")</f>
        <v>FALSE</v>
      </c>
      <c r="L2095" s="13" t="b">
        <f>Github!M$1441</f>
        <v>0</v>
      </c>
      <c r="M2095" s="13" t="b">
        <f>Github!N$1441</f>
        <v>0</v>
      </c>
      <c r="N2095" s="13">
        <f>Github!P$1441</f>
        <v>19355</v>
      </c>
      <c r="O2095" s="13">
        <f>Github!Q$1441</f>
        <v>25437</v>
      </c>
    </row>
    <row r="2096">
      <c r="A2096" s="13">
        <f>Github!J$2250</f>
        <v>2249</v>
      </c>
      <c r="B2096" s="14" t="str">
        <f>HYPERLINK(CONCAT("http://leetcode.com/problems/",Github!C$2250), Github!B$2250)</f>
        <v>Count Lattice Points Inside a Circle</v>
      </c>
      <c r="C2096" s="13">
        <f>Github!F$2250</f>
        <v>167</v>
      </c>
      <c r="D2096" s="13">
        <f>Github!G$2250</f>
        <v>191</v>
      </c>
      <c r="E2096" s="13">
        <f>Github!F$2250+Github!G$2250</f>
        <v>358</v>
      </c>
      <c r="F2096" s="15">
        <f t="shared" si="1"/>
        <v>0.87</v>
      </c>
      <c r="G2096" s="13" t="str">
        <f>ROUND(Github!O$2250, 2)&amp;"%"</f>
        <v>50.43%</v>
      </c>
      <c r="H2096" s="13" t="str">
        <f>Github!H$2250</f>
        <v>Algorithms</v>
      </c>
      <c r="I2096" s="16" t="str">
        <f>SUBSTITUTE(Github!L$2250, ";", ", ")</f>
        <v>Array, Hash Table, Math, Geometry, Enumeration, </v>
      </c>
      <c r="J2096" s="13" t="str">
        <f>Github!E$2250</f>
        <v>Medium</v>
      </c>
      <c r="K2096" s="13" t="str">
        <f>IF(TRIM(Github!D$2250)="TRUE","FALSE","TRUE")</f>
        <v>TRUE</v>
      </c>
      <c r="L2096" s="13" t="b">
        <f>Github!M$2250</f>
        <v>0</v>
      </c>
      <c r="M2096" s="13" t="b">
        <f>Github!N$2250</f>
        <v>0</v>
      </c>
      <c r="N2096" s="13">
        <f>Github!P$2250</f>
        <v>17359</v>
      </c>
      <c r="O2096" s="13">
        <f>Github!Q$2250</f>
        <v>34425</v>
      </c>
    </row>
    <row r="2097">
      <c r="A2097" s="13">
        <f>Github!J$811</f>
        <v>810</v>
      </c>
      <c r="B2097" s="14" t="str">
        <f>HYPERLINK(CONCAT("http://leetcode.com/problems/",Github!C$811), Github!B$811)</f>
        <v>Chalkboard XOR Game</v>
      </c>
      <c r="C2097" s="13">
        <f>Github!F$811</f>
        <v>166</v>
      </c>
      <c r="D2097" s="13">
        <f>Github!G$811</f>
        <v>255</v>
      </c>
      <c r="E2097" s="13">
        <f>Github!F$811+Github!G$811</f>
        <v>421</v>
      </c>
      <c r="F2097" s="15">
        <f t="shared" si="1"/>
        <v>0.65</v>
      </c>
      <c r="G2097" s="13" t="str">
        <f>ROUND(Github!O$811, 2)&amp;"%"</f>
        <v>55.65%</v>
      </c>
      <c r="H2097" s="13" t="str">
        <f>Github!H$811</f>
        <v>Algorithms</v>
      </c>
      <c r="I2097" s="16" t="str">
        <f>SUBSTITUTE(Github!L$811, ";", ", ")</f>
        <v>Array, Math, Bit Manipulation, Brainteaser, Game Theory, </v>
      </c>
      <c r="J2097" s="13" t="str">
        <f>Github!E$811</f>
        <v>Hard</v>
      </c>
      <c r="K2097" s="13" t="str">
        <f>IF(TRIM(Github!D$811)="TRUE","FALSE","TRUE")</f>
        <v>TRUE</v>
      </c>
      <c r="L2097" s="13" t="b">
        <f>Github!M$811</f>
        <v>1</v>
      </c>
      <c r="M2097" s="13" t="b">
        <f>Github!N$811</f>
        <v>0</v>
      </c>
      <c r="N2097" s="13">
        <f>Github!P$811</f>
        <v>7657</v>
      </c>
      <c r="O2097" s="13">
        <f>Github!Q$811</f>
        <v>13759</v>
      </c>
    </row>
    <row r="2098">
      <c r="A2098" s="13">
        <f>Github!J$1861</f>
        <v>1860</v>
      </c>
      <c r="B2098" s="14" t="str">
        <f>HYPERLINK(CONCAT("http://leetcode.com/problems/",Github!C$1861), Github!B$1861)</f>
        <v>Incremental Memory Leak</v>
      </c>
      <c r="C2098" s="13">
        <f>Github!F$1861</f>
        <v>166</v>
      </c>
      <c r="D2098" s="13">
        <f>Github!G$1861</f>
        <v>69</v>
      </c>
      <c r="E2098" s="13">
        <f>Github!F$1861+Github!G$1861</f>
        <v>235</v>
      </c>
      <c r="F2098" s="15">
        <f t="shared" si="1"/>
        <v>2.41</v>
      </c>
      <c r="G2098" s="13" t="str">
        <f>ROUND(Github!O$1861, 2)&amp;"%"</f>
        <v>71.92%</v>
      </c>
      <c r="H2098" s="13" t="str">
        <f>Github!H$1861</f>
        <v>Algorithms</v>
      </c>
      <c r="I2098" s="16" t="str">
        <f>SUBSTITUTE(Github!L$1861, ";", ", ")</f>
        <v>Simulation, </v>
      </c>
      <c r="J2098" s="13" t="str">
        <f>Github!E$1861</f>
        <v>Medium</v>
      </c>
      <c r="K2098" s="13" t="str">
        <f>IF(TRIM(Github!D$1861)="TRUE","FALSE","TRUE")</f>
        <v>TRUE</v>
      </c>
      <c r="L2098" s="13" t="b">
        <f>Github!M$1861</f>
        <v>0</v>
      </c>
      <c r="M2098" s="13" t="b">
        <f>Github!N$1861</f>
        <v>0</v>
      </c>
      <c r="N2098" s="13">
        <f>Github!P$1861</f>
        <v>14672</v>
      </c>
      <c r="O2098" s="13">
        <f>Github!Q$1861</f>
        <v>20401</v>
      </c>
    </row>
    <row r="2099">
      <c r="A2099" s="13">
        <f>Github!J$1194</f>
        <v>1193</v>
      </c>
      <c r="B2099" s="14" t="str">
        <f>HYPERLINK(CONCAT("http://leetcode.com/problems/",Github!C$1194), Github!B$1194)</f>
        <v>Monthly Transactions I</v>
      </c>
      <c r="C2099" s="13">
        <f>Github!F$1194</f>
        <v>164</v>
      </c>
      <c r="D2099" s="13">
        <f>Github!G$1194</f>
        <v>25</v>
      </c>
      <c r="E2099" s="13">
        <f>Github!F$1194+Github!G$1194</f>
        <v>189</v>
      </c>
      <c r="F2099" s="15">
        <f t="shared" si="1"/>
        <v>6.56</v>
      </c>
      <c r="G2099" s="13" t="str">
        <f>ROUND(Github!O$1194, 2)&amp;"%"</f>
        <v>66.75%</v>
      </c>
      <c r="H2099" s="13" t="str">
        <f>Github!H$1194</f>
        <v>Database</v>
      </c>
      <c r="I2099" s="16" t="str">
        <f>SUBSTITUTE(Github!L$1194, ";", ", ")</f>
        <v>Database, </v>
      </c>
      <c r="J2099" s="13" t="str">
        <f>Github!E$1194</f>
        <v>Medium</v>
      </c>
      <c r="K2099" s="13" t="str">
        <f>IF(TRIM(Github!D$1194)="TRUE","FALSE","TRUE")</f>
        <v>FALSE</v>
      </c>
      <c r="L2099" s="13" t="b">
        <f>Github!M$1194</f>
        <v>0</v>
      </c>
      <c r="M2099" s="13" t="b">
        <f>Github!N$1194</f>
        <v>0</v>
      </c>
      <c r="N2099" s="13">
        <f>Github!P$1194</f>
        <v>32556</v>
      </c>
      <c r="O2099" s="13">
        <f>Github!Q$1194</f>
        <v>48770</v>
      </c>
    </row>
    <row r="2100">
      <c r="A2100" s="13">
        <f>Github!J$2304</f>
        <v>2303</v>
      </c>
      <c r="B2100" s="14" t="str">
        <f>HYPERLINK(CONCAT("http://leetcode.com/problems/",Github!C$2304), Github!B$2304)</f>
        <v>Calculate Amount Paid in Taxes</v>
      </c>
      <c r="C2100" s="13">
        <f>Github!F$2304</f>
        <v>161</v>
      </c>
      <c r="D2100" s="13">
        <f>Github!G$2304</f>
        <v>206</v>
      </c>
      <c r="E2100" s="13">
        <f>Github!F$2304+Github!G$2304</f>
        <v>367</v>
      </c>
      <c r="F2100" s="15">
        <f t="shared" si="1"/>
        <v>0.78</v>
      </c>
      <c r="G2100" s="13" t="str">
        <f>ROUND(Github!O$2304, 2)&amp;"%"</f>
        <v>63.78%</v>
      </c>
      <c r="H2100" s="13" t="str">
        <f>Github!H2304</f>
        <v>Algorithms</v>
      </c>
      <c r="I2100" s="16" t="str">
        <f>SUBSTITUTE(Github!L$2304, ";", ", ")</f>
        <v>Array, Simulation, </v>
      </c>
      <c r="J2100" s="13" t="str">
        <f>Github!E$2304</f>
        <v>Easy</v>
      </c>
      <c r="K2100" s="13" t="str">
        <f>IF(TRIM(Github!D$2304)="TRUE","FALSE","TRUE")</f>
        <v>TRUE</v>
      </c>
      <c r="L2100" s="13" t="b">
        <f>Github!M$2304</f>
        <v>0</v>
      </c>
      <c r="M2100" s="13" t="b">
        <f>Github!N$2304</f>
        <v>0</v>
      </c>
      <c r="N2100" s="13">
        <f>Github!P$2304</f>
        <v>26691</v>
      </c>
      <c r="O2100" s="13">
        <f>Github!Q$2304</f>
        <v>41849</v>
      </c>
    </row>
    <row r="2101">
      <c r="A2101" s="13">
        <f>Github!J$1699</f>
        <v>1698</v>
      </c>
      <c r="B2101" s="14" t="str">
        <f>HYPERLINK(CONCAT("http://leetcode.com/problems/",Github!C$1699), Github!B$1699)</f>
        <v>Number of Distinct Substrings in a String</v>
      </c>
      <c r="C2101" s="13">
        <f>Github!F$1699</f>
        <v>158</v>
      </c>
      <c r="D2101" s="13">
        <f>Github!G$1699</f>
        <v>39</v>
      </c>
      <c r="E2101" s="13">
        <f>Github!F$1699+Github!G$1699</f>
        <v>197</v>
      </c>
      <c r="F2101" s="15">
        <f t="shared" si="1"/>
        <v>4.05</v>
      </c>
      <c r="G2101" s="13" t="str">
        <f>ROUND(Github!O$1699, 2)&amp;"%"</f>
        <v>63.16%</v>
      </c>
      <c r="H2101" s="13" t="str">
        <f>Github!H$1699</f>
        <v>Algorithms</v>
      </c>
      <c r="I2101" s="16" t="str">
        <f>SUBSTITUTE(Github!L$1699, ";", ", ")</f>
        <v>String, Trie, Rolling Hash, Suffix Array, Hash Function, </v>
      </c>
      <c r="J2101" s="13" t="str">
        <f>Github!E$1699</f>
        <v>Medium</v>
      </c>
      <c r="K2101" s="13" t="str">
        <f>IF(TRIM(Github!D$1699)="TRUE","FALSE","TRUE")</f>
        <v>FALSE</v>
      </c>
      <c r="L2101" s="13" t="b">
        <f>Github!M$1699</f>
        <v>0</v>
      </c>
      <c r="M2101" s="13" t="b">
        <f>Github!N$1699</f>
        <v>0</v>
      </c>
      <c r="N2101" s="13">
        <f>Github!P$1699</f>
        <v>7494</v>
      </c>
      <c r="O2101" s="13">
        <f>Github!Q$1699</f>
        <v>11865</v>
      </c>
    </row>
    <row r="2102">
      <c r="A2102" s="13">
        <f>Github!J$559</f>
        <v>558</v>
      </c>
      <c r="B2102" s="14" t="str">
        <f>HYPERLINK(CONCAT("http://leetcode.com/problems/",Github!C$559), Github!B$559)</f>
        <v>Logical OR of Two Binary Grids Represented as Quad-Trees</v>
      </c>
      <c r="C2102" s="13">
        <f>Github!F$559</f>
        <v>157</v>
      </c>
      <c r="D2102" s="13">
        <f>Github!G$559</f>
        <v>447</v>
      </c>
      <c r="E2102" s="13">
        <f>Github!F$559+Github!G$559</f>
        <v>604</v>
      </c>
      <c r="F2102" s="15">
        <f t="shared" si="1"/>
        <v>0.35</v>
      </c>
      <c r="G2102" s="13" t="str">
        <f>ROUND(Github!O$559, 2)&amp;"%"</f>
        <v>48.45%</v>
      </c>
      <c r="H2102" s="13" t="str">
        <f>Github!H$559</f>
        <v>Algorithms</v>
      </c>
      <c r="I2102" s="16" t="str">
        <f>SUBSTITUTE(Github!L$559, ";", ", ")</f>
        <v>Divide and Conquer, Tree, </v>
      </c>
      <c r="J2102" s="13" t="str">
        <f>Github!E$559</f>
        <v>Medium</v>
      </c>
      <c r="K2102" s="13" t="str">
        <f>IF(TRIM(Github!D$559)="TRUE","FALSE","TRUE")</f>
        <v>TRUE</v>
      </c>
      <c r="L2102" s="13" t="b">
        <f>Github!M$559</f>
        <v>0</v>
      </c>
      <c r="M2102" s="13" t="b">
        <f>Github!N$559</f>
        <v>0</v>
      </c>
      <c r="N2102" s="13">
        <f>Github!P$559</f>
        <v>12451</v>
      </c>
      <c r="O2102" s="13">
        <f>Github!Q$559</f>
        <v>25701</v>
      </c>
    </row>
    <row r="2103">
      <c r="A2103" s="13">
        <f>Github!J$1710</f>
        <v>1709</v>
      </c>
      <c r="B2103" s="14" t="str">
        <f>HYPERLINK(CONCAT("http://leetcode.com/problems/",Github!C$1710), Github!B$1710)</f>
        <v>Biggest Window Between Visits</v>
      </c>
      <c r="C2103" s="13">
        <f>Github!F$1710</f>
        <v>158</v>
      </c>
      <c r="D2103" s="13">
        <f>Github!G$1710</f>
        <v>12</v>
      </c>
      <c r="E2103" s="13">
        <f>Github!F$1710+Github!G$1710</f>
        <v>170</v>
      </c>
      <c r="F2103" s="15">
        <f t="shared" si="1"/>
        <v>13.17</v>
      </c>
      <c r="G2103" s="13" t="str">
        <f>ROUND(Github!O$1710, 2)&amp;"%"</f>
        <v>76.71%</v>
      </c>
      <c r="H2103" s="13" t="str">
        <f>Github!H$1710</f>
        <v>Database</v>
      </c>
      <c r="I2103" s="16" t="str">
        <f>SUBSTITUTE(Github!L$1710, ";", ", ")</f>
        <v>Database, </v>
      </c>
      <c r="J2103" s="13" t="str">
        <f>Github!E$1710</f>
        <v>Medium</v>
      </c>
      <c r="K2103" s="13" t="str">
        <f>IF(TRIM(Github!D$1710)="TRUE","FALSE","TRUE")</f>
        <v>FALSE</v>
      </c>
      <c r="L2103" s="13" t="b">
        <f>Github!M$1710</f>
        <v>0</v>
      </c>
      <c r="M2103" s="13" t="b">
        <f>Github!N$1710</f>
        <v>0</v>
      </c>
      <c r="N2103" s="13">
        <f>Github!P$1710</f>
        <v>15297</v>
      </c>
      <c r="O2103" s="13">
        <f>Github!Q$1710</f>
        <v>19942</v>
      </c>
    </row>
    <row r="2104">
      <c r="A2104" s="13">
        <f>Github!J$1200</f>
        <v>1199</v>
      </c>
      <c r="B2104" s="14" t="str">
        <f>HYPERLINK(CONCAT("http://leetcode.com/problems/",Github!C$1200), Github!B$1200)</f>
        <v>Minimum Time to Build Blocks</v>
      </c>
      <c r="C2104" s="13">
        <f>Github!F$1200</f>
        <v>155</v>
      </c>
      <c r="D2104" s="13">
        <f>Github!G$1200</f>
        <v>22</v>
      </c>
      <c r="E2104" s="13">
        <f>Github!F$1200+Github!G$1200</f>
        <v>177</v>
      </c>
      <c r="F2104" s="15">
        <f t="shared" si="1"/>
        <v>7.05</v>
      </c>
      <c r="G2104" s="13" t="str">
        <f>ROUND(Github!O$1200, 2)&amp;"%"</f>
        <v>40.79%</v>
      </c>
      <c r="H2104" s="13" t="str">
        <f>Github!H$1200</f>
        <v>Algorithms</v>
      </c>
      <c r="I2104" s="16" t="str">
        <f>SUBSTITUTE(Github!L$1200, ";", ", ")</f>
        <v>Math, Greedy, Heap (Priority Queue), </v>
      </c>
      <c r="J2104" s="13" t="str">
        <f>Github!E$1200</f>
        <v>Hard</v>
      </c>
      <c r="K2104" s="13" t="str">
        <f>IF(TRIM(Github!D$1200)="TRUE","FALSE","TRUE")</f>
        <v>FALSE</v>
      </c>
      <c r="L2104" s="13" t="b">
        <f>Github!M$1200</f>
        <v>0</v>
      </c>
      <c r="M2104" s="13" t="b">
        <f>Github!N$1200</f>
        <v>0</v>
      </c>
      <c r="N2104" s="13">
        <f>Github!P$1200</f>
        <v>3663</v>
      </c>
      <c r="O2104" s="13">
        <f>Github!Q$1200</f>
        <v>8981</v>
      </c>
    </row>
    <row r="2105">
      <c r="A2105" s="13">
        <f>Github!J$1812</f>
        <v>1811</v>
      </c>
      <c r="B2105" s="14" t="str">
        <f>HYPERLINK(CONCAT("http://leetcode.com/problems/",Github!C$1812), Github!B$1812)</f>
        <v>Find Interview Candidates</v>
      </c>
      <c r="C2105" s="13">
        <f>Github!F$1812</f>
        <v>158</v>
      </c>
      <c r="D2105" s="13">
        <f>Github!G$1812</f>
        <v>22</v>
      </c>
      <c r="E2105" s="13">
        <f>Github!F$1812+Github!G$1812</f>
        <v>180</v>
      </c>
      <c r="F2105" s="15">
        <f t="shared" si="1"/>
        <v>7.18</v>
      </c>
      <c r="G2105" s="13" t="str">
        <f>ROUND(Github!O$1812, 2)&amp;"%"</f>
        <v>64.7%</v>
      </c>
      <c r="H2105" s="13" t="str">
        <f>Github!H$1812</f>
        <v>Database</v>
      </c>
      <c r="I2105" s="16" t="str">
        <f>SUBSTITUTE(Github!L$1812, ";", ", ")</f>
        <v>Database, </v>
      </c>
      <c r="J2105" s="13" t="str">
        <f>Github!E$1812</f>
        <v>Medium</v>
      </c>
      <c r="K2105" s="13" t="str">
        <f>IF(TRIM(Github!D$1812)="TRUE","FALSE","TRUE")</f>
        <v>FALSE</v>
      </c>
      <c r="L2105" s="13" t="b">
        <f>Github!M$1812</f>
        <v>0</v>
      </c>
      <c r="M2105" s="13" t="b">
        <f>Github!N$1812</f>
        <v>0</v>
      </c>
      <c r="N2105" s="13">
        <f>Github!P$1812</f>
        <v>11694</v>
      </c>
      <c r="O2105" s="13">
        <f>Github!Q$1812</f>
        <v>18074</v>
      </c>
    </row>
    <row r="2106">
      <c r="A2106" s="13">
        <f>Github!J$2202</f>
        <v>2201</v>
      </c>
      <c r="B2106" s="14" t="str">
        <f>HYPERLINK(CONCAT("http://leetcode.com/problems/",Github!C$2202), Github!B$2202)</f>
        <v>Count Artifacts That Can Be Extracted</v>
      </c>
      <c r="C2106" s="13">
        <f>Github!F$2202</f>
        <v>156</v>
      </c>
      <c r="D2106" s="13">
        <f>Github!G$2202</f>
        <v>168</v>
      </c>
      <c r="E2106" s="13">
        <f>Github!F$2202+Github!G$2202</f>
        <v>324</v>
      </c>
      <c r="F2106" s="15">
        <f t="shared" si="1"/>
        <v>0.93</v>
      </c>
      <c r="G2106" s="13" t="str">
        <f>ROUND(Github!O$2202, 2)&amp;"%"</f>
        <v>55.19%</v>
      </c>
      <c r="H2106" s="13" t="str">
        <f>Github!H$2202</f>
        <v>Algorithms</v>
      </c>
      <c r="I2106" s="16" t="str">
        <f>SUBSTITUTE(Github!L$2202, ";", ", ")</f>
        <v>Array, Hash Table, Simulation, </v>
      </c>
      <c r="J2106" s="13" t="str">
        <f>Github!E$2202</f>
        <v>Medium</v>
      </c>
      <c r="K2106" s="13" t="str">
        <f>IF(TRIM(Github!D$2202)="TRUE","FALSE","TRUE")</f>
        <v>TRUE</v>
      </c>
      <c r="L2106" s="13" t="b">
        <f>Github!M$2202</f>
        <v>0</v>
      </c>
      <c r="M2106" s="13" t="b">
        <f>Github!N$2202</f>
        <v>0</v>
      </c>
      <c r="N2106" s="13">
        <f>Github!P$2202</f>
        <v>16532</v>
      </c>
      <c r="O2106" s="13">
        <f>Github!Q$2202</f>
        <v>29956</v>
      </c>
    </row>
    <row r="2107">
      <c r="A2107" s="13">
        <f>Github!J$1919</f>
        <v>1918</v>
      </c>
      <c r="B2107" s="14" t="str">
        <f>HYPERLINK(CONCAT("http://leetcode.com/problems/",Github!C$1919), Github!B$1919)</f>
        <v>Kth Smallest Subarray Sum</v>
      </c>
      <c r="C2107" s="13">
        <f>Github!F$1919</f>
        <v>156</v>
      </c>
      <c r="D2107" s="13">
        <f>Github!G$1919</f>
        <v>5</v>
      </c>
      <c r="E2107" s="13">
        <f>Github!F$1919+Github!G$1919</f>
        <v>161</v>
      </c>
      <c r="F2107" s="15">
        <f t="shared" si="1"/>
        <v>31.2</v>
      </c>
      <c r="G2107" s="13" t="str">
        <f>ROUND(Github!O$1919, 2)&amp;"%"</f>
        <v>52.86%</v>
      </c>
      <c r="H2107" s="13" t="str">
        <f>Github!H$1919</f>
        <v>Algorithms</v>
      </c>
      <c r="I2107" s="16" t="str">
        <f>SUBSTITUTE(Github!L$1919, ";", ", ")</f>
        <v>Array, Binary Search, Sliding Window, </v>
      </c>
      <c r="J2107" s="13" t="str">
        <f>Github!E$1919</f>
        <v>Medium</v>
      </c>
      <c r="K2107" s="13" t="str">
        <f>IF(TRIM(Github!D$1919)="TRUE","FALSE","TRUE")</f>
        <v>FALSE</v>
      </c>
      <c r="L2107" s="13" t="b">
        <f>Github!M$1919</f>
        <v>0</v>
      </c>
      <c r="M2107" s="13" t="b">
        <f>Github!N$1919</f>
        <v>0</v>
      </c>
      <c r="N2107" s="13">
        <f>Github!P$1919</f>
        <v>3021</v>
      </c>
      <c r="O2107" s="13">
        <f>Github!Q$1919</f>
        <v>5715</v>
      </c>
    </row>
    <row r="2108">
      <c r="A2108" s="13">
        <f>Github!J$2233</f>
        <v>2232</v>
      </c>
      <c r="B2108" s="14" t="str">
        <f>HYPERLINK(CONCAT("http://leetcode.com/problems/",Github!C$2233), Github!B$2233)</f>
        <v>Minimize Result by Adding Parentheses to Expression</v>
      </c>
      <c r="C2108" s="13">
        <f>Github!F$2233</f>
        <v>155</v>
      </c>
      <c r="D2108" s="13">
        <f>Github!G$2233</f>
        <v>288</v>
      </c>
      <c r="E2108" s="13">
        <f>Github!F$2233+Github!G$2233</f>
        <v>443</v>
      </c>
      <c r="F2108" s="15">
        <f t="shared" si="1"/>
        <v>0.54</v>
      </c>
      <c r="G2108" s="13" t="str">
        <f>ROUND(Github!O$2233, 2)&amp;"%"</f>
        <v>65.35%</v>
      </c>
      <c r="H2108" s="13" t="str">
        <f>Github!H$2233</f>
        <v>Algorithms</v>
      </c>
      <c r="I2108" s="16" t="str">
        <f>SUBSTITUTE(Github!L$2233, ";", ", ")</f>
        <v>String, Enumeration, </v>
      </c>
      <c r="J2108" s="13" t="str">
        <f>Github!E$2233</f>
        <v>Medium</v>
      </c>
      <c r="K2108" s="13" t="str">
        <f>IF(TRIM(Github!D$2233)="TRUE","FALSE","TRUE")</f>
        <v>TRUE</v>
      </c>
      <c r="L2108" s="13" t="b">
        <f>Github!M$2233</f>
        <v>0</v>
      </c>
      <c r="M2108" s="13" t="b">
        <f>Github!N$2233</f>
        <v>0</v>
      </c>
      <c r="N2108" s="13">
        <f>Github!P$2233</f>
        <v>14346</v>
      </c>
      <c r="O2108" s="13">
        <f>Github!Q$2233</f>
        <v>21953</v>
      </c>
    </row>
    <row r="2109">
      <c r="A2109" s="13">
        <f>Github!J$1821</f>
        <v>1820</v>
      </c>
      <c r="B2109" s="14" t="str">
        <f>HYPERLINK(CONCAT("http://leetcode.com/problems/",Github!C$1821), Github!B$1821)</f>
        <v>Maximum Number of Accepted Invitations</v>
      </c>
      <c r="C2109" s="13">
        <f>Github!F$1821</f>
        <v>156</v>
      </c>
      <c r="D2109" s="13">
        <f>Github!G$1821</f>
        <v>47</v>
      </c>
      <c r="E2109" s="13">
        <f>Github!F$1821+Github!G$1821</f>
        <v>203</v>
      </c>
      <c r="F2109" s="15">
        <f t="shared" si="1"/>
        <v>3.32</v>
      </c>
      <c r="G2109" s="13" t="str">
        <f>ROUND(Github!O$1821, 2)&amp;"%"</f>
        <v>49.79%</v>
      </c>
      <c r="H2109" s="13" t="str">
        <f>Github!H$1821</f>
        <v>Algorithms</v>
      </c>
      <c r="I2109" s="16" t="str">
        <f>SUBSTITUTE(Github!L$1821, ";", ", ")</f>
        <v>Array, Backtracking, Matrix, </v>
      </c>
      <c r="J2109" s="13" t="str">
        <f>Github!E$1821</f>
        <v>Medium</v>
      </c>
      <c r="K2109" s="13" t="str">
        <f>IF(TRIM(Github!D$1821)="TRUE","FALSE","TRUE")</f>
        <v>FALSE</v>
      </c>
      <c r="L2109" s="13" t="b">
        <f>Github!M$1821</f>
        <v>0</v>
      </c>
      <c r="M2109" s="13" t="b">
        <f>Github!N$1821</f>
        <v>0</v>
      </c>
      <c r="N2109" s="13">
        <f>Github!P$1821</f>
        <v>5022</v>
      </c>
      <c r="O2109" s="13">
        <f>Github!Q$1821</f>
        <v>10087</v>
      </c>
    </row>
    <row r="2110">
      <c r="A2110" s="13">
        <f>Github!J$1351</f>
        <v>1350</v>
      </c>
      <c r="B2110" s="14" t="str">
        <f>HYPERLINK(CONCAT("http://leetcode.com/problems/",Github!C$1351), Github!B$1351)</f>
        <v>Students With Invalid Departments</v>
      </c>
      <c r="C2110" s="13">
        <f>Github!F$1351</f>
        <v>155</v>
      </c>
      <c r="D2110" s="13">
        <f>Github!G$1351</f>
        <v>9</v>
      </c>
      <c r="E2110" s="13">
        <f>Github!F$1351+Github!G$1351</f>
        <v>164</v>
      </c>
      <c r="F2110" s="15">
        <f t="shared" si="1"/>
        <v>17.22</v>
      </c>
      <c r="G2110" s="13" t="str">
        <f>ROUND(Github!O$1351, 2)&amp;"%"</f>
        <v>90.44%</v>
      </c>
      <c r="H2110" s="13" t="str">
        <f>Github!H$1351</f>
        <v>Database</v>
      </c>
      <c r="I2110" s="16" t="str">
        <f>SUBSTITUTE(Github!L$1351, ";", ", ")</f>
        <v>Database, </v>
      </c>
      <c r="J2110" s="13" t="str">
        <f>Github!E$1351</f>
        <v>Easy</v>
      </c>
      <c r="K2110" s="13" t="str">
        <f>IF(TRIM(Github!D$1351)="TRUE","FALSE","TRUE")</f>
        <v>FALSE</v>
      </c>
      <c r="L2110" s="13" t="b">
        <f>Github!M$1351</f>
        <v>0</v>
      </c>
      <c r="M2110" s="13" t="b">
        <f>Github!N$1351</f>
        <v>0</v>
      </c>
      <c r="N2110" s="13">
        <f>Github!P$1351</f>
        <v>45548</v>
      </c>
      <c r="O2110" s="13">
        <f>Github!Q$1351</f>
        <v>50360</v>
      </c>
    </row>
    <row r="2111">
      <c r="A2111" s="13">
        <f>Github!J$2242</f>
        <v>2241</v>
      </c>
      <c r="B2111" s="14" t="str">
        <f>HYPERLINK(CONCAT("http://leetcode.com/problems/",Github!C$2242), Github!B$2242)</f>
        <v>Design an ATM Machine</v>
      </c>
      <c r="C2111" s="13">
        <f>Github!F$2242</f>
        <v>158</v>
      </c>
      <c r="D2111" s="13">
        <f>Github!G$2242</f>
        <v>226</v>
      </c>
      <c r="E2111" s="13">
        <f>Github!F$2242+Github!G$2242</f>
        <v>384</v>
      </c>
      <c r="F2111" s="15">
        <f t="shared" si="1"/>
        <v>0.7</v>
      </c>
      <c r="G2111" s="13" t="str">
        <f>ROUND(Github!O$2242, 2)&amp;"%"</f>
        <v>38.74%</v>
      </c>
      <c r="H2111" s="13" t="str">
        <f>Github!H$2242</f>
        <v>Algorithms</v>
      </c>
      <c r="I2111" s="16" t="str">
        <f>SUBSTITUTE(Github!L$2242, ";", ", ")</f>
        <v>Array, Greedy, Design, </v>
      </c>
      <c r="J2111" s="13" t="str">
        <f>Github!E$2242</f>
        <v>Medium</v>
      </c>
      <c r="K2111" s="13" t="str">
        <f>IF(TRIM(Github!D$2242)="TRUE","FALSE","TRUE")</f>
        <v>TRUE</v>
      </c>
      <c r="L2111" s="13" t="b">
        <f>Github!M$2242</f>
        <v>0</v>
      </c>
      <c r="M2111" s="13" t="b">
        <f>Github!N$2242</f>
        <v>0</v>
      </c>
      <c r="N2111" s="13">
        <f>Github!P$2242</f>
        <v>12554</v>
      </c>
      <c r="O2111" s="13">
        <f>Github!Q$2242</f>
        <v>32405</v>
      </c>
    </row>
    <row r="2112">
      <c r="A2112" s="13">
        <f>Github!J$1411</f>
        <v>1410</v>
      </c>
      <c r="B2112" s="14" t="str">
        <f>HYPERLINK(CONCAT("http://leetcode.com/problems/",Github!C$1411), Github!B$1411)</f>
        <v>HTML Entity Parser</v>
      </c>
      <c r="C2112" s="13">
        <f>Github!F$1411</f>
        <v>152</v>
      </c>
      <c r="D2112" s="13">
        <f>Github!G$1411</f>
        <v>285</v>
      </c>
      <c r="E2112" s="13">
        <f>Github!F$1411+Github!G$1411</f>
        <v>437</v>
      </c>
      <c r="F2112" s="15">
        <f t="shared" si="1"/>
        <v>0.53</v>
      </c>
      <c r="G2112" s="13" t="str">
        <f>ROUND(Github!O$1411, 2)&amp;"%"</f>
        <v>51.82%</v>
      </c>
      <c r="H2112" s="13" t="str">
        <f>Github!H$1411</f>
        <v>Algorithms</v>
      </c>
      <c r="I2112" s="16" t="str">
        <f>SUBSTITUTE(Github!L$1411, ";", ", ")</f>
        <v>Hash Table, String, </v>
      </c>
      <c r="J2112" s="13" t="str">
        <f>Github!E$1411</f>
        <v>Medium</v>
      </c>
      <c r="K2112" s="13" t="str">
        <f>IF(TRIM(Github!D$1411)="TRUE","FALSE","TRUE")</f>
        <v>TRUE</v>
      </c>
      <c r="L2112" s="13" t="b">
        <f>Github!M$1411</f>
        <v>0</v>
      </c>
      <c r="M2112" s="13" t="b">
        <f>Github!N$1411</f>
        <v>0</v>
      </c>
      <c r="N2112" s="13">
        <f>Github!P$1411</f>
        <v>20601</v>
      </c>
      <c r="O2112" s="13">
        <f>Github!Q$1411</f>
        <v>39755</v>
      </c>
    </row>
    <row r="2113">
      <c r="A2113" s="13">
        <f>Github!J$1831</f>
        <v>1830</v>
      </c>
      <c r="B2113" s="14" t="str">
        <f>HYPERLINK(CONCAT("http://leetcode.com/problems/",Github!C$1831), Github!B$1831)</f>
        <v>Minimum Number of Operations to Make String Sorted</v>
      </c>
      <c r="C2113" s="13">
        <f>Github!F$1831</f>
        <v>152</v>
      </c>
      <c r="D2113" s="13">
        <f>Github!G$1831</f>
        <v>109</v>
      </c>
      <c r="E2113" s="13">
        <f>Github!F$1831+Github!G$1831</f>
        <v>261</v>
      </c>
      <c r="F2113" s="15">
        <f t="shared" si="1"/>
        <v>1.39</v>
      </c>
      <c r="G2113" s="13" t="str">
        <f>ROUND(Github!O$1831, 2)&amp;"%"</f>
        <v>49.36%</v>
      </c>
      <c r="H2113" s="13" t="str">
        <f>Github!H$1831</f>
        <v>Algorithms</v>
      </c>
      <c r="I2113" s="16" t="str">
        <f>SUBSTITUTE(Github!L$1831, ";", ", ")</f>
        <v>Math, String, Combinatorics, </v>
      </c>
      <c r="J2113" s="13" t="str">
        <f>Github!E$1831</f>
        <v>Hard</v>
      </c>
      <c r="K2113" s="13" t="str">
        <f>IF(TRIM(Github!D$1831)="TRUE","FALSE","TRUE")</f>
        <v>TRUE</v>
      </c>
      <c r="L2113" s="13" t="b">
        <f>Github!M$1831</f>
        <v>0</v>
      </c>
      <c r="M2113" s="13" t="b">
        <f>Github!N$1831</f>
        <v>0</v>
      </c>
      <c r="N2113" s="13">
        <f>Github!P$1831</f>
        <v>2872</v>
      </c>
      <c r="O2113" s="13">
        <f>Github!Q$1831</f>
        <v>5819</v>
      </c>
    </row>
    <row r="2114">
      <c r="A2114" s="13">
        <f>Github!J$661</f>
        <v>660</v>
      </c>
      <c r="B2114" s="14" t="str">
        <f>HYPERLINK(CONCAT("http://leetcode.com/problems/",Github!C$661), Github!B$661)</f>
        <v>Remove 9</v>
      </c>
      <c r="C2114" s="13">
        <f>Github!F$661</f>
        <v>151</v>
      </c>
      <c r="D2114" s="13">
        <f>Github!G$661</f>
        <v>197</v>
      </c>
      <c r="E2114" s="13">
        <f>Github!F$661+Github!G$661</f>
        <v>348</v>
      </c>
      <c r="F2114" s="15">
        <f t="shared" si="1"/>
        <v>0.77</v>
      </c>
      <c r="G2114" s="13" t="str">
        <f>ROUND(Github!O$661, 2)&amp;"%"</f>
        <v>56.82%</v>
      </c>
      <c r="H2114" s="13" t="str">
        <f>Github!H$661</f>
        <v>Algorithms</v>
      </c>
      <c r="I2114" s="16" t="str">
        <f>SUBSTITUTE(Github!L$661, ";", ", ")</f>
        <v>Math, </v>
      </c>
      <c r="J2114" s="13" t="str">
        <f>Github!E$661</f>
        <v>Hard</v>
      </c>
      <c r="K2114" s="13" t="str">
        <f>IF(TRIM(Github!D$661)="TRUE","FALSE","TRUE")</f>
        <v>FALSE</v>
      </c>
      <c r="L2114" s="13" t="b">
        <f>Github!M$661</f>
        <v>1</v>
      </c>
      <c r="M2114" s="13" t="b">
        <f>Github!N$661</f>
        <v>0</v>
      </c>
      <c r="N2114" s="13">
        <f>Github!P$661</f>
        <v>9933</v>
      </c>
      <c r="O2114" s="13">
        <f>Github!Q$661</f>
        <v>17480</v>
      </c>
    </row>
    <row r="2115">
      <c r="A2115" s="13">
        <f>Github!J$1128</f>
        <v>1127</v>
      </c>
      <c r="B2115" s="14" t="str">
        <f>HYPERLINK(CONCAT("http://leetcode.com/problems/",Github!C$1128), Github!B$1128)</f>
        <v>User Purchase Platform</v>
      </c>
      <c r="C2115" s="13">
        <f>Github!F$1128</f>
        <v>153</v>
      </c>
      <c r="D2115" s="13">
        <f>Github!G$1128</f>
        <v>119</v>
      </c>
      <c r="E2115" s="13">
        <f>Github!F$1128+Github!G$1128</f>
        <v>272</v>
      </c>
      <c r="F2115" s="15">
        <f t="shared" si="1"/>
        <v>1.29</v>
      </c>
      <c r="G2115" s="13" t="str">
        <f>ROUND(Github!O$1128, 2)&amp;"%"</f>
        <v>50.63%</v>
      </c>
      <c r="H2115" s="13" t="str">
        <f>Github!H$1128</f>
        <v>Database</v>
      </c>
      <c r="I2115" s="16" t="str">
        <f>SUBSTITUTE(Github!L$1128, ";", ", ")</f>
        <v>Database, </v>
      </c>
      <c r="J2115" s="13" t="str">
        <f>Github!E$1128</f>
        <v>Hard</v>
      </c>
      <c r="K2115" s="13" t="str">
        <f>IF(TRIM(Github!D$1128)="TRUE","FALSE","TRUE")</f>
        <v>FALSE</v>
      </c>
      <c r="L2115" s="13" t="b">
        <f>Github!M$1128</f>
        <v>0</v>
      </c>
      <c r="M2115" s="13" t="b">
        <f>Github!N$1128</f>
        <v>0</v>
      </c>
      <c r="N2115" s="13">
        <f>Github!P$1128</f>
        <v>12583</v>
      </c>
      <c r="O2115" s="13">
        <f>Github!Q$1128</f>
        <v>24853</v>
      </c>
    </row>
    <row r="2116">
      <c r="A2116" s="13">
        <f>Github!J$1581</f>
        <v>1580</v>
      </c>
      <c r="B2116" s="14" t="str">
        <f>HYPERLINK(CONCAT("http://leetcode.com/problems/",Github!C$1581), Github!B$1581)</f>
        <v>Put Boxes Into the Warehouse II</v>
      </c>
      <c r="C2116" s="13">
        <f>Github!F$1581</f>
        <v>150</v>
      </c>
      <c r="D2116" s="13">
        <f>Github!G$1581</f>
        <v>2</v>
      </c>
      <c r="E2116" s="13">
        <f>Github!F$1581+Github!G$1581</f>
        <v>152</v>
      </c>
      <c r="F2116" s="15">
        <f t="shared" si="1"/>
        <v>75</v>
      </c>
      <c r="G2116" s="13" t="str">
        <f>ROUND(Github!O$1581, 2)&amp;"%"</f>
        <v>63.63%</v>
      </c>
      <c r="H2116" s="13" t="str">
        <f>Github!H$1581</f>
        <v>Algorithms</v>
      </c>
      <c r="I2116" s="16" t="str">
        <f>SUBSTITUTE(Github!L$1581, ";", ", ")</f>
        <v>Array, Greedy, Sorting, </v>
      </c>
      <c r="J2116" s="13" t="str">
        <f>Github!E$1581</f>
        <v>Medium</v>
      </c>
      <c r="K2116" s="13" t="str">
        <f>IF(TRIM(Github!D$1581)="TRUE","FALSE","TRUE")</f>
        <v>FALSE</v>
      </c>
      <c r="L2116" s="13" t="b">
        <f>Github!M$1581</f>
        <v>0</v>
      </c>
      <c r="M2116" s="13" t="b">
        <f>Github!N$1581</f>
        <v>0</v>
      </c>
      <c r="N2116" s="13">
        <f>Github!P$1581</f>
        <v>3795</v>
      </c>
      <c r="O2116" s="13">
        <f>Github!Q$1581</f>
        <v>5964</v>
      </c>
    </row>
    <row r="2117">
      <c r="A2117" s="13">
        <f>Github!J$2044</f>
        <v>2043</v>
      </c>
      <c r="B2117" s="14" t="str">
        <f>HYPERLINK(CONCAT("http://leetcode.com/problems/",Github!C$2044), Github!B$2044)</f>
        <v>Simple Bank System</v>
      </c>
      <c r="C2117" s="13">
        <f>Github!F$2044</f>
        <v>154</v>
      </c>
      <c r="D2117" s="13">
        <f>Github!G$2044</f>
        <v>161</v>
      </c>
      <c r="E2117" s="13">
        <f>Github!F$2044+Github!G$2044</f>
        <v>315</v>
      </c>
      <c r="F2117" s="15">
        <f t="shared" si="1"/>
        <v>0.96</v>
      </c>
      <c r="G2117" s="13" t="str">
        <f>ROUND(Github!O$2044, 2)&amp;"%"</f>
        <v>65.64%</v>
      </c>
      <c r="H2117" s="13" t="str">
        <f>Github!H$2044</f>
        <v>Algorithms</v>
      </c>
      <c r="I2117" s="16" t="str">
        <f>SUBSTITUTE(Github!L$2044, ";", ", ")</f>
        <v>Array, Hash Table, Design, Simulation, </v>
      </c>
      <c r="J2117" s="13" t="str">
        <f>Github!E$2044</f>
        <v>Medium</v>
      </c>
      <c r="K2117" s="13" t="str">
        <f>IF(TRIM(Github!D$2044)="TRUE","FALSE","TRUE")</f>
        <v>TRUE</v>
      </c>
      <c r="L2117" s="13" t="b">
        <f>Github!M$2044</f>
        <v>0</v>
      </c>
      <c r="M2117" s="13" t="b">
        <f>Github!N$2044</f>
        <v>0</v>
      </c>
      <c r="N2117" s="13">
        <f>Github!P$2044</f>
        <v>16931</v>
      </c>
      <c r="O2117" s="13">
        <f>Github!Q$2044</f>
        <v>25792</v>
      </c>
    </row>
    <row r="2118">
      <c r="A2118" s="13">
        <f>Github!J$1879</f>
        <v>1878</v>
      </c>
      <c r="B2118" s="14" t="str">
        <f>HYPERLINK(CONCAT("http://leetcode.com/problems/",Github!C$1879), Github!B$1879)</f>
        <v>Get Biggest Three Rhombus Sums in a Grid</v>
      </c>
      <c r="C2118" s="13">
        <f>Github!F$1879</f>
        <v>148</v>
      </c>
      <c r="D2118" s="13">
        <f>Github!G$1879</f>
        <v>438</v>
      </c>
      <c r="E2118" s="13">
        <f>Github!F$1879+Github!G$1879</f>
        <v>586</v>
      </c>
      <c r="F2118" s="15">
        <f t="shared" si="1"/>
        <v>0.34</v>
      </c>
      <c r="G2118" s="13" t="str">
        <f>ROUND(Github!O$1879, 2)&amp;"%"</f>
        <v>46.43%</v>
      </c>
      <c r="H2118" s="13" t="str">
        <f>Github!H$1879</f>
        <v>Algorithms</v>
      </c>
      <c r="I2118" s="16" t="str">
        <f>SUBSTITUTE(Github!L$1879, ";", ", ")</f>
        <v>Array, Math, Sorting, Heap (Priority Queue), Matrix, Prefix Sum, </v>
      </c>
      <c r="J2118" s="13" t="str">
        <f>Github!E$1879</f>
        <v>Medium</v>
      </c>
      <c r="K2118" s="13" t="str">
        <f>IF(TRIM(Github!D$1879)="TRUE","FALSE","TRUE")</f>
        <v>TRUE</v>
      </c>
      <c r="L2118" s="13" t="b">
        <f>Github!M$1879</f>
        <v>0</v>
      </c>
      <c r="M2118" s="13" t="b">
        <f>Github!N$1879</f>
        <v>0</v>
      </c>
      <c r="N2118" s="13">
        <f>Github!P$1879</f>
        <v>11698</v>
      </c>
      <c r="O2118" s="13">
        <f>Github!Q$1879</f>
        <v>25197</v>
      </c>
    </row>
    <row r="2119">
      <c r="A2119" s="13">
        <f>Github!J$592</f>
        <v>591</v>
      </c>
      <c r="B2119" s="14" t="str">
        <f>HYPERLINK(CONCAT("http://leetcode.com/problems/",Github!C$592), Github!B$592)</f>
        <v>Tag Validator</v>
      </c>
      <c r="C2119" s="13">
        <f>Github!F$592</f>
        <v>148</v>
      </c>
      <c r="D2119" s="13">
        <f>Github!G$592</f>
        <v>615</v>
      </c>
      <c r="E2119" s="13">
        <f>Github!F$592+Github!G$592</f>
        <v>763</v>
      </c>
      <c r="F2119" s="15">
        <f t="shared" si="1"/>
        <v>0.24</v>
      </c>
      <c r="G2119" s="13" t="str">
        <f>ROUND(Github!O$592, 2)&amp;"%"</f>
        <v>37.12%</v>
      </c>
      <c r="H2119" s="13" t="str">
        <f>Github!H$592</f>
        <v>Algorithms</v>
      </c>
      <c r="I2119" s="16" t="str">
        <f>SUBSTITUTE(Github!L$592, ";", ", ")</f>
        <v>String, Stack, </v>
      </c>
      <c r="J2119" s="13" t="str">
        <f>Github!E$592</f>
        <v>Hard</v>
      </c>
      <c r="K2119" s="13" t="str">
        <f>IF(TRIM(Github!D$592)="TRUE","FALSE","TRUE")</f>
        <v>TRUE</v>
      </c>
      <c r="L2119" s="13" t="b">
        <f>Github!M$592</f>
        <v>1</v>
      </c>
      <c r="M2119" s="13" t="b">
        <f>Github!N$592</f>
        <v>0</v>
      </c>
      <c r="N2119" s="13">
        <f>Github!P$592</f>
        <v>12632</v>
      </c>
      <c r="O2119" s="13">
        <f>Github!Q$592</f>
        <v>34029</v>
      </c>
    </row>
    <row r="2120">
      <c r="A2120" s="13">
        <f>Github!J$1098</f>
        <v>1097</v>
      </c>
      <c r="B2120" s="14" t="str">
        <f>HYPERLINK(CONCAT("http://leetcode.com/problems/",Github!C$1098), Github!B$1098)</f>
        <v>Game Play Analysis V</v>
      </c>
      <c r="C2120" s="13">
        <f>Github!F$1098</f>
        <v>151</v>
      </c>
      <c r="D2120" s="13">
        <f>Github!G$1098</f>
        <v>28</v>
      </c>
      <c r="E2120" s="13">
        <f>Github!F$1098+Github!G$1098</f>
        <v>179</v>
      </c>
      <c r="F2120" s="15">
        <f t="shared" si="1"/>
        <v>5.39</v>
      </c>
      <c r="G2120" s="13" t="str">
        <f>ROUND(Github!O$1098, 2)&amp;"%"</f>
        <v>54.64%</v>
      </c>
      <c r="H2120" s="13" t="str">
        <f>Github!H$1098</f>
        <v>Database</v>
      </c>
      <c r="I2120" s="16" t="str">
        <f>SUBSTITUTE(Github!L$1098, ";", ", ")</f>
        <v>Database, </v>
      </c>
      <c r="J2120" s="13" t="str">
        <f>Github!E$1098</f>
        <v>Hard</v>
      </c>
      <c r="K2120" s="13" t="str">
        <f>IF(TRIM(Github!D$1098)="TRUE","FALSE","TRUE")</f>
        <v>FALSE</v>
      </c>
      <c r="L2120" s="13" t="b">
        <f>Github!M$1098</f>
        <v>1</v>
      </c>
      <c r="M2120" s="13" t="b">
        <f>Github!N$1098</f>
        <v>0</v>
      </c>
      <c r="N2120" s="13">
        <f>Github!P$1098</f>
        <v>18512</v>
      </c>
      <c r="O2120" s="13">
        <f>Github!Q$1098</f>
        <v>33883</v>
      </c>
    </row>
    <row r="2121">
      <c r="A2121" s="13">
        <f>Github!J$620</f>
        <v>619</v>
      </c>
      <c r="B2121" s="14" t="str">
        <f>HYPERLINK(CONCAT("http://leetcode.com/problems/",Github!C$620), Github!B$620)</f>
        <v>Biggest Single Number</v>
      </c>
      <c r="C2121" s="13">
        <f>Github!F$620</f>
        <v>148</v>
      </c>
      <c r="D2121" s="13">
        <f>Github!G$620</f>
        <v>122</v>
      </c>
      <c r="E2121" s="13">
        <f>Github!F$620+Github!G$620</f>
        <v>270</v>
      </c>
      <c r="F2121" s="15">
        <f t="shared" si="1"/>
        <v>1.21</v>
      </c>
      <c r="G2121" s="13" t="str">
        <f>ROUND(Github!O$620, 2)&amp;"%"</f>
        <v>49.17%</v>
      </c>
      <c r="H2121" s="13" t="str">
        <f>Github!H$620</f>
        <v>Database</v>
      </c>
      <c r="I2121" s="16" t="str">
        <f>SUBSTITUTE(Github!L$620, ";", ", ")</f>
        <v>Database, </v>
      </c>
      <c r="J2121" s="13" t="str">
        <f>Github!E$620</f>
        <v>Easy</v>
      </c>
      <c r="K2121" s="13" t="str">
        <f>IF(TRIM(Github!D$620)="TRUE","FALSE","TRUE")</f>
        <v>FALSE</v>
      </c>
      <c r="L2121" s="13" t="b">
        <f>Github!M$620</f>
        <v>1</v>
      </c>
      <c r="M2121" s="13" t="b">
        <f>Github!N$620</f>
        <v>0</v>
      </c>
      <c r="N2121" s="13">
        <f>Github!P$620</f>
        <v>56702</v>
      </c>
      <c r="O2121" s="13">
        <f>Github!Q$620</f>
        <v>115308</v>
      </c>
    </row>
    <row r="2122">
      <c r="A2122" s="13">
        <f>Github!J$1242</f>
        <v>1241</v>
      </c>
      <c r="B2122" s="14" t="str">
        <f>HYPERLINK(CONCAT("http://leetcode.com/problems/",Github!C$1242), Github!B$1242)</f>
        <v>Number of Comments per Post</v>
      </c>
      <c r="C2122" s="13">
        <f>Github!F$1242</f>
        <v>148</v>
      </c>
      <c r="D2122" s="13">
        <f>Github!G$1242</f>
        <v>464</v>
      </c>
      <c r="E2122" s="13">
        <f>Github!F$1242+Github!G$1242</f>
        <v>612</v>
      </c>
      <c r="F2122" s="15">
        <f t="shared" si="1"/>
        <v>0.32</v>
      </c>
      <c r="G2122" s="13" t="str">
        <f>ROUND(Github!O$1242, 2)&amp;"%"</f>
        <v>67.4%</v>
      </c>
      <c r="H2122" s="13" t="str">
        <f>Github!H$1242</f>
        <v>Database</v>
      </c>
      <c r="I2122" s="16" t="str">
        <f>SUBSTITUTE(Github!L$1242, ";", ", ")</f>
        <v>Database, </v>
      </c>
      <c r="J2122" s="13" t="str">
        <f>Github!E$1242</f>
        <v>Easy</v>
      </c>
      <c r="K2122" s="13" t="str">
        <f>IF(TRIM(Github!D$1242)="TRUE","FALSE","TRUE")</f>
        <v>FALSE</v>
      </c>
      <c r="L2122" s="13" t="b">
        <f>Github!M$1242</f>
        <v>0</v>
      </c>
      <c r="M2122" s="13" t="b">
        <f>Github!N$1242</f>
        <v>0</v>
      </c>
      <c r="N2122" s="13">
        <f>Github!P$1242</f>
        <v>29439</v>
      </c>
      <c r="O2122" s="13">
        <f>Github!Q$1242</f>
        <v>43678</v>
      </c>
    </row>
    <row r="2123">
      <c r="A2123" s="13">
        <f>Github!J$575</f>
        <v>574</v>
      </c>
      <c r="B2123" s="14" t="str">
        <f>HYPERLINK(CONCAT("http://leetcode.com/problems/",Github!C$575), Github!B$575)</f>
        <v>Winning Candidate</v>
      </c>
      <c r="C2123" s="13">
        <f>Github!F$575</f>
        <v>147</v>
      </c>
      <c r="D2123" s="13">
        <f>Github!G$575</f>
        <v>403</v>
      </c>
      <c r="E2123" s="13">
        <f>Github!F$575+Github!G$575</f>
        <v>550</v>
      </c>
      <c r="F2123" s="15">
        <f t="shared" si="1"/>
        <v>0.36</v>
      </c>
      <c r="G2123" s="13" t="str">
        <f>ROUND(Github!O$575, 2)&amp;"%"</f>
        <v>59.92%</v>
      </c>
      <c r="H2123" s="13" t="str">
        <f>Github!H$575</f>
        <v>Database</v>
      </c>
      <c r="I2123" s="16" t="str">
        <f>SUBSTITUTE(Github!L$575, ";", ", ")</f>
        <v>Database, </v>
      </c>
      <c r="J2123" s="13" t="str">
        <f>Github!E$575</f>
        <v>Medium</v>
      </c>
      <c r="K2123" s="13" t="str">
        <f>IF(TRIM(Github!D$575)="TRUE","FALSE","TRUE")</f>
        <v>FALSE</v>
      </c>
      <c r="L2123" s="13" t="b">
        <f>Github!M$575</f>
        <v>1</v>
      </c>
      <c r="M2123" s="13" t="b">
        <f>Github!N$575</f>
        <v>0</v>
      </c>
      <c r="N2123" s="13">
        <f>Github!P$575</f>
        <v>53924</v>
      </c>
      <c r="O2123" s="13">
        <f>Github!Q$575</f>
        <v>89986</v>
      </c>
    </row>
    <row r="2124">
      <c r="A2124" s="13">
        <f>Github!J$2049</f>
        <v>2048</v>
      </c>
      <c r="B2124" s="14" t="str">
        <f>HYPERLINK(CONCAT("http://leetcode.com/problems/",Github!C$2049), Github!B$2049)</f>
        <v>Next Greater Numerically Balanced Number</v>
      </c>
      <c r="C2124" s="13">
        <f>Github!F$2049</f>
        <v>149</v>
      </c>
      <c r="D2124" s="13">
        <f>Github!G$2049</f>
        <v>254</v>
      </c>
      <c r="E2124" s="13">
        <f>Github!F$2049+Github!G$2049</f>
        <v>403</v>
      </c>
      <c r="F2124" s="15">
        <f t="shared" si="1"/>
        <v>0.59</v>
      </c>
      <c r="G2124" s="13" t="str">
        <f>ROUND(Github!O$2049, 2)&amp;"%"</f>
        <v>47.2%</v>
      </c>
      <c r="H2124" s="13" t="str">
        <f>Github!H$2049</f>
        <v>Algorithms</v>
      </c>
      <c r="I2124" s="16" t="str">
        <f>SUBSTITUTE(Github!L$2049, ";", ", ")</f>
        <v>Math, Backtracking, Enumeration, </v>
      </c>
      <c r="J2124" s="13" t="str">
        <f>Github!E$2049</f>
        <v>Medium</v>
      </c>
      <c r="K2124" s="13" t="str">
        <f>IF(TRIM(Github!D$2049)="TRUE","FALSE","TRUE")</f>
        <v>TRUE</v>
      </c>
      <c r="L2124" s="13" t="b">
        <f>Github!M$2049</f>
        <v>0</v>
      </c>
      <c r="M2124" s="13" t="b">
        <f>Github!N$2049</f>
        <v>0</v>
      </c>
      <c r="N2124" s="13">
        <f>Github!P$2049</f>
        <v>10385</v>
      </c>
      <c r="O2124" s="13">
        <f>Github!Q$2049</f>
        <v>22000</v>
      </c>
    </row>
    <row r="2125">
      <c r="A2125" s="13">
        <f>Github!J$480</f>
        <v>479</v>
      </c>
      <c r="B2125" s="14" t="str">
        <f>HYPERLINK(CONCAT("http://leetcode.com/problems/",Github!C$480), Github!B$480)</f>
        <v>Largest Palindrome Product</v>
      </c>
      <c r="C2125" s="13">
        <f>Github!F$480</f>
        <v>147</v>
      </c>
      <c r="D2125" s="13">
        <f>Github!G$480</f>
        <v>1497</v>
      </c>
      <c r="E2125" s="13">
        <f>Github!F$480+Github!G$480</f>
        <v>1644</v>
      </c>
      <c r="F2125" s="15">
        <f t="shared" si="1"/>
        <v>0.1</v>
      </c>
      <c r="G2125" s="13" t="str">
        <f>ROUND(Github!O$480, 2)&amp;"%"</f>
        <v>31.77%</v>
      </c>
      <c r="H2125" s="13" t="str">
        <f>Github!H$480</f>
        <v>Algorithms</v>
      </c>
      <c r="I2125" s="16" t="str">
        <f>SUBSTITUTE(Github!L$480, ";", ", ")</f>
        <v>Math, </v>
      </c>
      <c r="J2125" s="13" t="str">
        <f>Github!E$480</f>
        <v>Hard</v>
      </c>
      <c r="K2125" s="13" t="str">
        <f>IF(TRIM(Github!D$480)="TRUE","FALSE","TRUE")</f>
        <v>TRUE</v>
      </c>
      <c r="L2125" s="13" t="b">
        <f>Github!M$480</f>
        <v>0</v>
      </c>
      <c r="M2125" s="13" t="b">
        <f>Github!N$480</f>
        <v>0</v>
      </c>
      <c r="N2125" s="13">
        <f>Github!P$480</f>
        <v>21534</v>
      </c>
      <c r="O2125" s="13">
        <f>Github!Q$480</f>
        <v>67781</v>
      </c>
    </row>
    <row r="2126">
      <c r="A2126" s="13">
        <f>Github!J$619</f>
        <v>618</v>
      </c>
      <c r="B2126" s="14" t="str">
        <f>HYPERLINK(CONCAT("http://leetcode.com/problems/",Github!C$619), Github!B$619)</f>
        <v>Students Report By Geography</v>
      </c>
      <c r="C2126" s="13">
        <f>Github!F$619</f>
        <v>148</v>
      </c>
      <c r="D2126" s="13">
        <f>Github!G$619</f>
        <v>153</v>
      </c>
      <c r="E2126" s="13">
        <f>Github!F$619+Github!G$619</f>
        <v>301</v>
      </c>
      <c r="F2126" s="15">
        <f t="shared" si="1"/>
        <v>0.97</v>
      </c>
      <c r="G2126" s="13" t="str">
        <f>ROUND(Github!O$619, 2)&amp;"%"</f>
        <v>64.23%</v>
      </c>
      <c r="H2126" s="13" t="str">
        <f>Github!H$619</f>
        <v>Database</v>
      </c>
      <c r="I2126" s="16" t="str">
        <f>SUBSTITUTE(Github!L$619, ";", ", ")</f>
        <v>Database, </v>
      </c>
      <c r="J2126" s="13" t="str">
        <f>Github!E$619</f>
        <v>Hard</v>
      </c>
      <c r="K2126" s="13" t="str">
        <f>IF(TRIM(Github!D$619)="TRUE","FALSE","TRUE")</f>
        <v>FALSE</v>
      </c>
      <c r="L2126" s="13" t="b">
        <f>Github!M$619</f>
        <v>1</v>
      </c>
      <c r="M2126" s="13" t="b">
        <f>Github!N$619</f>
        <v>0</v>
      </c>
      <c r="N2126" s="13">
        <f>Github!P$619</f>
        <v>19541</v>
      </c>
      <c r="O2126" s="13">
        <f>Github!Q$619</f>
        <v>30424</v>
      </c>
    </row>
    <row r="2127">
      <c r="A2127" s="13">
        <f>Github!J$1177</f>
        <v>1176</v>
      </c>
      <c r="B2127" s="14" t="str">
        <f>HYPERLINK(CONCAT("http://leetcode.com/problems/",Github!C$1177), Github!B$1177)</f>
        <v>Diet Plan Performance</v>
      </c>
      <c r="C2127" s="13">
        <f>Github!F$1177</f>
        <v>141</v>
      </c>
      <c r="D2127" s="13">
        <f>Github!G$1177</f>
        <v>270</v>
      </c>
      <c r="E2127" s="13">
        <f>Github!F$1177+Github!G$1177</f>
        <v>411</v>
      </c>
      <c r="F2127" s="15">
        <f t="shared" si="1"/>
        <v>0.52</v>
      </c>
      <c r="G2127" s="13" t="str">
        <f>ROUND(Github!O$1177, 2)&amp;"%"</f>
        <v>52.52%</v>
      </c>
      <c r="H2127" s="13" t="str">
        <f>Github!H$1177</f>
        <v>Algorithms</v>
      </c>
      <c r="I2127" s="16" t="str">
        <f>SUBSTITUTE(Github!L$1177, ";", ", ")</f>
        <v>Array, Sliding Window, </v>
      </c>
      <c r="J2127" s="13" t="str">
        <f>Github!E$1177</f>
        <v>Easy</v>
      </c>
      <c r="K2127" s="13" t="str">
        <f>IF(TRIM(Github!D$1177)="TRUE","FALSE","TRUE")</f>
        <v>FALSE</v>
      </c>
      <c r="L2127" s="13" t="b">
        <f>Github!M$1177</f>
        <v>0</v>
      </c>
      <c r="M2127" s="13" t="b">
        <f>Github!N$1177</f>
        <v>0</v>
      </c>
      <c r="N2127" s="13">
        <f>Github!P$1177</f>
        <v>28286</v>
      </c>
      <c r="O2127" s="13">
        <f>Github!Q$1177</f>
        <v>53856</v>
      </c>
    </row>
    <row r="2128">
      <c r="A2128" s="13">
        <f>Github!J$2246</f>
        <v>2245</v>
      </c>
      <c r="B2128" s="14" t="str">
        <f>HYPERLINK(CONCAT("http://leetcode.com/problems/",Github!C$2246), Github!B$2246)</f>
        <v>Maximum Trailing Zeros in a Cornered Path</v>
      </c>
      <c r="C2128" s="13">
        <f>Github!F$2246</f>
        <v>140</v>
      </c>
      <c r="D2128" s="13">
        <f>Github!G$2246</f>
        <v>355</v>
      </c>
      <c r="E2128" s="13">
        <f>Github!F$2246+Github!G$2246</f>
        <v>495</v>
      </c>
      <c r="F2128" s="15">
        <f t="shared" si="1"/>
        <v>0.39</v>
      </c>
      <c r="G2128" s="13" t="str">
        <f>ROUND(Github!O$2246, 2)&amp;"%"</f>
        <v>35.1%</v>
      </c>
      <c r="H2128" s="13" t="str">
        <f>Github!H$2246</f>
        <v>Algorithms</v>
      </c>
      <c r="I2128" s="16" t="str">
        <f>SUBSTITUTE(Github!L$2246, ";", ", ")</f>
        <v>Array, Matrix, Prefix Sum, </v>
      </c>
      <c r="J2128" s="13" t="str">
        <f>Github!E$2246</f>
        <v>Medium</v>
      </c>
      <c r="K2128" s="13" t="str">
        <f>IF(TRIM(Github!D$2246)="TRUE","FALSE","TRUE")</f>
        <v>TRUE</v>
      </c>
      <c r="L2128" s="13" t="b">
        <f>Github!M$2246</f>
        <v>0</v>
      </c>
      <c r="M2128" s="13" t="b">
        <f>Github!N$2246</f>
        <v>0</v>
      </c>
      <c r="N2128" s="13">
        <f>Github!P$2246</f>
        <v>6531</v>
      </c>
      <c r="O2128" s="13">
        <f>Github!Q$2246</f>
        <v>18608</v>
      </c>
    </row>
    <row r="2129">
      <c r="A2129" s="13">
        <f>Github!J$1349</f>
        <v>1348</v>
      </c>
      <c r="B2129" s="14" t="str">
        <f>HYPERLINK(CONCAT("http://leetcode.com/problems/",Github!C$1349), Github!B$1349)</f>
        <v>Tweet Counts Per Frequency</v>
      </c>
      <c r="C2129" s="13">
        <f>Github!F$1349</f>
        <v>141</v>
      </c>
      <c r="D2129" s="13">
        <f>Github!G$1349</f>
        <v>241</v>
      </c>
      <c r="E2129" s="13">
        <f>Github!F$1349+Github!G$1349</f>
        <v>382</v>
      </c>
      <c r="F2129" s="15">
        <f t="shared" si="1"/>
        <v>0.59</v>
      </c>
      <c r="G2129" s="13" t="str">
        <f>ROUND(Github!O$1349, 2)&amp;"%"</f>
        <v>43.61%</v>
      </c>
      <c r="H2129" s="13" t="str">
        <f>Github!H$1349</f>
        <v>Algorithms</v>
      </c>
      <c r="I2129" s="16" t="str">
        <f>SUBSTITUTE(Github!L$1349, ";", ", ")</f>
        <v>Hash Table, Binary Search, Design, Sorting, Ordered Set, </v>
      </c>
      <c r="J2129" s="13" t="str">
        <f>Github!E$1349</f>
        <v>Medium</v>
      </c>
      <c r="K2129" s="13" t="str">
        <f>IF(TRIM(Github!D$1349)="TRUE","FALSE","TRUE")</f>
        <v>TRUE</v>
      </c>
      <c r="L2129" s="13" t="b">
        <f>Github!M$1349</f>
        <v>0</v>
      </c>
      <c r="M2129" s="13" t="b">
        <f>Github!N$1349</f>
        <v>0</v>
      </c>
      <c r="N2129" s="13">
        <f>Github!P$1349</f>
        <v>29235</v>
      </c>
      <c r="O2129" s="13">
        <f>Github!Q$1349</f>
        <v>67026</v>
      </c>
    </row>
    <row r="2130">
      <c r="A2130" s="13">
        <f>Github!J$1358</f>
        <v>1357</v>
      </c>
      <c r="B2130" s="14" t="str">
        <f>HYPERLINK(CONCAT("http://leetcode.com/problems/",Github!C$1358), Github!B$1358)</f>
        <v>Apply Discount Every n Orders</v>
      </c>
      <c r="C2130" s="13">
        <f>Github!F$1358</f>
        <v>139</v>
      </c>
      <c r="D2130" s="13">
        <f>Github!G$1358</f>
        <v>188</v>
      </c>
      <c r="E2130" s="13">
        <f>Github!F$1358+Github!G$1358</f>
        <v>327</v>
      </c>
      <c r="F2130" s="15">
        <f t="shared" si="1"/>
        <v>0.74</v>
      </c>
      <c r="G2130" s="13" t="str">
        <f>ROUND(Github!O$1358, 2)&amp;"%"</f>
        <v>69.97%</v>
      </c>
      <c r="H2130" s="13" t="str">
        <f>Github!H$1358</f>
        <v>Algorithms</v>
      </c>
      <c r="I2130" s="16" t="str">
        <f>SUBSTITUTE(Github!L$1358, ";", ", ")</f>
        <v>Array, Hash Table, Design, </v>
      </c>
      <c r="J2130" s="13" t="str">
        <f>Github!E$1358</f>
        <v>Medium</v>
      </c>
      <c r="K2130" s="13" t="str">
        <f>IF(TRIM(Github!D$1358)="TRUE","FALSE","TRUE")</f>
        <v>TRUE</v>
      </c>
      <c r="L2130" s="13" t="b">
        <f>Github!M$1358</f>
        <v>0</v>
      </c>
      <c r="M2130" s="13" t="b">
        <f>Github!N$1358</f>
        <v>0</v>
      </c>
      <c r="N2130" s="13">
        <f>Github!P$1358</f>
        <v>16996</v>
      </c>
      <c r="O2130" s="13">
        <f>Github!Q$1358</f>
        <v>24289</v>
      </c>
    </row>
    <row r="2131">
      <c r="A2131" s="13">
        <f>Github!J$1886</f>
        <v>1885</v>
      </c>
      <c r="B2131" s="14" t="str">
        <f>HYPERLINK(CONCAT("http://leetcode.com/problems/",Github!C$1886), Github!B$1886)</f>
        <v>Count Pairs in Two Arrays</v>
      </c>
      <c r="C2131" s="13">
        <f>Github!F$1886</f>
        <v>141</v>
      </c>
      <c r="D2131" s="13">
        <f>Github!G$1886</f>
        <v>8</v>
      </c>
      <c r="E2131" s="13">
        <f>Github!F$1886+Github!G$1886</f>
        <v>149</v>
      </c>
      <c r="F2131" s="15">
        <f t="shared" si="1"/>
        <v>17.63</v>
      </c>
      <c r="G2131" s="13" t="str">
        <f>ROUND(Github!O$1886, 2)&amp;"%"</f>
        <v>59.39%</v>
      </c>
      <c r="H2131" s="13" t="str">
        <f>Github!H$1886</f>
        <v>Algorithms</v>
      </c>
      <c r="I2131" s="16" t="str">
        <f>SUBSTITUTE(Github!L$1886, ";", ", ")</f>
        <v>Array, Binary Search, Sorting, </v>
      </c>
      <c r="J2131" s="13" t="str">
        <f>Github!E$1886</f>
        <v>Medium</v>
      </c>
      <c r="K2131" s="13" t="str">
        <f>IF(TRIM(Github!D$1886)="TRUE","FALSE","TRUE")</f>
        <v>FALSE</v>
      </c>
      <c r="L2131" s="13" t="b">
        <f>Github!M$1886</f>
        <v>0</v>
      </c>
      <c r="M2131" s="13" t="b">
        <f>Github!N$1886</f>
        <v>0</v>
      </c>
      <c r="N2131" s="13">
        <f>Github!P$1886</f>
        <v>4116</v>
      </c>
      <c r="O2131" s="13">
        <f>Github!Q$1886</f>
        <v>6931</v>
      </c>
    </row>
    <row r="2132">
      <c r="A2132" s="13">
        <f>Github!J$1059</f>
        <v>1058</v>
      </c>
      <c r="B2132" s="14" t="str">
        <f>HYPERLINK(CONCAT("http://leetcode.com/problems/",Github!C$1059), Github!B$1059)</f>
        <v>Minimize Rounding Error to Meet Target</v>
      </c>
      <c r="C2132" s="13">
        <f>Github!F$1059</f>
        <v>137</v>
      </c>
      <c r="D2132" s="13">
        <f>Github!G$1059</f>
        <v>135</v>
      </c>
      <c r="E2132" s="13">
        <f>Github!F$1059+Github!G$1059</f>
        <v>272</v>
      </c>
      <c r="F2132" s="15">
        <f t="shared" si="1"/>
        <v>1.01</v>
      </c>
      <c r="G2132" s="13" t="str">
        <f>ROUND(Github!O$1059, 2)&amp;"%"</f>
        <v>44.83%</v>
      </c>
      <c r="H2132" s="13" t="str">
        <f>Github!H$1059</f>
        <v>Algorithms</v>
      </c>
      <c r="I2132" s="16" t="str">
        <f>SUBSTITUTE(Github!L$1059, ";", ", ")</f>
        <v>Array, Math, String, Greedy, </v>
      </c>
      <c r="J2132" s="13" t="str">
        <f>Github!E$1059</f>
        <v>Medium</v>
      </c>
      <c r="K2132" s="13" t="str">
        <f>IF(TRIM(Github!D$1059)="TRUE","FALSE","TRUE")</f>
        <v>FALSE</v>
      </c>
      <c r="L2132" s="13" t="b">
        <f>Github!M$1059</f>
        <v>0</v>
      </c>
      <c r="M2132" s="13" t="b">
        <f>Github!N$1059</f>
        <v>0</v>
      </c>
      <c r="N2132" s="13">
        <f>Github!P$1059</f>
        <v>8226</v>
      </c>
      <c r="O2132" s="13">
        <f>Github!Q$1059</f>
        <v>18350</v>
      </c>
    </row>
    <row r="2133">
      <c r="A2133" s="13">
        <f>Github!J$771</f>
        <v>770</v>
      </c>
      <c r="B2133" s="14" t="str">
        <f>HYPERLINK(CONCAT("http://leetcode.com/problems/",Github!C$771), Github!B$771)</f>
        <v>Basic Calculator IV</v>
      </c>
      <c r="C2133" s="13">
        <f>Github!F$771</f>
        <v>136</v>
      </c>
      <c r="D2133" s="13">
        <f>Github!G$771</f>
        <v>1312</v>
      </c>
      <c r="E2133" s="13">
        <f>Github!F$771+Github!G$771</f>
        <v>1448</v>
      </c>
      <c r="F2133" s="15">
        <f t="shared" si="1"/>
        <v>0.1</v>
      </c>
      <c r="G2133" s="13" t="str">
        <f>ROUND(Github!O$771, 2)&amp;"%"</f>
        <v>56.02%</v>
      </c>
      <c r="H2133" s="13" t="str">
        <f>Github!H$771</f>
        <v>Algorithms</v>
      </c>
      <c r="I2133" s="16" t="str">
        <f>SUBSTITUTE(Github!L$771, ";", ", ")</f>
        <v>Hash Table, Math, String, Stack, Recursion, </v>
      </c>
      <c r="J2133" s="13" t="str">
        <f>Github!E$771</f>
        <v>Hard</v>
      </c>
      <c r="K2133" s="13" t="str">
        <f>IF(TRIM(Github!D$771)="TRUE","FALSE","TRUE")</f>
        <v>TRUE</v>
      </c>
      <c r="L2133" s="13" t="b">
        <f>Github!M$771</f>
        <v>0</v>
      </c>
      <c r="M2133" s="13" t="b">
        <f>Github!N$771</f>
        <v>0</v>
      </c>
      <c r="N2133" s="13">
        <f>Github!P$771</f>
        <v>8953</v>
      </c>
      <c r="O2133" s="13">
        <f>Github!Q$771</f>
        <v>15982</v>
      </c>
    </row>
    <row r="2134">
      <c r="A2134" s="13">
        <f>Github!J$875</f>
        <v>874</v>
      </c>
      <c r="B2134" s="14" t="str">
        <f>HYPERLINK(CONCAT("http://leetcode.com/problems/",Github!C$875), Github!B$875)</f>
        <v>Walking Robot Simulation</v>
      </c>
      <c r="C2134" s="13">
        <f>Github!F$875</f>
        <v>139</v>
      </c>
      <c r="D2134" s="13">
        <f>Github!G$875</f>
        <v>21</v>
      </c>
      <c r="E2134" s="13">
        <f>Github!F$875+Github!G$875</f>
        <v>160</v>
      </c>
      <c r="F2134" s="15">
        <f t="shared" si="1"/>
        <v>6.62</v>
      </c>
      <c r="G2134" s="13" t="str">
        <f>ROUND(Github!O$875, 2)&amp;"%"</f>
        <v>38.56%</v>
      </c>
      <c r="H2134" s="13" t="str">
        <f>Github!H$875</f>
        <v>Algorithms</v>
      </c>
      <c r="I2134" s="16" t="str">
        <f>SUBSTITUTE(Github!L$875, ";", ", ")</f>
        <v>Array, Simulation, </v>
      </c>
      <c r="J2134" s="13" t="str">
        <f>Github!E$875</f>
        <v>Medium</v>
      </c>
      <c r="K2134" s="13" t="str">
        <f>IF(TRIM(Github!D$875)="TRUE","FALSE","TRUE")</f>
        <v>TRUE</v>
      </c>
      <c r="L2134" s="13" t="b">
        <f>Github!M$875</f>
        <v>1</v>
      </c>
      <c r="M2134" s="13" t="b">
        <f>Github!N$875</f>
        <v>0</v>
      </c>
      <c r="N2134" s="13">
        <f>Github!P$875</f>
        <v>35126</v>
      </c>
      <c r="O2134" s="13">
        <f>Github!Q$875</f>
        <v>91098</v>
      </c>
    </row>
    <row r="2135">
      <c r="A2135" s="13">
        <f>Github!J$1859</f>
        <v>1858</v>
      </c>
      <c r="B2135" s="14" t="str">
        <f>HYPERLINK(CONCAT("http://leetcode.com/problems/",Github!C$1859), Github!B$1859)</f>
        <v>Longest Word With All Prefixes</v>
      </c>
      <c r="C2135" s="13">
        <f>Github!F$1859</f>
        <v>139</v>
      </c>
      <c r="D2135" s="13">
        <f>Github!G$1859</f>
        <v>4</v>
      </c>
      <c r="E2135" s="13">
        <f>Github!F$1859+Github!G$1859</f>
        <v>143</v>
      </c>
      <c r="F2135" s="15">
        <f t="shared" si="1"/>
        <v>34.75</v>
      </c>
      <c r="G2135" s="13" t="str">
        <f>ROUND(Github!O$1859, 2)&amp;"%"</f>
        <v>66.8%</v>
      </c>
      <c r="H2135" s="13" t="str">
        <f>Github!H$1859</f>
        <v>Algorithms</v>
      </c>
      <c r="I2135" s="16" t="str">
        <f>SUBSTITUTE(Github!L$1859, ";", ", ")</f>
        <v>Depth-First Search, Trie, </v>
      </c>
      <c r="J2135" s="13" t="str">
        <f>Github!E$1859</f>
        <v>Medium</v>
      </c>
      <c r="K2135" s="13" t="str">
        <f>IF(TRIM(Github!D$1859)="TRUE","FALSE","TRUE")</f>
        <v>FALSE</v>
      </c>
      <c r="L2135" s="13" t="b">
        <f>Github!M$1859</f>
        <v>0</v>
      </c>
      <c r="M2135" s="13" t="b">
        <f>Github!N$1859</f>
        <v>0</v>
      </c>
      <c r="N2135" s="13">
        <f>Github!P$1859</f>
        <v>5471</v>
      </c>
      <c r="O2135" s="13">
        <f>Github!Q$1859</f>
        <v>8190</v>
      </c>
    </row>
    <row r="2136">
      <c r="A2136" s="13">
        <f>Github!J$823</f>
        <v>822</v>
      </c>
      <c r="B2136" s="14" t="str">
        <f>HYPERLINK(CONCAT("http://leetcode.com/problems/",Github!C$823), Github!B$823)</f>
        <v>Card Flipping Game</v>
      </c>
      <c r="C2136" s="13">
        <f>Github!F$823</f>
        <v>137</v>
      </c>
      <c r="D2136" s="13">
        <f>Github!G$823</f>
        <v>673</v>
      </c>
      <c r="E2136" s="13">
        <f>Github!F$823+Github!G$823</f>
        <v>810</v>
      </c>
      <c r="F2136" s="15">
        <f t="shared" si="1"/>
        <v>0.2</v>
      </c>
      <c r="G2136" s="13" t="str">
        <f>ROUND(Github!O$823, 2)&amp;"%"</f>
        <v>45.76%</v>
      </c>
      <c r="H2136" s="13" t="str">
        <f>Github!H$823</f>
        <v>Algorithms</v>
      </c>
      <c r="I2136" s="16" t="str">
        <f>SUBSTITUTE(Github!L$823, ";", ", ")</f>
        <v>Array, Hash Table, </v>
      </c>
      <c r="J2136" s="13" t="str">
        <f>Github!E$823</f>
        <v>Medium</v>
      </c>
      <c r="K2136" s="13" t="str">
        <f>IF(TRIM(Github!D$823)="TRUE","FALSE","TRUE")</f>
        <v>TRUE</v>
      </c>
      <c r="L2136" s="13" t="b">
        <f>Github!M$823</f>
        <v>0</v>
      </c>
      <c r="M2136" s="13" t="b">
        <f>Github!N$823</f>
        <v>0</v>
      </c>
      <c r="N2136" s="13">
        <f>Github!P$823</f>
        <v>14742</v>
      </c>
      <c r="O2136" s="13">
        <f>Github!Q$823</f>
        <v>32216</v>
      </c>
    </row>
    <row r="2137">
      <c r="A2137" s="13">
        <f>Github!J$832</f>
        <v>831</v>
      </c>
      <c r="B2137" s="14" t="str">
        <f>HYPERLINK(CONCAT("http://leetcode.com/problems/",Github!C$832), Github!B$832)</f>
        <v>Masking Personal Information</v>
      </c>
      <c r="C2137" s="13">
        <f>Github!F$832</f>
        <v>136</v>
      </c>
      <c r="D2137" s="13">
        <f>Github!G$832</f>
        <v>413</v>
      </c>
      <c r="E2137" s="13">
        <f>Github!F$832+Github!G$832</f>
        <v>549</v>
      </c>
      <c r="F2137" s="15">
        <f t="shared" si="1"/>
        <v>0.33</v>
      </c>
      <c r="G2137" s="13" t="str">
        <f>ROUND(Github!O$832, 2)&amp;"%"</f>
        <v>47.12%</v>
      </c>
      <c r="H2137" s="13" t="str">
        <f>Github!H$832</f>
        <v>Algorithms</v>
      </c>
      <c r="I2137" s="16" t="str">
        <f>SUBSTITUTE(Github!L$832, ";", ", ")</f>
        <v>String, </v>
      </c>
      <c r="J2137" s="13" t="str">
        <f>Github!E$832</f>
        <v>Medium</v>
      </c>
      <c r="K2137" s="13" t="str">
        <f>IF(TRIM(Github!D$832)="TRUE","FALSE","TRUE")</f>
        <v>TRUE</v>
      </c>
      <c r="L2137" s="13" t="b">
        <f>Github!M$832</f>
        <v>0</v>
      </c>
      <c r="M2137" s="13" t="b">
        <f>Github!N$832</f>
        <v>0</v>
      </c>
      <c r="N2137" s="13">
        <f>Github!P$832</f>
        <v>15973</v>
      </c>
      <c r="O2137" s="13">
        <f>Github!Q$832</f>
        <v>33900</v>
      </c>
    </row>
    <row r="2138">
      <c r="A2138" s="13">
        <f>Github!J$1133</f>
        <v>1132</v>
      </c>
      <c r="B2138" s="14" t="str">
        <f>HYPERLINK(CONCAT("http://leetcode.com/problems/",Github!C$1133), Github!B$1133)</f>
        <v>Reported Posts II</v>
      </c>
      <c r="C2138" s="13">
        <f>Github!F$1133</f>
        <v>136</v>
      </c>
      <c r="D2138" s="13">
        <f>Github!G$1133</f>
        <v>493</v>
      </c>
      <c r="E2138" s="13">
        <f>Github!F$1133+Github!G$1133</f>
        <v>629</v>
      </c>
      <c r="F2138" s="15">
        <f t="shared" si="1"/>
        <v>0.28</v>
      </c>
      <c r="G2138" s="13" t="str">
        <f>ROUND(Github!O$1133, 2)&amp;"%"</f>
        <v>33.54%</v>
      </c>
      <c r="H2138" s="13" t="str">
        <f>Github!H$1133</f>
        <v>Database</v>
      </c>
      <c r="I2138" s="16" t="str">
        <f>SUBSTITUTE(Github!L$1133, ";", ", ")</f>
        <v>Database, </v>
      </c>
      <c r="J2138" s="13" t="str">
        <f>Github!E$1133</f>
        <v>Medium</v>
      </c>
      <c r="K2138" s="13" t="str">
        <f>IF(TRIM(Github!D$1133)="TRUE","FALSE","TRUE")</f>
        <v>FALSE</v>
      </c>
      <c r="L2138" s="13" t="b">
        <f>Github!M$1133</f>
        <v>0</v>
      </c>
      <c r="M2138" s="13" t="b">
        <f>Github!N$1133</f>
        <v>0</v>
      </c>
      <c r="N2138" s="13">
        <f>Github!P$1133</f>
        <v>31747</v>
      </c>
      <c r="O2138" s="13">
        <f>Github!Q$1133</f>
        <v>94667</v>
      </c>
    </row>
    <row r="2139">
      <c r="A2139" s="13">
        <f>Github!J$1370</f>
        <v>1369</v>
      </c>
      <c r="B2139" s="14" t="str">
        <f>HYPERLINK(CONCAT("http://leetcode.com/problems/",Github!C$1370), Github!B$1370)</f>
        <v>Get the Second Most Recent Activity</v>
      </c>
      <c r="C2139" s="13">
        <f>Github!F$1370</f>
        <v>136</v>
      </c>
      <c r="D2139" s="13">
        <f>Github!G$1370</f>
        <v>13</v>
      </c>
      <c r="E2139" s="13">
        <f>Github!F$1370+Github!G$1370</f>
        <v>149</v>
      </c>
      <c r="F2139" s="15">
        <f t="shared" si="1"/>
        <v>10.46</v>
      </c>
      <c r="G2139" s="13" t="str">
        <f>ROUND(Github!O$1370, 2)&amp;"%"</f>
        <v>69.73%</v>
      </c>
      <c r="H2139" s="13" t="str">
        <f>Github!H$1370</f>
        <v>Database</v>
      </c>
      <c r="I2139" s="16" t="str">
        <f>SUBSTITUTE(Github!L$1370, ";", ", ")</f>
        <v>Database, </v>
      </c>
      <c r="J2139" s="13" t="str">
        <f>Github!E$1370</f>
        <v>Hard</v>
      </c>
      <c r="K2139" s="13" t="str">
        <f>IF(TRIM(Github!D$1370)="TRUE","FALSE","TRUE")</f>
        <v>FALSE</v>
      </c>
      <c r="L2139" s="13" t="b">
        <f>Github!M$1370</f>
        <v>0</v>
      </c>
      <c r="M2139" s="13" t="b">
        <f>Github!N$1370</f>
        <v>0</v>
      </c>
      <c r="N2139" s="13">
        <f>Github!P$1370</f>
        <v>17165</v>
      </c>
      <c r="O2139" s="13">
        <f>Github!Q$1370</f>
        <v>24615</v>
      </c>
    </row>
    <row r="2140">
      <c r="A2140" s="13">
        <f>Github!J$615</f>
        <v>614</v>
      </c>
      <c r="B2140" s="14" t="str">
        <f>HYPERLINK(CONCAT("http://leetcode.com/problems/",Github!C$615), Github!B$615)</f>
        <v>Second Degree Follower</v>
      </c>
      <c r="C2140" s="13">
        <f>Github!F$615</f>
        <v>135</v>
      </c>
      <c r="D2140" s="13">
        <f>Github!G$615</f>
        <v>728</v>
      </c>
      <c r="E2140" s="13">
        <f>Github!F$615+Github!G$615</f>
        <v>863</v>
      </c>
      <c r="F2140" s="15">
        <f t="shared" si="1"/>
        <v>0.19</v>
      </c>
      <c r="G2140" s="13" t="str">
        <f>ROUND(Github!O$615, 2)&amp;"%"</f>
        <v>37.18%</v>
      </c>
      <c r="H2140" s="13" t="str">
        <f>Github!H$615</f>
        <v>Database</v>
      </c>
      <c r="I2140" s="16" t="str">
        <f>SUBSTITUTE(Github!L$615, ";", ", ")</f>
        <v>Database, </v>
      </c>
      <c r="J2140" s="13" t="str">
        <f>Github!E$615</f>
        <v>Medium</v>
      </c>
      <c r="K2140" s="13" t="str">
        <f>IF(TRIM(Github!D$615)="TRUE","FALSE","TRUE")</f>
        <v>FALSE</v>
      </c>
      <c r="L2140" s="13" t="b">
        <f>Github!M$615</f>
        <v>0</v>
      </c>
      <c r="M2140" s="13" t="b">
        <f>Github!N$615</f>
        <v>0</v>
      </c>
      <c r="N2140" s="13">
        <f>Github!P$615</f>
        <v>45600</v>
      </c>
      <c r="O2140" s="13">
        <f>Github!Q$615</f>
        <v>122634</v>
      </c>
    </row>
    <row r="2141">
      <c r="A2141" s="13">
        <f>Github!J$1779</f>
        <v>1778</v>
      </c>
      <c r="B2141" s="14" t="str">
        <f>HYPERLINK(CONCAT("http://leetcode.com/problems/",Github!C$1779), Github!B$1779)</f>
        <v>Shortest Path in a Hidden Grid</v>
      </c>
      <c r="C2141" s="13">
        <f>Github!F$1779</f>
        <v>135</v>
      </c>
      <c r="D2141" s="13">
        <f>Github!G$1779</f>
        <v>58</v>
      </c>
      <c r="E2141" s="13">
        <f>Github!F$1779+Github!G$1779</f>
        <v>193</v>
      </c>
      <c r="F2141" s="15">
        <f t="shared" si="1"/>
        <v>2.33</v>
      </c>
      <c r="G2141" s="13" t="str">
        <f>ROUND(Github!O$1779, 2)&amp;"%"</f>
        <v>39.16%</v>
      </c>
      <c r="H2141" s="13" t="str">
        <f>Github!H$1779</f>
        <v>Algorithms</v>
      </c>
      <c r="I2141" s="16" t="str">
        <f>SUBSTITUTE(Github!L$1779, ";", ", ")</f>
        <v>Depth-First Search, Breadth-First Search, Graph, Interactive, </v>
      </c>
      <c r="J2141" s="13" t="str">
        <f>Github!E$1779</f>
        <v>Medium</v>
      </c>
      <c r="K2141" s="13" t="str">
        <f>IF(TRIM(Github!D$1779)="TRUE","FALSE","TRUE")</f>
        <v>FALSE</v>
      </c>
      <c r="L2141" s="13" t="b">
        <f>Github!M$1779</f>
        <v>0</v>
      </c>
      <c r="M2141" s="13" t="b">
        <f>Github!N$1779</f>
        <v>0</v>
      </c>
      <c r="N2141" s="13">
        <f>Github!P$1779</f>
        <v>4508</v>
      </c>
      <c r="O2141" s="13">
        <f>Github!Q$1779</f>
        <v>11512</v>
      </c>
    </row>
    <row r="2142">
      <c r="A2142" s="13">
        <f>Github!J$2289</f>
        <v>2288</v>
      </c>
      <c r="B2142" s="14" t="str">
        <f>HYPERLINK(CONCAT("http://leetcode.com/problems/",Github!C$2289), Github!B$2289)</f>
        <v>Apply Discount to Prices</v>
      </c>
      <c r="C2142" s="13">
        <f>Github!F$2289</f>
        <v>134</v>
      </c>
      <c r="D2142" s="13">
        <f>Github!G$2289</f>
        <v>975</v>
      </c>
      <c r="E2142" s="13">
        <f>Github!F$2289+Github!G$2289</f>
        <v>1109</v>
      </c>
      <c r="F2142" s="15">
        <f t="shared" si="1"/>
        <v>0.14</v>
      </c>
      <c r="G2142" s="13" t="str">
        <f>ROUND(Github!O$2289, 2)&amp;"%"</f>
        <v>27.63%</v>
      </c>
      <c r="H2142" s="13" t="str">
        <f>Github!H2289</f>
        <v>Algorithms</v>
      </c>
      <c r="I2142" s="16" t="str">
        <f>SUBSTITUTE(Github!L$2289, ";", ", ")</f>
        <v>String, </v>
      </c>
      <c r="J2142" s="13" t="str">
        <f>Github!E$2289</f>
        <v>Medium</v>
      </c>
      <c r="K2142" s="13" t="str">
        <f>IF(TRIM(Github!D$2289)="TRUE","FALSE","TRUE")</f>
        <v>TRUE</v>
      </c>
      <c r="L2142" s="13" t="b">
        <f>Github!M$2289</f>
        <v>0</v>
      </c>
      <c r="M2142" s="13" t="b">
        <f>Github!N$2289</f>
        <v>0</v>
      </c>
      <c r="N2142" s="13">
        <f>Github!P$2289</f>
        <v>16259</v>
      </c>
      <c r="O2142" s="13">
        <f>Github!Q$2289</f>
        <v>58836</v>
      </c>
    </row>
    <row r="2143">
      <c r="A2143" s="13">
        <f>Github!J$2070</f>
        <v>2069</v>
      </c>
      <c r="B2143" s="14" t="str">
        <f>HYPERLINK(CONCAT("http://leetcode.com/problems/",Github!C$2070), Github!B$2070)</f>
        <v>Walking Robot Simulation II</v>
      </c>
      <c r="C2143" s="13">
        <f>Github!F$2070</f>
        <v>132</v>
      </c>
      <c r="D2143" s="13">
        <f>Github!G$2070</f>
        <v>263</v>
      </c>
      <c r="E2143" s="13">
        <f>Github!F$2070+Github!G$2070</f>
        <v>395</v>
      </c>
      <c r="F2143" s="15">
        <f t="shared" si="1"/>
        <v>0.5</v>
      </c>
      <c r="G2143" s="13" t="str">
        <f>ROUND(Github!O$2070, 2)&amp;"%"</f>
        <v>23.06%</v>
      </c>
      <c r="H2143" s="13" t="str">
        <f>Github!H$2070</f>
        <v>Algorithms</v>
      </c>
      <c r="I2143" s="16" t="str">
        <f>SUBSTITUTE(Github!L$2070, ";", ", ")</f>
        <v>Design, Simulation, </v>
      </c>
      <c r="J2143" s="13" t="str">
        <f>Github!E$2070</f>
        <v>Medium</v>
      </c>
      <c r="K2143" s="13" t="str">
        <f>IF(TRIM(Github!D$2070)="TRUE","FALSE","TRUE")</f>
        <v>TRUE</v>
      </c>
      <c r="L2143" s="13" t="b">
        <f>Github!M$2070</f>
        <v>0</v>
      </c>
      <c r="M2143" s="13" t="b">
        <f>Github!N$2070</f>
        <v>0</v>
      </c>
      <c r="N2143" s="13">
        <f>Github!P$2070</f>
        <v>7480</v>
      </c>
      <c r="O2143" s="13">
        <f>Github!Q$2070</f>
        <v>32439</v>
      </c>
    </row>
    <row r="2144">
      <c r="A2144" s="13">
        <f>Github!J$2094</f>
        <v>2093</v>
      </c>
      <c r="B2144" s="14" t="str">
        <f>HYPERLINK(CONCAT("http://leetcode.com/problems/",Github!C$2094), Github!B$2094)</f>
        <v>Minimum Cost to Reach City With Discounts</v>
      </c>
      <c r="C2144" s="13">
        <f>Github!F$2094</f>
        <v>132</v>
      </c>
      <c r="D2144" s="13">
        <f>Github!G$2094</f>
        <v>8</v>
      </c>
      <c r="E2144" s="13">
        <f>Github!F$2094+Github!G$2094</f>
        <v>140</v>
      </c>
      <c r="F2144" s="15">
        <f t="shared" si="1"/>
        <v>16.5</v>
      </c>
      <c r="G2144" s="13" t="str">
        <f>ROUND(Github!O$2094, 2)&amp;"%"</f>
        <v>55.85%</v>
      </c>
      <c r="H2144" s="13" t="str">
        <f>Github!H$2094</f>
        <v>Algorithms</v>
      </c>
      <c r="I2144" s="16" t="str">
        <f>SUBSTITUTE(Github!L$2094, ";", ", ")</f>
        <v>Graph, Shortest Path, </v>
      </c>
      <c r="J2144" s="13" t="str">
        <f>Github!E$2094</f>
        <v>Medium</v>
      </c>
      <c r="K2144" s="13" t="str">
        <f>IF(TRIM(Github!D$2094)="TRUE","FALSE","TRUE")</f>
        <v>FALSE</v>
      </c>
      <c r="L2144" s="13" t="b">
        <f>Github!M$2094</f>
        <v>0</v>
      </c>
      <c r="M2144" s="13" t="b">
        <f>Github!N$2094</f>
        <v>0</v>
      </c>
      <c r="N2144" s="13">
        <f>Github!P$2094</f>
        <v>3384</v>
      </c>
      <c r="O2144" s="13">
        <f>Github!Q$2094</f>
        <v>6059</v>
      </c>
    </row>
    <row r="2145">
      <c r="A2145" s="13">
        <f>Github!J$1342</f>
        <v>1341</v>
      </c>
      <c r="B2145" s="14" t="str">
        <f>HYPERLINK(CONCAT("http://leetcode.com/problems/",Github!C$1342), Github!B$1342)</f>
        <v>Movie Rating</v>
      </c>
      <c r="C2145" s="13">
        <f>Github!F$1342</f>
        <v>135</v>
      </c>
      <c r="D2145" s="13">
        <f>Github!G$1342</f>
        <v>74</v>
      </c>
      <c r="E2145" s="13">
        <f>Github!F$1342+Github!G$1342</f>
        <v>209</v>
      </c>
      <c r="F2145" s="15">
        <f t="shared" si="1"/>
        <v>1.82</v>
      </c>
      <c r="G2145" s="13" t="str">
        <f>ROUND(Github!O$1342, 2)&amp;"%"</f>
        <v>57.94%</v>
      </c>
      <c r="H2145" s="13" t="str">
        <f>Github!H$1342</f>
        <v>Database</v>
      </c>
      <c r="I2145" s="16" t="str">
        <f>SUBSTITUTE(Github!L$1342, ";", ", ")</f>
        <v>Database, </v>
      </c>
      <c r="J2145" s="13" t="str">
        <f>Github!E$1342</f>
        <v>Medium</v>
      </c>
      <c r="K2145" s="13" t="str">
        <f>IF(TRIM(Github!D$1342)="TRUE","FALSE","TRUE")</f>
        <v>FALSE</v>
      </c>
      <c r="L2145" s="13" t="b">
        <f>Github!M$1342</f>
        <v>0</v>
      </c>
      <c r="M2145" s="13" t="b">
        <f>Github!N$1342</f>
        <v>0</v>
      </c>
      <c r="N2145" s="13">
        <f>Github!P$1342</f>
        <v>24558</v>
      </c>
      <c r="O2145" s="13">
        <f>Github!Q$1342</f>
        <v>42384</v>
      </c>
    </row>
    <row r="2146">
      <c r="A2146" s="13">
        <f>Github!J$1260</f>
        <v>1259</v>
      </c>
      <c r="B2146" s="14" t="str">
        <f>HYPERLINK(CONCAT("http://leetcode.com/problems/",Github!C$1260), Github!B$1260)</f>
        <v>Handshakes That Don't Cross</v>
      </c>
      <c r="C2146" s="13">
        <f>Github!F$1260</f>
        <v>131</v>
      </c>
      <c r="D2146" s="13">
        <f>Github!G$1260</f>
        <v>10</v>
      </c>
      <c r="E2146" s="13">
        <f>Github!F$1260+Github!G$1260</f>
        <v>141</v>
      </c>
      <c r="F2146" s="15">
        <f t="shared" si="1"/>
        <v>13.1</v>
      </c>
      <c r="G2146" s="13" t="str">
        <f>ROUND(Github!O$1260, 2)&amp;"%"</f>
        <v>56.38%</v>
      </c>
      <c r="H2146" s="13" t="str">
        <f>Github!H$1260</f>
        <v>Algorithms</v>
      </c>
      <c r="I2146" s="16" t="str">
        <f>SUBSTITUTE(Github!L$1260, ";", ", ")</f>
        <v>Math, Dynamic Programming, </v>
      </c>
      <c r="J2146" s="13" t="str">
        <f>Github!E$1260</f>
        <v>Hard</v>
      </c>
      <c r="K2146" s="13" t="str">
        <f>IF(TRIM(Github!D$1260)="TRUE","FALSE","TRUE")</f>
        <v>FALSE</v>
      </c>
      <c r="L2146" s="13" t="b">
        <f>Github!M$1260</f>
        <v>0</v>
      </c>
      <c r="M2146" s="13" t="b">
        <f>Github!N$1260</f>
        <v>0</v>
      </c>
      <c r="N2146" s="13">
        <f>Github!P$1260</f>
        <v>6142</v>
      </c>
      <c r="O2146" s="13">
        <f>Github!Q$1260</f>
        <v>10894</v>
      </c>
    </row>
    <row r="2147">
      <c r="A2147" s="13">
        <f>Github!J$2269</f>
        <v>2268</v>
      </c>
      <c r="B2147" s="14" t="str">
        <f>HYPERLINK(CONCAT("http://leetcode.com/problems/",Github!C$2269), Github!B$2269)</f>
        <v>Minimum Number of Keypresses</v>
      </c>
      <c r="C2147" s="13">
        <f>Github!F$2269</f>
        <v>134</v>
      </c>
      <c r="D2147" s="13">
        <f>Github!G$2269</f>
        <v>23</v>
      </c>
      <c r="E2147" s="13">
        <f>Github!F$2269+Github!G$2269</f>
        <v>157</v>
      </c>
      <c r="F2147" s="15">
        <f t="shared" si="1"/>
        <v>5.83</v>
      </c>
      <c r="G2147" s="13" t="str">
        <f>ROUND(Github!O$2269, 2)&amp;"%"</f>
        <v>73.72%</v>
      </c>
      <c r="H2147" s="13" t="str">
        <f>Github!H2269</f>
        <v>Algorithms</v>
      </c>
      <c r="I2147" s="16" t="str">
        <f>SUBSTITUTE(Github!L$2269, ";", ", ")</f>
        <v>Array, String, Greedy, Sorting, Counting, </v>
      </c>
      <c r="J2147" s="13" t="str">
        <f>Github!E$2269</f>
        <v>Medium</v>
      </c>
      <c r="K2147" s="13" t="str">
        <f>IF(TRIM(Github!D$2269)="TRUE","FALSE","TRUE")</f>
        <v>FALSE</v>
      </c>
      <c r="L2147" s="13" t="b">
        <f>Github!M$2269</f>
        <v>0</v>
      </c>
      <c r="M2147" s="13" t="b">
        <f>Github!N$2269</f>
        <v>0</v>
      </c>
      <c r="N2147" s="13">
        <f>Github!P$2269</f>
        <v>9166</v>
      </c>
      <c r="O2147" s="13">
        <f>Github!Q$2269</f>
        <v>12434</v>
      </c>
    </row>
    <row r="2148">
      <c r="A2148" s="13">
        <f>Github!J$1436</f>
        <v>1435</v>
      </c>
      <c r="B2148" s="14" t="str">
        <f>HYPERLINK(CONCAT("http://leetcode.com/problems/",Github!C$1436), Github!B$1436)</f>
        <v>Create a Session Bar Chart</v>
      </c>
      <c r="C2148" s="13">
        <f>Github!F$1436</f>
        <v>130</v>
      </c>
      <c r="D2148" s="13">
        <f>Github!G$1436</f>
        <v>231</v>
      </c>
      <c r="E2148" s="13">
        <f>Github!F$1436+Github!G$1436</f>
        <v>361</v>
      </c>
      <c r="F2148" s="15">
        <f t="shared" si="1"/>
        <v>0.56</v>
      </c>
      <c r="G2148" s="13" t="str">
        <f>ROUND(Github!O$1436, 2)&amp;"%"</f>
        <v>77.77%</v>
      </c>
      <c r="H2148" s="13" t="str">
        <f>Github!H$1436</f>
        <v>Database</v>
      </c>
      <c r="I2148" s="16" t="str">
        <f>SUBSTITUTE(Github!L$1436, ";", ", ")</f>
        <v>Database, </v>
      </c>
      <c r="J2148" s="13" t="str">
        <f>Github!E$1436</f>
        <v>Easy</v>
      </c>
      <c r="K2148" s="13" t="str">
        <f>IF(TRIM(Github!D$1436)="TRUE","FALSE","TRUE")</f>
        <v>FALSE</v>
      </c>
      <c r="L2148" s="13" t="b">
        <f>Github!M$1436</f>
        <v>0</v>
      </c>
      <c r="M2148" s="13" t="b">
        <f>Github!N$1436</f>
        <v>0</v>
      </c>
      <c r="N2148" s="13">
        <f>Github!P$1436</f>
        <v>18945</v>
      </c>
      <c r="O2148" s="13">
        <f>Github!Q$1436</f>
        <v>24361</v>
      </c>
    </row>
    <row r="2149">
      <c r="A2149" s="13">
        <f>Github!J$1683</f>
        <v>1682</v>
      </c>
      <c r="B2149" s="14" t="str">
        <f>HYPERLINK(CONCAT("http://leetcode.com/problems/",Github!C$1683), Github!B$1683)</f>
        <v>Longest Palindromic Subsequence II</v>
      </c>
      <c r="C2149" s="13">
        <f>Github!F$1683</f>
        <v>130</v>
      </c>
      <c r="D2149" s="13">
        <f>Github!G$1683</f>
        <v>27</v>
      </c>
      <c r="E2149" s="13">
        <f>Github!F$1683+Github!G$1683</f>
        <v>157</v>
      </c>
      <c r="F2149" s="15">
        <f t="shared" si="1"/>
        <v>4.81</v>
      </c>
      <c r="G2149" s="13" t="str">
        <f>ROUND(Github!O$1683, 2)&amp;"%"</f>
        <v>49.38%</v>
      </c>
      <c r="H2149" s="13" t="str">
        <f>Github!H$1683</f>
        <v>Algorithms</v>
      </c>
      <c r="I2149" s="16" t="str">
        <f>SUBSTITUTE(Github!L$1683, ";", ", ")</f>
        <v>String, Dynamic Programming, </v>
      </c>
      <c r="J2149" s="13" t="str">
        <f>Github!E$1683</f>
        <v>Medium</v>
      </c>
      <c r="K2149" s="13" t="str">
        <f>IF(TRIM(Github!D$1683)="TRUE","FALSE","TRUE")</f>
        <v>FALSE</v>
      </c>
      <c r="L2149" s="13" t="b">
        <f>Github!M$1683</f>
        <v>0</v>
      </c>
      <c r="M2149" s="13" t="b">
        <f>Github!N$1683</f>
        <v>0</v>
      </c>
      <c r="N2149" s="13">
        <f>Github!P$1683</f>
        <v>4231</v>
      </c>
      <c r="O2149" s="13">
        <f>Github!Q$1683</f>
        <v>8568</v>
      </c>
    </row>
    <row r="2150">
      <c r="A2150" s="13">
        <f>Github!J$352</f>
        <v>351</v>
      </c>
      <c r="B2150" s="14" t="str">
        <f>HYPERLINK(CONCAT("http://leetcode.com/problems/",Github!C$352), Github!B$352)</f>
        <v>Android Unlock Patterns</v>
      </c>
      <c r="C2150" s="13">
        <f>Github!F$352</f>
        <v>130</v>
      </c>
      <c r="D2150" s="13">
        <f>Github!G$352</f>
        <v>143</v>
      </c>
      <c r="E2150" s="13">
        <f>Github!F$352+Github!G$352</f>
        <v>273</v>
      </c>
      <c r="F2150" s="15">
        <f t="shared" si="1"/>
        <v>0.91</v>
      </c>
      <c r="G2150" s="13" t="str">
        <f>ROUND(Github!O$352, 2)&amp;"%"</f>
        <v>51.4%</v>
      </c>
      <c r="H2150" s="13" t="str">
        <f>Github!H$352</f>
        <v>Algorithms</v>
      </c>
      <c r="I2150" s="16" t="str">
        <f>SUBSTITUTE(Github!L$352, ";", ", ")</f>
        <v>Dynamic Programming, Backtracking, </v>
      </c>
      <c r="J2150" s="13" t="str">
        <f>Github!E$352</f>
        <v>Medium</v>
      </c>
      <c r="K2150" s="13" t="str">
        <f>IF(TRIM(Github!D$352)="TRUE","FALSE","TRUE")</f>
        <v>FALSE</v>
      </c>
      <c r="L2150" s="13" t="b">
        <f>Github!M$352</f>
        <v>0</v>
      </c>
      <c r="M2150" s="13" t="b">
        <f>Github!N$352</f>
        <v>0</v>
      </c>
      <c r="N2150" s="13">
        <f>Github!P$352</f>
        <v>68105</v>
      </c>
      <c r="O2150" s="13">
        <f>Github!Q$352</f>
        <v>132497</v>
      </c>
    </row>
    <row r="2151">
      <c r="A2151" s="13">
        <f>Github!J$1108</f>
        <v>1107</v>
      </c>
      <c r="B2151" s="14" t="str">
        <f>HYPERLINK(CONCAT("http://leetcode.com/problems/",Github!C$1108), Github!B$1108)</f>
        <v>New Users Daily Count</v>
      </c>
      <c r="C2151" s="13">
        <f>Github!F$1108</f>
        <v>128</v>
      </c>
      <c r="D2151" s="13">
        <f>Github!G$1108</f>
        <v>139</v>
      </c>
      <c r="E2151" s="13">
        <f>Github!F$1108+Github!G$1108</f>
        <v>267</v>
      </c>
      <c r="F2151" s="15">
        <f t="shared" si="1"/>
        <v>0.92</v>
      </c>
      <c r="G2151" s="13" t="str">
        <f>ROUND(Github!O$1108, 2)&amp;"%"</f>
        <v>45.63%</v>
      </c>
      <c r="H2151" s="13" t="str">
        <f>Github!H$1108</f>
        <v>Database</v>
      </c>
      <c r="I2151" s="16" t="str">
        <f>SUBSTITUTE(Github!L$1108, ";", ", ")</f>
        <v>Database, </v>
      </c>
      <c r="J2151" s="13" t="str">
        <f>Github!E$1108</f>
        <v>Medium</v>
      </c>
      <c r="K2151" s="13" t="str">
        <f>IF(TRIM(Github!D$1108)="TRUE","FALSE","TRUE")</f>
        <v>FALSE</v>
      </c>
      <c r="L2151" s="13" t="b">
        <f>Github!M$1108</f>
        <v>0</v>
      </c>
      <c r="M2151" s="13" t="b">
        <f>Github!N$1108</f>
        <v>0</v>
      </c>
      <c r="N2151" s="13">
        <f>Github!P$1108</f>
        <v>29420</v>
      </c>
      <c r="O2151" s="13">
        <f>Github!Q$1108</f>
        <v>64470</v>
      </c>
    </row>
    <row r="2152">
      <c r="A2152" s="13">
        <f>Github!J$1206</f>
        <v>1205</v>
      </c>
      <c r="B2152" s="14" t="str">
        <f>HYPERLINK(CONCAT("http://leetcode.com/problems/",Github!C$1206), Github!B$1206)</f>
        <v>Monthly Transactions II</v>
      </c>
      <c r="C2152" s="13">
        <f>Github!F$1206</f>
        <v>128</v>
      </c>
      <c r="D2152" s="13">
        <f>Github!G$1206</f>
        <v>472</v>
      </c>
      <c r="E2152" s="13">
        <f>Github!F$1206+Github!G$1206</f>
        <v>600</v>
      </c>
      <c r="F2152" s="15">
        <f t="shared" si="1"/>
        <v>0.27</v>
      </c>
      <c r="G2152" s="13" t="str">
        <f>ROUND(Github!O$1206, 2)&amp;"%"</f>
        <v>43.71%</v>
      </c>
      <c r="H2152" s="13" t="str">
        <f>Github!H$1206</f>
        <v>Database</v>
      </c>
      <c r="I2152" s="16" t="str">
        <f>SUBSTITUTE(Github!L$1206, ";", ", ")</f>
        <v>Database, </v>
      </c>
      <c r="J2152" s="13" t="str">
        <f>Github!E$1206</f>
        <v>Medium</v>
      </c>
      <c r="K2152" s="13" t="str">
        <f>IF(TRIM(Github!D$1206)="TRUE","FALSE","TRUE")</f>
        <v>FALSE</v>
      </c>
      <c r="L2152" s="13" t="b">
        <f>Github!M$1206</f>
        <v>0</v>
      </c>
      <c r="M2152" s="13" t="b">
        <f>Github!N$1206</f>
        <v>0</v>
      </c>
      <c r="N2152" s="13">
        <f>Github!P$1206</f>
        <v>18765</v>
      </c>
      <c r="O2152" s="13">
        <f>Github!Q$1206</f>
        <v>42932</v>
      </c>
    </row>
    <row r="2153">
      <c r="A2153" s="13">
        <f>Github!J$1244</f>
        <v>1243</v>
      </c>
      <c r="B2153" s="14" t="str">
        <f>HYPERLINK(CONCAT("http://leetcode.com/problems/",Github!C$1244), Github!B$1244)</f>
        <v>Array Transformation</v>
      </c>
      <c r="C2153" s="13">
        <f>Github!F$1244</f>
        <v>129</v>
      </c>
      <c r="D2153" s="13">
        <f>Github!G$1244</f>
        <v>63</v>
      </c>
      <c r="E2153" s="13">
        <f>Github!F$1244+Github!G$1244</f>
        <v>192</v>
      </c>
      <c r="F2153" s="15">
        <f t="shared" si="1"/>
        <v>2.05</v>
      </c>
      <c r="G2153" s="13" t="str">
        <f>ROUND(Github!O$1244, 2)&amp;"%"</f>
        <v>50.84%</v>
      </c>
      <c r="H2153" s="13" t="str">
        <f>Github!H$1244</f>
        <v>Algorithms</v>
      </c>
      <c r="I2153" s="16" t="str">
        <f>SUBSTITUTE(Github!L$1244, ";", ", ")</f>
        <v>Array, Simulation, </v>
      </c>
      <c r="J2153" s="13" t="str">
        <f>Github!E$1244</f>
        <v>Easy</v>
      </c>
      <c r="K2153" s="13" t="str">
        <f>IF(TRIM(Github!D$1244)="TRUE","FALSE","TRUE")</f>
        <v>FALSE</v>
      </c>
      <c r="L2153" s="13" t="b">
        <f>Github!M$1244</f>
        <v>0</v>
      </c>
      <c r="M2153" s="13" t="b">
        <f>Github!N$1244</f>
        <v>0</v>
      </c>
      <c r="N2153" s="13">
        <f>Github!P$1244</f>
        <v>11301</v>
      </c>
      <c r="O2153" s="13">
        <f>Github!Q$1244</f>
        <v>22228</v>
      </c>
    </row>
    <row r="2154">
      <c r="A2154" s="13">
        <f>Github!J$2032</f>
        <v>2031</v>
      </c>
      <c r="B2154" s="14" t="str">
        <f>HYPERLINK(CONCAT("http://leetcode.com/problems/",Github!C$2032), Github!B$2032)</f>
        <v>Count Subarrays With More Ones Than Zeros</v>
      </c>
      <c r="C2154" s="13">
        <f>Github!F$2032</f>
        <v>129</v>
      </c>
      <c r="D2154" s="13">
        <f>Github!G$2032</f>
        <v>13</v>
      </c>
      <c r="E2154" s="13">
        <f>Github!F$2032+Github!G$2032</f>
        <v>142</v>
      </c>
      <c r="F2154" s="15">
        <f t="shared" si="1"/>
        <v>9.92</v>
      </c>
      <c r="G2154" s="13" t="str">
        <f>ROUND(Github!O$2032, 2)&amp;"%"</f>
        <v>52.12%</v>
      </c>
      <c r="H2154" s="13" t="str">
        <f>Github!H$2032</f>
        <v>Algorithms</v>
      </c>
      <c r="I2154" s="16" t="str">
        <f>SUBSTITUTE(Github!L$2032, ";", ", ")</f>
        <v>Array, Binary Search, Divide and Conquer, Binary Indexed Tree, Segment Tree, Merge Sort, Ordered Set, </v>
      </c>
      <c r="J2154" s="13" t="str">
        <f>Github!E$2032</f>
        <v>Medium</v>
      </c>
      <c r="K2154" s="13" t="str">
        <f>IF(TRIM(Github!D$2032)="TRUE","FALSE","TRUE")</f>
        <v>FALSE</v>
      </c>
      <c r="L2154" s="13" t="b">
        <f>Github!M$2032</f>
        <v>0</v>
      </c>
      <c r="M2154" s="13" t="b">
        <f>Github!N$2032</f>
        <v>0</v>
      </c>
      <c r="N2154" s="13">
        <f>Github!P$2032</f>
        <v>2574</v>
      </c>
      <c r="O2154" s="13">
        <f>Github!Q$2032</f>
        <v>4939</v>
      </c>
    </row>
    <row r="2155">
      <c r="A2155" s="13">
        <f>Github!J$1974</f>
        <v>1973</v>
      </c>
      <c r="B2155" s="14" t="str">
        <f>HYPERLINK(CONCAT("http://leetcode.com/problems/",Github!C$1974), Github!B$1974)</f>
        <v>Count Nodes Equal to Sum of Descendants</v>
      </c>
      <c r="C2155" s="13">
        <f>Github!F$1974</f>
        <v>125</v>
      </c>
      <c r="D2155" s="13">
        <f>Github!G$1974</f>
        <v>3</v>
      </c>
      <c r="E2155" s="13">
        <f>Github!F$1974+Github!G$1974</f>
        <v>128</v>
      </c>
      <c r="F2155" s="15">
        <f t="shared" si="1"/>
        <v>41.67</v>
      </c>
      <c r="G2155" s="13" t="str">
        <f>ROUND(Github!O$1974, 2)&amp;"%"</f>
        <v>75.08%</v>
      </c>
      <c r="H2155" s="13" t="str">
        <f>Github!H$1974</f>
        <v>Algorithms</v>
      </c>
      <c r="I2155" s="16" t="str">
        <f>SUBSTITUTE(Github!L$1974, ";", ", ")</f>
        <v>Tree, Depth-First Search, Binary Search Tree, Binary Tree, </v>
      </c>
      <c r="J2155" s="13" t="str">
        <f>Github!E$1974</f>
        <v>Medium</v>
      </c>
      <c r="K2155" s="13" t="str">
        <f>IF(TRIM(Github!D$1974)="TRUE","FALSE","TRUE")</f>
        <v>FALSE</v>
      </c>
      <c r="L2155" s="13" t="b">
        <f>Github!M$1974</f>
        <v>0</v>
      </c>
      <c r="M2155" s="13" t="b">
        <f>Github!N$1974</f>
        <v>0</v>
      </c>
      <c r="N2155" s="13">
        <f>Github!P$1974</f>
        <v>7311</v>
      </c>
      <c r="O2155" s="13">
        <f>Github!Q$1974</f>
        <v>9737</v>
      </c>
    </row>
    <row r="2156">
      <c r="A2156" s="13">
        <f>Github!J$1480</f>
        <v>1479</v>
      </c>
      <c r="B2156" s="14" t="str">
        <f>HYPERLINK(CONCAT("http://leetcode.com/problems/",Github!C$1480), Github!B$1480)</f>
        <v>Sales by Day of the Week</v>
      </c>
      <c r="C2156" s="13">
        <f>Github!F$1480</f>
        <v>126</v>
      </c>
      <c r="D2156" s="13">
        <f>Github!G$1480</f>
        <v>37</v>
      </c>
      <c r="E2156" s="13">
        <f>Github!F$1480+Github!G$1480</f>
        <v>163</v>
      </c>
      <c r="F2156" s="15">
        <f t="shared" si="1"/>
        <v>3.41</v>
      </c>
      <c r="G2156" s="13" t="str">
        <f>ROUND(Github!O$1480, 2)&amp;"%"</f>
        <v>81.95%</v>
      </c>
      <c r="H2156" s="13" t="str">
        <f>Github!H$1480</f>
        <v>Database</v>
      </c>
      <c r="I2156" s="16" t="str">
        <f>SUBSTITUTE(Github!L$1480, ";", ", ")</f>
        <v>Database, </v>
      </c>
      <c r="J2156" s="13" t="str">
        <f>Github!E$1480</f>
        <v>Hard</v>
      </c>
      <c r="K2156" s="13" t="str">
        <f>IF(TRIM(Github!D$1480)="TRUE","FALSE","TRUE")</f>
        <v>FALSE</v>
      </c>
      <c r="L2156" s="13" t="b">
        <f>Github!M$1480</f>
        <v>0</v>
      </c>
      <c r="M2156" s="13" t="b">
        <f>Github!N$1480</f>
        <v>0</v>
      </c>
      <c r="N2156" s="13">
        <f>Github!P$1480</f>
        <v>14698</v>
      </c>
      <c r="O2156" s="13">
        <f>Github!Q$1480</f>
        <v>17936</v>
      </c>
    </row>
    <row r="2157">
      <c r="A2157" s="13">
        <f>Github!J$1454</f>
        <v>1453</v>
      </c>
      <c r="B2157" s="14" t="str">
        <f>HYPERLINK(CONCAT("http://leetcode.com/problems/",Github!C$1454), Github!B$1454)</f>
        <v>Maximum Number of Darts Inside of a Circular Dartboard</v>
      </c>
      <c r="C2157" s="13">
        <f>Github!F$1454</f>
        <v>124</v>
      </c>
      <c r="D2157" s="13">
        <f>Github!G$1454</f>
        <v>254</v>
      </c>
      <c r="E2157" s="13">
        <f>Github!F$1454+Github!G$1454</f>
        <v>378</v>
      </c>
      <c r="F2157" s="15">
        <f t="shared" si="1"/>
        <v>0.49</v>
      </c>
      <c r="G2157" s="13" t="str">
        <f>ROUND(Github!O$1454, 2)&amp;"%"</f>
        <v>36.84%</v>
      </c>
      <c r="H2157" s="13" t="str">
        <f>Github!H$1454</f>
        <v>Algorithms</v>
      </c>
      <c r="I2157" s="16" t="str">
        <f>SUBSTITUTE(Github!L$1454, ";", ", ")</f>
        <v>Array, Math, Geometry, </v>
      </c>
      <c r="J2157" s="13" t="str">
        <f>Github!E$1454</f>
        <v>Hard</v>
      </c>
      <c r="K2157" s="13" t="str">
        <f>IF(TRIM(Github!D$1454)="TRUE","FALSE","TRUE")</f>
        <v>TRUE</v>
      </c>
      <c r="L2157" s="13" t="b">
        <f>Github!M$1454</f>
        <v>0</v>
      </c>
      <c r="M2157" s="13" t="b">
        <f>Github!N$1454</f>
        <v>0</v>
      </c>
      <c r="N2157" s="13">
        <f>Github!P$1454</f>
        <v>5027</v>
      </c>
      <c r="O2157" s="13">
        <f>Github!Q$1454</f>
        <v>13645</v>
      </c>
    </row>
    <row r="2158">
      <c r="A2158" s="13">
        <f>Github!J$195</f>
        <v>194</v>
      </c>
      <c r="B2158" s="14" t="str">
        <f>HYPERLINK(CONCAT("http://leetcode.com/problems/",Github!C$195), Github!B$195)</f>
        <v>Transpose File</v>
      </c>
      <c r="C2158" s="13">
        <f>Github!F$195</f>
        <v>125</v>
      </c>
      <c r="D2158" s="13">
        <f>Github!G$195</f>
        <v>259</v>
      </c>
      <c r="E2158" s="13">
        <f>Github!F$195+Github!G$195</f>
        <v>384</v>
      </c>
      <c r="F2158" s="15">
        <f t="shared" si="1"/>
        <v>0.48</v>
      </c>
      <c r="G2158" s="13" t="str">
        <f>ROUND(Github!O$195, 2)&amp;"%"</f>
        <v>25.25%</v>
      </c>
      <c r="H2158" s="13" t="str">
        <f>Github!H$195</f>
        <v>Shell</v>
      </c>
      <c r="I2158" s="16" t="str">
        <f>SUBSTITUTE(Github!L$195, ";", ", ")</f>
        <v>Shell, </v>
      </c>
      <c r="J2158" s="13" t="str">
        <f>Github!E$195</f>
        <v>Medium</v>
      </c>
      <c r="K2158" s="13" t="str">
        <f>IF(TRIM(Github!D$195)="TRUE","FALSE","TRUE")</f>
        <v>TRUE</v>
      </c>
      <c r="L2158" s="13" t="b">
        <f>Github!M$195</f>
        <v>0</v>
      </c>
      <c r="M2158" s="13" t="b">
        <f>Github!N$195</f>
        <v>0</v>
      </c>
      <c r="N2158" s="13">
        <f>Github!P$195</f>
        <v>20336</v>
      </c>
      <c r="O2158" s="13">
        <f>Github!Q$195</f>
        <v>80530</v>
      </c>
    </row>
    <row r="2159">
      <c r="A2159" s="13">
        <f>Github!J$626</f>
        <v>625</v>
      </c>
      <c r="B2159" s="14" t="str">
        <f>HYPERLINK(CONCAT("http://leetcode.com/problems/",Github!C$626), Github!B$626)</f>
        <v>Minimum Factorization</v>
      </c>
      <c r="C2159" s="13">
        <f>Github!F$626</f>
        <v>122</v>
      </c>
      <c r="D2159" s="13">
        <f>Github!G$626</f>
        <v>106</v>
      </c>
      <c r="E2159" s="13">
        <f>Github!F$626+Github!G$626</f>
        <v>228</v>
      </c>
      <c r="F2159" s="15">
        <f t="shared" si="1"/>
        <v>1.15</v>
      </c>
      <c r="G2159" s="13" t="str">
        <f>ROUND(Github!O$626, 2)&amp;"%"</f>
        <v>33.49%</v>
      </c>
      <c r="H2159" s="13" t="str">
        <f>Github!H$626</f>
        <v>Algorithms</v>
      </c>
      <c r="I2159" s="16" t="str">
        <f>SUBSTITUTE(Github!L$626, ";", ", ")</f>
        <v>Math, Greedy, </v>
      </c>
      <c r="J2159" s="13" t="str">
        <f>Github!E$626</f>
        <v>Medium</v>
      </c>
      <c r="K2159" s="13" t="str">
        <f>IF(TRIM(Github!D$626)="TRUE","FALSE","TRUE")</f>
        <v>FALSE</v>
      </c>
      <c r="L2159" s="13" t="b">
        <f>Github!M$626</f>
        <v>1</v>
      </c>
      <c r="M2159" s="13" t="b">
        <f>Github!N$626</f>
        <v>0</v>
      </c>
      <c r="N2159" s="13">
        <f>Github!P$626</f>
        <v>10523</v>
      </c>
      <c r="O2159" s="13">
        <f>Github!Q$626</f>
        <v>31419</v>
      </c>
    </row>
    <row r="2160">
      <c r="A2160" s="13">
        <f>Github!J$1572</f>
        <v>1571</v>
      </c>
      <c r="B2160" s="14" t="str">
        <f>HYPERLINK(CONCAT("http://leetcode.com/problems/",Github!C$1572), Github!B$1572)</f>
        <v>Warehouse Manager</v>
      </c>
      <c r="C2160" s="13">
        <f>Github!F$1572</f>
        <v>121</v>
      </c>
      <c r="D2160" s="13">
        <f>Github!G$1572</f>
        <v>9</v>
      </c>
      <c r="E2160" s="13">
        <f>Github!F$1572+Github!G$1572</f>
        <v>130</v>
      </c>
      <c r="F2160" s="15">
        <f t="shared" si="1"/>
        <v>13.44</v>
      </c>
      <c r="G2160" s="13" t="str">
        <f>ROUND(Github!O$1572, 2)&amp;"%"</f>
        <v>89.77%</v>
      </c>
      <c r="H2160" s="13" t="str">
        <f>Github!H$1572</f>
        <v>Database</v>
      </c>
      <c r="I2160" s="16" t="str">
        <f>SUBSTITUTE(Github!L$1572, ";", ", ")</f>
        <v>Database, </v>
      </c>
      <c r="J2160" s="13" t="str">
        <f>Github!E$1572</f>
        <v>Easy</v>
      </c>
      <c r="K2160" s="13" t="str">
        <f>IF(TRIM(Github!D$1572)="TRUE","FALSE","TRUE")</f>
        <v>FALSE</v>
      </c>
      <c r="L2160" s="13" t="b">
        <f>Github!M$1572</f>
        <v>0</v>
      </c>
      <c r="M2160" s="13" t="b">
        <f>Github!N$1572</f>
        <v>0</v>
      </c>
      <c r="N2160" s="13">
        <f>Github!P$1572</f>
        <v>30578</v>
      </c>
      <c r="O2160" s="13">
        <f>Github!Q$1572</f>
        <v>34062</v>
      </c>
    </row>
    <row r="2161">
      <c r="A2161" s="13">
        <f>Github!J$1748</f>
        <v>1747</v>
      </c>
      <c r="B2161" s="14" t="str">
        <f>HYPERLINK(CONCAT("http://leetcode.com/problems/",Github!C$1748), Github!B$1748)</f>
        <v>Leetflex Banned Accounts</v>
      </c>
      <c r="C2161" s="13">
        <f>Github!F$1748</f>
        <v>122</v>
      </c>
      <c r="D2161" s="13">
        <f>Github!G$1748</f>
        <v>7</v>
      </c>
      <c r="E2161" s="13">
        <f>Github!F$1748+Github!G$1748</f>
        <v>129</v>
      </c>
      <c r="F2161" s="15">
        <f t="shared" si="1"/>
        <v>17.43</v>
      </c>
      <c r="G2161" s="13" t="str">
        <f>ROUND(Github!O$1748, 2)&amp;"%"</f>
        <v>68.13%</v>
      </c>
      <c r="H2161" s="13" t="str">
        <f>Github!H$1748</f>
        <v>Database</v>
      </c>
      <c r="I2161" s="16" t="str">
        <f>SUBSTITUTE(Github!L$1748, ";", ", ")</f>
        <v>Database, </v>
      </c>
      <c r="J2161" s="13" t="str">
        <f>Github!E$1748</f>
        <v>Medium</v>
      </c>
      <c r="K2161" s="13" t="str">
        <f>IF(TRIM(Github!D$1748)="TRUE","FALSE","TRUE")</f>
        <v>FALSE</v>
      </c>
      <c r="L2161" s="13" t="b">
        <f>Github!M$1748</f>
        <v>0</v>
      </c>
      <c r="M2161" s="13" t="b">
        <f>Github!N$1748</f>
        <v>0</v>
      </c>
      <c r="N2161" s="13">
        <f>Github!P$1748</f>
        <v>13304</v>
      </c>
      <c r="O2161" s="13">
        <f>Github!Q$1748</f>
        <v>19527</v>
      </c>
    </row>
    <row r="2162">
      <c r="A2162" s="13">
        <f>Github!J$1613</f>
        <v>1612</v>
      </c>
      <c r="B2162" s="14" t="str">
        <f>HYPERLINK(CONCAT("http://leetcode.com/problems/",Github!C$1613), Github!B$1613)</f>
        <v>Check If Two Expression Trees are Equivalent</v>
      </c>
      <c r="C2162" s="13">
        <f>Github!F$1613</f>
        <v>118</v>
      </c>
      <c r="D2162" s="13">
        <f>Github!G$1613</f>
        <v>21</v>
      </c>
      <c r="E2162" s="13">
        <f>Github!F$1613+Github!G$1613</f>
        <v>139</v>
      </c>
      <c r="F2162" s="15">
        <f t="shared" si="1"/>
        <v>5.62</v>
      </c>
      <c r="G2162" s="13" t="str">
        <f>ROUND(Github!O$1613, 2)&amp;"%"</f>
        <v>70.16%</v>
      </c>
      <c r="H2162" s="13" t="str">
        <f>Github!H$1613</f>
        <v>Algorithms</v>
      </c>
      <c r="I2162" s="16" t="str">
        <f>SUBSTITUTE(Github!L$1613, ";", ", ")</f>
        <v>Tree, Depth-First Search, Binary Tree, </v>
      </c>
      <c r="J2162" s="13" t="str">
        <f>Github!E$1613</f>
        <v>Medium</v>
      </c>
      <c r="K2162" s="13" t="str">
        <f>IF(TRIM(Github!D$1613)="TRUE","FALSE","TRUE")</f>
        <v>FALSE</v>
      </c>
      <c r="L2162" s="13" t="b">
        <f>Github!M$1613</f>
        <v>0</v>
      </c>
      <c r="M2162" s="13" t="b">
        <f>Github!N$1613</f>
        <v>0</v>
      </c>
      <c r="N2162" s="13">
        <f>Github!P$1613</f>
        <v>5944</v>
      </c>
      <c r="O2162" s="13">
        <f>Github!Q$1613</f>
        <v>8472</v>
      </c>
    </row>
    <row r="2163">
      <c r="A2163" s="13">
        <f>Github!J$1212</f>
        <v>1211</v>
      </c>
      <c r="B2163" s="14" t="str">
        <f>HYPERLINK(CONCAT("http://leetcode.com/problems/",Github!C$1212), Github!B$1212)</f>
        <v>Queries Quality and Percentage</v>
      </c>
      <c r="C2163" s="13">
        <f>Github!F$1212</f>
        <v>119</v>
      </c>
      <c r="D2163" s="13">
        <f>Github!G$1212</f>
        <v>175</v>
      </c>
      <c r="E2163" s="13">
        <f>Github!F$1212+Github!G$1212</f>
        <v>294</v>
      </c>
      <c r="F2163" s="15">
        <f t="shared" si="1"/>
        <v>0.68</v>
      </c>
      <c r="G2163" s="13" t="str">
        <f>ROUND(Github!O$1212, 2)&amp;"%"</f>
        <v>71.7%</v>
      </c>
      <c r="H2163" s="13" t="str">
        <f>Github!H$1212</f>
        <v>Database</v>
      </c>
      <c r="I2163" s="16" t="str">
        <f>SUBSTITUTE(Github!L$1212, ";", ", ")</f>
        <v>Database, </v>
      </c>
      <c r="J2163" s="13" t="str">
        <f>Github!E$1212</f>
        <v>Easy</v>
      </c>
      <c r="K2163" s="13" t="str">
        <f>IF(TRIM(Github!D$1212)="TRUE","FALSE","TRUE")</f>
        <v>FALSE</v>
      </c>
      <c r="L2163" s="13" t="b">
        <f>Github!M$1212</f>
        <v>0</v>
      </c>
      <c r="M2163" s="13" t="b">
        <f>Github!N$1212</f>
        <v>0</v>
      </c>
      <c r="N2163" s="13">
        <f>Github!P$1212</f>
        <v>33561</v>
      </c>
      <c r="O2163" s="13">
        <f>Github!Q$1212</f>
        <v>46808</v>
      </c>
    </row>
    <row r="2164">
      <c r="A2164" s="13">
        <f>Github!J$1533</f>
        <v>1532</v>
      </c>
      <c r="B2164" s="14" t="str">
        <f>HYPERLINK(CONCAT("http://leetcode.com/problems/",Github!C$1533), Github!B$1533)</f>
        <v>The Most Recent Three Orders</v>
      </c>
      <c r="C2164" s="13">
        <f>Github!F$1533</f>
        <v>122</v>
      </c>
      <c r="D2164" s="13">
        <f>Github!G$1533</f>
        <v>9</v>
      </c>
      <c r="E2164" s="13">
        <f>Github!F$1533+Github!G$1533</f>
        <v>131</v>
      </c>
      <c r="F2164" s="15">
        <f t="shared" si="1"/>
        <v>13.56</v>
      </c>
      <c r="G2164" s="13" t="str">
        <f>ROUND(Github!O$1533, 2)&amp;"%"</f>
        <v>70.76%</v>
      </c>
      <c r="H2164" s="13" t="str">
        <f>Github!H$1533</f>
        <v>Database</v>
      </c>
      <c r="I2164" s="16" t="str">
        <f>SUBSTITUTE(Github!L$1533, ";", ", ")</f>
        <v>Database, </v>
      </c>
      <c r="J2164" s="13" t="str">
        <f>Github!E$1533</f>
        <v>Medium</v>
      </c>
      <c r="K2164" s="13" t="str">
        <f>IF(TRIM(Github!D$1533)="TRUE","FALSE","TRUE")</f>
        <v>FALSE</v>
      </c>
      <c r="L2164" s="13" t="b">
        <f>Github!M$1533</f>
        <v>0</v>
      </c>
      <c r="M2164" s="13" t="b">
        <f>Github!N$1533</f>
        <v>0</v>
      </c>
      <c r="N2164" s="13">
        <f>Github!P$1533</f>
        <v>20629</v>
      </c>
      <c r="O2164" s="13">
        <f>Github!Q$1533</f>
        <v>29154</v>
      </c>
    </row>
    <row r="2165">
      <c r="A2165" s="13">
        <f>Github!J$1195</f>
        <v>1194</v>
      </c>
      <c r="B2165" s="14" t="str">
        <f>HYPERLINK(CONCAT("http://leetcode.com/problems/",Github!C$1195), Github!B$1195)</f>
        <v>Tournament Winners</v>
      </c>
      <c r="C2165" s="13">
        <f>Github!F$1195</f>
        <v>124</v>
      </c>
      <c r="D2165" s="13">
        <f>Github!G$1195</f>
        <v>51</v>
      </c>
      <c r="E2165" s="13">
        <f>Github!F$1195+Github!G$1195</f>
        <v>175</v>
      </c>
      <c r="F2165" s="15">
        <f t="shared" si="1"/>
        <v>2.43</v>
      </c>
      <c r="G2165" s="13" t="str">
        <f>ROUND(Github!O$1195, 2)&amp;"%"</f>
        <v>51.36%</v>
      </c>
      <c r="H2165" s="13" t="str">
        <f>Github!H$1195</f>
        <v>Database</v>
      </c>
      <c r="I2165" s="16" t="str">
        <f>SUBSTITUTE(Github!L$1195, ";", ", ")</f>
        <v>Database, </v>
      </c>
      <c r="J2165" s="13" t="str">
        <f>Github!E$1195</f>
        <v>Hard</v>
      </c>
      <c r="K2165" s="13" t="str">
        <f>IF(TRIM(Github!D$1195)="TRUE","FALSE","TRUE")</f>
        <v>FALSE</v>
      </c>
      <c r="L2165" s="13" t="b">
        <f>Github!M$1195</f>
        <v>0</v>
      </c>
      <c r="M2165" s="13" t="b">
        <f>Github!N$1195</f>
        <v>0</v>
      </c>
      <c r="N2165" s="13">
        <f>Github!P$1195</f>
        <v>16067</v>
      </c>
      <c r="O2165" s="13">
        <f>Github!Q$1195</f>
        <v>31285</v>
      </c>
    </row>
    <row r="2166">
      <c r="A2166" s="13">
        <f>Github!J$1951</f>
        <v>1950</v>
      </c>
      <c r="B2166" s="14" t="str">
        <f>HYPERLINK(CONCAT("http://leetcode.com/problems/",Github!C$1951), Github!B$1951)</f>
        <v>Maximum of Minimum Values in All Subarrays</v>
      </c>
      <c r="C2166" s="13">
        <f>Github!F$1951</f>
        <v>116</v>
      </c>
      <c r="D2166" s="13">
        <f>Github!G$1951</f>
        <v>43</v>
      </c>
      <c r="E2166" s="13">
        <f>Github!F$1951+Github!G$1951</f>
        <v>159</v>
      </c>
      <c r="F2166" s="15">
        <f t="shared" si="1"/>
        <v>2.7</v>
      </c>
      <c r="G2166" s="13" t="str">
        <f>ROUND(Github!O$1951, 2)&amp;"%"</f>
        <v>50.19%</v>
      </c>
      <c r="H2166" s="13" t="str">
        <f>Github!H$1951</f>
        <v>Algorithms</v>
      </c>
      <c r="I2166" s="16" t="str">
        <f>SUBSTITUTE(Github!L$1951, ";", ", ")</f>
        <v>Array, Stack, Monotonic Stack, </v>
      </c>
      <c r="J2166" s="13" t="str">
        <f>Github!E$1951</f>
        <v>Medium</v>
      </c>
      <c r="K2166" s="13" t="str">
        <f>IF(TRIM(Github!D$1951)="TRUE","FALSE","TRUE")</f>
        <v>FALSE</v>
      </c>
      <c r="L2166" s="13" t="b">
        <f>Github!M$1951</f>
        <v>0</v>
      </c>
      <c r="M2166" s="13" t="b">
        <f>Github!N$1951</f>
        <v>0</v>
      </c>
      <c r="N2166" s="13">
        <f>Github!P$1951</f>
        <v>2339</v>
      </c>
      <c r="O2166" s="13">
        <f>Github!Q$1951</f>
        <v>4660</v>
      </c>
    </row>
    <row r="2167">
      <c r="A2167" s="13">
        <f>Github!J$1768</f>
        <v>1767</v>
      </c>
      <c r="B2167" s="14" t="str">
        <f>HYPERLINK(CONCAT("http://leetcode.com/problems/",Github!C$1768), Github!B$1768)</f>
        <v>Find the Subtasks That Did Not Execute</v>
      </c>
      <c r="C2167" s="13">
        <f>Github!F$1768</f>
        <v>119</v>
      </c>
      <c r="D2167" s="13">
        <f>Github!G$1768</f>
        <v>11</v>
      </c>
      <c r="E2167" s="13">
        <f>Github!F$1768+Github!G$1768</f>
        <v>130</v>
      </c>
      <c r="F2167" s="15">
        <f t="shared" si="1"/>
        <v>10.82</v>
      </c>
      <c r="G2167" s="13" t="str">
        <f>ROUND(Github!O$1768, 2)&amp;"%"</f>
        <v>84.37%</v>
      </c>
      <c r="H2167" s="13" t="str">
        <f>Github!H$1768</f>
        <v>Database</v>
      </c>
      <c r="I2167" s="16" t="str">
        <f>SUBSTITUTE(Github!L$1768, ";", ", ")</f>
        <v>Database, </v>
      </c>
      <c r="J2167" s="13" t="str">
        <f>Github!E$1768</f>
        <v>Hard</v>
      </c>
      <c r="K2167" s="13" t="str">
        <f>IF(TRIM(Github!D$1768)="TRUE","FALSE","TRUE")</f>
        <v>FALSE</v>
      </c>
      <c r="L2167" s="13" t="b">
        <f>Github!M$1768</f>
        <v>0</v>
      </c>
      <c r="M2167" s="13" t="b">
        <f>Github!N$1768</f>
        <v>0</v>
      </c>
      <c r="N2167" s="13">
        <f>Github!P$1768</f>
        <v>7160</v>
      </c>
      <c r="O2167" s="13">
        <f>Github!Q$1768</f>
        <v>8486</v>
      </c>
    </row>
    <row r="2168">
      <c r="A2168" s="13">
        <f>Github!J$1941</f>
        <v>1940</v>
      </c>
      <c r="B2168" s="14" t="str">
        <f>HYPERLINK(CONCAT("http://leetcode.com/problems/",Github!C$1941), Github!B$1941)</f>
        <v>Longest Common Subsequence Between Sorted Arrays</v>
      </c>
      <c r="C2168" s="13">
        <f>Github!F$1941</f>
        <v>117</v>
      </c>
      <c r="D2168" s="13">
        <f>Github!G$1941</f>
        <v>5</v>
      </c>
      <c r="E2168" s="13">
        <f>Github!F$1941+Github!G$1941</f>
        <v>122</v>
      </c>
      <c r="F2168" s="15">
        <f t="shared" si="1"/>
        <v>23.4</v>
      </c>
      <c r="G2168" s="13" t="str">
        <f>ROUND(Github!O$1941, 2)&amp;"%"</f>
        <v>79.32%</v>
      </c>
      <c r="H2168" s="13" t="str">
        <f>Github!H$1941</f>
        <v>Algorithms</v>
      </c>
      <c r="I2168" s="16" t="str">
        <f>SUBSTITUTE(Github!L$1941, ";", ", ")</f>
        <v>Array, Hash Table, Counting, </v>
      </c>
      <c r="J2168" s="13" t="str">
        <f>Github!E$1941</f>
        <v>Medium</v>
      </c>
      <c r="K2168" s="13" t="str">
        <f>IF(TRIM(Github!D$1941)="TRUE","FALSE","TRUE")</f>
        <v>FALSE</v>
      </c>
      <c r="L2168" s="13" t="b">
        <f>Github!M$1941</f>
        <v>0</v>
      </c>
      <c r="M2168" s="13" t="b">
        <f>Github!N$1941</f>
        <v>0</v>
      </c>
      <c r="N2168" s="13">
        <f>Github!P$1941</f>
        <v>4751</v>
      </c>
      <c r="O2168" s="13">
        <f>Github!Q$1941</f>
        <v>5990</v>
      </c>
    </row>
    <row r="2169">
      <c r="A2169" s="13">
        <f>Github!J$1635</f>
        <v>1634</v>
      </c>
      <c r="B2169" s="14" t="str">
        <f>HYPERLINK(CONCAT("http://leetcode.com/problems/",Github!C$1635), Github!B$1635)</f>
        <v>Add Two Polynomials Represented as Linked Lists</v>
      </c>
      <c r="C2169" s="13">
        <f>Github!F$1635</f>
        <v>118</v>
      </c>
      <c r="D2169" s="13">
        <f>Github!G$1635</f>
        <v>9</v>
      </c>
      <c r="E2169" s="13">
        <f>Github!F$1635+Github!G$1635</f>
        <v>127</v>
      </c>
      <c r="F2169" s="15">
        <f t="shared" si="1"/>
        <v>13.11</v>
      </c>
      <c r="G2169" s="13" t="str">
        <f>ROUND(Github!O$1635, 2)&amp;"%"</f>
        <v>53.9%</v>
      </c>
      <c r="H2169" s="13" t="str">
        <f>Github!H$1635</f>
        <v>Algorithms</v>
      </c>
      <c r="I2169" s="16" t="str">
        <f>SUBSTITUTE(Github!L$1635, ";", ", ")</f>
        <v>Linked List, Math, Two Pointers, </v>
      </c>
      <c r="J2169" s="13" t="str">
        <f>Github!E$1635</f>
        <v>Medium</v>
      </c>
      <c r="K2169" s="13" t="str">
        <f>IF(TRIM(Github!D$1635)="TRUE","FALSE","TRUE")</f>
        <v>FALSE</v>
      </c>
      <c r="L2169" s="13" t="b">
        <f>Github!M$1635</f>
        <v>0</v>
      </c>
      <c r="M2169" s="13" t="b">
        <f>Github!N$1635</f>
        <v>0</v>
      </c>
      <c r="N2169" s="13">
        <f>Github!P$1635</f>
        <v>8168</v>
      </c>
      <c r="O2169" s="13">
        <f>Github!Q$1635</f>
        <v>15155</v>
      </c>
    </row>
    <row r="2170">
      <c r="A2170" s="13">
        <f>Github!J$1295</f>
        <v>1294</v>
      </c>
      <c r="B2170" s="14" t="str">
        <f>HYPERLINK(CONCAT("http://leetcode.com/problems/",Github!C$1295), Github!B$1295)</f>
        <v>Weather Type in Each Country</v>
      </c>
      <c r="C2170" s="13">
        <f>Github!F$1295</f>
        <v>116</v>
      </c>
      <c r="D2170" s="13">
        <f>Github!G$1295</f>
        <v>24</v>
      </c>
      <c r="E2170" s="13">
        <f>Github!F$1295+Github!G$1295</f>
        <v>140</v>
      </c>
      <c r="F2170" s="15">
        <f t="shared" si="1"/>
        <v>4.83</v>
      </c>
      <c r="G2170" s="13" t="str">
        <f>ROUND(Github!O$1295, 2)&amp;"%"</f>
        <v>67.76%</v>
      </c>
      <c r="H2170" s="13" t="str">
        <f>Github!H$1295</f>
        <v>Database</v>
      </c>
      <c r="I2170" s="16" t="str">
        <f>SUBSTITUTE(Github!L$1295, ";", ", ")</f>
        <v>Database, </v>
      </c>
      <c r="J2170" s="13" t="str">
        <f>Github!E$1295</f>
        <v>Easy</v>
      </c>
      <c r="K2170" s="13" t="str">
        <f>IF(TRIM(Github!D$1295)="TRUE","FALSE","TRUE")</f>
        <v>FALSE</v>
      </c>
      <c r="L2170" s="13" t="b">
        <f>Github!M$1295</f>
        <v>0</v>
      </c>
      <c r="M2170" s="13" t="b">
        <f>Github!N$1295</f>
        <v>0</v>
      </c>
      <c r="N2170" s="13">
        <f>Github!P$1295</f>
        <v>31963</v>
      </c>
      <c r="O2170" s="13">
        <f>Github!Q$1295</f>
        <v>47171</v>
      </c>
    </row>
    <row r="2171">
      <c r="A2171" s="13">
        <f>Github!J$1518</f>
        <v>1517</v>
      </c>
      <c r="B2171" s="14" t="str">
        <f>HYPERLINK(CONCAT("http://leetcode.com/problems/",Github!C$1518), Github!B$1518)</f>
        <v>Find Users With Valid E-Mails</v>
      </c>
      <c r="C2171" s="13">
        <f>Github!F$1518</f>
        <v>117</v>
      </c>
      <c r="D2171" s="13">
        <f>Github!G$1518</f>
        <v>100</v>
      </c>
      <c r="E2171" s="13">
        <f>Github!F$1518+Github!G$1518</f>
        <v>217</v>
      </c>
      <c r="F2171" s="15">
        <f t="shared" si="1"/>
        <v>1.17</v>
      </c>
      <c r="G2171" s="13" t="str">
        <f>ROUND(Github!O$1518, 2)&amp;"%"</f>
        <v>55.51%</v>
      </c>
      <c r="H2171" s="13" t="str">
        <f>Github!H$1518</f>
        <v>Database</v>
      </c>
      <c r="I2171" s="16" t="str">
        <f>SUBSTITUTE(Github!L$1518, ";", ", ")</f>
        <v>Database, </v>
      </c>
      <c r="J2171" s="13" t="str">
        <f>Github!E$1518</f>
        <v>Easy</v>
      </c>
      <c r="K2171" s="13" t="str">
        <f>IF(TRIM(Github!D$1518)="TRUE","FALSE","TRUE")</f>
        <v>FALSE</v>
      </c>
      <c r="L2171" s="13" t="b">
        <f>Github!M$1518</f>
        <v>0</v>
      </c>
      <c r="M2171" s="13" t="b">
        <f>Github!N$1518</f>
        <v>0</v>
      </c>
      <c r="N2171" s="13">
        <f>Github!P$1518</f>
        <v>21842</v>
      </c>
      <c r="O2171" s="13">
        <f>Github!Q$1518</f>
        <v>39345</v>
      </c>
    </row>
    <row r="2172">
      <c r="A2172" s="13">
        <f>Github!J$1950</f>
        <v>1949</v>
      </c>
      <c r="B2172" s="14" t="str">
        <f>HYPERLINK(CONCAT("http://leetcode.com/problems/",Github!C$1950), Github!B$1950)</f>
        <v>Strong Friendship</v>
      </c>
      <c r="C2172" s="13">
        <f>Github!F$1950</f>
        <v>115</v>
      </c>
      <c r="D2172" s="13">
        <f>Github!G$1950</f>
        <v>62</v>
      </c>
      <c r="E2172" s="13">
        <f>Github!F$1950+Github!G$1950</f>
        <v>177</v>
      </c>
      <c r="F2172" s="15">
        <f t="shared" si="1"/>
        <v>1.85</v>
      </c>
      <c r="G2172" s="13" t="str">
        <f>ROUND(Github!O$1950, 2)&amp;"%"</f>
        <v>57.87%</v>
      </c>
      <c r="H2172" s="13" t="str">
        <f>Github!H$1950</f>
        <v>Database</v>
      </c>
      <c r="I2172" s="16" t="str">
        <f>SUBSTITUTE(Github!L$1950, ";", ", ")</f>
        <v>Database, </v>
      </c>
      <c r="J2172" s="13" t="str">
        <f>Github!E$1950</f>
        <v>Medium</v>
      </c>
      <c r="K2172" s="13" t="str">
        <f>IF(TRIM(Github!D$1950)="TRUE","FALSE","TRUE")</f>
        <v>FALSE</v>
      </c>
      <c r="L2172" s="13" t="b">
        <f>Github!M$1950</f>
        <v>0</v>
      </c>
      <c r="M2172" s="13" t="b">
        <f>Github!N$1950</f>
        <v>0</v>
      </c>
      <c r="N2172" s="13">
        <f>Github!P$1950</f>
        <v>8050</v>
      </c>
      <c r="O2172" s="13">
        <f>Github!Q$1950</f>
        <v>13912</v>
      </c>
    </row>
    <row r="2173">
      <c r="A2173" s="13">
        <f>Github!J$1356</f>
        <v>1355</v>
      </c>
      <c r="B2173" s="14" t="str">
        <f>HYPERLINK(CONCAT("http://leetcode.com/problems/",Github!C$1356), Github!B$1356)</f>
        <v>Activity Participants</v>
      </c>
      <c r="C2173" s="13">
        <f>Github!F$1356</f>
        <v>115</v>
      </c>
      <c r="D2173" s="13">
        <f>Github!G$1356</f>
        <v>47</v>
      </c>
      <c r="E2173" s="13">
        <f>Github!F$1356+Github!G$1356</f>
        <v>162</v>
      </c>
      <c r="F2173" s="15">
        <f t="shared" si="1"/>
        <v>2.45</v>
      </c>
      <c r="G2173" s="13" t="str">
        <f>ROUND(Github!O$1356, 2)&amp;"%"</f>
        <v>74.34%</v>
      </c>
      <c r="H2173" s="13" t="str">
        <f>Github!H$1356</f>
        <v>Database</v>
      </c>
      <c r="I2173" s="16" t="str">
        <f>SUBSTITUTE(Github!L$1356, ";", ", ")</f>
        <v>Database, </v>
      </c>
      <c r="J2173" s="13" t="str">
        <f>Github!E$1356</f>
        <v>Medium</v>
      </c>
      <c r="K2173" s="13" t="str">
        <f>IF(TRIM(Github!D$1356)="TRUE","FALSE","TRUE")</f>
        <v>FALSE</v>
      </c>
      <c r="L2173" s="13" t="b">
        <f>Github!M$1356</f>
        <v>0</v>
      </c>
      <c r="M2173" s="13" t="b">
        <f>Github!N$1356</f>
        <v>0</v>
      </c>
      <c r="N2173" s="13">
        <f>Github!P$1356</f>
        <v>24116</v>
      </c>
      <c r="O2173" s="13">
        <f>Github!Q$1356</f>
        <v>32438</v>
      </c>
    </row>
    <row r="2174">
      <c r="A2174" s="13">
        <f>Github!J$1175</f>
        <v>1174</v>
      </c>
      <c r="B2174" s="14" t="str">
        <f>HYPERLINK(CONCAT("http://leetcode.com/problems/",Github!C$1175), Github!B$1175)</f>
        <v>Immediate Food Delivery II</v>
      </c>
      <c r="C2174" s="13">
        <f>Github!F$1175</f>
        <v>114</v>
      </c>
      <c r="D2174" s="13">
        <f>Github!G$1175</f>
        <v>52</v>
      </c>
      <c r="E2174" s="13">
        <f>Github!F$1175+Github!G$1175</f>
        <v>166</v>
      </c>
      <c r="F2174" s="15">
        <f t="shared" si="1"/>
        <v>2.19</v>
      </c>
      <c r="G2174" s="13" t="str">
        <f>ROUND(Github!O$1175, 2)&amp;"%"</f>
        <v>63.63%</v>
      </c>
      <c r="H2174" s="13" t="str">
        <f>Github!H$1175</f>
        <v>Database</v>
      </c>
      <c r="I2174" s="16" t="str">
        <f>SUBSTITUTE(Github!L$1175, ";", ", ")</f>
        <v>Database, </v>
      </c>
      <c r="J2174" s="13" t="str">
        <f>Github!E$1175</f>
        <v>Medium</v>
      </c>
      <c r="K2174" s="13" t="str">
        <f>IF(TRIM(Github!D$1175)="TRUE","FALSE","TRUE")</f>
        <v>FALSE</v>
      </c>
      <c r="L2174" s="13" t="b">
        <f>Github!M$1175</f>
        <v>0</v>
      </c>
      <c r="M2174" s="13" t="b">
        <f>Github!N$1175</f>
        <v>0</v>
      </c>
      <c r="N2174" s="13">
        <f>Github!P$1175</f>
        <v>27652</v>
      </c>
      <c r="O2174" s="13">
        <f>Github!Q$1175</f>
        <v>43458</v>
      </c>
    </row>
    <row r="2175">
      <c r="A2175" s="13">
        <f>Github!J$2185</f>
        <v>2184</v>
      </c>
      <c r="B2175" s="14" t="str">
        <f>HYPERLINK(CONCAT("http://leetcode.com/problems/",Github!C$2185), Github!B$2185)</f>
        <v>Number of Ways to Build Sturdy Brick Wall</v>
      </c>
      <c r="C2175" s="13">
        <f>Github!F$2185</f>
        <v>114</v>
      </c>
      <c r="D2175" s="13">
        <f>Github!G$2185</f>
        <v>78</v>
      </c>
      <c r="E2175" s="13">
        <f>Github!F$2185+Github!G$2185</f>
        <v>192</v>
      </c>
      <c r="F2175" s="15">
        <f t="shared" si="1"/>
        <v>1.46</v>
      </c>
      <c r="G2175" s="13" t="str">
        <f>ROUND(Github!O$2185, 2)&amp;"%"</f>
        <v>51.15%</v>
      </c>
      <c r="H2175" s="13" t="str">
        <f>Github!H$2185</f>
        <v>Algorithms</v>
      </c>
      <c r="I2175" s="16" t="str">
        <f>SUBSTITUTE(Github!L$2185, ";", ", ")</f>
        <v>Array, Dynamic Programming, Bit Manipulation, Bitmask, </v>
      </c>
      <c r="J2175" s="13" t="str">
        <f>Github!E$2185</f>
        <v>Medium</v>
      </c>
      <c r="K2175" s="13" t="str">
        <f>IF(TRIM(Github!D$2185)="TRUE","FALSE","TRUE")</f>
        <v>FALSE</v>
      </c>
      <c r="L2175" s="13" t="b">
        <f>Github!M$2185</f>
        <v>0</v>
      </c>
      <c r="M2175" s="13" t="b">
        <f>Github!N$2185</f>
        <v>0</v>
      </c>
      <c r="N2175" s="13">
        <f>Github!P$2185</f>
        <v>4624</v>
      </c>
      <c r="O2175" s="13">
        <f>Github!Q$2185</f>
        <v>9040</v>
      </c>
    </row>
    <row r="2176">
      <c r="A2176" s="13">
        <f>Github!J$1534</f>
        <v>1533</v>
      </c>
      <c r="B2176" s="14" t="str">
        <f>HYPERLINK(CONCAT("http://leetcode.com/problems/",Github!C$1534), Github!B$1534)</f>
        <v>Find the Index of the Large Integer</v>
      </c>
      <c r="C2176" s="13">
        <f>Github!F$1534</f>
        <v>113</v>
      </c>
      <c r="D2176" s="13">
        <f>Github!G$1534</f>
        <v>17</v>
      </c>
      <c r="E2176" s="13">
        <f>Github!F$1534+Github!G$1534</f>
        <v>130</v>
      </c>
      <c r="F2176" s="15">
        <f t="shared" si="1"/>
        <v>6.65</v>
      </c>
      <c r="G2176" s="13" t="str">
        <f>ROUND(Github!O$1534, 2)&amp;"%"</f>
        <v>50.96%</v>
      </c>
      <c r="H2176" s="13" t="str">
        <f>Github!H$1534</f>
        <v>Algorithms</v>
      </c>
      <c r="I2176" s="16" t="str">
        <f>SUBSTITUTE(Github!L$1534, ";", ", ")</f>
        <v>Array, Binary Search, Interactive, </v>
      </c>
      <c r="J2176" s="13" t="str">
        <f>Github!E$1534</f>
        <v>Medium</v>
      </c>
      <c r="K2176" s="13" t="str">
        <f>IF(TRIM(Github!D$1534)="TRUE","FALSE","TRUE")</f>
        <v>FALSE</v>
      </c>
      <c r="L2176" s="13" t="b">
        <f>Github!M$1534</f>
        <v>1</v>
      </c>
      <c r="M2176" s="13" t="b">
        <f>Github!N$1534</f>
        <v>0</v>
      </c>
      <c r="N2176" s="13">
        <f>Github!P$1534</f>
        <v>5620</v>
      </c>
      <c r="O2176" s="13">
        <f>Github!Q$1534</f>
        <v>11029</v>
      </c>
    </row>
    <row r="2177">
      <c r="A2177" s="13">
        <f>Github!J$2047</f>
        <v>2046</v>
      </c>
      <c r="B2177" s="14" t="str">
        <f>HYPERLINK(CONCAT("http://leetcode.com/problems/",Github!C$2047), Github!B$2047)</f>
        <v>Sort Linked List Already Sorted Using Absolute Values</v>
      </c>
      <c r="C2177" s="13">
        <f>Github!F$2047</f>
        <v>113</v>
      </c>
      <c r="D2177" s="13">
        <f>Github!G$2047</f>
        <v>1</v>
      </c>
      <c r="E2177" s="13">
        <f>Github!F$2047+Github!G$2047</f>
        <v>114</v>
      </c>
      <c r="F2177" s="15">
        <f t="shared" si="1"/>
        <v>113</v>
      </c>
      <c r="G2177" s="13" t="str">
        <f>ROUND(Github!O$2047, 2)&amp;"%"</f>
        <v>69.15%</v>
      </c>
      <c r="H2177" s="13" t="str">
        <f>Github!H$2047</f>
        <v>Algorithms</v>
      </c>
      <c r="I2177" s="16" t="str">
        <f>SUBSTITUTE(Github!L$2047, ";", ", ")</f>
        <v>Linked List, Two Pointers, Sorting, </v>
      </c>
      <c r="J2177" s="13" t="str">
        <f>Github!E$2047</f>
        <v>Medium</v>
      </c>
      <c r="K2177" s="13" t="str">
        <f>IF(TRIM(Github!D$2047)="TRUE","FALSE","TRUE")</f>
        <v>FALSE</v>
      </c>
      <c r="L2177" s="13" t="b">
        <f>Github!M$2047</f>
        <v>0</v>
      </c>
      <c r="M2177" s="13" t="b">
        <f>Github!N$2047</f>
        <v>0</v>
      </c>
      <c r="N2177" s="13">
        <f>Github!P$2047</f>
        <v>4313</v>
      </c>
      <c r="O2177" s="13">
        <f>Github!Q$2047</f>
        <v>6237</v>
      </c>
    </row>
    <row r="2178">
      <c r="A2178" s="13">
        <f>Github!J$1556</f>
        <v>1555</v>
      </c>
      <c r="B2178" s="14" t="str">
        <f>HYPERLINK(CONCAT("http://leetcode.com/problems/",Github!C$1556), Github!B$1556)</f>
        <v>Bank Account Summary</v>
      </c>
      <c r="C2178" s="13">
        <f>Github!F$1556</f>
        <v>110</v>
      </c>
      <c r="D2178" s="13">
        <f>Github!G$1556</f>
        <v>23</v>
      </c>
      <c r="E2178" s="13">
        <f>Github!F$1556+Github!G$1556</f>
        <v>133</v>
      </c>
      <c r="F2178" s="15">
        <f t="shared" si="1"/>
        <v>4.78</v>
      </c>
      <c r="G2178" s="13" t="str">
        <f>ROUND(Github!O$1556, 2)&amp;"%"</f>
        <v>52.83%</v>
      </c>
      <c r="H2178" s="13" t="str">
        <f>Github!H$1556</f>
        <v>Database</v>
      </c>
      <c r="I2178" s="16" t="str">
        <f>SUBSTITUTE(Github!L$1556, ";", ", ")</f>
        <v>Database, </v>
      </c>
      <c r="J2178" s="13" t="str">
        <f>Github!E$1556</f>
        <v>Medium</v>
      </c>
      <c r="K2178" s="13" t="str">
        <f>IF(TRIM(Github!D$1556)="TRUE","FALSE","TRUE")</f>
        <v>FALSE</v>
      </c>
      <c r="L2178" s="13" t="b">
        <f>Github!M$1556</f>
        <v>0</v>
      </c>
      <c r="M2178" s="13" t="b">
        <f>Github!N$1556</f>
        <v>0</v>
      </c>
      <c r="N2178" s="13">
        <f>Github!P$1556</f>
        <v>13198</v>
      </c>
      <c r="O2178" s="13">
        <f>Github!Q$1556</f>
        <v>24980</v>
      </c>
    </row>
    <row r="2179">
      <c r="A2179" s="13">
        <f>Github!J$1662</f>
        <v>1661</v>
      </c>
      <c r="B2179" s="14" t="str">
        <f>HYPERLINK(CONCAT("http://leetcode.com/problems/",Github!C$1662), Github!B$1662)</f>
        <v>Average Time of Process per Machine</v>
      </c>
      <c r="C2179" s="13">
        <f>Github!F$1662</f>
        <v>109</v>
      </c>
      <c r="D2179" s="13">
        <f>Github!G$1662</f>
        <v>20</v>
      </c>
      <c r="E2179" s="13">
        <f>Github!F$1662+Github!G$1662</f>
        <v>129</v>
      </c>
      <c r="F2179" s="15">
        <f t="shared" si="1"/>
        <v>5.45</v>
      </c>
      <c r="G2179" s="13" t="str">
        <f>ROUND(Github!O$1662, 2)&amp;"%"</f>
        <v>78.9%</v>
      </c>
      <c r="H2179" s="13" t="str">
        <f>Github!H$1662</f>
        <v>Database</v>
      </c>
      <c r="I2179" s="16" t="str">
        <f>SUBSTITUTE(Github!L$1662, ";", ", ")</f>
        <v>Database, </v>
      </c>
      <c r="J2179" s="13" t="str">
        <f>Github!E$1662</f>
        <v>Easy</v>
      </c>
      <c r="K2179" s="13" t="str">
        <f>IF(TRIM(Github!D$1662)="TRUE","FALSE","TRUE")</f>
        <v>FALSE</v>
      </c>
      <c r="L2179" s="13" t="b">
        <f>Github!M$1662</f>
        <v>0</v>
      </c>
      <c r="M2179" s="13" t="b">
        <f>Github!N$1662</f>
        <v>0</v>
      </c>
      <c r="N2179" s="13">
        <f>Github!P$1662</f>
        <v>19290</v>
      </c>
      <c r="O2179" s="13">
        <f>Github!Q$1662</f>
        <v>24448</v>
      </c>
    </row>
    <row r="2180">
      <c r="A2180" s="13">
        <f>Github!J$1150</f>
        <v>1149</v>
      </c>
      <c r="B2180" s="14" t="str">
        <f>HYPERLINK(CONCAT("http://leetcode.com/problems/",Github!C$1150), Github!B$1150)</f>
        <v>Article Views II</v>
      </c>
      <c r="C2180" s="13">
        <f>Github!F$1150</f>
        <v>111</v>
      </c>
      <c r="D2180" s="13">
        <f>Github!G$1150</f>
        <v>27</v>
      </c>
      <c r="E2180" s="13">
        <f>Github!F$1150+Github!G$1150</f>
        <v>138</v>
      </c>
      <c r="F2180" s="15">
        <f t="shared" si="1"/>
        <v>4.11</v>
      </c>
      <c r="G2180" s="13" t="str">
        <f>ROUND(Github!O$1150, 2)&amp;"%"</f>
        <v>47.57%</v>
      </c>
      <c r="H2180" s="13" t="str">
        <f>Github!H$1150</f>
        <v>Database</v>
      </c>
      <c r="I2180" s="16" t="str">
        <f>SUBSTITUTE(Github!L$1150, ";", ", ")</f>
        <v>Database, </v>
      </c>
      <c r="J2180" s="13" t="str">
        <f>Github!E$1150</f>
        <v>Medium</v>
      </c>
      <c r="K2180" s="13" t="str">
        <f>IF(TRIM(Github!D$1150)="TRUE","FALSE","TRUE")</f>
        <v>FALSE</v>
      </c>
      <c r="L2180" s="13" t="b">
        <f>Github!M$1150</f>
        <v>0</v>
      </c>
      <c r="M2180" s="13" t="b">
        <f>Github!N$1150</f>
        <v>0</v>
      </c>
      <c r="N2180" s="13">
        <f>Github!P$1150</f>
        <v>30410</v>
      </c>
      <c r="O2180" s="13">
        <f>Github!Q$1150</f>
        <v>63931</v>
      </c>
    </row>
    <row r="2181">
      <c r="A2181" s="13">
        <f>Github!J$1184</f>
        <v>1183</v>
      </c>
      <c r="B2181" s="14" t="str">
        <f>HYPERLINK(CONCAT("http://leetcode.com/problems/",Github!C$1184), Github!B$1184)</f>
        <v>Maximum Number of Ones</v>
      </c>
      <c r="C2181" s="13">
        <f>Github!F$1184</f>
        <v>107</v>
      </c>
      <c r="D2181" s="13">
        <f>Github!G$1184</f>
        <v>10</v>
      </c>
      <c r="E2181" s="13">
        <f>Github!F$1184+Github!G$1184</f>
        <v>117</v>
      </c>
      <c r="F2181" s="15">
        <f t="shared" si="1"/>
        <v>10.7</v>
      </c>
      <c r="G2181" s="13" t="str">
        <f>ROUND(Github!O$1184, 2)&amp;"%"</f>
        <v>61.1%</v>
      </c>
      <c r="H2181" s="13" t="str">
        <f>Github!H$1184</f>
        <v>Algorithms</v>
      </c>
      <c r="I2181" s="16" t="str">
        <f>SUBSTITUTE(Github!L$1184, ";", ", ")</f>
        <v>Greedy, Heap (Priority Queue), </v>
      </c>
      <c r="J2181" s="13" t="str">
        <f>Github!E$1184</f>
        <v>Hard</v>
      </c>
      <c r="K2181" s="13" t="str">
        <f>IF(TRIM(Github!D$1184)="TRUE","FALSE","TRUE")</f>
        <v>FALSE</v>
      </c>
      <c r="L2181" s="13" t="b">
        <f>Github!M$1184</f>
        <v>0</v>
      </c>
      <c r="M2181" s="13" t="b">
        <f>Github!N$1184</f>
        <v>0</v>
      </c>
      <c r="N2181" s="13">
        <f>Github!P$1184</f>
        <v>2400</v>
      </c>
      <c r="O2181" s="13">
        <f>Github!Q$1184</f>
        <v>3928</v>
      </c>
    </row>
    <row r="2182">
      <c r="A2182" s="13">
        <f>Github!J$2022</f>
        <v>2021</v>
      </c>
      <c r="B2182" s="14" t="str">
        <f>HYPERLINK(CONCAT("http://leetcode.com/problems/",Github!C$2022), Github!B$2022)</f>
        <v>Brightest Position on Street</v>
      </c>
      <c r="C2182" s="13">
        <f>Github!F$2022</f>
        <v>110</v>
      </c>
      <c r="D2182" s="13">
        <f>Github!G$2022</f>
        <v>2</v>
      </c>
      <c r="E2182" s="13">
        <f>Github!F$2022+Github!G$2022</f>
        <v>112</v>
      </c>
      <c r="F2182" s="15">
        <f t="shared" si="1"/>
        <v>55</v>
      </c>
      <c r="G2182" s="13" t="str">
        <f>ROUND(Github!O$2022, 2)&amp;"%"</f>
        <v>62.48%</v>
      </c>
      <c r="H2182" s="13" t="str">
        <f>Github!H$2022</f>
        <v>Algorithms</v>
      </c>
      <c r="I2182" s="16" t="str">
        <f>SUBSTITUTE(Github!L$2022, ";", ", ")</f>
        <v>Array, Prefix Sum, Ordered Set, </v>
      </c>
      <c r="J2182" s="13" t="str">
        <f>Github!E$2022</f>
        <v>Medium</v>
      </c>
      <c r="K2182" s="13" t="str">
        <f>IF(TRIM(Github!D$2022)="TRUE","FALSE","TRUE")</f>
        <v>FALSE</v>
      </c>
      <c r="L2182" s="13" t="b">
        <f>Github!M$2022</f>
        <v>0</v>
      </c>
      <c r="M2182" s="13" t="b">
        <f>Github!N$2022</f>
        <v>0</v>
      </c>
      <c r="N2182" s="13">
        <f>Github!P$2022</f>
        <v>3702</v>
      </c>
      <c r="O2182" s="13">
        <f>Github!Q$2022</f>
        <v>5925</v>
      </c>
    </row>
    <row r="2183">
      <c r="A2183" s="13">
        <f>Github!J$1069</f>
        <v>1068</v>
      </c>
      <c r="B2183" s="14" t="str">
        <f>HYPERLINK(CONCAT("http://leetcode.com/problems/",Github!C$1069), Github!B$1069)</f>
        <v>Product Sales Analysis I</v>
      </c>
      <c r="C2183" s="13">
        <f>Github!F$1069</f>
        <v>105</v>
      </c>
      <c r="D2183" s="13">
        <f>Github!G$1069</f>
        <v>125</v>
      </c>
      <c r="E2183" s="13">
        <f>Github!F$1069+Github!G$1069</f>
        <v>230</v>
      </c>
      <c r="F2183" s="15">
        <f t="shared" si="1"/>
        <v>0.84</v>
      </c>
      <c r="G2183" s="13" t="str">
        <f>ROUND(Github!O$1069, 2)&amp;"%"</f>
        <v>80.21%</v>
      </c>
      <c r="H2183" s="13" t="str">
        <f>Github!H$1069</f>
        <v>Database</v>
      </c>
      <c r="I2183" s="16" t="str">
        <f>SUBSTITUTE(Github!L$1069, ";", ", ")</f>
        <v>Database, </v>
      </c>
      <c r="J2183" s="13" t="str">
        <f>Github!E$1069</f>
        <v>Easy</v>
      </c>
      <c r="K2183" s="13" t="str">
        <f>IF(TRIM(Github!D$1069)="TRUE","FALSE","TRUE")</f>
        <v>FALSE</v>
      </c>
      <c r="L2183" s="13" t="b">
        <f>Github!M$1069</f>
        <v>0</v>
      </c>
      <c r="M2183" s="13" t="b">
        <f>Github!N$1069</f>
        <v>0</v>
      </c>
      <c r="N2183" s="13">
        <f>Github!P$1069</f>
        <v>56879</v>
      </c>
      <c r="O2183" s="13">
        <f>Github!Q$1069</f>
        <v>70917</v>
      </c>
    </row>
    <row r="2184">
      <c r="A2184" s="13">
        <f>Github!J$1122</f>
        <v>1121</v>
      </c>
      <c r="B2184" s="14" t="str">
        <f>HYPERLINK(CONCAT("http://leetcode.com/problems/",Github!C$1122), Github!B$1122)</f>
        <v>Divide Array Into Increasing Sequences</v>
      </c>
      <c r="C2184" s="13">
        <f>Github!F$1122</f>
        <v>104</v>
      </c>
      <c r="D2184" s="13">
        <f>Github!G$1122</f>
        <v>26</v>
      </c>
      <c r="E2184" s="13">
        <f>Github!F$1122+Github!G$1122</f>
        <v>130</v>
      </c>
      <c r="F2184" s="15">
        <f t="shared" si="1"/>
        <v>4</v>
      </c>
      <c r="G2184" s="13" t="str">
        <f>ROUND(Github!O$1122, 2)&amp;"%"</f>
        <v>60.16%</v>
      </c>
      <c r="H2184" s="13" t="str">
        <f>Github!H$1122</f>
        <v>Algorithms</v>
      </c>
      <c r="I2184" s="16" t="str">
        <f>SUBSTITUTE(Github!L$1122, ";", ", ")</f>
        <v>Array, Greedy, </v>
      </c>
      <c r="J2184" s="13" t="str">
        <f>Github!E$1122</f>
        <v>Hard</v>
      </c>
      <c r="K2184" s="13" t="str">
        <f>IF(TRIM(Github!D$1122)="TRUE","FALSE","TRUE")</f>
        <v>FALSE</v>
      </c>
      <c r="L2184" s="13" t="b">
        <f>Github!M$1122</f>
        <v>0</v>
      </c>
      <c r="M2184" s="13" t="b">
        <f>Github!N$1122</f>
        <v>0</v>
      </c>
      <c r="N2184" s="13">
        <f>Github!P$1122</f>
        <v>4183</v>
      </c>
      <c r="O2184" s="13">
        <f>Github!Q$1122</f>
        <v>6953</v>
      </c>
    </row>
    <row r="2185">
      <c r="A2185" s="13">
        <f>Github!J$1469</f>
        <v>1468</v>
      </c>
      <c r="B2185" s="14" t="str">
        <f>HYPERLINK(CONCAT("http://leetcode.com/problems/",Github!C$1469), Github!B$1469)</f>
        <v>Calculate Salaries</v>
      </c>
      <c r="C2185" s="13">
        <f>Github!F$1469</f>
        <v>107</v>
      </c>
      <c r="D2185" s="13">
        <f>Github!G$1469</f>
        <v>18</v>
      </c>
      <c r="E2185" s="13">
        <f>Github!F$1469+Github!G$1469</f>
        <v>125</v>
      </c>
      <c r="F2185" s="15">
        <f t="shared" si="1"/>
        <v>5.94</v>
      </c>
      <c r="G2185" s="13" t="str">
        <f>ROUND(Github!O$1469, 2)&amp;"%"</f>
        <v>81.74%</v>
      </c>
      <c r="H2185" s="13" t="str">
        <f>Github!H$1469</f>
        <v>Database</v>
      </c>
      <c r="I2185" s="16" t="str">
        <f>SUBSTITUTE(Github!L$1469, ";", ", ")</f>
        <v>Database, </v>
      </c>
      <c r="J2185" s="13" t="str">
        <f>Github!E$1469</f>
        <v>Medium</v>
      </c>
      <c r="K2185" s="13" t="str">
        <f>IF(TRIM(Github!D$1469)="TRUE","FALSE","TRUE")</f>
        <v>FALSE</v>
      </c>
      <c r="L2185" s="13" t="b">
        <f>Github!M$1469</f>
        <v>0</v>
      </c>
      <c r="M2185" s="13" t="b">
        <f>Github!N$1469</f>
        <v>0</v>
      </c>
      <c r="N2185" s="13">
        <f>Github!P$1469</f>
        <v>19385</v>
      </c>
      <c r="O2185" s="13">
        <f>Github!Q$1469</f>
        <v>23716</v>
      </c>
    </row>
    <row r="2186">
      <c r="A2186" s="13">
        <f>Github!J$1442</f>
        <v>1441</v>
      </c>
      <c r="B2186" s="14" t="str">
        <f>HYPERLINK(CONCAT("http://leetcode.com/problems/",Github!C$1442), Github!B$1442)</f>
        <v>Build an Array With Stack Operations</v>
      </c>
      <c r="C2186" s="13">
        <f>Github!F$1442</f>
        <v>109</v>
      </c>
      <c r="D2186" s="13">
        <f>Github!G$1442</f>
        <v>20</v>
      </c>
      <c r="E2186" s="13">
        <f>Github!F$1442+Github!G$1442</f>
        <v>129</v>
      </c>
      <c r="F2186" s="15">
        <f t="shared" si="1"/>
        <v>5.45</v>
      </c>
      <c r="G2186" s="13" t="str">
        <f>ROUND(Github!O$1442, 2)&amp;"%"</f>
        <v>71.55%</v>
      </c>
      <c r="H2186" s="13" t="str">
        <f>Github!H$1442</f>
        <v>Algorithms</v>
      </c>
      <c r="I2186" s="16" t="str">
        <f>SUBSTITUTE(Github!L$1442, ";", ", ")</f>
        <v>Array, Stack, Simulation, </v>
      </c>
      <c r="J2186" s="13" t="str">
        <f>Github!E$1442</f>
        <v>Medium</v>
      </c>
      <c r="K2186" s="13" t="str">
        <f>IF(TRIM(Github!D$1442)="TRUE","FALSE","TRUE")</f>
        <v>TRUE</v>
      </c>
      <c r="L2186" s="13" t="b">
        <f>Github!M$1442</f>
        <v>0</v>
      </c>
      <c r="M2186" s="13" t="b">
        <f>Github!N$1442</f>
        <v>0</v>
      </c>
      <c r="N2186" s="13">
        <f>Github!P$1442</f>
        <v>69910</v>
      </c>
      <c r="O2186" s="13">
        <f>Github!Q$1442</f>
        <v>97705</v>
      </c>
    </row>
    <row r="2187">
      <c r="A2187" s="13">
        <f>Github!J$1778</f>
        <v>1777</v>
      </c>
      <c r="B2187" s="14" t="str">
        <f>HYPERLINK(CONCAT("http://leetcode.com/problems/",Github!C$1778), Github!B$1778)</f>
        <v>Product's Price for Each Store</v>
      </c>
      <c r="C2187" s="13">
        <f>Github!F$1778</f>
        <v>104</v>
      </c>
      <c r="D2187" s="13">
        <f>Github!G$1778</f>
        <v>10</v>
      </c>
      <c r="E2187" s="13">
        <f>Github!F$1778+Github!G$1778</f>
        <v>114</v>
      </c>
      <c r="F2187" s="15">
        <f t="shared" si="1"/>
        <v>10.4</v>
      </c>
      <c r="G2187" s="13" t="str">
        <f>ROUND(Github!O$1778, 2)&amp;"%"</f>
        <v>85.16%</v>
      </c>
      <c r="H2187" s="13" t="str">
        <f>Github!H$1778</f>
        <v>Database</v>
      </c>
      <c r="I2187" s="16" t="str">
        <f>SUBSTITUTE(Github!L$1778, ";", ", ")</f>
        <v>Database, </v>
      </c>
      <c r="J2187" s="13" t="str">
        <f>Github!E$1778</f>
        <v>Easy</v>
      </c>
      <c r="K2187" s="13" t="str">
        <f>IF(TRIM(Github!D$1778)="TRUE","FALSE","TRUE")</f>
        <v>FALSE</v>
      </c>
      <c r="L2187" s="13" t="b">
        <f>Github!M$1778</f>
        <v>0</v>
      </c>
      <c r="M2187" s="13" t="b">
        <f>Github!N$1778</f>
        <v>0</v>
      </c>
      <c r="N2187" s="13">
        <f>Github!P$1778</f>
        <v>15282</v>
      </c>
      <c r="O2187" s="13">
        <f>Github!Q$1778</f>
        <v>17945</v>
      </c>
    </row>
    <row r="2188">
      <c r="A2188" s="13">
        <f>Github!J$801</f>
        <v>800</v>
      </c>
      <c r="B2188" s="14" t="str">
        <f>HYPERLINK(CONCAT("http://leetcode.com/problems/",Github!C$801), Github!B$801)</f>
        <v>Similar RGB Color</v>
      </c>
      <c r="C2188" s="13">
        <f>Github!F$801</f>
        <v>101</v>
      </c>
      <c r="D2188" s="13">
        <f>Github!G$801</f>
        <v>651</v>
      </c>
      <c r="E2188" s="13">
        <f>Github!F$801+Github!G$801</f>
        <v>752</v>
      </c>
      <c r="F2188" s="15">
        <f t="shared" si="1"/>
        <v>0.16</v>
      </c>
      <c r="G2188" s="13" t="str">
        <f>ROUND(Github!O$801, 2)&amp;"%"</f>
        <v>66.99%</v>
      </c>
      <c r="H2188" s="13" t="str">
        <f>Github!H$801</f>
        <v>Algorithms</v>
      </c>
      <c r="I2188" s="16" t="str">
        <f>SUBSTITUTE(Github!L$801, ";", ", ")</f>
        <v>Math, String, Enumeration, </v>
      </c>
      <c r="J2188" s="13" t="str">
        <f>Github!E$801</f>
        <v>Easy</v>
      </c>
      <c r="K2188" s="13" t="str">
        <f>IF(TRIM(Github!D$801)="TRUE","FALSE","TRUE")</f>
        <v>FALSE</v>
      </c>
      <c r="L2188" s="13" t="b">
        <f>Github!M$801</f>
        <v>1</v>
      </c>
      <c r="M2188" s="13" t="b">
        <f>Github!N$801</f>
        <v>0</v>
      </c>
      <c r="N2188" s="13">
        <f>Github!P$801</f>
        <v>16060</v>
      </c>
      <c r="O2188" s="13">
        <f>Github!Q$801</f>
        <v>23975</v>
      </c>
    </row>
    <row r="2189">
      <c r="A2189" s="13">
        <f>Github!J$1745</f>
        <v>1744</v>
      </c>
      <c r="B2189" s="14" t="str">
        <f>HYPERLINK(CONCAT("http://leetcode.com/problems/",Github!C$1745), Github!B$1745)</f>
        <v>Can You Eat Your Favorite Candy on Your Favorite Day?</v>
      </c>
      <c r="C2189" s="13">
        <f>Github!F$1745</f>
        <v>102</v>
      </c>
      <c r="D2189" s="13">
        <f>Github!G$1745</f>
        <v>291</v>
      </c>
      <c r="E2189" s="13">
        <f>Github!F$1745+Github!G$1745</f>
        <v>393</v>
      </c>
      <c r="F2189" s="15">
        <f t="shared" si="1"/>
        <v>0.35</v>
      </c>
      <c r="G2189" s="13" t="str">
        <f>ROUND(Github!O$1745, 2)&amp;"%"</f>
        <v>32.99%</v>
      </c>
      <c r="H2189" s="13" t="str">
        <f>Github!H$1745</f>
        <v>Algorithms</v>
      </c>
      <c r="I2189" s="16" t="str">
        <f>SUBSTITUTE(Github!L$1745, ";", ", ")</f>
        <v>Array, Prefix Sum, </v>
      </c>
      <c r="J2189" s="13" t="str">
        <f>Github!E$1745</f>
        <v>Medium</v>
      </c>
      <c r="K2189" s="13" t="str">
        <f>IF(TRIM(Github!D$1745)="TRUE","FALSE","TRUE")</f>
        <v>TRUE</v>
      </c>
      <c r="L2189" s="13" t="b">
        <f>Github!M$1745</f>
        <v>0</v>
      </c>
      <c r="M2189" s="13" t="b">
        <f>Github!N$1745</f>
        <v>0</v>
      </c>
      <c r="N2189" s="13">
        <f>Github!P$1745</f>
        <v>8759</v>
      </c>
      <c r="O2189" s="13">
        <f>Github!Q$1745</f>
        <v>26549</v>
      </c>
    </row>
    <row r="2190">
      <c r="A2190" s="13">
        <f>Github!J$1086</f>
        <v>1085</v>
      </c>
      <c r="B2190" s="14" t="str">
        <f>HYPERLINK(CONCAT("http://leetcode.com/problems/",Github!C$1086), Github!B$1086)</f>
        <v>Sum of Digits in the Minimum Number</v>
      </c>
      <c r="C2190" s="13">
        <f>Github!F$1086</f>
        <v>101</v>
      </c>
      <c r="D2190" s="13">
        <f>Github!G$1086</f>
        <v>144</v>
      </c>
      <c r="E2190" s="13">
        <f>Github!F$1086+Github!G$1086</f>
        <v>245</v>
      </c>
      <c r="F2190" s="15">
        <f t="shared" si="1"/>
        <v>0.7</v>
      </c>
      <c r="G2190" s="13" t="str">
        <f>ROUND(Github!O$1086, 2)&amp;"%"</f>
        <v>76.1%</v>
      </c>
      <c r="H2190" s="13" t="str">
        <f>Github!H$1086</f>
        <v>Algorithms</v>
      </c>
      <c r="I2190" s="16" t="str">
        <f>SUBSTITUTE(Github!L$1086, ";", ", ")</f>
        <v>Array, Math, </v>
      </c>
      <c r="J2190" s="13" t="str">
        <f>Github!E$1086</f>
        <v>Easy</v>
      </c>
      <c r="K2190" s="13" t="str">
        <f>IF(TRIM(Github!D$1086)="TRUE","FALSE","TRUE")</f>
        <v>FALSE</v>
      </c>
      <c r="L2190" s="13" t="b">
        <f>Github!M$1086</f>
        <v>0</v>
      </c>
      <c r="M2190" s="13" t="b">
        <f>Github!N$1086</f>
        <v>0</v>
      </c>
      <c r="N2190" s="13">
        <f>Github!P$1086</f>
        <v>21691</v>
      </c>
      <c r="O2190" s="13">
        <f>Github!Q$1086</f>
        <v>28504</v>
      </c>
    </row>
    <row r="2191">
      <c r="A2191" s="13">
        <f>Github!J$2082</f>
        <v>2081</v>
      </c>
      <c r="B2191" s="14" t="str">
        <f>HYPERLINK(CONCAT("http://leetcode.com/problems/",Github!C$2082), Github!B$2082)</f>
        <v>Sum of k-Mirror Numbers</v>
      </c>
      <c r="C2191" s="13">
        <f>Github!F$2082</f>
        <v>101</v>
      </c>
      <c r="D2191" s="13">
        <f>Github!G$2082</f>
        <v>140</v>
      </c>
      <c r="E2191" s="13">
        <f>Github!F$2082+Github!G$2082</f>
        <v>241</v>
      </c>
      <c r="F2191" s="15">
        <f t="shared" si="1"/>
        <v>0.72</v>
      </c>
      <c r="G2191" s="13" t="str">
        <f>ROUND(Github!O$2082, 2)&amp;"%"</f>
        <v>41.94%</v>
      </c>
      <c r="H2191" s="13" t="str">
        <f>Github!H$2082</f>
        <v>Algorithms</v>
      </c>
      <c r="I2191" s="16" t="str">
        <f>SUBSTITUTE(Github!L$2082, ";", ", ")</f>
        <v>Math, Enumeration, </v>
      </c>
      <c r="J2191" s="13" t="str">
        <f>Github!E$2082</f>
        <v>Hard</v>
      </c>
      <c r="K2191" s="13" t="str">
        <f>IF(TRIM(Github!D$2082)="TRUE","FALSE","TRUE")</f>
        <v>TRUE</v>
      </c>
      <c r="L2191" s="13" t="b">
        <f>Github!M$2082</f>
        <v>0</v>
      </c>
      <c r="M2191" s="13" t="b">
        <f>Github!N$2082</f>
        <v>0</v>
      </c>
      <c r="N2191" s="13">
        <f>Github!P$2082</f>
        <v>6154</v>
      </c>
      <c r="O2191" s="13">
        <f>Github!Q$2082</f>
        <v>14674</v>
      </c>
    </row>
    <row r="2192">
      <c r="A2192" s="13">
        <f>Github!J$1160</f>
        <v>1159</v>
      </c>
      <c r="B2192" s="14" t="str">
        <f>HYPERLINK(CONCAT("http://leetcode.com/problems/",Github!C$1160), Github!B$1160)</f>
        <v>Market Analysis II</v>
      </c>
      <c r="C2192" s="13">
        <f>Github!F$1160</f>
        <v>103</v>
      </c>
      <c r="D2192" s="13">
        <f>Github!G$1160</f>
        <v>46</v>
      </c>
      <c r="E2192" s="13">
        <f>Github!F$1160+Github!G$1160</f>
        <v>149</v>
      </c>
      <c r="F2192" s="15">
        <f t="shared" si="1"/>
        <v>2.24</v>
      </c>
      <c r="G2192" s="13" t="str">
        <f>ROUND(Github!O$1160, 2)&amp;"%"</f>
        <v>58.48%</v>
      </c>
      <c r="H2192" s="13" t="str">
        <f>Github!H$1160</f>
        <v>Database</v>
      </c>
      <c r="I2192" s="16" t="str">
        <f>SUBSTITUTE(Github!L$1160, ";", ", ")</f>
        <v>Database, </v>
      </c>
      <c r="J2192" s="13" t="str">
        <f>Github!E$1160</f>
        <v>Hard</v>
      </c>
      <c r="K2192" s="13" t="str">
        <f>IF(TRIM(Github!D$1160)="TRUE","FALSE","TRUE")</f>
        <v>FALSE</v>
      </c>
      <c r="L2192" s="13" t="b">
        <f>Github!M$1160</f>
        <v>0</v>
      </c>
      <c r="M2192" s="13" t="b">
        <f>Github!N$1160</f>
        <v>0</v>
      </c>
      <c r="N2192" s="13">
        <f>Github!P$1160</f>
        <v>15451</v>
      </c>
      <c r="O2192" s="13">
        <f>Github!Q$1160</f>
        <v>26421</v>
      </c>
    </row>
    <row r="2193">
      <c r="A2193" s="13">
        <f>Github!J$579</f>
        <v>578</v>
      </c>
      <c r="B2193" s="14" t="str">
        <f>HYPERLINK(CONCAT("http://leetcode.com/problems/",Github!C$579), Github!B$579)</f>
        <v>Get Highest Answer Rate Question</v>
      </c>
      <c r="C2193" s="13">
        <f>Github!F$579</f>
        <v>102</v>
      </c>
      <c r="D2193" s="13">
        <f>Github!G$579</f>
        <v>878</v>
      </c>
      <c r="E2193" s="13">
        <f>Github!F$579+Github!G$579</f>
        <v>980</v>
      </c>
      <c r="F2193" s="15">
        <f t="shared" si="1"/>
        <v>0.12</v>
      </c>
      <c r="G2193" s="13" t="str">
        <f>ROUND(Github!O$579, 2)&amp;"%"</f>
        <v>41.23%</v>
      </c>
      <c r="H2193" s="13" t="str">
        <f>Github!H$579</f>
        <v>Database</v>
      </c>
      <c r="I2193" s="16" t="str">
        <f>SUBSTITUTE(Github!L$579, ";", ", ")</f>
        <v>Database, </v>
      </c>
      <c r="J2193" s="13" t="str">
        <f>Github!E$579</f>
        <v>Medium</v>
      </c>
      <c r="K2193" s="13" t="str">
        <f>IF(TRIM(Github!D$579)="TRUE","FALSE","TRUE")</f>
        <v>FALSE</v>
      </c>
      <c r="L2193" s="13" t="b">
        <f>Github!M$579</f>
        <v>0</v>
      </c>
      <c r="M2193" s="13" t="b">
        <f>Github!N$579</f>
        <v>0</v>
      </c>
      <c r="N2193" s="13">
        <f>Github!P$579</f>
        <v>46208</v>
      </c>
      <c r="O2193" s="13">
        <f>Github!Q$579</f>
        <v>112083</v>
      </c>
    </row>
    <row r="2194">
      <c r="A2194" s="13">
        <f>Github!J$1973</f>
        <v>1972</v>
      </c>
      <c r="B2194" s="14" t="str">
        <f>HYPERLINK(CONCAT("http://leetcode.com/problems/",Github!C$1973), Github!B$1973)</f>
        <v>First and Last Call On the Same Day</v>
      </c>
      <c r="C2194" s="13">
        <f>Github!F$1973</f>
        <v>105</v>
      </c>
      <c r="D2194" s="13">
        <f>Github!G$1973</f>
        <v>34</v>
      </c>
      <c r="E2194" s="13">
        <f>Github!F$1973+Github!G$1973</f>
        <v>139</v>
      </c>
      <c r="F2194" s="15">
        <f t="shared" si="1"/>
        <v>3.09</v>
      </c>
      <c r="G2194" s="13" t="str">
        <f>ROUND(Github!O$1973, 2)&amp;"%"</f>
        <v>53.22%</v>
      </c>
      <c r="H2194" s="13" t="str">
        <f>Github!H$1973</f>
        <v>Database</v>
      </c>
      <c r="I2194" s="16" t="str">
        <f>SUBSTITUTE(Github!L$1973, ";", ", ")</f>
        <v>Database, </v>
      </c>
      <c r="J2194" s="13" t="str">
        <f>Github!E$1973</f>
        <v>Hard</v>
      </c>
      <c r="K2194" s="13" t="str">
        <f>IF(TRIM(Github!D$1973)="TRUE","FALSE","TRUE")</f>
        <v>FALSE</v>
      </c>
      <c r="L2194" s="13" t="b">
        <f>Github!M$1973</f>
        <v>0</v>
      </c>
      <c r="M2194" s="13" t="b">
        <f>Github!N$1973</f>
        <v>0</v>
      </c>
      <c r="N2194" s="13">
        <f>Github!P$1973</f>
        <v>6584</v>
      </c>
      <c r="O2194" s="13">
        <f>Github!Q$1973</f>
        <v>12372</v>
      </c>
    </row>
    <row r="2195">
      <c r="A2195" s="13">
        <f>Github!J$1076</f>
        <v>1075</v>
      </c>
      <c r="B2195" s="14" t="str">
        <f>HYPERLINK(CONCAT("http://leetcode.com/problems/",Github!C$1076), Github!B$1076)</f>
        <v>Project Employees I</v>
      </c>
      <c r="C2195" s="13">
        <f>Github!F$1076</f>
        <v>101</v>
      </c>
      <c r="D2195" s="13">
        <f>Github!G$1076</f>
        <v>71</v>
      </c>
      <c r="E2195" s="13">
        <f>Github!F$1076+Github!G$1076</f>
        <v>172</v>
      </c>
      <c r="F2195" s="15">
        <f t="shared" si="1"/>
        <v>1.42</v>
      </c>
      <c r="G2195" s="13" t="str">
        <f>ROUND(Github!O$1076, 2)&amp;"%"</f>
        <v>67%</v>
      </c>
      <c r="H2195" s="13" t="str">
        <f>Github!H$1076</f>
        <v>Database</v>
      </c>
      <c r="I2195" s="16" t="str">
        <f>SUBSTITUTE(Github!L$1076, ";", ", ")</f>
        <v>Database, </v>
      </c>
      <c r="J2195" s="13" t="str">
        <f>Github!E$1076</f>
        <v>Easy</v>
      </c>
      <c r="K2195" s="13" t="str">
        <f>IF(TRIM(Github!D$1076)="TRUE","FALSE","TRUE")</f>
        <v>FALSE</v>
      </c>
      <c r="L2195" s="13" t="b">
        <f>Github!M$1076</f>
        <v>0</v>
      </c>
      <c r="M2195" s="13" t="b">
        <f>Github!N$1076</f>
        <v>0</v>
      </c>
      <c r="N2195" s="13">
        <f>Github!P$1076</f>
        <v>44728</v>
      </c>
      <c r="O2195" s="13">
        <f>Github!Q$1076</f>
        <v>66758</v>
      </c>
    </row>
    <row r="2196">
      <c r="A2196" s="13">
        <f>Github!J$1328</f>
        <v>1327</v>
      </c>
      <c r="B2196" s="14" t="str">
        <f>HYPERLINK(CONCAT("http://leetcode.com/problems/",Github!C$1328), Github!B$1328)</f>
        <v>List the Products Ordered in a Period</v>
      </c>
      <c r="C2196" s="13">
        <f>Github!F$1328</f>
        <v>97</v>
      </c>
      <c r="D2196" s="13">
        <f>Github!G$1328</f>
        <v>22</v>
      </c>
      <c r="E2196" s="13">
        <f>Github!F$1328+Github!G$1328</f>
        <v>119</v>
      </c>
      <c r="F2196" s="15">
        <f t="shared" si="1"/>
        <v>4.41</v>
      </c>
      <c r="G2196" s="13" t="str">
        <f>ROUND(Github!O$1328, 2)&amp;"%"</f>
        <v>76.99%</v>
      </c>
      <c r="H2196" s="13" t="str">
        <f>Github!H$1328</f>
        <v>Database</v>
      </c>
      <c r="I2196" s="16" t="str">
        <f>SUBSTITUTE(Github!L$1328, ";", ", ")</f>
        <v>Database, </v>
      </c>
      <c r="J2196" s="13" t="str">
        <f>Github!E$1328</f>
        <v>Easy</v>
      </c>
      <c r="K2196" s="13" t="str">
        <f>IF(TRIM(Github!D$1328)="TRUE","FALSE","TRUE")</f>
        <v>FALSE</v>
      </c>
      <c r="L2196" s="13" t="b">
        <f>Github!M$1328</f>
        <v>0</v>
      </c>
      <c r="M2196" s="13" t="b">
        <f>Github!N$1328</f>
        <v>0</v>
      </c>
      <c r="N2196" s="13">
        <f>Github!P$1328</f>
        <v>33480</v>
      </c>
      <c r="O2196" s="13">
        <f>Github!Q$1328</f>
        <v>43485</v>
      </c>
    </row>
    <row r="2197">
      <c r="A2197" s="13">
        <f>Github!J$1959</f>
        <v>1958</v>
      </c>
      <c r="B2197" s="14" t="str">
        <f>HYPERLINK(CONCAT("http://leetcode.com/problems/",Github!C$1959), Github!B$1959)</f>
        <v>Check if Move is Legal</v>
      </c>
      <c r="C2197" s="13">
        <f>Github!F$1959</f>
        <v>99</v>
      </c>
      <c r="D2197" s="13">
        <f>Github!G$1959</f>
        <v>204</v>
      </c>
      <c r="E2197" s="13">
        <f>Github!F$1959+Github!G$1959</f>
        <v>303</v>
      </c>
      <c r="F2197" s="15">
        <f t="shared" si="1"/>
        <v>0.49</v>
      </c>
      <c r="G2197" s="13" t="str">
        <f>ROUND(Github!O$1959, 2)&amp;"%"</f>
        <v>44.89%</v>
      </c>
      <c r="H2197" s="13" t="str">
        <f>Github!H$1959</f>
        <v>Algorithms</v>
      </c>
      <c r="I2197" s="16" t="str">
        <f>SUBSTITUTE(Github!L$1959, ";", ", ")</f>
        <v>Array, Matrix, Enumeration, </v>
      </c>
      <c r="J2197" s="13" t="str">
        <f>Github!E$1959</f>
        <v>Medium</v>
      </c>
      <c r="K2197" s="13" t="str">
        <f>IF(TRIM(Github!D$1959)="TRUE","FALSE","TRUE")</f>
        <v>TRUE</v>
      </c>
      <c r="L2197" s="13" t="b">
        <f>Github!M$1959</f>
        <v>0</v>
      </c>
      <c r="M2197" s="13" t="b">
        <f>Github!N$1959</f>
        <v>0</v>
      </c>
      <c r="N2197" s="13">
        <f>Github!P$1959</f>
        <v>8392</v>
      </c>
      <c r="O2197" s="13">
        <f>Github!Q$1959</f>
        <v>18695</v>
      </c>
    </row>
    <row r="2198">
      <c r="A2198" s="13">
        <f>Github!J$1619</f>
        <v>1618</v>
      </c>
      <c r="B2198" s="14" t="str">
        <f>HYPERLINK(CONCAT("http://leetcode.com/problems/",Github!C$1619), Github!B$1619)</f>
        <v>Maximum Font to Fit a Sentence in a Screen</v>
      </c>
      <c r="C2198" s="13">
        <f>Github!F$1619</f>
        <v>99</v>
      </c>
      <c r="D2198" s="13">
        <f>Github!G$1619</f>
        <v>20</v>
      </c>
      <c r="E2198" s="13">
        <f>Github!F$1619+Github!G$1619</f>
        <v>119</v>
      </c>
      <c r="F2198" s="15">
        <f t="shared" si="1"/>
        <v>4.95</v>
      </c>
      <c r="G2198" s="13" t="str">
        <f>ROUND(Github!O$1619, 2)&amp;"%"</f>
        <v>59.3%</v>
      </c>
      <c r="H2198" s="13" t="str">
        <f>Github!H$1619</f>
        <v>Algorithms</v>
      </c>
      <c r="I2198" s="16" t="str">
        <f>SUBSTITUTE(Github!L$1619, ";", ", ")</f>
        <v>Array, String, Binary Search, Interactive, </v>
      </c>
      <c r="J2198" s="13" t="str">
        <f>Github!E$1619</f>
        <v>Medium</v>
      </c>
      <c r="K2198" s="13" t="str">
        <f>IF(TRIM(Github!D$1619)="TRUE","FALSE","TRUE")</f>
        <v>FALSE</v>
      </c>
      <c r="L2198" s="13" t="b">
        <f>Github!M$1619</f>
        <v>0</v>
      </c>
      <c r="M2198" s="13" t="b">
        <f>Github!N$1619</f>
        <v>0</v>
      </c>
      <c r="N2198" s="13">
        <f>Github!P$1619</f>
        <v>5910</v>
      </c>
      <c r="O2198" s="13">
        <f>Github!Q$1619</f>
        <v>9967</v>
      </c>
    </row>
    <row r="2199">
      <c r="A2199" s="13">
        <f>Github!J$1427</f>
        <v>1426</v>
      </c>
      <c r="B2199" s="14" t="str">
        <f>HYPERLINK(CONCAT("http://leetcode.com/problems/",Github!C$1427), Github!B$1427)</f>
        <v>Counting Elements</v>
      </c>
      <c r="C2199" s="13">
        <f>Github!F$1427</f>
        <v>102</v>
      </c>
      <c r="D2199" s="13">
        <f>Github!G$1427</f>
        <v>25</v>
      </c>
      <c r="E2199" s="13">
        <f>Github!F$1427+Github!G$1427</f>
        <v>127</v>
      </c>
      <c r="F2199" s="15">
        <f t="shared" si="1"/>
        <v>4.08</v>
      </c>
      <c r="G2199" s="13" t="str">
        <f>ROUND(Github!O$1427, 2)&amp;"%"</f>
        <v>59.67%</v>
      </c>
      <c r="H2199" s="13" t="str">
        <f>Github!H$1427</f>
        <v>Algorithms</v>
      </c>
      <c r="I2199" s="16" t="str">
        <f>SUBSTITUTE(Github!L$1427, ";", ", ")</f>
        <v>Array, Hash Table, </v>
      </c>
      <c r="J2199" s="13" t="str">
        <f>Github!E$1427</f>
        <v>Easy</v>
      </c>
      <c r="K2199" s="13" t="str">
        <f>IF(TRIM(Github!D$1427)="TRUE","FALSE","TRUE")</f>
        <v>FALSE</v>
      </c>
      <c r="L2199" s="13" t="b">
        <f>Github!M$1427</f>
        <v>1</v>
      </c>
      <c r="M2199" s="13" t="b">
        <f>Github!N$1427</f>
        <v>0</v>
      </c>
      <c r="N2199" s="13">
        <f>Github!P$1427</f>
        <v>95313</v>
      </c>
      <c r="O2199" s="13">
        <f>Github!Q$1427</f>
        <v>159740</v>
      </c>
    </row>
    <row r="2200">
      <c r="A2200" s="13">
        <f>Github!J$1843</f>
        <v>1842</v>
      </c>
      <c r="B2200" s="14" t="str">
        <f>HYPERLINK(CONCAT("http://leetcode.com/problems/",Github!C$1843), Github!B$1843)</f>
        <v>Next Palindrome Using Same Digits</v>
      </c>
      <c r="C2200" s="13">
        <f>Github!F$1843</f>
        <v>100</v>
      </c>
      <c r="D2200" s="13">
        <f>Github!G$1843</f>
        <v>14</v>
      </c>
      <c r="E2200" s="13">
        <f>Github!F$1843+Github!G$1843</f>
        <v>114</v>
      </c>
      <c r="F2200" s="15">
        <f t="shared" si="1"/>
        <v>7.14</v>
      </c>
      <c r="G2200" s="13" t="str">
        <f>ROUND(Github!O$1843, 2)&amp;"%"</f>
        <v>53.25%</v>
      </c>
      <c r="H2200" s="13" t="str">
        <f>Github!H$1843</f>
        <v>Algorithms</v>
      </c>
      <c r="I2200" s="16" t="str">
        <f>SUBSTITUTE(Github!L$1843, ";", ", ")</f>
        <v>Two Pointers, String, </v>
      </c>
      <c r="J2200" s="13" t="str">
        <f>Github!E$1843</f>
        <v>Hard</v>
      </c>
      <c r="K2200" s="13" t="str">
        <f>IF(TRIM(Github!D$1843)="TRUE","FALSE","TRUE")</f>
        <v>FALSE</v>
      </c>
      <c r="L2200" s="13" t="b">
        <f>Github!M$1843</f>
        <v>0</v>
      </c>
      <c r="M2200" s="13" t="b">
        <f>Github!N$1843</f>
        <v>0</v>
      </c>
      <c r="N2200" s="13">
        <f>Github!P$1843</f>
        <v>4401</v>
      </c>
      <c r="O2200" s="13">
        <f>Github!Q$1843</f>
        <v>8265</v>
      </c>
    </row>
    <row r="2201">
      <c r="A2201" s="13">
        <f>Github!J$1550</f>
        <v>1549</v>
      </c>
      <c r="B2201" s="14" t="str">
        <f>HYPERLINK(CONCAT("http://leetcode.com/problems/",Github!C$1550), Github!B$1550)</f>
        <v>The Most Recent Orders for Each Product</v>
      </c>
      <c r="C2201" s="13">
        <f>Github!F$1550</f>
        <v>99</v>
      </c>
      <c r="D2201" s="13">
        <f>Github!G$1550</f>
        <v>10</v>
      </c>
      <c r="E2201" s="13">
        <f>Github!F$1550+Github!G$1550</f>
        <v>109</v>
      </c>
      <c r="F2201" s="15">
        <f t="shared" si="1"/>
        <v>9.9</v>
      </c>
      <c r="G2201" s="13" t="str">
        <f>ROUND(Github!O$1550, 2)&amp;"%"</f>
        <v>67.72%</v>
      </c>
      <c r="H2201" s="13" t="str">
        <f>Github!H$1550</f>
        <v>Database</v>
      </c>
      <c r="I2201" s="16" t="str">
        <f>SUBSTITUTE(Github!L$1550, ";", ", ")</f>
        <v>Database, </v>
      </c>
      <c r="J2201" s="13" t="str">
        <f>Github!E$1550</f>
        <v>Medium</v>
      </c>
      <c r="K2201" s="13" t="str">
        <f>IF(TRIM(Github!D$1550)="TRUE","FALSE","TRUE")</f>
        <v>FALSE</v>
      </c>
      <c r="L2201" s="13" t="b">
        <f>Github!M$1550</f>
        <v>0</v>
      </c>
      <c r="M2201" s="13" t="b">
        <f>Github!N$1550</f>
        <v>0</v>
      </c>
      <c r="N2201" s="13">
        <f>Github!P$1550</f>
        <v>19997</v>
      </c>
      <c r="O2201" s="13">
        <f>Github!Q$1550</f>
        <v>29529</v>
      </c>
    </row>
    <row r="2202">
      <c r="A2202" s="13">
        <f>Github!J$1853</f>
        <v>1852</v>
      </c>
      <c r="B2202" s="14" t="str">
        <f>HYPERLINK(CONCAT("http://leetcode.com/problems/",Github!C$1853), Github!B$1853)</f>
        <v>Distinct Numbers in Each Subarray</v>
      </c>
      <c r="C2202" s="13">
        <f>Github!F$1853</f>
        <v>95</v>
      </c>
      <c r="D2202" s="13">
        <f>Github!G$1853</f>
        <v>7</v>
      </c>
      <c r="E2202" s="13">
        <f>Github!F$1853+Github!G$1853</f>
        <v>102</v>
      </c>
      <c r="F2202" s="15">
        <f t="shared" si="1"/>
        <v>13.57</v>
      </c>
      <c r="G2202" s="13" t="str">
        <f>ROUND(Github!O$1853, 2)&amp;"%"</f>
        <v>71.05%</v>
      </c>
      <c r="H2202" s="13" t="str">
        <f>Github!H$1853</f>
        <v>Algorithms</v>
      </c>
      <c r="I2202" s="16" t="str">
        <f>SUBSTITUTE(Github!L$1853, ";", ", ")</f>
        <v>Array, Hash Table, Sliding Window, </v>
      </c>
      <c r="J2202" s="13" t="str">
        <f>Github!E$1853</f>
        <v>Medium</v>
      </c>
      <c r="K2202" s="13" t="str">
        <f>IF(TRIM(Github!D$1853)="TRUE","FALSE","TRUE")</f>
        <v>FALSE</v>
      </c>
      <c r="L2202" s="13" t="b">
        <f>Github!M$1853</f>
        <v>0</v>
      </c>
      <c r="M2202" s="13" t="b">
        <f>Github!N$1853</f>
        <v>0</v>
      </c>
      <c r="N2202" s="13">
        <f>Github!P$1853</f>
        <v>5266</v>
      </c>
      <c r="O2202" s="13">
        <f>Github!Q$1853</f>
        <v>7412</v>
      </c>
    </row>
    <row r="2203">
      <c r="A2203" s="13">
        <f>Github!J$2084</f>
        <v>2083</v>
      </c>
      <c r="B2203" s="14" t="str">
        <f>HYPERLINK(CONCAT("http://leetcode.com/problems/",Github!C$2084), Github!B$2084)</f>
        <v>Substrings That Begin and End With the Same Letter</v>
      </c>
      <c r="C2203" s="13">
        <f>Github!F$2084</f>
        <v>94</v>
      </c>
      <c r="D2203" s="13">
        <f>Github!G$2084</f>
        <v>4</v>
      </c>
      <c r="E2203" s="13">
        <f>Github!F$2084+Github!G$2084</f>
        <v>98</v>
      </c>
      <c r="F2203" s="15">
        <f t="shared" si="1"/>
        <v>23.5</v>
      </c>
      <c r="G2203" s="13" t="str">
        <f>ROUND(Github!O$2084, 2)&amp;"%"</f>
        <v>68.03%</v>
      </c>
      <c r="H2203" s="13" t="str">
        <f>Github!H$2084</f>
        <v>Algorithms</v>
      </c>
      <c r="I2203" s="16" t="str">
        <f>SUBSTITUTE(Github!L$2084, ";", ", ")</f>
        <v>Hash Table, Math, String, Counting, Prefix Sum, </v>
      </c>
      <c r="J2203" s="13" t="str">
        <f>Github!E$2084</f>
        <v>Medium</v>
      </c>
      <c r="K2203" s="13" t="str">
        <f>IF(TRIM(Github!D$2084)="TRUE","FALSE","TRUE")</f>
        <v>FALSE</v>
      </c>
      <c r="L2203" s="13" t="b">
        <f>Github!M$2084</f>
        <v>0</v>
      </c>
      <c r="M2203" s="13" t="b">
        <f>Github!N$2084</f>
        <v>0</v>
      </c>
      <c r="N2203" s="13">
        <f>Github!P$2084</f>
        <v>4919</v>
      </c>
      <c r="O2203" s="13">
        <f>Github!Q$2084</f>
        <v>7231</v>
      </c>
    </row>
    <row r="2204">
      <c r="A2204" s="13">
        <f>Github!J$470</f>
        <v>469</v>
      </c>
      <c r="B2204" s="14" t="str">
        <f>HYPERLINK(CONCAT("http://leetcode.com/problems/",Github!C$470), Github!B$470)</f>
        <v>Convex Polygon</v>
      </c>
      <c r="C2204" s="13">
        <f>Github!F$470</f>
        <v>92</v>
      </c>
      <c r="D2204" s="13">
        <f>Github!G$470</f>
        <v>227</v>
      </c>
      <c r="E2204" s="13">
        <f>Github!F$470+Github!G$470</f>
        <v>319</v>
      </c>
      <c r="F2204" s="15">
        <f t="shared" si="1"/>
        <v>0.41</v>
      </c>
      <c r="G2204" s="13" t="str">
        <f>ROUND(Github!O$470, 2)&amp;"%"</f>
        <v>38.56%</v>
      </c>
      <c r="H2204" s="13" t="str">
        <f>Github!H$470</f>
        <v>Algorithms</v>
      </c>
      <c r="I2204" s="16" t="str">
        <f>SUBSTITUTE(Github!L$470, ";", ", ")</f>
        <v>Math, Geometry, </v>
      </c>
      <c r="J2204" s="13" t="str">
        <f>Github!E$470</f>
        <v>Medium</v>
      </c>
      <c r="K2204" s="13" t="str">
        <f>IF(TRIM(Github!D$470)="TRUE","FALSE","TRUE")</f>
        <v>FALSE</v>
      </c>
      <c r="L2204" s="13" t="b">
        <f>Github!M$470</f>
        <v>0</v>
      </c>
      <c r="M2204" s="13" t="b">
        <f>Github!N$470</f>
        <v>0</v>
      </c>
      <c r="N2204" s="13">
        <f>Github!P$470</f>
        <v>9904</v>
      </c>
      <c r="O2204" s="13">
        <f>Github!Q$470</f>
        <v>25685</v>
      </c>
    </row>
    <row r="2205">
      <c r="A2205" s="13">
        <f>Github!J$1608</f>
        <v>1607</v>
      </c>
      <c r="B2205" s="14" t="str">
        <f>HYPERLINK(CONCAT("http://leetcode.com/problems/",Github!C$1608), Github!B$1608)</f>
        <v>Sellers With No Sales</v>
      </c>
      <c r="C2205" s="13">
        <f>Github!F$1608</f>
        <v>92</v>
      </c>
      <c r="D2205" s="13">
        <f>Github!G$1608</f>
        <v>11</v>
      </c>
      <c r="E2205" s="13">
        <f>Github!F$1608+Github!G$1608</f>
        <v>103</v>
      </c>
      <c r="F2205" s="15">
        <f t="shared" si="1"/>
        <v>8.36</v>
      </c>
      <c r="G2205" s="13" t="str">
        <f>ROUND(Github!O$1608, 2)&amp;"%"</f>
        <v>55.37%</v>
      </c>
      <c r="H2205" s="13" t="str">
        <f>Github!H$1608</f>
        <v>Database</v>
      </c>
      <c r="I2205" s="16" t="str">
        <f>SUBSTITUTE(Github!L$1608, ";", ", ")</f>
        <v>Database, </v>
      </c>
      <c r="J2205" s="13" t="str">
        <f>Github!E$1608</f>
        <v>Easy</v>
      </c>
      <c r="K2205" s="13" t="str">
        <f>IF(TRIM(Github!D$1608)="TRUE","FALSE","TRUE")</f>
        <v>FALSE</v>
      </c>
      <c r="L2205" s="13" t="b">
        <f>Github!M$1608</f>
        <v>0</v>
      </c>
      <c r="M2205" s="13" t="b">
        <f>Github!N$1608</f>
        <v>0</v>
      </c>
      <c r="N2205" s="13">
        <f>Github!P$1608</f>
        <v>22001</v>
      </c>
      <c r="O2205" s="13">
        <f>Github!Q$1608</f>
        <v>39734</v>
      </c>
    </row>
    <row r="2206">
      <c r="A2206" s="13">
        <f>Github!J$1732</f>
        <v>1731</v>
      </c>
      <c r="B2206" s="14" t="str">
        <f>HYPERLINK(CONCAT("http://leetcode.com/problems/",Github!C$1732), Github!B$1732)</f>
        <v>The Number of Employees Which Report to Each Employee</v>
      </c>
      <c r="C2206" s="13">
        <f>Github!F$1732</f>
        <v>88</v>
      </c>
      <c r="D2206" s="13">
        <f>Github!G$1732</f>
        <v>28</v>
      </c>
      <c r="E2206" s="13">
        <f>Github!F$1732+Github!G$1732</f>
        <v>116</v>
      </c>
      <c r="F2206" s="15">
        <f t="shared" si="1"/>
        <v>3.14</v>
      </c>
      <c r="G2206" s="13" t="str">
        <f>ROUND(Github!O$1732, 2)&amp;"%"</f>
        <v>50.02%</v>
      </c>
      <c r="H2206" s="13" t="str">
        <f>Github!H$1732</f>
        <v>Database</v>
      </c>
      <c r="I2206" s="16" t="str">
        <f>SUBSTITUTE(Github!L$1732, ";", ", ")</f>
        <v>Database, </v>
      </c>
      <c r="J2206" s="13" t="str">
        <f>Github!E$1732</f>
        <v>Easy</v>
      </c>
      <c r="K2206" s="13" t="str">
        <f>IF(TRIM(Github!D$1732)="TRUE","FALSE","TRUE")</f>
        <v>FALSE</v>
      </c>
      <c r="L2206" s="13" t="b">
        <f>Github!M$1732</f>
        <v>0</v>
      </c>
      <c r="M2206" s="13" t="b">
        <f>Github!N$1732</f>
        <v>0</v>
      </c>
      <c r="N2206" s="13">
        <f>Github!P$1732</f>
        <v>16338</v>
      </c>
      <c r="O2206" s="13">
        <f>Github!Q$1732</f>
        <v>32664</v>
      </c>
    </row>
    <row r="2207">
      <c r="A2207" s="13">
        <f>Github!J$1143</f>
        <v>1142</v>
      </c>
      <c r="B2207" s="14" t="str">
        <f>HYPERLINK(CONCAT("http://leetcode.com/problems/",Github!C$1143), Github!B$1143)</f>
        <v>User Activity for the Past 30 Days II</v>
      </c>
      <c r="C2207" s="13">
        <f>Github!F$1143</f>
        <v>87</v>
      </c>
      <c r="D2207" s="13">
        <f>Github!G$1143</f>
        <v>329</v>
      </c>
      <c r="E2207" s="13">
        <f>Github!F$1143+Github!G$1143</f>
        <v>416</v>
      </c>
      <c r="F2207" s="15">
        <f t="shared" si="1"/>
        <v>0.26</v>
      </c>
      <c r="G2207" s="13" t="str">
        <f>ROUND(Github!O$1143, 2)&amp;"%"</f>
        <v>35.94%</v>
      </c>
      <c r="H2207" s="13" t="str">
        <f>Github!H$1143</f>
        <v>Database</v>
      </c>
      <c r="I2207" s="16" t="str">
        <f>SUBSTITUTE(Github!L$1143, ";", ", ")</f>
        <v>Database, </v>
      </c>
      <c r="J2207" s="13" t="str">
        <f>Github!E$1143</f>
        <v>Easy</v>
      </c>
      <c r="K2207" s="13" t="str">
        <f>IF(TRIM(Github!D$1143)="TRUE","FALSE","TRUE")</f>
        <v>FALSE</v>
      </c>
      <c r="L2207" s="13" t="b">
        <f>Github!M$1143</f>
        <v>0</v>
      </c>
      <c r="M2207" s="13" t="b">
        <f>Github!N$1143</f>
        <v>0</v>
      </c>
      <c r="N2207" s="13">
        <f>Github!P$1143</f>
        <v>35695</v>
      </c>
      <c r="O2207" s="13">
        <f>Github!Q$1143</f>
        <v>99324</v>
      </c>
    </row>
    <row r="2208">
      <c r="A2208" s="13">
        <f>Github!J$1634</f>
        <v>1633</v>
      </c>
      <c r="B2208" s="14" t="str">
        <f>HYPERLINK(CONCAT("http://leetcode.com/problems/",Github!C$1634), Github!B$1634)</f>
        <v>Percentage of Users Attended a Contest</v>
      </c>
      <c r="C2208" s="13">
        <f>Github!F$1634</f>
        <v>87</v>
      </c>
      <c r="D2208" s="13">
        <f>Github!G$1634</f>
        <v>21</v>
      </c>
      <c r="E2208" s="13">
        <f>Github!F$1634+Github!G$1634</f>
        <v>108</v>
      </c>
      <c r="F2208" s="15">
        <f t="shared" si="1"/>
        <v>4.14</v>
      </c>
      <c r="G2208" s="13" t="str">
        <f>ROUND(Github!O$1634, 2)&amp;"%"</f>
        <v>68.11%</v>
      </c>
      <c r="H2208" s="13" t="str">
        <f>Github!H$1634</f>
        <v>Database</v>
      </c>
      <c r="I2208" s="16" t="str">
        <f>SUBSTITUTE(Github!L$1634, ";", ", ")</f>
        <v>Database, </v>
      </c>
      <c r="J2208" s="13" t="str">
        <f>Github!E$1634</f>
        <v>Easy</v>
      </c>
      <c r="K2208" s="13" t="str">
        <f>IF(TRIM(Github!D$1634)="TRUE","FALSE","TRUE")</f>
        <v>FALSE</v>
      </c>
      <c r="L2208" s="13" t="b">
        <f>Github!M$1634</f>
        <v>0</v>
      </c>
      <c r="M2208" s="13" t="b">
        <f>Github!N$1634</f>
        <v>0</v>
      </c>
      <c r="N2208" s="13">
        <f>Github!P$1634</f>
        <v>20470</v>
      </c>
      <c r="O2208" s="13">
        <f>Github!Q$1634</f>
        <v>30053</v>
      </c>
    </row>
    <row r="2209">
      <c r="A2209" s="13">
        <f>Github!J$1709</f>
        <v>1708</v>
      </c>
      <c r="B2209" s="14" t="str">
        <f>HYPERLINK(CONCAT("http://leetcode.com/problems/",Github!C$1709), Github!B$1709)</f>
        <v>Largest Subarray Length K</v>
      </c>
      <c r="C2209" s="13">
        <f>Github!F$1709</f>
        <v>85</v>
      </c>
      <c r="D2209" s="13">
        <f>Github!G$1709</f>
        <v>102</v>
      </c>
      <c r="E2209" s="13">
        <f>Github!F$1709+Github!G$1709</f>
        <v>187</v>
      </c>
      <c r="F2209" s="15">
        <f t="shared" si="1"/>
        <v>0.83</v>
      </c>
      <c r="G2209" s="13" t="str">
        <f>ROUND(Github!O$1709, 2)&amp;"%"</f>
        <v>63.76%</v>
      </c>
      <c r="H2209" s="13" t="str">
        <f>Github!H$1709</f>
        <v>Algorithms</v>
      </c>
      <c r="I2209" s="16" t="str">
        <f>SUBSTITUTE(Github!L$1709, ";", ", ")</f>
        <v>Array, Greedy, </v>
      </c>
      <c r="J2209" s="13" t="str">
        <f>Github!E$1709</f>
        <v>Easy</v>
      </c>
      <c r="K2209" s="13" t="str">
        <f>IF(TRIM(Github!D$1709)="TRUE","FALSE","TRUE")</f>
        <v>FALSE</v>
      </c>
      <c r="L2209" s="13" t="b">
        <f>Github!M$1709</f>
        <v>0</v>
      </c>
      <c r="M2209" s="13" t="b">
        <f>Github!N$1709</f>
        <v>0</v>
      </c>
      <c r="N2209" s="13">
        <f>Github!P$1709</f>
        <v>6782</v>
      </c>
      <c r="O2209" s="13">
        <f>Github!Q$1709</f>
        <v>10637</v>
      </c>
    </row>
    <row r="2210">
      <c r="A2210" s="13">
        <f>Github!J$1071</f>
        <v>1070</v>
      </c>
      <c r="B2210" s="14" t="str">
        <f>HYPERLINK(CONCAT("http://leetcode.com/problems/",Github!C$1071), Github!B$1071)</f>
        <v>Product Sales Analysis III</v>
      </c>
      <c r="C2210" s="13">
        <f>Github!F$1071</f>
        <v>87</v>
      </c>
      <c r="D2210" s="13">
        <f>Github!G$1071</f>
        <v>331</v>
      </c>
      <c r="E2210" s="13">
        <f>Github!F$1071+Github!G$1071</f>
        <v>418</v>
      </c>
      <c r="F2210" s="15">
        <f t="shared" si="1"/>
        <v>0.26</v>
      </c>
      <c r="G2210" s="13" t="str">
        <f>ROUND(Github!O$1071, 2)&amp;"%"</f>
        <v>48.98%</v>
      </c>
      <c r="H2210" s="13" t="str">
        <f>Github!H$1071</f>
        <v>Database</v>
      </c>
      <c r="I2210" s="16" t="str">
        <f>SUBSTITUTE(Github!L$1071, ";", ", ")</f>
        <v>Database, </v>
      </c>
      <c r="J2210" s="13" t="str">
        <f>Github!E$1071</f>
        <v>Medium</v>
      </c>
      <c r="K2210" s="13" t="str">
        <f>IF(TRIM(Github!D$1071)="TRUE","FALSE","TRUE")</f>
        <v>FALSE</v>
      </c>
      <c r="L2210" s="13" t="b">
        <f>Github!M$1071</f>
        <v>0</v>
      </c>
      <c r="M2210" s="13" t="b">
        <f>Github!N$1071</f>
        <v>0</v>
      </c>
      <c r="N2210" s="13">
        <f>Github!P$1071</f>
        <v>36086</v>
      </c>
      <c r="O2210" s="13">
        <f>Github!Q$1071</f>
        <v>73673</v>
      </c>
    </row>
    <row r="2211">
      <c r="A2211" s="13">
        <f>Github!J$1379</f>
        <v>1378</v>
      </c>
      <c r="B2211" s="14" t="str">
        <f>HYPERLINK(CONCAT("http://leetcode.com/problems/",Github!C$1379), Github!B$1379)</f>
        <v>Replace Employee ID With The Unique Identifier</v>
      </c>
      <c r="C2211" s="13">
        <f>Github!F$1379</f>
        <v>85</v>
      </c>
      <c r="D2211" s="13">
        <f>Github!G$1379</f>
        <v>33</v>
      </c>
      <c r="E2211" s="13">
        <f>Github!F$1379+Github!G$1379</f>
        <v>118</v>
      </c>
      <c r="F2211" s="15">
        <f t="shared" si="1"/>
        <v>2.58</v>
      </c>
      <c r="G2211" s="13" t="str">
        <f>ROUND(Github!O$1379, 2)&amp;"%"</f>
        <v>91.4%</v>
      </c>
      <c r="H2211" s="13" t="str">
        <f>Github!H$1379</f>
        <v>Database</v>
      </c>
      <c r="I2211" s="16" t="str">
        <f>SUBSTITUTE(Github!L$1379, ";", ", ")</f>
        <v>Database, </v>
      </c>
      <c r="J2211" s="13" t="str">
        <f>Github!E$1379</f>
        <v>Easy</v>
      </c>
      <c r="K2211" s="13" t="str">
        <f>IF(TRIM(Github!D$1379)="TRUE","FALSE","TRUE")</f>
        <v>FALSE</v>
      </c>
      <c r="L2211" s="13" t="b">
        <f>Github!M$1379</f>
        <v>0</v>
      </c>
      <c r="M2211" s="13" t="b">
        <f>Github!N$1379</f>
        <v>0</v>
      </c>
      <c r="N2211" s="13">
        <f>Github!P$1379</f>
        <v>33905</v>
      </c>
      <c r="O2211" s="13">
        <f>Github!Q$1379</f>
        <v>37096</v>
      </c>
    </row>
    <row r="2212">
      <c r="A2212" s="13">
        <f>Github!J$1600</f>
        <v>1599</v>
      </c>
      <c r="B2212" s="14" t="str">
        <f>HYPERLINK(CONCAT("http://leetcode.com/problems/",Github!C$1600), Github!B$1600)</f>
        <v>Maximum Profit of Operating a Centennial Wheel</v>
      </c>
      <c r="C2212" s="13">
        <f>Github!F$1600</f>
        <v>85</v>
      </c>
      <c r="D2212" s="13">
        <f>Github!G$1600</f>
        <v>223</v>
      </c>
      <c r="E2212" s="13">
        <f>Github!F$1600+Github!G$1600</f>
        <v>308</v>
      </c>
      <c r="F2212" s="15">
        <f t="shared" si="1"/>
        <v>0.38</v>
      </c>
      <c r="G2212" s="13" t="str">
        <f>ROUND(Github!O$1600, 2)&amp;"%"</f>
        <v>43.58%</v>
      </c>
      <c r="H2212" s="13" t="str">
        <f>Github!H$1600</f>
        <v>Algorithms</v>
      </c>
      <c r="I2212" s="16" t="str">
        <f>SUBSTITUTE(Github!L$1600, ";", ", ")</f>
        <v>Array, Simulation, </v>
      </c>
      <c r="J2212" s="13" t="str">
        <f>Github!E$1600</f>
        <v>Medium</v>
      </c>
      <c r="K2212" s="13" t="str">
        <f>IF(TRIM(Github!D$1600)="TRUE","FALSE","TRUE")</f>
        <v>TRUE</v>
      </c>
      <c r="L2212" s="13" t="b">
        <f>Github!M$1600</f>
        <v>0</v>
      </c>
      <c r="M2212" s="13" t="b">
        <f>Github!N$1600</f>
        <v>0</v>
      </c>
      <c r="N2212" s="13">
        <f>Github!P$1600</f>
        <v>10511</v>
      </c>
      <c r="O2212" s="13">
        <f>Github!Q$1600</f>
        <v>24121</v>
      </c>
    </row>
    <row r="2213">
      <c r="A2213" s="13">
        <f>Github!J$1114</f>
        <v>1113</v>
      </c>
      <c r="B2213" s="14" t="str">
        <f>HYPERLINK(CONCAT("http://leetcode.com/problems/",Github!C$1114), Github!B$1114)</f>
        <v>Reported Posts</v>
      </c>
      <c r="C2213" s="13">
        <f>Github!F$1114</f>
        <v>83</v>
      </c>
      <c r="D2213" s="13">
        <f>Github!G$1114</f>
        <v>341</v>
      </c>
      <c r="E2213" s="13">
        <f>Github!F$1114+Github!G$1114</f>
        <v>424</v>
      </c>
      <c r="F2213" s="15">
        <f t="shared" si="1"/>
        <v>0.24</v>
      </c>
      <c r="G2213" s="13" t="str">
        <f>ROUND(Github!O$1114, 2)&amp;"%"</f>
        <v>66.01%</v>
      </c>
      <c r="H2213" s="13" t="str">
        <f>Github!H$1114</f>
        <v>Database</v>
      </c>
      <c r="I2213" s="16" t="str">
        <f>SUBSTITUTE(Github!L$1114, ";", ", ")</f>
        <v>Database, </v>
      </c>
      <c r="J2213" s="13" t="str">
        <f>Github!E$1114</f>
        <v>Easy</v>
      </c>
      <c r="K2213" s="13" t="str">
        <f>IF(TRIM(Github!D$1114)="TRUE","FALSE","TRUE")</f>
        <v>FALSE</v>
      </c>
      <c r="L2213" s="13" t="b">
        <f>Github!M$1114</f>
        <v>0</v>
      </c>
      <c r="M2213" s="13" t="b">
        <f>Github!N$1114</f>
        <v>0</v>
      </c>
      <c r="N2213" s="13">
        <f>Github!P$1114</f>
        <v>38978</v>
      </c>
      <c r="O2213" s="13">
        <f>Github!Q$1114</f>
        <v>59051</v>
      </c>
    </row>
    <row r="2214">
      <c r="A2214" s="13">
        <f>Github!J$2292</f>
        <v>2291</v>
      </c>
      <c r="B2214" s="14" t="str">
        <f>HYPERLINK(CONCAT("http://leetcode.com/problems/",Github!C$2292), Github!B$2292)</f>
        <v>Maximum Profit From Trading Stocks</v>
      </c>
      <c r="C2214" s="13">
        <f>Github!F$2292</f>
        <v>89</v>
      </c>
      <c r="D2214" s="13">
        <f>Github!G$2292</f>
        <v>2</v>
      </c>
      <c r="E2214" s="13">
        <f>Github!F$2292+Github!G$2292</f>
        <v>91</v>
      </c>
      <c r="F2214" s="15">
        <f t="shared" si="1"/>
        <v>44.5</v>
      </c>
      <c r="G2214" s="13" t="str">
        <f>ROUND(Github!O$2292, 2)&amp;"%"</f>
        <v>45.33%</v>
      </c>
      <c r="H2214" s="13" t="str">
        <f>Github!H2292</f>
        <v>Algorithms</v>
      </c>
      <c r="I2214" s="16" t="str">
        <f>SUBSTITUTE(Github!L$2292, ";", ", ")</f>
        <v>Array, Dynamic Programming, </v>
      </c>
      <c r="J2214" s="13" t="str">
        <f>Github!E$2292</f>
        <v>Medium</v>
      </c>
      <c r="K2214" s="13" t="str">
        <f>IF(TRIM(Github!D$2292)="TRUE","FALSE","TRUE")</f>
        <v>FALSE</v>
      </c>
      <c r="L2214" s="13" t="b">
        <f>Github!M$2292</f>
        <v>0</v>
      </c>
      <c r="M2214" s="13" t="b">
        <f>Github!N$2292</f>
        <v>0</v>
      </c>
      <c r="N2214" s="13">
        <f>Github!P$2292</f>
        <v>2842</v>
      </c>
      <c r="O2214" s="13">
        <f>Github!Q$2292</f>
        <v>6269</v>
      </c>
    </row>
    <row r="2215">
      <c r="A2215" s="13">
        <f>Github!J$2078</f>
        <v>2077</v>
      </c>
      <c r="B2215" s="14" t="str">
        <f>HYPERLINK(CONCAT("http://leetcode.com/problems/",Github!C$2078), Github!B$2078)</f>
        <v>Paths in Maze That Lead to Same Room</v>
      </c>
      <c r="C2215" s="13">
        <f>Github!F$2078</f>
        <v>93</v>
      </c>
      <c r="D2215" s="13">
        <f>Github!G$2078</f>
        <v>6</v>
      </c>
      <c r="E2215" s="13">
        <f>Github!F$2078+Github!G$2078</f>
        <v>99</v>
      </c>
      <c r="F2215" s="15">
        <f t="shared" si="1"/>
        <v>15.5</v>
      </c>
      <c r="G2215" s="13" t="str">
        <f>ROUND(Github!O$2078, 2)&amp;"%"</f>
        <v>55.76%</v>
      </c>
      <c r="H2215" s="13" t="str">
        <f>Github!H$2078</f>
        <v>Algorithms</v>
      </c>
      <c r="I2215" s="16" t="str">
        <f>SUBSTITUTE(Github!L$2078, ";", ", ")</f>
        <v>Graph, </v>
      </c>
      <c r="J2215" s="13" t="str">
        <f>Github!E$2078</f>
        <v>Medium</v>
      </c>
      <c r="K2215" s="13" t="str">
        <f>IF(TRIM(Github!D$2078)="TRUE","FALSE","TRUE")</f>
        <v>FALSE</v>
      </c>
      <c r="L2215" s="13" t="b">
        <f>Github!M$2078</f>
        <v>0</v>
      </c>
      <c r="M2215" s="13" t="b">
        <f>Github!N$2078</f>
        <v>0</v>
      </c>
      <c r="N2215" s="13">
        <f>Github!P$2078</f>
        <v>2756</v>
      </c>
      <c r="O2215" s="13">
        <f>Github!Q$2078</f>
        <v>4943</v>
      </c>
    </row>
    <row r="2216">
      <c r="A2216" s="13">
        <f>Github!J$1842</f>
        <v>1841</v>
      </c>
      <c r="B2216" s="14" t="str">
        <f>HYPERLINK(CONCAT("http://leetcode.com/problems/",Github!C$1842), Github!B$1842)</f>
        <v>League Statistics</v>
      </c>
      <c r="C2216" s="13">
        <f>Github!F$1842</f>
        <v>86</v>
      </c>
      <c r="D2216" s="13">
        <f>Github!G$1842</f>
        <v>76</v>
      </c>
      <c r="E2216" s="13">
        <f>Github!F$1842+Github!G$1842</f>
        <v>162</v>
      </c>
      <c r="F2216" s="15">
        <f t="shared" si="1"/>
        <v>1.13</v>
      </c>
      <c r="G2216" s="13" t="str">
        <f>ROUND(Github!O$1842, 2)&amp;"%"</f>
        <v>56.74%</v>
      </c>
      <c r="H2216" s="13" t="str">
        <f>Github!H$1842</f>
        <v>Database</v>
      </c>
      <c r="I2216" s="16" t="str">
        <f>SUBSTITUTE(Github!L$1842, ";", ", ")</f>
        <v>Database, </v>
      </c>
      <c r="J2216" s="13" t="str">
        <f>Github!E$1842</f>
        <v>Medium</v>
      </c>
      <c r="K2216" s="13" t="str">
        <f>IF(TRIM(Github!D$1842)="TRUE","FALSE","TRUE")</f>
        <v>FALSE</v>
      </c>
      <c r="L2216" s="13" t="b">
        <f>Github!M$1842</f>
        <v>0</v>
      </c>
      <c r="M2216" s="13" t="b">
        <f>Github!N$1842</f>
        <v>0</v>
      </c>
      <c r="N2216" s="13">
        <f>Github!P$1842</f>
        <v>9946</v>
      </c>
      <c r="O2216" s="13">
        <f>Github!Q$1842</f>
        <v>17528</v>
      </c>
    </row>
    <row r="2217">
      <c r="A2217" s="13">
        <f>Github!J$1790</f>
        <v>1789</v>
      </c>
      <c r="B2217" s="14" t="str">
        <f>HYPERLINK(CONCAT("http://leetcode.com/problems/",Github!C$1790), Github!B$1790)</f>
        <v>Primary Department for Each Employee</v>
      </c>
      <c r="C2217" s="13">
        <f>Github!F$1790</f>
        <v>83</v>
      </c>
      <c r="D2217" s="13">
        <f>Github!G$1790</f>
        <v>40</v>
      </c>
      <c r="E2217" s="13">
        <f>Github!F$1790+Github!G$1790</f>
        <v>123</v>
      </c>
      <c r="F2217" s="15">
        <f t="shared" si="1"/>
        <v>2.08</v>
      </c>
      <c r="G2217" s="13" t="str">
        <f>ROUND(Github!O$1790, 2)&amp;"%"</f>
        <v>79.82%</v>
      </c>
      <c r="H2217" s="13" t="str">
        <f>Github!H$1790</f>
        <v>Database</v>
      </c>
      <c r="I2217" s="16" t="str">
        <f>SUBSTITUTE(Github!L$1790, ";", ", ")</f>
        <v>Database, </v>
      </c>
      <c r="J2217" s="13" t="str">
        <f>Github!E$1790</f>
        <v>Easy</v>
      </c>
      <c r="K2217" s="13" t="str">
        <f>IF(TRIM(Github!D$1790)="TRUE","FALSE","TRUE")</f>
        <v>FALSE</v>
      </c>
      <c r="L2217" s="13" t="b">
        <f>Github!M$1790</f>
        <v>0</v>
      </c>
      <c r="M2217" s="13" t="b">
        <f>Github!N$1790</f>
        <v>0</v>
      </c>
      <c r="N2217" s="13">
        <f>Github!P$1790</f>
        <v>14279</v>
      </c>
      <c r="O2217" s="13">
        <f>Github!Q$1790</f>
        <v>17889</v>
      </c>
    </row>
    <row r="2218">
      <c r="A2218" s="13">
        <f>Github!J$534</f>
        <v>533</v>
      </c>
      <c r="B2218" s="14" t="str">
        <f>HYPERLINK(CONCAT("http://leetcode.com/problems/",Github!C$534), Github!B$534)</f>
        <v>Lonely Pixel II</v>
      </c>
      <c r="C2218" s="13">
        <f>Github!F$534</f>
        <v>79</v>
      </c>
      <c r="D2218" s="13">
        <f>Github!G$534</f>
        <v>726</v>
      </c>
      <c r="E2218" s="13">
        <f>Github!F$534+Github!G$534</f>
        <v>805</v>
      </c>
      <c r="F2218" s="15">
        <f t="shared" si="1"/>
        <v>0.11</v>
      </c>
      <c r="G2218" s="13" t="str">
        <f>ROUND(Github!O$534, 2)&amp;"%"</f>
        <v>48.52%</v>
      </c>
      <c r="H2218" s="13" t="str">
        <f>Github!H$534</f>
        <v>Algorithms</v>
      </c>
      <c r="I2218" s="16" t="str">
        <f>SUBSTITUTE(Github!L$534, ";", ", ")</f>
        <v>Array, Hash Table, Matrix, </v>
      </c>
      <c r="J2218" s="13" t="str">
        <f>Github!E$534</f>
        <v>Medium</v>
      </c>
      <c r="K2218" s="13" t="str">
        <f>IF(TRIM(Github!D$534)="TRUE","FALSE","TRUE")</f>
        <v>FALSE</v>
      </c>
      <c r="L2218" s="13" t="b">
        <f>Github!M$534</f>
        <v>0</v>
      </c>
      <c r="M2218" s="13" t="b">
        <f>Github!N$534</f>
        <v>0</v>
      </c>
      <c r="N2218" s="13">
        <f>Github!P$534</f>
        <v>12606</v>
      </c>
      <c r="O2218" s="13">
        <f>Github!Q$534</f>
        <v>25982</v>
      </c>
    </row>
    <row r="2219">
      <c r="A2219" s="13">
        <f>Github!J$973</f>
        <v>972</v>
      </c>
      <c r="B2219" s="14" t="str">
        <f>HYPERLINK(CONCAT("http://leetcode.com/problems/",Github!C$973), Github!B$973)</f>
        <v>Equal Rational Numbers</v>
      </c>
      <c r="C2219" s="13">
        <f>Github!F$973</f>
        <v>78</v>
      </c>
      <c r="D2219" s="13">
        <f>Github!G$973</f>
        <v>199</v>
      </c>
      <c r="E2219" s="13">
        <f>Github!F$973+Github!G$973</f>
        <v>277</v>
      </c>
      <c r="F2219" s="15">
        <f t="shared" si="1"/>
        <v>0.39</v>
      </c>
      <c r="G2219" s="13" t="str">
        <f>ROUND(Github!O$973, 2)&amp;"%"</f>
        <v>43.22%</v>
      </c>
      <c r="H2219" s="13" t="str">
        <f>Github!H$973</f>
        <v>Algorithms</v>
      </c>
      <c r="I2219" s="16" t="str">
        <f>SUBSTITUTE(Github!L$973, ";", ", ")</f>
        <v>Math, String, </v>
      </c>
      <c r="J2219" s="13" t="str">
        <f>Github!E$973</f>
        <v>Hard</v>
      </c>
      <c r="K2219" s="13" t="str">
        <f>IF(TRIM(Github!D$973)="TRUE","FALSE","TRUE")</f>
        <v>TRUE</v>
      </c>
      <c r="L2219" s="13" t="b">
        <f>Github!M$973</f>
        <v>1</v>
      </c>
      <c r="M2219" s="13" t="b">
        <f>Github!N$973</f>
        <v>0</v>
      </c>
      <c r="N2219" s="13">
        <f>Github!P$973</f>
        <v>5977</v>
      </c>
      <c r="O2219" s="13">
        <f>Github!Q$973</f>
        <v>13828</v>
      </c>
    </row>
    <row r="2220">
      <c r="A2220" s="13">
        <f>Github!J$2005</f>
        <v>2004</v>
      </c>
      <c r="B2220" s="14" t="str">
        <f>HYPERLINK(CONCAT("http://leetcode.com/problems/",Github!C$2005), Github!B$2005)</f>
        <v>The Number of Seniors and Juniors to Join the Company</v>
      </c>
      <c r="C2220" s="13">
        <f>Github!F$2005</f>
        <v>84</v>
      </c>
      <c r="D2220" s="13">
        <f>Github!G$2005</f>
        <v>11</v>
      </c>
      <c r="E2220" s="13">
        <f>Github!F$2005+Github!G$2005</f>
        <v>95</v>
      </c>
      <c r="F2220" s="15">
        <f t="shared" si="1"/>
        <v>7.64</v>
      </c>
      <c r="G2220" s="13" t="str">
        <f>ROUND(Github!O$2005, 2)&amp;"%"</f>
        <v>39.71%</v>
      </c>
      <c r="H2220" s="13" t="str">
        <f>Github!H$2005</f>
        <v>Database</v>
      </c>
      <c r="I2220" s="16" t="str">
        <f>SUBSTITUTE(Github!L$2005, ";", ", ")</f>
        <v>Database, </v>
      </c>
      <c r="J2220" s="13" t="str">
        <f>Github!E$2005</f>
        <v>Hard</v>
      </c>
      <c r="K2220" s="13" t="str">
        <f>IF(TRIM(Github!D$2005)="TRUE","FALSE","TRUE")</f>
        <v>FALSE</v>
      </c>
      <c r="L2220" s="13" t="b">
        <f>Github!M$2005</f>
        <v>0</v>
      </c>
      <c r="M2220" s="13" t="b">
        <f>Github!N$2005</f>
        <v>0</v>
      </c>
      <c r="N2220" s="13">
        <f>Github!P$2005</f>
        <v>5346</v>
      </c>
      <c r="O2220" s="13">
        <f>Github!Q$2005</f>
        <v>13461</v>
      </c>
    </row>
    <row r="2221">
      <c r="A2221" s="13">
        <f>Github!J$1903</f>
        <v>1902</v>
      </c>
      <c r="B2221" s="14" t="str">
        <f>HYPERLINK(CONCAT("http://leetcode.com/problems/",Github!C$1903), Github!B$1903)</f>
        <v>Depth of BST Given Insertion Order</v>
      </c>
      <c r="C2221" s="13">
        <f>Github!F$1903</f>
        <v>78</v>
      </c>
      <c r="D2221" s="13">
        <f>Github!G$1903</f>
        <v>11</v>
      </c>
      <c r="E2221" s="13">
        <f>Github!F$1903+Github!G$1903</f>
        <v>89</v>
      </c>
      <c r="F2221" s="15">
        <f t="shared" si="1"/>
        <v>7.09</v>
      </c>
      <c r="G2221" s="13" t="str">
        <f>ROUND(Github!O$1903, 2)&amp;"%"</f>
        <v>44.72%</v>
      </c>
      <c r="H2221" s="13" t="str">
        <f>Github!H$1903</f>
        <v>Algorithms</v>
      </c>
      <c r="I2221" s="16" t="str">
        <f>SUBSTITUTE(Github!L$1903, ";", ", ")</f>
        <v>Tree, Binary Search Tree, Binary Tree, Ordered Set, </v>
      </c>
      <c r="J2221" s="13" t="str">
        <f>Github!E$1903</f>
        <v>Medium</v>
      </c>
      <c r="K2221" s="13" t="str">
        <f>IF(TRIM(Github!D$1903)="TRUE","FALSE","TRUE")</f>
        <v>FALSE</v>
      </c>
      <c r="L2221" s="13" t="b">
        <f>Github!M$1903</f>
        <v>0</v>
      </c>
      <c r="M2221" s="13" t="b">
        <f>Github!N$1903</f>
        <v>0</v>
      </c>
      <c r="N2221" s="13">
        <f>Github!P$1903</f>
        <v>1733</v>
      </c>
      <c r="O2221" s="13">
        <f>Github!Q$1903</f>
        <v>3875</v>
      </c>
    </row>
    <row r="2222">
      <c r="A2222" s="13">
        <f>Github!J$1337</f>
        <v>1336</v>
      </c>
      <c r="B2222" s="14" t="str">
        <f>HYPERLINK(CONCAT("http://leetcode.com/problems/",Github!C$1337), Github!B$1337)</f>
        <v>Number of Transactions per Visit</v>
      </c>
      <c r="C2222" s="13">
        <f>Github!F$1337</f>
        <v>79</v>
      </c>
      <c r="D2222" s="13">
        <f>Github!G$1337</f>
        <v>275</v>
      </c>
      <c r="E2222" s="13">
        <f>Github!F$1337+Github!G$1337</f>
        <v>354</v>
      </c>
      <c r="F2222" s="15">
        <f t="shared" si="1"/>
        <v>0.29</v>
      </c>
      <c r="G2222" s="13" t="str">
        <f>ROUND(Github!O$1337, 2)&amp;"%"</f>
        <v>51.2%</v>
      </c>
      <c r="H2222" s="13" t="str">
        <f>Github!H$1337</f>
        <v>Database</v>
      </c>
      <c r="I2222" s="16" t="str">
        <f>SUBSTITUTE(Github!L$1337, ";", ", ")</f>
        <v>Database, </v>
      </c>
      <c r="J2222" s="13" t="str">
        <f>Github!E$1337</f>
        <v>Hard</v>
      </c>
      <c r="K2222" s="13" t="str">
        <f>IF(TRIM(Github!D$1337)="TRUE","FALSE","TRUE")</f>
        <v>FALSE</v>
      </c>
      <c r="L2222" s="13" t="b">
        <f>Github!M$1337</f>
        <v>0</v>
      </c>
      <c r="M2222" s="13" t="b">
        <f>Github!N$1337</f>
        <v>0</v>
      </c>
      <c r="N2222" s="13">
        <f>Github!P$1337</f>
        <v>10327</v>
      </c>
      <c r="O2222" s="13">
        <f>Github!Q$1337</f>
        <v>20171</v>
      </c>
    </row>
    <row r="2223">
      <c r="A2223" s="13">
        <f>Github!J$1094</f>
        <v>1093</v>
      </c>
      <c r="B2223" s="14" t="str">
        <f>HYPERLINK(CONCAT("http://leetcode.com/problems/",Github!C$1094), Github!B$1094)</f>
        <v>Statistics from a Large Sample</v>
      </c>
      <c r="C2223" s="13">
        <f>Github!F$1094</f>
        <v>79</v>
      </c>
      <c r="D2223" s="13">
        <f>Github!G$1094</f>
        <v>78</v>
      </c>
      <c r="E2223" s="13">
        <f>Github!F$1094+Github!G$1094</f>
        <v>157</v>
      </c>
      <c r="F2223" s="15">
        <f t="shared" si="1"/>
        <v>1.01</v>
      </c>
      <c r="G2223" s="13" t="str">
        <f>ROUND(Github!O$1094, 2)&amp;"%"</f>
        <v>44.13%</v>
      </c>
      <c r="H2223" s="13" t="str">
        <f>Github!H$1094</f>
        <v>Algorithms</v>
      </c>
      <c r="I2223" s="16" t="str">
        <f>SUBSTITUTE(Github!L$1094, ";", ", ")</f>
        <v>Math, Two Pointers, Probability and Statistics, </v>
      </c>
      <c r="J2223" s="13" t="str">
        <f>Github!E$1094</f>
        <v>Medium</v>
      </c>
      <c r="K2223" s="13" t="str">
        <f>IF(TRIM(Github!D$1094)="TRUE","FALSE","TRUE")</f>
        <v>TRUE</v>
      </c>
      <c r="L2223" s="13" t="b">
        <f>Github!M$1094</f>
        <v>0</v>
      </c>
      <c r="M2223" s="13" t="b">
        <f>Github!N$1094</f>
        <v>0</v>
      </c>
      <c r="N2223" s="13">
        <f>Github!P$1094</f>
        <v>15307</v>
      </c>
      <c r="O2223" s="13">
        <f>Github!Q$1094</f>
        <v>34683</v>
      </c>
    </row>
    <row r="2224">
      <c r="A2224" s="13">
        <f>Github!J$2068</f>
        <v>2067</v>
      </c>
      <c r="B2224" s="14" t="str">
        <f>HYPERLINK(CONCAT("http://leetcode.com/problems/",Github!C$2068), Github!B$2068)</f>
        <v>Number of Equal Count Substrings</v>
      </c>
      <c r="C2224" s="13">
        <f>Github!F$2068</f>
        <v>77</v>
      </c>
      <c r="D2224" s="13">
        <f>Github!G$2068</f>
        <v>6</v>
      </c>
      <c r="E2224" s="13">
        <f>Github!F$2068+Github!G$2068</f>
        <v>83</v>
      </c>
      <c r="F2224" s="15">
        <f t="shared" si="1"/>
        <v>12.83</v>
      </c>
      <c r="G2224" s="13" t="str">
        <f>ROUND(Github!O$2068, 2)&amp;"%"</f>
        <v>48.78%</v>
      </c>
      <c r="H2224" s="13" t="str">
        <f>Github!H$2068</f>
        <v>Algorithms</v>
      </c>
      <c r="I2224" s="16" t="str">
        <f>SUBSTITUTE(Github!L$2068, ";", ", ")</f>
        <v>String, Counting, Prefix Sum, </v>
      </c>
      <c r="J2224" s="13" t="str">
        <f>Github!E$2068</f>
        <v>Medium</v>
      </c>
      <c r="K2224" s="13" t="str">
        <f>IF(TRIM(Github!D$2068)="TRUE","FALSE","TRUE")</f>
        <v>FALSE</v>
      </c>
      <c r="L2224" s="13" t="b">
        <f>Github!M$2068</f>
        <v>0</v>
      </c>
      <c r="M2224" s="13" t="b">
        <f>Github!N$2068</f>
        <v>0</v>
      </c>
      <c r="N2224" s="13">
        <f>Github!P$2068</f>
        <v>1722</v>
      </c>
      <c r="O2224" s="13">
        <f>Github!Q$2068</f>
        <v>3530</v>
      </c>
    </row>
    <row r="2225">
      <c r="A2225" s="13">
        <f>Github!J$2278</f>
        <v>2277</v>
      </c>
      <c r="B2225" s="14" t="str">
        <f>HYPERLINK(CONCAT("http://leetcode.com/problems/",Github!C$2278), Github!B$2278)</f>
        <v>Closest Node to Path in Tree</v>
      </c>
      <c r="C2225" s="13">
        <f>Github!F$2278</f>
        <v>77</v>
      </c>
      <c r="D2225" s="13">
        <f>Github!G$2278</f>
        <v>1</v>
      </c>
      <c r="E2225" s="13">
        <f>Github!F$2278+Github!G$2278</f>
        <v>78</v>
      </c>
      <c r="F2225" s="15">
        <f t="shared" si="1"/>
        <v>77</v>
      </c>
      <c r="G2225" s="13" t="str">
        <f>ROUND(Github!O$2278, 2)&amp;"%"</f>
        <v>63.6%</v>
      </c>
      <c r="H2225" s="13" t="str">
        <f>Github!H2278</f>
        <v>Algorithms</v>
      </c>
      <c r="I2225" s="16" t="str">
        <f>SUBSTITUTE(Github!L$2278, ";", ", ")</f>
        <v>Array, Tree, Depth-First Search, Breadth-First Search, </v>
      </c>
      <c r="J2225" s="13" t="str">
        <f>Github!E$2278</f>
        <v>Hard</v>
      </c>
      <c r="K2225" s="13" t="str">
        <f>IF(TRIM(Github!D$2278)="TRUE","FALSE","TRUE")</f>
        <v>FALSE</v>
      </c>
      <c r="L2225" s="13" t="b">
        <f>Github!M$2278</f>
        <v>0</v>
      </c>
      <c r="M2225" s="13" t="b">
        <f>Github!N$2278</f>
        <v>0</v>
      </c>
      <c r="N2225" s="13">
        <f>Github!P$2278</f>
        <v>2306</v>
      </c>
      <c r="O2225" s="13">
        <f>Github!Q$2278</f>
        <v>3626</v>
      </c>
    </row>
    <row r="2226">
      <c r="A2226" s="13">
        <f>Github!J$1068</f>
        <v>1067</v>
      </c>
      <c r="B2226" s="14" t="str">
        <f>HYPERLINK(CONCAT("http://leetcode.com/problems/",Github!C$1068), Github!B$1068)</f>
        <v>Digit Count in Range</v>
      </c>
      <c r="C2226" s="13">
        <f>Github!F$1068</f>
        <v>76</v>
      </c>
      <c r="D2226" s="13">
        <f>Github!G$1068</f>
        <v>21</v>
      </c>
      <c r="E2226" s="13">
        <f>Github!F$1068+Github!G$1068</f>
        <v>97</v>
      </c>
      <c r="F2226" s="15">
        <f t="shared" si="1"/>
        <v>3.62</v>
      </c>
      <c r="G2226" s="13" t="str">
        <f>ROUND(Github!O$1068, 2)&amp;"%"</f>
        <v>45%</v>
      </c>
      <c r="H2226" s="13" t="str">
        <f>Github!H$1068</f>
        <v>Algorithms</v>
      </c>
      <c r="I2226" s="16" t="str">
        <f>SUBSTITUTE(Github!L$1068, ";", ", ")</f>
        <v>Math, Dynamic Programming, </v>
      </c>
      <c r="J2226" s="13" t="str">
        <f>Github!E$1068</f>
        <v>Hard</v>
      </c>
      <c r="K2226" s="13" t="str">
        <f>IF(TRIM(Github!D$1068)="TRUE","FALSE","TRUE")</f>
        <v>FALSE</v>
      </c>
      <c r="L2226" s="13" t="b">
        <f>Github!M$1068</f>
        <v>0</v>
      </c>
      <c r="M2226" s="13" t="b">
        <f>Github!N$1068</f>
        <v>0</v>
      </c>
      <c r="N2226" s="13">
        <f>Github!P$1068</f>
        <v>3270</v>
      </c>
      <c r="O2226" s="13">
        <f>Github!Q$1068</f>
        <v>7268</v>
      </c>
    </row>
    <row r="2227">
      <c r="A2227" s="13">
        <f>Github!J$1636</f>
        <v>1635</v>
      </c>
      <c r="B2227" s="14" t="str">
        <f>HYPERLINK(CONCAT("http://leetcode.com/problems/",Github!C$1636), Github!B$1636)</f>
        <v>Hopper Company Queries I</v>
      </c>
      <c r="C2227" s="13">
        <f>Github!F$1636</f>
        <v>78</v>
      </c>
      <c r="D2227" s="13">
        <f>Github!G$1636</f>
        <v>28</v>
      </c>
      <c r="E2227" s="13">
        <f>Github!F$1636+Github!G$1636</f>
        <v>106</v>
      </c>
      <c r="F2227" s="15">
        <f t="shared" si="1"/>
        <v>2.79</v>
      </c>
      <c r="G2227" s="13" t="str">
        <f>ROUND(Github!O$1636, 2)&amp;"%"</f>
        <v>52.87%</v>
      </c>
      <c r="H2227" s="13" t="str">
        <f>Github!H$1636</f>
        <v>Database</v>
      </c>
      <c r="I2227" s="16" t="str">
        <f>SUBSTITUTE(Github!L$1636, ";", ", ")</f>
        <v>Database, </v>
      </c>
      <c r="J2227" s="13" t="str">
        <f>Github!E$1636</f>
        <v>Hard</v>
      </c>
      <c r="K2227" s="13" t="str">
        <f>IF(TRIM(Github!D$1636)="TRUE","FALSE","TRUE")</f>
        <v>FALSE</v>
      </c>
      <c r="L2227" s="13" t="b">
        <f>Github!M$1636</f>
        <v>0</v>
      </c>
      <c r="M2227" s="13" t="b">
        <f>Github!N$1636</f>
        <v>0</v>
      </c>
      <c r="N2227" s="13">
        <f>Github!P$1636</f>
        <v>6424</v>
      </c>
      <c r="O2227" s="13">
        <f>Github!Q$1636</f>
        <v>12150</v>
      </c>
    </row>
    <row r="2228">
      <c r="A2228" s="13">
        <f>Github!J$1460</f>
        <v>1459</v>
      </c>
      <c r="B2228" s="14" t="str">
        <f>HYPERLINK(CONCAT("http://leetcode.com/problems/",Github!C$1460), Github!B$1460)</f>
        <v>Rectangles Area</v>
      </c>
      <c r="C2228" s="13">
        <f>Github!F$1460</f>
        <v>75</v>
      </c>
      <c r="D2228" s="13">
        <f>Github!G$1460</f>
        <v>136</v>
      </c>
      <c r="E2228" s="13">
        <f>Github!F$1460+Github!G$1460</f>
        <v>211</v>
      </c>
      <c r="F2228" s="15">
        <f t="shared" si="1"/>
        <v>0.55</v>
      </c>
      <c r="G2228" s="13" t="str">
        <f>ROUND(Github!O$1460, 2)&amp;"%"</f>
        <v>69.62%</v>
      </c>
      <c r="H2228" s="13" t="str">
        <f>Github!H$1460</f>
        <v>Database</v>
      </c>
      <c r="I2228" s="16" t="str">
        <f>SUBSTITUTE(Github!L$1460, ";", ", ")</f>
        <v>Database, </v>
      </c>
      <c r="J2228" s="13" t="str">
        <f>Github!E$1460</f>
        <v>Medium</v>
      </c>
      <c r="K2228" s="13" t="str">
        <f>IF(TRIM(Github!D$1460)="TRUE","FALSE","TRUE")</f>
        <v>FALSE</v>
      </c>
      <c r="L2228" s="13" t="b">
        <f>Github!M$1460</f>
        <v>0</v>
      </c>
      <c r="M2228" s="13" t="b">
        <f>Github!N$1460</f>
        <v>0</v>
      </c>
      <c r="N2228" s="13">
        <f>Github!P$1460</f>
        <v>13260</v>
      </c>
      <c r="O2228" s="13">
        <f>Github!Q$1460</f>
        <v>19045</v>
      </c>
    </row>
    <row r="2229">
      <c r="A2229" s="13">
        <f>Github!J$1684</f>
        <v>1683</v>
      </c>
      <c r="B2229" s="14" t="str">
        <f>HYPERLINK(CONCAT("http://leetcode.com/problems/",Github!C$1684), Github!B$1684)</f>
        <v>Invalid Tweets</v>
      </c>
      <c r="C2229" s="13">
        <f>Github!F$1684</f>
        <v>75</v>
      </c>
      <c r="D2229" s="13">
        <f>Github!G$1684</f>
        <v>78</v>
      </c>
      <c r="E2229" s="13">
        <f>Github!F$1684+Github!G$1684</f>
        <v>153</v>
      </c>
      <c r="F2229" s="15">
        <f t="shared" si="1"/>
        <v>0.96</v>
      </c>
      <c r="G2229" s="13" t="str">
        <f>ROUND(Github!O$1684, 2)&amp;"%"</f>
        <v>90.89%</v>
      </c>
      <c r="H2229" s="13" t="str">
        <f>Github!H$1684</f>
        <v>Database</v>
      </c>
      <c r="I2229" s="16" t="str">
        <f>SUBSTITUTE(Github!L$1684, ";", ", ")</f>
        <v>Database, </v>
      </c>
      <c r="J2229" s="13" t="str">
        <f>Github!E$1684</f>
        <v>Easy</v>
      </c>
      <c r="K2229" s="13" t="str">
        <f>IF(TRIM(Github!D$1684)="TRUE","FALSE","TRUE")</f>
        <v>FALSE</v>
      </c>
      <c r="L2229" s="13" t="b">
        <f>Github!M$1684</f>
        <v>0</v>
      </c>
      <c r="M2229" s="13" t="b">
        <f>Github!N$1684</f>
        <v>0</v>
      </c>
      <c r="N2229" s="13">
        <f>Github!P$1684</f>
        <v>21290</v>
      </c>
      <c r="O2229" s="13">
        <f>Github!Q$1684</f>
        <v>23424</v>
      </c>
    </row>
    <row r="2230">
      <c r="A2230" s="13">
        <f>Github!J$1539</f>
        <v>1538</v>
      </c>
      <c r="B2230" s="14" t="str">
        <f>HYPERLINK(CONCAT("http://leetcode.com/problems/",Github!C$1539), Github!B$1539)</f>
        <v>Guess the Majority in a Hidden Array</v>
      </c>
      <c r="C2230" s="13">
        <f>Github!F$1539</f>
        <v>72</v>
      </c>
      <c r="D2230" s="13">
        <f>Github!G$1539</f>
        <v>41</v>
      </c>
      <c r="E2230" s="13">
        <f>Github!F$1539+Github!G$1539</f>
        <v>113</v>
      </c>
      <c r="F2230" s="15">
        <f t="shared" si="1"/>
        <v>1.76</v>
      </c>
      <c r="G2230" s="13" t="str">
        <f>ROUND(Github!O$1539, 2)&amp;"%"</f>
        <v>62.97%</v>
      </c>
      <c r="H2230" s="13" t="str">
        <f>Github!H$1539</f>
        <v>Algorithms</v>
      </c>
      <c r="I2230" s="16" t="str">
        <f>SUBSTITUTE(Github!L$1539, ";", ", ")</f>
        <v>Array, Math, Interactive, </v>
      </c>
      <c r="J2230" s="13" t="str">
        <f>Github!E$1539</f>
        <v>Medium</v>
      </c>
      <c r="K2230" s="13" t="str">
        <f>IF(TRIM(Github!D$1539)="TRUE","FALSE","TRUE")</f>
        <v>FALSE</v>
      </c>
      <c r="L2230" s="13" t="b">
        <f>Github!M$1539</f>
        <v>0</v>
      </c>
      <c r="M2230" s="13" t="b">
        <f>Github!N$1539</f>
        <v>0</v>
      </c>
      <c r="N2230" s="13">
        <f>Github!P$1539</f>
        <v>1648</v>
      </c>
      <c r="O2230" s="13">
        <f>Github!Q$1539</f>
        <v>2617</v>
      </c>
    </row>
    <row r="2231">
      <c r="A2231" s="13">
        <f>Github!J$2138</f>
        <v>2137</v>
      </c>
      <c r="B2231" s="14" t="str">
        <f>HYPERLINK(CONCAT("http://leetcode.com/problems/",Github!C$2138), Github!B$2138)</f>
        <v>Pour Water Between Buckets to Make Water Levels Equal</v>
      </c>
      <c r="C2231" s="13">
        <f>Github!F$2138</f>
        <v>73</v>
      </c>
      <c r="D2231" s="13">
        <f>Github!G$2138</f>
        <v>5</v>
      </c>
      <c r="E2231" s="13">
        <f>Github!F$2138+Github!G$2138</f>
        <v>78</v>
      </c>
      <c r="F2231" s="15">
        <f t="shared" si="1"/>
        <v>14.6</v>
      </c>
      <c r="G2231" s="13" t="str">
        <f>ROUND(Github!O$2138, 2)&amp;"%"</f>
        <v>67.21%</v>
      </c>
      <c r="H2231" s="13" t="str">
        <f>Github!H$2138</f>
        <v>Algorithms</v>
      </c>
      <c r="I2231" s="16" t="str">
        <f>SUBSTITUTE(Github!L$2138, ";", ", ")</f>
        <v>Array, Binary Search, </v>
      </c>
      <c r="J2231" s="13" t="str">
        <f>Github!E$2138</f>
        <v>Medium</v>
      </c>
      <c r="K2231" s="13" t="str">
        <f>IF(TRIM(Github!D$2138)="TRUE","FALSE","TRUE")</f>
        <v>FALSE</v>
      </c>
      <c r="L2231" s="13" t="b">
        <f>Github!M$2138</f>
        <v>0</v>
      </c>
      <c r="M2231" s="13" t="b">
        <f>Github!N$2138</f>
        <v>0</v>
      </c>
      <c r="N2231" s="13">
        <f>Github!P$2138</f>
        <v>1570</v>
      </c>
      <c r="O2231" s="13">
        <f>Github!Q$2138</f>
        <v>2336</v>
      </c>
    </row>
    <row r="2232">
      <c r="A2232" s="13">
        <f>Github!J$2175</f>
        <v>2174</v>
      </c>
      <c r="B2232" s="14" t="str">
        <f>HYPERLINK(CONCAT("http://leetcode.com/problems/",Github!C$2175), Github!B$2175)</f>
        <v>Remove All Ones With Row and Column Flips II</v>
      </c>
      <c r="C2232" s="13">
        <f>Github!F$2175</f>
        <v>72</v>
      </c>
      <c r="D2232" s="13">
        <f>Github!G$2175</f>
        <v>20</v>
      </c>
      <c r="E2232" s="13">
        <f>Github!F$2175+Github!G$2175</f>
        <v>92</v>
      </c>
      <c r="F2232" s="15">
        <f t="shared" si="1"/>
        <v>3.6</v>
      </c>
      <c r="G2232" s="13" t="str">
        <f>ROUND(Github!O$2175, 2)&amp;"%"</f>
        <v>68.43%</v>
      </c>
      <c r="H2232" s="13" t="str">
        <f>Github!H$2175</f>
        <v>Algorithms</v>
      </c>
      <c r="I2232" s="16" t="str">
        <f>SUBSTITUTE(Github!L$2175, ";", ", ")</f>
        <v>Array, Bit Manipulation, Breadth-First Search, Matrix, </v>
      </c>
      <c r="J2232" s="13" t="str">
        <f>Github!E$2175</f>
        <v>Medium</v>
      </c>
      <c r="K2232" s="13" t="str">
        <f>IF(TRIM(Github!D$2175)="TRUE","FALSE","TRUE")</f>
        <v>FALSE</v>
      </c>
      <c r="L2232" s="13" t="b">
        <f>Github!M$2175</f>
        <v>0</v>
      </c>
      <c r="M2232" s="13" t="b">
        <f>Github!N$2175</f>
        <v>0</v>
      </c>
      <c r="N2232" s="13">
        <f>Github!P$2175</f>
        <v>3962</v>
      </c>
      <c r="O2232" s="13">
        <f>Github!Q$2175</f>
        <v>5790</v>
      </c>
    </row>
    <row r="2233">
      <c r="A2233" s="13">
        <f>Github!J$673</f>
        <v>672</v>
      </c>
      <c r="B2233" s="14" t="str">
        <f>HYPERLINK(CONCAT("http://leetcode.com/problems/",Github!C$673), Github!B$673)</f>
        <v>Bulb Switcher II</v>
      </c>
      <c r="C2233" s="13">
        <f>Github!F$673</f>
        <v>73</v>
      </c>
      <c r="D2233" s="13">
        <f>Github!G$673</f>
        <v>135</v>
      </c>
      <c r="E2233" s="13">
        <f>Github!F$673+Github!G$673</f>
        <v>208</v>
      </c>
      <c r="F2233" s="15">
        <f t="shared" si="1"/>
        <v>0.54</v>
      </c>
      <c r="G2233" s="13" t="str">
        <f>ROUND(Github!O$673, 2)&amp;"%"</f>
        <v>50.96%</v>
      </c>
      <c r="H2233" s="13" t="str">
        <f>Github!H$673</f>
        <v>Algorithms</v>
      </c>
      <c r="I2233" s="16" t="str">
        <f>SUBSTITUTE(Github!L$673, ";", ", ")</f>
        <v>Math, Bit Manipulation, Depth-First Search, Breadth-First Search, </v>
      </c>
      <c r="J2233" s="13" t="str">
        <f>Github!E$673</f>
        <v>Medium</v>
      </c>
      <c r="K2233" s="13" t="str">
        <f>IF(TRIM(Github!D$673)="TRUE","FALSE","TRUE")</f>
        <v>TRUE</v>
      </c>
      <c r="L2233" s="13" t="b">
        <f>Github!M$673</f>
        <v>0</v>
      </c>
      <c r="M2233" s="13" t="b">
        <f>Github!N$673</f>
        <v>0</v>
      </c>
      <c r="N2233" s="13">
        <f>Github!P$673</f>
        <v>18784</v>
      </c>
      <c r="O2233" s="13">
        <f>Github!Q$673</f>
        <v>36860</v>
      </c>
    </row>
    <row r="2234">
      <c r="A2234" s="13">
        <f>Github!J$1544</f>
        <v>1543</v>
      </c>
      <c r="B2234" s="14" t="str">
        <f>HYPERLINK(CONCAT("http://leetcode.com/problems/",Github!C$1544), Github!B$1544)</f>
        <v>Fix Product Name Format</v>
      </c>
      <c r="C2234" s="13">
        <f>Github!F$1544</f>
        <v>71</v>
      </c>
      <c r="D2234" s="13">
        <f>Github!G$1544</f>
        <v>41</v>
      </c>
      <c r="E2234" s="13">
        <f>Github!F$1544+Github!G$1544</f>
        <v>112</v>
      </c>
      <c r="F2234" s="15">
        <f t="shared" si="1"/>
        <v>1.73</v>
      </c>
      <c r="G2234" s="13" t="str">
        <f>ROUND(Github!O$1544, 2)&amp;"%"</f>
        <v>61.78%</v>
      </c>
      <c r="H2234" s="13" t="str">
        <f>Github!H$1544</f>
        <v>Database</v>
      </c>
      <c r="I2234" s="16" t="str">
        <f>SUBSTITUTE(Github!L$1544, ";", ", ")</f>
        <v>Database, </v>
      </c>
      <c r="J2234" s="13" t="str">
        <f>Github!E$1544</f>
        <v>Easy</v>
      </c>
      <c r="K2234" s="13" t="str">
        <f>IF(TRIM(Github!D$1544)="TRUE","FALSE","TRUE")</f>
        <v>FALSE</v>
      </c>
      <c r="L2234" s="13" t="b">
        <f>Github!M$1544</f>
        <v>0</v>
      </c>
      <c r="M2234" s="13" t="b">
        <f>Github!N$1544</f>
        <v>0</v>
      </c>
      <c r="N2234" s="13">
        <f>Github!P$1544</f>
        <v>16388</v>
      </c>
      <c r="O2234" s="13">
        <f>Github!Q$1544</f>
        <v>26525</v>
      </c>
    </row>
    <row r="2235">
      <c r="A2235" s="13">
        <f>Github!J$556</f>
        <v>555</v>
      </c>
      <c r="B2235" s="14" t="str">
        <f>HYPERLINK(CONCAT("http://leetcode.com/problems/",Github!C$556), Github!B$556)</f>
        <v>Split Concatenated Strings</v>
      </c>
      <c r="C2235" s="13">
        <f>Github!F$556</f>
        <v>70</v>
      </c>
      <c r="D2235" s="13">
        <f>Github!G$556</f>
        <v>245</v>
      </c>
      <c r="E2235" s="13">
        <f>Github!F$556+Github!G$556</f>
        <v>315</v>
      </c>
      <c r="F2235" s="15">
        <f t="shared" si="1"/>
        <v>0.29</v>
      </c>
      <c r="G2235" s="13" t="str">
        <f>ROUND(Github!O$556, 2)&amp;"%"</f>
        <v>43.58%</v>
      </c>
      <c r="H2235" s="13" t="str">
        <f>Github!H$556</f>
        <v>Algorithms</v>
      </c>
      <c r="I2235" s="16" t="str">
        <f>SUBSTITUTE(Github!L$556, ";", ", ")</f>
        <v>Array, String, Greedy, </v>
      </c>
      <c r="J2235" s="13" t="str">
        <f>Github!E$556</f>
        <v>Medium</v>
      </c>
      <c r="K2235" s="13" t="str">
        <f>IF(TRIM(Github!D$556)="TRUE","FALSE","TRUE")</f>
        <v>FALSE</v>
      </c>
      <c r="L2235" s="13" t="b">
        <f>Github!M$556</f>
        <v>0</v>
      </c>
      <c r="M2235" s="13" t="b">
        <f>Github!N$556</f>
        <v>0</v>
      </c>
      <c r="N2235" s="13">
        <f>Github!P$556</f>
        <v>6239</v>
      </c>
      <c r="O2235" s="13">
        <f>Github!Q$556</f>
        <v>14317</v>
      </c>
    </row>
    <row r="2236">
      <c r="A2236" s="13">
        <f>Github!J$2205</f>
        <v>2204</v>
      </c>
      <c r="B2236" s="14" t="str">
        <f>HYPERLINK(CONCAT("http://leetcode.com/problems/",Github!C$2205), Github!B$2205)</f>
        <v>Distance to a Cycle in Undirected Graph</v>
      </c>
      <c r="C2236" s="13">
        <f>Github!F$2205</f>
        <v>72</v>
      </c>
      <c r="D2236" s="13">
        <f>Github!G$2205</f>
        <v>7</v>
      </c>
      <c r="E2236" s="13">
        <f>Github!F$2205+Github!G$2205</f>
        <v>79</v>
      </c>
      <c r="F2236" s="15">
        <f t="shared" si="1"/>
        <v>10.29</v>
      </c>
      <c r="G2236" s="13" t="str">
        <f>ROUND(Github!O$2205, 2)&amp;"%"</f>
        <v>69.88%</v>
      </c>
      <c r="H2236" s="13" t="str">
        <f>Github!H$2205</f>
        <v>Algorithms</v>
      </c>
      <c r="I2236" s="16" t="str">
        <f>SUBSTITUTE(Github!L$2205, ";", ", ")</f>
        <v>Depth-First Search, Breadth-First Search, Union Find, Graph, </v>
      </c>
      <c r="J2236" s="13" t="str">
        <f>Github!E$2205</f>
        <v>Hard</v>
      </c>
      <c r="K2236" s="13" t="str">
        <f>IF(TRIM(Github!D$2205)="TRUE","FALSE","TRUE")</f>
        <v>FALSE</v>
      </c>
      <c r="L2236" s="13" t="b">
        <f>Github!M$2205</f>
        <v>0</v>
      </c>
      <c r="M2236" s="13" t="b">
        <f>Github!N$2205</f>
        <v>0</v>
      </c>
      <c r="N2236" s="13">
        <f>Github!P$2205</f>
        <v>1840</v>
      </c>
      <c r="O2236" s="13">
        <f>Github!Q$2205</f>
        <v>2633</v>
      </c>
    </row>
    <row r="2237">
      <c r="A2237" s="13">
        <f>Github!J$1182</f>
        <v>1181</v>
      </c>
      <c r="B2237" s="14" t="str">
        <f>HYPERLINK(CONCAT("http://leetcode.com/problems/",Github!C$1182), Github!B$1182)</f>
        <v>Before and After Puzzle</v>
      </c>
      <c r="C2237" s="13">
        <f>Github!F$1182</f>
        <v>69</v>
      </c>
      <c r="D2237" s="13">
        <f>Github!G$1182</f>
        <v>146</v>
      </c>
      <c r="E2237" s="13">
        <f>Github!F$1182+Github!G$1182</f>
        <v>215</v>
      </c>
      <c r="F2237" s="15">
        <f t="shared" si="1"/>
        <v>0.47</v>
      </c>
      <c r="G2237" s="13" t="str">
        <f>ROUND(Github!O$1182, 2)&amp;"%"</f>
        <v>45.21%</v>
      </c>
      <c r="H2237" s="13" t="str">
        <f>Github!H$1182</f>
        <v>Algorithms</v>
      </c>
      <c r="I2237" s="16" t="str">
        <f>SUBSTITUTE(Github!L$1182, ";", ", ")</f>
        <v>Array, Hash Table, String, Sorting, </v>
      </c>
      <c r="J2237" s="13" t="str">
        <f>Github!E$1182</f>
        <v>Medium</v>
      </c>
      <c r="K2237" s="13" t="str">
        <f>IF(TRIM(Github!D$1182)="TRUE","FALSE","TRUE")</f>
        <v>FALSE</v>
      </c>
      <c r="L2237" s="13" t="b">
        <f>Github!M$1182</f>
        <v>0</v>
      </c>
      <c r="M2237" s="13" t="b">
        <f>Github!N$1182</f>
        <v>0</v>
      </c>
      <c r="N2237" s="13">
        <f>Github!P$1182</f>
        <v>9177</v>
      </c>
      <c r="O2237" s="13">
        <f>Github!Q$1182</f>
        <v>20298</v>
      </c>
    </row>
    <row r="2238">
      <c r="A2238" s="13">
        <f>Github!J$1811</f>
        <v>1810</v>
      </c>
      <c r="B2238" s="14" t="str">
        <f>HYPERLINK(CONCAT("http://leetcode.com/problems/",Github!C$1811), Github!B$1811)</f>
        <v>Minimum Path Cost in a Hidden Grid</v>
      </c>
      <c r="C2238" s="13">
        <f>Github!F$1811</f>
        <v>70</v>
      </c>
      <c r="D2238" s="13">
        <f>Github!G$1811</f>
        <v>20</v>
      </c>
      <c r="E2238" s="13">
        <f>Github!F$1811+Github!G$1811</f>
        <v>90</v>
      </c>
      <c r="F2238" s="15">
        <f t="shared" si="1"/>
        <v>3.5</v>
      </c>
      <c r="G2238" s="13" t="str">
        <f>ROUND(Github!O$1811, 2)&amp;"%"</f>
        <v>54.16%</v>
      </c>
      <c r="H2238" s="13" t="str">
        <f>Github!H$1811</f>
        <v>Algorithms</v>
      </c>
      <c r="I2238" s="16" t="str">
        <f>SUBSTITUTE(Github!L$1811, ";", ", ")</f>
        <v>Depth-First Search, Breadth-First Search, Graph, Heap (Priority Queue), Interactive, </v>
      </c>
      <c r="J2238" s="13" t="str">
        <f>Github!E$1811</f>
        <v>Medium</v>
      </c>
      <c r="K2238" s="13" t="str">
        <f>IF(TRIM(Github!D$1811)="TRUE","FALSE","TRUE")</f>
        <v>FALSE</v>
      </c>
      <c r="L2238" s="13" t="b">
        <f>Github!M$1811</f>
        <v>0</v>
      </c>
      <c r="M2238" s="13" t="b">
        <f>Github!N$1811</f>
        <v>0</v>
      </c>
      <c r="N2238" s="13">
        <f>Github!P$1811</f>
        <v>2263</v>
      </c>
      <c r="O2238" s="13">
        <f>Github!Q$1811</f>
        <v>4178</v>
      </c>
    </row>
    <row r="2239">
      <c r="A2239" s="13">
        <f>Github!J$2037</f>
        <v>2036</v>
      </c>
      <c r="B2239" s="14" t="str">
        <f>HYPERLINK(CONCAT("http://leetcode.com/problems/",Github!C$2037), Github!B$2037)</f>
        <v>Maximum Alternating Subarray Sum</v>
      </c>
      <c r="C2239" s="13">
        <f>Github!F$2037</f>
        <v>70</v>
      </c>
      <c r="D2239" s="13">
        <f>Github!G$2037</f>
        <v>4</v>
      </c>
      <c r="E2239" s="13">
        <f>Github!F$2037+Github!G$2037</f>
        <v>74</v>
      </c>
      <c r="F2239" s="15">
        <f t="shared" si="1"/>
        <v>17.5</v>
      </c>
      <c r="G2239" s="13" t="str">
        <f>ROUND(Github!O$2037, 2)&amp;"%"</f>
        <v>41.02%</v>
      </c>
      <c r="H2239" s="13" t="str">
        <f>Github!H$2037</f>
        <v>Algorithms</v>
      </c>
      <c r="I2239" s="16" t="str">
        <f>SUBSTITUTE(Github!L$2037, ";", ", ")</f>
        <v>Array, Dynamic Programming, </v>
      </c>
      <c r="J2239" s="13" t="str">
        <f>Github!E$2037</f>
        <v>Medium</v>
      </c>
      <c r="K2239" s="13" t="str">
        <f>IF(TRIM(Github!D$2037)="TRUE","FALSE","TRUE")</f>
        <v>FALSE</v>
      </c>
      <c r="L2239" s="13" t="b">
        <f>Github!M$2037</f>
        <v>0</v>
      </c>
      <c r="M2239" s="13" t="b">
        <f>Github!N$2037</f>
        <v>0</v>
      </c>
      <c r="N2239" s="13">
        <f>Github!P$2037</f>
        <v>1960</v>
      </c>
      <c r="O2239" s="13">
        <f>Github!Q$2037</f>
        <v>4778</v>
      </c>
    </row>
    <row r="2240">
      <c r="A2240" s="13">
        <f>Github!J$2118</f>
        <v>2117</v>
      </c>
      <c r="B2240" s="14" t="str">
        <f>HYPERLINK(CONCAT("http://leetcode.com/problems/",Github!C$2118), Github!B$2118)</f>
        <v>Abbreviating the Product of a Range</v>
      </c>
      <c r="C2240" s="13">
        <f>Github!F$2118</f>
        <v>71</v>
      </c>
      <c r="D2240" s="13">
        <f>Github!G$2118</f>
        <v>118</v>
      </c>
      <c r="E2240" s="13">
        <f>Github!F$2118+Github!G$2118</f>
        <v>189</v>
      </c>
      <c r="F2240" s="15">
        <f t="shared" si="1"/>
        <v>0.6</v>
      </c>
      <c r="G2240" s="13" t="str">
        <f>ROUND(Github!O$2118, 2)&amp;"%"</f>
        <v>27.93%</v>
      </c>
      <c r="H2240" s="13" t="str">
        <f>Github!H$2118</f>
        <v>Algorithms</v>
      </c>
      <c r="I2240" s="16" t="str">
        <f>SUBSTITUTE(Github!L$2118, ";", ", ")</f>
        <v>Math, </v>
      </c>
      <c r="J2240" s="13" t="str">
        <f>Github!E$2118</f>
        <v>Hard</v>
      </c>
      <c r="K2240" s="13" t="str">
        <f>IF(TRIM(Github!D$2118)="TRUE","FALSE","TRUE")</f>
        <v>TRUE</v>
      </c>
      <c r="L2240" s="13" t="b">
        <f>Github!M$2118</f>
        <v>0</v>
      </c>
      <c r="M2240" s="13" t="b">
        <f>Github!N$2118</f>
        <v>0</v>
      </c>
      <c r="N2240" s="13">
        <f>Github!P$2118</f>
        <v>2467</v>
      </c>
      <c r="O2240" s="13">
        <f>Github!Q$2118</f>
        <v>8832</v>
      </c>
    </row>
    <row r="2241">
      <c r="A2241" s="13">
        <f>Github!J$2062</f>
        <v>2061</v>
      </c>
      <c r="B2241" s="14" t="str">
        <f>HYPERLINK(CONCAT("http://leetcode.com/problems/",Github!C$2062), Github!B$2062)</f>
        <v>Number of Spaces Cleaning Robot Cleaned</v>
      </c>
      <c r="C2241" s="13">
        <f>Github!F$2062</f>
        <v>69</v>
      </c>
      <c r="D2241" s="13">
        <f>Github!G$2062</f>
        <v>19</v>
      </c>
      <c r="E2241" s="13">
        <f>Github!F$2062+Github!G$2062</f>
        <v>88</v>
      </c>
      <c r="F2241" s="15">
        <f t="shared" si="1"/>
        <v>3.63</v>
      </c>
      <c r="G2241" s="13" t="str">
        <f>ROUND(Github!O$2062, 2)&amp;"%"</f>
        <v>54.7%</v>
      </c>
      <c r="H2241" s="13" t="str">
        <f>Github!H$2062</f>
        <v>Algorithms</v>
      </c>
      <c r="I2241" s="16" t="str">
        <f>SUBSTITUTE(Github!L$2062, ";", ", ")</f>
        <v>Array, Matrix, Simulation, </v>
      </c>
      <c r="J2241" s="13" t="str">
        <f>Github!E$2062</f>
        <v>Medium</v>
      </c>
      <c r="K2241" s="13" t="str">
        <f>IF(TRIM(Github!D$2062)="TRUE","FALSE","TRUE")</f>
        <v>FALSE</v>
      </c>
      <c r="L2241" s="13" t="b">
        <f>Github!M$2062</f>
        <v>0</v>
      </c>
      <c r="M2241" s="13" t="b">
        <f>Github!N$2062</f>
        <v>0</v>
      </c>
      <c r="N2241" s="13">
        <f>Github!P$2062</f>
        <v>3342</v>
      </c>
      <c r="O2241" s="13">
        <f>Github!Q$2062</f>
        <v>6110</v>
      </c>
    </row>
    <row r="2242">
      <c r="A2242" s="13">
        <f>Github!J$1070</f>
        <v>1069</v>
      </c>
      <c r="B2242" s="14" t="str">
        <f>HYPERLINK(CONCAT("http://leetcode.com/problems/",Github!C$1070), Github!B$1070)</f>
        <v>Product Sales Analysis II</v>
      </c>
      <c r="C2242" s="13">
        <f>Github!F$1070</f>
        <v>68</v>
      </c>
      <c r="D2242" s="13">
        <f>Github!G$1070</f>
        <v>167</v>
      </c>
      <c r="E2242" s="13">
        <f>Github!F$1070+Github!G$1070</f>
        <v>235</v>
      </c>
      <c r="F2242" s="15">
        <f t="shared" si="1"/>
        <v>0.41</v>
      </c>
      <c r="G2242" s="13" t="str">
        <f>ROUND(Github!O$1070, 2)&amp;"%"</f>
        <v>81.86%</v>
      </c>
      <c r="H2242" s="13" t="str">
        <f>Github!H$1070</f>
        <v>Database</v>
      </c>
      <c r="I2242" s="16" t="str">
        <f>SUBSTITUTE(Github!L$1070, ";", ", ")</f>
        <v>Database, </v>
      </c>
      <c r="J2242" s="13" t="str">
        <f>Github!E$1070</f>
        <v>Easy</v>
      </c>
      <c r="K2242" s="13" t="str">
        <f>IF(TRIM(Github!D$1070)="TRUE","FALSE","TRUE")</f>
        <v>FALSE</v>
      </c>
      <c r="L2242" s="13" t="b">
        <f>Github!M$1070</f>
        <v>0</v>
      </c>
      <c r="M2242" s="13" t="b">
        <f>Github!N$1070</f>
        <v>0</v>
      </c>
      <c r="N2242" s="13">
        <f>Github!P$1070</f>
        <v>45562</v>
      </c>
      <c r="O2242" s="13">
        <f>Github!Q$1070</f>
        <v>55657</v>
      </c>
    </row>
    <row r="2243">
      <c r="A2243" s="13">
        <f>Github!J$1365</f>
        <v>1364</v>
      </c>
      <c r="B2243" s="14" t="str">
        <f>HYPERLINK(CONCAT("http://leetcode.com/problems/",Github!C$1365), Github!B$1365)</f>
        <v>Number of Trusted Contacts of a Customer</v>
      </c>
      <c r="C2243" s="13">
        <f>Github!F$1365</f>
        <v>69</v>
      </c>
      <c r="D2243" s="13">
        <f>Github!G$1365</f>
        <v>323</v>
      </c>
      <c r="E2243" s="13">
        <f>Github!F$1365+Github!G$1365</f>
        <v>392</v>
      </c>
      <c r="F2243" s="15">
        <f t="shared" si="1"/>
        <v>0.21</v>
      </c>
      <c r="G2243" s="13" t="str">
        <f>ROUND(Github!O$1365, 2)&amp;"%"</f>
        <v>78.76%</v>
      </c>
      <c r="H2243" s="13" t="str">
        <f>Github!H$1365</f>
        <v>Database</v>
      </c>
      <c r="I2243" s="16" t="str">
        <f>SUBSTITUTE(Github!L$1365, ";", ", ")</f>
        <v>Database, </v>
      </c>
      <c r="J2243" s="13" t="str">
        <f>Github!E$1365</f>
        <v>Medium</v>
      </c>
      <c r="K2243" s="13" t="str">
        <f>IF(TRIM(Github!D$1365)="TRUE","FALSE","TRUE")</f>
        <v>FALSE</v>
      </c>
      <c r="L2243" s="13" t="b">
        <f>Github!M$1365</f>
        <v>0</v>
      </c>
      <c r="M2243" s="13" t="b">
        <f>Github!N$1365</f>
        <v>0</v>
      </c>
      <c r="N2243" s="13">
        <f>Github!P$1365</f>
        <v>15778</v>
      </c>
      <c r="O2243" s="13">
        <f>Github!Q$1365</f>
        <v>20034</v>
      </c>
    </row>
    <row r="2244">
      <c r="A2244" s="13">
        <f>Github!J$1773</f>
        <v>1772</v>
      </c>
      <c r="B2244" s="14" t="str">
        <f>HYPERLINK(CONCAT("http://leetcode.com/problems/",Github!C$1773), Github!B$1773)</f>
        <v>Sort Features by Popularity</v>
      </c>
      <c r="C2244" s="13">
        <f>Github!F$1773</f>
        <v>69</v>
      </c>
      <c r="D2244" s="13">
        <f>Github!G$1773</f>
        <v>39</v>
      </c>
      <c r="E2244" s="13">
        <f>Github!F$1773+Github!G$1773</f>
        <v>108</v>
      </c>
      <c r="F2244" s="15">
        <f t="shared" si="1"/>
        <v>1.77</v>
      </c>
      <c r="G2244" s="13" t="str">
        <f>ROUND(Github!O$1773, 2)&amp;"%"</f>
        <v>64.99%</v>
      </c>
      <c r="H2244" s="13" t="str">
        <f>Github!H$1773</f>
        <v>Algorithms</v>
      </c>
      <c r="I2244" s="16" t="str">
        <f>SUBSTITUTE(Github!L$1773, ";", ", ")</f>
        <v>Array, Hash Table, String, Sorting, </v>
      </c>
      <c r="J2244" s="13" t="str">
        <f>Github!E$1773</f>
        <v>Medium</v>
      </c>
      <c r="K2244" s="13" t="str">
        <f>IF(TRIM(Github!D$1773)="TRUE","FALSE","TRUE")</f>
        <v>FALSE</v>
      </c>
      <c r="L2244" s="13" t="b">
        <f>Github!M$1773</f>
        <v>0</v>
      </c>
      <c r="M2244" s="13" t="b">
        <f>Github!N$1773</f>
        <v>0</v>
      </c>
      <c r="N2244" s="13">
        <f>Github!P$1773</f>
        <v>4691</v>
      </c>
      <c r="O2244" s="13">
        <f>Github!Q$1773</f>
        <v>7218</v>
      </c>
    </row>
    <row r="2245">
      <c r="A2245" s="13">
        <f>Github!J$1257</f>
        <v>1256</v>
      </c>
      <c r="B2245" s="14" t="str">
        <f>HYPERLINK(CONCAT("http://leetcode.com/problems/",Github!C$1257), Github!B$1257)</f>
        <v>Encode Number</v>
      </c>
      <c r="C2245" s="13">
        <f>Github!F$1257</f>
        <v>67</v>
      </c>
      <c r="D2245" s="13">
        <f>Github!G$1257</f>
        <v>229</v>
      </c>
      <c r="E2245" s="13">
        <f>Github!F$1257+Github!G$1257</f>
        <v>296</v>
      </c>
      <c r="F2245" s="15">
        <f t="shared" si="1"/>
        <v>0.29</v>
      </c>
      <c r="G2245" s="13" t="str">
        <f>ROUND(Github!O$1257, 2)&amp;"%"</f>
        <v>69.88%</v>
      </c>
      <c r="H2245" s="13" t="str">
        <f>Github!H$1257</f>
        <v>Algorithms</v>
      </c>
      <c r="I2245" s="16" t="str">
        <f>SUBSTITUTE(Github!L$1257, ";", ", ")</f>
        <v>Math, String, Bit Manipulation, </v>
      </c>
      <c r="J2245" s="13" t="str">
        <f>Github!E$1257</f>
        <v>Medium</v>
      </c>
      <c r="K2245" s="13" t="str">
        <f>IF(TRIM(Github!D$1257)="TRUE","FALSE","TRUE")</f>
        <v>FALSE</v>
      </c>
      <c r="L2245" s="13" t="b">
        <f>Github!M$1257</f>
        <v>0</v>
      </c>
      <c r="M2245" s="13" t="b">
        <f>Github!N$1257</f>
        <v>0</v>
      </c>
      <c r="N2245" s="13">
        <f>Github!P$1257</f>
        <v>6919</v>
      </c>
      <c r="O2245" s="13">
        <f>Github!Q$1257</f>
        <v>9901</v>
      </c>
    </row>
    <row r="2246">
      <c r="A2246" s="13">
        <f>Github!J$1952</f>
        <v>1951</v>
      </c>
      <c r="B2246" s="14" t="str">
        <f>HYPERLINK(CONCAT("http://leetcode.com/problems/",Github!C$1952), Github!B$1952)</f>
        <v>All the Pairs With the Maximum Number of Common Followers</v>
      </c>
      <c r="C2246" s="13">
        <f>Github!F$1952</f>
        <v>68</v>
      </c>
      <c r="D2246" s="13">
        <f>Github!G$1952</f>
        <v>6</v>
      </c>
      <c r="E2246" s="13">
        <f>Github!F$1952+Github!G$1952</f>
        <v>74</v>
      </c>
      <c r="F2246" s="15">
        <f t="shared" si="1"/>
        <v>11.33</v>
      </c>
      <c r="G2246" s="13" t="str">
        <f>ROUND(Github!O$1952, 2)&amp;"%"</f>
        <v>72.76%</v>
      </c>
      <c r="H2246" s="13" t="str">
        <f>Github!H$1952</f>
        <v>Database</v>
      </c>
      <c r="I2246" s="16" t="str">
        <f>SUBSTITUTE(Github!L$1952, ";", ", ")</f>
        <v>Database, </v>
      </c>
      <c r="J2246" s="13" t="str">
        <f>Github!E$1952</f>
        <v>Medium</v>
      </c>
      <c r="K2246" s="13" t="str">
        <f>IF(TRIM(Github!D$1952)="TRUE","FALSE","TRUE")</f>
        <v>FALSE</v>
      </c>
      <c r="L2246" s="13" t="b">
        <f>Github!M$1952</f>
        <v>0</v>
      </c>
      <c r="M2246" s="13" t="b">
        <f>Github!N$1952</f>
        <v>0</v>
      </c>
      <c r="N2246" s="13">
        <f>Github!P$1952</f>
        <v>7634</v>
      </c>
      <c r="O2246" s="13">
        <f>Github!Q$1952</f>
        <v>10492</v>
      </c>
    </row>
    <row r="2247">
      <c r="A2247" s="13">
        <f>Github!J$2143</f>
        <v>2142</v>
      </c>
      <c r="B2247" s="14" t="str">
        <f>HYPERLINK(CONCAT("http://leetcode.com/problems/",Github!C$2143), Github!B$2143)</f>
        <v>The Number of Passengers in Each Bus I</v>
      </c>
      <c r="C2247" s="13">
        <f>Github!F$2143</f>
        <v>68</v>
      </c>
      <c r="D2247" s="13">
        <f>Github!G$2143</f>
        <v>8</v>
      </c>
      <c r="E2247" s="13">
        <f>Github!F$2143+Github!G$2143</f>
        <v>76</v>
      </c>
      <c r="F2247" s="15">
        <f t="shared" si="1"/>
        <v>8.5</v>
      </c>
      <c r="G2247" s="13" t="str">
        <f>ROUND(Github!O$2143, 2)&amp;"%"</f>
        <v>50.92%</v>
      </c>
      <c r="H2247" s="13" t="str">
        <f>Github!H$2143</f>
        <v>Database</v>
      </c>
      <c r="I2247" s="16" t="str">
        <f>SUBSTITUTE(Github!L$2143, ";", ", ")</f>
        <v>Database, </v>
      </c>
      <c r="J2247" s="13" t="str">
        <f>Github!E$2143</f>
        <v>Medium</v>
      </c>
      <c r="K2247" s="13" t="str">
        <f>IF(TRIM(Github!D$2143)="TRUE","FALSE","TRUE")</f>
        <v>FALSE</v>
      </c>
      <c r="L2247" s="13" t="b">
        <f>Github!M$2143</f>
        <v>0</v>
      </c>
      <c r="M2247" s="13" t="b">
        <f>Github!N$2143</f>
        <v>0</v>
      </c>
      <c r="N2247" s="13">
        <f>Github!P$2143</f>
        <v>5180</v>
      </c>
      <c r="O2247" s="13">
        <f>Github!Q$2143</f>
        <v>10172</v>
      </c>
    </row>
    <row r="2248">
      <c r="A2248" s="13">
        <f>Github!J$1496</f>
        <v>1495</v>
      </c>
      <c r="B2248" s="14" t="str">
        <f>HYPERLINK(CONCAT("http://leetcode.com/problems/",Github!C$1496), Github!B$1496)</f>
        <v>Friendly Movies Streamed Last Month</v>
      </c>
      <c r="C2248" s="13">
        <f>Github!F$1496</f>
        <v>68</v>
      </c>
      <c r="D2248" s="13">
        <f>Github!G$1496</f>
        <v>10</v>
      </c>
      <c r="E2248" s="13">
        <f>Github!F$1496+Github!G$1496</f>
        <v>78</v>
      </c>
      <c r="F2248" s="15">
        <f t="shared" si="1"/>
        <v>6.8</v>
      </c>
      <c r="G2248" s="13" t="str">
        <f>ROUND(Github!O$1496, 2)&amp;"%"</f>
        <v>49.61%</v>
      </c>
      <c r="H2248" s="13" t="str">
        <f>Github!H$1496</f>
        <v>Database</v>
      </c>
      <c r="I2248" s="16" t="str">
        <f>SUBSTITUTE(Github!L$1496, ";", ", ")</f>
        <v>Database, </v>
      </c>
      <c r="J2248" s="13" t="str">
        <f>Github!E$1496</f>
        <v>Easy</v>
      </c>
      <c r="K2248" s="13" t="str">
        <f>IF(TRIM(Github!D$1496)="TRUE","FALSE","TRUE")</f>
        <v>FALSE</v>
      </c>
      <c r="L2248" s="13" t="b">
        <f>Github!M$1496</f>
        <v>0</v>
      </c>
      <c r="M2248" s="13" t="b">
        <f>Github!N$1496</f>
        <v>0</v>
      </c>
      <c r="N2248" s="13">
        <f>Github!P$1496</f>
        <v>23307</v>
      </c>
      <c r="O2248" s="13">
        <f>Github!Q$1496</f>
        <v>46979</v>
      </c>
    </row>
    <row r="2249">
      <c r="A2249" s="13">
        <f>Github!J$2174</f>
        <v>2173</v>
      </c>
      <c r="B2249" s="14" t="str">
        <f>HYPERLINK(CONCAT("http://leetcode.com/problems/",Github!C$2174), Github!B$2174)</f>
        <v>Longest Winning Streak</v>
      </c>
      <c r="C2249" s="13">
        <f>Github!F$2174</f>
        <v>69</v>
      </c>
      <c r="D2249" s="13">
        <f>Github!G$2174</f>
        <v>2</v>
      </c>
      <c r="E2249" s="13">
        <f>Github!F$2174+Github!G$2174</f>
        <v>71</v>
      </c>
      <c r="F2249" s="15">
        <f t="shared" si="1"/>
        <v>34.5</v>
      </c>
      <c r="G2249" s="13" t="str">
        <f>ROUND(Github!O$2174, 2)&amp;"%"</f>
        <v>58.39%</v>
      </c>
      <c r="H2249" s="13" t="str">
        <f>Github!H$2174</f>
        <v>Database</v>
      </c>
      <c r="I2249" s="16" t="str">
        <f>SUBSTITUTE(Github!L$2174, ";", ", ")</f>
        <v>Database, </v>
      </c>
      <c r="J2249" s="13" t="str">
        <f>Github!E$2174</f>
        <v>Hard</v>
      </c>
      <c r="K2249" s="13" t="str">
        <f>IF(TRIM(Github!D$2174)="TRUE","FALSE","TRUE")</f>
        <v>FALSE</v>
      </c>
      <c r="L2249" s="13" t="b">
        <f>Github!M$2174</f>
        <v>0</v>
      </c>
      <c r="M2249" s="13" t="b">
        <f>Github!N$2174</f>
        <v>0</v>
      </c>
      <c r="N2249" s="13">
        <f>Github!P$2174</f>
        <v>2394</v>
      </c>
      <c r="O2249" s="13">
        <f>Github!Q$2174</f>
        <v>4100</v>
      </c>
    </row>
    <row r="2250">
      <c r="A2250" s="13">
        <f>Github!J$1725</f>
        <v>1724</v>
      </c>
      <c r="B2250" s="14" t="str">
        <f>HYPERLINK(CONCAT("http://leetcode.com/problems/",Github!C$1725), Github!B$1725)</f>
        <v>Checking Existence of Edge Length Limited Paths II</v>
      </c>
      <c r="C2250" s="13">
        <f>Github!F$1725</f>
        <v>66</v>
      </c>
      <c r="D2250" s="13">
        <f>Github!G$1725</f>
        <v>7</v>
      </c>
      <c r="E2250" s="13">
        <f>Github!F$1725+Github!G$1725</f>
        <v>73</v>
      </c>
      <c r="F2250" s="15">
        <f t="shared" si="1"/>
        <v>9.43</v>
      </c>
      <c r="G2250" s="13" t="str">
        <f>ROUND(Github!O$1725, 2)&amp;"%"</f>
        <v>51.13%</v>
      </c>
      <c r="H2250" s="13" t="str">
        <f>Github!H$1725</f>
        <v>Algorithms</v>
      </c>
      <c r="I2250" s="16" t="str">
        <f>SUBSTITUTE(Github!L$1725, ";", ", ")</f>
        <v>Union Find, Graph, Minimum Spanning Tree, </v>
      </c>
      <c r="J2250" s="13" t="str">
        <f>Github!E$1725</f>
        <v>Hard</v>
      </c>
      <c r="K2250" s="13" t="str">
        <f>IF(TRIM(Github!D$1725)="TRUE","FALSE","TRUE")</f>
        <v>FALSE</v>
      </c>
      <c r="L2250" s="13" t="b">
        <f>Github!M$1725</f>
        <v>0</v>
      </c>
      <c r="M2250" s="13" t="b">
        <f>Github!N$1725</f>
        <v>0</v>
      </c>
      <c r="N2250" s="13">
        <f>Github!P$1725</f>
        <v>2035</v>
      </c>
      <c r="O2250" s="13">
        <f>Github!Q$1725</f>
        <v>3980</v>
      </c>
    </row>
    <row r="2251">
      <c r="A2251" s="13">
        <f>Github!J$1844</f>
        <v>1843</v>
      </c>
      <c r="B2251" s="14" t="str">
        <f>HYPERLINK(CONCAT("http://leetcode.com/problems/",Github!C$1844), Github!B$1844)</f>
        <v>Suspicious Bank Accounts</v>
      </c>
      <c r="C2251" s="13">
        <f>Github!F$1844</f>
        <v>67</v>
      </c>
      <c r="D2251" s="13">
        <f>Github!G$1844</f>
        <v>52</v>
      </c>
      <c r="E2251" s="13">
        <f>Github!F$1844+Github!G$1844</f>
        <v>119</v>
      </c>
      <c r="F2251" s="15">
        <f t="shared" si="1"/>
        <v>1.29</v>
      </c>
      <c r="G2251" s="13" t="str">
        <f>ROUND(Github!O$1844, 2)&amp;"%"</f>
        <v>47.69%</v>
      </c>
      <c r="H2251" s="13" t="str">
        <f>Github!H$1844</f>
        <v>Database</v>
      </c>
      <c r="I2251" s="16" t="str">
        <f>SUBSTITUTE(Github!L$1844, ";", ", ")</f>
        <v>Database, </v>
      </c>
      <c r="J2251" s="13" t="str">
        <f>Github!E$1844</f>
        <v>Medium</v>
      </c>
      <c r="K2251" s="13" t="str">
        <f>IF(TRIM(Github!D$1844)="TRUE","FALSE","TRUE")</f>
        <v>FALSE</v>
      </c>
      <c r="L2251" s="13" t="b">
        <f>Github!M$1844</f>
        <v>0</v>
      </c>
      <c r="M2251" s="13" t="b">
        <f>Github!N$1844</f>
        <v>0</v>
      </c>
      <c r="N2251" s="13">
        <f>Github!P$1844</f>
        <v>7675</v>
      </c>
      <c r="O2251" s="13">
        <f>Github!Q$1844</f>
        <v>16094</v>
      </c>
    </row>
    <row r="2252">
      <c r="A2252" s="13">
        <f>Github!J$1621</f>
        <v>1620</v>
      </c>
      <c r="B2252" s="14" t="str">
        <f>HYPERLINK(CONCAT("http://leetcode.com/problems/",Github!C$1621), Github!B$1621)</f>
        <v>Coordinate With Maximum Network Quality</v>
      </c>
      <c r="C2252" s="13">
        <f>Github!F$1621</f>
        <v>65</v>
      </c>
      <c r="D2252" s="13">
        <f>Github!G$1621</f>
        <v>238</v>
      </c>
      <c r="E2252" s="13">
        <f>Github!F$1621+Github!G$1621</f>
        <v>303</v>
      </c>
      <c r="F2252" s="15">
        <f t="shared" si="1"/>
        <v>0.27</v>
      </c>
      <c r="G2252" s="13" t="str">
        <f>ROUND(Github!O$1621, 2)&amp;"%"</f>
        <v>37.67%</v>
      </c>
      <c r="H2252" s="13" t="str">
        <f>Github!H$1621</f>
        <v>Algorithms</v>
      </c>
      <c r="I2252" s="16" t="str">
        <f>SUBSTITUTE(Github!L$1621, ";", ", ")</f>
        <v>Array, Enumeration, </v>
      </c>
      <c r="J2252" s="13" t="str">
        <f>Github!E$1621</f>
        <v>Medium</v>
      </c>
      <c r="K2252" s="13" t="str">
        <f>IF(TRIM(Github!D$1621)="TRUE","FALSE","TRUE")</f>
        <v>TRUE</v>
      </c>
      <c r="L2252" s="13" t="b">
        <f>Github!M$1621</f>
        <v>0</v>
      </c>
      <c r="M2252" s="13" t="b">
        <f>Github!N$1621</f>
        <v>0</v>
      </c>
      <c r="N2252" s="13">
        <f>Github!P$1621</f>
        <v>7260</v>
      </c>
      <c r="O2252" s="13">
        <f>Github!Q$1621</f>
        <v>19271</v>
      </c>
    </row>
    <row r="2253">
      <c r="A2253" s="13">
        <f>Github!J$1716</f>
        <v>1715</v>
      </c>
      <c r="B2253" s="14" t="str">
        <f>HYPERLINK(CONCAT("http://leetcode.com/problems/",Github!C$1716), Github!B$1716)</f>
        <v>Count Apples and Oranges</v>
      </c>
      <c r="C2253" s="13">
        <f>Github!F$1716</f>
        <v>64</v>
      </c>
      <c r="D2253" s="13">
        <f>Github!G$1716</f>
        <v>18</v>
      </c>
      <c r="E2253" s="13">
        <f>Github!F$1716+Github!G$1716</f>
        <v>82</v>
      </c>
      <c r="F2253" s="15">
        <f t="shared" si="1"/>
        <v>3.56</v>
      </c>
      <c r="G2253" s="13" t="str">
        <f>ROUND(Github!O$1716, 2)&amp;"%"</f>
        <v>76.72%</v>
      </c>
      <c r="H2253" s="13" t="str">
        <f>Github!H$1716</f>
        <v>Database</v>
      </c>
      <c r="I2253" s="16" t="str">
        <f>SUBSTITUTE(Github!L$1716, ";", ", ")</f>
        <v>Database, </v>
      </c>
      <c r="J2253" s="13" t="str">
        <f>Github!E$1716</f>
        <v>Medium</v>
      </c>
      <c r="K2253" s="13" t="str">
        <f>IF(TRIM(Github!D$1716)="TRUE","FALSE","TRUE")</f>
        <v>FALSE</v>
      </c>
      <c r="L2253" s="13" t="b">
        <f>Github!M$1716</f>
        <v>0</v>
      </c>
      <c r="M2253" s="13" t="b">
        <f>Github!N$1716</f>
        <v>0</v>
      </c>
      <c r="N2253" s="13">
        <f>Github!P$1716</f>
        <v>11461</v>
      </c>
      <c r="O2253" s="13">
        <f>Github!Q$1716</f>
        <v>14939</v>
      </c>
    </row>
    <row r="2254">
      <c r="A2254" s="13">
        <f>Github!J$1984</f>
        <v>1983</v>
      </c>
      <c r="B2254" s="14" t="str">
        <f>HYPERLINK(CONCAT("http://leetcode.com/problems/",Github!C$1984), Github!B$1984)</f>
        <v>Widest Pair of Indices With Equal Range Sum</v>
      </c>
      <c r="C2254" s="13">
        <f>Github!F$1984</f>
        <v>64</v>
      </c>
      <c r="D2254" s="13">
        <f>Github!G$1984</f>
        <v>0</v>
      </c>
      <c r="E2254" s="13">
        <f>Github!F$1984+Github!G$1984</f>
        <v>64</v>
      </c>
      <c r="F2254" s="15">
        <f t="shared" si="1"/>
        <v>64</v>
      </c>
      <c r="G2254" s="13" t="str">
        <f>ROUND(Github!O$1984, 2)&amp;"%"</f>
        <v>54.15%</v>
      </c>
      <c r="H2254" s="13" t="str">
        <f>Github!H$1984</f>
        <v>Algorithms</v>
      </c>
      <c r="I2254" s="16" t="str">
        <f>SUBSTITUTE(Github!L$1984, ";", ", ")</f>
        <v>Array, Hash Table, Prefix Sum, </v>
      </c>
      <c r="J2254" s="13" t="str">
        <f>Github!E$1984</f>
        <v>Medium</v>
      </c>
      <c r="K2254" s="13" t="str">
        <f>IF(TRIM(Github!D$1984)="TRUE","FALSE","TRUE")</f>
        <v>FALSE</v>
      </c>
      <c r="L2254" s="13" t="b">
        <f>Github!M$1984</f>
        <v>0</v>
      </c>
      <c r="M2254" s="13" t="b">
        <f>Github!N$1984</f>
        <v>0</v>
      </c>
      <c r="N2254" s="13">
        <f>Github!P$1984</f>
        <v>1682</v>
      </c>
      <c r="O2254" s="13">
        <f>Github!Q$1984</f>
        <v>3106</v>
      </c>
    </row>
    <row r="2255">
      <c r="A2255" s="13">
        <f>Github!J$1893</f>
        <v>1892</v>
      </c>
      <c r="B2255" s="14" t="str">
        <f>HYPERLINK(CONCAT("http://leetcode.com/problems/",Github!C$1893), Github!B$1893)</f>
        <v>Page Recommendations II</v>
      </c>
      <c r="C2255" s="13">
        <f>Github!F$1893</f>
        <v>63</v>
      </c>
      <c r="D2255" s="13">
        <f>Github!G$1893</f>
        <v>18</v>
      </c>
      <c r="E2255" s="13">
        <f>Github!F$1893+Github!G$1893</f>
        <v>81</v>
      </c>
      <c r="F2255" s="15">
        <f t="shared" si="1"/>
        <v>3.5</v>
      </c>
      <c r="G2255" s="13" t="str">
        <f>ROUND(Github!O$1893, 2)&amp;"%"</f>
        <v>44.57%</v>
      </c>
      <c r="H2255" s="13" t="str">
        <f>Github!H$1893</f>
        <v>Database</v>
      </c>
      <c r="I2255" s="16" t="str">
        <f>SUBSTITUTE(Github!L$1893, ";", ", ")</f>
        <v>Database, </v>
      </c>
      <c r="J2255" s="13" t="str">
        <f>Github!E$1893</f>
        <v>Hard</v>
      </c>
      <c r="K2255" s="13" t="str">
        <f>IF(TRIM(Github!D$1893)="TRUE","FALSE","TRUE")</f>
        <v>FALSE</v>
      </c>
      <c r="L2255" s="13" t="b">
        <f>Github!M$1893</f>
        <v>0</v>
      </c>
      <c r="M2255" s="13" t="b">
        <f>Github!N$1893</f>
        <v>0</v>
      </c>
      <c r="N2255" s="13">
        <f>Github!P$1893</f>
        <v>4806</v>
      </c>
      <c r="O2255" s="13">
        <f>Github!Q$1893</f>
        <v>10782</v>
      </c>
    </row>
    <row r="2256">
      <c r="A2256" s="13">
        <f>Github!J$1272</f>
        <v>1271</v>
      </c>
      <c r="B2256" s="14" t="str">
        <f>HYPERLINK(CONCAT("http://leetcode.com/problems/",Github!C$1272), Github!B$1272)</f>
        <v>Hexspeak</v>
      </c>
      <c r="C2256" s="13">
        <f>Github!F$1272</f>
        <v>62</v>
      </c>
      <c r="D2256" s="13">
        <f>Github!G$1272</f>
        <v>110</v>
      </c>
      <c r="E2256" s="13">
        <f>Github!F$1272+Github!G$1272</f>
        <v>172</v>
      </c>
      <c r="F2256" s="15">
        <f t="shared" si="1"/>
        <v>0.56</v>
      </c>
      <c r="G2256" s="13" t="str">
        <f>ROUND(Github!O$1272, 2)&amp;"%"</f>
        <v>57.06%</v>
      </c>
      <c r="H2256" s="13" t="str">
        <f>Github!H$1272</f>
        <v>Algorithms</v>
      </c>
      <c r="I2256" s="16" t="str">
        <f>SUBSTITUTE(Github!L$1272, ";", ", ")</f>
        <v>Math, String, </v>
      </c>
      <c r="J2256" s="13" t="str">
        <f>Github!E$1272</f>
        <v>Easy</v>
      </c>
      <c r="K2256" s="13" t="str">
        <f>IF(TRIM(Github!D$1272)="TRUE","FALSE","TRUE")</f>
        <v>FALSE</v>
      </c>
      <c r="L2256" s="13" t="b">
        <f>Github!M$1272</f>
        <v>0</v>
      </c>
      <c r="M2256" s="13" t="b">
        <f>Github!N$1272</f>
        <v>0</v>
      </c>
      <c r="N2256" s="13">
        <f>Github!P$1272</f>
        <v>9015</v>
      </c>
      <c r="O2256" s="13">
        <f>Github!Q$1272</f>
        <v>15800</v>
      </c>
    </row>
    <row r="2257">
      <c r="A2257" s="13">
        <f>Github!J$1789</f>
        <v>1788</v>
      </c>
      <c r="B2257" s="14" t="str">
        <f>HYPERLINK(CONCAT("http://leetcode.com/problems/",Github!C$1789), Github!B$1789)</f>
        <v>Maximize the Beauty of the Garden</v>
      </c>
      <c r="C2257" s="13">
        <f>Github!F$1789</f>
        <v>61</v>
      </c>
      <c r="D2257" s="13">
        <f>Github!G$1789</f>
        <v>5</v>
      </c>
      <c r="E2257" s="13">
        <f>Github!F$1789+Github!G$1789</f>
        <v>66</v>
      </c>
      <c r="F2257" s="15">
        <f t="shared" si="1"/>
        <v>12.2</v>
      </c>
      <c r="G2257" s="13" t="str">
        <f>ROUND(Github!O$1789, 2)&amp;"%"</f>
        <v>66.45%</v>
      </c>
      <c r="H2257" s="13" t="str">
        <f>Github!H$1789</f>
        <v>Algorithms</v>
      </c>
      <c r="I2257" s="16" t="str">
        <f>SUBSTITUTE(Github!L$1789, ";", ", ")</f>
        <v>Array, Greedy, Prefix Sum, </v>
      </c>
      <c r="J2257" s="13" t="str">
        <f>Github!E$1789</f>
        <v>Hard</v>
      </c>
      <c r="K2257" s="13" t="str">
        <f>IF(TRIM(Github!D$1789)="TRUE","FALSE","TRUE")</f>
        <v>FALSE</v>
      </c>
      <c r="L2257" s="13" t="b">
        <f>Github!M$1789</f>
        <v>0</v>
      </c>
      <c r="M2257" s="13" t="b">
        <f>Github!N$1789</f>
        <v>0</v>
      </c>
      <c r="N2257" s="13">
        <f>Github!P$1789</f>
        <v>1664</v>
      </c>
      <c r="O2257" s="13">
        <f>Github!Q$1789</f>
        <v>2504</v>
      </c>
    </row>
    <row r="2258">
      <c r="A2258" s="13">
        <f>Github!J$1566</f>
        <v>1565</v>
      </c>
      <c r="B2258" s="14" t="str">
        <f>HYPERLINK(CONCAT("http://leetcode.com/problems/",Github!C$1566), Github!B$1566)</f>
        <v>Unique Orders and Customers Per Month</v>
      </c>
      <c r="C2258" s="13">
        <f>Github!F$1566</f>
        <v>62</v>
      </c>
      <c r="D2258" s="13">
        <f>Github!G$1566</f>
        <v>38</v>
      </c>
      <c r="E2258" s="13">
        <f>Github!F$1566+Github!G$1566</f>
        <v>100</v>
      </c>
      <c r="F2258" s="15">
        <f t="shared" si="1"/>
        <v>1.63</v>
      </c>
      <c r="G2258" s="13" t="str">
        <f>ROUND(Github!O$1566, 2)&amp;"%"</f>
        <v>83.31%</v>
      </c>
      <c r="H2258" s="13" t="str">
        <f>Github!H$1566</f>
        <v>Database</v>
      </c>
      <c r="I2258" s="16" t="str">
        <f>SUBSTITUTE(Github!L$1566, ";", ", ")</f>
        <v>Database, </v>
      </c>
      <c r="J2258" s="13" t="str">
        <f>Github!E$1566</f>
        <v>Easy</v>
      </c>
      <c r="K2258" s="13" t="str">
        <f>IF(TRIM(Github!D$1566)="TRUE","FALSE","TRUE")</f>
        <v>FALSE</v>
      </c>
      <c r="L2258" s="13" t="b">
        <f>Github!M$1566</f>
        <v>0</v>
      </c>
      <c r="M2258" s="13" t="b">
        <f>Github!N$1566</f>
        <v>0</v>
      </c>
      <c r="N2258" s="13">
        <f>Github!P$1566</f>
        <v>17567</v>
      </c>
      <c r="O2258" s="13">
        <f>Github!Q$1566</f>
        <v>21087</v>
      </c>
    </row>
    <row r="2259">
      <c r="A2259" s="13">
        <f>Github!J$1810</f>
        <v>1809</v>
      </c>
      <c r="B2259" s="14" t="str">
        <f>HYPERLINK(CONCAT("http://leetcode.com/problems/",Github!C$1810), Github!B$1810)</f>
        <v>Ad-Free Sessions</v>
      </c>
      <c r="C2259" s="13">
        <f>Github!F$1810</f>
        <v>64</v>
      </c>
      <c r="D2259" s="13">
        <f>Github!G$1810</f>
        <v>47</v>
      </c>
      <c r="E2259" s="13">
        <f>Github!F$1810+Github!G$1810</f>
        <v>111</v>
      </c>
      <c r="F2259" s="15">
        <f t="shared" si="1"/>
        <v>1.36</v>
      </c>
      <c r="G2259" s="13" t="str">
        <f>ROUND(Github!O$1810, 2)&amp;"%"</f>
        <v>59.75%</v>
      </c>
      <c r="H2259" s="13" t="str">
        <f>Github!H$1810</f>
        <v>Database</v>
      </c>
      <c r="I2259" s="16" t="str">
        <f>SUBSTITUTE(Github!L$1810, ";", ", ")</f>
        <v>Database, </v>
      </c>
      <c r="J2259" s="13" t="str">
        <f>Github!E$1810</f>
        <v>Easy</v>
      </c>
      <c r="K2259" s="13" t="str">
        <f>IF(TRIM(Github!D$1810)="TRUE","FALSE","TRUE")</f>
        <v>FALSE</v>
      </c>
      <c r="L2259" s="13" t="b">
        <f>Github!M$1810</f>
        <v>0</v>
      </c>
      <c r="M2259" s="13" t="b">
        <f>Github!N$1810</f>
        <v>0</v>
      </c>
      <c r="N2259" s="13">
        <f>Github!P$1810</f>
        <v>11933</v>
      </c>
      <c r="O2259" s="13">
        <f>Github!Q$1810</f>
        <v>19971</v>
      </c>
    </row>
    <row r="2260">
      <c r="A2260" s="13">
        <f>Github!J$2341</f>
        <v>2340</v>
      </c>
      <c r="B2260" s="14" t="str">
        <f>HYPERLINK(CONCAT("http://leetcode.com/problems/",Github!C$2341), Github!B$2341)</f>
        <v>Minimum Adjacent Swaps to Make a Valid Array</v>
      </c>
      <c r="C2260" s="13">
        <f>Github!F$2341</f>
        <v>63</v>
      </c>
      <c r="D2260" s="13">
        <f>Github!G$2341</f>
        <v>11</v>
      </c>
      <c r="E2260" s="13">
        <f>Github!F$2341+Github!G$2341</f>
        <v>74</v>
      </c>
      <c r="F2260" s="15">
        <f t="shared" si="1"/>
        <v>5.73</v>
      </c>
      <c r="G2260" s="13" t="str">
        <f>ROUND(Github!O$2341, 2)&amp;"%"</f>
        <v>75.72%</v>
      </c>
      <c r="H2260" s="13" t="str">
        <f>Github!H2341</f>
        <v>Algorithms</v>
      </c>
      <c r="I2260" s="16" t="str">
        <f>SUBSTITUTE(Github!L$2341, ";", ", ")</f>
        <v>Array, Greedy, </v>
      </c>
      <c r="J2260" s="13" t="str">
        <f>Github!E$2341</f>
        <v>Medium</v>
      </c>
      <c r="K2260" s="13" t="str">
        <f>IF(TRIM(Github!D$2341)="TRUE","FALSE","TRUE")</f>
        <v>FALSE</v>
      </c>
      <c r="L2260" s="13" t="b">
        <f>Github!M$2341</f>
        <v>0</v>
      </c>
      <c r="M2260" s="13" t="b">
        <f>Github!N$2341</f>
        <v>0</v>
      </c>
      <c r="N2260" s="13">
        <f>Github!P$2341</f>
        <v>4974</v>
      </c>
      <c r="O2260" s="13">
        <f>Github!Q$2341</f>
        <v>6569</v>
      </c>
    </row>
    <row r="2261">
      <c r="A2261" s="13">
        <f>Github!J$1989</f>
        <v>1988</v>
      </c>
      <c r="B2261" s="14" t="str">
        <f>HYPERLINK(CONCAT("http://leetcode.com/problems/",Github!C$1989), Github!B$1989)</f>
        <v>Find Cutoff Score for Each School</v>
      </c>
      <c r="C2261" s="13">
        <f>Github!F$1989</f>
        <v>63</v>
      </c>
      <c r="D2261" s="13">
        <f>Github!G$1989</f>
        <v>113</v>
      </c>
      <c r="E2261" s="13">
        <f>Github!F$1989+Github!G$1989</f>
        <v>176</v>
      </c>
      <c r="F2261" s="15">
        <f t="shared" si="1"/>
        <v>0.56</v>
      </c>
      <c r="G2261" s="13" t="str">
        <f>ROUND(Github!O$1989, 2)&amp;"%"</f>
        <v>69.58%</v>
      </c>
      <c r="H2261" s="13" t="str">
        <f>Github!H$1989</f>
        <v>Database</v>
      </c>
      <c r="I2261" s="16" t="str">
        <f>SUBSTITUTE(Github!L$1989, ";", ", ")</f>
        <v>Database, </v>
      </c>
      <c r="J2261" s="13" t="str">
        <f>Github!E$1989</f>
        <v>Medium</v>
      </c>
      <c r="K2261" s="13" t="str">
        <f>IF(TRIM(Github!D$1989)="TRUE","FALSE","TRUE")</f>
        <v>FALSE</v>
      </c>
      <c r="L2261" s="13" t="b">
        <f>Github!M$1989</f>
        <v>0</v>
      </c>
      <c r="M2261" s="13" t="b">
        <f>Github!N$1989</f>
        <v>0</v>
      </c>
      <c r="N2261" s="13">
        <f>Github!P$1989</f>
        <v>7375</v>
      </c>
      <c r="O2261" s="13">
        <f>Github!Q$1989</f>
        <v>10599</v>
      </c>
    </row>
    <row r="2262">
      <c r="A2262" s="13">
        <f>Github!J$1280</f>
        <v>1279</v>
      </c>
      <c r="B2262" s="14" t="str">
        <f>HYPERLINK(CONCAT("http://leetcode.com/problems/",Github!C$1280), Github!B$1280)</f>
        <v>Traffic Light Controlled Intersection</v>
      </c>
      <c r="C2262" s="13">
        <f>Github!F$1280</f>
        <v>60</v>
      </c>
      <c r="D2262" s="13">
        <f>Github!G$1280</f>
        <v>288</v>
      </c>
      <c r="E2262" s="13">
        <f>Github!F$1280+Github!G$1280</f>
        <v>348</v>
      </c>
      <c r="F2262" s="15">
        <f t="shared" si="1"/>
        <v>0.21</v>
      </c>
      <c r="G2262" s="13" t="str">
        <f>ROUND(Github!O$1280, 2)&amp;"%"</f>
        <v>74.3%</v>
      </c>
      <c r="H2262" s="13" t="str">
        <f>Github!H$1280</f>
        <v>Concurrency</v>
      </c>
      <c r="I2262" s="16" t="str">
        <f>SUBSTITUTE(Github!L$1280, ";", ", ")</f>
        <v>Concurrency, </v>
      </c>
      <c r="J2262" s="13" t="str">
        <f>Github!E$1280</f>
        <v>Easy</v>
      </c>
      <c r="K2262" s="13" t="str">
        <f>IF(TRIM(Github!D$1280)="TRUE","FALSE","TRUE")</f>
        <v>FALSE</v>
      </c>
      <c r="L2262" s="13" t="b">
        <f>Github!M$1280</f>
        <v>0</v>
      </c>
      <c r="M2262" s="13" t="b">
        <f>Github!N$1280</f>
        <v>0</v>
      </c>
      <c r="N2262" s="13">
        <f>Github!P$1280</f>
        <v>10373</v>
      </c>
      <c r="O2262" s="13">
        <f>Github!Q$1280</f>
        <v>13961</v>
      </c>
    </row>
    <row r="2263">
      <c r="A2263" s="13">
        <f>Github!J$1624</f>
        <v>1623</v>
      </c>
      <c r="B2263" s="14" t="str">
        <f>HYPERLINK(CONCAT("http://leetcode.com/problems/",Github!C$1624), Github!B$1624)</f>
        <v>All Valid Triplets That Can Represent a Country</v>
      </c>
      <c r="C2263" s="13">
        <f>Github!F$1624</f>
        <v>60</v>
      </c>
      <c r="D2263" s="13">
        <f>Github!G$1624</f>
        <v>116</v>
      </c>
      <c r="E2263" s="13">
        <f>Github!F$1624+Github!G$1624</f>
        <v>176</v>
      </c>
      <c r="F2263" s="15">
        <f t="shared" si="1"/>
        <v>0.52</v>
      </c>
      <c r="G2263" s="13" t="str">
        <f>ROUND(Github!O$1624, 2)&amp;"%"</f>
        <v>87.59%</v>
      </c>
      <c r="H2263" s="13" t="str">
        <f>Github!H$1624</f>
        <v>Database</v>
      </c>
      <c r="I2263" s="16" t="str">
        <f>SUBSTITUTE(Github!L$1624, ";", ", ")</f>
        <v>Database, </v>
      </c>
      <c r="J2263" s="13" t="str">
        <f>Github!E$1624</f>
        <v>Easy</v>
      </c>
      <c r="K2263" s="13" t="str">
        <f>IF(TRIM(Github!D$1624)="TRUE","FALSE","TRUE")</f>
        <v>FALSE</v>
      </c>
      <c r="L2263" s="13" t="b">
        <f>Github!M$1624</f>
        <v>0</v>
      </c>
      <c r="M2263" s="13" t="b">
        <f>Github!N$1624</f>
        <v>0</v>
      </c>
      <c r="N2263" s="13">
        <f>Github!P$1624</f>
        <v>16010</v>
      </c>
      <c r="O2263" s="13">
        <f>Github!Q$1624</f>
        <v>18278</v>
      </c>
    </row>
    <row r="2264">
      <c r="A2264" s="13">
        <f>Github!J$1693</f>
        <v>1692</v>
      </c>
      <c r="B2264" s="14" t="str">
        <f>HYPERLINK(CONCAT("http://leetcode.com/problems/",Github!C$1693), Github!B$1693)</f>
        <v>Count Ways to Distribute Candies</v>
      </c>
      <c r="C2264" s="13">
        <f>Github!F$1693</f>
        <v>61</v>
      </c>
      <c r="D2264" s="13">
        <f>Github!G$1693</f>
        <v>7</v>
      </c>
      <c r="E2264" s="13">
        <f>Github!F$1693+Github!G$1693</f>
        <v>68</v>
      </c>
      <c r="F2264" s="15">
        <f t="shared" si="1"/>
        <v>8.71</v>
      </c>
      <c r="G2264" s="13" t="str">
        <f>ROUND(Github!O$1693, 2)&amp;"%"</f>
        <v>62.49%</v>
      </c>
      <c r="H2264" s="13" t="str">
        <f>Github!H$1693</f>
        <v>Algorithms</v>
      </c>
      <c r="I2264" s="16" t="str">
        <f>SUBSTITUTE(Github!L$1693, ";", ", ")</f>
        <v>Dynamic Programming, </v>
      </c>
      <c r="J2264" s="13" t="str">
        <f>Github!E$1693</f>
        <v>Hard</v>
      </c>
      <c r="K2264" s="13" t="str">
        <f>IF(TRIM(Github!D$1693)="TRUE","FALSE","TRUE")</f>
        <v>FALSE</v>
      </c>
      <c r="L2264" s="13" t="b">
        <f>Github!M$1693</f>
        <v>0</v>
      </c>
      <c r="M2264" s="13" t="b">
        <f>Github!N$1693</f>
        <v>0</v>
      </c>
      <c r="N2264" s="13">
        <f>Github!P$1693</f>
        <v>1926</v>
      </c>
      <c r="O2264" s="13">
        <f>Github!Q$1693</f>
        <v>3082</v>
      </c>
    </row>
    <row r="2265">
      <c r="A2265" s="13">
        <f>Github!J$1832</f>
        <v>1831</v>
      </c>
      <c r="B2265" s="14" t="str">
        <f>HYPERLINK(CONCAT("http://leetcode.com/problems/",Github!C$1832), Github!B$1832)</f>
        <v>Maximum Transaction Each Day</v>
      </c>
      <c r="C2265" s="13">
        <f>Github!F$1832</f>
        <v>57</v>
      </c>
      <c r="D2265" s="13">
        <f>Github!G$1832</f>
        <v>1</v>
      </c>
      <c r="E2265" s="13">
        <f>Github!F$1832+Github!G$1832</f>
        <v>58</v>
      </c>
      <c r="F2265" s="15">
        <f t="shared" si="1"/>
        <v>57</v>
      </c>
      <c r="G2265" s="13" t="str">
        <f>ROUND(Github!O$1832, 2)&amp;"%"</f>
        <v>84.36%</v>
      </c>
      <c r="H2265" s="13" t="str">
        <f>Github!H$1832</f>
        <v>Database</v>
      </c>
      <c r="I2265" s="16" t="str">
        <f>SUBSTITUTE(Github!L$1832, ";", ", ")</f>
        <v>Database, </v>
      </c>
      <c r="J2265" s="13" t="str">
        <f>Github!E$1832</f>
        <v>Medium</v>
      </c>
      <c r="K2265" s="13" t="str">
        <f>IF(TRIM(Github!D$1832)="TRUE","FALSE","TRUE")</f>
        <v>FALSE</v>
      </c>
      <c r="L2265" s="13" t="b">
        <f>Github!M$1832</f>
        <v>0</v>
      </c>
      <c r="M2265" s="13" t="b">
        <f>Github!N$1832</f>
        <v>0</v>
      </c>
      <c r="N2265" s="13">
        <f>Github!P$1832</f>
        <v>11479</v>
      </c>
      <c r="O2265" s="13">
        <f>Github!Q$1832</f>
        <v>13607</v>
      </c>
    </row>
    <row r="2266">
      <c r="A2266" s="13">
        <f>Github!J$2108</f>
        <v>2107</v>
      </c>
      <c r="B2266" s="14" t="str">
        <f>HYPERLINK(CONCAT("http://leetcode.com/problems/",Github!C$2108), Github!B$2108)</f>
        <v>Number of Unique Flavors After Sharing K Candies</v>
      </c>
      <c r="C2266" s="13">
        <f>Github!F$2108</f>
        <v>57</v>
      </c>
      <c r="D2266" s="13">
        <f>Github!G$2108</f>
        <v>2</v>
      </c>
      <c r="E2266" s="13">
        <f>Github!F$2108+Github!G$2108</f>
        <v>59</v>
      </c>
      <c r="F2266" s="15">
        <f t="shared" si="1"/>
        <v>28.5</v>
      </c>
      <c r="G2266" s="13" t="str">
        <f>ROUND(Github!O$2108, 2)&amp;"%"</f>
        <v>56.42%</v>
      </c>
      <c r="H2266" s="13" t="str">
        <f>Github!H$2108</f>
        <v>Algorithms</v>
      </c>
      <c r="I2266" s="16" t="str">
        <f>SUBSTITUTE(Github!L$2108, ";", ", ")</f>
        <v>Array, Hash Table, Sliding Window, </v>
      </c>
      <c r="J2266" s="13" t="str">
        <f>Github!E$2108</f>
        <v>Medium</v>
      </c>
      <c r="K2266" s="13" t="str">
        <f>IF(TRIM(Github!D$2108)="TRUE","FALSE","TRUE")</f>
        <v>FALSE</v>
      </c>
      <c r="L2266" s="13" t="b">
        <f>Github!M$2108</f>
        <v>0</v>
      </c>
      <c r="M2266" s="13" t="b">
        <f>Github!N$2108</f>
        <v>0</v>
      </c>
      <c r="N2266" s="13">
        <f>Github!P$2108</f>
        <v>2077</v>
      </c>
      <c r="O2266" s="13">
        <f>Github!Q$2108</f>
        <v>3681</v>
      </c>
    </row>
    <row r="2267">
      <c r="A2267" s="13">
        <f>Github!J$2230</f>
        <v>2229</v>
      </c>
      <c r="B2267" s="14" t="str">
        <f>HYPERLINK(CONCAT("http://leetcode.com/problems/",Github!C$2230), Github!B$2230)</f>
        <v>Check if an Array Is Consecutive</v>
      </c>
      <c r="C2267" s="13">
        <f>Github!F$2230</f>
        <v>57</v>
      </c>
      <c r="D2267" s="13">
        <f>Github!G$2230</f>
        <v>7</v>
      </c>
      <c r="E2267" s="13">
        <f>Github!F$2230+Github!G$2230</f>
        <v>64</v>
      </c>
      <c r="F2267" s="15">
        <f t="shared" si="1"/>
        <v>8.14</v>
      </c>
      <c r="G2267" s="13" t="str">
        <f>ROUND(Github!O$2230, 2)&amp;"%"</f>
        <v>61.33%</v>
      </c>
      <c r="H2267" s="13" t="str">
        <f>Github!H$2230</f>
        <v>Algorithms</v>
      </c>
      <c r="I2267" s="16" t="str">
        <f>SUBSTITUTE(Github!L$2230, ";", ", ")</f>
        <v>Array, </v>
      </c>
      <c r="J2267" s="13" t="str">
        <f>Github!E$2230</f>
        <v>Easy</v>
      </c>
      <c r="K2267" s="13" t="str">
        <f>IF(TRIM(Github!D$2230)="TRUE","FALSE","TRUE")</f>
        <v>FALSE</v>
      </c>
      <c r="L2267" s="13" t="b">
        <f>Github!M$2230</f>
        <v>0</v>
      </c>
      <c r="M2267" s="13" t="b">
        <f>Github!N$2230</f>
        <v>0</v>
      </c>
      <c r="N2267" s="13">
        <f>Github!P$2230</f>
        <v>3496</v>
      </c>
      <c r="O2267" s="13">
        <f>Github!Q$2230</f>
        <v>5700</v>
      </c>
    </row>
    <row r="2268">
      <c r="A2268" s="13">
        <f>Github!J$2099</f>
        <v>2098</v>
      </c>
      <c r="B2268" s="14" t="str">
        <f>HYPERLINK(CONCAT("http://leetcode.com/problems/",Github!C$2099), Github!B$2099)</f>
        <v>Subsequence of Size K With the Largest Even Sum</v>
      </c>
      <c r="C2268" s="13">
        <f>Github!F$2099</f>
        <v>56</v>
      </c>
      <c r="D2268" s="13">
        <f>Github!G$2099</f>
        <v>2</v>
      </c>
      <c r="E2268" s="13">
        <f>Github!F$2099+Github!G$2099</f>
        <v>58</v>
      </c>
      <c r="F2268" s="15">
        <f t="shared" si="1"/>
        <v>28</v>
      </c>
      <c r="G2268" s="13" t="str">
        <f>ROUND(Github!O$2099, 2)&amp;"%"</f>
        <v>38.27%</v>
      </c>
      <c r="H2268" s="13" t="str">
        <f>Github!H$2099</f>
        <v>Algorithms</v>
      </c>
      <c r="I2268" s="16" t="str">
        <f>SUBSTITUTE(Github!L$2099, ";", ", ")</f>
        <v>Array, Greedy, Sorting, </v>
      </c>
      <c r="J2268" s="13" t="str">
        <f>Github!E$2099</f>
        <v>Medium</v>
      </c>
      <c r="K2268" s="13" t="str">
        <f>IF(TRIM(Github!D$2099)="TRUE","FALSE","TRUE")</f>
        <v>FALSE</v>
      </c>
      <c r="L2268" s="13" t="b">
        <f>Github!M$2099</f>
        <v>0</v>
      </c>
      <c r="M2268" s="13" t="b">
        <f>Github!N$2099</f>
        <v>0</v>
      </c>
      <c r="N2268" s="13">
        <f>Github!P$2099</f>
        <v>1963</v>
      </c>
      <c r="O2268" s="13">
        <f>Github!Q$2099</f>
        <v>5129</v>
      </c>
    </row>
    <row r="2269">
      <c r="A2269" s="13">
        <f>Github!J$1990</f>
        <v>1989</v>
      </c>
      <c r="B2269" s="14" t="str">
        <f>HYPERLINK(CONCAT("http://leetcode.com/problems/",Github!C$1990), Github!B$1990)</f>
        <v>Maximum Number of People That Can Be Caught in Tag</v>
      </c>
      <c r="C2269" s="13">
        <f>Github!F$1990</f>
        <v>55</v>
      </c>
      <c r="D2269" s="13">
        <f>Github!G$1990</f>
        <v>8</v>
      </c>
      <c r="E2269" s="13">
        <f>Github!F$1990+Github!G$1990</f>
        <v>63</v>
      </c>
      <c r="F2269" s="15">
        <f t="shared" si="1"/>
        <v>6.88</v>
      </c>
      <c r="G2269" s="13" t="str">
        <f>ROUND(Github!O$1990, 2)&amp;"%"</f>
        <v>52.99%</v>
      </c>
      <c r="H2269" s="13" t="str">
        <f>Github!H$1990</f>
        <v>Algorithms</v>
      </c>
      <c r="I2269" s="16" t="str">
        <f>SUBSTITUTE(Github!L$1990, ";", ", ")</f>
        <v>Array, Greedy, </v>
      </c>
      <c r="J2269" s="13" t="str">
        <f>Github!E$1990</f>
        <v>Medium</v>
      </c>
      <c r="K2269" s="13" t="str">
        <f>IF(TRIM(Github!D$1990)="TRUE","FALSE","TRUE")</f>
        <v>FALSE</v>
      </c>
      <c r="L2269" s="13" t="b">
        <f>Github!M$1990</f>
        <v>0</v>
      </c>
      <c r="M2269" s="13" t="b">
        <f>Github!N$1990</f>
        <v>0</v>
      </c>
      <c r="N2269" s="13">
        <f>Github!P$1990</f>
        <v>1524</v>
      </c>
      <c r="O2269" s="13">
        <f>Github!Q$1990</f>
        <v>2876</v>
      </c>
    </row>
    <row r="2270">
      <c r="A2270" s="13">
        <f>Github!J$2298</f>
        <v>2297</v>
      </c>
      <c r="B2270" s="14" t="str">
        <f>HYPERLINK(CONCAT("http://leetcode.com/problems/",Github!C$2298), Github!B$2298)</f>
        <v>Jump Game VIII</v>
      </c>
      <c r="C2270" s="13">
        <f>Github!F$2298</f>
        <v>60</v>
      </c>
      <c r="D2270" s="13">
        <f>Github!G$2298</f>
        <v>9</v>
      </c>
      <c r="E2270" s="13">
        <f>Github!F$2298+Github!G$2298</f>
        <v>69</v>
      </c>
      <c r="F2270" s="15">
        <f t="shared" si="1"/>
        <v>6.67</v>
      </c>
      <c r="G2270" s="13" t="str">
        <f>ROUND(Github!O$2298, 2)&amp;"%"</f>
        <v>56.54%</v>
      </c>
      <c r="H2270" s="13" t="str">
        <f>Github!H2298</f>
        <v>Algorithms</v>
      </c>
      <c r="I2270" s="16" t="str">
        <f>SUBSTITUTE(Github!L$2298, ";", ", ")</f>
        <v>Array, Dynamic Programming, Stack, Graph, Monotonic Stack, Shortest Path, </v>
      </c>
      <c r="J2270" s="13" t="str">
        <f>Github!E$2298</f>
        <v>Medium</v>
      </c>
      <c r="K2270" s="13" t="str">
        <f>IF(TRIM(Github!D$2298)="TRUE","FALSE","TRUE")</f>
        <v>FALSE</v>
      </c>
      <c r="L2270" s="13" t="b">
        <f>Github!M$2298</f>
        <v>0</v>
      </c>
      <c r="M2270" s="13" t="b">
        <f>Github!N$2298</f>
        <v>0</v>
      </c>
      <c r="N2270" s="13">
        <f>Github!P$2298</f>
        <v>1150</v>
      </c>
      <c r="O2270" s="13">
        <f>Github!Q$2298</f>
        <v>2034</v>
      </c>
    </row>
    <row r="2271">
      <c r="A2271" s="13">
        <f>Github!J$1868</f>
        <v>1867</v>
      </c>
      <c r="B2271" s="14" t="str">
        <f>HYPERLINK(CONCAT("http://leetcode.com/problems/",Github!C$1868), Github!B$1868)</f>
        <v>Orders With Maximum Quantity Above Average</v>
      </c>
      <c r="C2271" s="13">
        <f>Github!F$1868</f>
        <v>57</v>
      </c>
      <c r="D2271" s="13">
        <f>Github!G$1868</f>
        <v>211</v>
      </c>
      <c r="E2271" s="13">
        <f>Github!F$1868+Github!G$1868</f>
        <v>268</v>
      </c>
      <c r="F2271" s="15">
        <f t="shared" si="1"/>
        <v>0.27</v>
      </c>
      <c r="G2271" s="13" t="str">
        <f>ROUND(Github!O$1868, 2)&amp;"%"</f>
        <v>75.29%</v>
      </c>
      <c r="H2271" s="13" t="str">
        <f>Github!H$1868</f>
        <v>Database</v>
      </c>
      <c r="I2271" s="16" t="str">
        <f>SUBSTITUTE(Github!L$1868, ";", ", ")</f>
        <v>Database, </v>
      </c>
      <c r="J2271" s="13" t="str">
        <f>Github!E$1868</f>
        <v>Medium</v>
      </c>
      <c r="K2271" s="13" t="str">
        <f>IF(TRIM(Github!D$1868)="TRUE","FALSE","TRUE")</f>
        <v>FALSE</v>
      </c>
      <c r="L2271" s="13" t="b">
        <f>Github!M$1868</f>
        <v>0</v>
      </c>
      <c r="M2271" s="13" t="b">
        <f>Github!N$1868</f>
        <v>0</v>
      </c>
      <c r="N2271" s="13">
        <f>Github!P$1868</f>
        <v>11521</v>
      </c>
      <c r="O2271" s="13">
        <f>Github!Q$1868</f>
        <v>15303</v>
      </c>
    </row>
    <row r="2272">
      <c r="A2272" s="13">
        <f>Github!J$2085</f>
        <v>2084</v>
      </c>
      <c r="B2272" s="14" t="str">
        <f>HYPERLINK(CONCAT("http://leetcode.com/problems/",Github!C$2085), Github!B$2085)</f>
        <v>Drop Type 1 Orders for Customers With Type 0 Orders</v>
      </c>
      <c r="C2272" s="13">
        <f>Github!F$2085</f>
        <v>55</v>
      </c>
      <c r="D2272" s="13">
        <f>Github!G$2085</f>
        <v>12</v>
      </c>
      <c r="E2272" s="13">
        <f>Github!F$2085+Github!G$2085</f>
        <v>67</v>
      </c>
      <c r="F2272" s="15">
        <f t="shared" si="1"/>
        <v>4.58</v>
      </c>
      <c r="G2272" s="13" t="str">
        <f>ROUND(Github!O$2085, 2)&amp;"%"</f>
        <v>90.3%</v>
      </c>
      <c r="H2272" s="13" t="str">
        <f>Github!H$2085</f>
        <v>Database</v>
      </c>
      <c r="I2272" s="16" t="str">
        <f>SUBSTITUTE(Github!L$2085, ";", ", ")</f>
        <v>Database, </v>
      </c>
      <c r="J2272" s="13" t="str">
        <f>Github!E$2085</f>
        <v>Medium</v>
      </c>
      <c r="K2272" s="13" t="str">
        <f>IF(TRIM(Github!D$2085)="TRUE","FALSE","TRUE")</f>
        <v>FALSE</v>
      </c>
      <c r="L2272" s="13" t="b">
        <f>Github!M$2085</f>
        <v>0</v>
      </c>
      <c r="M2272" s="13" t="b">
        <f>Github!N$2085</f>
        <v>0</v>
      </c>
      <c r="N2272" s="13">
        <f>Github!P$2085</f>
        <v>6172</v>
      </c>
      <c r="O2272" s="13">
        <f>Github!Q$2085</f>
        <v>6835</v>
      </c>
    </row>
    <row r="2273">
      <c r="A2273" s="13">
        <f>Github!J$1967</f>
        <v>1966</v>
      </c>
      <c r="B2273" s="14" t="str">
        <f>HYPERLINK(CONCAT("http://leetcode.com/problems/",Github!C$1967), Github!B$1967)</f>
        <v>Binary Searchable Numbers in an Unsorted Array</v>
      </c>
      <c r="C2273" s="13">
        <f>Github!F$1967</f>
        <v>53</v>
      </c>
      <c r="D2273" s="13">
        <f>Github!G$1967</f>
        <v>6</v>
      </c>
      <c r="E2273" s="13">
        <f>Github!F$1967+Github!G$1967</f>
        <v>59</v>
      </c>
      <c r="F2273" s="15">
        <f t="shared" si="1"/>
        <v>8.83</v>
      </c>
      <c r="G2273" s="13" t="str">
        <f>ROUND(Github!O$1967, 2)&amp;"%"</f>
        <v>65.35%</v>
      </c>
      <c r="H2273" s="13" t="str">
        <f>Github!H$1967</f>
        <v>Algorithms</v>
      </c>
      <c r="I2273" s="16" t="str">
        <f>SUBSTITUTE(Github!L$1967, ";", ", ")</f>
        <v>Array, Binary Search, </v>
      </c>
      <c r="J2273" s="13" t="str">
        <f>Github!E$1967</f>
        <v>Medium</v>
      </c>
      <c r="K2273" s="13" t="str">
        <f>IF(TRIM(Github!D$1967)="TRUE","FALSE","TRUE")</f>
        <v>FALSE</v>
      </c>
      <c r="L2273" s="13" t="b">
        <f>Github!M$1967</f>
        <v>0</v>
      </c>
      <c r="M2273" s="13" t="b">
        <f>Github!N$1967</f>
        <v>0</v>
      </c>
      <c r="N2273" s="13">
        <f>Github!P$1967</f>
        <v>2107</v>
      </c>
      <c r="O2273" s="13">
        <f>Github!Q$1967</f>
        <v>3224</v>
      </c>
    </row>
    <row r="2274">
      <c r="A2274" s="13">
        <f>Github!J$2067</f>
        <v>2066</v>
      </c>
      <c r="B2274" s="14" t="str">
        <f>HYPERLINK(CONCAT("http://leetcode.com/problems/",Github!C$2067), Github!B$2067)</f>
        <v>Account Balance</v>
      </c>
      <c r="C2274" s="13">
        <f>Github!F$2067</f>
        <v>53</v>
      </c>
      <c r="D2274" s="13">
        <f>Github!G$2067</f>
        <v>2</v>
      </c>
      <c r="E2274" s="13">
        <f>Github!F$2067+Github!G$2067</f>
        <v>55</v>
      </c>
      <c r="F2274" s="15">
        <f t="shared" si="1"/>
        <v>26.5</v>
      </c>
      <c r="G2274" s="13" t="str">
        <f>ROUND(Github!O$2067, 2)&amp;"%"</f>
        <v>85.62%</v>
      </c>
      <c r="H2274" s="13" t="str">
        <f>Github!H$2067</f>
        <v>Database</v>
      </c>
      <c r="I2274" s="16" t="str">
        <f>SUBSTITUTE(Github!L$2067, ";", ", ")</f>
        <v>Database, </v>
      </c>
      <c r="J2274" s="13" t="str">
        <f>Github!E$2067</f>
        <v>Medium</v>
      </c>
      <c r="K2274" s="13" t="str">
        <f>IF(TRIM(Github!D$2067)="TRUE","FALSE","TRUE")</f>
        <v>FALSE</v>
      </c>
      <c r="L2274" s="13" t="b">
        <f>Github!M$2067</f>
        <v>0</v>
      </c>
      <c r="M2274" s="13" t="b">
        <f>Github!N$2067</f>
        <v>0</v>
      </c>
      <c r="N2274" s="13">
        <f>Github!P$2067</f>
        <v>5793</v>
      </c>
      <c r="O2274" s="13">
        <f>Github!Q$2067</f>
        <v>6766</v>
      </c>
    </row>
    <row r="2275">
      <c r="A2275" s="13">
        <f>Github!J$2264</f>
        <v>2263</v>
      </c>
      <c r="B2275" s="14" t="str">
        <f>HYPERLINK(CONCAT("http://leetcode.com/problems/",Github!C$2264), Github!B$2264)</f>
        <v>Make Array Non-decreasing or Non-increasing</v>
      </c>
      <c r="C2275" s="13">
        <f>Github!F$2264</f>
        <v>52</v>
      </c>
      <c r="D2275" s="13">
        <f>Github!G$2264</f>
        <v>3</v>
      </c>
      <c r="E2275" s="13">
        <f>Github!F$2264+Github!G$2264</f>
        <v>55</v>
      </c>
      <c r="F2275" s="15">
        <f t="shared" si="1"/>
        <v>17.33</v>
      </c>
      <c r="G2275" s="13" t="str">
        <f>ROUND(Github!O$2264, 2)&amp;"%"</f>
        <v>67.68%</v>
      </c>
      <c r="H2275" s="13" t="str">
        <f>Github!H$2264</f>
        <v>Algorithms</v>
      </c>
      <c r="I2275" s="16" t="str">
        <f>SUBSTITUTE(Github!L$2264, ";", ", ")</f>
        <v>Dynamic Programming, Greedy, </v>
      </c>
      <c r="J2275" s="13" t="str">
        <f>Github!E$2264</f>
        <v>Hard</v>
      </c>
      <c r="K2275" s="13" t="str">
        <f>IF(TRIM(Github!D$2264)="TRUE","FALSE","TRUE")</f>
        <v>FALSE</v>
      </c>
      <c r="L2275" s="13" t="b">
        <f>Github!M$2264</f>
        <v>0</v>
      </c>
      <c r="M2275" s="13" t="b">
        <f>Github!N$2264</f>
        <v>0</v>
      </c>
      <c r="N2275" s="13">
        <f>Github!P$2264</f>
        <v>871</v>
      </c>
      <c r="O2275" s="13">
        <f>Github!Q$2264</f>
        <v>1287</v>
      </c>
    </row>
    <row r="2276">
      <c r="A2276" s="13">
        <f>Github!J$1876</f>
        <v>1875</v>
      </c>
      <c r="B2276" s="14" t="str">
        <f>HYPERLINK(CONCAT("http://leetcode.com/problems/",Github!C$1876), Github!B$1876)</f>
        <v>Group Employees of the Same Salary</v>
      </c>
      <c r="C2276" s="13">
        <f>Github!F$1876</f>
        <v>53</v>
      </c>
      <c r="D2276" s="13">
        <f>Github!G$1876</f>
        <v>5</v>
      </c>
      <c r="E2276" s="13">
        <f>Github!F$1876+Github!G$1876</f>
        <v>58</v>
      </c>
      <c r="F2276" s="15">
        <f t="shared" si="1"/>
        <v>10.6</v>
      </c>
      <c r="G2276" s="13" t="str">
        <f>ROUND(Github!O$1876, 2)&amp;"%"</f>
        <v>75.24%</v>
      </c>
      <c r="H2276" s="13" t="str">
        <f>Github!H$1876</f>
        <v>Database</v>
      </c>
      <c r="I2276" s="16" t="str">
        <f>SUBSTITUTE(Github!L$1876, ";", ", ")</f>
        <v>Database, </v>
      </c>
      <c r="J2276" s="13" t="str">
        <f>Github!E$1876</f>
        <v>Medium</v>
      </c>
      <c r="K2276" s="13" t="str">
        <f>IF(TRIM(Github!D$1876)="TRUE","FALSE","TRUE")</f>
        <v>FALSE</v>
      </c>
      <c r="L2276" s="13" t="b">
        <f>Github!M$1876</f>
        <v>0</v>
      </c>
      <c r="M2276" s="13" t="b">
        <f>Github!N$1876</f>
        <v>0</v>
      </c>
      <c r="N2276" s="13">
        <f>Github!P$1876</f>
        <v>7913</v>
      </c>
      <c r="O2276" s="13">
        <f>Github!Q$1876</f>
        <v>10517</v>
      </c>
    </row>
    <row r="2277">
      <c r="A2277" s="13">
        <f>Github!J$1827</f>
        <v>1826</v>
      </c>
      <c r="B2277" s="14" t="str">
        <f>HYPERLINK(CONCAT("http://leetcode.com/problems/",Github!C$1827), Github!B$1827)</f>
        <v>Faulty Sensor</v>
      </c>
      <c r="C2277" s="13">
        <f>Github!F$1827</f>
        <v>52</v>
      </c>
      <c r="D2277" s="13">
        <f>Github!G$1827</f>
        <v>49</v>
      </c>
      <c r="E2277" s="13">
        <f>Github!F$1827+Github!G$1827</f>
        <v>101</v>
      </c>
      <c r="F2277" s="15">
        <f t="shared" si="1"/>
        <v>1.06</v>
      </c>
      <c r="G2277" s="13" t="str">
        <f>ROUND(Github!O$1827, 2)&amp;"%"</f>
        <v>49.46%</v>
      </c>
      <c r="H2277" s="13" t="str">
        <f>Github!H$1827</f>
        <v>Algorithms</v>
      </c>
      <c r="I2277" s="16" t="str">
        <f>SUBSTITUTE(Github!L$1827, ";", ", ")</f>
        <v>Array, Two Pointers, </v>
      </c>
      <c r="J2277" s="13" t="str">
        <f>Github!E$1827</f>
        <v>Easy</v>
      </c>
      <c r="K2277" s="13" t="str">
        <f>IF(TRIM(Github!D$1827)="TRUE","FALSE","TRUE")</f>
        <v>FALSE</v>
      </c>
      <c r="L2277" s="13" t="b">
        <f>Github!M$1827</f>
        <v>0</v>
      </c>
      <c r="M2277" s="13" t="b">
        <f>Github!N$1827</f>
        <v>0</v>
      </c>
      <c r="N2277" s="13">
        <f>Github!P$1827</f>
        <v>3314</v>
      </c>
      <c r="O2277" s="13">
        <f>Github!Q$1827</f>
        <v>6698</v>
      </c>
    </row>
    <row r="2278">
      <c r="A2278" s="13">
        <f>Github!J$2190</f>
        <v>2189</v>
      </c>
      <c r="B2278" s="14" t="str">
        <f>HYPERLINK(CONCAT("http://leetcode.com/problems/",Github!C$2190), Github!B$2190)</f>
        <v>Number of Ways to Build House of Cards</v>
      </c>
      <c r="C2278" s="13">
        <f>Github!F$2190</f>
        <v>51</v>
      </c>
      <c r="D2278" s="13">
        <f>Github!G$2190</f>
        <v>7</v>
      </c>
      <c r="E2278" s="13">
        <f>Github!F$2190+Github!G$2190</f>
        <v>58</v>
      </c>
      <c r="F2278" s="15">
        <f t="shared" si="1"/>
        <v>7.29</v>
      </c>
      <c r="G2278" s="13" t="str">
        <f>ROUND(Github!O$2190, 2)&amp;"%"</f>
        <v>62.67%</v>
      </c>
      <c r="H2278" s="13" t="str">
        <f>Github!H$2190</f>
        <v>Algorithms</v>
      </c>
      <c r="I2278" s="16" t="str">
        <f>SUBSTITUTE(Github!L$2190, ";", ", ")</f>
        <v>Math, Dynamic Programming, </v>
      </c>
      <c r="J2278" s="13" t="str">
        <f>Github!E$2190</f>
        <v>Medium</v>
      </c>
      <c r="K2278" s="13" t="str">
        <f>IF(TRIM(Github!D$2190)="TRUE","FALSE","TRUE")</f>
        <v>FALSE</v>
      </c>
      <c r="L2278" s="13" t="b">
        <f>Github!M$2190</f>
        <v>0</v>
      </c>
      <c r="M2278" s="13" t="b">
        <f>Github!N$2190</f>
        <v>0</v>
      </c>
      <c r="N2278" s="13">
        <f>Github!P$2190</f>
        <v>1328</v>
      </c>
      <c r="O2278" s="13">
        <f>Github!Q$2190</f>
        <v>2119</v>
      </c>
    </row>
    <row r="2279">
      <c r="A2279" s="13">
        <f>Github!J$2169</f>
        <v>2168</v>
      </c>
      <c r="B2279" s="14" t="str">
        <f>HYPERLINK(CONCAT("http://leetcode.com/problems/",Github!C$2169), Github!B$2169)</f>
        <v>Unique Substrings With Equal Digit Frequency</v>
      </c>
      <c r="C2279" s="13">
        <f>Github!F$2169</f>
        <v>51</v>
      </c>
      <c r="D2279" s="13">
        <f>Github!G$2169</f>
        <v>5</v>
      </c>
      <c r="E2279" s="13">
        <f>Github!F$2169+Github!G$2169</f>
        <v>56</v>
      </c>
      <c r="F2279" s="15">
        <f t="shared" si="1"/>
        <v>10.2</v>
      </c>
      <c r="G2279" s="13" t="str">
        <f>ROUND(Github!O$2169, 2)&amp;"%"</f>
        <v>59.24%</v>
      </c>
      <c r="H2279" s="13" t="str">
        <f>Github!H$2169</f>
        <v>Algorithms</v>
      </c>
      <c r="I2279" s="16" t="str">
        <f>SUBSTITUTE(Github!L$2169, ";", ", ")</f>
        <v>Hash Table, String, Rolling Hash, Counting, Hash Function, </v>
      </c>
      <c r="J2279" s="13" t="str">
        <f>Github!E$2169</f>
        <v>Medium</v>
      </c>
      <c r="K2279" s="13" t="str">
        <f>IF(TRIM(Github!D$2169)="TRUE","FALSE","TRUE")</f>
        <v>FALSE</v>
      </c>
      <c r="L2279" s="13" t="b">
        <f>Github!M$2169</f>
        <v>0</v>
      </c>
      <c r="M2279" s="13" t="b">
        <f>Github!N$2169</f>
        <v>0</v>
      </c>
      <c r="N2279" s="13">
        <f>Github!P$2169</f>
        <v>1555</v>
      </c>
      <c r="O2279" s="13">
        <f>Github!Q$2169</f>
        <v>2625</v>
      </c>
    </row>
    <row r="2280">
      <c r="A2280" s="13">
        <f>Github!J$1667</f>
        <v>1666</v>
      </c>
      <c r="B2280" s="14" t="str">
        <f>HYPERLINK(CONCAT("http://leetcode.com/problems/",Github!C$1667), Github!B$1667)</f>
        <v>Change the Root of a Binary Tree</v>
      </c>
      <c r="C2280" s="13">
        <f>Github!F$1667</f>
        <v>49</v>
      </c>
      <c r="D2280" s="13">
        <f>Github!G$1667</f>
        <v>135</v>
      </c>
      <c r="E2280" s="13">
        <f>Github!F$1667+Github!G$1667</f>
        <v>184</v>
      </c>
      <c r="F2280" s="15">
        <f t="shared" si="1"/>
        <v>0.36</v>
      </c>
      <c r="G2280" s="13" t="str">
        <f>ROUND(Github!O$1667, 2)&amp;"%"</f>
        <v>69.58%</v>
      </c>
      <c r="H2280" s="13" t="str">
        <f>Github!H$1667</f>
        <v>Algorithms</v>
      </c>
      <c r="I2280" s="16" t="str">
        <f>SUBSTITUTE(Github!L$1667, ";", ", ")</f>
        <v>Tree, Depth-First Search, Binary Tree, </v>
      </c>
      <c r="J2280" s="13" t="str">
        <f>Github!E$1667</f>
        <v>Medium</v>
      </c>
      <c r="K2280" s="13" t="str">
        <f>IF(TRIM(Github!D$1667)="TRUE","FALSE","TRUE")</f>
        <v>FALSE</v>
      </c>
      <c r="L2280" s="13" t="b">
        <f>Github!M$1667</f>
        <v>0</v>
      </c>
      <c r="M2280" s="13" t="b">
        <f>Github!N$1667</f>
        <v>0</v>
      </c>
      <c r="N2280" s="13">
        <f>Github!P$1667</f>
        <v>2720</v>
      </c>
      <c r="O2280" s="13">
        <f>Github!Q$1667</f>
        <v>3909</v>
      </c>
    </row>
    <row r="2281">
      <c r="A2281" s="13">
        <f>Github!J$1646</f>
        <v>1645</v>
      </c>
      <c r="B2281" s="14" t="str">
        <f>HYPERLINK(CONCAT("http://leetcode.com/problems/",Github!C$1646), Github!B$1646)</f>
        <v>Hopper Company Queries II</v>
      </c>
      <c r="C2281" s="13">
        <f>Github!F$1646</f>
        <v>51</v>
      </c>
      <c r="D2281" s="13">
        <f>Github!G$1646</f>
        <v>13</v>
      </c>
      <c r="E2281" s="13">
        <f>Github!F$1646+Github!G$1646</f>
        <v>64</v>
      </c>
      <c r="F2281" s="15">
        <f t="shared" si="1"/>
        <v>3.92</v>
      </c>
      <c r="G2281" s="13" t="str">
        <f>ROUND(Github!O$1646, 2)&amp;"%"</f>
        <v>38.9%</v>
      </c>
      <c r="H2281" s="13" t="str">
        <f>Github!H$1646</f>
        <v>Database</v>
      </c>
      <c r="I2281" s="16" t="str">
        <f>SUBSTITUTE(Github!L$1646, ";", ", ")</f>
        <v>Database, </v>
      </c>
      <c r="J2281" s="13" t="str">
        <f>Github!E$1646</f>
        <v>Hard</v>
      </c>
      <c r="K2281" s="13" t="str">
        <f>IF(TRIM(Github!D$1646)="TRUE","FALSE","TRUE")</f>
        <v>FALSE</v>
      </c>
      <c r="L2281" s="13" t="b">
        <f>Github!M$1646</f>
        <v>0</v>
      </c>
      <c r="M2281" s="13" t="b">
        <f>Github!N$1646</f>
        <v>0</v>
      </c>
      <c r="N2281" s="13">
        <f>Github!P$1646</f>
        <v>4850</v>
      </c>
      <c r="O2281" s="13">
        <f>Github!Q$1646</f>
        <v>12469</v>
      </c>
    </row>
    <row r="2282">
      <c r="A2282" s="13">
        <f>Github!J$1908</f>
        <v>1907</v>
      </c>
      <c r="B2282" s="14" t="str">
        <f>HYPERLINK(CONCAT("http://leetcode.com/problems/",Github!C$1908), Github!B$1908)</f>
        <v>Count Salary Categories</v>
      </c>
      <c r="C2282" s="13">
        <f>Github!F$1908</f>
        <v>52</v>
      </c>
      <c r="D2282" s="13">
        <f>Github!G$1908</f>
        <v>19</v>
      </c>
      <c r="E2282" s="13">
        <f>Github!F$1908+Github!G$1908</f>
        <v>71</v>
      </c>
      <c r="F2282" s="15">
        <f t="shared" si="1"/>
        <v>2.74</v>
      </c>
      <c r="G2282" s="13" t="str">
        <f>ROUND(Github!O$1908, 2)&amp;"%"</f>
        <v>64.29%</v>
      </c>
      <c r="H2282" s="13" t="str">
        <f>Github!H$1908</f>
        <v>Database</v>
      </c>
      <c r="I2282" s="16" t="str">
        <f>SUBSTITUTE(Github!L$1908, ";", ", ")</f>
        <v>Database, </v>
      </c>
      <c r="J2282" s="13" t="str">
        <f>Github!E$1908</f>
        <v>Medium</v>
      </c>
      <c r="K2282" s="13" t="str">
        <f>IF(TRIM(Github!D$1908)="TRUE","FALSE","TRUE")</f>
        <v>FALSE</v>
      </c>
      <c r="L2282" s="13" t="b">
        <f>Github!M$1908</f>
        <v>0</v>
      </c>
      <c r="M2282" s="13" t="b">
        <f>Github!N$1908</f>
        <v>0</v>
      </c>
      <c r="N2282" s="13">
        <f>Github!P$1908</f>
        <v>7610</v>
      </c>
      <c r="O2282" s="13">
        <f>Github!Q$1908</f>
        <v>11837</v>
      </c>
    </row>
    <row r="2283">
      <c r="A2283" s="13">
        <f>Github!J$2154</f>
        <v>2153</v>
      </c>
      <c r="B2283" s="14" t="str">
        <f>HYPERLINK(CONCAT("http://leetcode.com/problems/",Github!C$2154), Github!B$2154)</f>
        <v>The Number of Passengers in Each Bus II</v>
      </c>
      <c r="C2283" s="13">
        <f>Github!F$2154</f>
        <v>52</v>
      </c>
      <c r="D2283" s="13">
        <f>Github!G$2154</f>
        <v>22</v>
      </c>
      <c r="E2283" s="13">
        <f>Github!F$2154+Github!G$2154</f>
        <v>74</v>
      </c>
      <c r="F2283" s="15">
        <f t="shared" si="1"/>
        <v>2.36</v>
      </c>
      <c r="G2283" s="13" t="str">
        <f>ROUND(Github!O$2154, 2)&amp;"%"</f>
        <v>50.17%</v>
      </c>
      <c r="H2283" s="13" t="str">
        <f>Github!H$2154</f>
        <v>Database</v>
      </c>
      <c r="I2283" s="16" t="str">
        <f>SUBSTITUTE(Github!L$2154, ";", ", ")</f>
        <v>Database, </v>
      </c>
      <c r="J2283" s="13" t="str">
        <f>Github!E$2154</f>
        <v>Hard</v>
      </c>
      <c r="K2283" s="13" t="str">
        <f>IF(TRIM(Github!D$2154)="TRUE","FALSE","TRUE")</f>
        <v>FALSE</v>
      </c>
      <c r="L2283" s="13" t="b">
        <f>Github!M$2154</f>
        <v>0</v>
      </c>
      <c r="M2283" s="13" t="b">
        <f>Github!N$2154</f>
        <v>0</v>
      </c>
      <c r="N2283" s="13">
        <f>Github!P$2154</f>
        <v>1584</v>
      </c>
      <c r="O2283" s="13">
        <f>Github!Q$2154</f>
        <v>3157</v>
      </c>
    </row>
    <row r="2284">
      <c r="A2284" s="13">
        <f>Github!J$1918</f>
        <v>1917</v>
      </c>
      <c r="B2284" s="14" t="str">
        <f>HYPERLINK(CONCAT("http://leetcode.com/problems/",Github!C$1918), Github!B$1918)</f>
        <v>Leetcodify Friends Recommendations</v>
      </c>
      <c r="C2284" s="13">
        <f>Github!F$1918</f>
        <v>50</v>
      </c>
      <c r="D2284" s="13">
        <f>Github!G$1918</f>
        <v>26</v>
      </c>
      <c r="E2284" s="13">
        <f>Github!F$1918+Github!G$1918</f>
        <v>76</v>
      </c>
      <c r="F2284" s="15">
        <f t="shared" si="1"/>
        <v>1.92</v>
      </c>
      <c r="G2284" s="13" t="str">
        <f>ROUND(Github!O$1918, 2)&amp;"%"</f>
        <v>28.61%</v>
      </c>
      <c r="H2284" s="13" t="str">
        <f>Github!H$1918</f>
        <v>Database</v>
      </c>
      <c r="I2284" s="16" t="str">
        <f>SUBSTITUTE(Github!L$1918, ";", ", ")</f>
        <v>Database, </v>
      </c>
      <c r="J2284" s="13" t="str">
        <f>Github!E$1918</f>
        <v>Hard</v>
      </c>
      <c r="K2284" s="13" t="str">
        <f>IF(TRIM(Github!D$1918)="TRUE","FALSE","TRUE")</f>
        <v>FALSE</v>
      </c>
      <c r="L2284" s="13" t="b">
        <f>Github!M$1918</f>
        <v>0</v>
      </c>
      <c r="M2284" s="13" t="b">
        <f>Github!N$1918</f>
        <v>0</v>
      </c>
      <c r="N2284" s="13">
        <f>Github!P$1918</f>
        <v>4506</v>
      </c>
      <c r="O2284" s="13">
        <f>Github!Q$1918</f>
        <v>15752</v>
      </c>
    </row>
    <row r="2285">
      <c r="A2285" s="13">
        <f>Github!J$2057</f>
        <v>2056</v>
      </c>
      <c r="B2285" s="14" t="str">
        <f>HYPERLINK(CONCAT("http://leetcode.com/problems/",Github!C$2057), Github!B$2057)</f>
        <v>Number of Valid Move Combinations On Chessboard</v>
      </c>
      <c r="C2285" s="13">
        <f>Github!F$2057</f>
        <v>49</v>
      </c>
      <c r="D2285" s="13">
        <f>Github!G$2057</f>
        <v>245</v>
      </c>
      <c r="E2285" s="13">
        <f>Github!F$2057+Github!G$2057</f>
        <v>294</v>
      </c>
      <c r="F2285" s="15">
        <f t="shared" si="1"/>
        <v>0.2</v>
      </c>
      <c r="G2285" s="13" t="str">
        <f>ROUND(Github!O$2057, 2)&amp;"%"</f>
        <v>58.75%</v>
      </c>
      <c r="H2285" s="13" t="str">
        <f>Github!H$2057</f>
        <v>Algorithms</v>
      </c>
      <c r="I2285" s="16" t="str">
        <f>SUBSTITUTE(Github!L$2057, ";", ", ")</f>
        <v>Array, String, Backtracking, Simulation, </v>
      </c>
      <c r="J2285" s="13" t="str">
        <f>Github!E$2057</f>
        <v>Hard</v>
      </c>
      <c r="K2285" s="13" t="str">
        <f>IF(TRIM(Github!D$2057)="TRUE","FALSE","TRUE")</f>
        <v>TRUE</v>
      </c>
      <c r="L2285" s="13" t="b">
        <f>Github!M$2057</f>
        <v>0</v>
      </c>
      <c r="M2285" s="13" t="b">
        <f>Github!N$2057</f>
        <v>0</v>
      </c>
      <c r="N2285" s="13">
        <f>Github!P$2057</f>
        <v>3267</v>
      </c>
      <c r="O2285" s="13">
        <f>Github!Q$2057</f>
        <v>5561</v>
      </c>
    </row>
    <row r="2286">
      <c r="A2286" s="13">
        <f>Github!J$752</f>
        <v>751</v>
      </c>
      <c r="B2286" s="14" t="str">
        <f>HYPERLINK(CONCAT("http://leetcode.com/problems/",Github!C$752), Github!B$752)</f>
        <v>IP to CIDR</v>
      </c>
      <c r="C2286" s="13">
        <f>Github!F$752</f>
        <v>47</v>
      </c>
      <c r="D2286" s="13">
        <f>Github!G$752</f>
        <v>177</v>
      </c>
      <c r="E2286" s="13">
        <f>Github!F$752+Github!G$752</f>
        <v>224</v>
      </c>
      <c r="F2286" s="15">
        <f t="shared" si="1"/>
        <v>0.27</v>
      </c>
      <c r="G2286" s="13" t="str">
        <f>ROUND(Github!O$752, 2)&amp;"%"</f>
        <v>54.54%</v>
      </c>
      <c r="H2286" s="13" t="str">
        <f>Github!H$752</f>
        <v>Algorithms</v>
      </c>
      <c r="I2286" s="16" t="str">
        <f>SUBSTITUTE(Github!L$752, ";", ", ")</f>
        <v>String, Bit Manipulation, </v>
      </c>
      <c r="J2286" s="13" t="str">
        <f>Github!E$752</f>
        <v>Medium</v>
      </c>
      <c r="K2286" s="13" t="str">
        <f>IF(TRIM(Github!D$752)="TRUE","FALSE","TRUE")</f>
        <v>FALSE</v>
      </c>
      <c r="L2286" s="13" t="b">
        <f>Github!M$752</f>
        <v>0</v>
      </c>
      <c r="M2286" s="13" t="b">
        <f>Github!N$752</f>
        <v>0</v>
      </c>
      <c r="N2286" s="13">
        <f>Github!P$752</f>
        <v>17021</v>
      </c>
      <c r="O2286" s="13">
        <f>Github!Q$752</f>
        <v>31206</v>
      </c>
    </row>
    <row r="2287">
      <c r="A2287" s="13">
        <f>Github!J$1935</f>
        <v>1934</v>
      </c>
      <c r="B2287" s="14" t="str">
        <f>HYPERLINK(CONCAT("http://leetcode.com/problems/",Github!C$1935), Github!B$1935)</f>
        <v>Confirmation Rate</v>
      </c>
      <c r="C2287" s="13">
        <f>Github!F$1935</f>
        <v>48</v>
      </c>
      <c r="D2287" s="13">
        <f>Github!G$1935</f>
        <v>14</v>
      </c>
      <c r="E2287" s="13">
        <f>Github!F$1935+Github!G$1935</f>
        <v>62</v>
      </c>
      <c r="F2287" s="15">
        <f t="shared" si="1"/>
        <v>3.43</v>
      </c>
      <c r="G2287" s="13" t="str">
        <f>ROUND(Github!O$1935, 2)&amp;"%"</f>
        <v>77.56%</v>
      </c>
      <c r="H2287" s="13" t="str">
        <f>Github!H$1935</f>
        <v>Database</v>
      </c>
      <c r="I2287" s="16" t="str">
        <f>SUBSTITUTE(Github!L$1935, ";", ", ")</f>
        <v>Database, </v>
      </c>
      <c r="J2287" s="13" t="str">
        <f>Github!E$1935</f>
        <v>Medium</v>
      </c>
      <c r="K2287" s="13" t="str">
        <f>IF(TRIM(Github!D$1935)="TRUE","FALSE","TRUE")</f>
        <v>FALSE</v>
      </c>
      <c r="L2287" s="13" t="b">
        <f>Github!M$1935</f>
        <v>0</v>
      </c>
      <c r="M2287" s="13" t="b">
        <f>Github!N$1935</f>
        <v>0</v>
      </c>
      <c r="N2287" s="13">
        <f>Github!P$1935</f>
        <v>9064</v>
      </c>
      <c r="O2287" s="13">
        <f>Github!Q$1935</f>
        <v>11686</v>
      </c>
    </row>
    <row r="2288">
      <c r="A2288" s="13">
        <f>Github!J$2238</f>
        <v>2237</v>
      </c>
      <c r="B2288" s="14" t="str">
        <f>HYPERLINK(CONCAT("http://leetcode.com/problems/",Github!C$2238), Github!B$2238)</f>
        <v>Count Positions on Street With Required Brightness</v>
      </c>
      <c r="C2288" s="13">
        <f>Github!F$2238</f>
        <v>46</v>
      </c>
      <c r="D2288" s="13">
        <f>Github!G$2238</f>
        <v>5</v>
      </c>
      <c r="E2288" s="13">
        <f>Github!F$2238+Github!G$2238</f>
        <v>51</v>
      </c>
      <c r="F2288" s="15">
        <f t="shared" si="1"/>
        <v>9.2</v>
      </c>
      <c r="G2288" s="13" t="str">
        <f>ROUND(Github!O$2238, 2)&amp;"%"</f>
        <v>66.46%</v>
      </c>
      <c r="H2288" s="13" t="str">
        <f>Github!H$2238</f>
        <v>Algorithms</v>
      </c>
      <c r="I2288" s="16" t="str">
        <f>SUBSTITUTE(Github!L$2238, ";", ", ")</f>
        <v>Array, Prefix Sum, </v>
      </c>
      <c r="J2288" s="13" t="str">
        <f>Github!E$2238</f>
        <v>Medium</v>
      </c>
      <c r="K2288" s="13" t="str">
        <f>IF(TRIM(Github!D$2238)="TRUE","FALSE","TRUE")</f>
        <v>FALSE</v>
      </c>
      <c r="L2288" s="13" t="b">
        <f>Github!M$2238</f>
        <v>0</v>
      </c>
      <c r="M2288" s="13" t="b">
        <f>Github!N$2238</f>
        <v>0</v>
      </c>
      <c r="N2288" s="13">
        <f>Github!P$2238</f>
        <v>1696</v>
      </c>
      <c r="O2288" s="13">
        <f>Github!Q$2238</f>
        <v>2552</v>
      </c>
    </row>
    <row r="2289">
      <c r="A2289" s="13">
        <f>Github!J$2220</f>
        <v>2219</v>
      </c>
      <c r="B2289" s="14" t="str">
        <f>HYPERLINK(CONCAT("http://leetcode.com/problems/",Github!C$2220), Github!B$2220)</f>
        <v>Maximum Sum Score of Array</v>
      </c>
      <c r="C2289" s="13">
        <f>Github!F$2220</f>
        <v>46</v>
      </c>
      <c r="D2289" s="13">
        <f>Github!G$2220</f>
        <v>15</v>
      </c>
      <c r="E2289" s="13">
        <f>Github!F$2220+Github!G$2220</f>
        <v>61</v>
      </c>
      <c r="F2289" s="15">
        <f t="shared" si="1"/>
        <v>3.07</v>
      </c>
      <c r="G2289" s="13" t="str">
        <f>ROUND(Github!O$2220, 2)&amp;"%"</f>
        <v>60.09%</v>
      </c>
      <c r="H2289" s="13" t="str">
        <f>Github!H$2220</f>
        <v>Algorithms</v>
      </c>
      <c r="I2289" s="16" t="str">
        <f>SUBSTITUTE(Github!L$2220, ";", ", ")</f>
        <v>Array, Prefix Sum, </v>
      </c>
      <c r="J2289" s="13" t="str">
        <f>Github!E$2220</f>
        <v>Medium</v>
      </c>
      <c r="K2289" s="13" t="str">
        <f>IF(TRIM(Github!D$2220)="TRUE","FALSE","TRUE")</f>
        <v>FALSE</v>
      </c>
      <c r="L2289" s="13" t="b">
        <f>Github!M$2220</f>
        <v>0</v>
      </c>
      <c r="M2289" s="13" t="b">
        <f>Github!N$2220</f>
        <v>0</v>
      </c>
      <c r="N2289" s="13">
        <f>Github!P$2220</f>
        <v>2486</v>
      </c>
      <c r="O2289" s="13">
        <f>Github!Q$2220</f>
        <v>4137</v>
      </c>
    </row>
    <row r="2290">
      <c r="A2290" s="13">
        <f>Github!J$2114</f>
        <v>2113</v>
      </c>
      <c r="B2290" s="14" t="str">
        <f>HYPERLINK(CONCAT("http://leetcode.com/problems/",Github!C$2114), Github!B$2114)</f>
        <v>Elements in Array After Removing and Replacing Elements</v>
      </c>
      <c r="C2290" s="13">
        <f>Github!F$2114</f>
        <v>46</v>
      </c>
      <c r="D2290" s="13">
        <f>Github!G$2114</f>
        <v>5</v>
      </c>
      <c r="E2290" s="13">
        <f>Github!F$2114+Github!G$2114</f>
        <v>51</v>
      </c>
      <c r="F2290" s="15">
        <f t="shared" si="1"/>
        <v>9.2</v>
      </c>
      <c r="G2290" s="13" t="str">
        <f>ROUND(Github!O$2114, 2)&amp;"%"</f>
        <v>72.79%</v>
      </c>
      <c r="H2290" s="13" t="str">
        <f>Github!H$2114</f>
        <v>Algorithms</v>
      </c>
      <c r="I2290" s="16" t="str">
        <f>SUBSTITUTE(Github!L$2114, ";", ", ")</f>
        <v>Array, </v>
      </c>
      <c r="J2290" s="13" t="str">
        <f>Github!E$2114</f>
        <v>Medium</v>
      </c>
      <c r="K2290" s="13" t="str">
        <f>IF(TRIM(Github!D$2114)="TRUE","FALSE","TRUE")</f>
        <v>FALSE</v>
      </c>
      <c r="L2290" s="13" t="b">
        <f>Github!M$2114</f>
        <v>0</v>
      </c>
      <c r="M2290" s="13" t="b">
        <f>Github!N$2114</f>
        <v>0</v>
      </c>
      <c r="N2290" s="13">
        <f>Github!P$2114</f>
        <v>1364</v>
      </c>
      <c r="O2290" s="13">
        <f>Github!Q$2114</f>
        <v>1874</v>
      </c>
    </row>
    <row r="2291">
      <c r="A2291" s="13">
        <f>Github!J$2073</f>
        <v>2072</v>
      </c>
      <c r="B2291" s="14" t="str">
        <f>HYPERLINK(CONCAT("http://leetcode.com/problems/",Github!C$2073), Github!B$2073)</f>
        <v>The Winner University</v>
      </c>
      <c r="C2291" s="13">
        <f>Github!F$2073</f>
        <v>45</v>
      </c>
      <c r="D2291" s="13">
        <f>Github!G$2073</f>
        <v>2</v>
      </c>
      <c r="E2291" s="13">
        <f>Github!F$2073+Github!G$2073</f>
        <v>47</v>
      </c>
      <c r="F2291" s="15">
        <f t="shared" si="1"/>
        <v>22.5</v>
      </c>
      <c r="G2291" s="13" t="str">
        <f>ROUND(Github!O$2073, 2)&amp;"%"</f>
        <v>72.56%</v>
      </c>
      <c r="H2291" s="13" t="str">
        <f>Github!H$2073</f>
        <v>Database</v>
      </c>
      <c r="I2291" s="16" t="str">
        <f>SUBSTITUTE(Github!L$2073, ";", ", ")</f>
        <v>Database, </v>
      </c>
      <c r="J2291" s="13" t="str">
        <f>Github!E$2073</f>
        <v>Easy</v>
      </c>
      <c r="K2291" s="13" t="str">
        <f>IF(TRIM(Github!D$2073)="TRUE","FALSE","TRUE")</f>
        <v>FALSE</v>
      </c>
      <c r="L2291" s="13" t="b">
        <f>Github!M$2073</f>
        <v>0</v>
      </c>
      <c r="M2291" s="13" t="b">
        <f>Github!N$2073</f>
        <v>0</v>
      </c>
      <c r="N2291" s="13">
        <f>Github!P$2073</f>
        <v>6903</v>
      </c>
      <c r="O2291" s="13">
        <f>Github!Q$2073</f>
        <v>9513</v>
      </c>
    </row>
    <row r="2292">
      <c r="A2292" s="13">
        <f>Github!J$1979</f>
        <v>1978</v>
      </c>
      <c r="B2292" s="14" t="str">
        <f>HYPERLINK(CONCAT("http://leetcode.com/problems/",Github!C$1979), Github!B$1979)</f>
        <v>Employees Whose Manager Left the Company</v>
      </c>
      <c r="C2292" s="13">
        <f>Github!F$1979</f>
        <v>44</v>
      </c>
      <c r="D2292" s="13">
        <f>Github!G$1979</f>
        <v>7</v>
      </c>
      <c r="E2292" s="13">
        <f>Github!F$1979+Github!G$1979</f>
        <v>51</v>
      </c>
      <c r="F2292" s="15">
        <f t="shared" si="1"/>
        <v>6.29</v>
      </c>
      <c r="G2292" s="13" t="str">
        <f>ROUND(Github!O$1979, 2)&amp;"%"</f>
        <v>50.44%</v>
      </c>
      <c r="H2292" s="13" t="str">
        <f>Github!H$1979</f>
        <v>Database</v>
      </c>
      <c r="I2292" s="16" t="str">
        <f>SUBSTITUTE(Github!L$1979, ";", ", ")</f>
        <v>Database, </v>
      </c>
      <c r="J2292" s="13" t="str">
        <f>Github!E$1979</f>
        <v>Easy</v>
      </c>
      <c r="K2292" s="13" t="str">
        <f>IF(TRIM(Github!D$1979)="TRUE","FALSE","TRUE")</f>
        <v>FALSE</v>
      </c>
      <c r="L2292" s="13" t="b">
        <f>Github!M$1979</f>
        <v>0</v>
      </c>
      <c r="M2292" s="13" t="b">
        <f>Github!N$1979</f>
        <v>0</v>
      </c>
      <c r="N2292" s="13">
        <f>Github!P$1979</f>
        <v>7715</v>
      </c>
      <c r="O2292" s="13">
        <f>Github!Q$1979</f>
        <v>15296</v>
      </c>
    </row>
    <row r="2293">
      <c r="A2293" s="13">
        <f>Github!J$2153</f>
        <v>2152</v>
      </c>
      <c r="B2293" s="14" t="str">
        <f>HYPERLINK(CONCAT("http://leetcode.com/problems/",Github!C$2153), Github!B$2153)</f>
        <v>Minimum Number of Lines to Cover Points</v>
      </c>
      <c r="C2293" s="13">
        <f>Github!F$2153</f>
        <v>44</v>
      </c>
      <c r="D2293" s="13">
        <f>Github!G$2153</f>
        <v>8</v>
      </c>
      <c r="E2293" s="13">
        <f>Github!F$2153+Github!G$2153</f>
        <v>52</v>
      </c>
      <c r="F2293" s="15">
        <f t="shared" si="1"/>
        <v>5.5</v>
      </c>
      <c r="G2293" s="13" t="str">
        <f>ROUND(Github!O$2153, 2)&amp;"%"</f>
        <v>46.8%</v>
      </c>
      <c r="H2293" s="13" t="str">
        <f>Github!H$2153</f>
        <v>Algorithms</v>
      </c>
      <c r="I2293" s="16" t="str">
        <f>SUBSTITUTE(Github!L$2153, ";", ", ")</f>
        <v>Array, Hash Table, Math, Dynamic Programming, Backtracking, Bit Manipulation, Geometry, Bitmask, </v>
      </c>
      <c r="J2293" s="13" t="str">
        <f>Github!E$2153</f>
        <v>Medium</v>
      </c>
      <c r="K2293" s="13" t="str">
        <f>IF(TRIM(Github!D$2153)="TRUE","FALSE","TRUE")</f>
        <v>FALSE</v>
      </c>
      <c r="L2293" s="13" t="b">
        <f>Github!M$2153</f>
        <v>0</v>
      </c>
      <c r="M2293" s="13" t="b">
        <f>Github!N$2153</f>
        <v>0</v>
      </c>
      <c r="N2293" s="13">
        <f>Github!P$2153</f>
        <v>1259</v>
      </c>
      <c r="O2293" s="13">
        <f>Github!Q$2153</f>
        <v>2690</v>
      </c>
    </row>
    <row r="2294">
      <c r="A2294" s="13">
        <f>Github!J$1920</f>
        <v>1919</v>
      </c>
      <c r="B2294" s="14" t="str">
        <f>HYPERLINK(CONCAT("http://leetcode.com/problems/",Github!C$1920), Github!B$1920)</f>
        <v>Leetcodify Similar Friends</v>
      </c>
      <c r="C2294" s="13">
        <f>Github!F$1920</f>
        <v>45</v>
      </c>
      <c r="D2294" s="13">
        <f>Github!G$1920</f>
        <v>6</v>
      </c>
      <c r="E2294" s="13">
        <f>Github!F$1920+Github!G$1920</f>
        <v>51</v>
      </c>
      <c r="F2294" s="15">
        <f t="shared" si="1"/>
        <v>7.5</v>
      </c>
      <c r="G2294" s="13" t="str">
        <f>ROUND(Github!O$1920, 2)&amp;"%"</f>
        <v>43.28%</v>
      </c>
      <c r="H2294" s="13" t="str">
        <f>Github!H$1920</f>
        <v>Database</v>
      </c>
      <c r="I2294" s="16" t="str">
        <f>SUBSTITUTE(Github!L$1920, ";", ", ")</f>
        <v>Database, </v>
      </c>
      <c r="J2294" s="13" t="str">
        <f>Github!E$1920</f>
        <v>Hard</v>
      </c>
      <c r="K2294" s="13" t="str">
        <f>IF(TRIM(Github!D$1920)="TRUE","FALSE","TRUE")</f>
        <v>FALSE</v>
      </c>
      <c r="L2294" s="13" t="b">
        <f>Github!M$1920</f>
        <v>0</v>
      </c>
      <c r="M2294" s="13" t="b">
        <f>Github!N$1920</f>
        <v>0</v>
      </c>
      <c r="N2294" s="13">
        <f>Github!P$1920</f>
        <v>3755</v>
      </c>
      <c r="O2294" s="13">
        <f>Github!Q$1920</f>
        <v>8676</v>
      </c>
    </row>
    <row r="2295">
      <c r="A2295" s="13">
        <f>Github!J$2160</f>
        <v>2159</v>
      </c>
      <c r="B2295" s="14" t="str">
        <f>HYPERLINK(CONCAT("http://leetcode.com/problems/",Github!C$2160), Github!B$2160)</f>
        <v>Order Two Columns Independently</v>
      </c>
      <c r="C2295" s="13">
        <f>Github!F$2160</f>
        <v>46</v>
      </c>
      <c r="D2295" s="13">
        <f>Github!G$2160</f>
        <v>15</v>
      </c>
      <c r="E2295" s="13">
        <f>Github!F$2160+Github!G$2160</f>
        <v>61</v>
      </c>
      <c r="F2295" s="15">
        <f t="shared" si="1"/>
        <v>3.07</v>
      </c>
      <c r="G2295" s="13" t="str">
        <f>ROUND(Github!O$2160, 2)&amp;"%"</f>
        <v>62.82%</v>
      </c>
      <c r="H2295" s="13" t="str">
        <f>Github!H$2160</f>
        <v>Database</v>
      </c>
      <c r="I2295" s="16" t="str">
        <f>SUBSTITUTE(Github!L$2160, ";", ", ")</f>
        <v>Database, </v>
      </c>
      <c r="J2295" s="13" t="str">
        <f>Github!E$2160</f>
        <v>Medium</v>
      </c>
      <c r="K2295" s="13" t="str">
        <f>IF(TRIM(Github!D$2160)="TRUE","FALSE","TRUE")</f>
        <v>FALSE</v>
      </c>
      <c r="L2295" s="13" t="b">
        <f>Github!M$2160</f>
        <v>0</v>
      </c>
      <c r="M2295" s="13" t="b">
        <f>Github!N$2160</f>
        <v>0</v>
      </c>
      <c r="N2295" s="13">
        <f>Github!P$2160</f>
        <v>3848</v>
      </c>
      <c r="O2295" s="13">
        <f>Github!Q$2160</f>
        <v>6125</v>
      </c>
    </row>
    <row r="2296">
      <c r="A2296" s="13">
        <f>Github!J$1501</f>
        <v>1500</v>
      </c>
      <c r="B2296" s="14" t="str">
        <f>HYPERLINK(CONCAT("http://leetcode.com/problems/",Github!C$1501), Github!B$1501)</f>
        <v>Design a File Sharing System</v>
      </c>
      <c r="C2296" s="13">
        <f>Github!F$1501</f>
        <v>42</v>
      </c>
      <c r="D2296" s="13">
        <f>Github!G$1501</f>
        <v>104</v>
      </c>
      <c r="E2296" s="13">
        <f>Github!F$1501+Github!G$1501</f>
        <v>146</v>
      </c>
      <c r="F2296" s="15">
        <f t="shared" si="1"/>
        <v>0.4</v>
      </c>
      <c r="G2296" s="13" t="str">
        <f>ROUND(Github!O$1501, 2)&amp;"%"</f>
        <v>44.7%</v>
      </c>
      <c r="H2296" s="13" t="str">
        <f>Github!H$1501</f>
        <v>Algorithms</v>
      </c>
      <c r="I2296" s="16" t="str">
        <f>SUBSTITUTE(Github!L$1501, ";", ", ")</f>
        <v>Hash Table, Design, Heap (Priority Queue), Data Stream, </v>
      </c>
      <c r="J2296" s="13" t="str">
        <f>Github!E$1501</f>
        <v>Medium</v>
      </c>
      <c r="K2296" s="13" t="str">
        <f>IF(TRIM(Github!D$1501)="TRUE","FALSE","TRUE")</f>
        <v>FALSE</v>
      </c>
      <c r="L2296" s="13" t="b">
        <f>Github!M$1501</f>
        <v>0</v>
      </c>
      <c r="M2296" s="13" t="b">
        <f>Github!N$1501</f>
        <v>0</v>
      </c>
      <c r="N2296" s="13">
        <f>Github!P$1501</f>
        <v>3334</v>
      </c>
      <c r="O2296" s="13">
        <f>Github!Q$1501</f>
        <v>7458</v>
      </c>
    </row>
    <row r="2297">
      <c r="A2297" s="13">
        <f>Github!J$1854</f>
        <v>1853</v>
      </c>
      <c r="B2297" s="14" t="str">
        <f>HYPERLINK(CONCAT("http://leetcode.com/problems/",Github!C$1854), Github!B$1854)</f>
        <v>Convert Date Format</v>
      </c>
      <c r="C2297" s="13">
        <f>Github!F$1854</f>
        <v>43</v>
      </c>
      <c r="D2297" s="13">
        <f>Github!G$1854</f>
        <v>34</v>
      </c>
      <c r="E2297" s="13">
        <f>Github!F$1854+Github!G$1854</f>
        <v>77</v>
      </c>
      <c r="F2297" s="15">
        <f t="shared" si="1"/>
        <v>1.26</v>
      </c>
      <c r="G2297" s="13" t="str">
        <f>ROUND(Github!O$1854, 2)&amp;"%"</f>
        <v>87.45%</v>
      </c>
      <c r="H2297" s="13" t="str">
        <f>Github!H$1854</f>
        <v>Database</v>
      </c>
      <c r="I2297" s="16" t="str">
        <f>SUBSTITUTE(Github!L$1854, ";", ", ")</f>
        <v>Database, </v>
      </c>
      <c r="J2297" s="13" t="str">
        <f>Github!E$1854</f>
        <v>Easy</v>
      </c>
      <c r="K2297" s="13" t="str">
        <f>IF(TRIM(Github!D$1854)="TRUE","FALSE","TRUE")</f>
        <v>FALSE</v>
      </c>
      <c r="L2297" s="13" t="b">
        <f>Github!M$1854</f>
        <v>0</v>
      </c>
      <c r="M2297" s="13" t="b">
        <f>Github!N$1854</f>
        <v>0</v>
      </c>
      <c r="N2297" s="13">
        <f>Github!P$1854</f>
        <v>9358</v>
      </c>
      <c r="O2297" s="13">
        <f>Github!Q$1854</f>
        <v>10701</v>
      </c>
    </row>
    <row r="2298">
      <c r="A2298" s="13">
        <f>Github!J$2248</f>
        <v>2247</v>
      </c>
      <c r="B2298" s="14" t="str">
        <f>HYPERLINK(CONCAT("http://leetcode.com/problems/",Github!C$2248), Github!B$2248)</f>
        <v>Maximum Cost of Trip With K Highways</v>
      </c>
      <c r="C2298" s="13">
        <f>Github!F$2248</f>
        <v>43</v>
      </c>
      <c r="D2298" s="13">
        <f>Github!G$2248</f>
        <v>0</v>
      </c>
      <c r="E2298" s="13">
        <f>Github!F$2248+Github!G$2248</f>
        <v>43</v>
      </c>
      <c r="F2298" s="15">
        <f t="shared" si="1"/>
        <v>43</v>
      </c>
      <c r="G2298" s="13" t="str">
        <f>ROUND(Github!O$2248, 2)&amp;"%"</f>
        <v>49.67%</v>
      </c>
      <c r="H2298" s="13" t="str">
        <f>Github!H$2248</f>
        <v>Algorithms</v>
      </c>
      <c r="I2298" s="16" t="str">
        <f>SUBSTITUTE(Github!L$2248, ";", ", ")</f>
        <v>Dynamic Programming, Bit Manipulation, Graph, Bitmask, </v>
      </c>
      <c r="J2298" s="13" t="str">
        <f>Github!E$2248</f>
        <v>Hard</v>
      </c>
      <c r="K2298" s="13" t="str">
        <f>IF(TRIM(Github!D$2248)="TRUE","FALSE","TRUE")</f>
        <v>FALSE</v>
      </c>
      <c r="L2298" s="13" t="b">
        <f>Github!M$2248</f>
        <v>0</v>
      </c>
      <c r="M2298" s="13" t="b">
        <f>Github!N$2248</f>
        <v>0</v>
      </c>
      <c r="N2298" s="13">
        <f>Github!P$2248</f>
        <v>965</v>
      </c>
      <c r="O2298" s="13">
        <f>Github!Q$2248</f>
        <v>1943</v>
      </c>
    </row>
    <row r="2299">
      <c r="A2299" s="13">
        <f>Github!J$1934</f>
        <v>1933</v>
      </c>
      <c r="B2299" s="14" t="str">
        <f>HYPERLINK(CONCAT("http://leetcode.com/problems/",Github!C$1934), Github!B$1934)</f>
        <v>Check if String Is Decomposable Into Value-Equal Substrings</v>
      </c>
      <c r="C2299" s="13">
        <f>Github!F$1934</f>
        <v>43</v>
      </c>
      <c r="D2299" s="13">
        <f>Github!G$1934</f>
        <v>11</v>
      </c>
      <c r="E2299" s="13">
        <f>Github!F$1934+Github!G$1934</f>
        <v>54</v>
      </c>
      <c r="F2299" s="15">
        <f t="shared" si="1"/>
        <v>3.91</v>
      </c>
      <c r="G2299" s="13" t="str">
        <f>ROUND(Github!O$1934, 2)&amp;"%"</f>
        <v>50.11%</v>
      </c>
      <c r="H2299" s="13" t="str">
        <f>Github!H$1934</f>
        <v>Algorithms</v>
      </c>
      <c r="I2299" s="16" t="str">
        <f>SUBSTITUTE(Github!L$1934, ";", ", ")</f>
        <v>String, </v>
      </c>
      <c r="J2299" s="13" t="str">
        <f>Github!E$1934</f>
        <v>Easy</v>
      </c>
      <c r="K2299" s="13" t="str">
        <f>IF(TRIM(Github!D$1934)="TRUE","FALSE","TRUE")</f>
        <v>FALSE</v>
      </c>
      <c r="L2299" s="13" t="b">
        <f>Github!M$1934</f>
        <v>0</v>
      </c>
      <c r="M2299" s="13" t="b">
        <f>Github!N$1934</f>
        <v>0</v>
      </c>
      <c r="N2299" s="13">
        <f>Github!P$1934</f>
        <v>2683</v>
      </c>
      <c r="O2299" s="13">
        <f>Github!Q$1934</f>
        <v>5354</v>
      </c>
    </row>
    <row r="2300">
      <c r="A2300" s="13">
        <f>Github!J$2331</f>
        <v>2330</v>
      </c>
      <c r="B2300" s="14" t="str">
        <f>HYPERLINK(CONCAT("http://leetcode.com/problems/",Github!C$2331), Github!B$2331)</f>
        <v>Valid Palindrome IV</v>
      </c>
      <c r="C2300" s="13">
        <f>Github!F$2331</f>
        <v>45</v>
      </c>
      <c r="D2300" s="13">
        <f>Github!G$2331</f>
        <v>14</v>
      </c>
      <c r="E2300" s="13">
        <f>Github!F$2331+Github!G$2331</f>
        <v>59</v>
      </c>
      <c r="F2300" s="15">
        <f t="shared" si="1"/>
        <v>3.21</v>
      </c>
      <c r="G2300" s="13" t="str">
        <f>ROUND(Github!O$2331, 2)&amp;"%"</f>
        <v>75.86%</v>
      </c>
      <c r="H2300" s="13" t="str">
        <f>Github!H2331</f>
        <v>Algorithms</v>
      </c>
      <c r="I2300" s="16" t="str">
        <f>SUBSTITUTE(Github!L$2331, ";", ", ")</f>
        <v>Two Pointers, String, </v>
      </c>
      <c r="J2300" s="13" t="str">
        <f>Github!E$2331</f>
        <v>Medium</v>
      </c>
      <c r="K2300" s="13" t="str">
        <f>IF(TRIM(Github!D$2331)="TRUE","FALSE","TRUE")</f>
        <v>FALSE</v>
      </c>
      <c r="L2300" s="13" t="b">
        <f>Github!M$2331</f>
        <v>0</v>
      </c>
      <c r="M2300" s="13" t="b">
        <f>Github!N$2331</f>
        <v>0</v>
      </c>
      <c r="N2300" s="13">
        <f>Github!P$2331</f>
        <v>2203</v>
      </c>
      <c r="O2300" s="13">
        <f>Github!Q$2331</f>
        <v>2904</v>
      </c>
    </row>
    <row r="2301">
      <c r="A2301" s="13">
        <f>Github!J$2255</f>
        <v>2254</v>
      </c>
      <c r="B2301" s="14" t="str">
        <f>HYPERLINK(CONCAT("http://leetcode.com/problems/",Github!C$2255), Github!B$2255)</f>
        <v>Design Video Sharing Platform</v>
      </c>
      <c r="C2301" s="13">
        <f>Github!F$2255</f>
        <v>45</v>
      </c>
      <c r="D2301" s="13">
        <f>Github!G$2255</f>
        <v>4</v>
      </c>
      <c r="E2301" s="13">
        <f>Github!F$2255+Github!G$2255</f>
        <v>49</v>
      </c>
      <c r="F2301" s="15">
        <f t="shared" si="1"/>
        <v>11.25</v>
      </c>
      <c r="G2301" s="13" t="str">
        <f>ROUND(Github!O$2255, 2)&amp;"%"</f>
        <v>64.67%</v>
      </c>
      <c r="H2301" s="13" t="str">
        <f>Github!H$2255</f>
        <v>Algorithms</v>
      </c>
      <c r="I2301" s="16" t="str">
        <f>SUBSTITUTE(Github!L$2255, ";", ", ")</f>
        <v>Hash Table, Stack, Design, Ordered Set, </v>
      </c>
      <c r="J2301" s="13" t="str">
        <f>Github!E$2255</f>
        <v>Hard</v>
      </c>
      <c r="K2301" s="13" t="str">
        <f>IF(TRIM(Github!D$2255)="TRUE","FALSE","TRUE")</f>
        <v>FALSE</v>
      </c>
      <c r="L2301" s="13" t="b">
        <f>Github!M$2255</f>
        <v>0</v>
      </c>
      <c r="M2301" s="13" t="b">
        <f>Github!N$2255</f>
        <v>0</v>
      </c>
      <c r="N2301" s="13">
        <f>Github!P$2255</f>
        <v>1188</v>
      </c>
      <c r="O2301" s="13">
        <f>Github!Q$2255</f>
        <v>1837</v>
      </c>
    </row>
    <row r="2302">
      <c r="A2302" s="13">
        <f>Github!J$1940</f>
        <v>1939</v>
      </c>
      <c r="B2302" s="14" t="str">
        <f>HYPERLINK(CONCAT("http://leetcode.com/problems/",Github!C$1940), Github!B$1940)</f>
        <v>Users That Actively Request Confirmation Messages</v>
      </c>
      <c r="C2302" s="13">
        <f>Github!F$1940</f>
        <v>41</v>
      </c>
      <c r="D2302" s="13">
        <f>Github!G$1940</f>
        <v>34</v>
      </c>
      <c r="E2302" s="13">
        <f>Github!F$1940+Github!G$1940</f>
        <v>75</v>
      </c>
      <c r="F2302" s="15">
        <f t="shared" si="1"/>
        <v>1.21</v>
      </c>
      <c r="G2302" s="13" t="str">
        <f>ROUND(Github!O$1940, 2)&amp;"%"</f>
        <v>60.84%</v>
      </c>
      <c r="H2302" s="13" t="str">
        <f>Github!H$1940</f>
        <v>Database</v>
      </c>
      <c r="I2302" s="16" t="str">
        <f>SUBSTITUTE(Github!L$1940, ";", ", ")</f>
        <v>Database, </v>
      </c>
      <c r="J2302" s="13" t="str">
        <f>Github!E$1940</f>
        <v>Easy</v>
      </c>
      <c r="K2302" s="13" t="str">
        <f>IF(TRIM(Github!D$1940)="TRUE","FALSE","TRUE")</f>
        <v>FALSE</v>
      </c>
      <c r="L2302" s="13" t="b">
        <f>Github!M$1940</f>
        <v>0</v>
      </c>
      <c r="M2302" s="13" t="b">
        <f>Github!N$1940</f>
        <v>0</v>
      </c>
      <c r="N2302" s="13">
        <f>Github!P$1940</f>
        <v>7375</v>
      </c>
      <c r="O2302" s="13">
        <f>Github!Q$1940</f>
        <v>12122</v>
      </c>
    </row>
    <row r="2303">
      <c r="A2303" s="13">
        <f>Github!J$2283</f>
        <v>2282</v>
      </c>
      <c r="B2303" s="14" t="str">
        <f>HYPERLINK(CONCAT("http://leetcode.com/problems/",Github!C$2283), Github!B$2283)</f>
        <v>Number of People That Can Be Seen in a Grid</v>
      </c>
      <c r="C2303" s="13">
        <f>Github!F$2283</f>
        <v>39</v>
      </c>
      <c r="D2303" s="13">
        <f>Github!G$2283</f>
        <v>15</v>
      </c>
      <c r="E2303" s="13">
        <f>Github!F$2283+Github!G$2283</f>
        <v>54</v>
      </c>
      <c r="F2303" s="15">
        <f t="shared" si="1"/>
        <v>2.6</v>
      </c>
      <c r="G2303" s="13" t="str">
        <f>ROUND(Github!O$2283, 2)&amp;"%"</f>
        <v>49.78%</v>
      </c>
      <c r="H2303" s="13" t="str">
        <f>Github!H2283</f>
        <v>Algorithms</v>
      </c>
      <c r="I2303" s="16" t="str">
        <f>SUBSTITUTE(Github!L$2283, ";", ", ")</f>
        <v>Array, Stack, Matrix, Monotonic Stack, </v>
      </c>
      <c r="J2303" s="13" t="str">
        <f>Github!E$2283</f>
        <v>Medium</v>
      </c>
      <c r="K2303" s="13" t="str">
        <f>IF(TRIM(Github!D$2283)="TRUE","FALSE","TRUE")</f>
        <v>FALSE</v>
      </c>
      <c r="L2303" s="13" t="b">
        <f>Github!M$2283</f>
        <v>0</v>
      </c>
      <c r="M2303" s="13" t="b">
        <f>Github!N$2283</f>
        <v>0</v>
      </c>
      <c r="N2303" s="13">
        <f>Github!P$2283</f>
        <v>1004</v>
      </c>
      <c r="O2303" s="13">
        <f>Github!Q$2283</f>
        <v>2017</v>
      </c>
    </row>
    <row r="2304">
      <c r="A2304" s="13">
        <f>Github!J$2239</f>
        <v>2238</v>
      </c>
      <c r="B2304" s="14" t="str">
        <f>HYPERLINK(CONCAT("http://leetcode.com/problems/",Github!C$2239), Github!B$2239)</f>
        <v>Number of Times a Driver Was a Passenger</v>
      </c>
      <c r="C2304" s="13">
        <f>Github!F$2239</f>
        <v>39</v>
      </c>
      <c r="D2304" s="13">
        <f>Github!G$2239</f>
        <v>2</v>
      </c>
      <c r="E2304" s="13">
        <f>Github!F$2239+Github!G$2239</f>
        <v>41</v>
      </c>
      <c r="F2304" s="15">
        <f t="shared" si="1"/>
        <v>19.5</v>
      </c>
      <c r="G2304" s="13" t="str">
        <f>ROUND(Github!O$2239, 2)&amp;"%"</f>
        <v>75.64%</v>
      </c>
      <c r="H2304" s="13" t="str">
        <f>Github!H$2239</f>
        <v>Database</v>
      </c>
      <c r="I2304" s="16" t="str">
        <f>SUBSTITUTE(Github!L$2239, ";", ", ")</f>
        <v>Database, </v>
      </c>
      <c r="J2304" s="13" t="str">
        <f>Github!E$2239</f>
        <v>Medium</v>
      </c>
      <c r="K2304" s="13" t="str">
        <f>IF(TRIM(Github!D$2239)="TRUE","FALSE","TRUE")</f>
        <v>FALSE</v>
      </c>
      <c r="L2304" s="13" t="b">
        <f>Github!M$2239</f>
        <v>0</v>
      </c>
      <c r="M2304" s="13" t="b">
        <f>Github!N$2239</f>
        <v>0</v>
      </c>
      <c r="N2304" s="13">
        <f>Github!P$2239</f>
        <v>3602</v>
      </c>
      <c r="O2304" s="13">
        <f>Github!Q$2239</f>
        <v>4762</v>
      </c>
    </row>
    <row r="2305">
      <c r="A2305" s="13">
        <f>Github!J$1422</f>
        <v>1421</v>
      </c>
      <c r="B2305" s="14" t="str">
        <f>HYPERLINK(CONCAT("http://leetcode.com/problems/",Github!C$1422), Github!B$1422)</f>
        <v>NPV Queries</v>
      </c>
      <c r="C2305" s="13">
        <f>Github!F$1422</f>
        <v>39</v>
      </c>
      <c r="D2305" s="13">
        <f>Github!G$1422</f>
        <v>267</v>
      </c>
      <c r="E2305" s="13">
        <f>Github!F$1422+Github!G$1422</f>
        <v>306</v>
      </c>
      <c r="F2305" s="15">
        <f t="shared" si="1"/>
        <v>0.15</v>
      </c>
      <c r="G2305" s="13" t="str">
        <f>ROUND(Github!O$1422, 2)&amp;"%"</f>
        <v>84%</v>
      </c>
      <c r="H2305" s="13" t="str">
        <f>Github!H$1422</f>
        <v>Database</v>
      </c>
      <c r="I2305" s="16" t="str">
        <f>SUBSTITUTE(Github!L$1422, ";", ", ")</f>
        <v>Database, </v>
      </c>
      <c r="J2305" s="13" t="str">
        <f>Github!E$1422</f>
        <v>Easy</v>
      </c>
      <c r="K2305" s="13" t="str">
        <f>IF(TRIM(Github!D$1422)="TRUE","FALSE","TRUE")</f>
        <v>FALSE</v>
      </c>
      <c r="L2305" s="13" t="b">
        <f>Github!M$1422</f>
        <v>0</v>
      </c>
      <c r="M2305" s="13" t="b">
        <f>Github!N$1422</f>
        <v>0</v>
      </c>
      <c r="N2305" s="13">
        <f>Github!P$1422</f>
        <v>21392</v>
      </c>
      <c r="O2305" s="13">
        <f>Github!Q$1422</f>
        <v>25467</v>
      </c>
    </row>
    <row r="2306">
      <c r="A2306" s="13">
        <f>Github!J$2016</f>
        <v>2015</v>
      </c>
      <c r="B2306" s="14" t="str">
        <f>HYPERLINK(CONCAT("http://leetcode.com/problems/",Github!C$2016), Github!B$2016)</f>
        <v>Average Height of Buildings in Each Segment</v>
      </c>
      <c r="C2306" s="13">
        <f>Github!F$2016</f>
        <v>37</v>
      </c>
      <c r="D2306" s="13">
        <f>Github!G$2016</f>
        <v>22</v>
      </c>
      <c r="E2306" s="13">
        <f>Github!F$2016+Github!G$2016</f>
        <v>59</v>
      </c>
      <c r="F2306" s="15">
        <f t="shared" si="1"/>
        <v>1.68</v>
      </c>
      <c r="G2306" s="13" t="str">
        <f>ROUND(Github!O$2016, 2)&amp;"%"</f>
        <v>58.41%</v>
      </c>
      <c r="H2306" s="13" t="str">
        <f>Github!H$2016</f>
        <v>Algorithms</v>
      </c>
      <c r="I2306" s="16" t="str">
        <f>SUBSTITUTE(Github!L$2016, ";", ", ")</f>
        <v>Array, Greedy, Sorting, Heap (Priority Queue), </v>
      </c>
      <c r="J2306" s="13" t="str">
        <f>Github!E$2016</f>
        <v>Medium</v>
      </c>
      <c r="K2306" s="13" t="str">
        <f>IF(TRIM(Github!D$2016)="TRUE","FALSE","TRUE")</f>
        <v>FALSE</v>
      </c>
      <c r="L2306" s="13" t="b">
        <f>Github!M$2016</f>
        <v>0</v>
      </c>
      <c r="M2306" s="13" t="b">
        <f>Github!N$2016</f>
        <v>0</v>
      </c>
      <c r="N2306" s="13">
        <f>Github!P$2016</f>
        <v>1431</v>
      </c>
      <c r="O2306" s="13">
        <f>Github!Q$2016</f>
        <v>2450</v>
      </c>
    </row>
    <row r="2307">
      <c r="A2307" s="13">
        <f>Github!J$2052</f>
        <v>2051</v>
      </c>
      <c r="B2307" s="14" t="str">
        <f>HYPERLINK(CONCAT("http://leetcode.com/problems/",Github!C$2052), Github!B$2052)</f>
        <v>The Category of Each Member in the Store</v>
      </c>
      <c r="C2307" s="13">
        <f>Github!F$2052</f>
        <v>40</v>
      </c>
      <c r="D2307" s="13">
        <f>Github!G$2052</f>
        <v>6</v>
      </c>
      <c r="E2307" s="13">
        <f>Github!F$2052+Github!G$2052</f>
        <v>46</v>
      </c>
      <c r="F2307" s="15">
        <f t="shared" si="1"/>
        <v>6.67</v>
      </c>
      <c r="G2307" s="13" t="str">
        <f>ROUND(Github!O$2052, 2)&amp;"%"</f>
        <v>72.98%</v>
      </c>
      <c r="H2307" s="13" t="str">
        <f>Github!H$2052</f>
        <v>Database</v>
      </c>
      <c r="I2307" s="16" t="str">
        <f>SUBSTITUTE(Github!L$2052, ";", ", ")</f>
        <v>Database, </v>
      </c>
      <c r="J2307" s="13" t="str">
        <f>Github!E$2052</f>
        <v>Medium</v>
      </c>
      <c r="K2307" s="13" t="str">
        <f>IF(TRIM(Github!D$2052)="TRUE","FALSE","TRUE")</f>
        <v>FALSE</v>
      </c>
      <c r="L2307" s="13" t="b">
        <f>Github!M$2052</f>
        <v>0</v>
      </c>
      <c r="M2307" s="13" t="b">
        <f>Github!N$2052</f>
        <v>0</v>
      </c>
      <c r="N2307" s="13">
        <f>Github!P$2052</f>
        <v>4881</v>
      </c>
      <c r="O2307" s="13">
        <f>Github!Q$2052</f>
        <v>6688</v>
      </c>
    </row>
    <row r="2308">
      <c r="A2308" s="13">
        <f>Github!J$1909</f>
        <v>1908</v>
      </c>
      <c r="B2308" s="14" t="str">
        <f>HYPERLINK(CONCAT("http://leetcode.com/problems/",Github!C$1909), Github!B$1909)</f>
        <v>Game of Nim</v>
      </c>
      <c r="C2308" s="13">
        <f>Github!F$1909</f>
        <v>36</v>
      </c>
      <c r="D2308" s="13">
        <f>Github!G$1909</f>
        <v>17</v>
      </c>
      <c r="E2308" s="13">
        <f>Github!F$1909+Github!G$1909</f>
        <v>53</v>
      </c>
      <c r="F2308" s="15">
        <f t="shared" si="1"/>
        <v>2.12</v>
      </c>
      <c r="G2308" s="13" t="str">
        <f>ROUND(Github!O$1909, 2)&amp;"%"</f>
        <v>57.15%</v>
      </c>
      <c r="H2308" s="13" t="str">
        <f>Github!H$1909</f>
        <v>Algorithms</v>
      </c>
      <c r="I2308" s="16" t="str">
        <f>SUBSTITUTE(Github!L$1909, ";", ", ")</f>
        <v>Array, Math, Dynamic Programming, Bit Manipulation, Brainteaser, Game Theory, </v>
      </c>
      <c r="J2308" s="13" t="str">
        <f>Github!E$1909</f>
        <v>Medium</v>
      </c>
      <c r="K2308" s="13" t="str">
        <f>IF(TRIM(Github!D$1909)="TRUE","FALSE","TRUE")</f>
        <v>FALSE</v>
      </c>
      <c r="L2308" s="13" t="b">
        <f>Github!M$1909</f>
        <v>1</v>
      </c>
      <c r="M2308" s="13" t="b">
        <f>Github!N$1909</f>
        <v>0</v>
      </c>
      <c r="N2308" s="13">
        <f>Github!P$1909</f>
        <v>1259</v>
      </c>
      <c r="O2308" s="13">
        <f>Github!Q$1909</f>
        <v>2203</v>
      </c>
    </row>
    <row r="2309">
      <c r="A2309" s="13">
        <f>Github!J$2124</f>
        <v>2123</v>
      </c>
      <c r="B2309" s="14" t="str">
        <f>HYPERLINK(CONCAT("http://leetcode.com/problems/",Github!C$2124), Github!B$2124)</f>
        <v>Minimum Operations to Remove Adjacent Ones in Matrix</v>
      </c>
      <c r="C2309" s="13">
        <f>Github!F$2124</f>
        <v>36</v>
      </c>
      <c r="D2309" s="13">
        <f>Github!G$2124</f>
        <v>7</v>
      </c>
      <c r="E2309" s="13">
        <f>Github!F$2124+Github!G$2124</f>
        <v>43</v>
      </c>
      <c r="F2309" s="15">
        <f t="shared" si="1"/>
        <v>5.14</v>
      </c>
      <c r="G2309" s="13" t="str">
        <f>ROUND(Github!O$2124, 2)&amp;"%"</f>
        <v>41.52%</v>
      </c>
      <c r="H2309" s="13" t="str">
        <f>Github!H$2124</f>
        <v>Algorithms</v>
      </c>
      <c r="I2309" s="16" t="str">
        <f>SUBSTITUTE(Github!L$2124, ";", ", ")</f>
        <v>Array, Graph, Matrix, </v>
      </c>
      <c r="J2309" s="13" t="str">
        <f>Github!E$2124</f>
        <v>Hard</v>
      </c>
      <c r="K2309" s="13" t="str">
        <f>IF(TRIM(Github!D$2124)="TRUE","FALSE","TRUE")</f>
        <v>FALSE</v>
      </c>
      <c r="L2309" s="13" t="b">
        <f>Github!M$2124</f>
        <v>0</v>
      </c>
      <c r="M2309" s="13" t="b">
        <f>Github!N$2124</f>
        <v>0</v>
      </c>
      <c r="N2309" s="13">
        <f>Github!P$2124</f>
        <v>639</v>
      </c>
      <c r="O2309" s="13">
        <f>Github!Q$2124</f>
        <v>1539</v>
      </c>
    </row>
    <row r="2310">
      <c r="A2310" s="13">
        <f>Github!J$2113</f>
        <v>2112</v>
      </c>
      <c r="B2310" s="14" t="str">
        <f>HYPERLINK(CONCAT("http://leetcode.com/problems/",Github!C$2113), Github!B$2113)</f>
        <v>The Airport With the Most Traffic</v>
      </c>
      <c r="C2310" s="13">
        <f>Github!F$2113</f>
        <v>38</v>
      </c>
      <c r="D2310" s="13">
        <f>Github!G$2113</f>
        <v>6</v>
      </c>
      <c r="E2310" s="13">
        <f>Github!F$2113+Github!G$2113</f>
        <v>44</v>
      </c>
      <c r="F2310" s="15">
        <f t="shared" si="1"/>
        <v>6.33</v>
      </c>
      <c r="G2310" s="13" t="str">
        <f>ROUND(Github!O$2113, 2)&amp;"%"</f>
        <v>71.41%</v>
      </c>
      <c r="H2310" s="13" t="str">
        <f>Github!H$2113</f>
        <v>Database</v>
      </c>
      <c r="I2310" s="16" t="str">
        <f>SUBSTITUTE(Github!L$2113, ";", ", ")</f>
        <v>Database, </v>
      </c>
      <c r="J2310" s="13" t="str">
        <f>Github!E$2113</f>
        <v>Medium</v>
      </c>
      <c r="K2310" s="13" t="str">
        <f>IF(TRIM(Github!D$2113)="TRUE","FALSE","TRUE")</f>
        <v>FALSE</v>
      </c>
      <c r="L2310" s="13" t="b">
        <f>Github!M$2113</f>
        <v>0</v>
      </c>
      <c r="M2310" s="13" t="b">
        <f>Github!N$2113</f>
        <v>0</v>
      </c>
      <c r="N2310" s="13">
        <f>Github!P$2113</f>
        <v>4799</v>
      </c>
      <c r="O2310" s="13">
        <f>Github!Q$2113</f>
        <v>6720</v>
      </c>
    </row>
    <row r="2311">
      <c r="A2311" s="13">
        <f>Github!J$2229</f>
        <v>2228</v>
      </c>
      <c r="B2311" s="14" t="str">
        <f>HYPERLINK(CONCAT("http://leetcode.com/problems/",Github!C$2229), Github!B$2229)</f>
        <v>Users With Two Purchases Within Seven Days</v>
      </c>
      <c r="C2311" s="13">
        <f>Github!F$2229</f>
        <v>37</v>
      </c>
      <c r="D2311" s="13">
        <f>Github!G$2229</f>
        <v>6</v>
      </c>
      <c r="E2311" s="13">
        <f>Github!F$2229+Github!G$2229</f>
        <v>43</v>
      </c>
      <c r="F2311" s="15">
        <f t="shared" si="1"/>
        <v>6.17</v>
      </c>
      <c r="G2311" s="13" t="str">
        <f>ROUND(Github!O$2229, 2)&amp;"%"</f>
        <v>44.51%</v>
      </c>
      <c r="H2311" s="13" t="str">
        <f>Github!H$2229</f>
        <v>Database</v>
      </c>
      <c r="I2311" s="16" t="str">
        <f>SUBSTITUTE(Github!L$2229, ";", ", ")</f>
        <v>Database, </v>
      </c>
      <c r="J2311" s="13" t="str">
        <f>Github!E$2229</f>
        <v>Medium</v>
      </c>
      <c r="K2311" s="13" t="str">
        <f>IF(TRIM(Github!D$2229)="TRUE","FALSE","TRUE")</f>
        <v>FALSE</v>
      </c>
      <c r="L2311" s="13" t="b">
        <f>Github!M$2229</f>
        <v>0</v>
      </c>
      <c r="M2311" s="13" t="b">
        <f>Github!N$2229</f>
        <v>0</v>
      </c>
      <c r="N2311" s="13">
        <f>Github!P$2229</f>
        <v>4094</v>
      </c>
      <c r="O2311" s="13">
        <f>Github!Q$2229</f>
        <v>9197</v>
      </c>
    </row>
    <row r="2312">
      <c r="A2312" s="13">
        <f>Github!J$1795</f>
        <v>1794</v>
      </c>
      <c r="B2312" s="14" t="str">
        <f>HYPERLINK(CONCAT("http://leetcode.com/problems/",Github!C$1795), Github!B$1795)</f>
        <v>Count Pairs of Equal Substrings With Minimum Difference</v>
      </c>
      <c r="C2312" s="13">
        <f>Github!F$1795</f>
        <v>35</v>
      </c>
      <c r="D2312" s="13">
        <f>Github!G$1795</f>
        <v>45</v>
      </c>
      <c r="E2312" s="13">
        <f>Github!F$1795+Github!G$1795</f>
        <v>80</v>
      </c>
      <c r="F2312" s="15">
        <f t="shared" si="1"/>
        <v>0.78</v>
      </c>
      <c r="G2312" s="13" t="str">
        <f>ROUND(Github!O$1795, 2)&amp;"%"</f>
        <v>65.33%</v>
      </c>
      <c r="H2312" s="13" t="str">
        <f>Github!H$1795</f>
        <v>Algorithms</v>
      </c>
      <c r="I2312" s="16" t="str">
        <f>SUBSTITUTE(Github!L$1795, ";", ", ")</f>
        <v>Hash Table, String, Greedy, </v>
      </c>
      <c r="J2312" s="13" t="str">
        <f>Github!E$1795</f>
        <v>Medium</v>
      </c>
      <c r="K2312" s="13" t="str">
        <f>IF(TRIM(Github!D$1795)="TRUE","FALSE","TRUE")</f>
        <v>FALSE</v>
      </c>
      <c r="L2312" s="13" t="b">
        <f>Github!M$1795</f>
        <v>0</v>
      </c>
      <c r="M2312" s="13" t="b">
        <f>Github!N$1795</f>
        <v>0</v>
      </c>
      <c r="N2312" s="13">
        <f>Github!P$1795</f>
        <v>1455</v>
      </c>
      <c r="O2312" s="13">
        <f>Github!Q$1795</f>
        <v>2227</v>
      </c>
    </row>
    <row r="2313">
      <c r="A2313" s="13">
        <f>Github!J$2314</f>
        <v>2313</v>
      </c>
      <c r="B2313" s="14" t="str">
        <f>HYPERLINK(CONCAT("http://leetcode.com/problems/",Github!C$2314), Github!B$2314)</f>
        <v>Minimum Flips in Binary Tree to Get Result</v>
      </c>
      <c r="C2313" s="13">
        <f>Github!F$2314</f>
        <v>39</v>
      </c>
      <c r="D2313" s="13">
        <f>Github!G$2314</f>
        <v>0</v>
      </c>
      <c r="E2313" s="13">
        <f>Github!F$2314+Github!G$2314</f>
        <v>39</v>
      </c>
      <c r="F2313" s="15">
        <f t="shared" si="1"/>
        <v>39</v>
      </c>
      <c r="G2313" s="13" t="str">
        <f>ROUND(Github!O$2314, 2)&amp;"%"</f>
        <v>65.97%</v>
      </c>
      <c r="H2313" s="13" t="str">
        <f>Github!H2314</f>
        <v>Algorithms</v>
      </c>
      <c r="I2313" s="16" t="str">
        <f>SUBSTITUTE(Github!L$2314, ";", ", ")</f>
        <v>Dynamic Programming, Tree, Depth-First Search, Binary Tree, </v>
      </c>
      <c r="J2313" s="13" t="str">
        <f>Github!E$2314</f>
        <v>Hard</v>
      </c>
      <c r="K2313" s="13" t="str">
        <f>IF(TRIM(Github!D$2314)="TRUE","FALSE","TRUE")</f>
        <v>FALSE</v>
      </c>
      <c r="L2313" s="13" t="b">
        <f>Github!M$2314</f>
        <v>0</v>
      </c>
      <c r="M2313" s="13" t="b">
        <f>Github!N$2314</f>
        <v>0</v>
      </c>
      <c r="N2313" s="13">
        <f>Github!P$2314</f>
        <v>950</v>
      </c>
      <c r="O2313" s="13">
        <f>Github!Q$2314</f>
        <v>1440</v>
      </c>
    </row>
    <row r="2314">
      <c r="A2314" s="13">
        <f>Github!J$2309</f>
        <v>2308</v>
      </c>
      <c r="B2314" s="14" t="str">
        <f>HYPERLINK(CONCAT("http://leetcode.com/problems/",Github!C$2309), Github!B$2309)</f>
        <v>Arrange Table by Gender</v>
      </c>
      <c r="C2314" s="13">
        <f>Github!F$2309</f>
        <v>35</v>
      </c>
      <c r="D2314" s="13">
        <f>Github!G$2309</f>
        <v>9</v>
      </c>
      <c r="E2314" s="13">
        <f>Github!F$2309+Github!G$2309</f>
        <v>44</v>
      </c>
      <c r="F2314" s="15">
        <f t="shared" si="1"/>
        <v>3.89</v>
      </c>
      <c r="G2314" s="13" t="str">
        <f>ROUND(Github!O$2309, 2)&amp;"%"</f>
        <v>78.54%</v>
      </c>
      <c r="H2314" s="13" t="str">
        <f>Github!H2309</f>
        <v>Database</v>
      </c>
      <c r="I2314" s="16" t="str">
        <f>SUBSTITUTE(Github!L$2309, ";", ", ")</f>
        <v>Database, </v>
      </c>
      <c r="J2314" s="13" t="str">
        <f>Github!E$2309</f>
        <v>Medium</v>
      </c>
      <c r="K2314" s="13" t="str">
        <f>IF(TRIM(Github!D$2309)="TRUE","FALSE","TRUE")</f>
        <v>FALSE</v>
      </c>
      <c r="L2314" s="13" t="b">
        <f>Github!M$2309</f>
        <v>0</v>
      </c>
      <c r="M2314" s="13" t="b">
        <f>Github!N$2309</f>
        <v>0</v>
      </c>
      <c r="N2314" s="13">
        <f>Github!P$2309</f>
        <v>2280</v>
      </c>
      <c r="O2314" s="13">
        <f>Github!Q$2309</f>
        <v>2903</v>
      </c>
    </row>
    <row r="2315">
      <c r="A2315" s="13">
        <f>Github!J$2053</f>
        <v>2052</v>
      </c>
      <c r="B2315" s="14" t="str">
        <f>HYPERLINK(CONCAT("http://leetcode.com/problems/",Github!C$2053), Github!B$2053)</f>
        <v>Minimum Cost to Separate Sentence Into Rows</v>
      </c>
      <c r="C2315" s="13">
        <f>Github!F$2053</f>
        <v>34</v>
      </c>
      <c r="D2315" s="13">
        <f>Github!G$2053</f>
        <v>11</v>
      </c>
      <c r="E2315" s="13">
        <f>Github!F$2053+Github!G$2053</f>
        <v>45</v>
      </c>
      <c r="F2315" s="15">
        <f t="shared" si="1"/>
        <v>3.09</v>
      </c>
      <c r="G2315" s="13" t="str">
        <f>ROUND(Github!O$2053, 2)&amp;"%"</f>
        <v>50.51%</v>
      </c>
      <c r="H2315" s="13" t="str">
        <f>Github!H$2053</f>
        <v>Algorithms</v>
      </c>
      <c r="I2315" s="16" t="str">
        <f>SUBSTITUTE(Github!L$2053, ";", ", ")</f>
        <v>Array, Dynamic Programming, </v>
      </c>
      <c r="J2315" s="13" t="str">
        <f>Github!E$2053</f>
        <v>Medium</v>
      </c>
      <c r="K2315" s="13" t="str">
        <f>IF(TRIM(Github!D$2053)="TRUE","FALSE","TRUE")</f>
        <v>FALSE</v>
      </c>
      <c r="L2315" s="13" t="b">
        <f>Github!M$2053</f>
        <v>0</v>
      </c>
      <c r="M2315" s="13" t="b">
        <f>Github!N$2053</f>
        <v>0</v>
      </c>
      <c r="N2315" s="13">
        <f>Github!P$2053</f>
        <v>1288</v>
      </c>
      <c r="O2315" s="13">
        <f>Github!Q$2053</f>
        <v>2550</v>
      </c>
    </row>
    <row r="2316">
      <c r="A2316" s="13">
        <f>Github!J$2293</f>
        <v>2292</v>
      </c>
      <c r="B2316" s="14" t="str">
        <f>HYPERLINK(CONCAT("http://leetcode.com/problems/",Github!C$2293), Github!B$2293)</f>
        <v>Products With Three or More Orders in Two Consecutive Years</v>
      </c>
      <c r="C2316" s="13">
        <f>Github!F$2293</f>
        <v>34</v>
      </c>
      <c r="D2316" s="13">
        <f>Github!G$2293</f>
        <v>17</v>
      </c>
      <c r="E2316" s="13">
        <f>Github!F$2293+Github!G$2293</f>
        <v>51</v>
      </c>
      <c r="F2316" s="15">
        <f t="shared" si="1"/>
        <v>2</v>
      </c>
      <c r="G2316" s="13" t="str">
        <f>ROUND(Github!O$2293, 2)&amp;"%"</f>
        <v>39.96%</v>
      </c>
      <c r="H2316" s="13" t="str">
        <f>Github!H2293</f>
        <v>Database</v>
      </c>
      <c r="I2316" s="16" t="str">
        <f>SUBSTITUTE(Github!L$2293, ";", ", ")</f>
        <v>Database, </v>
      </c>
      <c r="J2316" s="13" t="str">
        <f>Github!E$2293</f>
        <v>Medium</v>
      </c>
      <c r="K2316" s="13" t="str">
        <f>IF(TRIM(Github!D$2293)="TRUE","FALSE","TRUE")</f>
        <v>FALSE</v>
      </c>
      <c r="L2316" s="13" t="b">
        <f>Github!M$2293</f>
        <v>0</v>
      </c>
      <c r="M2316" s="13" t="b">
        <f>Github!N$2293</f>
        <v>0</v>
      </c>
      <c r="N2316" s="13">
        <f>Github!P$2293</f>
        <v>2913</v>
      </c>
      <c r="O2316" s="13">
        <f>Github!Q$2293</f>
        <v>7289</v>
      </c>
    </row>
    <row r="2317">
      <c r="A2317" s="13">
        <f>Github!J$1119</f>
        <v>1118</v>
      </c>
      <c r="B2317" s="14" t="str">
        <f>HYPERLINK(CONCAT("http://leetcode.com/problems/",Github!C$1119), Github!B$1119)</f>
        <v>Number of Days in a Month</v>
      </c>
      <c r="C2317" s="13">
        <f>Github!F$1119</f>
        <v>34</v>
      </c>
      <c r="D2317" s="13">
        <f>Github!G$1119</f>
        <v>151</v>
      </c>
      <c r="E2317" s="13">
        <f>Github!F$1119+Github!G$1119</f>
        <v>185</v>
      </c>
      <c r="F2317" s="15">
        <f t="shared" si="1"/>
        <v>0.23</v>
      </c>
      <c r="G2317" s="13" t="str">
        <f>ROUND(Github!O$1119, 2)&amp;"%"</f>
        <v>56.92%</v>
      </c>
      <c r="H2317" s="13" t="str">
        <f>Github!H$1119</f>
        <v>Algorithms</v>
      </c>
      <c r="I2317" s="16" t="str">
        <f>SUBSTITUTE(Github!L$1119, ";", ", ")</f>
        <v>Math, </v>
      </c>
      <c r="J2317" s="13" t="str">
        <f>Github!E$1119</f>
        <v>Easy</v>
      </c>
      <c r="K2317" s="13" t="str">
        <f>IF(TRIM(Github!D$1119)="TRUE","FALSE","TRUE")</f>
        <v>FALSE</v>
      </c>
      <c r="L2317" s="13" t="b">
        <f>Github!M$1119</f>
        <v>0</v>
      </c>
      <c r="M2317" s="13" t="b">
        <f>Github!N$1119</f>
        <v>0</v>
      </c>
      <c r="N2317" s="13">
        <f>Github!P$1119</f>
        <v>7114</v>
      </c>
      <c r="O2317" s="13">
        <f>Github!Q$1119</f>
        <v>12498</v>
      </c>
    </row>
    <row r="2318">
      <c r="A2318" s="13">
        <f>Github!J$1822</f>
        <v>1821</v>
      </c>
      <c r="B2318" s="14" t="str">
        <f>HYPERLINK(CONCAT("http://leetcode.com/problems/",Github!C$1822), Github!B$1822)</f>
        <v>Find Customers With Positive Revenue this Year</v>
      </c>
      <c r="C2318" s="13">
        <f>Github!F$1822</f>
        <v>36</v>
      </c>
      <c r="D2318" s="13">
        <f>Github!G$1822</f>
        <v>19</v>
      </c>
      <c r="E2318" s="13">
        <f>Github!F$1822+Github!G$1822</f>
        <v>55</v>
      </c>
      <c r="F2318" s="15">
        <f t="shared" si="1"/>
        <v>1.89</v>
      </c>
      <c r="G2318" s="13" t="str">
        <f>ROUND(Github!O$1822, 2)&amp;"%"</f>
        <v>89.34%</v>
      </c>
      <c r="H2318" s="13" t="str">
        <f>Github!H$1822</f>
        <v>Database</v>
      </c>
      <c r="I2318" s="16" t="str">
        <f>SUBSTITUTE(Github!L$1822, ";", ", ")</f>
        <v>Database, </v>
      </c>
      <c r="J2318" s="13" t="str">
        <f>Github!E$1822</f>
        <v>Easy</v>
      </c>
      <c r="K2318" s="13" t="str">
        <f>IF(TRIM(Github!D$1822)="TRUE","FALSE","TRUE")</f>
        <v>FALSE</v>
      </c>
      <c r="L2318" s="13" t="b">
        <f>Github!M$1822</f>
        <v>0</v>
      </c>
      <c r="M2318" s="13" t="b">
        <f>Github!N$1822</f>
        <v>0</v>
      </c>
      <c r="N2318" s="13">
        <f>Github!P$1822</f>
        <v>13235</v>
      </c>
      <c r="O2318" s="13">
        <f>Github!Q$1822</f>
        <v>14815</v>
      </c>
    </row>
    <row r="2319">
      <c r="A2319" s="13">
        <f>Github!J$2042</f>
        <v>2041</v>
      </c>
      <c r="B2319" s="14" t="str">
        <f>HYPERLINK(CONCAT("http://leetcode.com/problems/",Github!C$2042), Github!B$2042)</f>
        <v>Accepted Candidates From the Interviews</v>
      </c>
      <c r="C2319" s="13">
        <f>Github!F$2042</f>
        <v>31</v>
      </c>
      <c r="D2319" s="13">
        <f>Github!G$2042</f>
        <v>24</v>
      </c>
      <c r="E2319" s="13">
        <f>Github!F$2042+Github!G$2042</f>
        <v>55</v>
      </c>
      <c r="F2319" s="15">
        <f t="shared" si="1"/>
        <v>1.29</v>
      </c>
      <c r="G2319" s="13" t="str">
        <f>ROUND(Github!O$2042, 2)&amp;"%"</f>
        <v>79.55%</v>
      </c>
      <c r="H2319" s="13" t="str">
        <f>Github!H$2042</f>
        <v>Database</v>
      </c>
      <c r="I2319" s="16" t="str">
        <f>SUBSTITUTE(Github!L$2042, ";", ", ")</f>
        <v>Database, </v>
      </c>
      <c r="J2319" s="13" t="str">
        <f>Github!E$2042</f>
        <v>Medium</v>
      </c>
      <c r="K2319" s="13" t="str">
        <f>IF(TRIM(Github!D$2042)="TRUE","FALSE","TRUE")</f>
        <v>FALSE</v>
      </c>
      <c r="L2319" s="13" t="b">
        <f>Github!M$2042</f>
        <v>0</v>
      </c>
      <c r="M2319" s="13" t="b">
        <f>Github!N$2042</f>
        <v>0</v>
      </c>
      <c r="N2319" s="13">
        <f>Github!P$2042</f>
        <v>5477</v>
      </c>
      <c r="O2319" s="13">
        <f>Github!Q$2042</f>
        <v>6885</v>
      </c>
    </row>
    <row r="2320">
      <c r="A2320" s="13">
        <f>Github!J$1678</f>
        <v>1677</v>
      </c>
      <c r="B2320" s="14" t="str">
        <f>HYPERLINK(CONCAT("http://leetcode.com/problems/",Github!C$1678), Github!B$1678)</f>
        <v>Product's Worth Over Invoices</v>
      </c>
      <c r="C2320" s="13">
        <f>Github!F$1678</f>
        <v>30</v>
      </c>
      <c r="D2320" s="13">
        <f>Github!G$1678</f>
        <v>121</v>
      </c>
      <c r="E2320" s="13">
        <f>Github!F$1678+Github!G$1678</f>
        <v>151</v>
      </c>
      <c r="F2320" s="15">
        <f t="shared" si="1"/>
        <v>0.25</v>
      </c>
      <c r="G2320" s="13" t="str">
        <f>ROUND(Github!O$1678, 2)&amp;"%"</f>
        <v>38.92%</v>
      </c>
      <c r="H2320" s="13" t="str">
        <f>Github!H$1678</f>
        <v>Database</v>
      </c>
      <c r="I2320" s="16" t="str">
        <f>SUBSTITUTE(Github!L$1678, ";", ", ")</f>
        <v>Database, </v>
      </c>
      <c r="J2320" s="13" t="str">
        <f>Github!E$1678</f>
        <v>Easy</v>
      </c>
      <c r="K2320" s="13" t="str">
        <f>IF(TRIM(Github!D$1678)="TRUE","FALSE","TRUE")</f>
        <v>FALSE</v>
      </c>
      <c r="L2320" s="13" t="b">
        <f>Github!M$1678</f>
        <v>0</v>
      </c>
      <c r="M2320" s="13" t="b">
        <f>Github!N$1678</f>
        <v>0</v>
      </c>
      <c r="N2320" s="13">
        <f>Github!P$1678</f>
        <v>13340</v>
      </c>
      <c r="O2320" s="13">
        <f>Github!Q$1678</f>
        <v>34273</v>
      </c>
    </row>
    <row r="2321">
      <c r="A2321" s="13">
        <f>Github!J$1517</f>
        <v>1516</v>
      </c>
      <c r="B2321" s="14" t="str">
        <f>HYPERLINK(CONCAT("http://leetcode.com/problems/",Github!C$1517), Github!B$1517)</f>
        <v>Move Sub-Tree of N-Ary Tree</v>
      </c>
      <c r="C2321" s="13">
        <f>Github!F$1517</f>
        <v>28</v>
      </c>
      <c r="D2321" s="13">
        <f>Github!G$1517</f>
        <v>48</v>
      </c>
      <c r="E2321" s="13">
        <f>Github!F$1517+Github!G$1517</f>
        <v>76</v>
      </c>
      <c r="F2321" s="15">
        <f t="shared" si="1"/>
        <v>0.58</v>
      </c>
      <c r="G2321" s="13" t="str">
        <f>ROUND(Github!O$1517, 2)&amp;"%"</f>
        <v>63.82%</v>
      </c>
      <c r="H2321" s="13" t="str">
        <f>Github!H$1517</f>
        <v>Algorithms</v>
      </c>
      <c r="I2321" s="16" t="str">
        <f>SUBSTITUTE(Github!L$1517, ";", ", ")</f>
        <v>Tree, Depth-First Search, </v>
      </c>
      <c r="J2321" s="13" t="str">
        <f>Github!E$1517</f>
        <v>Hard</v>
      </c>
      <c r="K2321" s="13" t="str">
        <f>IF(TRIM(Github!D$1517)="TRUE","FALSE","TRUE")</f>
        <v>FALSE</v>
      </c>
      <c r="L2321" s="13" t="b">
        <f>Github!M$1517</f>
        <v>0</v>
      </c>
      <c r="M2321" s="13" t="b">
        <f>Github!N$1517</f>
        <v>0</v>
      </c>
      <c r="N2321" s="13">
        <f>Github!P$1517</f>
        <v>1933</v>
      </c>
      <c r="O2321" s="13">
        <f>Github!Q$1517</f>
        <v>3029</v>
      </c>
    </row>
    <row r="2322">
      <c r="A2322" s="13">
        <f>Github!J$2027</f>
        <v>2026</v>
      </c>
      <c r="B2322" s="14" t="str">
        <f>HYPERLINK(CONCAT("http://leetcode.com/problems/",Github!C$2027), Github!B$2027)</f>
        <v>Low-Quality Problems</v>
      </c>
      <c r="C2322" s="13">
        <f>Github!F$2027</f>
        <v>28</v>
      </c>
      <c r="D2322" s="13">
        <f>Github!G$2027</f>
        <v>9</v>
      </c>
      <c r="E2322" s="13">
        <f>Github!F$2027+Github!G$2027</f>
        <v>37</v>
      </c>
      <c r="F2322" s="15">
        <f t="shared" si="1"/>
        <v>3.11</v>
      </c>
      <c r="G2322" s="13" t="str">
        <f>ROUND(Github!O$2027, 2)&amp;"%"</f>
        <v>85.33%</v>
      </c>
      <c r="H2322" s="13" t="str">
        <f>Github!H$2027</f>
        <v>Database</v>
      </c>
      <c r="I2322" s="16" t="str">
        <f>SUBSTITUTE(Github!L$2027, ";", ", ")</f>
        <v>Database, </v>
      </c>
      <c r="J2322" s="13" t="str">
        <f>Github!E$2027</f>
        <v>Easy</v>
      </c>
      <c r="K2322" s="13" t="str">
        <f>IF(TRIM(Github!D$2027)="TRUE","FALSE","TRUE")</f>
        <v>FALSE</v>
      </c>
      <c r="L2322" s="13" t="b">
        <f>Github!M$2027</f>
        <v>0</v>
      </c>
      <c r="M2322" s="13" t="b">
        <f>Github!N$2027</f>
        <v>0</v>
      </c>
      <c r="N2322" s="13">
        <f>Github!P$2027</f>
        <v>7785</v>
      </c>
      <c r="O2322" s="13">
        <f>Github!Q$2027</f>
        <v>9123</v>
      </c>
    </row>
    <row r="2323">
      <c r="A2323" s="13">
        <f>Github!J$2315</f>
        <v>2314</v>
      </c>
      <c r="B2323" s="14" t="str">
        <f>HYPERLINK(CONCAT("http://leetcode.com/problems/",Github!C$2315), Github!B$2315)</f>
        <v>The First Day of the Maximum Recorded Degree in Each City</v>
      </c>
      <c r="C2323" s="13">
        <f>Github!F$2315</f>
        <v>28</v>
      </c>
      <c r="D2323" s="13">
        <f>Github!G$2315</f>
        <v>2</v>
      </c>
      <c r="E2323" s="13">
        <f>Github!F$2315+Github!G$2315</f>
        <v>30</v>
      </c>
      <c r="F2323" s="15">
        <f t="shared" si="1"/>
        <v>14</v>
      </c>
      <c r="G2323" s="13" t="str">
        <f>ROUND(Github!O$2315, 2)&amp;"%"</f>
        <v>76.87%</v>
      </c>
      <c r="H2323" s="13" t="str">
        <f>Github!H2315</f>
        <v>Database</v>
      </c>
      <c r="I2323" s="16" t="str">
        <f>SUBSTITUTE(Github!L$2315, ";", ", ")</f>
        <v>Database, </v>
      </c>
      <c r="J2323" s="13" t="str">
        <f>Github!E$2315</f>
        <v>Medium</v>
      </c>
      <c r="K2323" s="13" t="str">
        <f>IF(TRIM(Github!D$2315)="TRUE","FALSE","TRUE")</f>
        <v>FALSE</v>
      </c>
      <c r="L2323" s="13" t="b">
        <f>Github!M$2315</f>
        <v>0</v>
      </c>
      <c r="M2323" s="13" t="b">
        <f>Github!N$2315</f>
        <v>0</v>
      </c>
      <c r="N2323" s="13">
        <f>Github!P$2315</f>
        <v>2273</v>
      </c>
      <c r="O2323" s="13">
        <f>Github!Q$2315</f>
        <v>2957</v>
      </c>
    </row>
    <row r="2324">
      <c r="A2324" s="13">
        <f>Github!J$2144</f>
        <v>2143</v>
      </c>
      <c r="B2324" s="14" t="str">
        <f>HYPERLINK(CONCAT("http://leetcode.com/problems/",Github!C$2144), Github!B$2144)</f>
        <v>Choose Numbers From Two Arrays in Range</v>
      </c>
      <c r="C2324" s="13">
        <f>Github!F$2144</f>
        <v>25</v>
      </c>
      <c r="D2324" s="13">
        <f>Github!G$2144</f>
        <v>4</v>
      </c>
      <c r="E2324" s="13">
        <f>Github!F$2144+Github!G$2144</f>
        <v>29</v>
      </c>
      <c r="F2324" s="15">
        <f t="shared" si="1"/>
        <v>6.25</v>
      </c>
      <c r="G2324" s="13" t="str">
        <f>ROUND(Github!O$2144, 2)&amp;"%"</f>
        <v>52.61%</v>
      </c>
      <c r="H2324" s="13" t="str">
        <f>Github!H$2144</f>
        <v>Algorithms</v>
      </c>
      <c r="I2324" s="16" t="str">
        <f>SUBSTITUTE(Github!L$2144, ";", ", ")</f>
        <v>Array, Dynamic Programming, </v>
      </c>
      <c r="J2324" s="13" t="str">
        <f>Github!E$2144</f>
        <v>Hard</v>
      </c>
      <c r="K2324" s="13" t="str">
        <f>IF(TRIM(Github!D$2144)="TRUE","FALSE","TRUE")</f>
        <v>FALSE</v>
      </c>
      <c r="L2324" s="13" t="b">
        <f>Github!M$2144</f>
        <v>0</v>
      </c>
      <c r="M2324" s="13" t="b">
        <f>Github!N$2144</f>
        <v>0</v>
      </c>
      <c r="N2324" s="13">
        <f>Github!P$2144</f>
        <v>715</v>
      </c>
      <c r="O2324" s="13">
        <f>Github!Q$2144</f>
        <v>1359</v>
      </c>
    </row>
    <row r="2325">
      <c r="A2325" s="13">
        <f>Github!J$2083</f>
        <v>2082</v>
      </c>
      <c r="B2325" s="14" t="str">
        <f>HYPERLINK(CONCAT("http://leetcode.com/problems/",Github!C$2083), Github!B$2083)</f>
        <v>The Number of Rich Customers</v>
      </c>
      <c r="C2325" s="13">
        <f>Github!F$2083</f>
        <v>26</v>
      </c>
      <c r="D2325" s="13">
        <f>Github!G$2083</f>
        <v>16</v>
      </c>
      <c r="E2325" s="13">
        <f>Github!F$2083+Github!G$2083</f>
        <v>42</v>
      </c>
      <c r="F2325" s="15">
        <f t="shared" si="1"/>
        <v>1.63</v>
      </c>
      <c r="G2325" s="13" t="str">
        <f>ROUND(Github!O$2083, 2)&amp;"%"</f>
        <v>80.41%</v>
      </c>
      <c r="H2325" s="13" t="str">
        <f>Github!H$2083</f>
        <v>Database</v>
      </c>
      <c r="I2325" s="16" t="str">
        <f>SUBSTITUTE(Github!L$2083, ";", ", ")</f>
        <v>Database, </v>
      </c>
      <c r="J2325" s="13" t="str">
        <f>Github!E$2083</f>
        <v>Easy</v>
      </c>
      <c r="K2325" s="13" t="str">
        <f>IF(TRIM(Github!D$2083)="TRUE","FALSE","TRUE")</f>
        <v>FALSE</v>
      </c>
      <c r="L2325" s="13" t="b">
        <f>Github!M$2083</f>
        <v>0</v>
      </c>
      <c r="M2325" s="13" t="b">
        <f>Github!N$2083</f>
        <v>0</v>
      </c>
      <c r="N2325" s="13">
        <f>Github!P$2083</f>
        <v>7207</v>
      </c>
      <c r="O2325" s="13">
        <f>Github!Q$2083</f>
        <v>8963</v>
      </c>
    </row>
    <row r="2326">
      <c r="A2326" s="13">
        <f>Github!J$1957</f>
        <v>1956</v>
      </c>
      <c r="B2326" s="14" t="str">
        <f>HYPERLINK(CONCAT("http://leetcode.com/problems/",Github!C$1957), Github!B$1957)</f>
        <v>Minimum Time For K Virus Variants to Spread</v>
      </c>
      <c r="C2326" s="13">
        <f>Github!F$1957</f>
        <v>24</v>
      </c>
      <c r="D2326" s="13">
        <f>Github!G$1957</f>
        <v>6</v>
      </c>
      <c r="E2326" s="13">
        <f>Github!F$1957+Github!G$1957</f>
        <v>30</v>
      </c>
      <c r="F2326" s="15">
        <f t="shared" si="1"/>
        <v>4</v>
      </c>
      <c r="G2326" s="13" t="str">
        <f>ROUND(Github!O$1957, 2)&amp;"%"</f>
        <v>47.03%</v>
      </c>
      <c r="H2326" s="13" t="str">
        <f>Github!H$1957</f>
        <v>Algorithms</v>
      </c>
      <c r="I2326" s="16" t="str">
        <f>SUBSTITUTE(Github!L$1957, ";", ", ")</f>
        <v>Array, Math, Binary Search, Geometry, Enumeration, </v>
      </c>
      <c r="J2326" s="13" t="str">
        <f>Github!E$1957</f>
        <v>Hard</v>
      </c>
      <c r="K2326" s="13" t="str">
        <f>IF(TRIM(Github!D$1957)="TRUE","FALSE","TRUE")</f>
        <v>FALSE</v>
      </c>
      <c r="L2326" s="13" t="b">
        <f>Github!M$1957</f>
        <v>0</v>
      </c>
      <c r="M2326" s="13" t="b">
        <f>Github!N$1957</f>
        <v>0</v>
      </c>
      <c r="N2326" s="13">
        <f>Github!P$1957</f>
        <v>626</v>
      </c>
      <c r="O2326" s="13">
        <f>Github!Q$1957</f>
        <v>1331</v>
      </c>
    </row>
    <row r="2327">
      <c r="A2327" s="13">
        <f>Github!J$2000</f>
        <v>1999</v>
      </c>
      <c r="B2327" s="14" t="str">
        <f>HYPERLINK(CONCAT("http://leetcode.com/problems/",Github!C$2000), Github!B$2000)</f>
        <v>Smallest Greater Multiple Made of Two Digits</v>
      </c>
      <c r="C2327" s="13">
        <f>Github!F$2000</f>
        <v>23</v>
      </c>
      <c r="D2327" s="13">
        <f>Github!G$2000</f>
        <v>4</v>
      </c>
      <c r="E2327" s="13">
        <f>Github!F$2000+Github!G$2000</f>
        <v>27</v>
      </c>
      <c r="F2327" s="15">
        <f t="shared" si="1"/>
        <v>5.75</v>
      </c>
      <c r="G2327" s="13" t="str">
        <f>ROUND(Github!O$2000, 2)&amp;"%"</f>
        <v>49.34%</v>
      </c>
      <c r="H2327" s="13" t="str">
        <f>Github!H$2000</f>
        <v>Algorithms</v>
      </c>
      <c r="I2327" s="16" t="str">
        <f>SUBSTITUTE(Github!L$2000, ";", ", ")</f>
        <v>Math, Enumeration, </v>
      </c>
      <c r="J2327" s="13" t="str">
        <f>Github!E$2000</f>
        <v>Medium</v>
      </c>
      <c r="K2327" s="13" t="str">
        <f>IF(TRIM(Github!D$2000)="TRUE","FALSE","TRUE")</f>
        <v>FALSE</v>
      </c>
      <c r="L2327" s="13" t="b">
        <f>Github!M$2000</f>
        <v>0</v>
      </c>
      <c r="M2327" s="13" t="b">
        <f>Github!N$2000</f>
        <v>0</v>
      </c>
      <c r="N2327" s="13">
        <f>Github!P$2000</f>
        <v>1162</v>
      </c>
      <c r="O2327" s="13">
        <f>Github!Q$2000</f>
        <v>2355</v>
      </c>
    </row>
    <row r="2328">
      <c r="A2328" s="13">
        <f>Github!J$1715</f>
        <v>1714</v>
      </c>
      <c r="B2328" s="14" t="str">
        <f>HYPERLINK(CONCAT("http://leetcode.com/problems/",Github!C$1715), Github!B$1715)</f>
        <v>Sum Of Special Evenly-Spaced Elements In Array</v>
      </c>
      <c r="C2328" s="13">
        <f>Github!F$1715</f>
        <v>23</v>
      </c>
      <c r="D2328" s="13">
        <f>Github!G$1715</f>
        <v>21</v>
      </c>
      <c r="E2328" s="13">
        <f>Github!F$1715+Github!G$1715</f>
        <v>44</v>
      </c>
      <c r="F2328" s="15">
        <f t="shared" si="1"/>
        <v>1.1</v>
      </c>
      <c r="G2328" s="13" t="str">
        <f>ROUND(Github!O$1715, 2)&amp;"%"</f>
        <v>49.48%</v>
      </c>
      <c r="H2328" s="13" t="str">
        <f>Github!H$1715</f>
        <v>Algorithms</v>
      </c>
      <c r="I2328" s="16" t="str">
        <f>SUBSTITUTE(Github!L$1715, ";", ", ")</f>
        <v>Array, Dynamic Programming, </v>
      </c>
      <c r="J2328" s="13" t="str">
        <f>Github!E$1715</f>
        <v>Hard</v>
      </c>
      <c r="K2328" s="13" t="str">
        <f>IF(TRIM(Github!D$1715)="TRUE","FALSE","TRUE")</f>
        <v>FALSE</v>
      </c>
      <c r="L2328" s="13" t="b">
        <f>Github!M$1715</f>
        <v>0</v>
      </c>
      <c r="M2328" s="13" t="b">
        <f>Github!N$1715</f>
        <v>0</v>
      </c>
      <c r="N2328" s="13">
        <f>Github!P$1715</f>
        <v>1096</v>
      </c>
      <c r="O2328" s="13">
        <f>Github!Q$1715</f>
        <v>2215</v>
      </c>
    </row>
    <row r="2329">
      <c r="A2329" s="13">
        <f>Github!J$2200</f>
        <v>2199</v>
      </c>
      <c r="B2329" s="14" t="str">
        <f>HYPERLINK(CONCAT("http://leetcode.com/problems/",Github!C$2200), Github!B$2200)</f>
        <v>Finding the Topic of Each Post</v>
      </c>
      <c r="C2329" s="13">
        <f>Github!F$2200</f>
        <v>24</v>
      </c>
      <c r="D2329" s="13">
        <f>Github!G$2200</f>
        <v>10</v>
      </c>
      <c r="E2329" s="13">
        <f>Github!F$2200+Github!G$2200</f>
        <v>34</v>
      </c>
      <c r="F2329" s="15">
        <f t="shared" si="1"/>
        <v>2.4</v>
      </c>
      <c r="G2329" s="13" t="str">
        <f>ROUND(Github!O$2200, 2)&amp;"%"</f>
        <v>49.52%</v>
      </c>
      <c r="H2329" s="13" t="str">
        <f>Github!H$2200</f>
        <v>Database</v>
      </c>
      <c r="I2329" s="16" t="str">
        <f>SUBSTITUTE(Github!L$2200, ";", ", ")</f>
        <v>Database, </v>
      </c>
      <c r="J2329" s="13" t="str">
        <f>Github!E$2200</f>
        <v>Hard</v>
      </c>
      <c r="K2329" s="13" t="str">
        <f>IF(TRIM(Github!D$2200)="TRUE","FALSE","TRUE")</f>
        <v>FALSE</v>
      </c>
      <c r="L2329" s="13" t="b">
        <f>Github!M$2200</f>
        <v>0</v>
      </c>
      <c r="M2329" s="13" t="b">
        <f>Github!N$2200</f>
        <v>0</v>
      </c>
      <c r="N2329" s="13">
        <f>Github!P$2200</f>
        <v>1393</v>
      </c>
      <c r="O2329" s="13">
        <f>Github!Q$2200</f>
        <v>2813</v>
      </c>
    </row>
    <row r="2330">
      <c r="A2330" s="13">
        <f>Github!J$2299</f>
        <v>2298</v>
      </c>
      <c r="B2330" s="14" t="str">
        <f>HYPERLINK(CONCAT("http://leetcode.com/problems/",Github!C$2299), Github!B$2299)</f>
        <v>Tasks Count in the Weekend</v>
      </c>
      <c r="C2330" s="13">
        <f>Github!F$2299</f>
        <v>24</v>
      </c>
      <c r="D2330" s="13">
        <f>Github!G$2299</f>
        <v>7</v>
      </c>
      <c r="E2330" s="13">
        <f>Github!F$2299+Github!G$2299</f>
        <v>31</v>
      </c>
      <c r="F2330" s="15">
        <f t="shared" si="1"/>
        <v>3.43</v>
      </c>
      <c r="G2330" s="13" t="str">
        <f>ROUND(Github!O$2299, 2)&amp;"%"</f>
        <v>87.1%</v>
      </c>
      <c r="H2330" s="13" t="str">
        <f>Github!H2299</f>
        <v>Database</v>
      </c>
      <c r="I2330" s="16" t="str">
        <f>SUBSTITUTE(Github!L$2299, ";", ", ")</f>
        <v>Database, </v>
      </c>
      <c r="J2330" s="13" t="str">
        <f>Github!E$2299</f>
        <v>Medium</v>
      </c>
      <c r="K2330" s="13" t="str">
        <f>IF(TRIM(Github!D$2299)="TRUE","FALSE","TRUE")</f>
        <v>FALSE</v>
      </c>
      <c r="L2330" s="13" t="b">
        <f>Github!M$2299</f>
        <v>0</v>
      </c>
      <c r="M2330" s="13" t="b">
        <f>Github!N$2299</f>
        <v>0</v>
      </c>
      <c r="N2330" s="13">
        <f>Github!P$2299</f>
        <v>2681</v>
      </c>
      <c r="O2330" s="13">
        <f>Github!Q$2299</f>
        <v>3078</v>
      </c>
    </row>
    <row r="2331">
      <c r="A2331" s="13">
        <f>Github!J$2325</f>
        <v>2324</v>
      </c>
      <c r="B2331" s="14" t="str">
        <f>HYPERLINK(CONCAT("http://leetcode.com/problems/",Github!C$2325), Github!B$2325)</f>
        <v>Product Sales Analysis IV</v>
      </c>
      <c r="C2331" s="13">
        <f>Github!F$2325</f>
        <v>24</v>
      </c>
      <c r="D2331" s="13">
        <f>Github!G$2325</f>
        <v>1</v>
      </c>
      <c r="E2331" s="13">
        <f>Github!F$2325+Github!G$2325</f>
        <v>25</v>
      </c>
      <c r="F2331" s="15">
        <f t="shared" si="1"/>
        <v>24</v>
      </c>
      <c r="G2331" s="13" t="str">
        <f>ROUND(Github!O$2325, 2)&amp;"%"</f>
        <v>83.38%</v>
      </c>
      <c r="H2331" s="13" t="str">
        <f>Github!H2325</f>
        <v>Database</v>
      </c>
      <c r="I2331" s="16" t="str">
        <f>SUBSTITUTE(Github!L$2325, ";", ", ")</f>
        <v>Database, </v>
      </c>
      <c r="J2331" s="13" t="str">
        <f>Github!E$2325</f>
        <v>Medium</v>
      </c>
      <c r="K2331" s="13" t="str">
        <f>IF(TRIM(Github!D$2325)="TRUE","FALSE","TRUE")</f>
        <v>FALSE</v>
      </c>
      <c r="L2331" s="13" t="b">
        <f>Github!M$2325</f>
        <v>0</v>
      </c>
      <c r="M2331" s="13" t="b">
        <f>Github!N$2325</f>
        <v>0</v>
      </c>
      <c r="N2331" s="13">
        <f>Github!P$2325</f>
        <v>2709</v>
      </c>
      <c r="O2331" s="13">
        <f>Github!Q$2325</f>
        <v>3249</v>
      </c>
    </row>
    <row r="2332">
      <c r="A2332" s="13">
        <f>Github!J$1652</f>
        <v>1651</v>
      </c>
      <c r="B2332" s="14" t="str">
        <f>HYPERLINK(CONCAT("http://leetcode.com/problems/",Github!C$1652), Github!B$1652)</f>
        <v>Hopper Company Queries III</v>
      </c>
      <c r="C2332" s="13">
        <f>Github!F$1652</f>
        <v>23</v>
      </c>
      <c r="D2332" s="13">
        <f>Github!G$1652</f>
        <v>53</v>
      </c>
      <c r="E2332" s="13">
        <f>Github!F$1652+Github!G$1652</f>
        <v>76</v>
      </c>
      <c r="F2332" s="15">
        <f t="shared" si="1"/>
        <v>0.43</v>
      </c>
      <c r="G2332" s="13" t="str">
        <f>ROUND(Github!O$1652, 2)&amp;"%"</f>
        <v>67.98%</v>
      </c>
      <c r="H2332" s="13" t="str">
        <f>Github!H$1652</f>
        <v>Database</v>
      </c>
      <c r="I2332" s="16" t="str">
        <f>SUBSTITUTE(Github!L$1652, ";", ", ")</f>
        <v>Database, </v>
      </c>
      <c r="J2332" s="13" t="str">
        <f>Github!E$1652</f>
        <v>Hard</v>
      </c>
      <c r="K2332" s="13" t="str">
        <f>IF(TRIM(Github!D$1652)="TRUE","FALSE","TRUE")</f>
        <v>FALSE</v>
      </c>
      <c r="L2332" s="13" t="b">
        <f>Github!M$1652</f>
        <v>0</v>
      </c>
      <c r="M2332" s="13" t="b">
        <f>Github!N$1652</f>
        <v>0</v>
      </c>
      <c r="N2332" s="13">
        <f>Github!P$1652</f>
        <v>5036</v>
      </c>
      <c r="O2332" s="13">
        <f>Github!Q$1652</f>
        <v>7408</v>
      </c>
    </row>
    <row r="2333">
      <c r="A2333" s="13">
        <f>Github!J$2176</f>
        <v>2175</v>
      </c>
      <c r="B2333" s="14" t="str">
        <f>HYPERLINK(CONCAT("http://leetcode.com/problems/",Github!C$2176), Github!B$2176)</f>
        <v>The Change in Global Rankings</v>
      </c>
      <c r="C2333" s="13">
        <f>Github!F$2176</f>
        <v>22</v>
      </c>
      <c r="D2333" s="13">
        <f>Github!G$2176</f>
        <v>9</v>
      </c>
      <c r="E2333" s="13">
        <f>Github!F$2176+Github!G$2176</f>
        <v>31</v>
      </c>
      <c r="F2333" s="15">
        <f t="shared" si="1"/>
        <v>2.44</v>
      </c>
      <c r="G2333" s="13" t="str">
        <f>ROUND(Github!O$2176, 2)&amp;"%"</f>
        <v>68.46%</v>
      </c>
      <c r="H2333" s="13" t="str">
        <f>Github!H$2176</f>
        <v>Database</v>
      </c>
      <c r="I2333" s="16" t="str">
        <f>SUBSTITUTE(Github!L$2176, ";", ", ")</f>
        <v>Database, </v>
      </c>
      <c r="J2333" s="13" t="str">
        <f>Github!E$2176</f>
        <v>Medium</v>
      </c>
      <c r="K2333" s="13" t="str">
        <f>IF(TRIM(Github!D$2176)="TRUE","FALSE","TRUE")</f>
        <v>FALSE</v>
      </c>
      <c r="L2333" s="13" t="b">
        <f>Github!M$2176</f>
        <v>0</v>
      </c>
      <c r="M2333" s="13" t="b">
        <f>Github!N$2176</f>
        <v>0</v>
      </c>
      <c r="N2333" s="13">
        <f>Github!P$2176</f>
        <v>3368</v>
      </c>
      <c r="O2333" s="13">
        <f>Github!Q$2176</f>
        <v>4920</v>
      </c>
    </row>
    <row r="2334">
      <c r="A2334" s="13">
        <f>Github!J$2340</f>
        <v>2339</v>
      </c>
      <c r="B2334" s="14" t="str">
        <f>HYPERLINK(CONCAT("http://leetcode.com/problems/",Github!C$2340), Github!B$2340)</f>
        <v>All the Matches of the League</v>
      </c>
      <c r="C2334" s="13">
        <f>Github!F$2340</f>
        <v>22</v>
      </c>
      <c r="D2334" s="13">
        <f>Github!G$2340</f>
        <v>3</v>
      </c>
      <c r="E2334" s="13">
        <f>Github!F$2340+Github!G$2340</f>
        <v>25</v>
      </c>
      <c r="F2334" s="15">
        <f t="shared" si="1"/>
        <v>7.33</v>
      </c>
      <c r="G2334" s="13" t="str">
        <f>ROUND(Github!O$2340, 2)&amp;"%"</f>
        <v>89.04%</v>
      </c>
      <c r="H2334" s="13" t="str">
        <f>Github!H2340</f>
        <v>Database</v>
      </c>
      <c r="I2334" s="16" t="str">
        <f>SUBSTITUTE(Github!L$2340, ";", ", ")</f>
        <v>Database, </v>
      </c>
      <c r="J2334" s="13" t="str">
        <f>Github!E$2340</f>
        <v>Easy</v>
      </c>
      <c r="K2334" s="13" t="str">
        <f>IF(TRIM(Github!D$2340)="TRUE","FALSE","TRUE")</f>
        <v>FALSE</v>
      </c>
      <c r="L2334" s="13" t="b">
        <f>Github!M$2340</f>
        <v>0</v>
      </c>
      <c r="M2334" s="13" t="b">
        <f>Github!N$2340</f>
        <v>0</v>
      </c>
      <c r="N2334" s="13">
        <f>Github!P$2340</f>
        <v>3111</v>
      </c>
      <c r="O2334" s="13">
        <f>Github!Q$2340</f>
        <v>3494</v>
      </c>
    </row>
    <row r="2335">
      <c r="A2335" s="13">
        <f>Github!J$2011</f>
        <v>2010</v>
      </c>
      <c r="B2335" s="14" t="str">
        <f>HYPERLINK(CONCAT("http://leetcode.com/problems/",Github!C$2011), Github!B$2011)</f>
        <v>The Number of Seniors and Juniors to Join the Company II</v>
      </c>
      <c r="C2335" s="13">
        <f>Github!F$2011</f>
        <v>24</v>
      </c>
      <c r="D2335" s="13">
        <f>Github!G$2011</f>
        <v>9</v>
      </c>
      <c r="E2335" s="13">
        <f>Github!F$2011+Github!G$2011</f>
        <v>33</v>
      </c>
      <c r="F2335" s="15">
        <f t="shared" si="1"/>
        <v>2.67</v>
      </c>
      <c r="G2335" s="13" t="str">
        <f>ROUND(Github!O$2011, 2)&amp;"%"</f>
        <v>58.35%</v>
      </c>
      <c r="H2335" s="13" t="str">
        <f>Github!H$2011</f>
        <v>Database</v>
      </c>
      <c r="I2335" s="16" t="str">
        <f>SUBSTITUTE(Github!L$2011, ";", ", ")</f>
        <v>Database, </v>
      </c>
      <c r="J2335" s="13" t="str">
        <f>Github!E$2011</f>
        <v>Hard</v>
      </c>
      <c r="K2335" s="13" t="str">
        <f>IF(TRIM(Github!D$2011)="TRUE","FALSE","TRUE")</f>
        <v>FALSE</v>
      </c>
      <c r="L2335" s="13" t="b">
        <f>Github!M$2011</f>
        <v>0</v>
      </c>
      <c r="M2335" s="13" t="b">
        <f>Github!N$2011</f>
        <v>0</v>
      </c>
      <c r="N2335" s="13">
        <f>Github!P$2011</f>
        <v>3444</v>
      </c>
      <c r="O2335" s="13">
        <f>Github!Q$2011</f>
        <v>5902</v>
      </c>
    </row>
    <row r="2336">
      <c r="A2336" s="13">
        <f>Github!J$2324</f>
        <v>2323</v>
      </c>
      <c r="B2336" s="14" t="str">
        <f>HYPERLINK(CONCAT("http://leetcode.com/problems/",Github!C$2324), Github!B$2324)</f>
        <v>Find Minimum Time to Finish All Jobs II</v>
      </c>
      <c r="C2336" s="13">
        <f>Github!F$2324</f>
        <v>21</v>
      </c>
      <c r="D2336" s="13">
        <f>Github!G$2324</f>
        <v>7</v>
      </c>
      <c r="E2336" s="13">
        <f>Github!F$2324+Github!G$2324</f>
        <v>28</v>
      </c>
      <c r="F2336" s="15">
        <f t="shared" si="1"/>
        <v>3</v>
      </c>
      <c r="G2336" s="13" t="str">
        <f>ROUND(Github!O$2324, 2)&amp;"%"</f>
        <v>75.28%</v>
      </c>
      <c r="H2336" s="13" t="str">
        <f>Github!H2324</f>
        <v>Algorithms</v>
      </c>
      <c r="I2336" s="16" t="str">
        <f>SUBSTITUTE(Github!L$2324, ";", ", ")</f>
        <v>Array, Greedy, Sorting, </v>
      </c>
      <c r="J2336" s="13" t="str">
        <f>Github!E$2324</f>
        <v>Medium</v>
      </c>
      <c r="K2336" s="13" t="str">
        <f>IF(TRIM(Github!D$2324)="TRUE","FALSE","TRUE")</f>
        <v>FALSE</v>
      </c>
      <c r="L2336" s="13" t="b">
        <f>Github!M$2324</f>
        <v>0</v>
      </c>
      <c r="M2336" s="13" t="b">
        <f>Github!N$2324</f>
        <v>0</v>
      </c>
      <c r="N2336" s="13">
        <f>Github!P$2324</f>
        <v>1398</v>
      </c>
      <c r="O2336" s="13">
        <f>Github!Q$2324</f>
        <v>1857</v>
      </c>
    </row>
    <row r="2337">
      <c r="A2337" s="13">
        <f>Github!J$2308</f>
        <v>2307</v>
      </c>
      <c r="B2337" s="14" t="str">
        <f>HYPERLINK(CONCAT("http://leetcode.com/problems/",Github!C$2308), Github!B$2308)</f>
        <v>Check for Contradictions in Equations</v>
      </c>
      <c r="C2337" s="13">
        <f>Github!F$2308</f>
        <v>19</v>
      </c>
      <c r="D2337" s="13">
        <f>Github!G$2308</f>
        <v>12</v>
      </c>
      <c r="E2337" s="13">
        <f>Github!F$2308+Github!G$2308</f>
        <v>31</v>
      </c>
      <c r="F2337" s="15">
        <f t="shared" si="1"/>
        <v>1.58</v>
      </c>
      <c r="G2337" s="13" t="str">
        <f>ROUND(Github!O$2308, 2)&amp;"%"</f>
        <v>43.16%</v>
      </c>
      <c r="H2337" s="13" t="str">
        <f>Github!H2308</f>
        <v>Algorithms</v>
      </c>
      <c r="I2337" s="16" t="str">
        <f>SUBSTITUTE(Github!L$2308, ";", ", ")</f>
        <v>Array, Depth-First Search, Union Find, Graph, </v>
      </c>
      <c r="J2337" s="13" t="str">
        <f>Github!E$2308</f>
        <v>Hard</v>
      </c>
      <c r="K2337" s="13" t="str">
        <f>IF(TRIM(Github!D$2308)="TRUE","FALSE","TRUE")</f>
        <v>FALSE</v>
      </c>
      <c r="L2337" s="13" t="b">
        <f>Github!M$2308</f>
        <v>0</v>
      </c>
      <c r="M2337" s="13" t="b">
        <f>Github!N$2308</f>
        <v>0</v>
      </c>
      <c r="N2337" s="13">
        <f>Github!P$2308</f>
        <v>732</v>
      </c>
      <c r="O2337" s="13">
        <f>Github!Q$2308</f>
        <v>1696</v>
      </c>
    </row>
    <row r="2338">
      <c r="A2338" s="13">
        <f>Github!J$2199</f>
        <v>2198</v>
      </c>
      <c r="B2338" s="14" t="str">
        <f>HYPERLINK(CONCAT("http://leetcode.com/problems/",Github!C$2199), Github!B$2199)</f>
        <v>Number of Single Divisor Triplets</v>
      </c>
      <c r="C2338" s="13">
        <f>Github!F$2199</f>
        <v>19</v>
      </c>
      <c r="D2338" s="13">
        <f>Github!G$2199</f>
        <v>6</v>
      </c>
      <c r="E2338" s="13">
        <f>Github!F$2199+Github!G$2199</f>
        <v>25</v>
      </c>
      <c r="F2338" s="15">
        <f t="shared" si="1"/>
        <v>3.17</v>
      </c>
      <c r="G2338" s="13" t="str">
        <f>ROUND(Github!O$2199, 2)&amp;"%"</f>
        <v>55.73%</v>
      </c>
      <c r="H2338" s="13" t="str">
        <f>Github!H$2199</f>
        <v>Algorithms</v>
      </c>
      <c r="I2338" s="16" t="str">
        <f>SUBSTITUTE(Github!L$2199, ";", ", ")</f>
        <v>Math, </v>
      </c>
      <c r="J2338" s="13" t="str">
        <f>Github!E$2199</f>
        <v>Medium</v>
      </c>
      <c r="K2338" s="13" t="str">
        <f>IF(TRIM(Github!D$2199)="TRUE","FALSE","TRUE")</f>
        <v>FALSE</v>
      </c>
      <c r="L2338" s="13" t="b">
        <f>Github!M$2199</f>
        <v>0</v>
      </c>
      <c r="M2338" s="13" t="b">
        <f>Github!N$2199</f>
        <v>0</v>
      </c>
      <c r="N2338" s="13">
        <f>Github!P$2199</f>
        <v>705</v>
      </c>
      <c r="O2338" s="13">
        <f>Github!Q$2199</f>
        <v>1265</v>
      </c>
    </row>
    <row r="2339">
      <c r="A2339" s="13">
        <f>Github!J$2021</f>
        <v>2020</v>
      </c>
      <c r="B2339" s="14" t="str">
        <f>HYPERLINK(CONCAT("http://leetcode.com/problems/",Github!C$2021), Github!B$2021)</f>
        <v>Number of Accounts That Did Not Stream</v>
      </c>
      <c r="C2339" s="13">
        <f>Github!F$2021</f>
        <v>19</v>
      </c>
      <c r="D2339" s="13">
        <f>Github!G$2021</f>
        <v>163</v>
      </c>
      <c r="E2339" s="13">
        <f>Github!F$2021+Github!G$2021</f>
        <v>182</v>
      </c>
      <c r="F2339" s="15">
        <f t="shared" si="1"/>
        <v>0.12</v>
      </c>
      <c r="G2339" s="13" t="str">
        <f>ROUND(Github!O$2021, 2)&amp;"%"</f>
        <v>73.53%</v>
      </c>
      <c r="H2339" s="13" t="str">
        <f>Github!H$2021</f>
        <v>Database</v>
      </c>
      <c r="I2339" s="16" t="str">
        <f>SUBSTITUTE(Github!L$2021, ";", ", ")</f>
        <v>Database, </v>
      </c>
      <c r="J2339" s="13" t="str">
        <f>Github!E$2021</f>
        <v>Medium</v>
      </c>
      <c r="K2339" s="13" t="str">
        <f>IF(TRIM(Github!D$2021)="TRUE","FALSE","TRUE")</f>
        <v>FALSE</v>
      </c>
      <c r="L2339" s="13" t="b">
        <f>Github!M$2021</f>
        <v>0</v>
      </c>
      <c r="M2339" s="13" t="b">
        <f>Github!N$2021</f>
        <v>0</v>
      </c>
      <c r="N2339" s="13">
        <f>Github!P$2021</f>
        <v>6827</v>
      </c>
      <c r="O2339" s="13">
        <f>Github!Q$2021</f>
        <v>9285</v>
      </c>
    </row>
    <row r="2340">
      <c r="A2340" s="13">
        <f>Github!J$2253</f>
        <v>2252</v>
      </c>
      <c r="B2340" s="14" t="str">
        <f>HYPERLINK(CONCAT("http://leetcode.com/problems/",Github!C$2253), Github!B$2253)</f>
        <v>Dynamic Pivoting of a Table</v>
      </c>
      <c r="C2340" s="13">
        <f>Github!F$2253</f>
        <v>18</v>
      </c>
      <c r="D2340" s="13">
        <f>Github!G$2253</f>
        <v>5</v>
      </c>
      <c r="E2340" s="13">
        <f>Github!F$2253+Github!G$2253</f>
        <v>23</v>
      </c>
      <c r="F2340" s="15">
        <f t="shared" si="1"/>
        <v>3.6</v>
      </c>
      <c r="G2340" s="13" t="str">
        <f>ROUND(Github!O$2253, 2)&amp;"%"</f>
        <v>56.78%</v>
      </c>
      <c r="H2340" s="13" t="str">
        <f>Github!H$2253</f>
        <v>Database</v>
      </c>
      <c r="I2340" s="16" t="str">
        <f>SUBSTITUTE(Github!L$2253, ";", ", ")</f>
        <v>Database, </v>
      </c>
      <c r="J2340" s="13" t="str">
        <f>Github!E$2253</f>
        <v>Hard</v>
      </c>
      <c r="K2340" s="13" t="str">
        <f>IF(TRIM(Github!D$2253)="TRUE","FALSE","TRUE")</f>
        <v>FALSE</v>
      </c>
      <c r="L2340" s="13" t="b">
        <f>Github!M$2253</f>
        <v>0</v>
      </c>
      <c r="M2340" s="13" t="b">
        <f>Github!N$2253</f>
        <v>0</v>
      </c>
      <c r="N2340" s="13">
        <f>Github!P$2253</f>
        <v>632</v>
      </c>
      <c r="O2340" s="13">
        <f>Github!Q$2253</f>
        <v>1113</v>
      </c>
    </row>
    <row r="2341">
      <c r="A2341" s="13">
        <f>Github!J$2206</f>
        <v>2205</v>
      </c>
      <c r="B2341" s="14" t="str">
        <f>HYPERLINK(CONCAT("http://leetcode.com/problems/",Github!C$2206), Github!B$2206)</f>
        <v>The Number of Users That Are Eligible for Discount</v>
      </c>
      <c r="C2341" s="13">
        <f>Github!F$2206</f>
        <v>16</v>
      </c>
      <c r="D2341" s="13">
        <f>Github!G$2206</f>
        <v>49</v>
      </c>
      <c r="E2341" s="13">
        <f>Github!F$2206+Github!G$2206</f>
        <v>65</v>
      </c>
      <c r="F2341" s="15">
        <f t="shared" si="1"/>
        <v>0.33</v>
      </c>
      <c r="G2341" s="13" t="str">
        <f>ROUND(Github!O$2206, 2)&amp;"%"</f>
        <v>50.68%</v>
      </c>
      <c r="H2341" s="13" t="str">
        <f>Github!H$2206</f>
        <v>Database</v>
      </c>
      <c r="I2341" s="16" t="str">
        <f>SUBSTITUTE(Github!L$2206, ";", ", ")</f>
        <v>Database, </v>
      </c>
      <c r="J2341" s="13" t="str">
        <f>Github!E$2206</f>
        <v>Easy</v>
      </c>
      <c r="K2341" s="13" t="str">
        <f>IF(TRIM(Github!D$2206)="TRUE","FALSE","TRUE")</f>
        <v>FALSE</v>
      </c>
      <c r="L2341" s="13" t="b">
        <f>Github!M$2206</f>
        <v>0</v>
      </c>
      <c r="M2341" s="13" t="b">
        <f>Github!N$2206</f>
        <v>0</v>
      </c>
      <c r="N2341" s="13">
        <f>Github!P$2206</f>
        <v>3452</v>
      </c>
      <c r="O2341" s="13">
        <f>Github!Q$2206</f>
        <v>6811</v>
      </c>
    </row>
    <row r="2342">
      <c r="A2342" s="13">
        <f>Github!J$2119</f>
        <v>2118</v>
      </c>
      <c r="B2342" s="14" t="str">
        <f>HYPERLINK(CONCAT("http://leetcode.com/problems/",Github!C$2119), Github!B$2119)</f>
        <v>Build the Equation</v>
      </c>
      <c r="C2342" s="13">
        <f>Github!F$2119</f>
        <v>15</v>
      </c>
      <c r="D2342" s="13">
        <f>Github!G$2119</f>
        <v>26</v>
      </c>
      <c r="E2342" s="13">
        <f>Github!F$2119+Github!G$2119</f>
        <v>41</v>
      </c>
      <c r="F2342" s="15">
        <f t="shared" si="1"/>
        <v>0.58</v>
      </c>
      <c r="G2342" s="13" t="str">
        <f>ROUND(Github!O$2119, 2)&amp;"%"</f>
        <v>57.07%</v>
      </c>
      <c r="H2342" s="13" t="str">
        <f>Github!H$2119</f>
        <v>Database</v>
      </c>
      <c r="I2342" s="16" t="str">
        <f>SUBSTITUTE(Github!L$2119, ";", ", ")</f>
        <v>Database, </v>
      </c>
      <c r="J2342" s="13" t="str">
        <f>Github!E$2119</f>
        <v>Hard</v>
      </c>
      <c r="K2342" s="13" t="str">
        <f>IF(TRIM(Github!D$2119)="TRUE","FALSE","TRUE")</f>
        <v>FALSE</v>
      </c>
      <c r="L2342" s="13" t="b">
        <f>Github!M$2119</f>
        <v>0</v>
      </c>
      <c r="M2342" s="13" t="b">
        <f>Github!N$2119</f>
        <v>0</v>
      </c>
      <c r="N2342" s="13">
        <f>Github!P$2119</f>
        <v>1380</v>
      </c>
      <c r="O2342" s="13">
        <f>Github!Q$2119</f>
        <v>2418</v>
      </c>
    </row>
    <row r="2343">
      <c r="A2343" s="13">
        <f>Github!J$2330</f>
        <v>2329</v>
      </c>
      <c r="B2343" s="14" t="str">
        <f>HYPERLINK(CONCAT("http://leetcode.com/problems/",Github!C$2330), Github!B$2330)</f>
        <v>Product Sales Analysis V</v>
      </c>
      <c r="C2343" s="13">
        <f>Github!F$2330</f>
        <v>14</v>
      </c>
      <c r="D2343" s="13">
        <f>Github!G$2330</f>
        <v>5</v>
      </c>
      <c r="E2343" s="13">
        <f>Github!F$2330+Github!G$2330</f>
        <v>19</v>
      </c>
      <c r="F2343" s="15">
        <f t="shared" si="1"/>
        <v>2.8</v>
      </c>
      <c r="G2343" s="13" t="str">
        <f>ROUND(Github!O$2330, 2)&amp;"%"</f>
        <v>69.78%</v>
      </c>
      <c r="H2343" s="13" t="str">
        <f>Github!H2330</f>
        <v>Database</v>
      </c>
      <c r="I2343" s="16" t="str">
        <f>SUBSTITUTE(Github!L$2330, ";", ", ")</f>
        <v>Database, </v>
      </c>
      <c r="J2343" s="13" t="str">
        <f>Github!E$2330</f>
        <v>Easy</v>
      </c>
      <c r="K2343" s="13" t="str">
        <f>IF(TRIM(Github!D$2330)="TRUE","FALSE","TRUE")</f>
        <v>FALSE</v>
      </c>
      <c r="L2343" s="13" t="b">
        <f>Github!M$2330</f>
        <v>0</v>
      </c>
      <c r="M2343" s="13" t="b">
        <f>Github!N$2330</f>
        <v>0</v>
      </c>
      <c r="N2343" s="13">
        <f>Github!P$2330</f>
        <v>2949</v>
      </c>
      <c r="O2343" s="13">
        <f>Github!Q$2330</f>
        <v>4226</v>
      </c>
    </row>
    <row r="2344">
      <c r="A2344" s="13">
        <f>Github!J$1991</f>
        <v>1990</v>
      </c>
      <c r="B2344" s="14" t="str">
        <f>HYPERLINK(CONCAT("http://leetcode.com/problems/",Github!C$1991), Github!B$1991)</f>
        <v>Count the Number of Experiments</v>
      </c>
      <c r="C2344" s="13">
        <f>Github!F$1991</f>
        <v>13</v>
      </c>
      <c r="D2344" s="13">
        <f>Github!G$1991</f>
        <v>140</v>
      </c>
      <c r="E2344" s="13">
        <f>Github!F$1991+Github!G$1991</f>
        <v>153</v>
      </c>
      <c r="F2344" s="15">
        <f t="shared" si="1"/>
        <v>0.09</v>
      </c>
      <c r="G2344" s="13" t="str">
        <f>ROUND(Github!O$1991, 2)&amp;"%"</f>
        <v>51.75%</v>
      </c>
      <c r="H2344" s="13" t="str">
        <f>Github!H$1991</f>
        <v>Database</v>
      </c>
      <c r="I2344" s="16" t="str">
        <f>SUBSTITUTE(Github!L$1991, ";", ", ")</f>
        <v>Database, </v>
      </c>
      <c r="J2344" s="13" t="str">
        <f>Github!E$1991</f>
        <v>Medium</v>
      </c>
      <c r="K2344" s="13" t="str">
        <f>IF(TRIM(Github!D$1991)="TRUE","FALSE","TRUE")</f>
        <v>FALSE</v>
      </c>
      <c r="L2344" s="13" t="b">
        <f>Github!M$1991</f>
        <v>0</v>
      </c>
      <c r="M2344" s="13" t="b">
        <f>Github!N$1991</f>
        <v>0</v>
      </c>
      <c r="N2344" s="13">
        <f>Github!P$1991</f>
        <v>4380</v>
      </c>
      <c r="O2344" s="13">
        <f>Github!Q$1991</f>
        <v>8463</v>
      </c>
    </row>
    <row r="2345">
      <c r="A2345" s="13">
        <f>Github!J$2231</f>
        <v>2230</v>
      </c>
      <c r="B2345" s="14" t="str">
        <f>HYPERLINK(CONCAT("http://leetcode.com/problems/",Github!C$2231), Github!B$2231)</f>
        <v>The Users That Are Eligible for Discount</v>
      </c>
      <c r="C2345" s="13">
        <f>Github!F$2231</f>
        <v>11</v>
      </c>
      <c r="D2345" s="13">
        <f>Github!G$2231</f>
        <v>22</v>
      </c>
      <c r="E2345" s="13">
        <f>Github!F$2231+Github!G$2231</f>
        <v>33</v>
      </c>
      <c r="F2345" s="15">
        <f t="shared" si="1"/>
        <v>0.5</v>
      </c>
      <c r="G2345" s="13" t="str">
        <f>ROUND(Github!O$2231, 2)&amp;"%"</f>
        <v>50.86%</v>
      </c>
      <c r="H2345" s="13" t="str">
        <f>Github!H$2231</f>
        <v>Database</v>
      </c>
      <c r="I2345" s="16" t="str">
        <f>SUBSTITUTE(Github!L$2231, ";", ", ")</f>
        <v>Database, </v>
      </c>
      <c r="J2345" s="13" t="str">
        <f>Github!E$2231</f>
        <v>Easy</v>
      </c>
      <c r="K2345" s="13" t="str">
        <f>IF(TRIM(Github!D$2231)="TRUE","FALSE","TRUE")</f>
        <v>FALSE</v>
      </c>
      <c r="L2345" s="13" t="b">
        <f>Github!M$2231</f>
        <v>0</v>
      </c>
      <c r="M2345" s="13" t="b">
        <f>Github!N$2231</f>
        <v>0</v>
      </c>
      <c r="N2345" s="13">
        <f>Github!P$2231</f>
        <v>2863</v>
      </c>
      <c r="O2345" s="13">
        <f>Github!Q$2231</f>
        <v>5629</v>
      </c>
    </row>
    <row r="2346">
      <c r="A2346" s="13">
        <f>Github!J$2006</f>
        <v>2005</v>
      </c>
      <c r="B2346" s="14" t="str">
        <f>HYPERLINK(CONCAT("http://leetcode.com/problems/",Github!C$2006), Github!B$2006)</f>
        <v>Subtree Removal Game with Fibonacci Tree</v>
      </c>
      <c r="C2346" s="13">
        <f>Github!F$2006</f>
        <v>11</v>
      </c>
      <c r="D2346" s="13">
        <f>Github!G$2006</f>
        <v>35</v>
      </c>
      <c r="E2346" s="13">
        <f>Github!F$2006+Github!G$2006</f>
        <v>46</v>
      </c>
      <c r="F2346" s="15">
        <f t="shared" si="1"/>
        <v>0.31</v>
      </c>
      <c r="G2346" s="13" t="str">
        <f>ROUND(Github!O$2006, 2)&amp;"%"</f>
        <v>62.05%</v>
      </c>
      <c r="H2346" s="13" t="str">
        <f>Github!H$2006</f>
        <v>Algorithms</v>
      </c>
      <c r="I2346" s="16" t="str">
        <f>SUBSTITUTE(Github!L$2006, ";", ", ")</f>
        <v>Math, Dynamic Programming, Tree, Binary Tree, Game Theory, </v>
      </c>
      <c r="J2346" s="13" t="str">
        <f>Github!E$2006</f>
        <v>Hard</v>
      </c>
      <c r="K2346" s="13" t="str">
        <f>IF(TRIM(Github!D$2006)="TRUE","FALSE","TRUE")</f>
        <v>FALSE</v>
      </c>
      <c r="L2346" s="13" t="b">
        <f>Github!M$2006</f>
        <v>0</v>
      </c>
      <c r="M2346" s="13" t="b">
        <f>Github!N$2006</f>
        <v>0</v>
      </c>
      <c r="N2346" s="13">
        <f>Github!P$2006</f>
        <v>399</v>
      </c>
      <c r="O2346" s="13">
        <f>Github!Q$2006</f>
        <v>643</v>
      </c>
    </row>
    <row r="2347">
      <c r="A2347" s="13">
        <f>Github!J$1925</f>
        <v>1924</v>
      </c>
      <c r="B2347" s="14" t="str">
        <f>HYPERLINK(CONCAT("http://leetcode.com/problems/",Github!C$1925), Github!B$1925)</f>
        <v>Erect the Fence II</v>
      </c>
      <c r="C2347" s="13">
        <f>Github!F$1925</f>
        <v>12</v>
      </c>
      <c r="D2347" s="13">
        <f>Github!G$1925</f>
        <v>36</v>
      </c>
      <c r="E2347" s="13">
        <f>Github!F$1925+Github!G$1925</f>
        <v>48</v>
      </c>
      <c r="F2347" s="15">
        <f t="shared" si="1"/>
        <v>0.33</v>
      </c>
      <c r="G2347" s="13" t="str">
        <f>ROUND(Github!O$1925, 2)&amp;"%"</f>
        <v>53.88%</v>
      </c>
      <c r="H2347" s="13" t="str">
        <f>Github!H$1925</f>
        <v>Algorithms</v>
      </c>
      <c r="I2347" s="16" t="str">
        <f>SUBSTITUTE(Github!L$1925, ";", ", ")</f>
        <v>Array, Math, Geometry, </v>
      </c>
      <c r="J2347" s="13" t="str">
        <f>Github!E$1925</f>
        <v>Hard</v>
      </c>
      <c r="K2347" s="13" t="str">
        <f>IF(TRIM(Github!D$1925)="TRUE","FALSE","TRUE")</f>
        <v>FALSE</v>
      </c>
      <c r="L2347" s="13" t="b">
        <f>Github!M$1925</f>
        <v>0</v>
      </c>
      <c r="M2347" s="13" t="b">
        <f>Github!N$1925</f>
        <v>0</v>
      </c>
      <c r="N2347" s="13">
        <f>Github!P$1925</f>
        <v>535</v>
      </c>
      <c r="O2347" s="13">
        <f>Github!Q$1925</f>
        <v>993</v>
      </c>
    </row>
    <row r="2348">
      <c r="A2348" s="13">
        <f>Github!J$2254</f>
        <v>2253</v>
      </c>
      <c r="B2348" s="14" t="str">
        <f>HYPERLINK(CONCAT("http://leetcode.com/problems/",Github!C$2254), Github!B$2254)</f>
        <v>Dynamic Unpivoting of a Table</v>
      </c>
      <c r="C2348" s="13">
        <f>Github!F$2254</f>
        <v>10</v>
      </c>
      <c r="D2348" s="13">
        <f>Github!G$2254</f>
        <v>6</v>
      </c>
      <c r="E2348" s="13">
        <f>Github!F$2254+Github!G$2254</f>
        <v>16</v>
      </c>
      <c r="F2348" s="15">
        <f t="shared" si="1"/>
        <v>1.67</v>
      </c>
      <c r="G2348" s="13" t="str">
        <f>ROUND(Github!O$2254, 2)&amp;"%"</f>
        <v>67.45%</v>
      </c>
      <c r="H2348" s="13" t="str">
        <f>Github!H$2254</f>
        <v>Database</v>
      </c>
      <c r="I2348" s="16" t="str">
        <f>SUBSTITUTE(Github!L$2254, ";", ", ")</f>
        <v>Database, </v>
      </c>
      <c r="J2348" s="13" t="str">
        <f>Github!E$2254</f>
        <v>Hard</v>
      </c>
      <c r="K2348" s="13" t="str">
        <f>IF(TRIM(Github!D$2254)="TRUE","FALSE","TRUE")</f>
        <v>FALSE</v>
      </c>
      <c r="L2348" s="13" t="b">
        <f>Github!M$2254</f>
        <v>0</v>
      </c>
      <c r="M2348" s="13" t="b">
        <f>Github!N$2254</f>
        <v>0</v>
      </c>
      <c r="N2348" s="13">
        <f>Github!P$2254</f>
        <v>402</v>
      </c>
      <c r="O2348" s="13">
        <f>Github!Q$2254</f>
        <v>596</v>
      </c>
    </row>
    <row r="2349">
      <c r="A2349" s="13"/>
      <c r="B2349" s="17"/>
      <c r="C2349" s="13"/>
      <c r="D2349" s="13"/>
      <c r="E2349" s="13"/>
      <c r="F2349" s="15"/>
      <c r="G2349" s="13"/>
      <c r="H2349" s="13"/>
      <c r="I2349" s="16"/>
      <c r="J2349" s="13"/>
      <c r="K2349" s="13"/>
      <c r="L2349" s="13"/>
      <c r="M2349" s="13"/>
      <c r="N2349" s="13"/>
      <c r="O2349" s="13"/>
    </row>
    <row r="2350">
      <c r="A2350" s="13"/>
      <c r="B2350" s="17"/>
      <c r="C2350" s="13"/>
      <c r="D2350" s="13"/>
      <c r="E2350" s="13"/>
      <c r="F2350" s="15"/>
      <c r="G2350" s="13"/>
      <c r="H2350" s="13"/>
      <c r="I2350" s="16"/>
      <c r="J2350" s="13"/>
      <c r="K2350" s="13"/>
      <c r="L2350" s="13"/>
      <c r="M2350" s="13"/>
      <c r="N2350" s="13"/>
      <c r="O2350" s="13"/>
    </row>
    <row r="2351">
      <c r="A2351" s="13"/>
      <c r="B2351" s="17"/>
      <c r="C2351" s="13"/>
      <c r="D2351" s="13"/>
      <c r="E2351" s="13"/>
      <c r="F2351" s="15"/>
      <c r="G2351" s="13"/>
      <c r="H2351" s="13"/>
      <c r="I2351" s="16"/>
      <c r="J2351" s="13"/>
      <c r="K2351" s="13"/>
      <c r="L2351" s="13"/>
      <c r="M2351" s="13"/>
      <c r="N2351" s="13"/>
      <c r="O2351" s="13"/>
    </row>
  </sheetData>
  <customSheetViews>
    <customSheetView guid="{4CA61298-C8FC-413F-AF89-9AE1C342C202}" filter="1" showAutoFilter="1">
      <autoFilter ref="$A$3:$O$2348">
        <filterColumn colId="8">
          <customFilters>
            <customFilter val="*Breadth*"/>
          </customFilters>
        </filterColumn>
      </autoFilter>
    </customSheetView>
    <customSheetView guid="{37F9EE25-F6FC-4512-A0D9-337265C971B7}" filter="1" showAutoFilter="1">
      <autoFilter ref="$A$3:$O$2348">
        <filterColumn colId="8">
          <customFilters>
            <customFilter val="*Graph*"/>
          </customFilters>
        </filterColumn>
      </autoFilter>
    </customSheetView>
    <customSheetView guid="{0118F1B5-0641-4C15-A376-8DA0097A42D2}" filter="1" showAutoFilter="1">
      <autoFilter ref="$A$3:$O$2348">
        <filterColumn colId="8">
          <customFilters>
            <customFilter val="*Tree*"/>
          </customFilters>
        </filterColumn>
      </autoFilter>
    </customSheetView>
    <customSheetView guid="{0D1597B3-31AB-4C50-8D18-0C5539998495}" filter="1" showAutoFilter="1">
      <autoFilter ref="$A$3:$O$2348">
        <filterColumn colId="8">
          <customFilters>
            <customFilter val="*Array*"/>
          </customFilters>
        </filterColumn>
      </autoFilter>
    </customSheetView>
    <customSheetView guid="{19C99435-BB4A-40BD-AF7A-AFF50A0DD72F}" filter="1" showAutoFilter="1">
      <autoFilter ref="$A$3:$O$2348">
        <filterColumn colId="8">
          <customFilters>
            <customFilter val="*track*"/>
          </customFilters>
        </filterColumn>
      </autoFilter>
    </customSheetView>
    <customSheetView guid="{4ECE8F50-D40B-4B41-A0CA-E25C712C29D2}" filter="1" showAutoFilter="1">
      <autoFilter ref="$A$3:$O$2348">
        <filterColumn colId="8">
          <customFilters>
            <customFilter val="*Dynamic*"/>
          </customFilters>
        </filterColumn>
      </autoFilter>
    </customSheetView>
    <customSheetView guid="{48CD4723-015A-47AC-AD06-846CA38B948C}" filter="1" showAutoFilter="1">
      <autoFilter ref="$A$3:$O$2348">
        <filterColumn colId="8">
          <customFilters>
            <customFilter val="*Queue*"/>
          </customFilters>
        </filterColumn>
      </autoFilter>
    </customSheetView>
    <customSheetView guid="{7C36F5CD-F989-47DE-B3CD-D32786A5B514}" filter="1" showAutoFilter="1">
      <autoFilter ref="$A$3:$O$2348">
        <filterColumn colId="8">
          <customFilters>
            <customFilter val="*Hash*"/>
          </customFilters>
        </filterColumn>
      </autoFilter>
    </customSheetView>
    <customSheetView guid="{6CB4BCFC-15AA-4669-BA25-D0764D1D666E}" filter="1" showAutoFilter="1">
      <autoFilter ref="$A$3:$O$2348">
        <filterColumn colId="8">
          <customFilters>
            <customFilter val="*Linked*"/>
          </customFilters>
        </filterColumn>
      </autoFilter>
    </customSheetView>
    <customSheetView guid="{908302CB-6BCD-41DB-A120-B1E78216FC7E}" filter="1" showAutoFilter="1">
      <autoFilter ref="$A$3:$O$2348">
        <filterColumn colId="8">
          <customFilters>
            <customFilter val="*Greedy*"/>
          </customFilters>
        </filterColumn>
      </autoFilter>
    </customSheetView>
    <customSheetView guid="{C1BDB6B9-93AE-4A9B-81F7-61C46E94C041}" filter="1" showAutoFilter="1">
      <autoFilter ref="$A$3:$O$2348">
        <filterColumn colId="8">
          <customFilters>
            <customFilter val="*Recursion*"/>
          </customFilters>
        </filterColumn>
      </autoFilter>
    </customSheetView>
    <customSheetView guid="{D5478672-260F-4A42-9DB1-1DF70E840DEB}" filter="1" showAutoFilter="1">
      <autoFilter ref="$A$3:$O$2348"/>
    </customSheetView>
    <customSheetView guid="{949C247F-0934-46EF-8FAF-305720E6A123}" filter="1" showAutoFilter="1">
      <autoFilter ref="$A$3:$O$2348">
        <filterColumn colId="8">
          <customFilters>
            <customFilter val="*Binary*"/>
          </customFilters>
        </filterColumn>
      </autoFilter>
    </customSheetView>
    <customSheetView guid="{B4D74AB0-1E30-4DD9-9760-C6E331006D82}" filter="1" showAutoFilter="1">
      <autoFilter ref="$A$3:$O$2348">
        <filterColumn colId="8">
          <customFilters>
            <customFilter val="*Stack*"/>
          </customFilters>
        </filterColumn>
      </autoFilter>
    </customSheetView>
    <customSheetView guid="{5C826FFC-C106-4DE5-9F86-D2FADE793785}" filter="1" showAutoFilter="1">
      <autoFilter ref="$A$3:$O$2348">
        <filterColumn colId="8">
          <customFilters>
            <customFilter val="*Sort*"/>
          </customFilters>
        </filterColumn>
      </autoFilter>
    </customSheetView>
    <customSheetView guid="{A1818582-2922-4D95-9A2D-23C18E136ADB}" filter="1" showAutoFilter="1">
      <autoFilter ref="$A$3:$O$2348">
        <filterColumn colId="8">
          <customFilters>
            <customFilter val="*Depth*"/>
          </customFilters>
        </filterColumn>
      </autoFilter>
    </customSheetView>
    <customSheetView guid="{38900675-8F14-4DC7-A6E1-CBB798CB5326}" filter="1" showAutoFilter="1">
      <autoFilter ref="$A$3:$O$2348">
        <filterColumn colId="8">
          <customFilters>
            <customFilter val="*String*"/>
          </customFilters>
        </filterColumn>
      </autoFilter>
    </customSheetView>
  </customSheetViews>
  <mergeCells count="2">
    <mergeCell ref="H2:J2"/>
    <mergeCell ref="L2:O2"/>
  </mergeCells>
  <conditionalFormatting sqref="K1:K2351 B2:G2 L3:M2351">
    <cfRule type="containsText" dxfId="0" priority="1" operator="containsText" text="True">
      <formula>NOT(ISERROR(SEARCH(("True"),(K1))))</formula>
    </cfRule>
  </conditionalFormatting>
  <conditionalFormatting sqref="K1:K2351 B2:G2 L3:M2351">
    <cfRule type="containsText" dxfId="1" priority="2" operator="containsText" text="False">
      <formula>NOT(ISERROR(SEARCH(("False"),(K1))))</formula>
    </cfRule>
  </conditionalFormatting>
  <conditionalFormatting sqref="J3:J2351">
    <cfRule type="containsText" dxfId="2" priority="3" operator="containsText" text="Medium">
      <formula>NOT(ISERROR(SEARCH(("Medium"),(J3))))</formula>
    </cfRule>
  </conditionalFormatting>
  <conditionalFormatting sqref="J3:J2351">
    <cfRule type="containsText" dxfId="0" priority="4" operator="containsText" text="Easy">
      <formula>NOT(ISERROR(SEARCH(("Easy"),(J3))))</formula>
    </cfRule>
  </conditionalFormatting>
  <conditionalFormatting sqref="O3:O2351">
    <cfRule type="containsText" dxfId="1" priority="5" operator="containsText" text="Hard">
      <formula>NOT(ISERROR(SEARCH(("Hard"),(O3))))</formula>
    </cfRule>
  </conditionalFormatting>
  <conditionalFormatting sqref="J3:J2351">
    <cfRule type="containsText" dxfId="1" priority="6" operator="containsText" text="Hard">
      <formula>NOT(ISERROR(SEARCH(("Hard"),(J3))))</formula>
    </cfRule>
  </conditionalFormatting>
  <hyperlinks>
    <hyperlink r:id="rId2" location="gid=1802294438&amp;fvid=712064950" ref="B1"/>
  </hyperlinks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M1" s="18" t="s">
        <v>17</v>
      </c>
    </row>
    <row r="2" hidden="1">
      <c r="F2" s="19" t="s">
        <v>18</v>
      </c>
    </row>
    <row r="3" hidden="1">
      <c r="F3" s="20" t="s">
        <v>19</v>
      </c>
    </row>
    <row r="4" hidden="1">
      <c r="F4" s="20" t="s">
        <v>20</v>
      </c>
    </row>
    <row r="5" hidden="1">
      <c r="D5" s="20" t="str">
        <f>INDIRECT(ADDRESS(1,12))</f>
        <v/>
      </c>
      <c r="F5" s="20" t="s">
        <v>21</v>
      </c>
    </row>
    <row r="6" hidden="1">
      <c r="F6" s="20" t="s">
        <v>22</v>
      </c>
    </row>
    <row r="7" hidden="1">
      <c r="F7" s="20" t="s">
        <v>23</v>
      </c>
    </row>
    <row r="8" hidden="1">
      <c r="F8" s="20" t="s">
        <v>24</v>
      </c>
    </row>
    <row r="9" hidden="1">
      <c r="F9" s="20" t="s">
        <v>25</v>
      </c>
    </row>
    <row r="10" hidden="1">
      <c r="F10" s="20" t="s">
        <v>26</v>
      </c>
    </row>
    <row r="11" hidden="1">
      <c r="C11" s="18" t="s">
        <v>27</v>
      </c>
      <c r="F11" s="20" t="s">
        <v>28</v>
      </c>
    </row>
    <row r="12" hidden="1">
      <c r="F12" s="20" t="s">
        <v>29</v>
      </c>
    </row>
    <row r="13" hidden="1">
      <c r="F13" s="20" t="s">
        <v>30</v>
      </c>
    </row>
    <row r="14" hidden="1">
      <c r="F14" s="20" t="s">
        <v>31</v>
      </c>
    </row>
    <row r="15" hidden="1">
      <c r="F15" s="20" t="s">
        <v>23</v>
      </c>
    </row>
    <row r="16" hidden="1">
      <c r="F16" s="20" t="s">
        <v>32</v>
      </c>
    </row>
    <row r="17" hidden="1">
      <c r="F17" s="20" t="s">
        <v>33</v>
      </c>
    </row>
    <row r="18" hidden="1">
      <c r="F18" s="20" t="s">
        <v>25</v>
      </c>
    </row>
    <row r="19" hidden="1">
      <c r="F19" s="20" t="s">
        <v>23</v>
      </c>
    </row>
    <row r="20" hidden="1">
      <c r="F20" s="20" t="s">
        <v>34</v>
      </c>
    </row>
    <row r="21" hidden="1">
      <c r="F21" s="20" t="s">
        <v>35</v>
      </c>
    </row>
    <row r="22" hidden="1">
      <c r="F22" s="20" t="s">
        <v>36</v>
      </c>
    </row>
    <row r="23" hidden="1">
      <c r="F23" s="20" t="s">
        <v>37</v>
      </c>
    </row>
    <row r="24" hidden="1">
      <c r="F24" s="20" t="s">
        <v>34</v>
      </c>
    </row>
    <row r="25" hidden="1">
      <c r="F25" s="20" t="s">
        <v>38</v>
      </c>
    </row>
    <row r="26" hidden="1">
      <c r="F26" s="20" t="s">
        <v>21</v>
      </c>
    </row>
    <row r="27" hidden="1">
      <c r="F27" s="20" t="s">
        <v>39</v>
      </c>
    </row>
    <row r="28" hidden="1">
      <c r="F28" s="20" t="s">
        <v>40</v>
      </c>
    </row>
    <row r="29" hidden="1">
      <c r="F29" s="20" t="s">
        <v>41</v>
      </c>
    </row>
    <row r="30" hidden="1">
      <c r="F30" s="20" t="s">
        <v>42</v>
      </c>
    </row>
    <row r="31" hidden="1">
      <c r="F31" s="20" t="s">
        <v>18</v>
      </c>
    </row>
    <row r="32" hidden="1">
      <c r="F32" s="20" t="s">
        <v>43</v>
      </c>
    </row>
    <row r="33">
      <c r="F33" s="20" t="s">
        <v>44</v>
      </c>
    </row>
    <row r="34" hidden="1">
      <c r="F34" s="20" t="s">
        <v>45</v>
      </c>
    </row>
    <row r="35" hidden="1">
      <c r="F35" s="20" t="s">
        <v>46</v>
      </c>
    </row>
    <row r="36" hidden="1">
      <c r="F36" s="20" t="s">
        <v>47</v>
      </c>
    </row>
    <row r="37" hidden="1">
      <c r="F37" s="20" t="s">
        <v>48</v>
      </c>
    </row>
    <row r="38" hidden="1">
      <c r="F38" s="20" t="s">
        <v>49</v>
      </c>
    </row>
    <row r="39" hidden="1">
      <c r="F39" s="20" t="s">
        <v>37</v>
      </c>
    </row>
    <row r="40" hidden="1">
      <c r="F40" s="20" t="s">
        <v>36</v>
      </c>
    </row>
    <row r="41" hidden="1">
      <c r="F41" s="20" t="s">
        <v>25</v>
      </c>
    </row>
    <row r="42" hidden="1">
      <c r="F42" s="20" t="s">
        <v>50</v>
      </c>
    </row>
    <row r="43" hidden="1">
      <c r="F43" s="20" t="s">
        <v>51</v>
      </c>
    </row>
    <row r="44" hidden="1">
      <c r="F44" s="20" t="s">
        <v>36</v>
      </c>
    </row>
    <row r="45" hidden="1">
      <c r="F45" s="20" t="s">
        <v>23</v>
      </c>
    </row>
    <row r="46" hidden="1">
      <c r="F46" s="20" t="s">
        <v>52</v>
      </c>
    </row>
    <row r="47" hidden="1">
      <c r="F47" s="20" t="s">
        <v>53</v>
      </c>
    </row>
    <row r="48" hidden="1">
      <c r="F48" s="20" t="s">
        <v>54</v>
      </c>
    </row>
    <row r="49" hidden="1">
      <c r="F49" s="20" t="s">
        <v>25</v>
      </c>
    </row>
    <row r="50" hidden="1">
      <c r="F50" s="20" t="s">
        <v>38</v>
      </c>
    </row>
    <row r="51" hidden="1">
      <c r="F51" s="20" t="s">
        <v>54</v>
      </c>
    </row>
    <row r="52" hidden="1">
      <c r="F52" s="20" t="s">
        <v>34</v>
      </c>
    </row>
    <row r="53" hidden="1">
      <c r="F53" s="20" t="s">
        <v>55</v>
      </c>
    </row>
    <row r="54" hidden="1">
      <c r="F54" s="20" t="s">
        <v>56</v>
      </c>
    </row>
    <row r="55" hidden="1">
      <c r="F55" s="20" t="s">
        <v>28</v>
      </c>
    </row>
    <row r="56" hidden="1">
      <c r="F56" s="20" t="s">
        <v>37</v>
      </c>
    </row>
    <row r="57" hidden="1">
      <c r="F57" s="20" t="s">
        <v>23</v>
      </c>
    </row>
    <row r="58" hidden="1">
      <c r="F58" s="20" t="s">
        <v>57</v>
      </c>
    </row>
    <row r="59" hidden="1">
      <c r="F59" s="20" t="s">
        <v>58</v>
      </c>
    </row>
    <row r="60" hidden="1">
      <c r="F60" s="20" t="s">
        <v>23</v>
      </c>
    </row>
    <row r="61" hidden="1">
      <c r="F61" s="20" t="s">
        <v>59</v>
      </c>
    </row>
    <row r="62" hidden="1">
      <c r="F62" s="20" t="s">
        <v>60</v>
      </c>
    </row>
    <row r="63" hidden="1">
      <c r="F63" s="20" t="s">
        <v>21</v>
      </c>
    </row>
    <row r="64" hidden="1">
      <c r="F64" s="20" t="s">
        <v>18</v>
      </c>
    </row>
    <row r="65" hidden="1">
      <c r="F65" s="20" t="s">
        <v>61</v>
      </c>
    </row>
    <row r="66" hidden="1">
      <c r="F66" s="20" t="s">
        <v>62</v>
      </c>
    </row>
    <row r="67" hidden="1">
      <c r="F67" s="20" t="s">
        <v>18</v>
      </c>
    </row>
    <row r="68" hidden="1">
      <c r="F68" s="20" t="s">
        <v>63</v>
      </c>
    </row>
    <row r="69" hidden="1">
      <c r="F69" s="20" t="s">
        <v>25</v>
      </c>
    </row>
    <row r="70" hidden="1">
      <c r="F70" s="20" t="s">
        <v>64</v>
      </c>
    </row>
    <row r="71" hidden="1">
      <c r="F71" s="20" t="s">
        <v>65</v>
      </c>
    </row>
    <row r="72" hidden="1">
      <c r="F72" s="20" t="s">
        <v>23</v>
      </c>
    </row>
    <row r="73" hidden="1">
      <c r="F73" s="20" t="s">
        <v>21</v>
      </c>
    </row>
    <row r="74" hidden="1">
      <c r="F74" s="20" t="s">
        <v>23</v>
      </c>
    </row>
    <row r="75" hidden="1">
      <c r="F75" s="20" t="s">
        <v>66</v>
      </c>
    </row>
    <row r="76" hidden="1">
      <c r="F76" s="20" t="s">
        <v>21</v>
      </c>
    </row>
    <row r="77">
      <c r="F77" s="20" t="s">
        <v>67</v>
      </c>
    </row>
    <row r="78" hidden="1">
      <c r="F78" s="20" t="s">
        <v>23</v>
      </c>
    </row>
    <row r="79" hidden="1">
      <c r="F79" s="20" t="s">
        <v>68</v>
      </c>
    </row>
    <row r="80" hidden="1">
      <c r="F80" s="20" t="s">
        <v>69</v>
      </c>
    </row>
    <row r="81" hidden="1">
      <c r="F81" s="20" t="s">
        <v>23</v>
      </c>
    </row>
    <row r="82" hidden="1">
      <c r="F82" s="20" t="s">
        <v>70</v>
      </c>
    </row>
    <row r="83" hidden="1">
      <c r="F83" s="20" t="s">
        <v>23</v>
      </c>
    </row>
    <row r="84" hidden="1">
      <c r="F84" s="20" t="s">
        <v>34</v>
      </c>
    </row>
    <row r="85" hidden="1">
      <c r="F85" s="20" t="s">
        <v>71</v>
      </c>
    </row>
    <row r="86" hidden="1">
      <c r="F86" s="20" t="s">
        <v>34</v>
      </c>
    </row>
    <row r="87" hidden="1">
      <c r="F87" s="20" t="s">
        <v>72</v>
      </c>
    </row>
    <row r="88" hidden="1">
      <c r="F88" s="20" t="s">
        <v>39</v>
      </c>
    </row>
    <row r="89" hidden="1">
      <c r="F89" s="20" t="s">
        <v>21</v>
      </c>
    </row>
    <row r="90" hidden="1">
      <c r="F90" s="20" t="s">
        <v>49</v>
      </c>
    </row>
    <row r="91" hidden="1">
      <c r="F91" s="20" t="s">
        <v>73</v>
      </c>
    </row>
    <row r="92" hidden="1">
      <c r="F92" s="20" t="s">
        <v>52</v>
      </c>
    </row>
    <row r="93" hidden="1">
      <c r="F93" s="20" t="s">
        <v>25</v>
      </c>
    </row>
    <row r="94" hidden="1">
      <c r="F94" s="20" t="s">
        <v>74</v>
      </c>
    </row>
    <row r="95" hidden="1">
      <c r="F95" s="20" t="s">
        <v>75</v>
      </c>
    </row>
    <row r="96" hidden="1">
      <c r="F96" s="20" t="s">
        <v>25</v>
      </c>
    </row>
    <row r="97" hidden="1">
      <c r="F97" s="20" t="s">
        <v>23</v>
      </c>
    </row>
    <row r="98" hidden="1">
      <c r="F98" s="20" t="s">
        <v>54</v>
      </c>
    </row>
    <row r="99" hidden="1">
      <c r="F99" s="20" t="s">
        <v>30</v>
      </c>
    </row>
    <row r="100" hidden="1">
      <c r="F100" s="20" t="s">
        <v>76</v>
      </c>
    </row>
    <row r="101" hidden="1">
      <c r="F101" s="20" t="s">
        <v>77</v>
      </c>
    </row>
    <row r="102" hidden="1">
      <c r="F102" s="20" t="s">
        <v>78</v>
      </c>
    </row>
    <row r="103" hidden="1">
      <c r="F103" s="20" t="s">
        <v>28</v>
      </c>
    </row>
    <row r="104" hidden="1">
      <c r="F104" s="20" t="s">
        <v>79</v>
      </c>
    </row>
    <row r="105" hidden="1">
      <c r="F105" s="20" t="s">
        <v>80</v>
      </c>
    </row>
    <row r="106" hidden="1">
      <c r="F106" s="20" t="s">
        <v>81</v>
      </c>
    </row>
    <row r="107" hidden="1">
      <c r="F107" s="20" t="s">
        <v>38</v>
      </c>
    </row>
    <row r="108">
      <c r="F108" s="20" t="s">
        <v>82</v>
      </c>
    </row>
    <row r="109" hidden="1">
      <c r="F109" s="20" t="s">
        <v>47</v>
      </c>
    </row>
    <row r="110" hidden="1">
      <c r="F110" s="20" t="s">
        <v>53</v>
      </c>
    </row>
    <row r="111" hidden="1">
      <c r="F111" s="20" t="s">
        <v>77</v>
      </c>
    </row>
    <row r="112" hidden="1">
      <c r="F112" s="20" t="s">
        <v>83</v>
      </c>
    </row>
    <row r="113" hidden="1">
      <c r="F113" s="20" t="s">
        <v>84</v>
      </c>
    </row>
    <row r="114" hidden="1">
      <c r="F114" s="20" t="s">
        <v>85</v>
      </c>
    </row>
    <row r="115" hidden="1">
      <c r="F115" s="20" t="s">
        <v>23</v>
      </c>
    </row>
    <row r="116" hidden="1">
      <c r="F116" s="20" t="s">
        <v>57</v>
      </c>
    </row>
    <row r="117" hidden="1">
      <c r="F117" s="20" t="s">
        <v>25</v>
      </c>
    </row>
    <row r="118" hidden="1">
      <c r="F118" s="20" t="s">
        <v>86</v>
      </c>
    </row>
    <row r="119" hidden="1">
      <c r="F119" s="20" t="s">
        <v>87</v>
      </c>
    </row>
    <row r="120" hidden="1">
      <c r="F120" s="20" t="s">
        <v>25</v>
      </c>
    </row>
    <row r="121" hidden="1">
      <c r="F121" s="20" t="s">
        <v>84</v>
      </c>
    </row>
    <row r="122" hidden="1">
      <c r="F122" s="20" t="s">
        <v>25</v>
      </c>
    </row>
    <row r="123">
      <c r="F123" s="20" t="s">
        <v>88</v>
      </c>
    </row>
    <row r="124" hidden="1">
      <c r="F124" s="20" t="s">
        <v>37</v>
      </c>
    </row>
    <row r="125" hidden="1">
      <c r="F125" s="20" t="s">
        <v>66</v>
      </c>
    </row>
    <row r="126" hidden="1">
      <c r="F126" s="20" t="s">
        <v>89</v>
      </c>
    </row>
    <row r="127" hidden="1">
      <c r="F127" s="20" t="s">
        <v>90</v>
      </c>
    </row>
    <row r="128" hidden="1">
      <c r="F128" s="20" t="s">
        <v>43</v>
      </c>
    </row>
    <row r="129" hidden="1">
      <c r="F129" s="20" t="s">
        <v>23</v>
      </c>
    </row>
    <row r="130" hidden="1">
      <c r="F130" s="20" t="s">
        <v>54</v>
      </c>
    </row>
    <row r="131" hidden="1">
      <c r="F131" s="20" t="s">
        <v>91</v>
      </c>
    </row>
    <row r="132" hidden="1">
      <c r="F132" s="20" t="s">
        <v>36</v>
      </c>
    </row>
    <row r="133" hidden="1">
      <c r="F133" s="20" t="s">
        <v>92</v>
      </c>
    </row>
    <row r="134" hidden="1">
      <c r="F134" s="20" t="s">
        <v>84</v>
      </c>
    </row>
    <row r="135" hidden="1">
      <c r="F135" s="20" t="s">
        <v>36</v>
      </c>
    </row>
    <row r="136" hidden="1">
      <c r="F136" s="20" t="s">
        <v>93</v>
      </c>
    </row>
    <row r="137">
      <c r="F137" s="20" t="s">
        <v>94</v>
      </c>
    </row>
    <row r="138" hidden="1">
      <c r="F138" s="20" t="s">
        <v>66</v>
      </c>
    </row>
    <row r="139" hidden="1">
      <c r="F139" s="20" t="s">
        <v>95</v>
      </c>
    </row>
    <row r="140" hidden="1">
      <c r="F140" s="20" t="s">
        <v>23</v>
      </c>
    </row>
    <row r="141" hidden="1">
      <c r="F141" s="20" t="s">
        <v>43</v>
      </c>
    </row>
    <row r="142" hidden="1">
      <c r="F142" s="20" t="s">
        <v>96</v>
      </c>
    </row>
    <row r="143" hidden="1">
      <c r="F143" s="20" t="s">
        <v>31</v>
      </c>
    </row>
    <row r="144" hidden="1">
      <c r="F144" s="20" t="s">
        <v>97</v>
      </c>
    </row>
    <row r="145" hidden="1">
      <c r="F145" s="20" t="s">
        <v>18</v>
      </c>
    </row>
    <row r="146" hidden="1">
      <c r="F146" s="20" t="s">
        <v>31</v>
      </c>
    </row>
    <row r="147" hidden="1">
      <c r="F147" s="20" t="s">
        <v>37</v>
      </c>
    </row>
    <row r="148" hidden="1">
      <c r="F148" s="20" t="s">
        <v>34</v>
      </c>
    </row>
    <row r="149" hidden="1">
      <c r="F149" s="20" t="s">
        <v>98</v>
      </c>
    </row>
    <row r="150" hidden="1">
      <c r="F150" s="20" t="s">
        <v>53</v>
      </c>
    </row>
    <row r="151" hidden="1">
      <c r="F151" s="20" t="s">
        <v>99</v>
      </c>
    </row>
    <row r="152" hidden="1">
      <c r="F152" s="20" t="s">
        <v>100</v>
      </c>
    </row>
    <row r="153" hidden="1">
      <c r="F153" s="20" t="s">
        <v>101</v>
      </c>
    </row>
    <row r="154" hidden="1">
      <c r="F154" s="20" t="s">
        <v>37</v>
      </c>
    </row>
    <row r="155" hidden="1">
      <c r="F155" s="20" t="s">
        <v>102</v>
      </c>
    </row>
    <row r="156" hidden="1">
      <c r="F156" s="20" t="s">
        <v>103</v>
      </c>
    </row>
    <row r="157" hidden="1">
      <c r="F157" s="20" t="s">
        <v>23</v>
      </c>
    </row>
    <row r="158">
      <c r="F158" s="20" t="s">
        <v>104</v>
      </c>
    </row>
    <row r="159" hidden="1">
      <c r="F159" s="20" t="s">
        <v>56</v>
      </c>
    </row>
    <row r="160" hidden="1">
      <c r="F160" s="20" t="s">
        <v>21</v>
      </c>
    </row>
    <row r="161" hidden="1">
      <c r="F161" s="20" t="s">
        <v>105</v>
      </c>
    </row>
    <row r="162" hidden="1">
      <c r="F162" s="20" t="s">
        <v>106</v>
      </c>
    </row>
    <row r="163" hidden="1">
      <c r="F163" s="20" t="s">
        <v>107</v>
      </c>
    </row>
    <row r="164" hidden="1">
      <c r="F164" s="20" t="s">
        <v>108</v>
      </c>
    </row>
    <row r="165" hidden="1">
      <c r="F165" s="20" t="s">
        <v>103</v>
      </c>
    </row>
    <row r="166" hidden="1">
      <c r="F166" s="20" t="s">
        <v>109</v>
      </c>
    </row>
    <row r="167" hidden="1">
      <c r="F167" s="20" t="s">
        <v>54</v>
      </c>
    </row>
    <row r="168">
      <c r="F168" s="20" t="s">
        <v>110</v>
      </c>
    </row>
    <row r="169" hidden="1">
      <c r="F169" s="20" t="s">
        <v>111</v>
      </c>
    </row>
    <row r="170" hidden="1">
      <c r="F170" s="20" t="s">
        <v>112</v>
      </c>
    </row>
    <row r="171" hidden="1">
      <c r="F171" s="20" t="s">
        <v>91</v>
      </c>
    </row>
    <row r="172" hidden="1">
      <c r="F172" s="20" t="s">
        <v>59</v>
      </c>
    </row>
    <row r="173" hidden="1">
      <c r="F173" s="20" t="s">
        <v>113</v>
      </c>
    </row>
    <row r="174" hidden="1">
      <c r="F174" s="20" t="s">
        <v>76</v>
      </c>
    </row>
    <row r="175" hidden="1">
      <c r="F175" s="20" t="s">
        <v>114</v>
      </c>
    </row>
    <row r="176" hidden="1">
      <c r="F176" s="20" t="s">
        <v>115</v>
      </c>
    </row>
    <row r="177" hidden="1">
      <c r="F177" s="20" t="s">
        <v>116</v>
      </c>
    </row>
    <row r="178" hidden="1">
      <c r="F178" s="20" t="s">
        <v>117</v>
      </c>
    </row>
    <row r="179" hidden="1">
      <c r="F179" s="20" t="s">
        <v>114</v>
      </c>
    </row>
    <row r="180" hidden="1">
      <c r="F180" s="20" t="s">
        <v>118</v>
      </c>
    </row>
    <row r="181" hidden="1">
      <c r="F181" s="20" t="s">
        <v>119</v>
      </c>
    </row>
    <row r="182" hidden="1">
      <c r="F182" s="20" t="s">
        <v>83</v>
      </c>
    </row>
    <row r="183" hidden="1">
      <c r="F183" s="20" t="s">
        <v>30</v>
      </c>
    </row>
    <row r="184" hidden="1">
      <c r="F184" s="20" t="s">
        <v>25</v>
      </c>
    </row>
    <row r="185" hidden="1">
      <c r="F185" s="20" t="s">
        <v>120</v>
      </c>
    </row>
    <row r="186" hidden="1">
      <c r="F186" s="20" t="s">
        <v>105</v>
      </c>
    </row>
    <row r="187" hidden="1">
      <c r="F187" s="20" t="s">
        <v>25</v>
      </c>
    </row>
    <row r="188" hidden="1">
      <c r="F188" s="20" t="s">
        <v>121</v>
      </c>
    </row>
    <row r="189" hidden="1">
      <c r="F189" s="20" t="s">
        <v>122</v>
      </c>
    </row>
    <row r="190" hidden="1">
      <c r="F190" s="20" t="s">
        <v>123</v>
      </c>
    </row>
    <row r="191" hidden="1">
      <c r="F191" s="20" t="s">
        <v>124</v>
      </c>
    </row>
    <row r="192">
      <c r="F192" s="20" t="s">
        <v>125</v>
      </c>
    </row>
    <row r="193" hidden="1">
      <c r="F193" s="20" t="s">
        <v>66</v>
      </c>
    </row>
    <row r="194" hidden="1">
      <c r="F194" s="20" t="s">
        <v>77</v>
      </c>
    </row>
    <row r="195" hidden="1">
      <c r="F195" s="20" t="s">
        <v>126</v>
      </c>
    </row>
    <row r="196" hidden="1">
      <c r="F196" s="20" t="s">
        <v>127</v>
      </c>
    </row>
    <row r="197">
      <c r="F197" s="20" t="s">
        <v>128</v>
      </c>
    </row>
    <row r="198" hidden="1">
      <c r="F198" s="20" t="s">
        <v>54</v>
      </c>
    </row>
    <row r="199">
      <c r="F199" s="20" t="s">
        <v>129</v>
      </c>
    </row>
    <row r="200" hidden="1">
      <c r="F200" s="20" t="s">
        <v>130</v>
      </c>
    </row>
    <row r="201" hidden="1">
      <c r="F201" s="20" t="s">
        <v>84</v>
      </c>
    </row>
    <row r="202" hidden="1">
      <c r="F202" s="20" t="s">
        <v>23</v>
      </c>
    </row>
    <row r="203" hidden="1">
      <c r="F203" s="20" t="s">
        <v>103</v>
      </c>
    </row>
    <row r="204" hidden="1">
      <c r="F204" s="20" t="s">
        <v>131</v>
      </c>
    </row>
    <row r="205" hidden="1">
      <c r="F205" s="20" t="s">
        <v>23</v>
      </c>
    </row>
    <row r="206" hidden="1">
      <c r="F206" s="20" t="s">
        <v>25</v>
      </c>
    </row>
    <row r="207" hidden="1">
      <c r="F207" s="20" t="s">
        <v>132</v>
      </c>
    </row>
    <row r="208">
      <c r="F208" s="20" t="s">
        <v>133</v>
      </c>
    </row>
    <row r="209" hidden="1">
      <c r="F209" s="20" t="s">
        <v>134</v>
      </c>
    </row>
    <row r="210" hidden="1">
      <c r="F210" s="20" t="s">
        <v>135</v>
      </c>
    </row>
    <row r="211" hidden="1">
      <c r="F211" s="20" t="s">
        <v>83</v>
      </c>
    </row>
    <row r="212" hidden="1">
      <c r="F212" s="20" t="s">
        <v>54</v>
      </c>
    </row>
    <row r="213" hidden="1">
      <c r="F213" s="20" t="s">
        <v>136</v>
      </c>
    </row>
    <row r="214" hidden="1">
      <c r="F214" s="20" t="s">
        <v>137</v>
      </c>
    </row>
    <row r="215" hidden="1">
      <c r="F215" s="20" t="s">
        <v>77</v>
      </c>
    </row>
    <row r="216" hidden="1">
      <c r="F216" s="20" t="s">
        <v>138</v>
      </c>
    </row>
    <row r="217" hidden="1">
      <c r="F217" s="20" t="s">
        <v>130</v>
      </c>
    </row>
    <row r="218" hidden="1">
      <c r="F218" s="20" t="s">
        <v>139</v>
      </c>
    </row>
    <row r="219" hidden="1">
      <c r="F219" s="20" t="s">
        <v>77</v>
      </c>
    </row>
    <row r="220" hidden="1">
      <c r="F220" s="20" t="s">
        <v>69</v>
      </c>
    </row>
    <row r="221" hidden="1">
      <c r="F221" s="20" t="s">
        <v>56</v>
      </c>
    </row>
    <row r="222" hidden="1">
      <c r="F222" s="20" t="s">
        <v>66</v>
      </c>
    </row>
    <row r="223" hidden="1">
      <c r="F223" s="20" t="s">
        <v>28</v>
      </c>
    </row>
    <row r="224" hidden="1">
      <c r="F224" s="20" t="s">
        <v>56</v>
      </c>
    </row>
    <row r="225" hidden="1">
      <c r="F225" s="20" t="s">
        <v>140</v>
      </c>
    </row>
    <row r="226" hidden="1">
      <c r="F226" s="20" t="s">
        <v>53</v>
      </c>
    </row>
    <row r="227" hidden="1">
      <c r="F227" s="20" t="s">
        <v>23</v>
      </c>
    </row>
    <row r="228" hidden="1">
      <c r="F228" s="20" t="s">
        <v>51</v>
      </c>
    </row>
    <row r="229">
      <c r="F229" s="20" t="s">
        <v>128</v>
      </c>
    </row>
    <row r="230" hidden="1">
      <c r="F230" s="20" t="s">
        <v>141</v>
      </c>
    </row>
    <row r="231" hidden="1">
      <c r="F231" s="20" t="s">
        <v>90</v>
      </c>
    </row>
    <row r="232" hidden="1">
      <c r="F232" s="20" t="s">
        <v>142</v>
      </c>
    </row>
    <row r="233" hidden="1">
      <c r="F233" s="20" t="s">
        <v>53</v>
      </c>
    </row>
    <row r="234" hidden="1">
      <c r="F234" s="20" t="s">
        <v>143</v>
      </c>
    </row>
    <row r="235" hidden="1">
      <c r="F235" s="20" t="s">
        <v>144</v>
      </c>
    </row>
    <row r="236" hidden="1">
      <c r="F236" s="20" t="s">
        <v>103</v>
      </c>
    </row>
    <row r="237" hidden="1">
      <c r="F237" s="20" t="s">
        <v>122</v>
      </c>
    </row>
    <row r="238" hidden="1">
      <c r="F238" s="20" t="s">
        <v>145</v>
      </c>
    </row>
    <row r="239" hidden="1">
      <c r="F239" s="20" t="s">
        <v>146</v>
      </c>
    </row>
    <row r="240" hidden="1">
      <c r="F240" s="20" t="s">
        <v>117</v>
      </c>
    </row>
    <row r="241">
      <c r="F241" s="20" t="s">
        <v>147</v>
      </c>
    </row>
    <row r="242" hidden="1">
      <c r="F242" s="20" t="s">
        <v>148</v>
      </c>
    </row>
    <row r="243" hidden="1">
      <c r="F243" s="20" t="s">
        <v>23</v>
      </c>
    </row>
    <row r="244" hidden="1">
      <c r="F244" s="20" t="s">
        <v>149</v>
      </c>
    </row>
    <row r="245" hidden="1">
      <c r="F245" s="20" t="s">
        <v>54</v>
      </c>
    </row>
    <row r="246" hidden="1">
      <c r="F246" s="20" t="s">
        <v>150</v>
      </c>
    </row>
    <row r="247" hidden="1">
      <c r="F247" s="20" t="s">
        <v>151</v>
      </c>
    </row>
    <row r="248" hidden="1">
      <c r="F248" s="20" t="s">
        <v>152</v>
      </c>
    </row>
    <row r="249" hidden="1">
      <c r="F249" s="20" t="s">
        <v>153</v>
      </c>
    </row>
    <row r="250" hidden="1">
      <c r="F250" s="20" t="s">
        <v>154</v>
      </c>
    </row>
    <row r="251" hidden="1">
      <c r="F251" s="20" t="s">
        <v>132</v>
      </c>
    </row>
    <row r="252" hidden="1">
      <c r="F252" s="20" t="s">
        <v>77</v>
      </c>
    </row>
    <row r="253" hidden="1">
      <c r="F253" s="20" t="s">
        <v>155</v>
      </c>
    </row>
    <row r="254" hidden="1">
      <c r="F254" s="20" t="s">
        <v>28</v>
      </c>
    </row>
    <row r="255" hidden="1">
      <c r="F255" s="20" t="s">
        <v>53</v>
      </c>
    </row>
    <row r="256" hidden="1">
      <c r="F256" s="20" t="s">
        <v>156</v>
      </c>
    </row>
    <row r="257" hidden="1">
      <c r="F257" s="20" t="s">
        <v>116</v>
      </c>
    </row>
    <row r="258" hidden="1">
      <c r="F258" s="20" t="s">
        <v>18</v>
      </c>
    </row>
    <row r="259" hidden="1">
      <c r="F259" s="20" t="s">
        <v>157</v>
      </c>
    </row>
    <row r="260" hidden="1">
      <c r="F260" s="20" t="s">
        <v>77</v>
      </c>
    </row>
    <row r="261" hidden="1">
      <c r="F261" s="20" t="s">
        <v>23</v>
      </c>
    </row>
    <row r="262" hidden="1">
      <c r="F262" s="20" t="s">
        <v>158</v>
      </c>
    </row>
    <row r="263" hidden="1">
      <c r="F263" s="20" t="s">
        <v>159</v>
      </c>
    </row>
    <row r="264" hidden="1">
      <c r="F264" s="20" t="s">
        <v>160</v>
      </c>
    </row>
    <row r="265">
      <c r="F265" s="20" t="s">
        <v>161</v>
      </c>
    </row>
    <row r="266" hidden="1">
      <c r="F266" s="20" t="s">
        <v>162</v>
      </c>
    </row>
    <row r="267" hidden="1">
      <c r="F267" s="20" t="s">
        <v>163</v>
      </c>
    </row>
    <row r="268" hidden="1">
      <c r="F268" s="20" t="s">
        <v>81</v>
      </c>
    </row>
    <row r="269" hidden="1">
      <c r="F269" s="20" t="s">
        <v>47</v>
      </c>
    </row>
    <row r="270" hidden="1">
      <c r="F270" s="20" t="s">
        <v>49</v>
      </c>
    </row>
    <row r="271" hidden="1">
      <c r="F271" s="20" t="s">
        <v>164</v>
      </c>
    </row>
    <row r="272" hidden="1">
      <c r="F272" s="20" t="s">
        <v>157</v>
      </c>
    </row>
    <row r="273" hidden="1">
      <c r="F273" s="20" t="s">
        <v>165</v>
      </c>
    </row>
    <row r="274" hidden="1">
      <c r="F274" s="20" t="s">
        <v>143</v>
      </c>
    </row>
    <row r="275" hidden="1">
      <c r="F275" s="20" t="s">
        <v>23</v>
      </c>
    </row>
    <row r="276" hidden="1">
      <c r="F276" s="20" t="s">
        <v>105</v>
      </c>
    </row>
    <row r="277" hidden="1">
      <c r="F277" s="20" t="s">
        <v>166</v>
      </c>
    </row>
    <row r="278" hidden="1">
      <c r="F278" s="20" t="s">
        <v>167</v>
      </c>
    </row>
    <row r="279" hidden="1">
      <c r="F279" s="20" t="s">
        <v>25</v>
      </c>
    </row>
    <row r="280" hidden="1">
      <c r="F280" s="20" t="s">
        <v>29</v>
      </c>
    </row>
    <row r="281">
      <c r="F281" s="20" t="s">
        <v>168</v>
      </c>
    </row>
    <row r="282">
      <c r="F282" s="20" t="s">
        <v>128</v>
      </c>
    </row>
    <row r="283" hidden="1">
      <c r="F283" s="20" t="s">
        <v>169</v>
      </c>
    </row>
    <row r="284">
      <c r="F284" s="20" t="s">
        <v>170</v>
      </c>
    </row>
    <row r="285" hidden="1">
      <c r="F285" s="20" t="s">
        <v>171</v>
      </c>
    </row>
    <row r="286" hidden="1">
      <c r="F286" s="20" t="s">
        <v>21</v>
      </c>
    </row>
    <row r="287">
      <c r="F287" s="20" t="s">
        <v>128</v>
      </c>
    </row>
    <row r="288" hidden="1">
      <c r="F288" s="20" t="s">
        <v>18</v>
      </c>
    </row>
    <row r="289" hidden="1">
      <c r="F289" s="20" t="s">
        <v>114</v>
      </c>
    </row>
    <row r="290" hidden="1">
      <c r="F290" s="20" t="s">
        <v>172</v>
      </c>
    </row>
    <row r="291" hidden="1">
      <c r="F291" s="20" t="s">
        <v>23</v>
      </c>
    </row>
    <row r="292" hidden="1">
      <c r="F292" s="20" t="s">
        <v>173</v>
      </c>
    </row>
    <row r="293" hidden="1">
      <c r="F293" s="20" t="s">
        <v>174</v>
      </c>
    </row>
    <row r="294" hidden="1">
      <c r="F294" s="20" t="s">
        <v>29</v>
      </c>
    </row>
    <row r="295" hidden="1">
      <c r="F295" s="20" t="s">
        <v>175</v>
      </c>
    </row>
    <row r="296" hidden="1">
      <c r="F296" s="20" t="s">
        <v>25</v>
      </c>
    </row>
    <row r="297" hidden="1">
      <c r="F297" s="20" t="s">
        <v>37</v>
      </c>
    </row>
    <row r="298" hidden="1">
      <c r="F298" s="20" t="s">
        <v>176</v>
      </c>
    </row>
    <row r="299">
      <c r="F299" s="20" t="s">
        <v>177</v>
      </c>
    </row>
    <row r="300">
      <c r="F300" s="20" t="s">
        <v>178</v>
      </c>
    </row>
    <row r="301" hidden="1">
      <c r="F301" s="20" t="s">
        <v>77</v>
      </c>
    </row>
    <row r="302" hidden="1">
      <c r="F302" s="20" t="s">
        <v>107</v>
      </c>
    </row>
    <row r="303" hidden="1">
      <c r="F303" s="20" t="s">
        <v>23</v>
      </c>
    </row>
    <row r="304" hidden="1">
      <c r="F304" s="20" t="s">
        <v>179</v>
      </c>
    </row>
    <row r="305" hidden="1">
      <c r="F305" s="20" t="s">
        <v>23</v>
      </c>
    </row>
    <row r="306" hidden="1">
      <c r="F306" s="20" t="s">
        <v>77</v>
      </c>
    </row>
    <row r="307">
      <c r="F307" s="20" t="s">
        <v>180</v>
      </c>
    </row>
    <row r="308" hidden="1">
      <c r="F308" s="20" t="s">
        <v>92</v>
      </c>
    </row>
    <row r="309" hidden="1">
      <c r="F309" s="20" t="s">
        <v>181</v>
      </c>
    </row>
    <row r="310" hidden="1">
      <c r="F310" s="20" t="s">
        <v>23</v>
      </c>
    </row>
    <row r="311" hidden="1">
      <c r="F311" s="20" t="s">
        <v>18</v>
      </c>
    </row>
    <row r="312" hidden="1">
      <c r="F312" s="20" t="s">
        <v>182</v>
      </c>
    </row>
    <row r="313" hidden="1">
      <c r="F313" s="20" t="s">
        <v>86</v>
      </c>
    </row>
    <row r="314" hidden="1">
      <c r="F314" s="20" t="s">
        <v>37</v>
      </c>
    </row>
    <row r="315" hidden="1">
      <c r="F315" s="20" t="s">
        <v>23</v>
      </c>
    </row>
    <row r="316" hidden="1">
      <c r="F316" s="20" t="s">
        <v>183</v>
      </c>
    </row>
    <row r="317" hidden="1">
      <c r="F317" s="20" t="s">
        <v>75</v>
      </c>
    </row>
    <row r="318">
      <c r="F318" s="20" t="s">
        <v>184</v>
      </c>
    </row>
    <row r="319" hidden="1">
      <c r="F319" s="20" t="s">
        <v>185</v>
      </c>
    </row>
    <row r="320" hidden="1">
      <c r="F320" s="20" t="s">
        <v>18</v>
      </c>
    </row>
    <row r="321" hidden="1">
      <c r="F321" s="20" t="s">
        <v>23</v>
      </c>
    </row>
    <row r="322" hidden="1">
      <c r="F322" s="20" t="s">
        <v>186</v>
      </c>
    </row>
    <row r="323" hidden="1">
      <c r="F323" s="20" t="s">
        <v>59</v>
      </c>
    </row>
    <row r="324" hidden="1">
      <c r="F324" s="20" t="s">
        <v>102</v>
      </c>
    </row>
    <row r="325" hidden="1">
      <c r="F325" s="20" t="s">
        <v>23</v>
      </c>
    </row>
    <row r="326" hidden="1">
      <c r="F326" s="20" t="s">
        <v>36</v>
      </c>
    </row>
    <row r="327" hidden="1">
      <c r="F327" s="20" t="s">
        <v>77</v>
      </c>
    </row>
    <row r="328">
      <c r="F328" s="20" t="s">
        <v>133</v>
      </c>
    </row>
    <row r="329" hidden="1">
      <c r="F329" s="20" t="s">
        <v>187</v>
      </c>
    </row>
    <row r="330" hidden="1">
      <c r="F330" s="20" t="s">
        <v>23</v>
      </c>
    </row>
    <row r="331" hidden="1">
      <c r="F331" s="20" t="s">
        <v>188</v>
      </c>
    </row>
    <row r="332" hidden="1">
      <c r="F332" s="20" t="s">
        <v>56</v>
      </c>
    </row>
    <row r="333" hidden="1">
      <c r="F333" s="20" t="s">
        <v>74</v>
      </c>
    </row>
    <row r="334" hidden="1">
      <c r="F334" s="20" t="s">
        <v>58</v>
      </c>
    </row>
    <row r="335" hidden="1">
      <c r="F335" s="20" t="s">
        <v>189</v>
      </c>
    </row>
    <row r="336" hidden="1">
      <c r="F336" s="20" t="s">
        <v>190</v>
      </c>
    </row>
    <row r="337" hidden="1">
      <c r="F337" s="20" t="s">
        <v>191</v>
      </c>
    </row>
    <row r="338" hidden="1">
      <c r="F338" s="20" t="s">
        <v>56</v>
      </c>
    </row>
    <row r="339" hidden="1">
      <c r="F339" s="20" t="s">
        <v>29</v>
      </c>
    </row>
    <row r="340" hidden="1">
      <c r="F340" s="20" t="s">
        <v>36</v>
      </c>
    </row>
    <row r="341" hidden="1">
      <c r="F341" s="20" t="s">
        <v>192</v>
      </c>
    </row>
    <row r="342" hidden="1">
      <c r="F342" s="20" t="s">
        <v>193</v>
      </c>
    </row>
    <row r="343">
      <c r="F343" s="20" t="s">
        <v>194</v>
      </c>
    </row>
    <row r="344" hidden="1">
      <c r="F344" s="20" t="s">
        <v>74</v>
      </c>
    </row>
    <row r="345" hidden="1">
      <c r="F345" s="20" t="s">
        <v>195</v>
      </c>
    </row>
    <row r="346" hidden="1">
      <c r="F346" s="20" t="s">
        <v>103</v>
      </c>
    </row>
    <row r="347">
      <c r="F347" s="20" t="s">
        <v>133</v>
      </c>
    </row>
    <row r="348">
      <c r="F348" s="20" t="s">
        <v>196</v>
      </c>
    </row>
    <row r="349" hidden="1">
      <c r="F349" s="20" t="s">
        <v>79</v>
      </c>
    </row>
    <row r="350" hidden="1">
      <c r="F350" s="20" t="s">
        <v>197</v>
      </c>
    </row>
    <row r="351">
      <c r="F351" s="20" t="s">
        <v>194</v>
      </c>
    </row>
    <row r="352" hidden="1">
      <c r="F352" s="20" t="s">
        <v>25</v>
      </c>
    </row>
    <row r="353" hidden="1">
      <c r="F353" s="20" t="s">
        <v>29</v>
      </c>
    </row>
    <row r="354" hidden="1">
      <c r="F354" s="20" t="s">
        <v>198</v>
      </c>
    </row>
    <row r="355" hidden="1">
      <c r="F355" s="20" t="s">
        <v>199</v>
      </c>
    </row>
    <row r="356" hidden="1">
      <c r="F356" s="20" t="s">
        <v>200</v>
      </c>
    </row>
    <row r="357" hidden="1">
      <c r="F357" s="20" t="s">
        <v>201</v>
      </c>
    </row>
    <row r="358" hidden="1">
      <c r="F358" s="20" t="s">
        <v>202</v>
      </c>
    </row>
    <row r="359" hidden="1">
      <c r="F359" s="20" t="s">
        <v>84</v>
      </c>
    </row>
    <row r="360">
      <c r="F360" s="20" t="s">
        <v>203</v>
      </c>
    </row>
    <row r="361" hidden="1">
      <c r="F361" s="20" t="s">
        <v>204</v>
      </c>
    </row>
    <row r="362" hidden="1">
      <c r="F362" s="20" t="s">
        <v>205</v>
      </c>
    </row>
    <row r="363" hidden="1">
      <c r="F363" s="20" t="s">
        <v>206</v>
      </c>
    </row>
    <row r="364" hidden="1">
      <c r="F364" s="20" t="s">
        <v>28</v>
      </c>
    </row>
    <row r="365" hidden="1">
      <c r="F365" s="20" t="s">
        <v>207</v>
      </c>
    </row>
    <row r="366" hidden="1">
      <c r="F366" s="20" t="s">
        <v>159</v>
      </c>
    </row>
    <row r="367" hidden="1">
      <c r="F367" s="20" t="s">
        <v>53</v>
      </c>
    </row>
    <row r="368" hidden="1">
      <c r="F368" s="20" t="s">
        <v>23</v>
      </c>
    </row>
    <row r="369" hidden="1">
      <c r="F369" s="20" t="s">
        <v>77</v>
      </c>
    </row>
    <row r="370" hidden="1">
      <c r="F370" s="20" t="s">
        <v>158</v>
      </c>
    </row>
    <row r="371">
      <c r="F371" s="20" t="s">
        <v>208</v>
      </c>
    </row>
    <row r="372" hidden="1">
      <c r="F372" s="20" t="s">
        <v>209</v>
      </c>
    </row>
    <row r="373" hidden="1">
      <c r="F373" s="20" t="s">
        <v>210</v>
      </c>
    </row>
    <row r="374" hidden="1">
      <c r="F374" s="20" t="s">
        <v>86</v>
      </c>
    </row>
    <row r="375">
      <c r="F375" s="20" t="s">
        <v>128</v>
      </c>
    </row>
    <row r="376" hidden="1">
      <c r="F376" s="20" t="s">
        <v>172</v>
      </c>
    </row>
    <row r="377" hidden="1">
      <c r="F377" s="20" t="s">
        <v>31</v>
      </c>
    </row>
    <row r="378" hidden="1">
      <c r="F378" s="20" t="s">
        <v>211</v>
      </c>
    </row>
    <row r="379" hidden="1">
      <c r="F379" s="20" t="s">
        <v>212</v>
      </c>
    </row>
    <row r="380" hidden="1">
      <c r="F380" s="20" t="s">
        <v>213</v>
      </c>
    </row>
    <row r="381" hidden="1">
      <c r="F381" s="20" t="s">
        <v>77</v>
      </c>
    </row>
    <row r="382" hidden="1">
      <c r="F382" s="20" t="s">
        <v>159</v>
      </c>
    </row>
    <row r="383">
      <c r="F383" s="20" t="s">
        <v>128</v>
      </c>
    </row>
    <row r="384" hidden="1">
      <c r="F384" s="20" t="s">
        <v>25</v>
      </c>
    </row>
    <row r="385" hidden="1">
      <c r="F385" s="20" t="s">
        <v>23</v>
      </c>
    </row>
    <row r="386" hidden="1">
      <c r="F386" s="20" t="s">
        <v>23</v>
      </c>
    </row>
    <row r="387" hidden="1">
      <c r="F387" s="20" t="s">
        <v>214</v>
      </c>
    </row>
    <row r="388" hidden="1">
      <c r="F388" s="20" t="s">
        <v>157</v>
      </c>
    </row>
    <row r="389" hidden="1">
      <c r="F389" s="20" t="s">
        <v>215</v>
      </c>
    </row>
    <row r="390" hidden="1">
      <c r="F390" s="20" t="s">
        <v>86</v>
      </c>
    </row>
    <row r="391" hidden="1">
      <c r="F391" s="20" t="s">
        <v>23</v>
      </c>
    </row>
    <row r="392" hidden="1">
      <c r="F392" s="20" t="s">
        <v>66</v>
      </c>
    </row>
    <row r="393" hidden="1">
      <c r="F393" s="20" t="s">
        <v>216</v>
      </c>
    </row>
    <row r="394" hidden="1">
      <c r="F394" s="20" t="s">
        <v>217</v>
      </c>
    </row>
    <row r="395" hidden="1">
      <c r="F395" s="20" t="s">
        <v>218</v>
      </c>
    </row>
    <row r="396" hidden="1">
      <c r="F396" s="20" t="s">
        <v>132</v>
      </c>
    </row>
    <row r="397" hidden="1">
      <c r="F397" s="20" t="s">
        <v>215</v>
      </c>
    </row>
    <row r="398" hidden="1">
      <c r="F398" s="20" t="s">
        <v>164</v>
      </c>
    </row>
    <row r="399" hidden="1">
      <c r="F399" s="20" t="s">
        <v>36</v>
      </c>
    </row>
    <row r="400" hidden="1">
      <c r="F400" s="20" t="s">
        <v>159</v>
      </c>
    </row>
    <row r="401" hidden="1">
      <c r="F401" s="20" t="s">
        <v>219</v>
      </c>
    </row>
    <row r="402" hidden="1">
      <c r="F402" s="20" t="s">
        <v>36</v>
      </c>
    </row>
    <row r="403" hidden="1">
      <c r="F403" s="20" t="s">
        <v>103</v>
      </c>
    </row>
    <row r="404">
      <c r="F404" s="20" t="s">
        <v>128</v>
      </c>
    </row>
    <row r="405" hidden="1">
      <c r="F405" s="20" t="s">
        <v>220</v>
      </c>
    </row>
    <row r="406">
      <c r="F406" s="20" t="s">
        <v>221</v>
      </c>
    </row>
    <row r="407" hidden="1">
      <c r="F407" s="20" t="s">
        <v>222</v>
      </c>
    </row>
    <row r="408" hidden="1">
      <c r="F408" s="20" t="s">
        <v>223</v>
      </c>
    </row>
    <row r="409" hidden="1">
      <c r="F409" s="20" t="s">
        <v>224</v>
      </c>
    </row>
    <row r="410" hidden="1">
      <c r="F410" s="20" t="s">
        <v>77</v>
      </c>
    </row>
    <row r="411" hidden="1">
      <c r="F411" s="20" t="s">
        <v>77</v>
      </c>
    </row>
    <row r="412" hidden="1">
      <c r="F412" s="20" t="s">
        <v>92</v>
      </c>
    </row>
    <row r="413" hidden="1">
      <c r="F413" s="20" t="s">
        <v>225</v>
      </c>
    </row>
    <row r="414" hidden="1">
      <c r="F414" s="20" t="s">
        <v>38</v>
      </c>
    </row>
    <row r="415" hidden="1">
      <c r="F415" s="20" t="s">
        <v>86</v>
      </c>
    </row>
    <row r="416" hidden="1">
      <c r="F416" s="20" t="s">
        <v>66</v>
      </c>
    </row>
    <row r="417" hidden="1">
      <c r="F417" s="20" t="s">
        <v>25</v>
      </c>
    </row>
    <row r="418" hidden="1">
      <c r="F418" s="20" t="s">
        <v>226</v>
      </c>
    </row>
    <row r="419" hidden="1">
      <c r="F419" s="20" t="s">
        <v>38</v>
      </c>
    </row>
    <row r="420" hidden="1">
      <c r="F420" s="20" t="s">
        <v>224</v>
      </c>
    </row>
    <row r="421" hidden="1">
      <c r="F421" s="20" t="s">
        <v>103</v>
      </c>
    </row>
    <row r="422">
      <c r="F422" s="20" t="s">
        <v>227</v>
      </c>
    </row>
    <row r="423" hidden="1">
      <c r="F423" s="20" t="s">
        <v>185</v>
      </c>
    </row>
    <row r="424" hidden="1">
      <c r="F424" s="20" t="s">
        <v>122</v>
      </c>
    </row>
    <row r="425" hidden="1">
      <c r="F425" s="20" t="s">
        <v>28</v>
      </c>
    </row>
    <row r="426" hidden="1">
      <c r="F426" s="20" t="s">
        <v>23</v>
      </c>
    </row>
    <row r="427" hidden="1">
      <c r="F427" s="20" t="s">
        <v>206</v>
      </c>
    </row>
    <row r="428" hidden="1">
      <c r="F428" s="20" t="s">
        <v>172</v>
      </c>
    </row>
    <row r="429" hidden="1">
      <c r="F429" s="20" t="s">
        <v>228</v>
      </c>
    </row>
    <row r="430" hidden="1">
      <c r="F430" s="20" t="s">
        <v>23</v>
      </c>
    </row>
    <row r="431">
      <c r="F431" s="20" t="s">
        <v>229</v>
      </c>
    </row>
    <row r="432">
      <c r="F432" s="20" t="s">
        <v>230</v>
      </c>
    </row>
    <row r="433" hidden="1">
      <c r="F433" s="20" t="s">
        <v>231</v>
      </c>
    </row>
    <row r="434" hidden="1">
      <c r="F434" s="20" t="s">
        <v>206</v>
      </c>
    </row>
    <row r="435" hidden="1">
      <c r="F435" s="20" t="s">
        <v>66</v>
      </c>
    </row>
    <row r="436" hidden="1">
      <c r="F436" s="20" t="s">
        <v>232</v>
      </c>
    </row>
    <row r="437" hidden="1">
      <c r="F437" s="20" t="s">
        <v>120</v>
      </c>
    </row>
    <row r="438" hidden="1">
      <c r="F438" s="20" t="s">
        <v>79</v>
      </c>
    </row>
    <row r="439" hidden="1">
      <c r="F439" s="20" t="s">
        <v>18</v>
      </c>
    </row>
    <row r="440" hidden="1">
      <c r="F440" s="20" t="s">
        <v>199</v>
      </c>
    </row>
    <row r="441" hidden="1">
      <c r="F441" s="20" t="s">
        <v>233</v>
      </c>
    </row>
    <row r="442">
      <c r="F442" s="20" t="s">
        <v>234</v>
      </c>
    </row>
    <row r="443" hidden="1">
      <c r="F443" s="20" t="s">
        <v>235</v>
      </c>
    </row>
    <row r="444" hidden="1">
      <c r="F444" s="20" t="s">
        <v>31</v>
      </c>
    </row>
    <row r="445">
      <c r="F445" s="20" t="s">
        <v>236</v>
      </c>
    </row>
    <row r="446" hidden="1">
      <c r="F446" s="20" t="s">
        <v>119</v>
      </c>
    </row>
    <row r="447" hidden="1">
      <c r="F447" s="20" t="s">
        <v>83</v>
      </c>
    </row>
    <row r="448" hidden="1">
      <c r="F448" s="20" t="s">
        <v>237</v>
      </c>
    </row>
    <row r="449" hidden="1">
      <c r="F449" s="20" t="s">
        <v>198</v>
      </c>
    </row>
    <row r="450" hidden="1">
      <c r="F450" s="20" t="s">
        <v>78</v>
      </c>
    </row>
    <row r="451" hidden="1">
      <c r="F451" s="20" t="s">
        <v>90</v>
      </c>
    </row>
    <row r="452">
      <c r="F452" s="20" t="s">
        <v>194</v>
      </c>
    </row>
    <row r="453" hidden="1">
      <c r="F453" s="20" t="s">
        <v>31</v>
      </c>
    </row>
    <row r="454" hidden="1">
      <c r="F454" s="20" t="s">
        <v>105</v>
      </c>
    </row>
    <row r="455" hidden="1">
      <c r="F455" s="20" t="s">
        <v>238</v>
      </c>
    </row>
    <row r="456">
      <c r="F456" s="20" t="s">
        <v>128</v>
      </c>
    </row>
    <row r="457" hidden="1">
      <c r="F457" s="20" t="s">
        <v>157</v>
      </c>
    </row>
    <row r="458" hidden="1">
      <c r="F458" s="20" t="s">
        <v>103</v>
      </c>
    </row>
    <row r="459" hidden="1">
      <c r="F459" s="20" t="s">
        <v>239</v>
      </c>
    </row>
    <row r="460" hidden="1">
      <c r="F460" s="20" t="s">
        <v>23</v>
      </c>
    </row>
    <row r="461" hidden="1">
      <c r="F461" s="20" t="s">
        <v>158</v>
      </c>
    </row>
    <row r="462" hidden="1">
      <c r="F462" s="20" t="s">
        <v>74</v>
      </c>
    </row>
    <row r="463" hidden="1">
      <c r="F463" s="20" t="s">
        <v>240</v>
      </c>
    </row>
    <row r="464" hidden="1">
      <c r="F464" s="20" t="s">
        <v>241</v>
      </c>
    </row>
    <row r="465" hidden="1">
      <c r="F465" s="20" t="s">
        <v>38</v>
      </c>
    </row>
    <row r="466">
      <c r="F466" s="20" t="s">
        <v>242</v>
      </c>
    </row>
    <row r="467" hidden="1">
      <c r="F467" s="20" t="s">
        <v>23</v>
      </c>
    </row>
    <row r="468" hidden="1">
      <c r="F468" s="20" t="s">
        <v>18</v>
      </c>
    </row>
    <row r="469">
      <c r="F469" s="20" t="s">
        <v>128</v>
      </c>
    </row>
    <row r="470" hidden="1">
      <c r="F470" s="20" t="s">
        <v>243</v>
      </c>
    </row>
    <row r="471" hidden="1">
      <c r="F471" s="20" t="s">
        <v>134</v>
      </c>
    </row>
    <row r="472" hidden="1">
      <c r="F472" s="20" t="s">
        <v>244</v>
      </c>
    </row>
    <row r="473" hidden="1">
      <c r="F473" s="20" t="s">
        <v>173</v>
      </c>
    </row>
    <row r="474" hidden="1">
      <c r="F474" s="20" t="s">
        <v>172</v>
      </c>
    </row>
    <row r="475" hidden="1">
      <c r="F475" s="20" t="s">
        <v>222</v>
      </c>
    </row>
    <row r="476">
      <c r="F476" s="20" t="s">
        <v>194</v>
      </c>
    </row>
    <row r="477" hidden="1">
      <c r="F477" s="20" t="s">
        <v>198</v>
      </c>
    </row>
    <row r="478" hidden="1">
      <c r="F478" s="20" t="s">
        <v>92</v>
      </c>
    </row>
    <row r="479">
      <c r="F479" s="20" t="s">
        <v>128</v>
      </c>
    </row>
    <row r="480" hidden="1">
      <c r="F480" s="20" t="s">
        <v>245</v>
      </c>
    </row>
    <row r="481" hidden="1">
      <c r="F481" s="20" t="s">
        <v>246</v>
      </c>
    </row>
    <row r="482" hidden="1">
      <c r="F482" s="20" t="s">
        <v>247</v>
      </c>
    </row>
    <row r="483" hidden="1">
      <c r="F483" s="20" t="s">
        <v>248</v>
      </c>
    </row>
    <row r="484" hidden="1">
      <c r="F484" s="20" t="s">
        <v>249</v>
      </c>
    </row>
    <row r="485" hidden="1">
      <c r="F485" s="20" t="s">
        <v>30</v>
      </c>
    </row>
    <row r="486" hidden="1">
      <c r="F486" s="20" t="s">
        <v>250</v>
      </c>
    </row>
    <row r="487" hidden="1">
      <c r="F487" s="20" t="s">
        <v>54</v>
      </c>
    </row>
    <row r="488" hidden="1">
      <c r="F488" s="20" t="s">
        <v>251</v>
      </c>
    </row>
    <row r="489">
      <c r="F489" s="20" t="s">
        <v>252</v>
      </c>
    </row>
    <row r="490" hidden="1">
      <c r="F490" s="20" t="s">
        <v>253</v>
      </c>
    </row>
    <row r="491" hidden="1">
      <c r="F491" s="20" t="s">
        <v>131</v>
      </c>
    </row>
    <row r="492" hidden="1">
      <c r="F492" s="20" t="s">
        <v>18</v>
      </c>
    </row>
    <row r="493">
      <c r="F493" s="20" t="s">
        <v>254</v>
      </c>
    </row>
    <row r="494" hidden="1">
      <c r="F494" s="20" t="s">
        <v>34</v>
      </c>
    </row>
    <row r="495" hidden="1">
      <c r="F495" s="20" t="s">
        <v>33</v>
      </c>
    </row>
    <row r="496" hidden="1">
      <c r="F496" s="20" t="s">
        <v>103</v>
      </c>
    </row>
    <row r="497" hidden="1">
      <c r="F497" s="20" t="s">
        <v>255</v>
      </c>
    </row>
    <row r="498" hidden="1">
      <c r="F498" s="20" t="s">
        <v>38</v>
      </c>
    </row>
    <row r="499" hidden="1">
      <c r="F499" s="20" t="s">
        <v>256</v>
      </c>
    </row>
    <row r="500">
      <c r="F500" s="20" t="s">
        <v>257</v>
      </c>
    </row>
    <row r="501">
      <c r="F501" s="20" t="s">
        <v>258</v>
      </c>
    </row>
    <row r="502" hidden="1">
      <c r="F502" s="20" t="s">
        <v>215</v>
      </c>
    </row>
    <row r="503">
      <c r="F503" s="20" t="s">
        <v>194</v>
      </c>
    </row>
    <row r="504" hidden="1">
      <c r="F504" s="20" t="s">
        <v>68</v>
      </c>
    </row>
    <row r="505">
      <c r="F505" s="20" t="s">
        <v>180</v>
      </c>
    </row>
    <row r="506" hidden="1">
      <c r="F506" s="20" t="s">
        <v>40</v>
      </c>
    </row>
    <row r="507" hidden="1">
      <c r="F507" s="20" t="s">
        <v>259</v>
      </c>
    </row>
    <row r="508" hidden="1">
      <c r="F508" s="20" t="s">
        <v>23</v>
      </c>
    </row>
    <row r="509" hidden="1">
      <c r="F509" s="20" t="s">
        <v>260</v>
      </c>
    </row>
    <row r="510">
      <c r="F510" s="20" t="s">
        <v>261</v>
      </c>
    </row>
    <row r="511" hidden="1">
      <c r="F511" s="20" t="s">
        <v>62</v>
      </c>
    </row>
    <row r="512">
      <c r="F512" s="20" t="s">
        <v>194</v>
      </c>
    </row>
    <row r="513" hidden="1">
      <c r="F513" s="20" t="s">
        <v>262</v>
      </c>
    </row>
    <row r="514" hidden="1">
      <c r="F514" s="20" t="s">
        <v>192</v>
      </c>
    </row>
    <row r="515" hidden="1">
      <c r="F515" s="20" t="s">
        <v>263</v>
      </c>
    </row>
    <row r="516" hidden="1">
      <c r="F516" s="20" t="s">
        <v>264</v>
      </c>
    </row>
    <row r="517">
      <c r="F517" s="20" t="s">
        <v>88</v>
      </c>
    </row>
    <row r="518">
      <c r="F518" s="20" t="s">
        <v>265</v>
      </c>
    </row>
    <row r="519" hidden="1">
      <c r="F519" s="20" t="s">
        <v>266</v>
      </c>
    </row>
    <row r="520" hidden="1">
      <c r="F520" s="20" t="s">
        <v>135</v>
      </c>
    </row>
    <row r="521" hidden="1">
      <c r="F521" s="20" t="s">
        <v>267</v>
      </c>
    </row>
    <row r="522" hidden="1">
      <c r="F522" s="20" t="s">
        <v>268</v>
      </c>
    </row>
    <row r="523" hidden="1">
      <c r="F523" s="20" t="s">
        <v>31</v>
      </c>
    </row>
    <row r="524" hidden="1">
      <c r="F524" s="20" t="s">
        <v>52</v>
      </c>
    </row>
    <row r="525" hidden="1">
      <c r="F525" s="20" t="s">
        <v>198</v>
      </c>
    </row>
    <row r="526" hidden="1">
      <c r="F526" s="20" t="s">
        <v>269</v>
      </c>
    </row>
    <row r="527" hidden="1">
      <c r="F527" s="20" t="s">
        <v>270</v>
      </c>
    </row>
    <row r="528" hidden="1">
      <c r="F528" s="20" t="s">
        <v>38</v>
      </c>
    </row>
    <row r="529" hidden="1">
      <c r="F529" s="20" t="s">
        <v>43</v>
      </c>
    </row>
    <row r="530" hidden="1">
      <c r="F530" s="20" t="s">
        <v>103</v>
      </c>
    </row>
    <row r="531" hidden="1">
      <c r="F531" s="20" t="s">
        <v>79</v>
      </c>
    </row>
    <row r="532" hidden="1">
      <c r="F532" s="20" t="s">
        <v>271</v>
      </c>
    </row>
    <row r="533" hidden="1">
      <c r="F533" s="20" t="s">
        <v>185</v>
      </c>
    </row>
    <row r="534" hidden="1">
      <c r="F534" s="20" t="s">
        <v>272</v>
      </c>
    </row>
    <row r="535" hidden="1">
      <c r="F535" s="20" t="s">
        <v>51</v>
      </c>
    </row>
    <row r="536" hidden="1">
      <c r="F536" s="20" t="s">
        <v>273</v>
      </c>
    </row>
    <row r="537">
      <c r="F537" s="20" t="s">
        <v>128</v>
      </c>
    </row>
    <row r="538" hidden="1">
      <c r="F538" s="20" t="s">
        <v>274</v>
      </c>
    </row>
    <row r="539" hidden="1">
      <c r="F539" s="20" t="s">
        <v>119</v>
      </c>
    </row>
    <row r="540" hidden="1">
      <c r="F540" s="20" t="s">
        <v>215</v>
      </c>
    </row>
    <row r="541" hidden="1">
      <c r="F541" s="20" t="s">
        <v>56</v>
      </c>
    </row>
    <row r="542" hidden="1">
      <c r="F542" s="20" t="s">
        <v>23</v>
      </c>
    </row>
    <row r="543" hidden="1">
      <c r="F543" s="20" t="s">
        <v>215</v>
      </c>
    </row>
    <row r="544" hidden="1">
      <c r="F544" s="20" t="s">
        <v>275</v>
      </c>
    </row>
    <row r="545" hidden="1">
      <c r="F545" s="20" t="s">
        <v>159</v>
      </c>
    </row>
    <row r="546" hidden="1">
      <c r="F546" s="20" t="s">
        <v>276</v>
      </c>
    </row>
    <row r="547" hidden="1">
      <c r="F547" s="20" t="s">
        <v>277</v>
      </c>
    </row>
    <row r="548" hidden="1">
      <c r="F548" s="20" t="s">
        <v>54</v>
      </c>
    </row>
    <row r="549" hidden="1">
      <c r="F549" s="20" t="s">
        <v>278</v>
      </c>
    </row>
    <row r="550" hidden="1">
      <c r="F550" s="20" t="s">
        <v>279</v>
      </c>
    </row>
    <row r="551" hidden="1">
      <c r="F551" s="20" t="s">
        <v>23</v>
      </c>
    </row>
    <row r="552" hidden="1">
      <c r="F552" s="20" t="s">
        <v>280</v>
      </c>
    </row>
    <row r="553">
      <c r="F553" s="20" t="s">
        <v>281</v>
      </c>
    </row>
    <row r="554" hidden="1">
      <c r="F554" s="20" t="s">
        <v>77</v>
      </c>
    </row>
    <row r="555" hidden="1">
      <c r="F555" s="20" t="s">
        <v>77</v>
      </c>
    </row>
    <row r="556" hidden="1">
      <c r="F556" s="20" t="s">
        <v>29</v>
      </c>
    </row>
    <row r="557" hidden="1">
      <c r="F557" s="20" t="s">
        <v>146</v>
      </c>
    </row>
    <row r="558" hidden="1">
      <c r="F558" s="20" t="s">
        <v>112</v>
      </c>
    </row>
    <row r="559">
      <c r="F559" s="20" t="s">
        <v>282</v>
      </c>
    </row>
    <row r="560" hidden="1">
      <c r="F560" s="20" t="s">
        <v>119</v>
      </c>
    </row>
    <row r="561" hidden="1">
      <c r="F561" s="20" t="s">
        <v>150</v>
      </c>
    </row>
    <row r="562" hidden="1">
      <c r="F562" s="20" t="s">
        <v>74</v>
      </c>
    </row>
    <row r="563" hidden="1">
      <c r="F563" s="20" t="s">
        <v>164</v>
      </c>
    </row>
    <row r="564" hidden="1">
      <c r="F564" s="20" t="s">
        <v>283</v>
      </c>
    </row>
    <row r="565" hidden="1">
      <c r="F565" s="20" t="s">
        <v>25</v>
      </c>
    </row>
    <row r="566" hidden="1">
      <c r="F566" s="20" t="s">
        <v>25</v>
      </c>
    </row>
    <row r="567" hidden="1">
      <c r="F567" s="20" t="s">
        <v>284</v>
      </c>
    </row>
    <row r="568" hidden="1">
      <c r="F568" s="20" t="s">
        <v>175</v>
      </c>
    </row>
    <row r="569" hidden="1">
      <c r="F569" s="20" t="s">
        <v>285</v>
      </c>
    </row>
    <row r="570" hidden="1">
      <c r="F570" s="20" t="s">
        <v>212</v>
      </c>
    </row>
    <row r="571" hidden="1">
      <c r="F571" s="20" t="s">
        <v>54</v>
      </c>
    </row>
    <row r="572" hidden="1">
      <c r="F572" s="20" t="s">
        <v>29</v>
      </c>
    </row>
    <row r="573" hidden="1">
      <c r="F573" s="20" t="s">
        <v>174</v>
      </c>
    </row>
    <row r="574" hidden="1">
      <c r="F574" s="20" t="s">
        <v>286</v>
      </c>
    </row>
    <row r="575" hidden="1">
      <c r="F575" s="20" t="s">
        <v>77</v>
      </c>
    </row>
    <row r="576" hidden="1">
      <c r="F576" s="20" t="s">
        <v>23</v>
      </c>
    </row>
    <row r="577" hidden="1">
      <c r="F577" s="20" t="s">
        <v>266</v>
      </c>
    </row>
    <row r="578" hidden="1">
      <c r="F578" s="20" t="s">
        <v>29</v>
      </c>
    </row>
    <row r="579" hidden="1">
      <c r="F579" s="20" t="s">
        <v>120</v>
      </c>
    </row>
    <row r="580" hidden="1">
      <c r="F580" s="20" t="s">
        <v>287</v>
      </c>
    </row>
    <row r="581" hidden="1">
      <c r="F581" s="20" t="s">
        <v>23</v>
      </c>
    </row>
    <row r="582">
      <c r="F582" s="20" t="s">
        <v>282</v>
      </c>
    </row>
    <row r="583">
      <c r="F583" s="20" t="s">
        <v>288</v>
      </c>
    </row>
    <row r="584" hidden="1">
      <c r="F584" s="20" t="s">
        <v>120</v>
      </c>
    </row>
    <row r="585" hidden="1">
      <c r="F585" s="20" t="s">
        <v>21</v>
      </c>
    </row>
    <row r="586" hidden="1">
      <c r="F586" s="20" t="s">
        <v>289</v>
      </c>
    </row>
    <row r="587" hidden="1">
      <c r="F587" s="20" t="s">
        <v>157</v>
      </c>
    </row>
    <row r="588" hidden="1">
      <c r="F588" s="20" t="s">
        <v>23</v>
      </c>
    </row>
    <row r="589" hidden="1">
      <c r="F589" s="20" t="s">
        <v>290</v>
      </c>
    </row>
    <row r="590">
      <c r="F590" s="20" t="s">
        <v>147</v>
      </c>
    </row>
    <row r="591" hidden="1">
      <c r="F591" s="20" t="s">
        <v>291</v>
      </c>
    </row>
    <row r="592" hidden="1">
      <c r="F592" s="20" t="s">
        <v>53</v>
      </c>
    </row>
    <row r="593" hidden="1">
      <c r="F593" s="20" t="s">
        <v>158</v>
      </c>
    </row>
    <row r="594" hidden="1">
      <c r="F594" s="20" t="s">
        <v>122</v>
      </c>
    </row>
    <row r="595" hidden="1">
      <c r="F595" s="20" t="s">
        <v>18</v>
      </c>
    </row>
    <row r="596" hidden="1">
      <c r="F596" s="20" t="s">
        <v>18</v>
      </c>
    </row>
    <row r="597">
      <c r="F597" s="20" t="s">
        <v>194</v>
      </c>
    </row>
    <row r="598" hidden="1">
      <c r="F598" s="20" t="s">
        <v>29</v>
      </c>
    </row>
    <row r="599" hidden="1">
      <c r="F599" s="20" t="s">
        <v>199</v>
      </c>
    </row>
    <row r="600" hidden="1">
      <c r="F600" s="20" t="s">
        <v>92</v>
      </c>
    </row>
    <row r="601" hidden="1">
      <c r="F601" s="20" t="s">
        <v>86</v>
      </c>
    </row>
    <row r="602" hidden="1">
      <c r="F602" s="20" t="s">
        <v>28</v>
      </c>
    </row>
    <row r="603" hidden="1">
      <c r="F603" s="20" t="s">
        <v>66</v>
      </c>
    </row>
    <row r="604" hidden="1">
      <c r="F604" s="20" t="s">
        <v>119</v>
      </c>
    </row>
    <row r="605" hidden="1">
      <c r="F605" s="20" t="s">
        <v>91</v>
      </c>
    </row>
    <row r="606" hidden="1">
      <c r="F606" s="20" t="s">
        <v>77</v>
      </c>
    </row>
    <row r="607" hidden="1">
      <c r="F607" s="20" t="s">
        <v>74</v>
      </c>
    </row>
    <row r="608" hidden="1">
      <c r="F608" s="20" t="s">
        <v>77</v>
      </c>
    </row>
    <row r="609" hidden="1">
      <c r="F609" s="20" t="s">
        <v>292</v>
      </c>
    </row>
    <row r="610" hidden="1">
      <c r="F610" s="20" t="s">
        <v>28</v>
      </c>
    </row>
    <row r="611" hidden="1">
      <c r="F611" s="20" t="s">
        <v>86</v>
      </c>
    </row>
    <row r="612" hidden="1">
      <c r="F612" s="20" t="s">
        <v>293</v>
      </c>
    </row>
    <row r="613" hidden="1">
      <c r="F613" s="20" t="s">
        <v>148</v>
      </c>
    </row>
    <row r="614" hidden="1">
      <c r="F614" s="20" t="s">
        <v>86</v>
      </c>
    </row>
    <row r="615" hidden="1">
      <c r="F615" s="20" t="s">
        <v>233</v>
      </c>
    </row>
    <row r="616" hidden="1">
      <c r="F616" s="20" t="s">
        <v>32</v>
      </c>
    </row>
    <row r="617" hidden="1">
      <c r="F617" s="20" t="s">
        <v>77</v>
      </c>
    </row>
    <row r="618" hidden="1">
      <c r="F618" s="20" t="s">
        <v>206</v>
      </c>
    </row>
    <row r="619" hidden="1">
      <c r="F619" s="20" t="s">
        <v>131</v>
      </c>
    </row>
    <row r="620" hidden="1">
      <c r="F620" s="20" t="s">
        <v>36</v>
      </c>
    </row>
    <row r="621" hidden="1">
      <c r="F621" s="20" t="s">
        <v>18</v>
      </c>
    </row>
    <row r="622" hidden="1">
      <c r="F622" s="20" t="s">
        <v>294</v>
      </c>
    </row>
    <row r="623" hidden="1">
      <c r="F623" s="20" t="s">
        <v>159</v>
      </c>
    </row>
    <row r="624" hidden="1">
      <c r="F624" s="20" t="s">
        <v>295</v>
      </c>
    </row>
    <row r="625" hidden="1">
      <c r="F625" s="20" t="s">
        <v>92</v>
      </c>
    </row>
    <row r="626" hidden="1">
      <c r="F626" s="20" t="s">
        <v>296</v>
      </c>
    </row>
    <row r="627" hidden="1">
      <c r="F627" s="20" t="s">
        <v>297</v>
      </c>
    </row>
    <row r="628" hidden="1">
      <c r="F628" s="20" t="s">
        <v>222</v>
      </c>
    </row>
    <row r="629">
      <c r="F629" s="20" t="s">
        <v>298</v>
      </c>
    </row>
    <row r="630" hidden="1">
      <c r="F630" s="20" t="s">
        <v>299</v>
      </c>
    </row>
    <row r="631" hidden="1">
      <c r="F631" s="20" t="s">
        <v>86</v>
      </c>
    </row>
    <row r="632">
      <c r="F632" s="20" t="s">
        <v>168</v>
      </c>
    </row>
    <row r="633" hidden="1">
      <c r="F633" s="20" t="s">
        <v>284</v>
      </c>
    </row>
    <row r="634" hidden="1">
      <c r="F634" s="20" t="s">
        <v>300</v>
      </c>
    </row>
    <row r="635" hidden="1">
      <c r="F635" s="20" t="s">
        <v>114</v>
      </c>
    </row>
    <row r="636" hidden="1">
      <c r="F636" s="20" t="s">
        <v>301</v>
      </c>
    </row>
    <row r="637" hidden="1">
      <c r="F637" s="20" t="s">
        <v>302</v>
      </c>
    </row>
    <row r="638">
      <c r="F638" s="20" t="s">
        <v>303</v>
      </c>
    </row>
    <row r="639" hidden="1">
      <c r="F639" s="20" t="s">
        <v>25</v>
      </c>
    </row>
    <row r="640" hidden="1">
      <c r="F640" s="20" t="s">
        <v>23</v>
      </c>
    </row>
    <row r="641" hidden="1">
      <c r="F641" s="20" t="s">
        <v>77</v>
      </c>
    </row>
    <row r="642" hidden="1">
      <c r="F642" s="20" t="s">
        <v>122</v>
      </c>
    </row>
    <row r="643" hidden="1">
      <c r="F643" s="20" t="s">
        <v>304</v>
      </c>
    </row>
    <row r="644" hidden="1">
      <c r="F644" s="20" t="s">
        <v>305</v>
      </c>
    </row>
    <row r="645" hidden="1">
      <c r="F645" s="20" t="s">
        <v>122</v>
      </c>
    </row>
    <row r="646">
      <c r="F646" s="20" t="s">
        <v>110</v>
      </c>
    </row>
    <row r="647" hidden="1">
      <c r="F647" s="20" t="s">
        <v>23</v>
      </c>
    </row>
    <row r="648" hidden="1">
      <c r="F648" s="20" t="s">
        <v>77</v>
      </c>
    </row>
    <row r="649" hidden="1">
      <c r="F649" s="20" t="s">
        <v>306</v>
      </c>
    </row>
    <row r="650" hidden="1">
      <c r="F650" s="20" t="s">
        <v>307</v>
      </c>
    </row>
    <row r="651" hidden="1">
      <c r="F651" s="20" t="s">
        <v>139</v>
      </c>
    </row>
    <row r="652">
      <c r="F652" s="20" t="s">
        <v>308</v>
      </c>
    </row>
    <row r="653" hidden="1">
      <c r="F653" s="20" t="s">
        <v>309</v>
      </c>
    </row>
    <row r="654" hidden="1">
      <c r="F654" s="20" t="s">
        <v>66</v>
      </c>
    </row>
    <row r="655" hidden="1">
      <c r="F655" s="20" t="s">
        <v>28</v>
      </c>
    </row>
    <row r="656" hidden="1">
      <c r="F656" s="20" t="s">
        <v>198</v>
      </c>
    </row>
    <row r="657" hidden="1">
      <c r="F657" s="20" t="s">
        <v>310</v>
      </c>
    </row>
    <row r="658" hidden="1">
      <c r="F658" s="20" t="s">
        <v>311</v>
      </c>
    </row>
    <row r="659" hidden="1">
      <c r="F659" s="20" t="s">
        <v>25</v>
      </c>
    </row>
    <row r="660" hidden="1">
      <c r="F660" s="20" t="s">
        <v>54</v>
      </c>
    </row>
    <row r="661" hidden="1">
      <c r="F661" s="20" t="s">
        <v>312</v>
      </c>
    </row>
    <row r="662" hidden="1">
      <c r="F662" s="20" t="s">
        <v>313</v>
      </c>
    </row>
    <row r="663" hidden="1">
      <c r="F663" s="20" t="s">
        <v>314</v>
      </c>
    </row>
    <row r="664">
      <c r="F664" s="20" t="s">
        <v>194</v>
      </c>
    </row>
    <row r="665" hidden="1">
      <c r="F665" s="20" t="s">
        <v>202</v>
      </c>
    </row>
    <row r="666">
      <c r="F666" s="20" t="s">
        <v>315</v>
      </c>
    </row>
    <row r="667" hidden="1">
      <c r="F667" s="20" t="s">
        <v>56</v>
      </c>
    </row>
    <row r="668" hidden="1">
      <c r="F668" s="20" t="s">
        <v>266</v>
      </c>
    </row>
    <row r="669" hidden="1">
      <c r="F669" s="20" t="s">
        <v>316</v>
      </c>
    </row>
    <row r="670" hidden="1">
      <c r="F670" s="20" t="s">
        <v>53</v>
      </c>
    </row>
    <row r="671" hidden="1">
      <c r="F671" s="20" t="s">
        <v>54</v>
      </c>
    </row>
    <row r="672" hidden="1">
      <c r="F672" s="20" t="s">
        <v>222</v>
      </c>
    </row>
    <row r="673" hidden="1">
      <c r="F673" s="20" t="s">
        <v>317</v>
      </c>
    </row>
    <row r="674" hidden="1">
      <c r="F674" s="20" t="s">
        <v>66</v>
      </c>
    </row>
    <row r="675" hidden="1">
      <c r="F675" s="20" t="s">
        <v>159</v>
      </c>
    </row>
    <row r="676" hidden="1">
      <c r="F676" s="20" t="s">
        <v>56</v>
      </c>
    </row>
    <row r="677" hidden="1">
      <c r="F677" s="20" t="s">
        <v>318</v>
      </c>
    </row>
    <row r="678" hidden="1">
      <c r="F678" s="20" t="s">
        <v>319</v>
      </c>
    </row>
    <row r="679">
      <c r="F679" s="20" t="s">
        <v>194</v>
      </c>
    </row>
    <row r="680">
      <c r="F680" s="20" t="s">
        <v>194</v>
      </c>
    </row>
    <row r="681">
      <c r="F681" s="20" t="s">
        <v>320</v>
      </c>
    </row>
    <row r="682" hidden="1">
      <c r="F682" s="20" t="s">
        <v>52</v>
      </c>
    </row>
    <row r="683" hidden="1">
      <c r="F683" s="20" t="s">
        <v>25</v>
      </c>
    </row>
    <row r="684" hidden="1">
      <c r="F684" s="20" t="s">
        <v>321</v>
      </c>
    </row>
    <row r="685" hidden="1">
      <c r="F685" s="20" t="s">
        <v>322</v>
      </c>
    </row>
    <row r="686">
      <c r="F686" s="20" t="s">
        <v>323</v>
      </c>
    </row>
    <row r="687" hidden="1">
      <c r="F687" s="20" t="s">
        <v>32</v>
      </c>
    </row>
    <row r="688" hidden="1">
      <c r="F688" s="20" t="s">
        <v>324</v>
      </c>
    </row>
    <row r="689" hidden="1">
      <c r="F689" s="20" t="s">
        <v>77</v>
      </c>
    </row>
    <row r="690" hidden="1">
      <c r="F690" s="20" t="s">
        <v>31</v>
      </c>
    </row>
    <row r="691" hidden="1">
      <c r="F691" s="20" t="s">
        <v>25</v>
      </c>
    </row>
    <row r="692">
      <c r="F692" s="20" t="s">
        <v>325</v>
      </c>
    </row>
    <row r="693" hidden="1">
      <c r="F693" s="20" t="s">
        <v>259</v>
      </c>
    </row>
    <row r="694">
      <c r="F694" s="20" t="s">
        <v>326</v>
      </c>
    </row>
    <row r="695" hidden="1">
      <c r="F695" s="20" t="s">
        <v>130</v>
      </c>
    </row>
    <row r="696" hidden="1">
      <c r="F696" s="20" t="s">
        <v>219</v>
      </c>
    </row>
    <row r="697" hidden="1">
      <c r="F697" s="20" t="s">
        <v>327</v>
      </c>
    </row>
    <row r="698" hidden="1">
      <c r="F698" s="20" t="s">
        <v>54</v>
      </c>
    </row>
    <row r="699" hidden="1">
      <c r="F699" s="20" t="s">
        <v>77</v>
      </c>
    </row>
    <row r="700" hidden="1">
      <c r="F700" s="20" t="s">
        <v>43</v>
      </c>
    </row>
    <row r="701" hidden="1">
      <c r="F701" s="20" t="s">
        <v>30</v>
      </c>
    </row>
    <row r="702" hidden="1">
      <c r="F702" s="20" t="s">
        <v>105</v>
      </c>
    </row>
    <row r="703" hidden="1">
      <c r="F703" s="20" t="s">
        <v>23</v>
      </c>
    </row>
    <row r="704" hidden="1">
      <c r="F704" s="20" t="s">
        <v>328</v>
      </c>
    </row>
    <row r="705" hidden="1">
      <c r="F705" s="20" t="s">
        <v>329</v>
      </c>
    </row>
    <row r="706" hidden="1">
      <c r="F706" s="20" t="s">
        <v>105</v>
      </c>
    </row>
    <row r="707" hidden="1">
      <c r="F707" s="20" t="s">
        <v>25</v>
      </c>
    </row>
    <row r="708">
      <c r="F708" s="20" t="s">
        <v>330</v>
      </c>
    </row>
    <row r="709" hidden="1">
      <c r="F709" s="20" t="s">
        <v>66</v>
      </c>
    </row>
    <row r="710" hidden="1">
      <c r="F710" s="20" t="s">
        <v>331</v>
      </c>
    </row>
    <row r="711" hidden="1">
      <c r="F711" s="20" t="s">
        <v>54</v>
      </c>
    </row>
    <row r="712" hidden="1">
      <c r="F712" s="20" t="s">
        <v>332</v>
      </c>
    </row>
    <row r="713" hidden="1">
      <c r="F713" s="20" t="s">
        <v>107</v>
      </c>
    </row>
    <row r="714" hidden="1">
      <c r="F714" s="20" t="s">
        <v>333</v>
      </c>
    </row>
    <row r="715" hidden="1">
      <c r="F715" s="20" t="s">
        <v>122</v>
      </c>
    </row>
    <row r="716" hidden="1">
      <c r="F716" s="20" t="s">
        <v>334</v>
      </c>
    </row>
    <row r="717" hidden="1">
      <c r="F717" s="20" t="s">
        <v>159</v>
      </c>
    </row>
    <row r="718" hidden="1">
      <c r="F718" s="20" t="s">
        <v>25</v>
      </c>
    </row>
    <row r="719" hidden="1">
      <c r="F719" s="20" t="s">
        <v>119</v>
      </c>
    </row>
    <row r="720" hidden="1">
      <c r="F720" s="20" t="s">
        <v>335</v>
      </c>
    </row>
    <row r="721" hidden="1">
      <c r="F721" s="20" t="s">
        <v>66</v>
      </c>
    </row>
    <row r="722" hidden="1">
      <c r="F722" s="20" t="s">
        <v>23</v>
      </c>
    </row>
    <row r="723" hidden="1">
      <c r="F723" s="20" t="s">
        <v>77</v>
      </c>
    </row>
    <row r="724" hidden="1">
      <c r="F724" s="20" t="s">
        <v>336</v>
      </c>
    </row>
    <row r="725" hidden="1">
      <c r="F725" s="20" t="s">
        <v>25</v>
      </c>
    </row>
    <row r="726" hidden="1">
      <c r="F726" s="20" t="s">
        <v>66</v>
      </c>
    </row>
    <row r="727">
      <c r="F727" s="20" t="s">
        <v>147</v>
      </c>
    </row>
    <row r="728" hidden="1">
      <c r="F728" s="20" t="s">
        <v>59</v>
      </c>
    </row>
    <row r="729" hidden="1">
      <c r="F729" s="20" t="s">
        <v>199</v>
      </c>
    </row>
    <row r="730" hidden="1">
      <c r="F730" s="20" t="s">
        <v>337</v>
      </c>
    </row>
    <row r="731" hidden="1">
      <c r="F731" s="20" t="s">
        <v>18</v>
      </c>
    </row>
    <row r="732" hidden="1">
      <c r="F732" s="20" t="s">
        <v>29</v>
      </c>
    </row>
    <row r="733" hidden="1">
      <c r="F733" s="20" t="s">
        <v>338</v>
      </c>
    </row>
    <row r="734" hidden="1">
      <c r="F734" s="20" t="s">
        <v>23</v>
      </c>
    </row>
    <row r="735" hidden="1">
      <c r="F735" s="20" t="s">
        <v>77</v>
      </c>
    </row>
    <row r="736" hidden="1">
      <c r="F736" s="20" t="s">
        <v>339</v>
      </c>
    </row>
    <row r="737" hidden="1">
      <c r="F737" s="20" t="s">
        <v>18</v>
      </c>
    </row>
    <row r="738" hidden="1">
      <c r="F738" s="20" t="s">
        <v>340</v>
      </c>
    </row>
    <row r="739">
      <c r="F739" s="20" t="s">
        <v>341</v>
      </c>
    </row>
    <row r="740" hidden="1">
      <c r="F740" s="20" t="s">
        <v>122</v>
      </c>
    </row>
    <row r="741" hidden="1">
      <c r="F741" s="20" t="s">
        <v>342</v>
      </c>
    </row>
    <row r="742" hidden="1">
      <c r="F742" s="20" t="s">
        <v>84</v>
      </c>
    </row>
    <row r="743" hidden="1">
      <c r="F743" s="20" t="s">
        <v>343</v>
      </c>
    </row>
    <row r="744" hidden="1">
      <c r="F744" s="20" t="s">
        <v>199</v>
      </c>
    </row>
    <row r="745" hidden="1">
      <c r="F745" s="20" t="s">
        <v>86</v>
      </c>
    </row>
    <row r="746" hidden="1">
      <c r="F746" s="20" t="s">
        <v>344</v>
      </c>
    </row>
    <row r="747" hidden="1">
      <c r="F747" s="20" t="s">
        <v>30</v>
      </c>
    </row>
    <row r="748" hidden="1">
      <c r="F748" s="20" t="s">
        <v>345</v>
      </c>
    </row>
    <row r="749" hidden="1">
      <c r="F749" s="20" t="s">
        <v>346</v>
      </c>
    </row>
    <row r="750" hidden="1">
      <c r="F750" s="20" t="s">
        <v>103</v>
      </c>
    </row>
    <row r="751" hidden="1">
      <c r="F751" s="20" t="s">
        <v>28</v>
      </c>
    </row>
    <row r="752" hidden="1">
      <c r="F752" s="20" t="s">
        <v>176</v>
      </c>
    </row>
    <row r="753" hidden="1">
      <c r="F753" s="20" t="s">
        <v>347</v>
      </c>
    </row>
    <row r="754" hidden="1">
      <c r="F754" s="20" t="s">
        <v>348</v>
      </c>
    </row>
    <row r="755" hidden="1">
      <c r="F755" s="20" t="s">
        <v>157</v>
      </c>
    </row>
    <row r="756">
      <c r="F756" s="20" t="s">
        <v>168</v>
      </c>
    </row>
    <row r="757" hidden="1">
      <c r="F757" s="20" t="s">
        <v>55</v>
      </c>
    </row>
    <row r="758" hidden="1">
      <c r="F758" s="20" t="s">
        <v>53</v>
      </c>
    </row>
    <row r="759" hidden="1">
      <c r="F759" s="20" t="s">
        <v>349</v>
      </c>
    </row>
    <row r="760" hidden="1">
      <c r="F760" s="20" t="s">
        <v>324</v>
      </c>
    </row>
    <row r="761" hidden="1">
      <c r="F761" s="20" t="s">
        <v>18</v>
      </c>
    </row>
    <row r="762" hidden="1">
      <c r="F762" s="20" t="s">
        <v>350</v>
      </c>
    </row>
    <row r="763" hidden="1">
      <c r="F763" s="20" t="s">
        <v>136</v>
      </c>
    </row>
    <row r="764" hidden="1">
      <c r="F764" s="20" t="s">
        <v>57</v>
      </c>
    </row>
    <row r="765" hidden="1">
      <c r="F765" s="20" t="s">
        <v>338</v>
      </c>
    </row>
    <row r="766" hidden="1">
      <c r="F766" s="20" t="s">
        <v>351</v>
      </c>
    </row>
    <row r="767" hidden="1">
      <c r="F767" s="20" t="s">
        <v>226</v>
      </c>
    </row>
    <row r="768" hidden="1">
      <c r="F768" s="20" t="s">
        <v>56</v>
      </c>
    </row>
    <row r="769" hidden="1">
      <c r="F769" s="20" t="s">
        <v>77</v>
      </c>
    </row>
    <row r="770" hidden="1">
      <c r="F770" s="20" t="s">
        <v>352</v>
      </c>
    </row>
    <row r="771" hidden="1">
      <c r="F771" s="20" t="s">
        <v>77</v>
      </c>
    </row>
    <row r="772" hidden="1">
      <c r="F772" s="20" t="s">
        <v>351</v>
      </c>
    </row>
    <row r="773" hidden="1">
      <c r="F773" s="20" t="s">
        <v>243</v>
      </c>
    </row>
    <row r="774" hidden="1">
      <c r="F774" s="20" t="s">
        <v>284</v>
      </c>
    </row>
    <row r="775" hidden="1">
      <c r="F775" s="20" t="s">
        <v>353</v>
      </c>
    </row>
    <row r="776" hidden="1">
      <c r="F776" s="20" t="s">
        <v>86</v>
      </c>
    </row>
    <row r="777">
      <c r="F777" s="20" t="s">
        <v>94</v>
      </c>
    </row>
    <row r="778" hidden="1">
      <c r="F778" s="20" t="s">
        <v>173</v>
      </c>
    </row>
    <row r="779">
      <c r="F779" s="20" t="s">
        <v>354</v>
      </c>
    </row>
    <row r="780" hidden="1">
      <c r="F780" s="20" t="s">
        <v>355</v>
      </c>
    </row>
    <row r="781" hidden="1">
      <c r="F781" s="20" t="s">
        <v>356</v>
      </c>
    </row>
    <row r="782">
      <c r="F782" s="20" t="s">
        <v>128</v>
      </c>
    </row>
    <row r="783" hidden="1">
      <c r="F783" s="20" t="s">
        <v>357</v>
      </c>
    </row>
    <row r="784" hidden="1">
      <c r="F784" s="20" t="s">
        <v>66</v>
      </c>
    </row>
    <row r="785" hidden="1">
      <c r="F785" s="20" t="s">
        <v>25</v>
      </c>
    </row>
    <row r="786" hidden="1">
      <c r="F786" s="20" t="s">
        <v>84</v>
      </c>
    </row>
    <row r="787" hidden="1">
      <c r="F787" s="20" t="s">
        <v>358</v>
      </c>
    </row>
    <row r="788">
      <c r="F788" s="20" t="s">
        <v>194</v>
      </c>
    </row>
    <row r="789" hidden="1">
      <c r="F789" s="20" t="s">
        <v>359</v>
      </c>
    </row>
    <row r="790" hidden="1">
      <c r="F790" s="20" t="s">
        <v>21</v>
      </c>
    </row>
    <row r="791" hidden="1">
      <c r="F791" s="20" t="s">
        <v>52</v>
      </c>
    </row>
    <row r="792" hidden="1">
      <c r="F792" s="20" t="s">
        <v>360</v>
      </c>
    </row>
    <row r="793" hidden="1">
      <c r="F793" s="20" t="s">
        <v>361</v>
      </c>
    </row>
    <row r="794" hidden="1">
      <c r="F794" s="20" t="s">
        <v>18</v>
      </c>
    </row>
    <row r="795" hidden="1">
      <c r="F795" s="20" t="s">
        <v>66</v>
      </c>
    </row>
    <row r="796" hidden="1">
      <c r="F796" s="20" t="s">
        <v>362</v>
      </c>
    </row>
    <row r="797" hidden="1">
      <c r="F797" s="20" t="s">
        <v>32</v>
      </c>
    </row>
    <row r="798">
      <c r="F798" s="20" t="s">
        <v>363</v>
      </c>
    </row>
    <row r="799" hidden="1">
      <c r="F799" s="20" t="s">
        <v>364</v>
      </c>
    </row>
    <row r="800" hidden="1">
      <c r="F800" s="20" t="s">
        <v>365</v>
      </c>
    </row>
    <row r="801" hidden="1">
      <c r="F801" s="20" t="s">
        <v>77</v>
      </c>
    </row>
    <row r="802" hidden="1">
      <c r="F802" s="20" t="s">
        <v>77</v>
      </c>
    </row>
    <row r="803" hidden="1">
      <c r="F803" s="20" t="s">
        <v>36</v>
      </c>
    </row>
    <row r="804" hidden="1">
      <c r="F804" s="20" t="s">
        <v>23</v>
      </c>
    </row>
    <row r="805" hidden="1">
      <c r="F805" s="20" t="s">
        <v>25</v>
      </c>
    </row>
    <row r="806" hidden="1">
      <c r="F806" s="20" t="s">
        <v>366</v>
      </c>
    </row>
    <row r="807" hidden="1">
      <c r="F807" s="20" t="s">
        <v>367</v>
      </c>
    </row>
    <row r="808" hidden="1">
      <c r="F808" s="20" t="s">
        <v>360</v>
      </c>
    </row>
    <row r="809" hidden="1">
      <c r="F809" s="20" t="s">
        <v>158</v>
      </c>
    </row>
    <row r="810" hidden="1">
      <c r="F810" s="20" t="s">
        <v>310</v>
      </c>
    </row>
    <row r="811" hidden="1">
      <c r="F811" s="20" t="s">
        <v>368</v>
      </c>
    </row>
    <row r="812" hidden="1">
      <c r="F812" s="20" t="s">
        <v>309</v>
      </c>
    </row>
    <row r="813" hidden="1">
      <c r="F813" s="20" t="s">
        <v>369</v>
      </c>
    </row>
    <row r="814">
      <c r="F814" s="20" t="s">
        <v>370</v>
      </c>
    </row>
    <row r="815" hidden="1">
      <c r="F815" s="20" t="s">
        <v>371</v>
      </c>
    </row>
    <row r="816" hidden="1">
      <c r="F816" s="20" t="s">
        <v>372</v>
      </c>
    </row>
    <row r="817" hidden="1">
      <c r="F817" s="20" t="s">
        <v>316</v>
      </c>
    </row>
    <row r="818" hidden="1">
      <c r="F818" s="20" t="s">
        <v>190</v>
      </c>
    </row>
    <row r="819" hidden="1">
      <c r="F819" s="20" t="s">
        <v>77</v>
      </c>
    </row>
    <row r="820">
      <c r="F820" s="20" t="s">
        <v>373</v>
      </c>
    </row>
    <row r="821" hidden="1">
      <c r="F821" s="20" t="s">
        <v>34</v>
      </c>
    </row>
    <row r="822" hidden="1">
      <c r="F822" s="20" t="s">
        <v>31</v>
      </c>
    </row>
    <row r="823" hidden="1">
      <c r="F823" s="20" t="s">
        <v>103</v>
      </c>
    </row>
    <row r="824" hidden="1">
      <c r="F824" s="20" t="s">
        <v>192</v>
      </c>
    </row>
    <row r="825">
      <c r="F825" s="20" t="s">
        <v>194</v>
      </c>
    </row>
    <row r="826" hidden="1">
      <c r="F826" s="20" t="s">
        <v>53</v>
      </c>
    </row>
    <row r="827" hidden="1">
      <c r="F827" s="20" t="s">
        <v>157</v>
      </c>
    </row>
    <row r="828" hidden="1">
      <c r="F828" s="20" t="s">
        <v>18</v>
      </c>
    </row>
    <row r="829" hidden="1">
      <c r="F829" s="20" t="s">
        <v>374</v>
      </c>
    </row>
    <row r="830" hidden="1">
      <c r="F830" s="20" t="s">
        <v>224</v>
      </c>
    </row>
    <row r="831" hidden="1">
      <c r="F831" s="20" t="s">
        <v>375</v>
      </c>
    </row>
    <row r="832" hidden="1">
      <c r="F832" s="20" t="s">
        <v>376</v>
      </c>
    </row>
    <row r="833" hidden="1">
      <c r="F833" s="20" t="s">
        <v>18</v>
      </c>
    </row>
    <row r="834" hidden="1">
      <c r="F834" s="20" t="s">
        <v>86</v>
      </c>
    </row>
    <row r="835" hidden="1">
      <c r="F835" s="20" t="s">
        <v>31</v>
      </c>
    </row>
    <row r="836" hidden="1">
      <c r="F836" s="20" t="s">
        <v>103</v>
      </c>
    </row>
    <row r="837" hidden="1">
      <c r="F837" s="20" t="s">
        <v>377</v>
      </c>
    </row>
    <row r="838" hidden="1">
      <c r="F838" s="20" t="s">
        <v>63</v>
      </c>
    </row>
    <row r="839">
      <c r="F839" s="20" t="s">
        <v>230</v>
      </c>
    </row>
    <row r="840" hidden="1">
      <c r="F840" s="20" t="s">
        <v>43</v>
      </c>
    </row>
    <row r="841" hidden="1">
      <c r="F841" s="20" t="s">
        <v>378</v>
      </c>
    </row>
    <row r="842" hidden="1">
      <c r="F842" s="20" t="s">
        <v>379</v>
      </c>
    </row>
    <row r="843" hidden="1">
      <c r="F843" s="20" t="s">
        <v>31</v>
      </c>
    </row>
    <row r="844" hidden="1">
      <c r="F844" s="20" t="s">
        <v>380</v>
      </c>
    </row>
    <row r="845" hidden="1">
      <c r="F845" s="20" t="s">
        <v>381</v>
      </c>
    </row>
    <row r="846" hidden="1">
      <c r="F846" s="20" t="s">
        <v>23</v>
      </c>
    </row>
    <row r="847" hidden="1">
      <c r="F847" s="20" t="s">
        <v>29</v>
      </c>
    </row>
    <row r="848" hidden="1">
      <c r="F848" s="20" t="s">
        <v>23</v>
      </c>
    </row>
    <row r="849" hidden="1">
      <c r="F849" s="20" t="s">
        <v>25</v>
      </c>
    </row>
    <row r="850">
      <c r="F850" s="20" t="s">
        <v>230</v>
      </c>
    </row>
    <row r="851" hidden="1">
      <c r="F851" s="20" t="s">
        <v>260</v>
      </c>
    </row>
    <row r="852" hidden="1">
      <c r="F852" s="20" t="s">
        <v>216</v>
      </c>
    </row>
    <row r="853">
      <c r="F853" s="20" t="s">
        <v>194</v>
      </c>
    </row>
    <row r="854" hidden="1">
      <c r="F854" s="20" t="s">
        <v>77</v>
      </c>
    </row>
    <row r="855" hidden="1">
      <c r="F855" s="20" t="s">
        <v>382</v>
      </c>
    </row>
    <row r="856">
      <c r="F856" s="20" t="s">
        <v>383</v>
      </c>
    </row>
    <row r="857">
      <c r="F857" s="20" t="s">
        <v>194</v>
      </c>
    </row>
    <row r="858" hidden="1">
      <c r="F858" s="20" t="s">
        <v>188</v>
      </c>
    </row>
    <row r="859" hidden="1">
      <c r="F859" s="20" t="s">
        <v>222</v>
      </c>
    </row>
    <row r="860" hidden="1">
      <c r="F860" s="20" t="s">
        <v>66</v>
      </c>
    </row>
    <row r="861" hidden="1">
      <c r="F861" s="20" t="s">
        <v>384</v>
      </c>
    </row>
    <row r="862" hidden="1">
      <c r="F862" s="20" t="s">
        <v>29</v>
      </c>
    </row>
    <row r="863" hidden="1">
      <c r="F863" s="20" t="s">
        <v>173</v>
      </c>
    </row>
    <row r="864" hidden="1">
      <c r="F864" s="20" t="s">
        <v>103</v>
      </c>
    </row>
    <row r="865" hidden="1">
      <c r="F865" s="20" t="s">
        <v>105</v>
      </c>
    </row>
    <row r="866" hidden="1">
      <c r="F866" s="20" t="s">
        <v>77</v>
      </c>
    </row>
    <row r="867" hidden="1">
      <c r="F867" s="20" t="s">
        <v>23</v>
      </c>
    </row>
    <row r="868" hidden="1">
      <c r="F868" s="20" t="s">
        <v>25</v>
      </c>
    </row>
    <row r="869" hidden="1">
      <c r="F869" s="20" t="s">
        <v>199</v>
      </c>
    </row>
    <row r="870" hidden="1">
      <c r="F870" s="20" t="s">
        <v>74</v>
      </c>
    </row>
    <row r="871" hidden="1">
      <c r="F871" s="20" t="s">
        <v>368</v>
      </c>
    </row>
    <row r="872" hidden="1">
      <c r="F872" s="20" t="s">
        <v>316</v>
      </c>
    </row>
    <row r="873" hidden="1">
      <c r="F873" s="20" t="s">
        <v>54</v>
      </c>
    </row>
    <row r="874" hidden="1">
      <c r="F874" s="20" t="s">
        <v>18</v>
      </c>
    </row>
    <row r="875">
      <c r="F875" s="20" t="s">
        <v>128</v>
      </c>
    </row>
    <row r="876" hidden="1">
      <c r="F876" s="20" t="s">
        <v>183</v>
      </c>
    </row>
    <row r="877" hidden="1">
      <c r="F877" s="20" t="s">
        <v>215</v>
      </c>
    </row>
    <row r="878" hidden="1">
      <c r="F878" s="20" t="s">
        <v>385</v>
      </c>
    </row>
    <row r="879" hidden="1">
      <c r="F879" s="20" t="s">
        <v>132</v>
      </c>
    </row>
    <row r="880">
      <c r="F880" s="20" t="s">
        <v>386</v>
      </c>
    </row>
    <row r="881" hidden="1">
      <c r="F881" s="20" t="s">
        <v>387</v>
      </c>
    </row>
    <row r="882" hidden="1">
      <c r="F882" s="20" t="s">
        <v>114</v>
      </c>
    </row>
    <row r="883" hidden="1">
      <c r="F883" s="20" t="s">
        <v>54</v>
      </c>
    </row>
    <row r="884" hidden="1">
      <c r="F884" s="20" t="s">
        <v>388</v>
      </c>
    </row>
    <row r="885" hidden="1">
      <c r="F885" s="20" t="s">
        <v>389</v>
      </c>
    </row>
    <row r="886">
      <c r="F886" s="20" t="s">
        <v>128</v>
      </c>
    </row>
    <row r="887" hidden="1">
      <c r="F887" s="20" t="s">
        <v>390</v>
      </c>
    </row>
    <row r="888" hidden="1">
      <c r="F888" s="20" t="s">
        <v>189</v>
      </c>
    </row>
    <row r="889" hidden="1">
      <c r="F889" s="20" t="s">
        <v>29</v>
      </c>
    </row>
    <row r="890">
      <c r="F890" s="20" t="s">
        <v>194</v>
      </c>
    </row>
    <row r="891">
      <c r="F891" s="20" t="s">
        <v>128</v>
      </c>
    </row>
    <row r="892" hidden="1">
      <c r="F892" s="20" t="s">
        <v>173</v>
      </c>
    </row>
    <row r="893" hidden="1">
      <c r="F893" s="20" t="s">
        <v>391</v>
      </c>
    </row>
    <row r="894" hidden="1">
      <c r="F894" s="20" t="s">
        <v>215</v>
      </c>
    </row>
    <row r="895" hidden="1">
      <c r="F895" s="20" t="s">
        <v>54</v>
      </c>
    </row>
    <row r="896" hidden="1">
      <c r="F896" s="20" t="s">
        <v>77</v>
      </c>
    </row>
    <row r="897" hidden="1">
      <c r="F897" s="20" t="s">
        <v>306</v>
      </c>
    </row>
    <row r="898" hidden="1">
      <c r="F898" s="20" t="s">
        <v>103</v>
      </c>
    </row>
    <row r="899" hidden="1">
      <c r="F899" s="20" t="s">
        <v>392</v>
      </c>
    </row>
    <row r="900" hidden="1">
      <c r="F900" s="20" t="s">
        <v>190</v>
      </c>
    </row>
    <row r="901">
      <c r="F901" s="20" t="s">
        <v>393</v>
      </c>
    </row>
    <row r="902" hidden="1">
      <c r="F902" s="20" t="s">
        <v>173</v>
      </c>
    </row>
    <row r="903" hidden="1">
      <c r="F903" s="20" t="s">
        <v>394</v>
      </c>
    </row>
    <row r="904" hidden="1">
      <c r="F904" s="20" t="s">
        <v>92</v>
      </c>
    </row>
    <row r="905" hidden="1">
      <c r="F905" s="20" t="s">
        <v>23</v>
      </c>
    </row>
    <row r="906" hidden="1">
      <c r="F906" s="20" t="s">
        <v>39</v>
      </c>
    </row>
    <row r="907" hidden="1">
      <c r="F907" s="20" t="s">
        <v>66</v>
      </c>
    </row>
    <row r="908" hidden="1">
      <c r="F908" s="20" t="s">
        <v>395</v>
      </c>
    </row>
    <row r="909" hidden="1">
      <c r="F909" s="20" t="s">
        <v>396</v>
      </c>
    </row>
    <row r="910" hidden="1">
      <c r="F910" s="20" t="s">
        <v>397</v>
      </c>
    </row>
    <row r="911">
      <c r="F911" s="20" t="s">
        <v>398</v>
      </c>
    </row>
    <row r="912">
      <c r="F912" s="20" t="s">
        <v>128</v>
      </c>
    </row>
    <row r="913" hidden="1">
      <c r="F913" s="20" t="s">
        <v>103</v>
      </c>
    </row>
    <row r="914" hidden="1">
      <c r="F914" s="20" t="s">
        <v>222</v>
      </c>
    </row>
    <row r="915" hidden="1">
      <c r="F915" s="20" t="s">
        <v>31</v>
      </c>
    </row>
    <row r="916" hidden="1">
      <c r="F916" s="20" t="s">
        <v>399</v>
      </c>
    </row>
    <row r="917" hidden="1">
      <c r="F917" s="20" t="s">
        <v>400</v>
      </c>
    </row>
    <row r="918" hidden="1">
      <c r="F918" s="20" t="s">
        <v>295</v>
      </c>
    </row>
    <row r="919" hidden="1">
      <c r="F919" s="20" t="s">
        <v>18</v>
      </c>
    </row>
    <row r="920">
      <c r="F920" s="20" t="s">
        <v>44</v>
      </c>
    </row>
    <row r="921" hidden="1">
      <c r="F921" s="20" t="s">
        <v>103</v>
      </c>
    </row>
    <row r="922" hidden="1">
      <c r="F922" s="20" t="s">
        <v>66</v>
      </c>
    </row>
    <row r="923" hidden="1">
      <c r="F923" s="20" t="s">
        <v>401</v>
      </c>
    </row>
    <row r="924" hidden="1">
      <c r="F924" s="20" t="s">
        <v>402</v>
      </c>
    </row>
    <row r="925" hidden="1">
      <c r="F925" s="20" t="s">
        <v>59</v>
      </c>
    </row>
    <row r="926" hidden="1">
      <c r="F926" s="20" t="s">
        <v>25</v>
      </c>
    </row>
    <row r="927" hidden="1">
      <c r="F927" s="20" t="s">
        <v>29</v>
      </c>
    </row>
    <row r="928" hidden="1">
      <c r="F928" s="20" t="s">
        <v>86</v>
      </c>
    </row>
    <row r="929" hidden="1">
      <c r="F929" s="20" t="s">
        <v>403</v>
      </c>
    </row>
    <row r="930" hidden="1">
      <c r="F930" s="20" t="s">
        <v>404</v>
      </c>
    </row>
    <row r="931" hidden="1">
      <c r="F931" s="20" t="s">
        <v>338</v>
      </c>
    </row>
    <row r="932" hidden="1">
      <c r="F932" s="20" t="s">
        <v>248</v>
      </c>
    </row>
    <row r="933" hidden="1">
      <c r="F933" s="20" t="s">
        <v>159</v>
      </c>
    </row>
    <row r="934" hidden="1">
      <c r="F934" s="20" t="s">
        <v>405</v>
      </c>
    </row>
    <row r="935" hidden="1">
      <c r="F935" s="20" t="s">
        <v>406</v>
      </c>
    </row>
    <row r="936" hidden="1">
      <c r="F936" s="20" t="s">
        <v>52</v>
      </c>
    </row>
    <row r="937" hidden="1">
      <c r="F937" s="20" t="s">
        <v>311</v>
      </c>
    </row>
    <row r="938" hidden="1">
      <c r="F938" s="20" t="s">
        <v>103</v>
      </c>
    </row>
    <row r="939" hidden="1">
      <c r="F939" s="20" t="s">
        <v>30</v>
      </c>
    </row>
    <row r="940" hidden="1">
      <c r="F940" s="20" t="s">
        <v>317</v>
      </c>
    </row>
    <row r="941" hidden="1">
      <c r="F941" s="20" t="s">
        <v>407</v>
      </c>
    </row>
    <row r="942" hidden="1">
      <c r="F942" s="20" t="s">
        <v>157</v>
      </c>
    </row>
    <row r="943" hidden="1">
      <c r="F943" s="20" t="s">
        <v>408</v>
      </c>
    </row>
    <row r="944" hidden="1">
      <c r="F944" s="20" t="s">
        <v>409</v>
      </c>
    </row>
    <row r="945">
      <c r="F945" s="20" t="s">
        <v>168</v>
      </c>
    </row>
    <row r="946" hidden="1">
      <c r="F946" s="20" t="s">
        <v>103</v>
      </c>
    </row>
    <row r="947" hidden="1">
      <c r="F947" s="20" t="s">
        <v>331</v>
      </c>
    </row>
    <row r="948" hidden="1">
      <c r="F948" s="20" t="s">
        <v>382</v>
      </c>
    </row>
    <row r="949">
      <c r="F949" s="20" t="s">
        <v>410</v>
      </c>
    </row>
    <row r="950" hidden="1">
      <c r="F950" s="20" t="s">
        <v>411</v>
      </c>
    </row>
    <row r="951">
      <c r="F951" s="20" t="s">
        <v>128</v>
      </c>
    </row>
    <row r="952" hidden="1">
      <c r="F952" s="20" t="s">
        <v>29</v>
      </c>
    </row>
    <row r="953" hidden="1">
      <c r="F953" s="20" t="s">
        <v>119</v>
      </c>
    </row>
    <row r="954" hidden="1">
      <c r="F954" s="20" t="s">
        <v>351</v>
      </c>
    </row>
    <row r="955" hidden="1">
      <c r="F955" s="20" t="s">
        <v>412</v>
      </c>
    </row>
    <row r="956" hidden="1">
      <c r="F956" s="20" t="s">
        <v>57</v>
      </c>
    </row>
    <row r="957" hidden="1">
      <c r="F957" s="20" t="s">
        <v>413</v>
      </c>
    </row>
    <row r="958" hidden="1">
      <c r="F958" s="20" t="s">
        <v>103</v>
      </c>
    </row>
    <row r="959" hidden="1">
      <c r="F959" s="20" t="s">
        <v>192</v>
      </c>
    </row>
    <row r="960" hidden="1">
      <c r="F960" s="20" t="s">
        <v>103</v>
      </c>
    </row>
    <row r="961" hidden="1">
      <c r="F961" s="20" t="s">
        <v>241</v>
      </c>
    </row>
    <row r="962">
      <c r="F962" s="20" t="s">
        <v>194</v>
      </c>
    </row>
    <row r="963" hidden="1">
      <c r="F963" s="20" t="s">
        <v>77</v>
      </c>
    </row>
    <row r="964" hidden="1">
      <c r="F964" s="20" t="s">
        <v>414</v>
      </c>
    </row>
    <row r="965" hidden="1">
      <c r="F965" s="20" t="s">
        <v>415</v>
      </c>
    </row>
    <row r="966" hidden="1">
      <c r="F966" s="20" t="s">
        <v>86</v>
      </c>
    </row>
    <row r="967">
      <c r="F967" s="20" t="s">
        <v>281</v>
      </c>
    </row>
    <row r="968" hidden="1">
      <c r="F968" s="20" t="s">
        <v>66</v>
      </c>
    </row>
    <row r="969" hidden="1">
      <c r="F969" s="20" t="s">
        <v>23</v>
      </c>
    </row>
    <row r="970" hidden="1">
      <c r="F970" s="20" t="s">
        <v>77</v>
      </c>
    </row>
    <row r="971" hidden="1">
      <c r="F971" s="20" t="s">
        <v>76</v>
      </c>
    </row>
    <row r="972">
      <c r="F972" s="20" t="s">
        <v>94</v>
      </c>
    </row>
    <row r="973">
      <c r="F973" s="20" t="s">
        <v>416</v>
      </c>
    </row>
    <row r="974" hidden="1">
      <c r="F974" s="20" t="s">
        <v>417</v>
      </c>
    </row>
    <row r="975" hidden="1">
      <c r="F975" s="20" t="s">
        <v>404</v>
      </c>
    </row>
    <row r="976" hidden="1">
      <c r="F976" s="20" t="s">
        <v>418</v>
      </c>
    </row>
    <row r="977" hidden="1">
      <c r="F977" s="20" t="s">
        <v>419</v>
      </c>
    </row>
    <row r="978" hidden="1">
      <c r="F978" s="20" t="s">
        <v>420</v>
      </c>
    </row>
    <row r="979" hidden="1">
      <c r="F979" s="20" t="s">
        <v>284</v>
      </c>
    </row>
    <row r="980" hidden="1">
      <c r="F980" s="20" t="s">
        <v>421</v>
      </c>
    </row>
    <row r="981" hidden="1">
      <c r="F981" s="20" t="s">
        <v>134</v>
      </c>
    </row>
    <row r="982" hidden="1">
      <c r="F982" s="20" t="s">
        <v>222</v>
      </c>
    </row>
    <row r="983" hidden="1">
      <c r="F983" s="20" t="s">
        <v>422</v>
      </c>
    </row>
    <row r="984">
      <c r="F984" s="20" t="s">
        <v>128</v>
      </c>
    </row>
    <row r="985" hidden="1">
      <c r="F985" s="20" t="s">
        <v>199</v>
      </c>
    </row>
    <row r="986">
      <c r="F986" s="20" t="s">
        <v>423</v>
      </c>
    </row>
    <row r="987" hidden="1">
      <c r="F987" s="20" t="s">
        <v>424</v>
      </c>
    </row>
    <row r="988" hidden="1">
      <c r="F988" s="20" t="s">
        <v>77</v>
      </c>
    </row>
    <row r="989" hidden="1">
      <c r="F989" s="20" t="s">
        <v>53</v>
      </c>
    </row>
    <row r="990">
      <c r="F990" s="20" t="s">
        <v>425</v>
      </c>
    </row>
    <row r="991" hidden="1">
      <c r="F991" s="20" t="s">
        <v>119</v>
      </c>
    </row>
    <row r="992" hidden="1">
      <c r="F992" s="20" t="s">
        <v>426</v>
      </c>
    </row>
    <row r="993" hidden="1">
      <c r="F993" s="20" t="s">
        <v>427</v>
      </c>
    </row>
    <row r="994" hidden="1">
      <c r="F994" s="20" t="s">
        <v>428</v>
      </c>
    </row>
    <row r="995" hidden="1">
      <c r="F995" s="20" t="s">
        <v>262</v>
      </c>
    </row>
    <row r="996" hidden="1">
      <c r="F996" s="20" t="s">
        <v>429</v>
      </c>
    </row>
    <row r="997" hidden="1">
      <c r="F997" s="20" t="s">
        <v>45</v>
      </c>
    </row>
    <row r="998">
      <c r="F998" s="20" t="s">
        <v>194</v>
      </c>
    </row>
    <row r="999" hidden="1">
      <c r="F999" s="20" t="s">
        <v>430</v>
      </c>
    </row>
    <row r="1000" hidden="1">
      <c r="F1000" s="20" t="s">
        <v>86</v>
      </c>
    </row>
    <row r="1001" hidden="1">
      <c r="F1001" s="20" t="s">
        <v>37</v>
      </c>
    </row>
    <row r="1002" hidden="1">
      <c r="F1002" s="20" t="s">
        <v>105</v>
      </c>
    </row>
    <row r="1003" hidden="1">
      <c r="F1003" s="20" t="s">
        <v>222</v>
      </c>
    </row>
    <row r="1004" hidden="1">
      <c r="F1004" s="20" t="s">
        <v>29</v>
      </c>
    </row>
    <row r="1005" hidden="1">
      <c r="F1005" s="20" t="s">
        <v>422</v>
      </c>
    </row>
    <row r="1006" hidden="1">
      <c r="F1006" s="20" t="s">
        <v>280</v>
      </c>
    </row>
    <row r="1007" hidden="1">
      <c r="F1007" s="20" t="s">
        <v>122</v>
      </c>
    </row>
    <row r="1008" hidden="1">
      <c r="F1008" s="20" t="s">
        <v>295</v>
      </c>
    </row>
    <row r="1009" hidden="1">
      <c r="F1009" s="20" t="s">
        <v>66</v>
      </c>
    </row>
    <row r="1010">
      <c r="F1010" s="20" t="s">
        <v>147</v>
      </c>
    </row>
    <row r="1011" hidden="1">
      <c r="F1011" s="20" t="s">
        <v>431</v>
      </c>
    </row>
    <row r="1012">
      <c r="F1012" s="20" t="s">
        <v>258</v>
      </c>
    </row>
    <row r="1013" hidden="1">
      <c r="F1013" s="20" t="s">
        <v>105</v>
      </c>
    </row>
    <row r="1014" hidden="1">
      <c r="F1014" s="20" t="s">
        <v>214</v>
      </c>
    </row>
    <row r="1015" hidden="1">
      <c r="F1015" s="20" t="s">
        <v>103</v>
      </c>
    </row>
    <row r="1016">
      <c r="F1016" s="20" t="s">
        <v>432</v>
      </c>
    </row>
    <row r="1017" hidden="1">
      <c r="F1017" s="20" t="s">
        <v>103</v>
      </c>
    </row>
    <row r="1018" hidden="1">
      <c r="F1018" s="20" t="s">
        <v>394</v>
      </c>
    </row>
    <row r="1019" hidden="1">
      <c r="F1019" s="20" t="s">
        <v>23</v>
      </c>
    </row>
    <row r="1020" hidden="1">
      <c r="F1020" s="20" t="s">
        <v>86</v>
      </c>
    </row>
    <row r="1021" hidden="1">
      <c r="F1021" s="20" t="s">
        <v>74</v>
      </c>
    </row>
    <row r="1022" hidden="1">
      <c r="F1022" s="20" t="s">
        <v>77</v>
      </c>
    </row>
    <row r="1023" hidden="1">
      <c r="F1023" s="20" t="s">
        <v>300</v>
      </c>
    </row>
    <row r="1024" hidden="1">
      <c r="F1024" s="20" t="s">
        <v>433</v>
      </c>
    </row>
    <row r="1025" hidden="1">
      <c r="F1025" s="20" t="s">
        <v>86</v>
      </c>
    </row>
    <row r="1026" hidden="1">
      <c r="F1026" s="20" t="s">
        <v>23</v>
      </c>
    </row>
    <row r="1027" hidden="1">
      <c r="F1027" s="20" t="s">
        <v>183</v>
      </c>
    </row>
    <row r="1028" hidden="1">
      <c r="F1028" s="20" t="s">
        <v>23</v>
      </c>
    </row>
    <row r="1029" hidden="1">
      <c r="F1029" s="20" t="s">
        <v>349</v>
      </c>
    </row>
    <row r="1030">
      <c r="F1030" s="20" t="s">
        <v>434</v>
      </c>
    </row>
    <row r="1031" hidden="1">
      <c r="F1031" s="20" t="s">
        <v>29</v>
      </c>
    </row>
    <row r="1032" hidden="1">
      <c r="F1032" s="20" t="s">
        <v>280</v>
      </c>
    </row>
    <row r="1033" hidden="1">
      <c r="F1033" s="20" t="s">
        <v>435</v>
      </c>
    </row>
    <row r="1034">
      <c r="F1034" s="20" t="s">
        <v>436</v>
      </c>
    </row>
    <row r="1035">
      <c r="F1035" s="20" t="s">
        <v>437</v>
      </c>
    </row>
    <row r="1036" hidden="1">
      <c r="F1036" s="20" t="s">
        <v>29</v>
      </c>
    </row>
    <row r="1037" hidden="1">
      <c r="F1037" s="20" t="s">
        <v>54</v>
      </c>
    </row>
    <row r="1038" hidden="1">
      <c r="F1038" s="20" t="s">
        <v>199</v>
      </c>
    </row>
    <row r="1039" hidden="1">
      <c r="F1039" s="20" t="s">
        <v>199</v>
      </c>
    </row>
    <row r="1040" hidden="1">
      <c r="F1040" s="20" t="s">
        <v>438</v>
      </c>
    </row>
    <row r="1041" hidden="1">
      <c r="F1041" s="20" t="s">
        <v>56</v>
      </c>
    </row>
    <row r="1042" hidden="1">
      <c r="F1042" s="20" t="s">
        <v>31</v>
      </c>
    </row>
    <row r="1043" hidden="1">
      <c r="F1043" s="20" t="s">
        <v>29</v>
      </c>
    </row>
    <row r="1044" hidden="1">
      <c r="F1044" s="20" t="s">
        <v>176</v>
      </c>
    </row>
    <row r="1045">
      <c r="F1045" s="20" t="s">
        <v>194</v>
      </c>
    </row>
    <row r="1046" hidden="1">
      <c r="F1046" s="20" t="s">
        <v>77</v>
      </c>
    </row>
    <row r="1047">
      <c r="F1047" s="20" t="s">
        <v>44</v>
      </c>
    </row>
    <row r="1048" hidden="1">
      <c r="F1048" s="20" t="s">
        <v>362</v>
      </c>
    </row>
    <row r="1049">
      <c r="F1049" s="20" t="s">
        <v>439</v>
      </c>
    </row>
    <row r="1050">
      <c r="F1050" s="20" t="s">
        <v>44</v>
      </c>
    </row>
    <row r="1051" hidden="1">
      <c r="F1051" s="20" t="s">
        <v>440</v>
      </c>
    </row>
    <row r="1052" hidden="1">
      <c r="F1052" s="20" t="s">
        <v>441</v>
      </c>
    </row>
    <row r="1053" hidden="1">
      <c r="F1053" s="20" t="s">
        <v>77</v>
      </c>
    </row>
    <row r="1054" hidden="1">
      <c r="F1054" s="20" t="s">
        <v>284</v>
      </c>
    </row>
    <row r="1055" hidden="1">
      <c r="F1055" s="20" t="s">
        <v>38</v>
      </c>
    </row>
    <row r="1056" hidden="1">
      <c r="F1056" s="20" t="s">
        <v>53</v>
      </c>
    </row>
    <row r="1057" hidden="1">
      <c r="F1057" s="20" t="s">
        <v>442</v>
      </c>
    </row>
    <row r="1058">
      <c r="F1058" s="20" t="s">
        <v>230</v>
      </c>
    </row>
    <row r="1059" hidden="1">
      <c r="F1059" s="20" t="s">
        <v>159</v>
      </c>
    </row>
    <row r="1060" hidden="1">
      <c r="F1060" s="20" t="s">
        <v>77</v>
      </c>
    </row>
    <row r="1061" hidden="1">
      <c r="F1061" s="20" t="s">
        <v>443</v>
      </c>
    </row>
    <row r="1062" hidden="1">
      <c r="F1062" s="20" t="s">
        <v>444</v>
      </c>
    </row>
    <row r="1063" hidden="1">
      <c r="F1063" s="20" t="s">
        <v>199</v>
      </c>
    </row>
    <row r="1064" hidden="1">
      <c r="F1064" s="20" t="s">
        <v>66</v>
      </c>
    </row>
    <row r="1065">
      <c r="F1065" s="20" t="s">
        <v>445</v>
      </c>
    </row>
    <row r="1066" hidden="1">
      <c r="F1066" s="20" t="s">
        <v>31</v>
      </c>
    </row>
    <row r="1067" hidden="1">
      <c r="F1067" s="20" t="s">
        <v>119</v>
      </c>
    </row>
    <row r="1068" hidden="1">
      <c r="F1068" s="20" t="s">
        <v>103</v>
      </c>
    </row>
    <row r="1069" hidden="1">
      <c r="F1069" s="20" t="s">
        <v>119</v>
      </c>
    </row>
    <row r="1070">
      <c r="F1070" s="20" t="s">
        <v>446</v>
      </c>
    </row>
    <row r="1071" hidden="1">
      <c r="F1071" s="20" t="s">
        <v>447</v>
      </c>
    </row>
    <row r="1072">
      <c r="F1072" s="20" t="s">
        <v>448</v>
      </c>
    </row>
    <row r="1073" hidden="1">
      <c r="F1073" s="20" t="s">
        <v>103</v>
      </c>
    </row>
    <row r="1074" hidden="1">
      <c r="F1074" s="20" t="s">
        <v>66</v>
      </c>
    </row>
    <row r="1075" hidden="1">
      <c r="F1075" s="20" t="s">
        <v>449</v>
      </c>
    </row>
    <row r="1076">
      <c r="F1076" s="20" t="s">
        <v>450</v>
      </c>
    </row>
    <row r="1077">
      <c r="F1077" s="20" t="s">
        <v>450</v>
      </c>
    </row>
    <row r="1078" hidden="1">
      <c r="F1078" s="20" t="s">
        <v>157</v>
      </c>
    </row>
    <row r="1079" hidden="1">
      <c r="F1079" s="20" t="s">
        <v>309</v>
      </c>
    </row>
    <row r="1080">
      <c r="F1080" s="20" t="s">
        <v>341</v>
      </c>
    </row>
    <row r="1081" hidden="1">
      <c r="F1081" s="20" t="s">
        <v>103</v>
      </c>
    </row>
    <row r="1082" hidden="1">
      <c r="F1082" s="20" t="s">
        <v>451</v>
      </c>
    </row>
    <row r="1083" hidden="1">
      <c r="F1083" s="20" t="s">
        <v>395</v>
      </c>
    </row>
    <row r="1084" hidden="1">
      <c r="F1084" s="20" t="s">
        <v>452</v>
      </c>
    </row>
    <row r="1085">
      <c r="F1085" s="20" t="s">
        <v>453</v>
      </c>
    </row>
    <row r="1086" hidden="1">
      <c r="F1086" s="20" t="s">
        <v>454</v>
      </c>
    </row>
    <row r="1087">
      <c r="F1087" s="20" t="s">
        <v>455</v>
      </c>
    </row>
    <row r="1088" hidden="1">
      <c r="F1088" s="20" t="s">
        <v>157</v>
      </c>
    </row>
    <row r="1089" hidden="1">
      <c r="F1089" s="20" t="s">
        <v>92</v>
      </c>
    </row>
    <row r="1090">
      <c r="F1090" s="20" t="s">
        <v>456</v>
      </c>
    </row>
    <row r="1091" hidden="1">
      <c r="F1091" s="20" t="s">
        <v>86</v>
      </c>
    </row>
    <row r="1092" hidden="1">
      <c r="F1092" s="20" t="s">
        <v>457</v>
      </c>
    </row>
    <row r="1093" hidden="1">
      <c r="F1093" s="20" t="s">
        <v>368</v>
      </c>
    </row>
    <row r="1094" hidden="1">
      <c r="F1094" s="20" t="s">
        <v>458</v>
      </c>
    </row>
    <row r="1095" hidden="1">
      <c r="F1095" s="20" t="s">
        <v>459</v>
      </c>
    </row>
    <row r="1096" hidden="1">
      <c r="F1096" s="20" t="s">
        <v>176</v>
      </c>
    </row>
    <row r="1097" hidden="1">
      <c r="F1097" s="20" t="s">
        <v>199</v>
      </c>
    </row>
    <row r="1098">
      <c r="F1098" s="20" t="s">
        <v>460</v>
      </c>
    </row>
    <row r="1099" hidden="1">
      <c r="F1099" s="20" t="s">
        <v>18</v>
      </c>
    </row>
    <row r="1100" hidden="1">
      <c r="F1100" s="20" t="s">
        <v>222</v>
      </c>
    </row>
    <row r="1101" hidden="1">
      <c r="F1101" s="20" t="s">
        <v>49</v>
      </c>
    </row>
    <row r="1102" hidden="1">
      <c r="F1102" s="20" t="s">
        <v>38</v>
      </c>
    </row>
    <row r="1103" hidden="1">
      <c r="F1103" s="20" t="s">
        <v>199</v>
      </c>
    </row>
    <row r="1104" hidden="1">
      <c r="F1104" s="20" t="s">
        <v>59</v>
      </c>
    </row>
    <row r="1105" hidden="1">
      <c r="F1105" s="20" t="s">
        <v>119</v>
      </c>
    </row>
    <row r="1106" hidden="1">
      <c r="F1106" s="20" t="s">
        <v>212</v>
      </c>
    </row>
    <row r="1107" hidden="1">
      <c r="F1107" s="20" t="s">
        <v>215</v>
      </c>
    </row>
    <row r="1108" hidden="1">
      <c r="F1108" s="20" t="s">
        <v>199</v>
      </c>
    </row>
    <row r="1109" hidden="1">
      <c r="F1109" s="20" t="s">
        <v>461</v>
      </c>
    </row>
    <row r="1110" hidden="1">
      <c r="F1110" s="20" t="s">
        <v>66</v>
      </c>
    </row>
    <row r="1111" hidden="1">
      <c r="F1111" s="20" t="s">
        <v>462</v>
      </c>
    </row>
    <row r="1112" hidden="1">
      <c r="F1112" s="20" t="s">
        <v>31</v>
      </c>
    </row>
    <row r="1113">
      <c r="F1113" s="20" t="s">
        <v>463</v>
      </c>
    </row>
    <row r="1114" hidden="1">
      <c r="F1114" s="20" t="s">
        <v>86</v>
      </c>
    </row>
    <row r="1115" hidden="1">
      <c r="F1115" s="20" t="s">
        <v>440</v>
      </c>
    </row>
    <row r="1116" hidden="1">
      <c r="F1116" s="20" t="s">
        <v>18</v>
      </c>
    </row>
    <row r="1117" hidden="1">
      <c r="F1117" s="20" t="s">
        <v>132</v>
      </c>
    </row>
    <row r="1118" hidden="1">
      <c r="F1118" s="20" t="s">
        <v>284</v>
      </c>
    </row>
    <row r="1119" hidden="1">
      <c r="F1119" s="20" t="s">
        <v>52</v>
      </c>
    </row>
    <row r="1120" hidden="1">
      <c r="F1120" s="20" t="s">
        <v>66</v>
      </c>
    </row>
    <row r="1121" hidden="1">
      <c r="F1121" s="20" t="s">
        <v>199</v>
      </c>
    </row>
    <row r="1122" hidden="1">
      <c r="F1122" s="20" t="s">
        <v>464</v>
      </c>
    </row>
    <row r="1123">
      <c r="F1123" s="20" t="s">
        <v>341</v>
      </c>
    </row>
    <row r="1124">
      <c r="F1124" s="20" t="s">
        <v>44</v>
      </c>
    </row>
    <row r="1125" hidden="1">
      <c r="F1125" s="20" t="s">
        <v>338</v>
      </c>
    </row>
    <row r="1126" hidden="1">
      <c r="F1126" s="20" t="s">
        <v>292</v>
      </c>
    </row>
    <row r="1127" hidden="1">
      <c r="F1127" s="20" t="s">
        <v>53</v>
      </c>
    </row>
    <row r="1128" hidden="1">
      <c r="F1128" s="20" t="s">
        <v>25</v>
      </c>
    </row>
    <row r="1129" hidden="1">
      <c r="F1129" s="20" t="s">
        <v>23</v>
      </c>
    </row>
    <row r="1130" hidden="1">
      <c r="F1130" s="20" t="s">
        <v>461</v>
      </c>
    </row>
    <row r="1131">
      <c r="F1131" s="20" t="s">
        <v>44</v>
      </c>
    </row>
    <row r="1132" hidden="1">
      <c r="F1132" s="20" t="s">
        <v>30</v>
      </c>
    </row>
    <row r="1133">
      <c r="F1133" s="20" t="s">
        <v>465</v>
      </c>
    </row>
    <row r="1134" hidden="1">
      <c r="F1134" s="20" t="s">
        <v>132</v>
      </c>
    </row>
    <row r="1135" hidden="1">
      <c r="F1135" s="20" t="s">
        <v>66</v>
      </c>
    </row>
    <row r="1136" hidden="1">
      <c r="F1136" s="20" t="s">
        <v>37</v>
      </c>
    </row>
    <row r="1137" hidden="1">
      <c r="F1137" s="20" t="s">
        <v>25</v>
      </c>
    </row>
    <row r="1138" hidden="1">
      <c r="F1138" s="20" t="s">
        <v>77</v>
      </c>
    </row>
    <row r="1139" hidden="1">
      <c r="F1139" s="20" t="s">
        <v>466</v>
      </c>
    </row>
    <row r="1140" hidden="1">
      <c r="F1140" s="20" t="s">
        <v>23</v>
      </c>
    </row>
    <row r="1141" hidden="1">
      <c r="F1141" s="20" t="s">
        <v>103</v>
      </c>
    </row>
    <row r="1142">
      <c r="F1142" s="20" t="s">
        <v>467</v>
      </c>
    </row>
    <row r="1143" hidden="1">
      <c r="F1143" s="20" t="s">
        <v>31</v>
      </c>
    </row>
    <row r="1144" hidden="1">
      <c r="F1144" s="20" t="s">
        <v>77</v>
      </c>
    </row>
    <row r="1145" hidden="1">
      <c r="F1145" s="20" t="s">
        <v>185</v>
      </c>
    </row>
    <row r="1146" hidden="1">
      <c r="F1146" s="20" t="s">
        <v>468</v>
      </c>
    </row>
    <row r="1147" hidden="1">
      <c r="F1147" s="20" t="s">
        <v>469</v>
      </c>
    </row>
    <row r="1148" hidden="1">
      <c r="F1148" s="20" t="s">
        <v>470</v>
      </c>
    </row>
    <row r="1149" hidden="1">
      <c r="F1149" s="20" t="s">
        <v>31</v>
      </c>
    </row>
    <row r="1150" hidden="1">
      <c r="F1150" s="20" t="s">
        <v>471</v>
      </c>
    </row>
    <row r="1151" hidden="1">
      <c r="F1151" s="20" t="s">
        <v>23</v>
      </c>
    </row>
    <row r="1152" hidden="1">
      <c r="F1152" s="20" t="s">
        <v>472</v>
      </c>
    </row>
    <row r="1153" hidden="1">
      <c r="F1153" s="20" t="s">
        <v>23</v>
      </c>
    </row>
    <row r="1154" hidden="1">
      <c r="F1154" s="20" t="s">
        <v>23</v>
      </c>
    </row>
    <row r="1155" hidden="1">
      <c r="F1155" s="20" t="s">
        <v>473</v>
      </c>
    </row>
    <row r="1156" hidden="1">
      <c r="F1156" s="20" t="s">
        <v>66</v>
      </c>
    </row>
    <row r="1157" hidden="1">
      <c r="F1157" s="20" t="s">
        <v>103</v>
      </c>
    </row>
    <row r="1158" hidden="1">
      <c r="F1158" s="20" t="s">
        <v>474</v>
      </c>
    </row>
    <row r="1159" hidden="1">
      <c r="F1159" s="20" t="s">
        <v>222</v>
      </c>
    </row>
    <row r="1160" hidden="1"/>
    <row r="1161" hidden="1"/>
    <row r="1162" hidden="1"/>
    <row r="1163" hidden="1"/>
    <row r="1164" hidden="1"/>
    <row r="1165" hidden="1"/>
    <row r="1166" hidden="1"/>
    <row r="1167" hidden="1"/>
    <row r="1168" hidden="1"/>
    <row r="1169" hidden="1"/>
    <row r="1170" hidden="1"/>
    <row r="1171" hidden="1"/>
    <row r="1172" hidden="1"/>
    <row r="1173" hidden="1"/>
    <row r="1174" hidden="1"/>
    <row r="1175" hidden="1"/>
    <row r="1176" hidden="1"/>
    <row r="1177" hidden="1"/>
    <row r="1178" hidden="1"/>
    <row r="1179" hidden="1"/>
    <row r="1180" hidden="1"/>
    <row r="1181" hidden="1"/>
    <row r="1182" hidden="1"/>
    <row r="1183" hidden="1"/>
    <row r="1184" hidden="1"/>
    <row r="1185" hidden="1"/>
    <row r="1186" hidden="1"/>
    <row r="1187" hidden="1"/>
    <row r="1188" hidden="1"/>
    <row r="1189" hidden="1"/>
    <row r="1190" hidden="1"/>
    <row r="1191" hidden="1"/>
    <row r="1192" hidden="1"/>
    <row r="1193" hidden="1"/>
    <row r="1194" hidden="1"/>
    <row r="1195" hidden="1"/>
    <row r="1196" hidden="1"/>
    <row r="1197" hidden="1"/>
    <row r="1198" hidden="1"/>
    <row r="1199" hidden="1"/>
    <row r="1200" hidden="1"/>
    <row r="1201" hidden="1"/>
    <row r="1202" hidden="1"/>
    <row r="1203" hidden="1"/>
    <row r="1204" hidden="1"/>
    <row r="1205" hidden="1"/>
    <row r="1206" hidden="1"/>
    <row r="1207" hidden="1"/>
    <row r="1208" hidden="1"/>
    <row r="1209" hidden="1"/>
    <row r="1210" hidden="1"/>
    <row r="1211" hidden="1"/>
    <row r="1212" hidden="1"/>
    <row r="1213" hidden="1"/>
    <row r="1214" hidden="1"/>
    <row r="1215" hidden="1"/>
    <row r="1216" hidden="1"/>
    <row r="1217" hidden="1"/>
    <row r="1218" hidden="1"/>
    <row r="1219" hidden="1"/>
    <row r="1220" hidden="1"/>
    <row r="1221" hidden="1"/>
    <row r="1222" hidden="1"/>
    <row r="1223" hidden="1"/>
    <row r="1224" hidden="1"/>
    <row r="1225" hidden="1"/>
    <row r="1226" hidden="1"/>
    <row r="1227" hidden="1"/>
    <row r="1228" hidden="1"/>
    <row r="1229" hidden="1"/>
    <row r="1230" hidden="1"/>
    <row r="1231" hidden="1"/>
    <row r="1232" hidden="1"/>
    <row r="1233" hidden="1"/>
    <row r="1234" hidden="1"/>
    <row r="1235" hidden="1"/>
    <row r="1236" hidden="1"/>
    <row r="1237" hidden="1"/>
    <row r="1238" hidden="1"/>
    <row r="1239" hidden="1"/>
    <row r="1240" hidden="1"/>
    <row r="1241" hidden="1"/>
    <row r="1242" hidden="1"/>
    <row r="1243" hidden="1"/>
    <row r="1244" hidden="1"/>
    <row r="1245" hidden="1"/>
    <row r="1246" hidden="1"/>
    <row r="1247" hidden="1"/>
    <row r="1248" hidden="1"/>
    <row r="1249" hidden="1"/>
    <row r="1250" hidden="1"/>
    <row r="1251" hidden="1"/>
    <row r="1252" hidden="1"/>
    <row r="1253" hidden="1"/>
    <row r="1254" hidden="1"/>
    <row r="1255" hidden="1"/>
    <row r="1256" hidden="1"/>
    <row r="1257" hidden="1"/>
    <row r="1258" hidden="1"/>
    <row r="1259" hidden="1"/>
    <row r="1260" hidden="1"/>
    <row r="1261" hidden="1"/>
    <row r="1262" hidden="1"/>
    <row r="1263" hidden="1"/>
    <row r="1264" hidden="1"/>
    <row r="1265" hidden="1"/>
    <row r="1266" hidden="1"/>
    <row r="1267" hidden="1"/>
    <row r="1268" hidden="1"/>
    <row r="1269" hidden="1"/>
    <row r="1270" hidden="1"/>
    <row r="1271" hidden="1"/>
    <row r="1272" hidden="1"/>
    <row r="1273" hidden="1"/>
    <row r="1274" hidden="1"/>
    <row r="1275" hidden="1"/>
    <row r="1276" hidden="1"/>
    <row r="1277" hidden="1"/>
    <row r="1278" hidden="1"/>
    <row r="1279" hidden="1"/>
    <row r="1280" hidden="1"/>
    <row r="1281" hidden="1"/>
    <row r="1282" hidden="1"/>
    <row r="1283" hidden="1"/>
    <row r="1284" hidden="1"/>
    <row r="1285" hidden="1"/>
    <row r="1286" hidden="1"/>
    <row r="1287" hidden="1"/>
    <row r="1288" hidden="1"/>
    <row r="1289" hidden="1"/>
    <row r="1290" hidden="1"/>
    <row r="1291" hidden="1"/>
    <row r="1292" hidden="1"/>
    <row r="1293" hidden="1"/>
    <row r="1294" hidden="1"/>
    <row r="1295" hidden="1"/>
    <row r="1296" hidden="1"/>
    <row r="1297" hidden="1"/>
    <row r="1298" hidden="1"/>
    <row r="1299" hidden="1"/>
    <row r="1300" hidden="1"/>
    <row r="1301" hidden="1"/>
    <row r="1302" hidden="1"/>
    <row r="1303" hidden="1"/>
    <row r="1304" hidden="1"/>
    <row r="1305" hidden="1"/>
    <row r="1306" hidden="1"/>
    <row r="1307" hidden="1"/>
    <row r="1308" hidden="1"/>
    <row r="1309" hidden="1"/>
    <row r="1310" hidden="1"/>
    <row r="1311" hidden="1"/>
    <row r="1312" hidden="1"/>
    <row r="1313" hidden="1"/>
    <row r="1314" hidden="1"/>
    <row r="1315" hidden="1"/>
    <row r="1316" hidden="1"/>
    <row r="1317" hidden="1"/>
    <row r="1318" hidden="1"/>
    <row r="1319" hidden="1"/>
    <row r="1320" hidden="1"/>
    <row r="1321" hidden="1"/>
    <row r="1322" hidden="1"/>
    <row r="1323" hidden="1"/>
    <row r="1324" hidden="1"/>
    <row r="1325" hidden="1"/>
    <row r="1326" hidden="1"/>
    <row r="1327" hidden="1"/>
    <row r="1328" hidden="1"/>
    <row r="1329" hidden="1"/>
    <row r="1330" hidden="1"/>
    <row r="1331" hidden="1"/>
    <row r="1332" hidden="1"/>
    <row r="1333" hidden="1"/>
    <row r="1334" hidden="1"/>
    <row r="1335" hidden="1"/>
    <row r="1336" hidden="1"/>
    <row r="1337" hidden="1"/>
    <row r="1338" hidden="1"/>
    <row r="1339" hidden="1"/>
    <row r="1340" hidden="1"/>
    <row r="1341" hidden="1"/>
    <row r="1342" hidden="1"/>
    <row r="1343" hidden="1"/>
    <row r="1344" hidden="1"/>
    <row r="1345" hidden="1"/>
    <row r="1346" hidden="1"/>
    <row r="1347" hidden="1"/>
    <row r="1348" hidden="1"/>
    <row r="1349" hidden="1"/>
    <row r="1350" hidden="1"/>
    <row r="1351" hidden="1"/>
    <row r="1352" hidden="1"/>
    <row r="1353" hidden="1"/>
    <row r="1354" hidden="1"/>
    <row r="1355" hidden="1"/>
    <row r="1356" hidden="1"/>
    <row r="1357" hidden="1"/>
    <row r="1358" hidden="1"/>
    <row r="1359" hidden="1"/>
    <row r="1360" hidden="1"/>
    <row r="1361" hidden="1"/>
    <row r="1362" hidden="1"/>
    <row r="1363" hidden="1"/>
    <row r="1364" hidden="1"/>
    <row r="1365" hidden="1"/>
    <row r="1366" hidden="1"/>
    <row r="1367" hidden="1"/>
    <row r="1368" hidden="1"/>
    <row r="1369" hidden="1"/>
    <row r="1370" hidden="1"/>
    <row r="1371" hidden="1"/>
    <row r="1372" hidden="1"/>
    <row r="1373" hidden="1"/>
    <row r="1374" hidden="1"/>
    <row r="1375" hidden="1"/>
    <row r="1376" hidden="1"/>
    <row r="1377" hidden="1"/>
    <row r="1378" hidden="1"/>
    <row r="1379" hidden="1"/>
    <row r="1380" hidden="1"/>
    <row r="1381" hidden="1"/>
    <row r="1382" hidden="1"/>
    <row r="1383" hidden="1"/>
    <row r="1384" hidden="1"/>
    <row r="1385" hidden="1"/>
    <row r="1386" hidden="1"/>
    <row r="1387" hidden="1"/>
    <row r="1388" hidden="1"/>
    <row r="1389" hidden="1"/>
    <row r="1390" hidden="1"/>
    <row r="1391" hidden="1"/>
    <row r="1392" hidden="1"/>
    <row r="1393" hidden="1"/>
    <row r="1394" hidden="1"/>
    <row r="1395" hidden="1"/>
    <row r="1396" hidden="1"/>
    <row r="1397" hidden="1"/>
    <row r="1398" hidden="1"/>
    <row r="1399" hidden="1"/>
    <row r="1400" hidden="1"/>
    <row r="1401" hidden="1"/>
    <row r="1402" hidden="1"/>
    <row r="1403" hidden="1"/>
    <row r="1404" hidden="1"/>
    <row r="1405" hidden="1"/>
    <row r="1406" hidden="1"/>
    <row r="1407" hidden="1"/>
    <row r="1408" hidden="1"/>
    <row r="1409" hidden="1"/>
    <row r="1410" hidden="1"/>
    <row r="1411" hidden="1"/>
    <row r="1412" hidden="1"/>
    <row r="1413" hidden="1"/>
    <row r="1414" hidden="1"/>
    <row r="1415" hidden="1"/>
    <row r="1416" hidden="1"/>
    <row r="1417" hidden="1"/>
    <row r="1418" hidden="1"/>
    <row r="1419" hidden="1"/>
    <row r="1420" hidden="1"/>
    <row r="1421" hidden="1"/>
    <row r="1422" hidden="1"/>
    <row r="1423" hidden="1"/>
    <row r="1424" hidden="1"/>
    <row r="1425" hidden="1"/>
    <row r="1426" hidden="1"/>
    <row r="1427" hidden="1"/>
    <row r="1428" hidden="1"/>
    <row r="1429" hidden="1"/>
    <row r="1430" hidden="1"/>
    <row r="1431" hidden="1"/>
    <row r="1432" hidden="1"/>
    <row r="1433" hidden="1"/>
    <row r="1434" hidden="1"/>
    <row r="1435" hidden="1"/>
    <row r="1436" hidden="1"/>
    <row r="1437" hidden="1"/>
    <row r="1438" hidden="1"/>
    <row r="1439" hidden="1"/>
    <row r="1440" hidden="1"/>
    <row r="1441" hidden="1"/>
    <row r="1442" hidden="1"/>
    <row r="1443" hidden="1"/>
    <row r="1444" hidden="1"/>
    <row r="1445" hidden="1"/>
    <row r="1446" hidden="1"/>
    <row r="1447" hidden="1"/>
    <row r="1448" hidden="1"/>
    <row r="1449" hidden="1"/>
    <row r="1450" hidden="1"/>
    <row r="1451" hidden="1"/>
    <row r="1452" hidden="1"/>
    <row r="1453" hidden="1"/>
    <row r="1454" hidden="1"/>
    <row r="1455" hidden="1"/>
    <row r="1456" hidden="1"/>
    <row r="1457" hidden="1"/>
    <row r="1458" hidden="1"/>
    <row r="1459" hidden="1"/>
    <row r="1460" hidden="1"/>
    <row r="1461" hidden="1"/>
    <row r="1462" hidden="1"/>
    <row r="1463" hidden="1"/>
    <row r="1464" hidden="1"/>
    <row r="1465" hidden="1"/>
    <row r="1466" hidden="1"/>
    <row r="1467" hidden="1"/>
    <row r="1468" hidden="1"/>
    <row r="1469" hidden="1"/>
    <row r="1470" hidden="1"/>
    <row r="1471" hidden="1"/>
    <row r="1472" hidden="1"/>
    <row r="1473" hidden="1"/>
    <row r="1474" hidden="1"/>
    <row r="1475" hidden="1"/>
    <row r="1476" hidden="1"/>
    <row r="1477" hidden="1"/>
    <row r="1478" hidden="1"/>
    <row r="1479" hidden="1"/>
    <row r="1480" hidden="1"/>
    <row r="1481" hidden="1"/>
    <row r="1482" hidden="1"/>
    <row r="1483" hidden="1"/>
    <row r="1484" hidden="1"/>
    <row r="1485" hidden="1"/>
    <row r="1486" hidden="1"/>
    <row r="1487" hidden="1"/>
    <row r="1488" hidden="1"/>
    <row r="1489" hidden="1"/>
    <row r="1490" hidden="1"/>
    <row r="1491" hidden="1"/>
    <row r="1492" hidden="1"/>
    <row r="1493" hidden="1"/>
    <row r="1494" hidden="1"/>
    <row r="1495" hidden="1"/>
    <row r="1496" hidden="1"/>
    <row r="1497" hidden="1"/>
    <row r="1498" hidden="1"/>
    <row r="1499" hidden="1"/>
    <row r="1500" hidden="1"/>
    <row r="1501" hidden="1"/>
    <row r="1502" hidden="1"/>
    <row r="1503" hidden="1"/>
    <row r="1504" hidden="1"/>
    <row r="1505" hidden="1"/>
    <row r="1506" hidden="1"/>
    <row r="1507" hidden="1"/>
    <row r="1508" hidden="1"/>
    <row r="1509" hidden="1"/>
    <row r="1510" hidden="1"/>
    <row r="1511" hidden="1"/>
    <row r="1512" hidden="1"/>
    <row r="1513" hidden="1"/>
    <row r="1514" hidden="1"/>
    <row r="1515" hidden="1"/>
    <row r="1516" hidden="1"/>
    <row r="1517" hidden="1"/>
    <row r="1518" hidden="1"/>
    <row r="1519" hidden="1"/>
    <row r="1520" hidden="1"/>
    <row r="1521" hidden="1"/>
    <row r="1522" hidden="1"/>
    <row r="1523" hidden="1"/>
    <row r="1524" hidden="1"/>
    <row r="1525" hidden="1"/>
    <row r="1526" hidden="1"/>
    <row r="1527" hidden="1"/>
    <row r="1528" hidden="1"/>
    <row r="1529" hidden="1"/>
    <row r="1530" hidden="1"/>
    <row r="1531" hidden="1"/>
    <row r="1532" hidden="1"/>
    <row r="1533" hidden="1"/>
    <row r="1534" hidden="1"/>
    <row r="1535" hidden="1"/>
    <row r="1536" hidden="1"/>
    <row r="1537" hidden="1"/>
    <row r="1538" hidden="1"/>
    <row r="1539" hidden="1"/>
    <row r="1540" hidden="1"/>
    <row r="1541" hidden="1"/>
    <row r="1542" hidden="1"/>
    <row r="1543" hidden="1"/>
    <row r="1544" hidden="1"/>
    <row r="1545" hidden="1"/>
    <row r="1546" hidden="1"/>
    <row r="1547" hidden="1"/>
    <row r="1548" hidden="1"/>
    <row r="1549" hidden="1"/>
    <row r="1550" hidden="1"/>
    <row r="1551" hidden="1"/>
    <row r="1552" hidden="1"/>
    <row r="1553" hidden="1"/>
    <row r="1554" hidden="1"/>
    <row r="1555" hidden="1"/>
    <row r="1556" hidden="1"/>
    <row r="1557" hidden="1"/>
    <row r="1558" hidden="1"/>
    <row r="1559" hidden="1"/>
    <row r="1560" hidden="1"/>
    <row r="1561" hidden="1"/>
    <row r="1562" hidden="1"/>
    <row r="1563" hidden="1"/>
    <row r="1564" hidden="1"/>
    <row r="1565" hidden="1"/>
    <row r="1566" hidden="1"/>
    <row r="1567" hidden="1"/>
    <row r="1568" hidden="1"/>
    <row r="1569" hidden="1"/>
    <row r="1570" hidden="1"/>
    <row r="1571" hidden="1"/>
    <row r="1572" hidden="1"/>
    <row r="1573" hidden="1"/>
    <row r="1574" hidden="1"/>
    <row r="1575" hidden="1"/>
    <row r="1576" hidden="1"/>
    <row r="1577" hidden="1"/>
    <row r="1578" hidden="1"/>
    <row r="1579" hidden="1"/>
    <row r="1580" hidden="1"/>
    <row r="1581" hidden="1"/>
    <row r="1582" hidden="1"/>
    <row r="1583" hidden="1"/>
    <row r="1584" hidden="1"/>
    <row r="1585" hidden="1"/>
    <row r="1586" hidden="1"/>
    <row r="1587" hidden="1"/>
    <row r="1588" hidden="1"/>
    <row r="1589" hidden="1"/>
    <row r="1590" hidden="1"/>
    <row r="1591" hidden="1"/>
    <row r="1592" hidden="1"/>
    <row r="1593" hidden="1"/>
    <row r="1594" hidden="1"/>
    <row r="1595" hidden="1"/>
    <row r="1596" hidden="1"/>
    <row r="1597" hidden="1"/>
    <row r="1598" hidden="1"/>
    <row r="1599" hidden="1"/>
    <row r="1600" hidden="1"/>
    <row r="1601" hidden="1"/>
    <row r="1602" hidden="1"/>
    <row r="1603" hidden="1"/>
    <row r="1604" hidden="1"/>
    <row r="1605" hidden="1"/>
    <row r="1606" hidden="1"/>
    <row r="1607" hidden="1"/>
    <row r="1608" hidden="1"/>
    <row r="1609" hidden="1"/>
    <row r="1610" hidden="1"/>
    <row r="1611" hidden="1"/>
    <row r="1612" hidden="1"/>
    <row r="1613" hidden="1"/>
    <row r="1614" hidden="1"/>
    <row r="1615" hidden="1"/>
    <row r="1616" hidden="1"/>
    <row r="1617" hidden="1"/>
    <row r="1618" hidden="1"/>
    <row r="1619" hidden="1"/>
    <row r="1620" hidden="1"/>
    <row r="1621" hidden="1"/>
    <row r="1622" hidden="1"/>
    <row r="1623" hidden="1"/>
    <row r="1624" hidden="1"/>
    <row r="1625" hidden="1"/>
    <row r="1626" hidden="1"/>
    <row r="1627" hidden="1"/>
    <row r="1628" hidden="1"/>
    <row r="1629" hidden="1"/>
    <row r="1630" hidden="1"/>
    <row r="1631" hidden="1"/>
    <row r="1632" hidden="1"/>
    <row r="1633" hidden="1"/>
    <row r="1634" hidden="1"/>
    <row r="1635" hidden="1"/>
    <row r="1636" hidden="1"/>
    <row r="1637" hidden="1"/>
    <row r="1638" hidden="1"/>
    <row r="1639" hidden="1"/>
    <row r="1640" hidden="1"/>
    <row r="1641" hidden="1"/>
    <row r="1642" hidden="1"/>
    <row r="1643" hidden="1"/>
    <row r="1644" hidden="1"/>
    <row r="1645" hidden="1"/>
    <row r="1646" hidden="1"/>
    <row r="1647" hidden="1"/>
    <row r="1648" hidden="1"/>
    <row r="1649" hidden="1"/>
    <row r="1650" hidden="1"/>
    <row r="1651" hidden="1"/>
    <row r="1652" hidden="1"/>
    <row r="1653" hidden="1"/>
    <row r="1654" hidden="1"/>
    <row r="1655" hidden="1"/>
    <row r="1656" hidden="1"/>
    <row r="1657" hidden="1"/>
    <row r="1658" hidden="1"/>
    <row r="1659" hidden="1"/>
    <row r="1660" hidden="1"/>
    <row r="1661" hidden="1"/>
    <row r="1662" hidden="1"/>
    <row r="1663" hidden="1"/>
    <row r="1664" hidden="1"/>
    <row r="1665" hidden="1"/>
    <row r="1666" hidden="1"/>
    <row r="1667" hidden="1"/>
    <row r="1668" hidden="1"/>
    <row r="1669" hidden="1"/>
    <row r="1670" hidden="1"/>
    <row r="1671" hidden="1"/>
    <row r="1672" hidden="1"/>
    <row r="1673" hidden="1"/>
    <row r="1674" hidden="1"/>
    <row r="1675" hidden="1"/>
    <row r="1676" hidden="1"/>
    <row r="1677" hidden="1"/>
    <row r="1678" hidden="1"/>
    <row r="1679" hidden="1"/>
    <row r="1680" hidden="1"/>
    <row r="1681" hidden="1"/>
    <row r="1682" hidden="1"/>
    <row r="1683" hidden="1"/>
    <row r="1684" hidden="1"/>
    <row r="1685" hidden="1"/>
    <row r="1686" hidden="1"/>
    <row r="1687" hidden="1"/>
    <row r="1688" hidden="1"/>
    <row r="1689" hidden="1"/>
    <row r="1690" hidden="1"/>
    <row r="1691" hidden="1"/>
    <row r="1692" hidden="1"/>
    <row r="1693" hidden="1"/>
    <row r="1694" hidden="1"/>
    <row r="1695" hidden="1"/>
    <row r="1696" hidden="1"/>
    <row r="1697" hidden="1"/>
    <row r="1698" hidden="1"/>
    <row r="1699" hidden="1"/>
    <row r="1700" hidden="1"/>
    <row r="1701" hidden="1"/>
    <row r="1702" hidden="1"/>
    <row r="1703" hidden="1"/>
    <row r="1704" hidden="1"/>
    <row r="1705" hidden="1"/>
    <row r="1706" hidden="1"/>
    <row r="1707" hidden="1"/>
    <row r="1708" hidden="1"/>
    <row r="1709" hidden="1"/>
    <row r="1710" hidden="1"/>
    <row r="1711" hidden="1"/>
    <row r="1712" hidden="1"/>
    <row r="1713" hidden="1"/>
    <row r="1714" hidden="1"/>
    <row r="1715" hidden="1"/>
    <row r="1716" hidden="1"/>
    <row r="1717" hidden="1"/>
    <row r="1718" hidden="1"/>
    <row r="1719" hidden="1"/>
    <row r="1720" hidden="1"/>
    <row r="1721" hidden="1"/>
    <row r="1722" hidden="1"/>
    <row r="1723" hidden="1"/>
    <row r="1724" hidden="1"/>
    <row r="1725" hidden="1"/>
    <row r="1726" hidden="1"/>
    <row r="1727" hidden="1"/>
    <row r="1728" hidden="1"/>
    <row r="1729" hidden="1"/>
    <row r="1730" hidden="1"/>
    <row r="1731" hidden="1"/>
    <row r="1732" hidden="1"/>
    <row r="1733" hidden="1"/>
    <row r="1734" hidden="1"/>
    <row r="1735" hidden="1"/>
    <row r="1736" hidden="1"/>
    <row r="1737" hidden="1"/>
    <row r="1738" hidden="1"/>
    <row r="1739" hidden="1"/>
    <row r="1740" hidden="1"/>
    <row r="1741" hidden="1"/>
    <row r="1742" hidden="1"/>
    <row r="1743" hidden="1"/>
    <row r="1744" hidden="1"/>
    <row r="1745" hidden="1"/>
    <row r="1746" hidden="1"/>
    <row r="1747" hidden="1"/>
    <row r="1748" hidden="1"/>
    <row r="1749" hidden="1"/>
    <row r="1750" hidden="1"/>
    <row r="1751" hidden="1"/>
    <row r="1752" hidden="1"/>
    <row r="1753" hidden="1"/>
    <row r="1754" hidden="1"/>
    <row r="1755" hidden="1"/>
    <row r="1756" hidden="1"/>
    <row r="1757" hidden="1"/>
    <row r="1758" hidden="1"/>
    <row r="1759" hidden="1"/>
    <row r="1760" hidden="1"/>
    <row r="1761" hidden="1"/>
    <row r="1762" hidden="1"/>
    <row r="1763" hidden="1"/>
    <row r="1764" hidden="1"/>
    <row r="1765" hidden="1"/>
    <row r="1766" hidden="1"/>
    <row r="1767" hidden="1"/>
    <row r="1768" hidden="1"/>
    <row r="1769" hidden="1"/>
    <row r="1770" hidden="1"/>
    <row r="1771" hidden="1"/>
    <row r="1772" hidden="1"/>
    <row r="1773" hidden="1"/>
    <row r="1774" hidden="1"/>
    <row r="1775" hidden="1"/>
    <row r="1776" hidden="1"/>
    <row r="1777" hidden="1"/>
    <row r="1778" hidden="1"/>
    <row r="1779" hidden="1"/>
    <row r="1780" hidden="1"/>
    <row r="1781" hidden="1"/>
    <row r="1782" hidden="1"/>
    <row r="1783" hidden="1"/>
    <row r="1784" hidden="1"/>
    <row r="1785" hidden="1"/>
    <row r="1786" hidden="1"/>
    <row r="1787" hidden="1"/>
    <row r="1788" hidden="1"/>
    <row r="1789" hidden="1"/>
    <row r="1790" hidden="1"/>
    <row r="1791" hidden="1"/>
    <row r="1792" hidden="1"/>
    <row r="1793" hidden="1"/>
    <row r="1794" hidden="1"/>
    <row r="1795" hidden="1"/>
    <row r="1796" hidden="1"/>
    <row r="1797" hidden="1"/>
    <row r="1798" hidden="1"/>
    <row r="1799" hidden="1"/>
    <row r="1800" hidden="1"/>
    <row r="1801" hidden="1"/>
    <row r="1802" hidden="1"/>
    <row r="1803" hidden="1"/>
    <row r="1804" hidden="1"/>
    <row r="1805" hidden="1"/>
    <row r="1806" hidden="1"/>
    <row r="1807" hidden="1"/>
    <row r="1808" hidden="1"/>
    <row r="1809" hidden="1"/>
    <row r="1810" hidden="1"/>
    <row r="1811" hidden="1"/>
    <row r="1812" hidden="1"/>
    <row r="1813" hidden="1"/>
    <row r="1814" hidden="1"/>
    <row r="1815" hidden="1"/>
    <row r="1816" hidden="1"/>
    <row r="1817" hidden="1"/>
    <row r="1818" hidden="1"/>
    <row r="1819" hidden="1"/>
    <row r="1820" hidden="1"/>
    <row r="1821" hidden="1"/>
    <row r="1822" hidden="1"/>
    <row r="1823" hidden="1"/>
    <row r="1824" hidden="1"/>
    <row r="1825" hidden="1"/>
    <row r="1826" hidden="1"/>
    <row r="1827" hidden="1"/>
    <row r="1828" hidden="1"/>
    <row r="1829" hidden="1"/>
    <row r="1830" hidden="1"/>
    <row r="1831" hidden="1"/>
    <row r="1832" hidden="1"/>
    <row r="1833" hidden="1"/>
    <row r="1834" hidden="1"/>
    <row r="1835" hidden="1"/>
    <row r="1836" hidden="1"/>
    <row r="1837" hidden="1"/>
    <row r="1838" hidden="1"/>
    <row r="1839" hidden="1"/>
    <row r="1840" hidden="1"/>
    <row r="1841" hidden="1"/>
    <row r="1842" hidden="1"/>
    <row r="1843" hidden="1"/>
    <row r="1844" hidden="1"/>
    <row r="1845" hidden="1"/>
    <row r="1846" hidden="1"/>
    <row r="1847" hidden="1"/>
    <row r="1848" hidden="1"/>
    <row r="1849" hidden="1"/>
    <row r="1850" hidden="1"/>
    <row r="1851" hidden="1"/>
    <row r="1852" hidden="1"/>
    <row r="1853" hidden="1"/>
    <row r="1854" hidden="1"/>
    <row r="1855" hidden="1"/>
    <row r="1856" hidden="1"/>
    <row r="1857" hidden="1"/>
    <row r="1858" hidden="1"/>
    <row r="1859" hidden="1"/>
    <row r="1860" hidden="1"/>
    <row r="1861" hidden="1"/>
    <row r="1862" hidden="1"/>
    <row r="1863" hidden="1"/>
    <row r="1864" hidden="1"/>
    <row r="1865" hidden="1"/>
    <row r="1866" hidden="1"/>
    <row r="1867" hidden="1"/>
    <row r="1868" hidden="1"/>
    <row r="1869" hidden="1"/>
    <row r="1870" hidden="1"/>
    <row r="1871" hidden="1"/>
    <row r="1872" hidden="1"/>
    <row r="1873" hidden="1"/>
    <row r="1874" hidden="1"/>
    <row r="1875" hidden="1"/>
    <row r="1876" hidden="1"/>
    <row r="1877" hidden="1"/>
    <row r="1878" hidden="1"/>
    <row r="1879" hidden="1"/>
    <row r="1880" hidden="1"/>
    <row r="1881" hidden="1"/>
    <row r="1882" hidden="1"/>
    <row r="1883" hidden="1"/>
    <row r="1884" hidden="1"/>
    <row r="1885" hidden="1"/>
    <row r="1886" hidden="1"/>
    <row r="1887" hidden="1"/>
    <row r="1888" hidden="1"/>
    <row r="1889" hidden="1"/>
    <row r="1890" hidden="1"/>
    <row r="1891" hidden="1"/>
    <row r="1892" hidden="1"/>
    <row r="1893" hidden="1"/>
    <row r="1894" hidden="1"/>
    <row r="1895" hidden="1"/>
    <row r="1896" hidden="1"/>
    <row r="1897" hidden="1"/>
    <row r="1898" hidden="1"/>
    <row r="1899" hidden="1"/>
    <row r="1900" hidden="1"/>
    <row r="1901" hidden="1"/>
    <row r="1902" hidden="1"/>
    <row r="1903" hidden="1"/>
    <row r="1904" hidden="1"/>
    <row r="1905" hidden="1"/>
    <row r="1906" hidden="1"/>
    <row r="1907" hidden="1"/>
    <row r="1908" hidden="1"/>
    <row r="1909" hidden="1"/>
    <row r="1910" hidden="1"/>
    <row r="1911" hidden="1"/>
    <row r="1912" hidden="1"/>
    <row r="1913" hidden="1"/>
    <row r="1914" hidden="1"/>
    <row r="1915" hidden="1"/>
    <row r="1916" hidden="1"/>
    <row r="1917" hidden="1"/>
    <row r="1918" hidden="1"/>
    <row r="1919" hidden="1"/>
    <row r="1920" hidden="1"/>
    <row r="1921" hidden="1"/>
    <row r="1922" hidden="1"/>
    <row r="1923" hidden="1"/>
    <row r="1924" hidden="1"/>
    <row r="1925" hidden="1"/>
    <row r="1926" hidden="1"/>
    <row r="1927" hidden="1"/>
    <row r="1928" hidden="1"/>
    <row r="1929" hidden="1"/>
    <row r="1930" hidden="1"/>
    <row r="1931" hidden="1"/>
    <row r="1932" hidden="1"/>
    <row r="1933" hidden="1"/>
    <row r="1934" hidden="1"/>
    <row r="1935" hidden="1"/>
    <row r="1936" hidden="1"/>
    <row r="1937" hidden="1"/>
    <row r="1938" hidden="1"/>
    <row r="1939" hidden="1"/>
    <row r="1940" hidden="1"/>
    <row r="1941" hidden="1"/>
    <row r="1942" hidden="1"/>
    <row r="1943" hidden="1"/>
    <row r="1944" hidden="1"/>
    <row r="1945" hidden="1"/>
    <row r="1946" hidden="1"/>
    <row r="1947" hidden="1"/>
    <row r="1948" hidden="1"/>
    <row r="1949" hidden="1"/>
    <row r="1950" hidden="1"/>
    <row r="1951" hidden="1"/>
    <row r="1952" hidden="1"/>
    <row r="1953" hidden="1"/>
    <row r="1954" hidden="1"/>
    <row r="1955" hidden="1"/>
    <row r="1956" hidden="1"/>
    <row r="1957" hidden="1"/>
    <row r="1958" hidden="1"/>
    <row r="1959" hidden="1"/>
    <row r="1960" hidden="1"/>
    <row r="1961" hidden="1"/>
    <row r="1962" hidden="1"/>
    <row r="1963" hidden="1"/>
    <row r="1964" hidden="1"/>
    <row r="1965" hidden="1"/>
    <row r="1966" hidden="1"/>
    <row r="1967" hidden="1"/>
    <row r="1968" hidden="1"/>
    <row r="1969" hidden="1"/>
    <row r="1970" hidden="1"/>
    <row r="1971" hidden="1"/>
    <row r="1972" hidden="1"/>
    <row r="1973" hidden="1"/>
    <row r="1974" hidden="1"/>
    <row r="1975" hidden="1"/>
    <row r="1976" hidden="1"/>
    <row r="1977" hidden="1"/>
    <row r="1978" hidden="1"/>
    <row r="1979" hidden="1"/>
    <row r="1980" hidden="1"/>
    <row r="1981" hidden="1"/>
    <row r="1982" hidden="1"/>
    <row r="1983" hidden="1"/>
    <row r="1984" hidden="1"/>
    <row r="1985" hidden="1"/>
    <row r="1986" hidden="1"/>
    <row r="1987" hidden="1"/>
    <row r="1988" hidden="1"/>
    <row r="1989" hidden="1"/>
    <row r="1990" hidden="1"/>
    <row r="1991" hidden="1"/>
    <row r="1992" hidden="1"/>
    <row r="1993" hidden="1"/>
    <row r="1994" hidden="1"/>
    <row r="1995" hidden="1"/>
    <row r="1996" hidden="1"/>
    <row r="1997" hidden="1"/>
    <row r="1998" hidden="1"/>
    <row r="1999" hidden="1"/>
    <row r="2000" hidden="1"/>
    <row r="2001" hidden="1"/>
    <row r="2002" hidden="1"/>
    <row r="2003" hidden="1"/>
    <row r="2004" hidden="1"/>
    <row r="2005" hidden="1"/>
    <row r="2006" hidden="1"/>
    <row r="2007" hidden="1"/>
    <row r="2008" hidden="1"/>
    <row r="2009" hidden="1"/>
    <row r="2010" hidden="1"/>
    <row r="2011" hidden="1"/>
    <row r="2012" hidden="1"/>
    <row r="2013" hidden="1"/>
    <row r="2014" hidden="1"/>
    <row r="2015" hidden="1"/>
    <row r="2016" hidden="1"/>
    <row r="2017" hidden="1"/>
    <row r="2018" hidden="1"/>
    <row r="2019" hidden="1"/>
    <row r="2020" hidden="1"/>
    <row r="2021" hidden="1"/>
    <row r="2022" hidden="1"/>
    <row r="2023" hidden="1"/>
    <row r="2024" hidden="1"/>
    <row r="2025" hidden="1"/>
    <row r="2026" hidden="1"/>
    <row r="2027" hidden="1"/>
    <row r="2028" hidden="1"/>
    <row r="2029" hidden="1"/>
    <row r="2030" hidden="1"/>
    <row r="2031" hidden="1"/>
    <row r="2032" hidden="1"/>
    <row r="2033" hidden="1"/>
    <row r="2034" hidden="1"/>
    <row r="2035" hidden="1"/>
    <row r="2036" hidden="1"/>
    <row r="2037" hidden="1"/>
    <row r="2038" hidden="1"/>
    <row r="2039" hidden="1"/>
    <row r="2040" hidden="1"/>
    <row r="2041" hidden="1"/>
    <row r="2042" hidden="1"/>
    <row r="2043" hidden="1"/>
    <row r="2044" hidden="1"/>
    <row r="2045" hidden="1"/>
    <row r="2046" hidden="1"/>
    <row r="2047" hidden="1"/>
    <row r="2048" hidden="1"/>
    <row r="2049" hidden="1"/>
    <row r="2050" hidden="1"/>
    <row r="2051" hidden="1"/>
    <row r="2052" hidden="1"/>
    <row r="2053" hidden="1"/>
    <row r="2054" hidden="1"/>
    <row r="2055" hidden="1"/>
    <row r="2056" hidden="1"/>
    <row r="2057" hidden="1"/>
    <row r="2058" hidden="1"/>
    <row r="2059" hidden="1"/>
    <row r="2060" hidden="1"/>
    <row r="2061" hidden="1"/>
    <row r="2062" hidden="1"/>
    <row r="2063" hidden="1"/>
    <row r="2064" hidden="1"/>
    <row r="2065" hidden="1"/>
    <row r="2066" hidden="1"/>
    <row r="2067" hidden="1"/>
    <row r="2068" hidden="1"/>
    <row r="2069" hidden="1"/>
    <row r="2070" hidden="1"/>
    <row r="2071" hidden="1"/>
    <row r="2072" hidden="1"/>
    <row r="2073" hidden="1"/>
    <row r="2074" hidden="1"/>
    <row r="2075" hidden="1"/>
    <row r="2076" hidden="1"/>
    <row r="2077" hidden="1"/>
    <row r="2078" hidden="1"/>
    <row r="2079" hidden="1"/>
    <row r="2080" hidden="1"/>
    <row r="2081" hidden="1"/>
    <row r="2082" hidden="1"/>
    <row r="2083" hidden="1"/>
    <row r="2084" hidden="1"/>
    <row r="2085" hidden="1"/>
    <row r="2086" hidden="1"/>
    <row r="2087" hidden="1"/>
    <row r="2088" hidden="1"/>
    <row r="2089" hidden="1"/>
    <row r="2090" hidden="1"/>
    <row r="2091" hidden="1"/>
    <row r="2092" hidden="1"/>
    <row r="2093" hidden="1"/>
    <row r="2094" hidden="1"/>
    <row r="2095" hidden="1"/>
    <row r="2096" hidden="1"/>
    <row r="2097" hidden="1"/>
    <row r="2098" hidden="1"/>
    <row r="2099" hidden="1"/>
    <row r="2100" hidden="1"/>
    <row r="2101" hidden="1"/>
    <row r="2102" hidden="1"/>
    <row r="2103" hidden="1"/>
    <row r="2104" hidden="1"/>
    <row r="2105" hidden="1"/>
    <row r="2106" hidden="1"/>
    <row r="2107" hidden="1"/>
    <row r="2108" hidden="1"/>
    <row r="2109" hidden="1"/>
    <row r="2110" hidden="1"/>
    <row r="2111" hidden="1"/>
    <row r="2112" hidden="1"/>
    <row r="2113" hidden="1"/>
    <row r="2114" hidden="1"/>
    <row r="2115" hidden="1"/>
    <row r="2116" hidden="1"/>
    <row r="2117" hidden="1"/>
    <row r="2118" hidden="1"/>
    <row r="2119" hidden="1"/>
    <row r="2120" hidden="1"/>
    <row r="2121" hidden="1"/>
    <row r="2122" hidden="1"/>
    <row r="2123" hidden="1"/>
    <row r="2124" hidden="1"/>
    <row r="2125" hidden="1"/>
    <row r="2126" hidden="1"/>
    <row r="2127" hidden="1"/>
    <row r="2128" hidden="1"/>
    <row r="2129" hidden="1"/>
    <row r="2130" hidden="1"/>
    <row r="2131" hidden="1"/>
    <row r="2132" hidden="1"/>
    <row r="2133" hidden="1"/>
    <row r="2134" hidden="1"/>
    <row r="2135" hidden="1"/>
    <row r="2136" hidden="1"/>
    <row r="2137" hidden="1"/>
    <row r="2138" hidden="1"/>
    <row r="2139" hidden="1"/>
    <row r="2140" hidden="1"/>
    <row r="2141" hidden="1"/>
    <row r="2142" hidden="1"/>
    <row r="2143" hidden="1"/>
    <row r="2144" hidden="1"/>
    <row r="2145" hidden="1"/>
    <row r="2146" hidden="1"/>
    <row r="2147" hidden="1"/>
    <row r="2148" hidden="1"/>
    <row r="2149" hidden="1"/>
    <row r="2150" hidden="1"/>
    <row r="2151" hidden="1"/>
    <row r="2152" hidden="1"/>
    <row r="2153" hidden="1"/>
    <row r="2154" hidden="1"/>
    <row r="2155" hidden="1"/>
    <row r="2156" hidden="1"/>
    <row r="2157" hidden="1"/>
    <row r="2158" hidden="1"/>
    <row r="2159" hidden="1"/>
    <row r="2160" hidden="1"/>
    <row r="2161" hidden="1"/>
    <row r="2162" hidden="1"/>
    <row r="2163" hidden="1"/>
    <row r="2164" hidden="1"/>
    <row r="2165" hidden="1"/>
    <row r="2166" hidden="1"/>
    <row r="2167" hidden="1"/>
    <row r="2168" hidden="1"/>
    <row r="2169" hidden="1"/>
    <row r="2170" hidden="1"/>
    <row r="2171" hidden="1"/>
    <row r="2172" hidden="1"/>
    <row r="2173" hidden="1"/>
    <row r="2174" hidden="1"/>
    <row r="2175" hidden="1"/>
    <row r="2176" hidden="1"/>
    <row r="2177" hidden="1"/>
    <row r="2178" hidden="1"/>
    <row r="2179" hidden="1"/>
    <row r="2180" hidden="1"/>
    <row r="2181" hidden="1"/>
    <row r="2182" hidden="1"/>
    <row r="2183" hidden="1"/>
    <row r="2184" hidden="1"/>
    <row r="2185" hidden="1"/>
    <row r="2186" hidden="1"/>
    <row r="2187" hidden="1"/>
    <row r="2188" hidden="1"/>
    <row r="2189" hidden="1"/>
    <row r="2190" hidden="1"/>
    <row r="2191" hidden="1"/>
    <row r="2192" hidden="1"/>
    <row r="2193" hidden="1"/>
    <row r="2194" hidden="1"/>
    <row r="2195" hidden="1"/>
    <row r="2196" hidden="1"/>
    <row r="2197" hidden="1"/>
    <row r="2198" hidden="1"/>
    <row r="2199" hidden="1"/>
    <row r="2200" hidden="1"/>
    <row r="2201" hidden="1"/>
    <row r="2202" hidden="1"/>
    <row r="2203" hidden="1"/>
    <row r="2204" hidden="1"/>
    <row r="2205" hidden="1"/>
    <row r="2206" hidden="1"/>
    <row r="2207" hidden="1"/>
    <row r="2208" hidden="1"/>
    <row r="2209" hidden="1"/>
    <row r="2210" hidden="1"/>
    <row r="2211" hidden="1"/>
    <row r="2212" hidden="1"/>
    <row r="2213" hidden="1"/>
    <row r="2214" hidden="1"/>
    <row r="2215" hidden="1"/>
    <row r="2216" hidden="1"/>
    <row r="2217" hidden="1"/>
    <row r="2218" hidden="1"/>
    <row r="2219" hidden="1"/>
    <row r="2220" hidden="1"/>
    <row r="2221" hidden="1"/>
    <row r="2222" hidden="1"/>
    <row r="2223" hidden="1"/>
    <row r="2224" hidden="1"/>
    <row r="2225" hidden="1"/>
    <row r="2226" hidden="1"/>
    <row r="2227" hidden="1"/>
    <row r="2228" hidden="1"/>
    <row r="2229" hidden="1"/>
    <row r="2230" hidden="1"/>
    <row r="2231" hidden="1"/>
    <row r="2232" hidden="1"/>
    <row r="2233" hidden="1"/>
    <row r="2234" hidden="1"/>
    <row r="2235" hidden="1"/>
    <row r="2236" hidden="1"/>
    <row r="2237" hidden="1"/>
    <row r="2238" hidden="1"/>
    <row r="2239" hidden="1"/>
    <row r="2240" hidden="1"/>
    <row r="2241" hidden="1"/>
    <row r="2242" hidden="1"/>
    <row r="2243" hidden="1"/>
    <row r="2244" hidden="1"/>
    <row r="2245" hidden="1"/>
    <row r="2246" hidden="1"/>
    <row r="2247" hidden="1"/>
    <row r="2248" hidden="1"/>
    <row r="2249" hidden="1"/>
    <row r="2250" hidden="1"/>
    <row r="2251" hidden="1"/>
    <row r="2252" hidden="1"/>
    <row r="2253" hidden="1"/>
    <row r="2254" hidden="1"/>
    <row r="2255" hidden="1"/>
    <row r="2256" hidden="1"/>
    <row r="2257" hidden="1"/>
    <row r="2258" hidden="1"/>
    <row r="2259" hidden="1"/>
    <row r="2260" hidden="1"/>
    <row r="2261" hidden="1"/>
    <row r="2262" hidden="1"/>
    <row r="2263" hidden="1"/>
    <row r="2264" hidden="1"/>
    <row r="2265" hidden="1"/>
    <row r="2266" hidden="1"/>
    <row r="2267" hidden="1"/>
    <row r="2268" hidden="1"/>
    <row r="2269" hidden="1"/>
    <row r="2270" hidden="1"/>
    <row r="2271" hidden="1"/>
    <row r="2272" hidden="1"/>
    <row r="2273" hidden="1"/>
    <row r="2274" hidden="1"/>
    <row r="2275" hidden="1"/>
    <row r="2276" hidden="1"/>
    <row r="2277" hidden="1"/>
    <row r="2278" hidden="1"/>
    <row r="2279" hidden="1"/>
    <row r="2280" hidden="1"/>
    <row r="2281" hidden="1"/>
    <row r="2282" hidden="1"/>
    <row r="2283" hidden="1"/>
    <row r="2284" hidden="1"/>
    <row r="2285" hidden="1"/>
    <row r="2286" hidden="1"/>
    <row r="2287" hidden="1"/>
    <row r="2288" hidden="1"/>
    <row r="2289" hidden="1"/>
    <row r="2290" hidden="1"/>
    <row r="2291" hidden="1"/>
    <row r="2292" hidden="1"/>
    <row r="2293" hidden="1"/>
    <row r="2294" hidden="1"/>
    <row r="2295" hidden="1"/>
    <row r="2296" hidden="1"/>
    <row r="2297" hidden="1"/>
    <row r="2298" hidden="1"/>
    <row r="2299" hidden="1"/>
    <row r="2300" hidden="1"/>
    <row r="2301" hidden="1"/>
    <row r="2302" hidden="1"/>
    <row r="2303" hidden="1"/>
    <row r="2304" hidden="1"/>
    <row r="2305" hidden="1"/>
    <row r="2306" hidden="1"/>
    <row r="2307" hidden="1"/>
    <row r="2308" hidden="1"/>
    <row r="2309" hidden="1"/>
    <row r="2310" hidden="1"/>
    <row r="2311" hidden="1"/>
    <row r="2312" hidden="1"/>
    <row r="2313" hidden="1"/>
    <row r="2314" hidden="1"/>
    <row r="2315" hidden="1"/>
    <row r="2316" hidden="1"/>
    <row r="2317" hidden="1"/>
    <row r="2318" hidden="1"/>
    <row r="2319" hidden="1"/>
    <row r="2320" hidden="1"/>
    <row r="2321" hidden="1"/>
    <row r="2322" hidden="1"/>
    <row r="2323" hidden="1"/>
    <row r="2324" hidden="1"/>
    <row r="2325" hidden="1"/>
    <row r="2326" hidden="1"/>
    <row r="2327" hidden="1"/>
    <row r="2328" hidden="1"/>
    <row r="2329" hidden="1"/>
    <row r="2330" hidden="1"/>
    <row r="2331" hidden="1"/>
    <row r="2332" hidden="1"/>
    <row r="2333" hidden="1"/>
    <row r="2334" hidden="1"/>
    <row r="2335" hidden="1"/>
    <row r="2336" hidden="1"/>
    <row r="2337" hidden="1"/>
    <row r="2338" hidden="1"/>
    <row r="2339" hidden="1"/>
    <row r="2340" hidden="1"/>
    <row r="2341" hidden="1"/>
    <row r="2342" hidden="1"/>
    <row r="2343" hidden="1"/>
    <row r="2344" hidden="1"/>
    <row r="2345" hidden="1"/>
    <row r="2346" hidden="1"/>
    <row r="2347" hidden="1"/>
    <row r="2348" hidden="1"/>
    <row r="2349" hidden="1"/>
    <row r="2350" hidden="1"/>
    <row r="2351" hidden="1"/>
    <row r="2352" hidden="1"/>
    <row r="2353" hidden="1"/>
    <row r="2354" hidden="1"/>
    <row r="2355" hidden="1"/>
    <row r="2356" hidden="1"/>
    <row r="2357" hidden="1"/>
    <row r="2358" hidden="1"/>
    <row r="2359" hidden="1"/>
    <row r="2360" hidden="1"/>
    <row r="2361" hidden="1"/>
    <row r="2362" hidden="1"/>
    <row r="2363" hidden="1"/>
    <row r="2364" hidden="1"/>
    <row r="2365" hidden="1"/>
    <row r="2366" hidden="1"/>
    <row r="2367" hidden="1"/>
    <row r="2368" hidden="1"/>
    <row r="2369" hidden="1"/>
    <row r="2370" hidden="1"/>
    <row r="2371" hidden="1"/>
    <row r="2372" hidden="1"/>
    <row r="2373" hidden="1"/>
    <row r="2374" hidden="1"/>
    <row r="2375" hidden="1"/>
    <row r="2376" hidden="1"/>
    <row r="2377" hidden="1"/>
    <row r="2378" hidden="1"/>
    <row r="2379" hidden="1"/>
    <row r="2380" hidden="1"/>
    <row r="2381" hidden="1"/>
    <row r="2382" hidden="1"/>
    <row r="2383" hidden="1"/>
    <row r="2384" hidden="1"/>
    <row r="2385" hidden="1"/>
    <row r="2386" hidden="1"/>
    <row r="2387" hidden="1"/>
    <row r="2388" hidden="1"/>
    <row r="2389" hidden="1"/>
    <row r="2390" hidden="1"/>
    <row r="2391" hidden="1"/>
    <row r="2392" hidden="1"/>
    <row r="2393" hidden="1"/>
    <row r="2394" hidden="1"/>
    <row r="2395" hidden="1"/>
    <row r="2396" hidden="1"/>
    <row r="2397" hidden="1"/>
    <row r="2398" hidden="1"/>
    <row r="2399" hidden="1"/>
    <row r="2400" hidden="1"/>
    <row r="2401" hidden="1"/>
    <row r="2402" hidden="1"/>
    <row r="2403" hidden="1"/>
    <row r="2404" hidden="1"/>
    <row r="2405" hidden="1"/>
    <row r="2406" hidden="1"/>
    <row r="2407" hidden="1"/>
    <row r="2408" hidden="1"/>
    <row r="2409" hidden="1"/>
    <row r="2410" hidden="1"/>
    <row r="2411" hidden="1"/>
    <row r="2412" hidden="1"/>
    <row r="2413" hidden="1"/>
    <row r="2414" hidden="1"/>
    <row r="2415" hidden="1"/>
    <row r="2416" hidden="1"/>
    <row r="2417" hidden="1"/>
    <row r="2418" hidden="1"/>
    <row r="2419" hidden="1"/>
    <row r="2420" hidden="1"/>
    <row r="2421" hidden="1"/>
    <row r="2422" hidden="1"/>
    <row r="2423" hidden="1"/>
    <row r="2424" hidden="1"/>
    <row r="2425" hidden="1"/>
    <row r="2426" hidden="1"/>
    <row r="2427" hidden="1"/>
    <row r="2428" hidden="1"/>
    <row r="2429" hidden="1"/>
    <row r="2430" hidden="1"/>
    <row r="2431" hidden="1"/>
    <row r="2432" hidden="1"/>
    <row r="2433" hidden="1"/>
    <row r="2434" hidden="1"/>
    <row r="2435" hidden="1"/>
    <row r="2436" hidden="1"/>
    <row r="2437" hidden="1"/>
    <row r="2438" hidden="1"/>
    <row r="2439" hidden="1"/>
    <row r="2440" hidden="1"/>
    <row r="2441" hidden="1"/>
    <row r="2442" hidden="1"/>
    <row r="2443" hidden="1"/>
    <row r="2444" hidden="1"/>
    <row r="2445" hidden="1"/>
    <row r="2446" hidden="1"/>
    <row r="2447" hidden="1"/>
    <row r="2448" hidden="1"/>
    <row r="2449" hidden="1"/>
    <row r="2450" hidden="1"/>
    <row r="2451" hidden="1"/>
    <row r="2452" hidden="1"/>
    <row r="2453" hidden="1"/>
    <row r="2454" hidden="1"/>
    <row r="2455" hidden="1"/>
    <row r="2456" hidden="1"/>
    <row r="2457" hidden="1"/>
    <row r="2458" hidden="1"/>
    <row r="2459" hidden="1"/>
    <row r="2460" hidden="1"/>
    <row r="2461" hidden="1"/>
    <row r="2462" hidden="1"/>
    <row r="2463" hidden="1"/>
    <row r="2464" hidden="1"/>
    <row r="2465" hidden="1"/>
    <row r="2466" hidden="1"/>
    <row r="2467" hidden="1"/>
    <row r="2468" hidden="1"/>
    <row r="2469" hidden="1"/>
    <row r="2470" hidden="1"/>
    <row r="2471" hidden="1"/>
    <row r="2472" hidden="1"/>
    <row r="2473" hidden="1"/>
    <row r="2474" hidden="1"/>
    <row r="2475" hidden="1"/>
    <row r="2476" hidden="1"/>
    <row r="2477" hidden="1"/>
    <row r="2478" hidden="1"/>
    <row r="2479" hidden="1"/>
    <row r="2480" hidden="1"/>
    <row r="2481" hidden="1"/>
    <row r="2482" hidden="1"/>
    <row r="2483" hidden="1"/>
    <row r="2484" hidden="1"/>
    <row r="2485" hidden="1"/>
    <row r="2486" hidden="1"/>
    <row r="2487" hidden="1"/>
    <row r="2488" hidden="1"/>
    <row r="2489" hidden="1"/>
    <row r="2490" hidden="1"/>
    <row r="2491" hidden="1"/>
    <row r="2492" hidden="1"/>
    <row r="2493" hidden="1"/>
    <row r="2494" hidden="1"/>
    <row r="2495" hidden="1"/>
    <row r="2496" hidden="1"/>
    <row r="2497" hidden="1"/>
    <row r="2498" hidden="1"/>
    <row r="2499" hidden="1"/>
    <row r="2500" hidden="1"/>
    <row r="2501" hidden="1"/>
    <row r="2502" hidden="1"/>
    <row r="2503" hidden="1"/>
    <row r="2504" hidden="1"/>
    <row r="2505" hidden="1"/>
    <row r="2506" hidden="1"/>
    <row r="2507" hidden="1"/>
    <row r="2508" hidden="1"/>
    <row r="2509" hidden="1"/>
    <row r="2510" hidden="1"/>
    <row r="2511" hidden="1"/>
    <row r="2512" hidden="1"/>
    <row r="2513" hidden="1"/>
    <row r="2514" hidden="1"/>
    <row r="2515" hidden="1"/>
    <row r="2516" hidden="1"/>
    <row r="2517" hidden="1"/>
    <row r="2518" hidden="1"/>
    <row r="2519" hidden="1"/>
    <row r="2520" hidden="1"/>
    <row r="2521" hidden="1"/>
    <row r="2522" hidden="1"/>
    <row r="2523" hidden="1"/>
    <row r="2524" hidden="1"/>
    <row r="2525" hidden="1"/>
    <row r="2526" hidden="1"/>
    <row r="2527" hidden="1"/>
    <row r="2528" hidden="1"/>
    <row r="2529" hidden="1"/>
    <row r="2530" hidden="1"/>
    <row r="2531" hidden="1"/>
    <row r="2532" hidden="1"/>
    <row r="2533" hidden="1"/>
    <row r="2534" hidden="1"/>
    <row r="2535" hidden="1"/>
    <row r="2536" hidden="1"/>
    <row r="2537" hidden="1"/>
    <row r="2538" hidden="1"/>
    <row r="2539" hidden="1"/>
    <row r="2540" hidden="1"/>
    <row r="2541" hidden="1"/>
    <row r="2542" hidden="1"/>
    <row r="2543" hidden="1"/>
    <row r="2544" hidden="1"/>
    <row r="2545" hidden="1"/>
    <row r="2546" hidden="1"/>
    <row r="2547" hidden="1"/>
    <row r="2548" hidden="1"/>
    <row r="2549" hidden="1"/>
    <row r="2550" hidden="1"/>
    <row r="2551" hidden="1"/>
    <row r="2552" hidden="1"/>
    <row r="2553" hidden="1"/>
    <row r="2554" hidden="1"/>
    <row r="2555" hidden="1"/>
    <row r="2556" hidden="1"/>
    <row r="2557" hidden="1"/>
    <row r="2558" hidden="1"/>
    <row r="2559" hidden="1"/>
    <row r="2560" hidden="1"/>
    <row r="2561" hidden="1"/>
    <row r="2562" hidden="1"/>
    <row r="2563" hidden="1"/>
    <row r="2564" hidden="1"/>
    <row r="2565" hidden="1"/>
    <row r="2566" hidden="1"/>
    <row r="2567" hidden="1"/>
    <row r="2568" hidden="1"/>
    <row r="2569" hidden="1"/>
    <row r="2570" hidden="1"/>
    <row r="2571" hidden="1"/>
    <row r="2572" hidden="1"/>
    <row r="2573" hidden="1"/>
    <row r="2574" hidden="1"/>
    <row r="2575" hidden="1"/>
    <row r="2576" hidden="1"/>
    <row r="2577" hidden="1"/>
    <row r="2578" hidden="1"/>
    <row r="2579" hidden="1"/>
    <row r="2580" hidden="1"/>
    <row r="2581" hidden="1"/>
    <row r="2582" hidden="1"/>
    <row r="2583" hidden="1"/>
    <row r="2584" hidden="1"/>
    <row r="2585" hidden="1"/>
    <row r="2586" hidden="1"/>
    <row r="2587" hidden="1"/>
    <row r="2588" hidden="1"/>
    <row r="2589" hidden="1"/>
    <row r="2590" hidden="1"/>
    <row r="2591" hidden="1"/>
    <row r="2592" hidden="1"/>
    <row r="2593" hidden="1"/>
    <row r="2594" hidden="1"/>
    <row r="2595" hidden="1"/>
    <row r="2596" hidden="1"/>
    <row r="2597" hidden="1"/>
    <row r="2598" hidden="1"/>
    <row r="2599" hidden="1"/>
    <row r="2600" hidden="1"/>
    <row r="2601" hidden="1"/>
    <row r="2602" hidden="1"/>
    <row r="2603" hidden="1"/>
    <row r="2604" hidden="1"/>
    <row r="2605" hidden="1"/>
    <row r="2606" hidden="1"/>
    <row r="2607" hidden="1"/>
    <row r="2608" hidden="1"/>
    <row r="2609" hidden="1"/>
    <row r="2610" hidden="1"/>
    <row r="2611" hidden="1"/>
    <row r="2612" hidden="1"/>
    <row r="2613" hidden="1"/>
    <row r="2614" hidden="1"/>
    <row r="2615" hidden="1"/>
    <row r="2616" hidden="1"/>
    <row r="2617" hidden="1"/>
    <row r="2618" hidden="1"/>
    <row r="2619" hidden="1"/>
    <row r="2620" hidden="1"/>
    <row r="2621" hidden="1"/>
    <row r="2622" hidden="1"/>
    <row r="2623" hidden="1"/>
    <row r="2624" hidden="1"/>
    <row r="2625" hidden="1"/>
    <row r="2626" hidden="1"/>
    <row r="2627" hidden="1"/>
    <row r="2628" hidden="1"/>
    <row r="2629" hidden="1"/>
    <row r="2630" hidden="1"/>
    <row r="2631" hidden="1"/>
    <row r="2632" hidden="1"/>
    <row r="2633" hidden="1"/>
    <row r="2634" hidden="1"/>
    <row r="2635" hidden="1"/>
    <row r="2636" hidden="1"/>
    <row r="2637" hidden="1"/>
    <row r="2638" hidden="1"/>
    <row r="2639" hidden="1"/>
    <row r="2640" hidden="1"/>
    <row r="2641" hidden="1"/>
    <row r="2642" hidden="1"/>
    <row r="2643" hidden="1"/>
    <row r="2644" hidden="1"/>
    <row r="2645" hidden="1"/>
    <row r="2646" hidden="1"/>
    <row r="2647" hidden="1"/>
    <row r="2648" hidden="1"/>
    <row r="2649" hidden="1"/>
    <row r="2650" hidden="1"/>
    <row r="2651" hidden="1"/>
    <row r="2652" hidden="1"/>
    <row r="2653" hidden="1"/>
    <row r="2654" hidden="1"/>
    <row r="2655" hidden="1"/>
    <row r="2656" hidden="1"/>
    <row r="2657" hidden="1"/>
    <row r="2658" hidden="1"/>
    <row r="2659" hidden="1"/>
    <row r="2660" hidden="1"/>
    <row r="2661" hidden="1"/>
    <row r="2662" hidden="1"/>
    <row r="2663" hidden="1"/>
    <row r="2664" hidden="1"/>
    <row r="2665" hidden="1"/>
    <row r="2666" hidden="1"/>
    <row r="2667" hidden="1"/>
    <row r="2668" hidden="1"/>
    <row r="2669" hidden="1"/>
    <row r="2670" hidden="1"/>
    <row r="2671" hidden="1"/>
    <row r="2672" hidden="1"/>
    <row r="2673" hidden="1"/>
    <row r="2674" hidden="1"/>
    <row r="2675" hidden="1"/>
    <row r="2676" hidden="1"/>
    <row r="2677" hidden="1"/>
    <row r="2678" hidden="1"/>
    <row r="2679" hidden="1"/>
    <row r="2680" hidden="1"/>
    <row r="2681" hidden="1"/>
    <row r="2682" hidden="1"/>
    <row r="2683" hidden="1"/>
    <row r="2684" hidden="1"/>
    <row r="2685" hidden="1"/>
    <row r="2686" hidden="1"/>
    <row r="2687" hidden="1"/>
    <row r="2688" hidden="1"/>
    <row r="2689" hidden="1"/>
    <row r="2690" hidden="1"/>
    <row r="2691" hidden="1"/>
    <row r="2692" hidden="1"/>
    <row r="2693" hidden="1"/>
    <row r="2694" hidden="1"/>
    <row r="2695" hidden="1"/>
    <row r="2696" hidden="1"/>
    <row r="2697" hidden="1"/>
    <row r="2698" hidden="1"/>
    <row r="2699" hidden="1"/>
    <row r="2700" hidden="1"/>
    <row r="2701" hidden="1"/>
    <row r="2702" hidden="1"/>
    <row r="2703" hidden="1"/>
    <row r="2704" hidden="1"/>
    <row r="2705" hidden="1"/>
    <row r="2706" hidden="1"/>
    <row r="2707" hidden="1"/>
    <row r="2708" hidden="1"/>
    <row r="2709" hidden="1"/>
    <row r="2710" hidden="1"/>
    <row r="2711" hidden="1"/>
    <row r="2712" hidden="1"/>
    <row r="2713" hidden="1"/>
    <row r="2714" hidden="1"/>
    <row r="2715" hidden="1"/>
    <row r="2716" hidden="1"/>
    <row r="2717" hidden="1"/>
    <row r="2718" hidden="1"/>
    <row r="2719" hidden="1"/>
    <row r="2720" hidden="1"/>
    <row r="2721" hidden="1"/>
    <row r="2722" hidden="1"/>
    <row r="2723" hidden="1"/>
    <row r="2724" hidden="1"/>
    <row r="2725" hidden="1"/>
    <row r="2726" hidden="1"/>
    <row r="2727" hidden="1"/>
    <row r="2728" hidden="1"/>
    <row r="2729" hidden="1"/>
    <row r="2730" hidden="1"/>
    <row r="2731" hidden="1"/>
    <row r="2732" hidden="1"/>
    <row r="2733" hidden="1"/>
    <row r="2734" hidden="1"/>
    <row r="2735" hidden="1"/>
    <row r="2736" hidden="1"/>
    <row r="2737" hidden="1"/>
    <row r="2738" hidden="1"/>
    <row r="2739" hidden="1"/>
    <row r="2740" hidden="1"/>
    <row r="2741" hidden="1"/>
    <row r="2742" hidden="1"/>
    <row r="2743" hidden="1"/>
    <row r="2744" hidden="1"/>
    <row r="2745" hidden="1"/>
    <row r="2746" hidden="1"/>
    <row r="2747" hidden="1"/>
    <row r="2748" hidden="1"/>
    <row r="2749" hidden="1"/>
    <row r="2750" hidden="1"/>
    <row r="2751" hidden="1"/>
    <row r="2752" hidden="1"/>
    <row r="2753" hidden="1"/>
    <row r="2754" hidden="1"/>
    <row r="2755" hidden="1"/>
    <row r="2756" hidden="1"/>
    <row r="2757" hidden="1"/>
    <row r="2758" hidden="1"/>
    <row r="2759" hidden="1"/>
    <row r="2760" hidden="1"/>
    <row r="2761" hidden="1"/>
    <row r="2762" hidden="1"/>
    <row r="2763" hidden="1"/>
    <row r="2764" hidden="1"/>
    <row r="2765" hidden="1"/>
    <row r="2766" hidden="1"/>
    <row r="2767" hidden="1"/>
    <row r="2768" hidden="1"/>
    <row r="2769" hidden="1"/>
    <row r="2770" hidden="1"/>
    <row r="2771" hidden="1"/>
    <row r="2772" hidden="1"/>
    <row r="2773" hidden="1"/>
    <row r="2774" hidden="1"/>
    <row r="2775" hidden="1"/>
    <row r="2776" hidden="1"/>
    <row r="2777" hidden="1"/>
    <row r="2778" hidden="1"/>
    <row r="2779" hidden="1"/>
    <row r="2780" hidden="1"/>
    <row r="2781" hidden="1"/>
    <row r="2782" hidden="1"/>
    <row r="2783" hidden="1"/>
    <row r="2784" hidden="1"/>
    <row r="2785" hidden="1"/>
    <row r="2786" hidden="1"/>
    <row r="2787" hidden="1"/>
    <row r="2788" hidden="1"/>
    <row r="2789" hidden="1"/>
    <row r="2790" hidden="1"/>
    <row r="2791" hidden="1"/>
    <row r="2792" hidden="1"/>
    <row r="2793" hidden="1"/>
    <row r="2794" hidden="1"/>
    <row r="2795" hidden="1"/>
    <row r="2796" hidden="1"/>
    <row r="2797" hidden="1"/>
    <row r="2798" hidden="1"/>
    <row r="2799" hidden="1"/>
    <row r="2800" hidden="1"/>
    <row r="2801" hidden="1"/>
    <row r="2802" hidden="1"/>
    <row r="2803" hidden="1"/>
    <row r="2804" hidden="1"/>
    <row r="2805" hidden="1"/>
    <row r="2806" hidden="1"/>
    <row r="2807" hidden="1"/>
    <row r="2808" hidden="1"/>
    <row r="2809" hidden="1"/>
    <row r="2810" hidden="1"/>
    <row r="2811" hidden="1"/>
    <row r="2812" hidden="1"/>
    <row r="2813" hidden="1"/>
    <row r="2814" hidden="1"/>
    <row r="2815" hidden="1"/>
    <row r="2816" hidden="1"/>
    <row r="2817" hidden="1"/>
    <row r="2818" hidden="1"/>
    <row r="2819" hidden="1"/>
    <row r="2820" hidden="1"/>
    <row r="2821" hidden="1"/>
    <row r="2822" hidden="1"/>
    <row r="2823" hidden="1"/>
    <row r="2824" hidden="1"/>
    <row r="2825" hidden="1"/>
    <row r="2826" hidden="1"/>
    <row r="2827" hidden="1"/>
    <row r="2828" hidden="1"/>
    <row r="2829" hidden="1"/>
    <row r="2830" hidden="1"/>
    <row r="2831" hidden="1"/>
    <row r="2832" hidden="1"/>
    <row r="2833" hidden="1"/>
    <row r="2834" hidden="1"/>
    <row r="2835" hidden="1"/>
    <row r="2836" hidden="1"/>
    <row r="2837" hidden="1"/>
    <row r="2838" hidden="1"/>
    <row r="2839" hidden="1"/>
    <row r="2840" hidden="1"/>
    <row r="2841" hidden="1"/>
    <row r="2842" hidden="1"/>
    <row r="2843" hidden="1"/>
    <row r="2844" hidden="1"/>
    <row r="2845" hidden="1"/>
    <row r="2846" hidden="1"/>
    <row r="2847" hidden="1"/>
  </sheetData>
  <autoFilter ref="$F$1:$F$2847">
    <filterColumn colId="0">
      <filters>
        <filter val="Array, String, Sorting,"/>
        <filter val="Array, Math, Two Pointers, String, Greedy,"/>
        <filter val="Array, String, Backtracking, Simulation,"/>
        <filter val="Array, String, Greedy, Sorting, Counting,"/>
        <filter val="Array, String, Backtracking, Trie, Matrix,"/>
        <filter val="Array, Math, String, Interactive, Game Theory,"/>
        <filter val="Array, String, Simulation,"/>
        <filter val="Array, Hash Table, String, Trie, String Matching,"/>
        <filter val="Array, String, Dynamic Programming, Bit Manipulation, Bitmask,"/>
        <filter val="Array, String, Depth-First Search, Breadth-First Search, Union Find,"/>
        <filter val="Array, String, Design, Trie, Data Stream,"/>
        <filter val="Array, Hash Table, String, Backtracking, Union Find,"/>
        <filter val="Array, String, Segment Tree, Ordered Set,"/>
        <filter val="String, Binary Search, Rolling Hash, Suffix Array, String Matching, Hash Function,"/>
        <filter val="Array, String, Divide and Conquer, Sorting, Heap (Priority Queue), Quickselect,"/>
        <filter val="Array, Hash Table, String, Graph, Topological Sort,"/>
        <filter val="Array, Hash Table, String, Design,"/>
        <filter val="Array, String, Backtracking, Bit Manipulation,"/>
        <filter val="Array, Math, String, Backtracking,"/>
        <filter val="Array, String, Bit Manipulation,"/>
        <filter val="Array, Two Pointers, String,"/>
        <filter val="Array, String,"/>
        <filter val="Array, Math, String, Sorting,"/>
        <filter val="Array, Two Pointers, String, Sorting,"/>
        <filter val="Array, Hash Table, String, Sorting, Counting,"/>
        <filter val="Array, String, Binary Search,"/>
        <filter val="Array, String, Backtracking, Trie,"/>
        <filter val="Array, Math, String,"/>
        <filter val="Array, Hash Table, String, Sorting,"/>
        <filter val="Array, Hash Table, String, Binary Search, Sorting,"/>
        <filter val="Array, Hash Table, String, Design, Trie,"/>
        <filter val="Array, String, Dynamic Programming,"/>
        <filter val="Array, String, Greedy,"/>
        <filter val="Array, String, Dynamic Programming, Backtracking, Bit Manipulation, Bitmask,"/>
        <filter val="Array, String, Binary Search, Prefix Sum,"/>
        <filter val="Array, Math, String, Greedy,"/>
        <filter val="Array, String, Stack,"/>
        <filter val="Array, Hash Table, String, Counting,"/>
        <filter val="Array, Hash Table, String, Tree, Depth-First Search, Breadth-First Search,"/>
        <filter val="Array, Hash Table, String, Bit Manipulation, Enumeration,"/>
        <filter val="Array, String, Greedy, Trie, Sorting,"/>
        <filter val="Array, String, Divide and Conquer, Sorting, Heap (Priority Queue), Radix Sort, Quickselect,"/>
        <filter val="Array, Hash Table, String, Greedy, Counting,"/>
        <filter val="Array, Hash Table, String, Breadth-First Search,"/>
        <filter val="Array, Hash Table, String, Bit Manipulation,"/>
        <filter val="Array, String, Union Find, Graph,"/>
        <filter val="Array, Hash Table, String, Bit Manipulation, Sorting,"/>
        <filter val="Array, String, Dynamic Programming, Greedy,"/>
        <filter val="Array, Hash Table, String, String Matching,"/>
        <filter val="Array, String, Dynamic Programming, Depth-First Search, Trie,"/>
        <filter val="Array, Greedy, String Matching,"/>
        <filter val="Array, Hash Table, String, Depth-First Search, Breadth-First Search, Union Find,"/>
        <filter val="Array, String, Trie,"/>
        <filter val="String, Binary Search, Dynamic Programming, Rolling Hash, Suffix Array, Hash Function,"/>
        <filter val="Array, Hash Table, String, Trie, Hash Function,"/>
        <filter val="Array, Hash Table, String, Bit Manipulation, Trie,"/>
        <filter val="String, Dynamic Programming, Suffix Array,"/>
        <filter val="Array, String, Recursion,"/>
        <filter val="Array, String, Backtracking,"/>
        <filter val="Array, Hash Table, Two Pointers, String, Sorting,"/>
        <filter val="Array, Hash Table, String,"/>
        <filter val="Array, Hash Table, String, Design, Iterator,"/>
        <filter val="Array, Hash Table, String, Sorting, Ordered Set,"/>
        <filter val="Array, Hash Table, String, Trie, Sorting,"/>
        <filter val="Array, String, Design,"/>
        <filter val="Array, String, Trie, Sorting,"/>
        <filter val="Array, String, Binary Search, Interactive,"/>
        <filter val="Array, String, Depth-First Search, Breadth-First Search, Graph, Topological Sort,"/>
        <filter val="Array, Hash Table, String, Trie,"/>
        <filter val="Array, Math, String, Matrix,"/>
        <filter val="Array, String, String Matching,"/>
        <filter val="Array, String, Tree, Depth-First Search, Graph, Topological Sort,"/>
        <filter val="Array, Hash Table, Two Pointers, String, Dynamic Programming,"/>
        <filter val="String, Trie, Rolling Hash, Suffix Array, Hash Function,"/>
        <filter val="Array, Math, String, Dynamic Programming, Stack, Memoization,"/>
        <filter val="Array, Hash Table, Two Pointers, String, Design,"/>
        <filter val="String, Binary Search, Sliding Window, Rolling Hash, Suffix Array, Hash Function,"/>
      </filters>
    </filterColumn>
  </autoFilter>
  <customSheetViews>
    <customSheetView guid="{2410355E-E128-4F99-BD13-6547AADD0923}" filter="1" showAutoFilter="1">
      <autoFilter ref="$D$1:$D$2846">
        <filterColumn colId="0">
          <customFilters>
            <customFilter val="*Hash*"/>
          </customFilters>
        </filterColumn>
      </autoFilter>
    </customSheetView>
  </customSheetView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  <col customWidth="1" min="352" max="352" width="73.63"/>
  </cols>
  <sheetData>
    <row r="1">
      <c r="A1" s="21" t="str">
        <f>IFERROR(__xludf.DUMMYFUNCTION("IMPORTDATA(""https://api.github.com/repos/adixmr/leetcode"", "","")"),"{""id"":467902538")</f>
        <v>{"id":467902538</v>
      </c>
      <c r="B1" s="20" t="str">
        <f>IFERROR(__xludf.DUMMYFUNCTION("""COMPUTED_VALUE"""),"node_id:""R_kgDOG-OgSg""")</f>
        <v>node_id:"R_kgDOG-OgSg"</v>
      </c>
      <c r="C1" s="20" t="str">
        <f>IFERROR(__xludf.DUMMYFUNCTION("""COMPUTED_VALUE"""),"name:""leetcode""")</f>
        <v>name:"leetcode"</v>
      </c>
      <c r="D1" s="20" t="str">
        <f>IFERROR(__xludf.DUMMYFUNCTION("""COMPUTED_VALUE"""),"full_name:""adixmr/leetcode""")</f>
        <v>full_name:"adixmr/leetcode"</v>
      </c>
      <c r="E1" s="20" t="str">
        <f>IFERROR(__xludf.DUMMYFUNCTION("""COMPUTED_VALUE"""),"private:false")</f>
        <v>private:false</v>
      </c>
      <c r="F1" s="20" t="str">
        <f>IFERROR(__xludf.DUMMYFUNCTION("""COMPUTED_VALUE"""),"owner:{""login"":""adixmr""")</f>
        <v>owner:{"login":"adixmr"</v>
      </c>
      <c r="G1" s="20" t="str">
        <f>IFERROR(__xludf.DUMMYFUNCTION("""COMPUTED_VALUE"""),"id:42894359")</f>
        <v>id:42894359</v>
      </c>
      <c r="H1" s="20" t="str">
        <f>IFERROR(__xludf.DUMMYFUNCTION("""COMPUTED_VALUE"""),"node_id:""MDQ6VXNlcjQyODk0MzU5""")</f>
        <v>node_id:"MDQ6VXNlcjQyODk0MzU5"</v>
      </c>
      <c r="I1" s="20" t="str">
        <f>IFERROR(__xludf.DUMMYFUNCTION("""COMPUTED_VALUE"""),"avatar_url:""https://avatars.githubusercontent.com/u/42894359?v=4""")</f>
        <v>avatar_url:"https://avatars.githubusercontent.com/u/42894359?v=4"</v>
      </c>
      <c r="J1" s="20" t="str">
        <f>IFERROR(__xludf.DUMMYFUNCTION("""COMPUTED_VALUE"""),"gravatar_id:""""")</f>
        <v>gravatar_id:""</v>
      </c>
      <c r="K1" s="20" t="str">
        <f>IFERROR(__xludf.DUMMYFUNCTION("""COMPUTED_VALUE"""),"url:""https://api.github.com/users/adixmr""")</f>
        <v>url:"https://api.github.com/users/adixmr"</v>
      </c>
      <c r="L1" s="20" t="str">
        <f>IFERROR(__xludf.DUMMYFUNCTION("""COMPUTED_VALUE"""),"html_url:""https://github.com/adixmr""")</f>
        <v>html_url:"https://github.com/adixmr"</v>
      </c>
      <c r="M1" s="20" t="str">
        <f>IFERROR(__xludf.DUMMYFUNCTION("""COMPUTED_VALUE"""),"followers_url:""https://api.github.com/users/adixmr/followers""")</f>
        <v>followers_url:"https://api.github.com/users/adixmr/followers"</v>
      </c>
      <c r="N1" s="20" t="str">
        <f>IFERROR(__xludf.DUMMYFUNCTION("""COMPUTED_VALUE"""),"following_url:""https://api.github.com/users/adixmr/following{/other_user}""")</f>
        <v>following_url:"https://api.github.com/users/adixmr/following{/other_user}"</v>
      </c>
      <c r="O1" s="20" t="str">
        <f>IFERROR(__xludf.DUMMYFUNCTION("""COMPUTED_VALUE"""),"gists_url:""https://api.github.com/users/adixmr/gists{/gist_id}""")</f>
        <v>gists_url:"https://api.github.com/users/adixmr/gists{/gist_id}"</v>
      </c>
      <c r="P1" s="20" t="str">
        <f>IFERROR(__xludf.DUMMYFUNCTION("""COMPUTED_VALUE"""),"starred_url:""https://api.github.com/users/adixmr/starred{/owner}{/repo}""")</f>
        <v>starred_url:"https://api.github.com/users/adixmr/starred{/owner}{/repo}"</v>
      </c>
      <c r="Q1" s="20" t="str">
        <f>IFERROR(__xludf.DUMMYFUNCTION("""COMPUTED_VALUE"""),"subscriptions_url:""https://api.github.com/users/adixmr/subscriptions""")</f>
        <v>subscriptions_url:"https://api.github.com/users/adixmr/subscriptions"</v>
      </c>
      <c r="R1" s="20" t="str">
        <f>IFERROR(__xludf.DUMMYFUNCTION("""COMPUTED_VALUE"""),"organizations_url:""https://api.github.com/users/adixmr/orgs""")</f>
        <v>organizations_url:"https://api.github.com/users/adixmr/orgs"</v>
      </c>
      <c r="S1" s="20" t="str">
        <f>IFERROR(__xludf.DUMMYFUNCTION("""COMPUTED_VALUE"""),"repos_url:""https://api.github.com/users/adixmr/repos""")</f>
        <v>repos_url:"https://api.github.com/users/adixmr/repos"</v>
      </c>
      <c r="T1" s="20" t="str">
        <f>IFERROR(__xludf.DUMMYFUNCTION("""COMPUTED_VALUE"""),"events_url:""https://api.github.com/users/adixmr/events{/privacy}""")</f>
        <v>events_url:"https://api.github.com/users/adixmr/events{/privacy}"</v>
      </c>
      <c r="U1" s="20" t="str">
        <f>IFERROR(__xludf.DUMMYFUNCTION("""COMPUTED_VALUE"""),"received_events_url:""https://api.github.com/users/adixmr/received_events""")</f>
        <v>received_events_url:"https://api.github.com/users/adixmr/received_events"</v>
      </c>
      <c r="V1" s="20" t="str">
        <f>IFERROR(__xludf.DUMMYFUNCTION("""COMPUTED_VALUE"""),"type:""User""")</f>
        <v>type:"User"</v>
      </c>
      <c r="W1" s="20" t="str">
        <f>IFERROR(__xludf.DUMMYFUNCTION("""COMPUTED_VALUE"""),"site_admin:false}")</f>
        <v>site_admin:false}</v>
      </c>
      <c r="X1" s="20" t="str">
        <f>IFERROR(__xludf.DUMMYFUNCTION("""COMPUTED_VALUE"""),"html_url:""https://github.com/adixmr/leetcode""")</f>
        <v>html_url:"https://github.com/adixmr/leetcode"</v>
      </c>
      <c r="Y1" s="20" t="str">
        <f>IFERROR(__xludf.DUMMYFUNCTION("""COMPUTED_VALUE"""),"description:""Leetcode Questions - Sorted by likes")</f>
        <v>description:"Leetcode Questions - Sorted by likes</v>
      </c>
      <c r="Z1" s="20" t="str">
        <f>IFERROR(__xludf.DUMMYFUNCTION("""COMPUTED_VALUE"""),"likes-dislikes ratio and much more""")</f>
        <v>likes-dislikes ratio and much more"</v>
      </c>
      <c r="AA1" s="20" t="str">
        <f>IFERROR(__xludf.DUMMYFUNCTION("""COMPUTED_VALUE"""),"fork:false")</f>
        <v>fork:false</v>
      </c>
      <c r="AB1" s="20" t="str">
        <f>IFERROR(__xludf.DUMMYFUNCTION("""COMPUTED_VALUE"""),"url:""https://api.github.com/repos/adixmr/leetcode""")</f>
        <v>url:"https://api.github.com/repos/adixmr/leetcode"</v>
      </c>
      <c r="AC1" s="20" t="str">
        <f>IFERROR(__xludf.DUMMYFUNCTION("""COMPUTED_VALUE"""),"forks_url:""https://api.github.com/repos/adixmr/leetcode/forks""")</f>
        <v>forks_url:"https://api.github.com/repos/adixmr/leetcode/forks"</v>
      </c>
      <c r="AD1" s="20" t="str">
        <f>IFERROR(__xludf.DUMMYFUNCTION("""COMPUTED_VALUE"""),"keys_url:""https://api.github.com/repos/adixmr/leetcode/keys{/key_id}""")</f>
        <v>keys_url:"https://api.github.com/repos/adixmr/leetcode/keys{/key_id}"</v>
      </c>
      <c r="AE1" s="20" t="str">
        <f>IFERROR(__xludf.DUMMYFUNCTION("""COMPUTED_VALUE"""),"collaborators_url:""https://api.github.com/repos/adixmr/leetcode/collaborators{/collaborator}""")</f>
        <v>collaborators_url:"https://api.github.com/repos/adixmr/leetcode/collaborators{/collaborator}"</v>
      </c>
      <c r="AF1" s="20" t="str">
        <f>IFERROR(__xludf.DUMMYFUNCTION("""COMPUTED_VALUE"""),"teams_url:""https://api.github.com/repos/adixmr/leetcode/teams""")</f>
        <v>teams_url:"https://api.github.com/repos/adixmr/leetcode/teams"</v>
      </c>
      <c r="AG1" s="20" t="str">
        <f>IFERROR(__xludf.DUMMYFUNCTION("""COMPUTED_VALUE"""),"hooks_url:""https://api.github.com/repos/adixmr/leetcode/hooks""")</f>
        <v>hooks_url:"https://api.github.com/repos/adixmr/leetcode/hooks"</v>
      </c>
      <c r="AH1" s="20" t="str">
        <f>IFERROR(__xludf.DUMMYFUNCTION("""COMPUTED_VALUE"""),"issue_events_url:""https://api.github.com/repos/adixmr/leetcode/issues/events{/number}""")</f>
        <v>issue_events_url:"https://api.github.com/repos/adixmr/leetcode/issues/events{/number}"</v>
      </c>
      <c r="AI1" s="20" t="str">
        <f>IFERROR(__xludf.DUMMYFUNCTION("""COMPUTED_VALUE"""),"events_url:""https://api.github.com/repos/adixmr/leetcode/events""")</f>
        <v>events_url:"https://api.github.com/repos/adixmr/leetcode/events"</v>
      </c>
      <c r="AJ1" s="20" t="str">
        <f>IFERROR(__xludf.DUMMYFUNCTION("""COMPUTED_VALUE"""),"assignees_url:""https://api.github.com/repos/adixmr/leetcode/assignees{/user}""")</f>
        <v>assignees_url:"https://api.github.com/repos/adixmr/leetcode/assignees{/user}"</v>
      </c>
      <c r="AK1" s="20" t="str">
        <f>IFERROR(__xludf.DUMMYFUNCTION("""COMPUTED_VALUE"""),"branches_url:""https://api.github.com/repos/adixmr/leetcode/branches{/branch}""")</f>
        <v>branches_url:"https://api.github.com/repos/adixmr/leetcode/branches{/branch}"</v>
      </c>
      <c r="AL1" s="20" t="str">
        <f>IFERROR(__xludf.DUMMYFUNCTION("""COMPUTED_VALUE"""),"tags_url:""https://api.github.com/repos/adixmr/leetcode/tags""")</f>
        <v>tags_url:"https://api.github.com/repos/adixmr/leetcode/tags"</v>
      </c>
      <c r="AM1" s="20" t="str">
        <f>IFERROR(__xludf.DUMMYFUNCTION("""COMPUTED_VALUE"""),"blobs_url:""https://api.github.com/repos/adixmr/leetcode/git/blobs{/sha}""")</f>
        <v>blobs_url:"https://api.github.com/repos/adixmr/leetcode/git/blobs{/sha}"</v>
      </c>
      <c r="AN1" s="20" t="str">
        <f>IFERROR(__xludf.DUMMYFUNCTION("""COMPUTED_VALUE"""),"git_tags_url:""https://api.github.com/repos/adixmr/leetcode/git/tags{/sha}""")</f>
        <v>git_tags_url:"https://api.github.com/repos/adixmr/leetcode/git/tags{/sha}"</v>
      </c>
      <c r="AO1" s="20" t="str">
        <f>IFERROR(__xludf.DUMMYFUNCTION("""COMPUTED_VALUE"""),"git_refs_url:""https://api.github.com/repos/adixmr/leetcode/git/refs{/sha}""")</f>
        <v>git_refs_url:"https://api.github.com/repos/adixmr/leetcode/git/refs{/sha}"</v>
      </c>
      <c r="AP1" s="20" t="str">
        <f>IFERROR(__xludf.DUMMYFUNCTION("""COMPUTED_VALUE"""),"trees_url:""https://api.github.com/repos/adixmr/leetcode/git/trees{/sha}""")</f>
        <v>trees_url:"https://api.github.com/repos/adixmr/leetcode/git/trees{/sha}"</v>
      </c>
      <c r="AQ1" s="20" t="str">
        <f>IFERROR(__xludf.DUMMYFUNCTION("""COMPUTED_VALUE"""),"statuses_url:""https://api.github.com/repos/adixmr/leetcode/statuses/{sha}""")</f>
        <v>statuses_url:"https://api.github.com/repos/adixmr/leetcode/statuses/{sha}"</v>
      </c>
      <c r="AR1" s="20" t="str">
        <f>IFERROR(__xludf.DUMMYFUNCTION("""COMPUTED_VALUE"""),"languages_url:""https://api.github.com/repos/adixmr/leetcode/languages""")</f>
        <v>languages_url:"https://api.github.com/repos/adixmr/leetcode/languages"</v>
      </c>
      <c r="AS1" s="20" t="str">
        <f>IFERROR(__xludf.DUMMYFUNCTION("""COMPUTED_VALUE"""),"stargazers_url:""https://api.github.com/repos/adixmr/leetcode/stargazers""")</f>
        <v>stargazers_url:"https://api.github.com/repos/adixmr/leetcode/stargazers"</v>
      </c>
      <c r="AT1" s="20" t="str">
        <f>IFERROR(__xludf.DUMMYFUNCTION("""COMPUTED_VALUE"""),"contributors_url:""https://api.github.com/repos/adixmr/leetcode/contributors""")</f>
        <v>contributors_url:"https://api.github.com/repos/adixmr/leetcode/contributors"</v>
      </c>
      <c r="AU1" s="20" t="str">
        <f>IFERROR(__xludf.DUMMYFUNCTION("""COMPUTED_VALUE"""),"subscribers_url:""https://api.github.com/repos/adixmr/leetcode/subscribers""")</f>
        <v>subscribers_url:"https://api.github.com/repos/adixmr/leetcode/subscribers"</v>
      </c>
      <c r="AV1" s="20" t="str">
        <f>IFERROR(__xludf.DUMMYFUNCTION("""COMPUTED_VALUE"""),"subscription_url:""https://api.github.com/repos/adixmr/leetcode/subscription""")</f>
        <v>subscription_url:"https://api.github.com/repos/adixmr/leetcode/subscription"</v>
      </c>
      <c r="AW1" s="20" t="str">
        <f>IFERROR(__xludf.DUMMYFUNCTION("""COMPUTED_VALUE"""),"commits_url:""https://api.github.com/repos/adixmr/leetcode/commits{/sha}""")</f>
        <v>commits_url:"https://api.github.com/repos/adixmr/leetcode/commits{/sha}"</v>
      </c>
      <c r="AX1" s="20" t="str">
        <f>IFERROR(__xludf.DUMMYFUNCTION("""COMPUTED_VALUE"""),"git_commits_url:""https://api.github.com/repos/adixmr/leetcode/git/commits{/sha}""")</f>
        <v>git_commits_url:"https://api.github.com/repos/adixmr/leetcode/git/commits{/sha}"</v>
      </c>
      <c r="AY1" s="20" t="str">
        <f>IFERROR(__xludf.DUMMYFUNCTION("""COMPUTED_VALUE"""),"comments_url:""https://api.github.com/repos/adixmr/leetcode/comments{/number}""")</f>
        <v>comments_url:"https://api.github.com/repos/adixmr/leetcode/comments{/number}"</v>
      </c>
      <c r="AZ1" s="20" t="str">
        <f>IFERROR(__xludf.DUMMYFUNCTION("""COMPUTED_VALUE"""),"issue_comment_url:""https://api.github.com/repos/adixmr/leetcode/issues/comments{/number}""")</f>
        <v>issue_comment_url:"https://api.github.com/repos/adixmr/leetcode/issues/comments{/number}"</v>
      </c>
      <c r="BA1" s="20" t="str">
        <f>IFERROR(__xludf.DUMMYFUNCTION("""COMPUTED_VALUE"""),"contents_url:""https://api.github.com/repos/adixmr/leetcode/contents/{+path}""")</f>
        <v>contents_url:"https://api.github.com/repos/adixmr/leetcode/contents/{+path}"</v>
      </c>
      <c r="BB1" s="20" t="str">
        <f>IFERROR(__xludf.DUMMYFUNCTION("""COMPUTED_VALUE"""),"compare_url:""https://api.github.com/repos/adixmr/leetcode/compare/{base}...{head}""")</f>
        <v>compare_url:"https://api.github.com/repos/adixmr/leetcode/compare/{base}...{head}"</v>
      </c>
      <c r="BC1" s="20" t="str">
        <f>IFERROR(__xludf.DUMMYFUNCTION("""COMPUTED_VALUE"""),"merges_url:""https://api.github.com/repos/adixmr/leetcode/merges""")</f>
        <v>merges_url:"https://api.github.com/repos/adixmr/leetcode/merges"</v>
      </c>
      <c r="BD1" s="20" t="str">
        <f>IFERROR(__xludf.DUMMYFUNCTION("""COMPUTED_VALUE"""),"archive_url:""https://api.github.com/repos/adixmr/leetcode/{archive_format}{/ref}""")</f>
        <v>archive_url:"https://api.github.com/repos/adixmr/leetcode/{archive_format}{/ref}"</v>
      </c>
      <c r="BE1" s="20" t="str">
        <f>IFERROR(__xludf.DUMMYFUNCTION("""COMPUTED_VALUE"""),"downloads_url:""https://api.github.com/repos/adixmr/leetcode/downloads""")</f>
        <v>downloads_url:"https://api.github.com/repos/adixmr/leetcode/downloads"</v>
      </c>
      <c r="BF1" s="20" t="str">
        <f>IFERROR(__xludf.DUMMYFUNCTION("""COMPUTED_VALUE"""),"issues_url:""https://api.github.com/repos/adixmr/leetcode/issues{/number}""")</f>
        <v>issues_url:"https://api.github.com/repos/adixmr/leetcode/issues{/number}"</v>
      </c>
      <c r="BG1" s="20" t="str">
        <f>IFERROR(__xludf.DUMMYFUNCTION("""COMPUTED_VALUE"""),"pulls_url:""https://api.github.com/repos/adixmr/leetcode/pulls{/number}""")</f>
        <v>pulls_url:"https://api.github.com/repos/adixmr/leetcode/pulls{/number}"</v>
      </c>
      <c r="BH1" s="20" t="str">
        <f>IFERROR(__xludf.DUMMYFUNCTION("""COMPUTED_VALUE"""),"milestones_url:""https://api.github.com/repos/adixmr/leetcode/milestones{/number}""")</f>
        <v>milestones_url:"https://api.github.com/repos/adixmr/leetcode/milestones{/number}"</v>
      </c>
      <c r="BI1" s="20" t="str">
        <f>IFERROR(__xludf.DUMMYFUNCTION("""COMPUTED_VALUE"""),"notifications_url:""https://api.github.com/repos/adixmr/leetcode/notifications{?since")</f>
        <v>notifications_url:"https://api.github.com/repos/adixmr/leetcode/notifications{?since</v>
      </c>
      <c r="BJ1" s="20" t="str">
        <f>IFERROR(__xludf.DUMMYFUNCTION("""COMPUTED_VALUE"""),"all")</f>
        <v>all</v>
      </c>
      <c r="BK1" s="20" t="str">
        <f>IFERROR(__xludf.DUMMYFUNCTION("""COMPUTED_VALUE"""),"participating}""")</f>
        <v>participating}"</v>
      </c>
      <c r="BL1" s="20" t="str">
        <f>IFERROR(__xludf.DUMMYFUNCTION("""COMPUTED_VALUE"""),"labels_url:""https://api.github.com/repos/adixmr/leetcode/labels{/name}""")</f>
        <v>labels_url:"https://api.github.com/repos/adixmr/leetcode/labels{/name}"</v>
      </c>
      <c r="BM1" s="20" t="str">
        <f>IFERROR(__xludf.DUMMYFUNCTION("""COMPUTED_VALUE"""),"releases_url:""https://api.github.com/repos/adixmr/leetcode/releases{/id}""")</f>
        <v>releases_url:"https://api.github.com/repos/adixmr/leetcode/releases{/id}"</v>
      </c>
      <c r="BN1" s="20" t="str">
        <f>IFERROR(__xludf.DUMMYFUNCTION("""COMPUTED_VALUE"""),"deployments_url:""https://api.github.com/repos/adixmr/leetcode/deployments""")</f>
        <v>deployments_url:"https://api.github.com/repos/adixmr/leetcode/deployments"</v>
      </c>
      <c r="BO1" s="20" t="str">
        <f>IFERROR(__xludf.DUMMYFUNCTION("""COMPUTED_VALUE"""),"created_at:""2022-03-09T11:40:13Z""")</f>
        <v>created_at:"2022-03-09T11:40:13Z"</v>
      </c>
      <c r="BP1" s="20" t="str">
        <f>IFERROR(__xludf.DUMMYFUNCTION("""COMPUTED_VALUE"""),"updated_at:""2023-01-02T02:44:07Z""")</f>
        <v>updated_at:"2023-01-02T02:44:07Z"</v>
      </c>
      <c r="BQ1" s="20" t="str">
        <f>IFERROR(__xludf.DUMMYFUNCTION("""COMPUTED_VALUE"""),"pushed_at:""2023-01-02T12:30:03Z""")</f>
        <v>pushed_at:"2023-01-02T12:30:03Z"</v>
      </c>
      <c r="BR1" s="20" t="str">
        <f>IFERROR(__xludf.DUMMYFUNCTION("""COMPUTED_VALUE"""),"git_url:""git://github.com/adixmr/leetcode.git""")</f>
        <v>git_url:"git://github.com/adixmr/leetcode.git"</v>
      </c>
      <c r="BS1" s="20" t="str">
        <f>IFERROR(__xludf.DUMMYFUNCTION("""COMPUTED_VALUE"""),"ssh_url:""git@github.com:adixmr/leetcode.git""")</f>
        <v>ssh_url:"git@github.com:adixmr/leetcode.git"</v>
      </c>
      <c r="BT1" s="20" t="str">
        <f>IFERROR(__xludf.DUMMYFUNCTION("""COMPUTED_VALUE"""),"clone_url:""https://github.com/adixmr/leetcode.git""")</f>
        <v>clone_url:"https://github.com/adixmr/leetcode.git"</v>
      </c>
      <c r="BU1" s="20" t="str">
        <f>IFERROR(__xludf.DUMMYFUNCTION("""COMPUTED_VALUE"""),"svn_url:""https://github.com/adixmr/leetcode""")</f>
        <v>svn_url:"https://github.com/adixmr/leetcode"</v>
      </c>
      <c r="BV1" s="20" t="str">
        <f>IFERROR(__xludf.DUMMYFUNCTION("""COMPUTED_VALUE"""),"homepage:""https://adityarajput.com/leetcode/""")</f>
        <v>homepage:"https://adityarajput.com/leetcode/"</v>
      </c>
      <c r="BW1" s="20" t="str">
        <f>IFERROR(__xludf.DUMMYFUNCTION("""COMPUTED_VALUE"""),"size:34368")</f>
        <v>size:34368</v>
      </c>
      <c r="BX1" s="20" t="str">
        <f>IFERROR(__xludf.DUMMYFUNCTION("""COMPUTED_VALUE"""),"stargazers_count:242")</f>
        <v>stargazers_count:242</v>
      </c>
      <c r="BY1" s="20" t="str">
        <f>IFERROR(__xludf.DUMMYFUNCTION("""COMPUTED_VALUE"""),"watchers_count:242")</f>
        <v>watchers_count:242</v>
      </c>
      <c r="BZ1" s="20" t="str">
        <f>IFERROR(__xludf.DUMMYFUNCTION("""COMPUTED_VALUE"""),"language:""HTML""")</f>
        <v>language:"HTML"</v>
      </c>
      <c r="CA1" s="20" t="str">
        <f>IFERROR(__xludf.DUMMYFUNCTION("""COMPUTED_VALUE"""),"has_issues:true")</f>
        <v>has_issues:true</v>
      </c>
      <c r="CB1" s="20" t="str">
        <f>IFERROR(__xludf.DUMMYFUNCTION("""COMPUTED_VALUE"""),"has_projects:true")</f>
        <v>has_projects:true</v>
      </c>
      <c r="CC1" s="20" t="str">
        <f>IFERROR(__xludf.DUMMYFUNCTION("""COMPUTED_VALUE"""),"has_downloads:true")</f>
        <v>has_downloads:true</v>
      </c>
      <c r="CD1" s="20" t="str">
        <f>IFERROR(__xludf.DUMMYFUNCTION("""COMPUTED_VALUE"""),"has_wiki:true")</f>
        <v>has_wiki:true</v>
      </c>
      <c r="CE1" s="20" t="str">
        <f>IFERROR(__xludf.DUMMYFUNCTION("""COMPUTED_VALUE"""),"has_pages:false")</f>
        <v>has_pages:false</v>
      </c>
      <c r="CF1" s="20" t="str">
        <f>IFERROR(__xludf.DUMMYFUNCTION("""COMPUTED_VALUE"""),"has_discussions:false")</f>
        <v>has_discussions:false</v>
      </c>
      <c r="CG1" s="20" t="str">
        <f>IFERROR(__xludf.DUMMYFUNCTION("""COMPUTED_VALUE"""),"forks_count:44")</f>
        <v>forks_count:44</v>
      </c>
      <c r="CH1" s="20" t="str">
        <f>IFERROR(__xludf.DUMMYFUNCTION("""COMPUTED_VALUE"""),"mirror_url:null")</f>
        <v>mirror_url:null</v>
      </c>
      <c r="CI1" s="20" t="str">
        <f>IFERROR(__xludf.DUMMYFUNCTION("""COMPUTED_VALUE"""),"archived:false")</f>
        <v>archived:false</v>
      </c>
      <c r="CJ1" s="20" t="str">
        <f>IFERROR(__xludf.DUMMYFUNCTION("""COMPUTED_VALUE"""),"disabled:false")</f>
        <v>disabled:false</v>
      </c>
      <c r="CK1" s="20" t="str">
        <f>IFERROR(__xludf.DUMMYFUNCTION("""COMPUTED_VALUE"""),"open_issues_count:1")</f>
        <v>open_issues_count:1</v>
      </c>
      <c r="CL1" s="20" t="str">
        <f>IFERROR(__xludf.DUMMYFUNCTION("""COMPUTED_VALUE"""),"license:null")</f>
        <v>license:null</v>
      </c>
      <c r="CM1" s="20" t="str">
        <f>IFERROR(__xludf.DUMMYFUNCTION("""COMPUTED_VALUE"""),"allow_forking:true")</f>
        <v>allow_forking:true</v>
      </c>
      <c r="CN1" s="20" t="str">
        <f>IFERROR(__xludf.DUMMYFUNCTION("""COMPUTED_VALUE"""),"is_template:false")</f>
        <v>is_template:false</v>
      </c>
      <c r="CO1" s="20" t="str">
        <f>IFERROR(__xludf.DUMMYFUNCTION("""COMPUTED_VALUE"""),"web_commit_signoff_required:false")</f>
        <v>web_commit_signoff_required:false</v>
      </c>
      <c r="CP1" s="20" t="str">
        <f>IFERROR(__xludf.DUMMYFUNCTION("""COMPUTED_VALUE"""),"topics:[""data-structures""")</f>
        <v>topics:["data-structures"</v>
      </c>
      <c r="CQ1" s="20" t="str">
        <f>IFERROR(__xludf.DUMMYFUNCTION("""COMPUTED_VALUE"""),"dsa")</f>
        <v>dsa</v>
      </c>
      <c r="CR1" s="20" t="str">
        <f>IFERROR(__xludf.DUMMYFUNCTION("""COMPUTED_VALUE"""),"leetcode")</f>
        <v>leetcode</v>
      </c>
      <c r="CS1" s="20" t="str">
        <f>IFERROR(__xludf.DUMMYFUNCTION("""COMPUTED_VALUE"""),"practice")</f>
        <v>practice</v>
      </c>
      <c r="CT1" s="20" t="str">
        <f>IFERROR(__xludf.DUMMYFUNCTION("""COMPUTED_VALUE"""),"scraper]")</f>
        <v>scraper]</v>
      </c>
      <c r="CU1" s="20" t="str">
        <f>IFERROR(__xludf.DUMMYFUNCTION("""COMPUTED_VALUE"""),"visibility:""public""")</f>
        <v>visibility:"public"</v>
      </c>
      <c r="CV1" s="20" t="str">
        <f>IFERROR(__xludf.DUMMYFUNCTION("""COMPUTED_VALUE"""),"forks:44")</f>
        <v>forks:44</v>
      </c>
      <c r="CW1" s="20" t="str">
        <f>IFERROR(__xludf.DUMMYFUNCTION("""COMPUTED_VALUE"""),"open_issues:1")</f>
        <v>open_issues:1</v>
      </c>
      <c r="CX1" s="20" t="str">
        <f>IFERROR(__xludf.DUMMYFUNCTION("""COMPUTED_VALUE"""),"watchers:242")</f>
        <v>watchers:242</v>
      </c>
      <c r="CY1" s="20" t="str">
        <f>IFERROR(__xludf.DUMMYFUNCTION("""COMPUTED_VALUE"""),"default_branch:""main""")</f>
        <v>default_branch:"main"</v>
      </c>
      <c r="CZ1" s="20" t="str">
        <f>IFERROR(__xludf.DUMMYFUNCTION("""COMPUTED_VALUE"""),"temp_clone_token:null")</f>
        <v>temp_clone_token:null</v>
      </c>
      <c r="DA1" s="20" t="str">
        <f>IFERROR(__xludf.DUMMYFUNCTION("""COMPUTED_VALUE"""),"network_count:44")</f>
        <v>network_count:44</v>
      </c>
      <c r="DB1" s="20" t="str">
        <f>IFERROR(__xludf.DUMMYFUNCTION("""COMPUTED_VALUE"""),"subscribers_count:6}")</f>
        <v>subscribers_count:6}</v>
      </c>
    </row>
    <row r="2">
      <c r="A2" s="21" t="str">
        <f>IFERROR(__xludf.DUMMYFUNCTION("IMPORTDATA(""https://api.github.com/repos/adixmr/leetcode/commits"")"),"[{""sha"":""be48b63f43a1b29571bf7dda40fbc34b9539f0b6""")</f>
        <v>[{"sha":"be48b63f43a1b29571bf7dda40fbc34b9539f0b6"</v>
      </c>
      <c r="B2" s="20" t="str">
        <f>IFERROR(__xludf.DUMMYFUNCTION("""COMPUTED_VALUE"""),"node_id:""C_kwDOG-OgStoAKGJlNDhiNjNmNDNhMWIyOTU3MWJmN2RkYTQwZmJjMzRiOTUzOWYwYjY""")</f>
        <v>node_id:"C_kwDOG-OgStoAKGJlNDhiNjNmNDNhMWIyOTU3MWJmN2RkYTQwZmJjMzRiOTUzOWYwYjY"</v>
      </c>
      <c r="C2" s="20" t="str">
        <f>IFERROR(__xludf.DUMMYFUNCTION("""COMPUTED_VALUE"""),"commit:{""author"":{""name"":""Aditya Rajput""")</f>
        <v>commit:{"author":{"name":"Aditya Rajput"</v>
      </c>
      <c r="D2" s="20" t="str">
        <f>IFERROR(__xludf.DUMMYFUNCTION("""COMPUTED_VALUE"""),"email:""aditya.icf@gmail.com""")</f>
        <v>email:"aditya.icf@gmail.com"</v>
      </c>
      <c r="E2" s="20" t="str">
        <f>IFERROR(__xludf.DUMMYFUNCTION("""COMPUTED_VALUE"""),"date:""2023-01-02T12:30:01Z""}")</f>
        <v>date:"2023-01-02T12:30:01Z"}</v>
      </c>
      <c r="F2" s="20" t="str">
        <f>IFERROR(__xludf.DUMMYFUNCTION("""COMPUTED_VALUE"""),"committer:{""name"":""Aditya Rajput""")</f>
        <v>committer:{"name":"Aditya Rajput"</v>
      </c>
      <c r="G2" s="20" t="str">
        <f>IFERROR(__xludf.DUMMYFUNCTION("""COMPUTED_VALUE"""),"email:""aditya.icf@gmail.com""")</f>
        <v>email:"aditya.icf@gmail.com"</v>
      </c>
      <c r="H2" s="20" t="str">
        <f>IFERROR(__xludf.DUMMYFUNCTION("""COMPUTED_VALUE"""),"date:""2023-01-02T12:30:01Z""}")</f>
        <v>date:"2023-01-02T12:30:01Z"}</v>
      </c>
      <c r="I2" s="20" t="str">
        <f>IFERROR(__xludf.DUMMYFUNCTION("""COMPUTED_VALUE"""),"message:""Daily update by cron""")</f>
        <v>message:"Daily update by cron"</v>
      </c>
      <c r="J2" s="20" t="str">
        <f>IFERROR(__xludf.DUMMYFUNCTION("""COMPUTED_VALUE"""),"tree:{""sha"":""0ae473f8b454ce89ffe495a96cce3d28db5d0a0e""")</f>
        <v>tree:{"sha":"0ae473f8b454ce89ffe495a96cce3d28db5d0a0e"</v>
      </c>
      <c r="K2" s="20" t="str">
        <f>IFERROR(__xludf.DUMMYFUNCTION("""COMPUTED_VALUE"""),"url:""https://api.github.com/repos/adixmr/leetcode/git/trees/0ae473f8b454ce89ffe495a96cce3d28db5d0a0e""}")</f>
        <v>url:"https://api.github.com/repos/adixmr/leetcode/git/trees/0ae473f8b454ce89ffe495a96cce3d28db5d0a0e"}</v>
      </c>
      <c r="L2" s="20" t="str">
        <f>IFERROR(__xludf.DUMMYFUNCTION("""COMPUTED_VALUE"""),"url:""https://api.github.com/repos/adixmr/leetcode/git/commits/be48b63f43a1b29571bf7dda40fbc34b9539f0b6""")</f>
        <v>url:"https://api.github.com/repos/adixmr/leetcode/git/commits/be48b63f43a1b29571bf7dda40fbc34b9539f0b6"</v>
      </c>
      <c r="M2" s="20" t="str">
        <f>IFERROR(__xludf.DUMMYFUNCTION("""COMPUTED_VALUE"""),"comment_count:0")</f>
        <v>comment_count:0</v>
      </c>
      <c r="N2" s="20" t="str">
        <f>IFERROR(__xludf.DUMMYFUNCTION("""COMPUTED_VALUE"""),"verification:{""verified"":false")</f>
        <v>verification:{"verified":false</v>
      </c>
      <c r="O2" s="20" t="str">
        <f>IFERROR(__xludf.DUMMYFUNCTION("""COMPUTED_VALUE"""),"reason:""unsigned""")</f>
        <v>reason:"unsigned"</v>
      </c>
      <c r="P2" s="20" t="str">
        <f>IFERROR(__xludf.DUMMYFUNCTION("""COMPUTED_VALUE"""),"signature:null")</f>
        <v>signature:null</v>
      </c>
      <c r="Q2" s="20" t="str">
        <f>IFERROR(__xludf.DUMMYFUNCTION("""COMPUTED_VALUE"""),"payload:null}}")</f>
        <v>payload:null}}</v>
      </c>
      <c r="R2" s="20" t="str">
        <f>IFERROR(__xludf.DUMMYFUNCTION("""COMPUTED_VALUE"""),"url:""https://api.github.com/repos/adixmr/leetcode/commits/be48b63f43a1b29571bf7dda40fbc34b9539f0b6""")</f>
        <v>url:"https://api.github.com/repos/adixmr/leetcode/commits/be48b63f43a1b29571bf7dda40fbc34b9539f0b6"</v>
      </c>
      <c r="S2" s="20" t="str">
        <f>IFERROR(__xludf.DUMMYFUNCTION("""COMPUTED_VALUE"""),"html_url:""https://github.com/adixmr/leetcode/commit/be48b63f43a1b29571bf7dda40fbc34b9539f0b6""")</f>
        <v>html_url:"https://github.com/adixmr/leetcode/commit/be48b63f43a1b29571bf7dda40fbc34b9539f0b6"</v>
      </c>
      <c r="T2" s="20" t="str">
        <f>IFERROR(__xludf.DUMMYFUNCTION("""COMPUTED_VALUE"""),"comments_url:""https://api.github.com/repos/adixmr/leetcode/commits/be48b63f43a1b29571bf7dda40fbc34b9539f0b6/comments""")</f>
        <v>comments_url:"https://api.github.com/repos/adixmr/leetcode/commits/be48b63f43a1b29571bf7dda40fbc34b9539f0b6/comments"</v>
      </c>
      <c r="U2" s="20" t="str">
        <f>IFERROR(__xludf.DUMMYFUNCTION("""COMPUTED_VALUE"""),"author:{""login"":""adixmr""")</f>
        <v>author:{"login":"adixmr"</v>
      </c>
      <c r="V2" s="20" t="str">
        <f>IFERROR(__xludf.DUMMYFUNCTION("""COMPUTED_VALUE"""),"id:42894359")</f>
        <v>id:42894359</v>
      </c>
      <c r="W2" s="20" t="str">
        <f>IFERROR(__xludf.DUMMYFUNCTION("""COMPUTED_VALUE"""),"node_id:""MDQ6VXNlcjQyODk0MzU5""")</f>
        <v>node_id:"MDQ6VXNlcjQyODk0MzU5"</v>
      </c>
      <c r="X2" s="20" t="str">
        <f>IFERROR(__xludf.DUMMYFUNCTION("""COMPUTED_VALUE"""),"avatar_url:""https://avatars.githubusercontent.com/u/42894359?v=4""")</f>
        <v>avatar_url:"https://avatars.githubusercontent.com/u/42894359?v=4"</v>
      </c>
      <c r="Y2" s="20" t="str">
        <f>IFERROR(__xludf.DUMMYFUNCTION("""COMPUTED_VALUE"""),"gravatar_id:""""")</f>
        <v>gravatar_id:""</v>
      </c>
      <c r="Z2" s="20" t="str">
        <f>IFERROR(__xludf.DUMMYFUNCTION("""COMPUTED_VALUE"""),"url:""https://api.github.com/users/adixmr""")</f>
        <v>url:"https://api.github.com/users/adixmr"</v>
      </c>
      <c r="AA2" s="20" t="str">
        <f>IFERROR(__xludf.DUMMYFUNCTION("""COMPUTED_VALUE"""),"html_url:""https://github.com/adixmr""")</f>
        <v>html_url:"https://github.com/adixmr"</v>
      </c>
      <c r="AB2" s="20" t="str">
        <f>IFERROR(__xludf.DUMMYFUNCTION("""COMPUTED_VALUE"""),"followers_url:""https://api.github.com/users/adixmr/followers""")</f>
        <v>followers_url:"https://api.github.com/users/adixmr/followers"</v>
      </c>
      <c r="AC2" s="20" t="str">
        <f>IFERROR(__xludf.DUMMYFUNCTION("""COMPUTED_VALUE"""),"following_url:""https://api.github.com/users/adixmr/following{/other_user}""")</f>
        <v>following_url:"https://api.github.com/users/adixmr/following{/other_user}"</v>
      </c>
      <c r="AD2" s="20" t="str">
        <f>IFERROR(__xludf.DUMMYFUNCTION("""COMPUTED_VALUE"""),"gists_url:""https://api.github.com/users/adixmr/gists{/gist_id}""")</f>
        <v>gists_url:"https://api.github.com/users/adixmr/gists{/gist_id}"</v>
      </c>
      <c r="AE2" s="20" t="str">
        <f>IFERROR(__xludf.DUMMYFUNCTION("""COMPUTED_VALUE"""),"starred_url:""https://api.github.com/users/adixmr/starred{/owner}{/repo}""")</f>
        <v>starred_url:"https://api.github.com/users/adixmr/starred{/owner}{/repo}"</v>
      </c>
      <c r="AF2" s="20" t="str">
        <f>IFERROR(__xludf.DUMMYFUNCTION("""COMPUTED_VALUE"""),"subscriptions_url:""https://api.github.com/users/adixmr/subscriptions""")</f>
        <v>subscriptions_url:"https://api.github.com/users/adixmr/subscriptions"</v>
      </c>
      <c r="AG2" s="20" t="str">
        <f>IFERROR(__xludf.DUMMYFUNCTION("""COMPUTED_VALUE"""),"organizations_url:""https://api.github.com/users/adixmr/orgs""")</f>
        <v>organizations_url:"https://api.github.com/users/adixmr/orgs"</v>
      </c>
      <c r="AH2" s="20" t="str">
        <f>IFERROR(__xludf.DUMMYFUNCTION("""COMPUTED_VALUE"""),"repos_url:""https://api.github.com/users/adixmr/repos""")</f>
        <v>repos_url:"https://api.github.com/users/adixmr/repos"</v>
      </c>
      <c r="AI2" s="20" t="str">
        <f>IFERROR(__xludf.DUMMYFUNCTION("""COMPUTED_VALUE"""),"events_url:""https://api.github.com/users/adixmr/events{/privacy}""")</f>
        <v>events_url:"https://api.github.com/users/adixmr/events{/privacy}"</v>
      </c>
      <c r="AJ2" s="20" t="str">
        <f>IFERROR(__xludf.DUMMYFUNCTION("""COMPUTED_VALUE"""),"received_events_url:""https://api.github.com/users/adixmr/received_events""")</f>
        <v>received_events_url:"https://api.github.com/users/adixmr/received_events"</v>
      </c>
      <c r="AK2" s="20" t="str">
        <f>IFERROR(__xludf.DUMMYFUNCTION("""COMPUTED_VALUE"""),"type:""User""")</f>
        <v>type:"User"</v>
      </c>
      <c r="AL2" s="20" t="str">
        <f>IFERROR(__xludf.DUMMYFUNCTION("""COMPUTED_VALUE"""),"site_admin:false}")</f>
        <v>site_admin:false}</v>
      </c>
      <c r="AM2" s="20" t="str">
        <f>IFERROR(__xludf.DUMMYFUNCTION("""COMPUTED_VALUE"""),"committer:{""login"":""adixmr""")</f>
        <v>committer:{"login":"adixmr"</v>
      </c>
      <c r="AN2" s="20" t="str">
        <f>IFERROR(__xludf.DUMMYFUNCTION("""COMPUTED_VALUE"""),"id:42894359")</f>
        <v>id:42894359</v>
      </c>
      <c r="AO2" s="20" t="str">
        <f>IFERROR(__xludf.DUMMYFUNCTION("""COMPUTED_VALUE"""),"node_id:""MDQ6VXNlcjQyODk0MzU5""")</f>
        <v>node_id:"MDQ6VXNlcjQyODk0MzU5"</v>
      </c>
      <c r="AP2" s="20" t="str">
        <f>IFERROR(__xludf.DUMMYFUNCTION("""COMPUTED_VALUE"""),"avatar_url:""https://avatars.githubusercontent.com/u/42894359?v=4""")</f>
        <v>avatar_url:"https://avatars.githubusercontent.com/u/42894359?v=4"</v>
      </c>
      <c r="AQ2" s="20" t="str">
        <f>IFERROR(__xludf.DUMMYFUNCTION("""COMPUTED_VALUE"""),"gravatar_id:""""")</f>
        <v>gravatar_id:""</v>
      </c>
      <c r="AR2" s="20" t="str">
        <f>IFERROR(__xludf.DUMMYFUNCTION("""COMPUTED_VALUE"""),"url:""https://api.github.com/users/adixmr""")</f>
        <v>url:"https://api.github.com/users/adixmr"</v>
      </c>
      <c r="AS2" s="20" t="str">
        <f>IFERROR(__xludf.DUMMYFUNCTION("""COMPUTED_VALUE"""),"html_url:""https://github.com/adixmr""")</f>
        <v>html_url:"https://github.com/adixmr"</v>
      </c>
      <c r="AT2" s="20" t="str">
        <f>IFERROR(__xludf.DUMMYFUNCTION("""COMPUTED_VALUE"""),"followers_url:""https://api.github.com/users/adixmr/followers""")</f>
        <v>followers_url:"https://api.github.com/users/adixmr/followers"</v>
      </c>
      <c r="AU2" s="20" t="str">
        <f>IFERROR(__xludf.DUMMYFUNCTION("""COMPUTED_VALUE"""),"following_url:""https://api.github.com/users/adixmr/following{/other_user}""")</f>
        <v>following_url:"https://api.github.com/users/adixmr/following{/other_user}"</v>
      </c>
      <c r="AV2" s="20" t="str">
        <f>IFERROR(__xludf.DUMMYFUNCTION("""COMPUTED_VALUE"""),"gists_url:""https://api.github.com/users/adixmr/gists{/gist_id}""")</f>
        <v>gists_url:"https://api.github.com/users/adixmr/gists{/gist_id}"</v>
      </c>
      <c r="AW2" s="20" t="str">
        <f>IFERROR(__xludf.DUMMYFUNCTION("""COMPUTED_VALUE"""),"starred_url:""https://api.github.com/users/adixmr/starred{/owner}{/repo}""")</f>
        <v>starred_url:"https://api.github.com/users/adixmr/starred{/owner}{/repo}"</v>
      </c>
      <c r="AX2" s="20" t="str">
        <f>IFERROR(__xludf.DUMMYFUNCTION("""COMPUTED_VALUE"""),"subscriptions_url:""https://api.github.com/users/adixmr/subscriptions""")</f>
        <v>subscriptions_url:"https://api.github.com/users/adixmr/subscriptions"</v>
      </c>
      <c r="AY2" s="20" t="str">
        <f>IFERROR(__xludf.DUMMYFUNCTION("""COMPUTED_VALUE"""),"organizations_url:""https://api.github.com/users/adixmr/orgs""")</f>
        <v>organizations_url:"https://api.github.com/users/adixmr/orgs"</v>
      </c>
      <c r="AZ2" s="20" t="str">
        <f>IFERROR(__xludf.DUMMYFUNCTION("""COMPUTED_VALUE"""),"repos_url:""https://api.github.com/users/adixmr/repos""")</f>
        <v>repos_url:"https://api.github.com/users/adixmr/repos"</v>
      </c>
      <c r="BA2" s="20" t="str">
        <f>IFERROR(__xludf.DUMMYFUNCTION("""COMPUTED_VALUE"""),"events_url:""https://api.github.com/users/adixmr/events{/privacy}""")</f>
        <v>events_url:"https://api.github.com/users/adixmr/events{/privacy}"</v>
      </c>
      <c r="BB2" s="20" t="str">
        <f>IFERROR(__xludf.DUMMYFUNCTION("""COMPUTED_VALUE"""),"received_events_url:""https://api.github.com/users/adixmr/received_events""")</f>
        <v>received_events_url:"https://api.github.com/users/adixmr/received_events"</v>
      </c>
      <c r="BC2" s="20" t="str">
        <f>IFERROR(__xludf.DUMMYFUNCTION("""COMPUTED_VALUE"""),"type:""User""")</f>
        <v>type:"User"</v>
      </c>
      <c r="BD2" s="20" t="str">
        <f>IFERROR(__xludf.DUMMYFUNCTION("""COMPUTED_VALUE"""),"site_admin:false}")</f>
        <v>site_admin:false}</v>
      </c>
      <c r="BE2" s="20" t="str">
        <f>IFERROR(__xludf.DUMMYFUNCTION("""COMPUTED_VALUE"""),"parents:[{""sha"":""59c4f1f7e730b6d3b25a387792587f5582bb989d""")</f>
        <v>parents:[{"sha":"59c4f1f7e730b6d3b25a387792587f5582bb989d"</v>
      </c>
      <c r="BF2" s="20" t="str">
        <f>IFERROR(__xludf.DUMMYFUNCTION("""COMPUTED_VALUE"""),"url:""https://api.github.com/repos/adixmr/leetcode/commits/59c4f1f7e730b6d3b25a387792587f5582bb989d""")</f>
        <v>url:"https://api.github.com/repos/adixmr/leetcode/commits/59c4f1f7e730b6d3b25a387792587f5582bb989d"</v>
      </c>
      <c r="BG2" s="20" t="str">
        <f>IFERROR(__xludf.DUMMYFUNCTION("""COMPUTED_VALUE"""),"html_url:""https://github.com/adixmr/leetcode/commit/59c4f1f7e730b6d3b25a387792587f5582bb989d""}]}")</f>
        <v>html_url:"https://github.com/adixmr/leetcode/commit/59c4f1f7e730b6d3b25a387792587f5582bb989d"}]}</v>
      </c>
      <c r="BH2" s="20" t="str">
        <f>IFERROR(__xludf.DUMMYFUNCTION("""COMPUTED_VALUE"""),"{""sha"":""59c4f1f7e730b6d3b25a387792587f5582bb989d""")</f>
        <v>{"sha":"59c4f1f7e730b6d3b25a387792587f5582bb989d"</v>
      </c>
      <c r="BI2" s="20" t="str">
        <f>IFERROR(__xludf.DUMMYFUNCTION("""COMPUTED_VALUE"""),"node_id:""C_kwDOG-OgStoAKDU5YzRmMWY3ZTczMGI2ZDNiMjVhMzg3NzkyNTg3ZjU1ODJiYjk4OWQ""")</f>
        <v>node_id:"C_kwDOG-OgStoAKDU5YzRmMWY3ZTczMGI2ZDNiMjVhMzg3NzkyNTg3ZjU1ODJiYjk4OWQ"</v>
      </c>
      <c r="BJ2" s="20" t="str">
        <f>IFERROR(__xludf.DUMMYFUNCTION("""COMPUTED_VALUE"""),"commit:{""author"":{""name"":""Aditya Rajput""")</f>
        <v>commit:{"author":{"name":"Aditya Rajput"</v>
      </c>
      <c r="BK2" s="20" t="str">
        <f>IFERROR(__xludf.DUMMYFUNCTION("""COMPUTED_VALUE"""),"email:""aditya.icf@gmail.com""")</f>
        <v>email:"aditya.icf@gmail.com"</v>
      </c>
      <c r="BL2" s="20" t="str">
        <f>IFERROR(__xludf.DUMMYFUNCTION("""COMPUTED_VALUE"""),"date:""2022-12-31T12:30:01Z""}")</f>
        <v>date:"2022-12-31T12:30:01Z"}</v>
      </c>
      <c r="BM2" s="20" t="str">
        <f>IFERROR(__xludf.DUMMYFUNCTION("""COMPUTED_VALUE"""),"committer:{""name"":""Aditya Rajput""")</f>
        <v>committer:{"name":"Aditya Rajput"</v>
      </c>
      <c r="BN2" s="20" t="str">
        <f>IFERROR(__xludf.DUMMYFUNCTION("""COMPUTED_VALUE"""),"email:""aditya.icf@gmail.com""")</f>
        <v>email:"aditya.icf@gmail.com"</v>
      </c>
      <c r="BO2" s="20" t="str">
        <f>IFERROR(__xludf.DUMMYFUNCTION("""COMPUTED_VALUE"""),"date:""2022-12-31T12:30:01Z""}")</f>
        <v>date:"2022-12-31T12:30:01Z"}</v>
      </c>
      <c r="BP2" s="20" t="str">
        <f>IFERROR(__xludf.DUMMYFUNCTION("""COMPUTED_VALUE"""),"message:""Daily update by cron""")</f>
        <v>message:"Daily update by cron"</v>
      </c>
      <c r="BQ2" s="20" t="str">
        <f>IFERROR(__xludf.DUMMYFUNCTION("""COMPUTED_VALUE"""),"tree:{""sha"":""0566d415659afc6ca996b8cd9212e062314eae6c""")</f>
        <v>tree:{"sha":"0566d415659afc6ca996b8cd9212e062314eae6c"</v>
      </c>
      <c r="BR2" s="20" t="str">
        <f>IFERROR(__xludf.DUMMYFUNCTION("""COMPUTED_VALUE"""),"url:""https://api.github.com/repos/adixmr/leetcode/git/trees/0566d415659afc6ca996b8cd9212e062314eae6c""}")</f>
        <v>url:"https://api.github.com/repos/adixmr/leetcode/git/trees/0566d415659afc6ca996b8cd9212e062314eae6c"}</v>
      </c>
      <c r="BS2" s="20" t="str">
        <f>IFERROR(__xludf.DUMMYFUNCTION("""COMPUTED_VALUE"""),"url:""https://api.github.com/repos/adixmr/leetcode/git/commits/59c4f1f7e730b6d3b25a387792587f5582bb989d""")</f>
        <v>url:"https://api.github.com/repos/adixmr/leetcode/git/commits/59c4f1f7e730b6d3b25a387792587f5582bb989d"</v>
      </c>
      <c r="BT2" s="20" t="str">
        <f>IFERROR(__xludf.DUMMYFUNCTION("""COMPUTED_VALUE"""),"comment_count:0")</f>
        <v>comment_count:0</v>
      </c>
      <c r="BU2" s="20" t="str">
        <f>IFERROR(__xludf.DUMMYFUNCTION("""COMPUTED_VALUE"""),"verification:{""verified"":false")</f>
        <v>verification:{"verified":false</v>
      </c>
      <c r="BV2" s="20" t="str">
        <f>IFERROR(__xludf.DUMMYFUNCTION("""COMPUTED_VALUE"""),"reason:""unsigned""")</f>
        <v>reason:"unsigned"</v>
      </c>
      <c r="BW2" s="20" t="str">
        <f>IFERROR(__xludf.DUMMYFUNCTION("""COMPUTED_VALUE"""),"signature:null")</f>
        <v>signature:null</v>
      </c>
      <c r="BX2" s="20" t="str">
        <f>IFERROR(__xludf.DUMMYFUNCTION("""COMPUTED_VALUE"""),"payload:null}}")</f>
        <v>payload:null}}</v>
      </c>
      <c r="BY2" s="20" t="str">
        <f>IFERROR(__xludf.DUMMYFUNCTION("""COMPUTED_VALUE"""),"url:""https://api.github.com/repos/adixmr/leetcode/commits/59c4f1f7e730b6d3b25a387792587f5582bb989d""")</f>
        <v>url:"https://api.github.com/repos/adixmr/leetcode/commits/59c4f1f7e730b6d3b25a387792587f5582bb989d"</v>
      </c>
      <c r="BZ2" s="20" t="str">
        <f>IFERROR(__xludf.DUMMYFUNCTION("""COMPUTED_VALUE"""),"html_url:""https://github.com/adixmr/leetcode/commit/59c4f1f7e730b6d3b25a387792587f5582bb989d""")</f>
        <v>html_url:"https://github.com/adixmr/leetcode/commit/59c4f1f7e730b6d3b25a387792587f5582bb989d"</v>
      </c>
      <c r="CA2" s="20" t="str">
        <f>IFERROR(__xludf.DUMMYFUNCTION("""COMPUTED_VALUE"""),"comments_url:""https://api.github.com/repos/adixmr/leetcode/commits/59c4f1f7e730b6d3b25a387792587f5582bb989d/comments""")</f>
        <v>comments_url:"https://api.github.com/repos/adixmr/leetcode/commits/59c4f1f7e730b6d3b25a387792587f5582bb989d/comments"</v>
      </c>
      <c r="CB2" s="20" t="str">
        <f>IFERROR(__xludf.DUMMYFUNCTION("""COMPUTED_VALUE"""),"author:{""login"":""adixmr""")</f>
        <v>author:{"login":"adixmr"</v>
      </c>
      <c r="CC2" s="20" t="str">
        <f>IFERROR(__xludf.DUMMYFUNCTION("""COMPUTED_VALUE"""),"id:42894359")</f>
        <v>id:42894359</v>
      </c>
      <c r="CD2" s="20" t="str">
        <f>IFERROR(__xludf.DUMMYFUNCTION("""COMPUTED_VALUE"""),"node_id:""MDQ6VXNlcjQyODk0MzU5""")</f>
        <v>node_id:"MDQ6VXNlcjQyODk0MzU5"</v>
      </c>
      <c r="CE2" s="20" t="str">
        <f>IFERROR(__xludf.DUMMYFUNCTION("""COMPUTED_VALUE"""),"avatar_url:""https://avatars.githubusercontent.com/u/42894359?v=4""")</f>
        <v>avatar_url:"https://avatars.githubusercontent.com/u/42894359?v=4"</v>
      </c>
      <c r="CF2" s="20" t="str">
        <f>IFERROR(__xludf.DUMMYFUNCTION("""COMPUTED_VALUE"""),"gravatar_id:""""")</f>
        <v>gravatar_id:""</v>
      </c>
      <c r="CG2" s="20" t="str">
        <f>IFERROR(__xludf.DUMMYFUNCTION("""COMPUTED_VALUE"""),"url:""https://api.github.com/users/adixmr""")</f>
        <v>url:"https://api.github.com/users/adixmr"</v>
      </c>
      <c r="CH2" s="20" t="str">
        <f>IFERROR(__xludf.DUMMYFUNCTION("""COMPUTED_VALUE"""),"html_url:""https://github.com/adixmr""")</f>
        <v>html_url:"https://github.com/adixmr"</v>
      </c>
      <c r="CI2" s="20" t="str">
        <f>IFERROR(__xludf.DUMMYFUNCTION("""COMPUTED_VALUE"""),"followers_url:""https://api.github.com/users/adixmr/followers""")</f>
        <v>followers_url:"https://api.github.com/users/adixmr/followers"</v>
      </c>
      <c r="CJ2" s="20" t="str">
        <f>IFERROR(__xludf.DUMMYFUNCTION("""COMPUTED_VALUE"""),"following_url:""https://api.github.com/users/adixmr/following{/other_user}""")</f>
        <v>following_url:"https://api.github.com/users/adixmr/following{/other_user}"</v>
      </c>
      <c r="CK2" s="20" t="str">
        <f>IFERROR(__xludf.DUMMYFUNCTION("""COMPUTED_VALUE"""),"gists_url:""https://api.github.com/users/adixmr/gists{/gist_id}""")</f>
        <v>gists_url:"https://api.github.com/users/adixmr/gists{/gist_id}"</v>
      </c>
      <c r="CL2" s="20" t="str">
        <f>IFERROR(__xludf.DUMMYFUNCTION("""COMPUTED_VALUE"""),"starred_url:""https://api.github.com/users/adixmr/starred{/owner}{/repo}""")</f>
        <v>starred_url:"https://api.github.com/users/adixmr/starred{/owner}{/repo}"</v>
      </c>
      <c r="CM2" s="20" t="str">
        <f>IFERROR(__xludf.DUMMYFUNCTION("""COMPUTED_VALUE"""),"subscriptions_url:""https://api.github.com/users/adixmr/subscriptions""")</f>
        <v>subscriptions_url:"https://api.github.com/users/adixmr/subscriptions"</v>
      </c>
      <c r="CN2" s="20" t="str">
        <f>IFERROR(__xludf.DUMMYFUNCTION("""COMPUTED_VALUE"""),"organizations_url:""https://api.github.com/users/adixmr/orgs""")</f>
        <v>organizations_url:"https://api.github.com/users/adixmr/orgs"</v>
      </c>
      <c r="CO2" s="20" t="str">
        <f>IFERROR(__xludf.DUMMYFUNCTION("""COMPUTED_VALUE"""),"repos_url:""https://api.github.com/users/adixmr/repos""")</f>
        <v>repos_url:"https://api.github.com/users/adixmr/repos"</v>
      </c>
      <c r="CP2" s="20" t="str">
        <f>IFERROR(__xludf.DUMMYFUNCTION("""COMPUTED_VALUE"""),"events_url:""https://api.github.com/users/adixmr/events{/privacy}""")</f>
        <v>events_url:"https://api.github.com/users/adixmr/events{/privacy}"</v>
      </c>
      <c r="CQ2" s="20" t="str">
        <f>IFERROR(__xludf.DUMMYFUNCTION("""COMPUTED_VALUE"""),"received_events_url:""https://api.github.com/users/adixmr/received_events""")</f>
        <v>received_events_url:"https://api.github.com/users/adixmr/received_events"</v>
      </c>
      <c r="CR2" s="20" t="str">
        <f>IFERROR(__xludf.DUMMYFUNCTION("""COMPUTED_VALUE"""),"type:""User""")</f>
        <v>type:"User"</v>
      </c>
      <c r="CS2" s="20" t="str">
        <f>IFERROR(__xludf.DUMMYFUNCTION("""COMPUTED_VALUE"""),"site_admin:false}")</f>
        <v>site_admin:false}</v>
      </c>
      <c r="CT2" s="20" t="str">
        <f>IFERROR(__xludf.DUMMYFUNCTION("""COMPUTED_VALUE"""),"committer:{""login"":""adixmr""")</f>
        <v>committer:{"login":"adixmr"</v>
      </c>
      <c r="CU2" s="20" t="str">
        <f>IFERROR(__xludf.DUMMYFUNCTION("""COMPUTED_VALUE"""),"id:42894359")</f>
        <v>id:42894359</v>
      </c>
      <c r="CV2" s="20" t="str">
        <f>IFERROR(__xludf.DUMMYFUNCTION("""COMPUTED_VALUE"""),"node_id:""MDQ6VXNlcjQyODk0MzU5""")</f>
        <v>node_id:"MDQ6VXNlcjQyODk0MzU5"</v>
      </c>
      <c r="CW2" s="20" t="str">
        <f>IFERROR(__xludf.DUMMYFUNCTION("""COMPUTED_VALUE"""),"avatar_url:""https://avatars.githubusercontent.com/u/42894359?v=4""")</f>
        <v>avatar_url:"https://avatars.githubusercontent.com/u/42894359?v=4"</v>
      </c>
      <c r="CX2" s="20" t="str">
        <f>IFERROR(__xludf.DUMMYFUNCTION("""COMPUTED_VALUE"""),"gravatar_id:""""")</f>
        <v>gravatar_id:""</v>
      </c>
      <c r="CY2" s="20" t="str">
        <f>IFERROR(__xludf.DUMMYFUNCTION("""COMPUTED_VALUE"""),"url:""https://api.github.com/users/adixmr""")</f>
        <v>url:"https://api.github.com/users/adixmr"</v>
      </c>
      <c r="CZ2" s="20" t="str">
        <f>IFERROR(__xludf.DUMMYFUNCTION("""COMPUTED_VALUE"""),"html_url:""https://github.com/adixmr""")</f>
        <v>html_url:"https://github.com/adixmr"</v>
      </c>
      <c r="DA2" s="20" t="str">
        <f>IFERROR(__xludf.DUMMYFUNCTION("""COMPUTED_VALUE"""),"followers_url:""https://api.github.com/users/adixmr/followers""")</f>
        <v>followers_url:"https://api.github.com/users/adixmr/followers"</v>
      </c>
      <c r="DB2" s="20" t="str">
        <f>IFERROR(__xludf.DUMMYFUNCTION("""COMPUTED_VALUE"""),"following_url:""https://api.github.com/users/adixmr/following{/other_user}""")</f>
        <v>following_url:"https://api.github.com/users/adixmr/following{/other_user}"</v>
      </c>
      <c r="DC2" s="20" t="str">
        <f>IFERROR(__xludf.DUMMYFUNCTION("""COMPUTED_VALUE"""),"gists_url:""https://api.github.com/users/adixmr/gists{/gist_id}""")</f>
        <v>gists_url:"https://api.github.com/users/adixmr/gists{/gist_id}"</v>
      </c>
      <c r="DD2" s="20" t="str">
        <f>IFERROR(__xludf.DUMMYFUNCTION("""COMPUTED_VALUE"""),"starred_url:""https://api.github.com/users/adixmr/starred{/owner}{/repo}""")</f>
        <v>starred_url:"https://api.github.com/users/adixmr/starred{/owner}{/repo}"</v>
      </c>
      <c r="DE2" s="20" t="str">
        <f>IFERROR(__xludf.DUMMYFUNCTION("""COMPUTED_VALUE"""),"subscriptions_url:""https://api.github.com/users/adixmr/subscriptions""")</f>
        <v>subscriptions_url:"https://api.github.com/users/adixmr/subscriptions"</v>
      </c>
      <c r="DF2" s="20" t="str">
        <f>IFERROR(__xludf.DUMMYFUNCTION("""COMPUTED_VALUE"""),"organizations_url:""https://api.github.com/users/adixmr/orgs""")</f>
        <v>organizations_url:"https://api.github.com/users/adixmr/orgs"</v>
      </c>
      <c r="DG2" s="20" t="str">
        <f>IFERROR(__xludf.DUMMYFUNCTION("""COMPUTED_VALUE"""),"repos_url:""https://api.github.com/users/adixmr/repos""")</f>
        <v>repos_url:"https://api.github.com/users/adixmr/repos"</v>
      </c>
      <c r="DH2" s="20" t="str">
        <f>IFERROR(__xludf.DUMMYFUNCTION("""COMPUTED_VALUE"""),"events_url:""https://api.github.com/users/adixmr/events{/privacy}""")</f>
        <v>events_url:"https://api.github.com/users/adixmr/events{/privacy}"</v>
      </c>
      <c r="DI2" s="20" t="str">
        <f>IFERROR(__xludf.DUMMYFUNCTION("""COMPUTED_VALUE"""),"received_events_url:""https://api.github.com/users/adixmr/received_events""")</f>
        <v>received_events_url:"https://api.github.com/users/adixmr/received_events"</v>
      </c>
      <c r="DJ2" s="20" t="str">
        <f>IFERROR(__xludf.DUMMYFUNCTION("""COMPUTED_VALUE"""),"type:""User""")</f>
        <v>type:"User"</v>
      </c>
      <c r="DK2" s="20" t="str">
        <f>IFERROR(__xludf.DUMMYFUNCTION("""COMPUTED_VALUE"""),"site_admin:false}")</f>
        <v>site_admin:false}</v>
      </c>
      <c r="DL2" s="20" t="str">
        <f>IFERROR(__xludf.DUMMYFUNCTION("""COMPUTED_VALUE"""),"parents:[{""sha"":""34e43b466e7a09718fb7c59e5de76423a7dd8bda""")</f>
        <v>parents:[{"sha":"34e43b466e7a09718fb7c59e5de76423a7dd8bda"</v>
      </c>
      <c r="DM2" s="20" t="str">
        <f>IFERROR(__xludf.DUMMYFUNCTION("""COMPUTED_VALUE"""),"url:""https://api.github.com/repos/adixmr/leetcode/commits/34e43b466e7a09718fb7c59e5de76423a7dd8bda""")</f>
        <v>url:"https://api.github.com/repos/adixmr/leetcode/commits/34e43b466e7a09718fb7c59e5de76423a7dd8bda"</v>
      </c>
      <c r="DN2" s="20" t="str">
        <f>IFERROR(__xludf.DUMMYFUNCTION("""COMPUTED_VALUE"""),"html_url:""https://github.com/adixmr/leetcode/commit/34e43b466e7a09718fb7c59e5de76423a7dd8bda""}]}")</f>
        <v>html_url:"https://github.com/adixmr/leetcode/commit/34e43b466e7a09718fb7c59e5de76423a7dd8bda"}]}</v>
      </c>
      <c r="DO2" s="20" t="str">
        <f>IFERROR(__xludf.DUMMYFUNCTION("""COMPUTED_VALUE"""),"{""sha"":""34e43b466e7a09718fb7c59e5de76423a7dd8bda""")</f>
        <v>{"sha":"34e43b466e7a09718fb7c59e5de76423a7dd8bda"</v>
      </c>
      <c r="DP2" s="20" t="str">
        <f>IFERROR(__xludf.DUMMYFUNCTION("""COMPUTED_VALUE"""),"node_id:""C_kwDOG-OgStoAKDM0ZTQzYjQ2NmU3YTA5NzE4ZmI3YzU5ZTVkZTc2NDIzYTdkZDhiZGE""")</f>
        <v>node_id:"C_kwDOG-OgStoAKDM0ZTQzYjQ2NmU3YTA5NzE4ZmI3YzU5ZTVkZTc2NDIzYTdkZDhiZGE"</v>
      </c>
      <c r="DQ2" s="20" t="str">
        <f>IFERROR(__xludf.DUMMYFUNCTION("""COMPUTED_VALUE"""),"commit:{""author"":{""name"":""Aditya Rajput""")</f>
        <v>commit:{"author":{"name":"Aditya Rajput"</v>
      </c>
      <c r="DR2" s="20" t="str">
        <f>IFERROR(__xludf.DUMMYFUNCTION("""COMPUTED_VALUE"""),"email:""aditya.icf@gmail.com""")</f>
        <v>email:"aditya.icf@gmail.com"</v>
      </c>
      <c r="DS2" s="20" t="str">
        <f>IFERROR(__xludf.DUMMYFUNCTION("""COMPUTED_VALUE"""),"date:""2022-12-30T12:30:01Z""}")</f>
        <v>date:"2022-12-30T12:30:01Z"}</v>
      </c>
      <c r="DT2" s="20" t="str">
        <f>IFERROR(__xludf.DUMMYFUNCTION("""COMPUTED_VALUE"""),"committer:{""name"":""Aditya Rajput""")</f>
        <v>committer:{"name":"Aditya Rajput"</v>
      </c>
      <c r="DU2" s="20" t="str">
        <f>IFERROR(__xludf.DUMMYFUNCTION("""COMPUTED_VALUE"""),"email:""aditya.icf@gmail.com""")</f>
        <v>email:"aditya.icf@gmail.com"</v>
      </c>
      <c r="DV2" s="20" t="str">
        <f>IFERROR(__xludf.DUMMYFUNCTION("""COMPUTED_VALUE"""),"date:""2022-12-30T12:30:01Z""}")</f>
        <v>date:"2022-12-30T12:30:01Z"}</v>
      </c>
      <c r="DW2" s="20" t="str">
        <f>IFERROR(__xludf.DUMMYFUNCTION("""COMPUTED_VALUE"""),"message:""Daily update by cron""")</f>
        <v>message:"Daily update by cron"</v>
      </c>
      <c r="DX2" s="20" t="str">
        <f>IFERROR(__xludf.DUMMYFUNCTION("""COMPUTED_VALUE"""),"tree:{""sha"":""985ff9cf07f131e1a6cb47bd2ce1b7dcc9feecab""")</f>
        <v>tree:{"sha":"985ff9cf07f131e1a6cb47bd2ce1b7dcc9feecab"</v>
      </c>
      <c r="DY2" s="20" t="str">
        <f>IFERROR(__xludf.DUMMYFUNCTION("""COMPUTED_VALUE"""),"url:""https://api.github.com/repos/adixmr/leetcode/git/trees/985ff9cf07f131e1a6cb47bd2ce1b7dcc9feecab""}")</f>
        <v>url:"https://api.github.com/repos/adixmr/leetcode/git/trees/985ff9cf07f131e1a6cb47bd2ce1b7dcc9feecab"}</v>
      </c>
      <c r="DZ2" s="20" t="str">
        <f>IFERROR(__xludf.DUMMYFUNCTION("""COMPUTED_VALUE"""),"url:""https://api.github.com/repos/adixmr/leetcode/git/commits/34e43b466e7a09718fb7c59e5de76423a7dd8bda""")</f>
        <v>url:"https://api.github.com/repos/adixmr/leetcode/git/commits/34e43b466e7a09718fb7c59e5de76423a7dd8bda"</v>
      </c>
      <c r="EA2" s="20" t="str">
        <f>IFERROR(__xludf.DUMMYFUNCTION("""COMPUTED_VALUE"""),"comment_count:0")</f>
        <v>comment_count:0</v>
      </c>
      <c r="EB2" s="20" t="str">
        <f>IFERROR(__xludf.DUMMYFUNCTION("""COMPUTED_VALUE"""),"verification:{""verified"":false")</f>
        <v>verification:{"verified":false</v>
      </c>
      <c r="EC2" s="20" t="str">
        <f>IFERROR(__xludf.DUMMYFUNCTION("""COMPUTED_VALUE"""),"reason:""unsigned""")</f>
        <v>reason:"unsigned"</v>
      </c>
      <c r="ED2" s="20" t="str">
        <f>IFERROR(__xludf.DUMMYFUNCTION("""COMPUTED_VALUE"""),"signature:null")</f>
        <v>signature:null</v>
      </c>
      <c r="EE2" s="20" t="str">
        <f>IFERROR(__xludf.DUMMYFUNCTION("""COMPUTED_VALUE"""),"payload:null}}")</f>
        <v>payload:null}}</v>
      </c>
      <c r="EF2" s="20" t="str">
        <f>IFERROR(__xludf.DUMMYFUNCTION("""COMPUTED_VALUE"""),"url:""https://api.github.com/repos/adixmr/leetcode/commits/34e43b466e7a09718fb7c59e5de76423a7dd8bda""")</f>
        <v>url:"https://api.github.com/repos/adixmr/leetcode/commits/34e43b466e7a09718fb7c59e5de76423a7dd8bda"</v>
      </c>
      <c r="EG2" s="20" t="str">
        <f>IFERROR(__xludf.DUMMYFUNCTION("""COMPUTED_VALUE"""),"html_url:""https://github.com/adixmr/leetcode/commit/34e43b466e7a09718fb7c59e5de76423a7dd8bda""")</f>
        <v>html_url:"https://github.com/adixmr/leetcode/commit/34e43b466e7a09718fb7c59e5de76423a7dd8bda"</v>
      </c>
      <c r="EH2" s="20" t="str">
        <f>IFERROR(__xludf.DUMMYFUNCTION("""COMPUTED_VALUE"""),"comments_url:""https://api.github.com/repos/adixmr/leetcode/commits/34e43b466e7a09718fb7c59e5de76423a7dd8bda/comments""")</f>
        <v>comments_url:"https://api.github.com/repos/adixmr/leetcode/commits/34e43b466e7a09718fb7c59e5de76423a7dd8bda/comments"</v>
      </c>
      <c r="EI2" s="20" t="str">
        <f>IFERROR(__xludf.DUMMYFUNCTION("""COMPUTED_VALUE"""),"author:{""login"":""adixmr""")</f>
        <v>author:{"login":"adixmr"</v>
      </c>
      <c r="EJ2" s="20" t="str">
        <f>IFERROR(__xludf.DUMMYFUNCTION("""COMPUTED_VALUE"""),"id:42894359")</f>
        <v>id:42894359</v>
      </c>
      <c r="EK2" s="20" t="str">
        <f>IFERROR(__xludf.DUMMYFUNCTION("""COMPUTED_VALUE"""),"node_id:""MDQ6VXNlcjQyODk0MzU5""")</f>
        <v>node_id:"MDQ6VXNlcjQyODk0MzU5"</v>
      </c>
      <c r="EL2" s="20" t="str">
        <f>IFERROR(__xludf.DUMMYFUNCTION("""COMPUTED_VALUE"""),"avatar_url:""https://avatars.githubusercontent.com/u/42894359?v=4""")</f>
        <v>avatar_url:"https://avatars.githubusercontent.com/u/42894359?v=4"</v>
      </c>
      <c r="EM2" s="20" t="str">
        <f>IFERROR(__xludf.DUMMYFUNCTION("""COMPUTED_VALUE"""),"gravatar_id:""""")</f>
        <v>gravatar_id:""</v>
      </c>
      <c r="EN2" s="20" t="str">
        <f>IFERROR(__xludf.DUMMYFUNCTION("""COMPUTED_VALUE"""),"url:""https://api.github.com/users/adixmr""")</f>
        <v>url:"https://api.github.com/users/adixmr"</v>
      </c>
      <c r="EO2" s="20" t="str">
        <f>IFERROR(__xludf.DUMMYFUNCTION("""COMPUTED_VALUE"""),"html_url:""https://github.com/adixmr""")</f>
        <v>html_url:"https://github.com/adixmr"</v>
      </c>
      <c r="EP2" s="20" t="str">
        <f>IFERROR(__xludf.DUMMYFUNCTION("""COMPUTED_VALUE"""),"followers_url:""https://api.github.com/users/adixmr/followers""")</f>
        <v>followers_url:"https://api.github.com/users/adixmr/followers"</v>
      </c>
      <c r="EQ2" s="20" t="str">
        <f>IFERROR(__xludf.DUMMYFUNCTION("""COMPUTED_VALUE"""),"following_url:""https://api.github.com/users/adixmr/following{/other_user}""")</f>
        <v>following_url:"https://api.github.com/users/adixmr/following{/other_user}"</v>
      </c>
      <c r="ER2" s="20" t="str">
        <f>IFERROR(__xludf.DUMMYFUNCTION("""COMPUTED_VALUE"""),"gists_url:""https://api.github.com/users/adixmr/gists{/gist_id}""")</f>
        <v>gists_url:"https://api.github.com/users/adixmr/gists{/gist_id}"</v>
      </c>
      <c r="ES2" s="20" t="str">
        <f>IFERROR(__xludf.DUMMYFUNCTION("""COMPUTED_VALUE"""),"starred_url:""https://api.github.com/users/adixmr/starred{/owner}{/repo}""")</f>
        <v>starred_url:"https://api.github.com/users/adixmr/starred{/owner}{/repo}"</v>
      </c>
      <c r="ET2" s="20" t="str">
        <f>IFERROR(__xludf.DUMMYFUNCTION("""COMPUTED_VALUE"""),"subscriptions_url:""https://api.github.com/users/adixmr/subscriptions""")</f>
        <v>subscriptions_url:"https://api.github.com/users/adixmr/subscriptions"</v>
      </c>
      <c r="EU2" s="20" t="str">
        <f>IFERROR(__xludf.DUMMYFUNCTION("""COMPUTED_VALUE"""),"organizations_url:""https://api.github.com/users/adixmr/orgs""")</f>
        <v>organizations_url:"https://api.github.com/users/adixmr/orgs"</v>
      </c>
      <c r="EV2" s="20" t="str">
        <f>IFERROR(__xludf.DUMMYFUNCTION("""COMPUTED_VALUE"""),"repos_url:""https://api.github.com/users/adixmr/repos""")</f>
        <v>repos_url:"https://api.github.com/users/adixmr/repos"</v>
      </c>
      <c r="EW2" s="20" t="str">
        <f>IFERROR(__xludf.DUMMYFUNCTION("""COMPUTED_VALUE"""),"events_url:""https://api.github.com/users/adixmr/events{/privacy}""")</f>
        <v>events_url:"https://api.github.com/users/adixmr/events{/privacy}"</v>
      </c>
      <c r="EX2" s="20" t="str">
        <f>IFERROR(__xludf.DUMMYFUNCTION("""COMPUTED_VALUE"""),"received_events_url:""https://api.github.com/users/adixmr/received_events""")</f>
        <v>received_events_url:"https://api.github.com/users/adixmr/received_events"</v>
      </c>
      <c r="EY2" s="20" t="str">
        <f>IFERROR(__xludf.DUMMYFUNCTION("""COMPUTED_VALUE"""),"type:""User""")</f>
        <v>type:"User"</v>
      </c>
      <c r="EZ2" s="20" t="str">
        <f>IFERROR(__xludf.DUMMYFUNCTION("""COMPUTED_VALUE"""),"site_admin:false}")</f>
        <v>site_admin:false}</v>
      </c>
      <c r="FA2" s="20" t="str">
        <f>IFERROR(__xludf.DUMMYFUNCTION("""COMPUTED_VALUE"""),"committer:{""login"":""adixmr""")</f>
        <v>committer:{"login":"adixmr"</v>
      </c>
      <c r="FB2" s="20" t="str">
        <f>IFERROR(__xludf.DUMMYFUNCTION("""COMPUTED_VALUE"""),"id:42894359")</f>
        <v>id:42894359</v>
      </c>
      <c r="FC2" s="20" t="str">
        <f>IFERROR(__xludf.DUMMYFUNCTION("""COMPUTED_VALUE"""),"node_id:""MDQ6VXNlcjQyODk0MzU5""")</f>
        <v>node_id:"MDQ6VXNlcjQyODk0MzU5"</v>
      </c>
      <c r="FD2" s="20" t="str">
        <f>IFERROR(__xludf.DUMMYFUNCTION("""COMPUTED_VALUE"""),"avatar_url:""https://avatars.githubusercontent.com/u/42894359?v=4""")</f>
        <v>avatar_url:"https://avatars.githubusercontent.com/u/42894359?v=4"</v>
      </c>
      <c r="FE2" s="20" t="str">
        <f>IFERROR(__xludf.DUMMYFUNCTION("""COMPUTED_VALUE"""),"gravatar_id:""""")</f>
        <v>gravatar_id:""</v>
      </c>
      <c r="FF2" s="20" t="str">
        <f>IFERROR(__xludf.DUMMYFUNCTION("""COMPUTED_VALUE"""),"url:""https://api.github.com/users/adixmr""")</f>
        <v>url:"https://api.github.com/users/adixmr"</v>
      </c>
      <c r="FG2" s="20" t="str">
        <f>IFERROR(__xludf.DUMMYFUNCTION("""COMPUTED_VALUE"""),"html_url:""https://github.com/adixmr""")</f>
        <v>html_url:"https://github.com/adixmr"</v>
      </c>
      <c r="FH2" s="20" t="str">
        <f>IFERROR(__xludf.DUMMYFUNCTION("""COMPUTED_VALUE"""),"followers_url:""https://api.github.com/users/adixmr/followers""")</f>
        <v>followers_url:"https://api.github.com/users/adixmr/followers"</v>
      </c>
      <c r="FI2" s="20" t="str">
        <f>IFERROR(__xludf.DUMMYFUNCTION("""COMPUTED_VALUE"""),"following_url:""https://api.github.com/users/adixmr/following{/other_user}""")</f>
        <v>following_url:"https://api.github.com/users/adixmr/following{/other_user}"</v>
      </c>
      <c r="FJ2" s="20" t="str">
        <f>IFERROR(__xludf.DUMMYFUNCTION("""COMPUTED_VALUE"""),"gists_url:""https://api.github.com/users/adixmr/gists{/gist_id}""")</f>
        <v>gists_url:"https://api.github.com/users/adixmr/gists{/gist_id}"</v>
      </c>
      <c r="FK2" s="20" t="str">
        <f>IFERROR(__xludf.DUMMYFUNCTION("""COMPUTED_VALUE"""),"starred_url:""https://api.github.com/users/adixmr/starred{/owner}{/repo}""")</f>
        <v>starred_url:"https://api.github.com/users/adixmr/starred{/owner}{/repo}"</v>
      </c>
      <c r="FL2" s="20" t="str">
        <f>IFERROR(__xludf.DUMMYFUNCTION("""COMPUTED_VALUE"""),"subscriptions_url:""https://api.github.com/users/adixmr/subscriptions""")</f>
        <v>subscriptions_url:"https://api.github.com/users/adixmr/subscriptions"</v>
      </c>
      <c r="FM2" s="20" t="str">
        <f>IFERROR(__xludf.DUMMYFUNCTION("""COMPUTED_VALUE"""),"organizations_url:""https://api.github.com/users/adixmr/orgs""")</f>
        <v>organizations_url:"https://api.github.com/users/adixmr/orgs"</v>
      </c>
      <c r="FN2" s="20" t="str">
        <f>IFERROR(__xludf.DUMMYFUNCTION("""COMPUTED_VALUE"""),"repos_url:""https://api.github.com/users/adixmr/repos""")</f>
        <v>repos_url:"https://api.github.com/users/adixmr/repos"</v>
      </c>
      <c r="FO2" s="20" t="str">
        <f>IFERROR(__xludf.DUMMYFUNCTION("""COMPUTED_VALUE"""),"events_url:""https://api.github.com/users/adixmr/events{/privacy}""")</f>
        <v>events_url:"https://api.github.com/users/adixmr/events{/privacy}"</v>
      </c>
      <c r="FP2" s="20" t="str">
        <f>IFERROR(__xludf.DUMMYFUNCTION("""COMPUTED_VALUE"""),"received_events_url:""https://api.github.com/users/adixmr/received_events""")</f>
        <v>received_events_url:"https://api.github.com/users/adixmr/received_events"</v>
      </c>
      <c r="FQ2" s="20" t="str">
        <f>IFERROR(__xludf.DUMMYFUNCTION("""COMPUTED_VALUE"""),"type:""User""")</f>
        <v>type:"User"</v>
      </c>
      <c r="FR2" s="20" t="str">
        <f>IFERROR(__xludf.DUMMYFUNCTION("""COMPUTED_VALUE"""),"site_admin:false}")</f>
        <v>site_admin:false}</v>
      </c>
      <c r="FS2" s="20" t="str">
        <f>IFERROR(__xludf.DUMMYFUNCTION("""COMPUTED_VALUE"""),"parents:[{""sha"":""5d295dce00a54d1c9e427c36004eb28f0b959334""")</f>
        <v>parents:[{"sha":"5d295dce00a54d1c9e427c36004eb28f0b959334"</v>
      </c>
      <c r="FT2" s="20" t="str">
        <f>IFERROR(__xludf.DUMMYFUNCTION("""COMPUTED_VALUE"""),"url:""https://api.github.com/repos/adixmr/leetcode/commits/5d295dce00a54d1c9e427c36004eb28f0b959334""")</f>
        <v>url:"https://api.github.com/repos/adixmr/leetcode/commits/5d295dce00a54d1c9e427c36004eb28f0b959334"</v>
      </c>
      <c r="FU2" s="20" t="str">
        <f>IFERROR(__xludf.DUMMYFUNCTION("""COMPUTED_VALUE"""),"html_url:""https://github.com/adixmr/leetcode/commit/5d295dce00a54d1c9e427c36004eb28f0b959334""}]}")</f>
        <v>html_url:"https://github.com/adixmr/leetcode/commit/5d295dce00a54d1c9e427c36004eb28f0b959334"}]}</v>
      </c>
      <c r="FV2" s="20" t="str">
        <f>IFERROR(__xludf.DUMMYFUNCTION("""COMPUTED_VALUE"""),"{""sha"":""5d295dce00a54d1c9e427c36004eb28f0b959334""")</f>
        <v>{"sha":"5d295dce00a54d1c9e427c36004eb28f0b959334"</v>
      </c>
      <c r="FW2" s="20" t="str">
        <f>IFERROR(__xludf.DUMMYFUNCTION("""COMPUTED_VALUE"""),"node_id:""C_kwDOG-OgStoAKDVkMjk1ZGNlMDBhNTRkMWM5ZTQyN2MzNjAwNGViMjhmMGI5NTkzMzQ""")</f>
        <v>node_id:"C_kwDOG-OgStoAKDVkMjk1ZGNlMDBhNTRkMWM5ZTQyN2MzNjAwNGViMjhmMGI5NTkzMzQ"</v>
      </c>
      <c r="FX2" s="20" t="str">
        <f>IFERROR(__xludf.DUMMYFUNCTION("""COMPUTED_VALUE"""),"commit:{""author"":{""name"":""Aditya Rajput""")</f>
        <v>commit:{"author":{"name":"Aditya Rajput"</v>
      </c>
      <c r="FY2" s="20" t="str">
        <f>IFERROR(__xludf.DUMMYFUNCTION("""COMPUTED_VALUE"""),"email:""aditya.icf@gmail.com""")</f>
        <v>email:"aditya.icf@gmail.com"</v>
      </c>
      <c r="FZ2" s="20" t="str">
        <f>IFERROR(__xludf.DUMMYFUNCTION("""COMPUTED_VALUE"""),"date:""2022-12-28T12:30:01Z""}")</f>
        <v>date:"2022-12-28T12:30:01Z"}</v>
      </c>
      <c r="GA2" s="20" t="str">
        <f>IFERROR(__xludf.DUMMYFUNCTION("""COMPUTED_VALUE"""),"committer:{""name"":""Aditya Rajput""")</f>
        <v>committer:{"name":"Aditya Rajput"</v>
      </c>
      <c r="GB2" s="20" t="str">
        <f>IFERROR(__xludf.DUMMYFUNCTION("""COMPUTED_VALUE"""),"email:""aditya.icf@gmail.com""")</f>
        <v>email:"aditya.icf@gmail.com"</v>
      </c>
      <c r="GC2" s="20" t="str">
        <f>IFERROR(__xludf.DUMMYFUNCTION("""COMPUTED_VALUE"""),"date:""2022-12-28T12:30:01Z""}")</f>
        <v>date:"2022-12-28T12:30:01Z"}</v>
      </c>
      <c r="GD2" s="20" t="str">
        <f>IFERROR(__xludf.DUMMYFUNCTION("""COMPUTED_VALUE"""),"message:""Daily update by cron""")</f>
        <v>message:"Daily update by cron"</v>
      </c>
      <c r="GE2" s="20" t="str">
        <f>IFERROR(__xludf.DUMMYFUNCTION("""COMPUTED_VALUE"""),"tree:{""sha"":""e1fd688008155ccc6e3519113759ed23950ecc74""")</f>
        <v>tree:{"sha":"e1fd688008155ccc6e3519113759ed23950ecc74"</v>
      </c>
      <c r="GF2" s="20" t="str">
        <f>IFERROR(__xludf.DUMMYFUNCTION("""COMPUTED_VALUE"""),"url:""https://api.github.com/repos/adixmr/leetcode/git/trees/e1fd688008155ccc6e3519113759ed23950ecc74""}")</f>
        <v>url:"https://api.github.com/repos/adixmr/leetcode/git/trees/e1fd688008155ccc6e3519113759ed23950ecc74"}</v>
      </c>
      <c r="GG2" s="20" t="str">
        <f>IFERROR(__xludf.DUMMYFUNCTION("""COMPUTED_VALUE"""),"url:""https://api.github.com/repos/adixmr/leetcode/git/commits/5d295dce00a54d1c9e427c36004eb28f0b959334""")</f>
        <v>url:"https://api.github.com/repos/adixmr/leetcode/git/commits/5d295dce00a54d1c9e427c36004eb28f0b959334"</v>
      </c>
      <c r="GH2" s="20" t="str">
        <f>IFERROR(__xludf.DUMMYFUNCTION("""COMPUTED_VALUE"""),"comment_count:0")</f>
        <v>comment_count:0</v>
      </c>
      <c r="GI2" s="20" t="str">
        <f>IFERROR(__xludf.DUMMYFUNCTION("""COMPUTED_VALUE"""),"verification:{""verified"":false")</f>
        <v>verification:{"verified":false</v>
      </c>
      <c r="GJ2" s="20" t="str">
        <f>IFERROR(__xludf.DUMMYFUNCTION("""COMPUTED_VALUE"""),"reason:""unsigned""")</f>
        <v>reason:"unsigned"</v>
      </c>
      <c r="GK2" s="20" t="str">
        <f>IFERROR(__xludf.DUMMYFUNCTION("""COMPUTED_VALUE"""),"signature:null")</f>
        <v>signature:null</v>
      </c>
      <c r="GL2" s="20" t="str">
        <f>IFERROR(__xludf.DUMMYFUNCTION("""COMPUTED_VALUE"""),"payload:null}}")</f>
        <v>payload:null}}</v>
      </c>
      <c r="GM2" s="20" t="str">
        <f>IFERROR(__xludf.DUMMYFUNCTION("""COMPUTED_VALUE"""),"url:""https://api.github.com/repos/adixmr/leetcode/commits/5d295dce00a54d1c9e427c36004eb28f0b959334""")</f>
        <v>url:"https://api.github.com/repos/adixmr/leetcode/commits/5d295dce00a54d1c9e427c36004eb28f0b959334"</v>
      </c>
      <c r="GN2" s="20" t="str">
        <f>IFERROR(__xludf.DUMMYFUNCTION("""COMPUTED_VALUE"""),"html_url:""https://github.com/adixmr/leetcode/commit/5d295dce00a54d1c9e427c36004eb28f0b959334""")</f>
        <v>html_url:"https://github.com/adixmr/leetcode/commit/5d295dce00a54d1c9e427c36004eb28f0b959334"</v>
      </c>
      <c r="GO2" s="20" t="str">
        <f>IFERROR(__xludf.DUMMYFUNCTION("""COMPUTED_VALUE"""),"comments_url:""https://api.github.com/repos/adixmr/leetcode/commits/5d295dce00a54d1c9e427c36004eb28f0b959334/comments""")</f>
        <v>comments_url:"https://api.github.com/repos/adixmr/leetcode/commits/5d295dce00a54d1c9e427c36004eb28f0b959334/comments"</v>
      </c>
      <c r="GP2" s="20" t="str">
        <f>IFERROR(__xludf.DUMMYFUNCTION("""COMPUTED_VALUE"""),"author:{""login"":""adixmr""")</f>
        <v>author:{"login":"adixmr"</v>
      </c>
      <c r="GQ2" s="20" t="str">
        <f>IFERROR(__xludf.DUMMYFUNCTION("""COMPUTED_VALUE"""),"id:42894359")</f>
        <v>id:42894359</v>
      </c>
      <c r="GR2" s="20" t="str">
        <f>IFERROR(__xludf.DUMMYFUNCTION("""COMPUTED_VALUE"""),"node_id:""MDQ6VXNlcjQyODk0MzU5""")</f>
        <v>node_id:"MDQ6VXNlcjQyODk0MzU5"</v>
      </c>
      <c r="GS2" s="20" t="str">
        <f>IFERROR(__xludf.DUMMYFUNCTION("""COMPUTED_VALUE"""),"avatar_url:""https://avatars.githubusercontent.com/u/42894359?v=4""")</f>
        <v>avatar_url:"https://avatars.githubusercontent.com/u/42894359?v=4"</v>
      </c>
      <c r="GT2" s="20" t="str">
        <f>IFERROR(__xludf.DUMMYFUNCTION("""COMPUTED_VALUE"""),"gravatar_id:""""")</f>
        <v>gravatar_id:""</v>
      </c>
      <c r="GU2" s="20" t="str">
        <f>IFERROR(__xludf.DUMMYFUNCTION("""COMPUTED_VALUE"""),"url:""https://api.github.com/users/adixmr""")</f>
        <v>url:"https://api.github.com/users/adixmr"</v>
      </c>
      <c r="GV2" s="20" t="str">
        <f>IFERROR(__xludf.DUMMYFUNCTION("""COMPUTED_VALUE"""),"html_url:""https://github.com/adixmr""")</f>
        <v>html_url:"https://github.com/adixmr"</v>
      </c>
      <c r="GW2" s="20" t="str">
        <f>IFERROR(__xludf.DUMMYFUNCTION("""COMPUTED_VALUE"""),"followers_url:""https://api.github.com/users/adixmr/followers""")</f>
        <v>followers_url:"https://api.github.com/users/adixmr/followers"</v>
      </c>
      <c r="GX2" s="20" t="str">
        <f>IFERROR(__xludf.DUMMYFUNCTION("""COMPUTED_VALUE"""),"following_url:""https://api.github.com/users/adixmr/following{/other_user}""")</f>
        <v>following_url:"https://api.github.com/users/adixmr/following{/other_user}"</v>
      </c>
      <c r="GY2" s="20" t="str">
        <f>IFERROR(__xludf.DUMMYFUNCTION("""COMPUTED_VALUE"""),"gists_url:""https://api.github.com/users/adixmr/gists{/gist_id}""")</f>
        <v>gists_url:"https://api.github.com/users/adixmr/gists{/gist_id}"</v>
      </c>
      <c r="GZ2" s="20" t="str">
        <f>IFERROR(__xludf.DUMMYFUNCTION("""COMPUTED_VALUE"""),"starred_url:""https://api.github.com/users/adixmr/starred{/owner}{/repo}""")</f>
        <v>starred_url:"https://api.github.com/users/adixmr/starred{/owner}{/repo}"</v>
      </c>
      <c r="HA2" s="20" t="str">
        <f>IFERROR(__xludf.DUMMYFUNCTION("""COMPUTED_VALUE"""),"subscriptions_url:""https://api.github.com/users/adixmr/subscriptions""")</f>
        <v>subscriptions_url:"https://api.github.com/users/adixmr/subscriptions"</v>
      </c>
      <c r="HB2" s="20" t="str">
        <f>IFERROR(__xludf.DUMMYFUNCTION("""COMPUTED_VALUE"""),"organizations_url:""https://api.github.com/users/adixmr/orgs""")</f>
        <v>organizations_url:"https://api.github.com/users/adixmr/orgs"</v>
      </c>
      <c r="HC2" s="20" t="str">
        <f>IFERROR(__xludf.DUMMYFUNCTION("""COMPUTED_VALUE"""),"repos_url:""https://api.github.com/users/adixmr/repos""")</f>
        <v>repos_url:"https://api.github.com/users/adixmr/repos"</v>
      </c>
      <c r="HD2" s="20" t="str">
        <f>IFERROR(__xludf.DUMMYFUNCTION("""COMPUTED_VALUE"""),"events_url:""https://api.github.com/users/adixmr/events{/privacy}""")</f>
        <v>events_url:"https://api.github.com/users/adixmr/events{/privacy}"</v>
      </c>
      <c r="HE2" s="20" t="str">
        <f>IFERROR(__xludf.DUMMYFUNCTION("""COMPUTED_VALUE"""),"received_events_url:""https://api.github.com/users/adixmr/received_events""")</f>
        <v>received_events_url:"https://api.github.com/users/adixmr/received_events"</v>
      </c>
      <c r="HF2" s="20" t="str">
        <f>IFERROR(__xludf.DUMMYFUNCTION("""COMPUTED_VALUE"""),"type:""User""")</f>
        <v>type:"User"</v>
      </c>
      <c r="HG2" s="20" t="str">
        <f>IFERROR(__xludf.DUMMYFUNCTION("""COMPUTED_VALUE"""),"site_admin:false}")</f>
        <v>site_admin:false}</v>
      </c>
      <c r="HH2" s="20" t="str">
        <f>IFERROR(__xludf.DUMMYFUNCTION("""COMPUTED_VALUE"""),"committer:{""login"":""adixmr""")</f>
        <v>committer:{"login":"adixmr"</v>
      </c>
      <c r="HI2" s="20" t="str">
        <f>IFERROR(__xludf.DUMMYFUNCTION("""COMPUTED_VALUE"""),"id:42894359")</f>
        <v>id:42894359</v>
      </c>
      <c r="HJ2" s="20" t="str">
        <f>IFERROR(__xludf.DUMMYFUNCTION("""COMPUTED_VALUE"""),"node_id:""MDQ6VXNlcjQyODk0MzU5""")</f>
        <v>node_id:"MDQ6VXNlcjQyODk0MzU5"</v>
      </c>
      <c r="HK2" s="20" t="str">
        <f>IFERROR(__xludf.DUMMYFUNCTION("""COMPUTED_VALUE"""),"avatar_url:""https://avatars.githubusercontent.com/u/42894359?v=4""")</f>
        <v>avatar_url:"https://avatars.githubusercontent.com/u/42894359?v=4"</v>
      </c>
      <c r="HL2" s="20" t="str">
        <f>IFERROR(__xludf.DUMMYFUNCTION("""COMPUTED_VALUE"""),"gravatar_id:""""")</f>
        <v>gravatar_id:""</v>
      </c>
      <c r="HM2" s="20" t="str">
        <f>IFERROR(__xludf.DUMMYFUNCTION("""COMPUTED_VALUE"""),"url:""https://api.github.com/users/adixmr""")</f>
        <v>url:"https://api.github.com/users/adixmr"</v>
      </c>
      <c r="HN2" s="20" t="str">
        <f>IFERROR(__xludf.DUMMYFUNCTION("""COMPUTED_VALUE"""),"html_url:""https://github.com/adixmr""")</f>
        <v>html_url:"https://github.com/adixmr"</v>
      </c>
      <c r="HO2" s="20" t="str">
        <f>IFERROR(__xludf.DUMMYFUNCTION("""COMPUTED_VALUE"""),"followers_url:""https://api.github.com/users/adixmr/followers""")</f>
        <v>followers_url:"https://api.github.com/users/adixmr/followers"</v>
      </c>
      <c r="HP2" s="20" t="str">
        <f>IFERROR(__xludf.DUMMYFUNCTION("""COMPUTED_VALUE"""),"following_url:""https://api.github.com/users/adixmr/following{/other_user}""")</f>
        <v>following_url:"https://api.github.com/users/adixmr/following{/other_user}"</v>
      </c>
      <c r="HQ2" s="20" t="str">
        <f>IFERROR(__xludf.DUMMYFUNCTION("""COMPUTED_VALUE"""),"gists_url:""https://api.github.com/users/adixmr/gists{/gist_id}""")</f>
        <v>gists_url:"https://api.github.com/users/adixmr/gists{/gist_id}"</v>
      </c>
      <c r="HR2" s="20" t="str">
        <f>IFERROR(__xludf.DUMMYFUNCTION("""COMPUTED_VALUE"""),"starred_url:""https://api.github.com/users/adixmr/starred{/owner}{/repo}""")</f>
        <v>starred_url:"https://api.github.com/users/adixmr/starred{/owner}{/repo}"</v>
      </c>
      <c r="HS2" s="20" t="str">
        <f>IFERROR(__xludf.DUMMYFUNCTION("""COMPUTED_VALUE"""),"subscriptions_url:""https://api.github.com/users/adixmr/subscriptions""")</f>
        <v>subscriptions_url:"https://api.github.com/users/adixmr/subscriptions"</v>
      </c>
      <c r="HT2" s="20" t="str">
        <f>IFERROR(__xludf.DUMMYFUNCTION("""COMPUTED_VALUE"""),"organizations_url:""https://api.github.com/users/adixmr/orgs""")</f>
        <v>organizations_url:"https://api.github.com/users/adixmr/orgs"</v>
      </c>
      <c r="HU2" s="20" t="str">
        <f>IFERROR(__xludf.DUMMYFUNCTION("""COMPUTED_VALUE"""),"repos_url:""https://api.github.com/users/adixmr/repos""")</f>
        <v>repos_url:"https://api.github.com/users/adixmr/repos"</v>
      </c>
      <c r="HV2" s="20" t="str">
        <f>IFERROR(__xludf.DUMMYFUNCTION("""COMPUTED_VALUE"""),"events_url:""https://api.github.com/users/adixmr/events{/privacy}""")</f>
        <v>events_url:"https://api.github.com/users/adixmr/events{/privacy}"</v>
      </c>
      <c r="HW2" s="20" t="str">
        <f>IFERROR(__xludf.DUMMYFUNCTION("""COMPUTED_VALUE"""),"received_events_url:""https://api.github.com/users/adixmr/received_events""")</f>
        <v>received_events_url:"https://api.github.com/users/adixmr/received_events"</v>
      </c>
      <c r="HX2" s="20" t="str">
        <f>IFERROR(__xludf.DUMMYFUNCTION("""COMPUTED_VALUE"""),"type:""User""")</f>
        <v>type:"User"</v>
      </c>
      <c r="HY2" s="20" t="str">
        <f>IFERROR(__xludf.DUMMYFUNCTION("""COMPUTED_VALUE"""),"site_admin:false}")</f>
        <v>site_admin:false}</v>
      </c>
      <c r="HZ2" s="20" t="str">
        <f>IFERROR(__xludf.DUMMYFUNCTION("""COMPUTED_VALUE"""),"parents:[{""sha"":""23fa656ecf7a8fd91a9f7c055507855883c2452d""")</f>
        <v>parents:[{"sha":"23fa656ecf7a8fd91a9f7c055507855883c2452d"</v>
      </c>
      <c r="IA2" s="20" t="str">
        <f>IFERROR(__xludf.DUMMYFUNCTION("""COMPUTED_VALUE"""),"url:""https://api.github.com/repos/adixmr/leetcode/commits/23fa656ecf7a8fd91a9f7c055507855883c2452d""")</f>
        <v>url:"https://api.github.com/repos/adixmr/leetcode/commits/23fa656ecf7a8fd91a9f7c055507855883c2452d"</v>
      </c>
      <c r="IB2" s="20" t="str">
        <f>IFERROR(__xludf.DUMMYFUNCTION("""COMPUTED_VALUE"""),"html_url:""https://github.com/adixmr/leetcode/commit/23fa656ecf7a8fd91a9f7c055507855883c2452d""}]}")</f>
        <v>html_url:"https://github.com/adixmr/leetcode/commit/23fa656ecf7a8fd91a9f7c055507855883c2452d"}]}</v>
      </c>
      <c r="IC2" s="20" t="str">
        <f>IFERROR(__xludf.DUMMYFUNCTION("""COMPUTED_VALUE"""),"{""sha"":""23fa656ecf7a8fd91a9f7c055507855883c2452d""")</f>
        <v>{"sha":"23fa656ecf7a8fd91a9f7c055507855883c2452d"</v>
      </c>
      <c r="ID2" s="20" t="str">
        <f>IFERROR(__xludf.DUMMYFUNCTION("""COMPUTED_VALUE"""),"node_id:""C_kwDOG-OgStoAKDIzZmE2NTZlY2Y3YThmZDkxYTlmN2MwNTU1MDc4NTU4ODNjMjQ1MmQ""")</f>
        <v>node_id:"C_kwDOG-OgStoAKDIzZmE2NTZlY2Y3YThmZDkxYTlmN2MwNTU1MDc4NTU4ODNjMjQ1MmQ"</v>
      </c>
      <c r="IE2" s="20" t="str">
        <f>IFERROR(__xludf.DUMMYFUNCTION("""COMPUTED_VALUE"""),"commit:{""author"":{""name"":""Aditya Rajput""")</f>
        <v>commit:{"author":{"name":"Aditya Rajput"</v>
      </c>
      <c r="IF2" s="20" t="str">
        <f>IFERROR(__xludf.DUMMYFUNCTION("""COMPUTED_VALUE"""),"email:""aditya.icf@gmail.com""")</f>
        <v>email:"aditya.icf@gmail.com"</v>
      </c>
      <c r="IG2" s="20" t="str">
        <f>IFERROR(__xludf.DUMMYFUNCTION("""COMPUTED_VALUE"""),"date:""2022-12-26T12:30:01Z""}")</f>
        <v>date:"2022-12-26T12:30:01Z"}</v>
      </c>
      <c r="IH2" s="20" t="str">
        <f>IFERROR(__xludf.DUMMYFUNCTION("""COMPUTED_VALUE"""),"committer:{""name"":""Aditya Rajput""")</f>
        <v>committer:{"name":"Aditya Rajput"</v>
      </c>
      <c r="II2" s="20" t="str">
        <f>IFERROR(__xludf.DUMMYFUNCTION("""COMPUTED_VALUE"""),"email:""aditya.icf@gmail.com""")</f>
        <v>email:"aditya.icf@gmail.com"</v>
      </c>
      <c r="IJ2" s="20" t="str">
        <f>IFERROR(__xludf.DUMMYFUNCTION("""COMPUTED_VALUE"""),"date:""2022-12-26T12:30:01Z""}")</f>
        <v>date:"2022-12-26T12:30:01Z"}</v>
      </c>
      <c r="IK2" s="20" t="str">
        <f>IFERROR(__xludf.DUMMYFUNCTION("""COMPUTED_VALUE"""),"message:""Daily update by cron""")</f>
        <v>message:"Daily update by cron"</v>
      </c>
      <c r="IL2" s="20" t="str">
        <f>IFERROR(__xludf.DUMMYFUNCTION("""COMPUTED_VALUE"""),"tree:{""sha"":""5154e0dbbd5814215c0f20aa3e904de986f57f9c""")</f>
        <v>tree:{"sha":"5154e0dbbd5814215c0f20aa3e904de986f57f9c"</v>
      </c>
      <c r="IM2" s="20" t="str">
        <f>IFERROR(__xludf.DUMMYFUNCTION("""COMPUTED_VALUE"""),"url:""https://api.github.com/repos/adixmr/leetcode/git/trees/5154e0dbbd5814215c0f20aa3e904de986f57f9c""}")</f>
        <v>url:"https://api.github.com/repos/adixmr/leetcode/git/trees/5154e0dbbd5814215c0f20aa3e904de986f57f9c"}</v>
      </c>
      <c r="IN2" s="20" t="str">
        <f>IFERROR(__xludf.DUMMYFUNCTION("""COMPUTED_VALUE"""),"url:""https://api.github.com/repos/adixmr/leetcode/git/commits/23fa656ecf7a8fd91a9f7c055507855883c2452d""")</f>
        <v>url:"https://api.github.com/repos/adixmr/leetcode/git/commits/23fa656ecf7a8fd91a9f7c055507855883c2452d"</v>
      </c>
      <c r="IO2" s="20" t="str">
        <f>IFERROR(__xludf.DUMMYFUNCTION("""COMPUTED_VALUE"""),"comment_count:0")</f>
        <v>comment_count:0</v>
      </c>
      <c r="IP2" s="20" t="str">
        <f>IFERROR(__xludf.DUMMYFUNCTION("""COMPUTED_VALUE"""),"verification:{""verified"":false")</f>
        <v>verification:{"verified":false</v>
      </c>
      <c r="IQ2" s="20" t="str">
        <f>IFERROR(__xludf.DUMMYFUNCTION("""COMPUTED_VALUE"""),"reason:""unsigned""")</f>
        <v>reason:"unsigned"</v>
      </c>
      <c r="IR2" s="20" t="str">
        <f>IFERROR(__xludf.DUMMYFUNCTION("""COMPUTED_VALUE"""),"signature:null")</f>
        <v>signature:null</v>
      </c>
      <c r="IS2" s="20" t="str">
        <f>IFERROR(__xludf.DUMMYFUNCTION("""COMPUTED_VALUE"""),"payload:null}}")</f>
        <v>payload:null}}</v>
      </c>
      <c r="IT2" s="20" t="str">
        <f>IFERROR(__xludf.DUMMYFUNCTION("""COMPUTED_VALUE"""),"url:""https://api.github.com/repos/adixmr/leetcode/commits/23fa656ecf7a8fd91a9f7c055507855883c2452d""")</f>
        <v>url:"https://api.github.com/repos/adixmr/leetcode/commits/23fa656ecf7a8fd91a9f7c055507855883c2452d"</v>
      </c>
      <c r="IU2" s="20" t="str">
        <f>IFERROR(__xludf.DUMMYFUNCTION("""COMPUTED_VALUE"""),"html_url:""https://github.com/adixmr/leetcode/commit/23fa656ecf7a8fd91a9f7c055507855883c2452d""")</f>
        <v>html_url:"https://github.com/adixmr/leetcode/commit/23fa656ecf7a8fd91a9f7c055507855883c2452d"</v>
      </c>
      <c r="IV2" s="20" t="str">
        <f>IFERROR(__xludf.DUMMYFUNCTION("""COMPUTED_VALUE"""),"comments_url:""https://api.github.com/repos/adixmr/leetcode/commits/23fa656ecf7a8fd91a9f7c055507855883c2452d/comments""")</f>
        <v>comments_url:"https://api.github.com/repos/adixmr/leetcode/commits/23fa656ecf7a8fd91a9f7c055507855883c2452d/comments"</v>
      </c>
      <c r="IW2" s="20" t="str">
        <f>IFERROR(__xludf.DUMMYFUNCTION("""COMPUTED_VALUE"""),"author:{""login"":""adixmr""")</f>
        <v>author:{"login":"adixmr"</v>
      </c>
      <c r="IX2" s="20" t="str">
        <f>IFERROR(__xludf.DUMMYFUNCTION("""COMPUTED_VALUE"""),"id:42894359")</f>
        <v>id:42894359</v>
      </c>
      <c r="IY2" s="20" t="str">
        <f>IFERROR(__xludf.DUMMYFUNCTION("""COMPUTED_VALUE"""),"node_id:""MDQ6VXNlcjQyODk0MzU5""")</f>
        <v>node_id:"MDQ6VXNlcjQyODk0MzU5"</v>
      </c>
      <c r="IZ2" s="20" t="str">
        <f>IFERROR(__xludf.DUMMYFUNCTION("""COMPUTED_VALUE"""),"avatar_url:""https://avatars.githubusercontent.com/u/42894359?v=4""")</f>
        <v>avatar_url:"https://avatars.githubusercontent.com/u/42894359?v=4"</v>
      </c>
      <c r="JA2" s="20" t="str">
        <f>IFERROR(__xludf.DUMMYFUNCTION("""COMPUTED_VALUE"""),"gravatar_id:""""")</f>
        <v>gravatar_id:""</v>
      </c>
      <c r="JB2" s="20" t="str">
        <f>IFERROR(__xludf.DUMMYFUNCTION("""COMPUTED_VALUE"""),"url:""https://api.github.com/users/adixmr""")</f>
        <v>url:"https://api.github.com/users/adixmr"</v>
      </c>
      <c r="JC2" s="20" t="str">
        <f>IFERROR(__xludf.DUMMYFUNCTION("""COMPUTED_VALUE"""),"html_url:""https://github.com/adixmr""")</f>
        <v>html_url:"https://github.com/adixmr"</v>
      </c>
      <c r="JD2" s="20" t="str">
        <f>IFERROR(__xludf.DUMMYFUNCTION("""COMPUTED_VALUE"""),"followers_url:""https://api.github.com/users/adixmr/followers""")</f>
        <v>followers_url:"https://api.github.com/users/adixmr/followers"</v>
      </c>
      <c r="JE2" s="20" t="str">
        <f>IFERROR(__xludf.DUMMYFUNCTION("""COMPUTED_VALUE"""),"following_url:""https://api.github.com/users/adixmr/following{/other_user}""")</f>
        <v>following_url:"https://api.github.com/users/adixmr/following{/other_user}"</v>
      </c>
      <c r="JF2" s="20" t="str">
        <f>IFERROR(__xludf.DUMMYFUNCTION("""COMPUTED_VALUE"""),"gists_url:""https://api.github.com/users/adixmr/gists{/gist_id}""")</f>
        <v>gists_url:"https://api.github.com/users/adixmr/gists{/gist_id}"</v>
      </c>
      <c r="JG2" s="20" t="str">
        <f>IFERROR(__xludf.DUMMYFUNCTION("""COMPUTED_VALUE"""),"starred_url:""https://api.github.com/users/adixmr/starred{/owner}{/repo}""")</f>
        <v>starred_url:"https://api.github.com/users/adixmr/starred{/owner}{/repo}"</v>
      </c>
      <c r="JH2" s="20" t="str">
        <f>IFERROR(__xludf.DUMMYFUNCTION("""COMPUTED_VALUE"""),"subscriptions_url:""https://api.github.com/users/adixmr/subscriptions""")</f>
        <v>subscriptions_url:"https://api.github.com/users/adixmr/subscriptions"</v>
      </c>
      <c r="JI2" s="20" t="str">
        <f>IFERROR(__xludf.DUMMYFUNCTION("""COMPUTED_VALUE"""),"organizations_url:""https://api.github.com/users/adixmr/orgs""")</f>
        <v>organizations_url:"https://api.github.com/users/adixmr/orgs"</v>
      </c>
      <c r="JJ2" s="20" t="str">
        <f>IFERROR(__xludf.DUMMYFUNCTION("""COMPUTED_VALUE"""),"repos_url:""https://api.github.com/users/adixmr/repos""")</f>
        <v>repos_url:"https://api.github.com/users/adixmr/repos"</v>
      </c>
      <c r="JK2" s="20" t="str">
        <f>IFERROR(__xludf.DUMMYFUNCTION("""COMPUTED_VALUE"""),"events_url:""https://api.github.com/users/adixmr/events{/privacy}""")</f>
        <v>events_url:"https://api.github.com/users/adixmr/events{/privacy}"</v>
      </c>
      <c r="JL2" s="20" t="str">
        <f>IFERROR(__xludf.DUMMYFUNCTION("""COMPUTED_VALUE"""),"received_events_url:""https://api.github.com/users/adixmr/received_events""")</f>
        <v>received_events_url:"https://api.github.com/users/adixmr/received_events"</v>
      </c>
      <c r="JM2" s="20" t="str">
        <f>IFERROR(__xludf.DUMMYFUNCTION("""COMPUTED_VALUE"""),"type:""User""")</f>
        <v>type:"User"</v>
      </c>
      <c r="JN2" s="20" t="str">
        <f>IFERROR(__xludf.DUMMYFUNCTION("""COMPUTED_VALUE"""),"site_admin:false}")</f>
        <v>site_admin:false}</v>
      </c>
      <c r="JO2" s="20" t="str">
        <f>IFERROR(__xludf.DUMMYFUNCTION("""COMPUTED_VALUE"""),"committer:{""login"":""adixmr""")</f>
        <v>committer:{"login":"adixmr"</v>
      </c>
      <c r="JP2" s="20" t="str">
        <f>IFERROR(__xludf.DUMMYFUNCTION("""COMPUTED_VALUE"""),"id:42894359")</f>
        <v>id:42894359</v>
      </c>
      <c r="JQ2" s="20" t="str">
        <f>IFERROR(__xludf.DUMMYFUNCTION("""COMPUTED_VALUE"""),"node_id:""MDQ6VXNlcjQyODk0MzU5""")</f>
        <v>node_id:"MDQ6VXNlcjQyODk0MzU5"</v>
      </c>
      <c r="JR2" s="20" t="str">
        <f>IFERROR(__xludf.DUMMYFUNCTION("""COMPUTED_VALUE"""),"avatar_url:""https://avatars.githubusercontent.com/u/42894359?v=4""")</f>
        <v>avatar_url:"https://avatars.githubusercontent.com/u/42894359?v=4"</v>
      </c>
      <c r="JS2" s="20" t="str">
        <f>IFERROR(__xludf.DUMMYFUNCTION("""COMPUTED_VALUE"""),"gravatar_id:""""")</f>
        <v>gravatar_id:""</v>
      </c>
      <c r="JT2" s="20" t="str">
        <f>IFERROR(__xludf.DUMMYFUNCTION("""COMPUTED_VALUE"""),"url:""https://api.github.com/users/adixmr""")</f>
        <v>url:"https://api.github.com/users/adixmr"</v>
      </c>
      <c r="JU2" s="20" t="str">
        <f>IFERROR(__xludf.DUMMYFUNCTION("""COMPUTED_VALUE"""),"html_url:""https://github.com/adixmr""")</f>
        <v>html_url:"https://github.com/adixmr"</v>
      </c>
      <c r="JV2" s="20" t="str">
        <f>IFERROR(__xludf.DUMMYFUNCTION("""COMPUTED_VALUE"""),"followers_url:""https://api.github.com/users/adixmr/followers""")</f>
        <v>followers_url:"https://api.github.com/users/adixmr/followers"</v>
      </c>
      <c r="JW2" s="20" t="str">
        <f>IFERROR(__xludf.DUMMYFUNCTION("""COMPUTED_VALUE"""),"following_url:""https://api.github.com/users/adixmr/following{/other_user}""")</f>
        <v>following_url:"https://api.github.com/users/adixmr/following{/other_user}"</v>
      </c>
      <c r="JX2" s="20" t="str">
        <f>IFERROR(__xludf.DUMMYFUNCTION("""COMPUTED_VALUE"""),"gists_url:""https://api.github.com/users/adixmr/gists{/gist_id}""")</f>
        <v>gists_url:"https://api.github.com/users/adixmr/gists{/gist_id}"</v>
      </c>
      <c r="JY2" s="20" t="str">
        <f>IFERROR(__xludf.DUMMYFUNCTION("""COMPUTED_VALUE"""),"starred_url:""https://api.github.com/users/adixmr/starred{/owner}{/repo}""")</f>
        <v>starred_url:"https://api.github.com/users/adixmr/starred{/owner}{/repo}"</v>
      </c>
      <c r="JZ2" s="20" t="str">
        <f>IFERROR(__xludf.DUMMYFUNCTION("""COMPUTED_VALUE"""),"subscriptions_url:""https://api.github.com/users/adixmr/subscriptions""")</f>
        <v>subscriptions_url:"https://api.github.com/users/adixmr/subscriptions"</v>
      </c>
      <c r="KA2" s="20" t="str">
        <f>IFERROR(__xludf.DUMMYFUNCTION("""COMPUTED_VALUE"""),"organizations_url:""https://api.github.com/users/adixmr/orgs""")</f>
        <v>organizations_url:"https://api.github.com/users/adixmr/orgs"</v>
      </c>
      <c r="KB2" s="20" t="str">
        <f>IFERROR(__xludf.DUMMYFUNCTION("""COMPUTED_VALUE"""),"repos_url:""https://api.github.com/users/adixmr/repos""")</f>
        <v>repos_url:"https://api.github.com/users/adixmr/repos"</v>
      </c>
      <c r="KC2" s="20" t="str">
        <f>IFERROR(__xludf.DUMMYFUNCTION("""COMPUTED_VALUE"""),"events_url:""https://api.github.com/users/adixmr/events{/privacy}""")</f>
        <v>events_url:"https://api.github.com/users/adixmr/events{/privacy}"</v>
      </c>
      <c r="KD2" s="20" t="str">
        <f>IFERROR(__xludf.DUMMYFUNCTION("""COMPUTED_VALUE"""),"received_events_url:""https://api.github.com/users/adixmr/received_events""")</f>
        <v>received_events_url:"https://api.github.com/users/adixmr/received_events"</v>
      </c>
      <c r="KE2" s="20" t="str">
        <f>IFERROR(__xludf.DUMMYFUNCTION("""COMPUTED_VALUE"""),"type:""User""")</f>
        <v>type:"User"</v>
      </c>
      <c r="KF2" s="20" t="str">
        <f>IFERROR(__xludf.DUMMYFUNCTION("""COMPUTED_VALUE"""),"site_admin:false}")</f>
        <v>site_admin:false}</v>
      </c>
      <c r="KG2" s="20" t="str">
        <f>IFERROR(__xludf.DUMMYFUNCTION("""COMPUTED_VALUE"""),"parents:[{""sha"":""927d3e4f0b1736bbf6e08787ae02b1e700d0c4ec""")</f>
        <v>parents:[{"sha":"927d3e4f0b1736bbf6e08787ae02b1e700d0c4ec"</v>
      </c>
      <c r="KH2" s="20" t="str">
        <f>IFERROR(__xludf.DUMMYFUNCTION("""COMPUTED_VALUE"""),"url:""https://api.github.com/repos/adixmr/leetcode/commits/927d3e4f0b1736bbf6e08787ae02b1e700d0c4ec""")</f>
        <v>url:"https://api.github.com/repos/adixmr/leetcode/commits/927d3e4f0b1736bbf6e08787ae02b1e700d0c4ec"</v>
      </c>
      <c r="KI2" s="20" t="str">
        <f>IFERROR(__xludf.DUMMYFUNCTION("""COMPUTED_VALUE"""),"html_url:""https://github.com/adixmr/leetcode/commit/927d3e4f0b1736bbf6e08787ae02b1e700d0c4ec""}]}")</f>
        <v>html_url:"https://github.com/adixmr/leetcode/commit/927d3e4f0b1736bbf6e08787ae02b1e700d0c4ec"}]}</v>
      </c>
      <c r="KJ2" s="20" t="str">
        <f>IFERROR(__xludf.DUMMYFUNCTION("""COMPUTED_VALUE"""),"{""sha"":""927d3e4f0b1736bbf6e08787ae02b1e700d0c4ec""")</f>
        <v>{"sha":"927d3e4f0b1736bbf6e08787ae02b1e700d0c4ec"</v>
      </c>
      <c r="KK2" s="20" t="str">
        <f>IFERROR(__xludf.DUMMYFUNCTION("""COMPUTED_VALUE"""),"node_id:""C_kwDOG-OgStoAKDkyN2QzZTRmMGIxNzM2YmJmNmUwODc4N2FlMDJiMWU3MDBkMGM0ZWM""")</f>
        <v>node_id:"C_kwDOG-OgStoAKDkyN2QzZTRmMGIxNzM2YmJmNmUwODc4N2FlMDJiMWU3MDBkMGM0ZWM"</v>
      </c>
      <c r="KL2" s="20" t="str">
        <f>IFERROR(__xludf.DUMMYFUNCTION("""COMPUTED_VALUE"""),"commit:{""author"":{""name"":""Aditya Rajput""")</f>
        <v>commit:{"author":{"name":"Aditya Rajput"</v>
      </c>
      <c r="KM2" s="20" t="str">
        <f>IFERROR(__xludf.DUMMYFUNCTION("""COMPUTED_VALUE"""),"email:""aditya.icf@gmail.com""")</f>
        <v>email:"aditya.icf@gmail.com"</v>
      </c>
      <c r="KN2" s="20" t="str">
        <f>IFERROR(__xludf.DUMMYFUNCTION("""COMPUTED_VALUE"""),"date:""2022-12-25T12:30:01Z""}")</f>
        <v>date:"2022-12-25T12:30:01Z"}</v>
      </c>
      <c r="KO2" s="20" t="str">
        <f>IFERROR(__xludf.DUMMYFUNCTION("""COMPUTED_VALUE"""),"committer:{""name"":""Aditya Rajput""")</f>
        <v>committer:{"name":"Aditya Rajput"</v>
      </c>
      <c r="KP2" s="20" t="str">
        <f>IFERROR(__xludf.DUMMYFUNCTION("""COMPUTED_VALUE"""),"email:""aditya.icf@gmail.com""")</f>
        <v>email:"aditya.icf@gmail.com"</v>
      </c>
      <c r="KQ2" s="20" t="str">
        <f>IFERROR(__xludf.DUMMYFUNCTION("""COMPUTED_VALUE"""),"date:""2022-12-25T12:30:01Z""}")</f>
        <v>date:"2022-12-25T12:30:01Z"}</v>
      </c>
      <c r="KR2" s="20" t="str">
        <f>IFERROR(__xludf.DUMMYFUNCTION("""COMPUTED_VALUE"""),"message:""Daily update by cron""")</f>
        <v>message:"Daily update by cron"</v>
      </c>
      <c r="KS2" s="20" t="str">
        <f>IFERROR(__xludf.DUMMYFUNCTION("""COMPUTED_VALUE"""),"tree:{""sha"":""5e2f4cec33d1d9337483ab7f3a0796e36c36405c""")</f>
        <v>tree:{"sha":"5e2f4cec33d1d9337483ab7f3a0796e36c36405c"</v>
      </c>
      <c r="KT2" s="20" t="str">
        <f>IFERROR(__xludf.DUMMYFUNCTION("""COMPUTED_VALUE"""),"url:""https://api.github.com/repos/adixmr/leetcode/git/trees/5e2f4cec33d1d9337483ab7f3a0796e36c36405c""}")</f>
        <v>url:"https://api.github.com/repos/adixmr/leetcode/git/trees/5e2f4cec33d1d9337483ab7f3a0796e36c36405c"}</v>
      </c>
      <c r="KU2" s="20" t="str">
        <f>IFERROR(__xludf.DUMMYFUNCTION("""COMPUTED_VALUE"""),"url:""https://api.github.com/repos/adixmr/leetcode/git/commits/927d3e4f0b1736bbf6e08787ae02b1e700d0c4ec""")</f>
        <v>url:"https://api.github.com/repos/adixmr/leetcode/git/commits/927d3e4f0b1736bbf6e08787ae02b1e700d0c4ec"</v>
      </c>
      <c r="KV2" s="20" t="str">
        <f>IFERROR(__xludf.DUMMYFUNCTION("""COMPUTED_VALUE"""),"comment_count:0")</f>
        <v>comment_count:0</v>
      </c>
      <c r="KW2" s="20" t="str">
        <f>IFERROR(__xludf.DUMMYFUNCTION("""COMPUTED_VALUE"""),"verification:{""verified"":false")</f>
        <v>verification:{"verified":false</v>
      </c>
      <c r="KX2" s="20" t="str">
        <f>IFERROR(__xludf.DUMMYFUNCTION("""COMPUTED_VALUE"""),"reason:""unsigned""")</f>
        <v>reason:"unsigned"</v>
      </c>
      <c r="KY2" s="20" t="str">
        <f>IFERROR(__xludf.DUMMYFUNCTION("""COMPUTED_VALUE"""),"signature:null")</f>
        <v>signature:null</v>
      </c>
      <c r="KZ2" s="20" t="str">
        <f>IFERROR(__xludf.DUMMYFUNCTION("""COMPUTED_VALUE"""),"payload:null}}")</f>
        <v>payload:null}}</v>
      </c>
      <c r="LA2" s="20" t="str">
        <f>IFERROR(__xludf.DUMMYFUNCTION("""COMPUTED_VALUE"""),"url:""https://api.github.com/repos/adixmr/leetcode/commits/927d3e4f0b1736bbf6e08787ae02b1e700d0c4ec""")</f>
        <v>url:"https://api.github.com/repos/adixmr/leetcode/commits/927d3e4f0b1736bbf6e08787ae02b1e700d0c4ec"</v>
      </c>
      <c r="LB2" s="20" t="str">
        <f>IFERROR(__xludf.DUMMYFUNCTION("""COMPUTED_VALUE"""),"html_url:""https://github.com/adixmr/leetcode/commit/927d3e4f0b1736bbf6e08787ae02b1e700d0c4ec""")</f>
        <v>html_url:"https://github.com/adixmr/leetcode/commit/927d3e4f0b1736bbf6e08787ae02b1e700d0c4ec"</v>
      </c>
      <c r="LC2" s="20" t="str">
        <f>IFERROR(__xludf.DUMMYFUNCTION("""COMPUTED_VALUE"""),"comments_url:""https://api.github.com/repos/adixmr/leetcode/commits/927d3e4f0b1736bbf6e08787ae02b1e700d0c4ec/comments""")</f>
        <v>comments_url:"https://api.github.com/repos/adixmr/leetcode/commits/927d3e4f0b1736bbf6e08787ae02b1e700d0c4ec/comments"</v>
      </c>
      <c r="LD2" s="20" t="str">
        <f>IFERROR(__xludf.DUMMYFUNCTION("""COMPUTED_VALUE"""),"author:{""login"":""adixmr""")</f>
        <v>author:{"login":"adixmr"</v>
      </c>
      <c r="LE2" s="20" t="str">
        <f>IFERROR(__xludf.DUMMYFUNCTION("""COMPUTED_VALUE"""),"id:42894359")</f>
        <v>id:42894359</v>
      </c>
      <c r="LF2" s="20" t="str">
        <f>IFERROR(__xludf.DUMMYFUNCTION("""COMPUTED_VALUE"""),"node_id:""MDQ6VXNlcjQyODk0MzU5""")</f>
        <v>node_id:"MDQ6VXNlcjQyODk0MzU5"</v>
      </c>
      <c r="LG2" s="20" t="str">
        <f>IFERROR(__xludf.DUMMYFUNCTION("""COMPUTED_VALUE"""),"avatar_url:""https://avatars.githubusercontent.com/u/42894359?v=4""")</f>
        <v>avatar_url:"https://avatars.githubusercontent.com/u/42894359?v=4"</v>
      </c>
      <c r="LH2" s="20" t="str">
        <f>IFERROR(__xludf.DUMMYFUNCTION("""COMPUTED_VALUE"""),"gravatar_id:""""")</f>
        <v>gravatar_id:""</v>
      </c>
      <c r="LI2" s="20" t="str">
        <f>IFERROR(__xludf.DUMMYFUNCTION("""COMPUTED_VALUE"""),"url:""https://api.github.com/users/adixmr""")</f>
        <v>url:"https://api.github.com/users/adixmr"</v>
      </c>
      <c r="LJ2" s="20" t="str">
        <f>IFERROR(__xludf.DUMMYFUNCTION("""COMPUTED_VALUE"""),"html_url:""https://github.com/adixmr""")</f>
        <v>html_url:"https://github.com/adixmr"</v>
      </c>
      <c r="LK2" s="20" t="str">
        <f>IFERROR(__xludf.DUMMYFUNCTION("""COMPUTED_VALUE"""),"followers_url:""https://api.github.com/users/adixmr/followers""")</f>
        <v>followers_url:"https://api.github.com/users/adixmr/followers"</v>
      </c>
      <c r="LL2" s="20" t="str">
        <f>IFERROR(__xludf.DUMMYFUNCTION("""COMPUTED_VALUE"""),"following_url:""https://api.github.com/users/adixmr/following{/other_user}""")</f>
        <v>following_url:"https://api.github.com/users/adixmr/following{/other_user}"</v>
      </c>
      <c r="LM2" s="20" t="str">
        <f>IFERROR(__xludf.DUMMYFUNCTION("""COMPUTED_VALUE"""),"gists_url:""https://api.github.com/users/adixmr/gists{/gist_id}""")</f>
        <v>gists_url:"https://api.github.com/users/adixmr/gists{/gist_id}"</v>
      </c>
      <c r="LN2" s="20" t="str">
        <f>IFERROR(__xludf.DUMMYFUNCTION("""COMPUTED_VALUE"""),"starred_url:""https://api.github.com/users/adixmr/starred{/owner}{/repo}""")</f>
        <v>starred_url:"https://api.github.com/users/adixmr/starred{/owner}{/repo}"</v>
      </c>
      <c r="LO2" s="20" t="str">
        <f>IFERROR(__xludf.DUMMYFUNCTION("""COMPUTED_VALUE"""),"subscriptions_url:""https://api.github.com/users/adixmr/subscriptions""")</f>
        <v>subscriptions_url:"https://api.github.com/users/adixmr/subscriptions"</v>
      </c>
      <c r="LP2" s="20" t="str">
        <f>IFERROR(__xludf.DUMMYFUNCTION("""COMPUTED_VALUE"""),"organizations_url:""https://api.github.com/users/adixmr/orgs""")</f>
        <v>organizations_url:"https://api.github.com/users/adixmr/orgs"</v>
      </c>
      <c r="LQ2" s="20" t="str">
        <f>IFERROR(__xludf.DUMMYFUNCTION("""COMPUTED_VALUE"""),"repos_url:""https://api.github.com/users/adixmr/repos""")</f>
        <v>repos_url:"https://api.github.com/users/adixmr/repos"</v>
      </c>
      <c r="LR2" s="20" t="str">
        <f>IFERROR(__xludf.DUMMYFUNCTION("""COMPUTED_VALUE"""),"events_url:""https://api.github.com/users/adixmr/events{/privacy}""")</f>
        <v>events_url:"https://api.github.com/users/adixmr/events{/privacy}"</v>
      </c>
      <c r="LS2" s="20" t="str">
        <f>IFERROR(__xludf.DUMMYFUNCTION("""COMPUTED_VALUE"""),"received_events_url:""https://api.github.com/users/adixmr/received_events""")</f>
        <v>received_events_url:"https://api.github.com/users/adixmr/received_events"</v>
      </c>
      <c r="LT2" s="20" t="str">
        <f>IFERROR(__xludf.DUMMYFUNCTION("""COMPUTED_VALUE"""),"type:""User""")</f>
        <v>type:"User"</v>
      </c>
      <c r="LU2" s="20" t="str">
        <f>IFERROR(__xludf.DUMMYFUNCTION("""COMPUTED_VALUE"""),"site_admin:false}")</f>
        <v>site_admin:false}</v>
      </c>
      <c r="LV2" s="20" t="str">
        <f>IFERROR(__xludf.DUMMYFUNCTION("""COMPUTED_VALUE"""),"committer:{""login"":""adixmr""")</f>
        <v>committer:{"login":"adixmr"</v>
      </c>
      <c r="LW2" s="20" t="str">
        <f>IFERROR(__xludf.DUMMYFUNCTION("""COMPUTED_VALUE"""),"id:42894359")</f>
        <v>id:42894359</v>
      </c>
      <c r="LX2" s="20" t="str">
        <f>IFERROR(__xludf.DUMMYFUNCTION("""COMPUTED_VALUE"""),"node_id:""MDQ6VXNlcjQyODk0MzU5""")</f>
        <v>node_id:"MDQ6VXNlcjQyODk0MzU5"</v>
      </c>
      <c r="LY2" s="20" t="str">
        <f>IFERROR(__xludf.DUMMYFUNCTION("""COMPUTED_VALUE"""),"avatar_url:""https://avatars.githubusercontent.com/u/42894359?v=4""")</f>
        <v>avatar_url:"https://avatars.githubusercontent.com/u/42894359?v=4"</v>
      </c>
      <c r="LZ2" s="20" t="str">
        <f>IFERROR(__xludf.DUMMYFUNCTION("""COMPUTED_VALUE"""),"gravatar_id:""""")</f>
        <v>gravatar_id:""</v>
      </c>
      <c r="MA2" s="20" t="str">
        <f>IFERROR(__xludf.DUMMYFUNCTION("""COMPUTED_VALUE"""),"url:""https://api.github.com/users/adixmr""")</f>
        <v>url:"https://api.github.com/users/adixmr"</v>
      </c>
      <c r="MB2" s="20" t="str">
        <f>IFERROR(__xludf.DUMMYFUNCTION("""COMPUTED_VALUE"""),"html_url:""https://github.com/adixmr""")</f>
        <v>html_url:"https://github.com/adixmr"</v>
      </c>
      <c r="MC2" s="20" t="str">
        <f>IFERROR(__xludf.DUMMYFUNCTION("""COMPUTED_VALUE"""),"followers_url:""https://api.github.com/users/adixmr/followers""")</f>
        <v>followers_url:"https://api.github.com/users/adixmr/followers"</v>
      </c>
      <c r="MD2" s="20" t="str">
        <f>IFERROR(__xludf.DUMMYFUNCTION("""COMPUTED_VALUE"""),"following_url:""https://api.github.com/users/adixmr/following{/other_user}""")</f>
        <v>following_url:"https://api.github.com/users/adixmr/following{/other_user}"</v>
      </c>
      <c r="ME2" s="20" t="str">
        <f>IFERROR(__xludf.DUMMYFUNCTION("""COMPUTED_VALUE"""),"gists_url:""https://api.github.com/users/adixmr/gists{/gist_id}""")</f>
        <v>gists_url:"https://api.github.com/users/adixmr/gists{/gist_id}"</v>
      </c>
      <c r="MF2" s="20" t="str">
        <f>IFERROR(__xludf.DUMMYFUNCTION("""COMPUTED_VALUE"""),"starred_url:""https://api.github.com/users/adixmr/starred{/owner}{/repo}""")</f>
        <v>starred_url:"https://api.github.com/users/adixmr/starred{/owner}{/repo}"</v>
      </c>
      <c r="MG2" s="20" t="str">
        <f>IFERROR(__xludf.DUMMYFUNCTION("""COMPUTED_VALUE"""),"subscriptions_url:""https://api.github.com/users/adixmr/subscriptions""")</f>
        <v>subscriptions_url:"https://api.github.com/users/adixmr/subscriptions"</v>
      </c>
      <c r="MH2" s="20" t="str">
        <f>IFERROR(__xludf.DUMMYFUNCTION("""COMPUTED_VALUE"""),"organizations_url:""https://api.github.com/users/adixmr/orgs""")</f>
        <v>organizations_url:"https://api.github.com/users/adixmr/orgs"</v>
      </c>
      <c r="MI2" s="20" t="str">
        <f>IFERROR(__xludf.DUMMYFUNCTION("""COMPUTED_VALUE"""),"repos_url:""https://api.github.com/users/adixmr/repos""")</f>
        <v>repos_url:"https://api.github.com/users/adixmr/repos"</v>
      </c>
      <c r="MJ2" s="20" t="str">
        <f>IFERROR(__xludf.DUMMYFUNCTION("""COMPUTED_VALUE"""),"events_url:""https://api.github.com/users/adixmr/events{/privacy}""")</f>
        <v>events_url:"https://api.github.com/users/adixmr/events{/privacy}"</v>
      </c>
      <c r="MK2" s="20" t="str">
        <f>IFERROR(__xludf.DUMMYFUNCTION("""COMPUTED_VALUE"""),"received_events_url:""https://api.github.com/users/adixmr/received_events""")</f>
        <v>received_events_url:"https://api.github.com/users/adixmr/received_events"</v>
      </c>
      <c r="ML2" s="20" t="str">
        <f>IFERROR(__xludf.DUMMYFUNCTION("""COMPUTED_VALUE"""),"type:""User""")</f>
        <v>type:"User"</v>
      </c>
      <c r="MM2" s="20" t="str">
        <f>IFERROR(__xludf.DUMMYFUNCTION("""COMPUTED_VALUE"""),"site_admin:false}")</f>
        <v>site_admin:false}</v>
      </c>
      <c r="MN2" s="20" t="str">
        <f>IFERROR(__xludf.DUMMYFUNCTION("""COMPUTED_VALUE"""),"parents:[{""sha"":""13d2f338b69a9acd8eed990d7def3bd4c4fa9fb3""")</f>
        <v>parents:[{"sha":"13d2f338b69a9acd8eed990d7def3bd4c4fa9fb3"</v>
      </c>
      <c r="MO2" s="20" t="str">
        <f>IFERROR(__xludf.DUMMYFUNCTION("""COMPUTED_VALUE"""),"url:""https://api.github.com/repos/adixmr/leetcode/commits/13d2f338b69a9acd8eed990d7def3bd4c4fa9fb3""")</f>
        <v>url:"https://api.github.com/repos/adixmr/leetcode/commits/13d2f338b69a9acd8eed990d7def3bd4c4fa9fb3"</v>
      </c>
      <c r="MP2" s="20" t="str">
        <f>IFERROR(__xludf.DUMMYFUNCTION("""COMPUTED_VALUE"""),"html_url:""https://github.com/adixmr/leetcode/commit/13d2f338b69a9acd8eed990d7def3bd4c4fa9fb3""}]}")</f>
        <v>html_url:"https://github.com/adixmr/leetcode/commit/13d2f338b69a9acd8eed990d7def3bd4c4fa9fb3"}]}</v>
      </c>
      <c r="MQ2" s="20" t="str">
        <f>IFERROR(__xludf.DUMMYFUNCTION("""COMPUTED_VALUE"""),"{""sha"":""13d2f338b69a9acd8eed990d7def3bd4c4fa9fb3""")</f>
        <v>{"sha":"13d2f338b69a9acd8eed990d7def3bd4c4fa9fb3"</v>
      </c>
      <c r="MR2" s="20" t="str">
        <f>IFERROR(__xludf.DUMMYFUNCTION("""COMPUTED_VALUE"""),"node_id:""C_kwDOG-OgStoAKDEzZDJmMzM4YjY5YTlhY2Q4ZWVkOTkwZDdkZWYzYmQ0YzRmYTlmYjM""")</f>
        <v>node_id:"C_kwDOG-OgStoAKDEzZDJmMzM4YjY5YTlhY2Q4ZWVkOTkwZDdkZWYzYmQ0YzRmYTlmYjM"</v>
      </c>
      <c r="MS2" s="20" t="str">
        <f>IFERROR(__xludf.DUMMYFUNCTION("""COMPUTED_VALUE"""),"commit:{""author"":{""name"":""Aditya Rajput""")</f>
        <v>commit:{"author":{"name":"Aditya Rajput"</v>
      </c>
      <c r="MT2" s="20" t="str">
        <f>IFERROR(__xludf.DUMMYFUNCTION("""COMPUTED_VALUE"""),"email:""aditya.icf@gmail.com""")</f>
        <v>email:"aditya.icf@gmail.com"</v>
      </c>
      <c r="MU2" s="20" t="str">
        <f>IFERROR(__xludf.DUMMYFUNCTION("""COMPUTED_VALUE"""),"date:""2022-12-24T12:30:01Z""}")</f>
        <v>date:"2022-12-24T12:30:01Z"}</v>
      </c>
      <c r="MV2" s="20" t="str">
        <f>IFERROR(__xludf.DUMMYFUNCTION("""COMPUTED_VALUE"""),"committer:{""name"":""Aditya Rajput""")</f>
        <v>committer:{"name":"Aditya Rajput"</v>
      </c>
      <c r="MW2" s="20" t="str">
        <f>IFERROR(__xludf.DUMMYFUNCTION("""COMPUTED_VALUE"""),"email:""aditya.icf@gmail.com""")</f>
        <v>email:"aditya.icf@gmail.com"</v>
      </c>
      <c r="MX2" s="20" t="str">
        <f>IFERROR(__xludf.DUMMYFUNCTION("""COMPUTED_VALUE"""),"date:""2022-12-24T12:30:01Z""}")</f>
        <v>date:"2022-12-24T12:30:01Z"}</v>
      </c>
      <c r="MY2" s="20" t="str">
        <f>IFERROR(__xludf.DUMMYFUNCTION("""COMPUTED_VALUE"""),"message:""Daily update by cron""")</f>
        <v>message:"Daily update by cron"</v>
      </c>
      <c r="MZ2" s="20" t="str">
        <f>IFERROR(__xludf.DUMMYFUNCTION("""COMPUTED_VALUE"""),"tree:{""sha"":""a38b5d65dfe025923a223f817a91779fb66c9b2e""")</f>
        <v>tree:{"sha":"a38b5d65dfe025923a223f817a91779fb66c9b2e"</v>
      </c>
      <c r="NA2" s="20" t="str">
        <f>IFERROR(__xludf.DUMMYFUNCTION("""COMPUTED_VALUE"""),"url:""https://api.github.com/repos/adixmr/leetcode/git/trees/a38b5d65dfe025923a223f817a91779fb66c9b2e""}")</f>
        <v>url:"https://api.github.com/repos/adixmr/leetcode/git/trees/a38b5d65dfe025923a223f817a91779fb66c9b2e"}</v>
      </c>
      <c r="NB2" s="20" t="str">
        <f>IFERROR(__xludf.DUMMYFUNCTION("""COMPUTED_VALUE"""),"url:""https://api.github.com/repos/adixmr/leetcode/git/commits/13d2f338b69a9acd8eed990d7def3bd4c4fa9fb3""")</f>
        <v>url:"https://api.github.com/repos/adixmr/leetcode/git/commits/13d2f338b69a9acd8eed990d7def3bd4c4fa9fb3"</v>
      </c>
      <c r="NC2" s="20" t="str">
        <f>IFERROR(__xludf.DUMMYFUNCTION("""COMPUTED_VALUE"""),"comment_count:0")</f>
        <v>comment_count:0</v>
      </c>
      <c r="ND2" s="20" t="str">
        <f>IFERROR(__xludf.DUMMYFUNCTION("""COMPUTED_VALUE"""),"verification:{""verified"":false")</f>
        <v>verification:{"verified":false</v>
      </c>
      <c r="NE2" s="20" t="str">
        <f>IFERROR(__xludf.DUMMYFUNCTION("""COMPUTED_VALUE"""),"reason:""unsigned""")</f>
        <v>reason:"unsigned"</v>
      </c>
      <c r="NF2" s="20" t="str">
        <f>IFERROR(__xludf.DUMMYFUNCTION("""COMPUTED_VALUE"""),"signature:null")</f>
        <v>signature:null</v>
      </c>
      <c r="NG2" s="20" t="str">
        <f>IFERROR(__xludf.DUMMYFUNCTION("""COMPUTED_VALUE"""),"payload:null}}")</f>
        <v>payload:null}}</v>
      </c>
      <c r="NH2" s="20" t="str">
        <f>IFERROR(__xludf.DUMMYFUNCTION("""COMPUTED_VALUE"""),"url:""https://api.github.com/repos/adixmr/leetcode/commits/13d2f338b69a9acd8eed990d7def3bd4c4fa9fb3""")</f>
        <v>url:"https://api.github.com/repos/adixmr/leetcode/commits/13d2f338b69a9acd8eed990d7def3bd4c4fa9fb3"</v>
      </c>
      <c r="NI2" s="20" t="str">
        <f>IFERROR(__xludf.DUMMYFUNCTION("""COMPUTED_VALUE"""),"html_url:""https://github.com/adixmr/leetcode/commit/13d2f338b69a9acd8eed990d7def3bd4c4fa9fb3""")</f>
        <v>html_url:"https://github.com/adixmr/leetcode/commit/13d2f338b69a9acd8eed990d7def3bd4c4fa9fb3"</v>
      </c>
      <c r="NJ2" s="20" t="str">
        <f>IFERROR(__xludf.DUMMYFUNCTION("""COMPUTED_VALUE"""),"comments_url:""https://api.github.com/repos/adixmr/leetcode/commits/13d2f338b69a9acd8eed990d7def3bd4c4fa9fb3/comments""")</f>
        <v>comments_url:"https://api.github.com/repos/adixmr/leetcode/commits/13d2f338b69a9acd8eed990d7def3bd4c4fa9fb3/comments"</v>
      </c>
      <c r="NK2" s="20" t="str">
        <f>IFERROR(__xludf.DUMMYFUNCTION("""COMPUTED_VALUE"""),"author:{""login"":""adixmr""")</f>
        <v>author:{"login":"adixmr"</v>
      </c>
      <c r="NL2" s="20" t="str">
        <f>IFERROR(__xludf.DUMMYFUNCTION("""COMPUTED_VALUE"""),"id:42894359")</f>
        <v>id:42894359</v>
      </c>
      <c r="NM2" s="20" t="str">
        <f>IFERROR(__xludf.DUMMYFUNCTION("""COMPUTED_VALUE"""),"node_id:""MDQ6VXNlcjQyODk0MzU5""")</f>
        <v>node_id:"MDQ6VXNlcjQyODk0MzU5"</v>
      </c>
      <c r="NN2" s="20" t="str">
        <f>IFERROR(__xludf.DUMMYFUNCTION("""COMPUTED_VALUE"""),"avatar_url:""https://avatars.githubusercontent.com/u/42894359?v=4""")</f>
        <v>avatar_url:"https://avatars.githubusercontent.com/u/42894359?v=4"</v>
      </c>
      <c r="NO2" s="20" t="str">
        <f>IFERROR(__xludf.DUMMYFUNCTION("""COMPUTED_VALUE"""),"gravatar_id:""""")</f>
        <v>gravatar_id:""</v>
      </c>
      <c r="NP2" s="20" t="str">
        <f>IFERROR(__xludf.DUMMYFUNCTION("""COMPUTED_VALUE"""),"url:""https://api.github.com/users/adixmr""")</f>
        <v>url:"https://api.github.com/users/adixmr"</v>
      </c>
      <c r="NQ2" s="20" t="str">
        <f>IFERROR(__xludf.DUMMYFUNCTION("""COMPUTED_VALUE"""),"html_url:""https://github.com/adixmr""")</f>
        <v>html_url:"https://github.com/adixmr"</v>
      </c>
      <c r="NR2" s="20" t="str">
        <f>IFERROR(__xludf.DUMMYFUNCTION("""COMPUTED_VALUE"""),"followers_url:""https://api.github.com/users/adixmr/followers""")</f>
        <v>followers_url:"https://api.github.com/users/adixmr/followers"</v>
      </c>
      <c r="NS2" s="20" t="str">
        <f>IFERROR(__xludf.DUMMYFUNCTION("""COMPUTED_VALUE"""),"following_url:""https://api.github.com/users/adixmr/following{/other_user}""")</f>
        <v>following_url:"https://api.github.com/users/adixmr/following{/other_user}"</v>
      </c>
      <c r="NT2" s="20" t="str">
        <f>IFERROR(__xludf.DUMMYFUNCTION("""COMPUTED_VALUE"""),"gists_url:""https://api.github.com/users/adixmr/gists{/gist_id}""")</f>
        <v>gists_url:"https://api.github.com/users/adixmr/gists{/gist_id}"</v>
      </c>
      <c r="NU2" s="20" t="str">
        <f>IFERROR(__xludf.DUMMYFUNCTION("""COMPUTED_VALUE"""),"starred_url:""https://api.github.com/users/adixmr/starred{/owner}{/repo}""")</f>
        <v>starred_url:"https://api.github.com/users/adixmr/starred{/owner}{/repo}"</v>
      </c>
      <c r="NV2" s="20" t="str">
        <f>IFERROR(__xludf.DUMMYFUNCTION("""COMPUTED_VALUE"""),"subscriptions_url:""https://api.github.com/users/adixmr/subscriptions""")</f>
        <v>subscriptions_url:"https://api.github.com/users/adixmr/subscriptions"</v>
      </c>
      <c r="NW2" s="20" t="str">
        <f>IFERROR(__xludf.DUMMYFUNCTION("""COMPUTED_VALUE"""),"organizations_url:""https://api.github.com/users/adixmr/orgs""")</f>
        <v>organizations_url:"https://api.github.com/users/adixmr/orgs"</v>
      </c>
      <c r="NX2" s="20" t="str">
        <f>IFERROR(__xludf.DUMMYFUNCTION("""COMPUTED_VALUE"""),"repos_url:""https://api.github.com/users/adixmr/repos""")</f>
        <v>repos_url:"https://api.github.com/users/adixmr/repos"</v>
      </c>
      <c r="NY2" s="20" t="str">
        <f>IFERROR(__xludf.DUMMYFUNCTION("""COMPUTED_VALUE"""),"events_url:""https://api.github.com/users/adixmr/events{/privacy}""")</f>
        <v>events_url:"https://api.github.com/users/adixmr/events{/privacy}"</v>
      </c>
      <c r="NZ2" s="20" t="str">
        <f>IFERROR(__xludf.DUMMYFUNCTION("""COMPUTED_VALUE"""),"received_events_url:""https://api.github.com/users/adixmr/received_events""")</f>
        <v>received_events_url:"https://api.github.com/users/adixmr/received_events"</v>
      </c>
      <c r="OA2" s="20" t="str">
        <f>IFERROR(__xludf.DUMMYFUNCTION("""COMPUTED_VALUE"""),"type:""User""")</f>
        <v>type:"User"</v>
      </c>
      <c r="OB2" s="20" t="str">
        <f>IFERROR(__xludf.DUMMYFUNCTION("""COMPUTED_VALUE"""),"site_admin:false}")</f>
        <v>site_admin:false}</v>
      </c>
      <c r="OC2" s="20" t="str">
        <f>IFERROR(__xludf.DUMMYFUNCTION("""COMPUTED_VALUE"""),"committer:{""login"":""adixmr""")</f>
        <v>committer:{"login":"adixmr"</v>
      </c>
      <c r="OD2" s="20" t="str">
        <f>IFERROR(__xludf.DUMMYFUNCTION("""COMPUTED_VALUE"""),"id:42894359")</f>
        <v>id:42894359</v>
      </c>
      <c r="OE2" s="20" t="str">
        <f>IFERROR(__xludf.DUMMYFUNCTION("""COMPUTED_VALUE"""),"node_id:""MDQ6VXNlcjQyODk0MzU5""")</f>
        <v>node_id:"MDQ6VXNlcjQyODk0MzU5"</v>
      </c>
      <c r="OF2" s="20" t="str">
        <f>IFERROR(__xludf.DUMMYFUNCTION("""COMPUTED_VALUE"""),"avatar_url:""https://avatars.githubusercontent.com/u/42894359?v=4""")</f>
        <v>avatar_url:"https://avatars.githubusercontent.com/u/42894359?v=4"</v>
      </c>
      <c r="OG2" s="20" t="str">
        <f>IFERROR(__xludf.DUMMYFUNCTION("""COMPUTED_VALUE"""),"gravatar_id:""""")</f>
        <v>gravatar_id:""</v>
      </c>
      <c r="OH2" s="20" t="str">
        <f>IFERROR(__xludf.DUMMYFUNCTION("""COMPUTED_VALUE"""),"url:""https://api.github.com/users/adixmr""")</f>
        <v>url:"https://api.github.com/users/adixmr"</v>
      </c>
      <c r="OI2" s="20" t="str">
        <f>IFERROR(__xludf.DUMMYFUNCTION("""COMPUTED_VALUE"""),"html_url:""https://github.com/adixmr""")</f>
        <v>html_url:"https://github.com/adixmr"</v>
      </c>
      <c r="OJ2" s="20" t="str">
        <f>IFERROR(__xludf.DUMMYFUNCTION("""COMPUTED_VALUE"""),"followers_url:""https://api.github.com/users/adixmr/followers""")</f>
        <v>followers_url:"https://api.github.com/users/adixmr/followers"</v>
      </c>
      <c r="OK2" s="20" t="str">
        <f>IFERROR(__xludf.DUMMYFUNCTION("""COMPUTED_VALUE"""),"following_url:""https://api.github.com/users/adixmr/following{/other_user}""")</f>
        <v>following_url:"https://api.github.com/users/adixmr/following{/other_user}"</v>
      </c>
      <c r="OL2" s="20" t="str">
        <f>IFERROR(__xludf.DUMMYFUNCTION("""COMPUTED_VALUE"""),"gists_url:""https://api.github.com/users/adixmr/gists{/gist_id}""")</f>
        <v>gists_url:"https://api.github.com/users/adixmr/gists{/gist_id}"</v>
      </c>
      <c r="OM2" s="20" t="str">
        <f>IFERROR(__xludf.DUMMYFUNCTION("""COMPUTED_VALUE"""),"starred_url:""https://api.github.com/users/adixmr/starred{/owner}{/repo}""")</f>
        <v>starred_url:"https://api.github.com/users/adixmr/starred{/owner}{/repo}"</v>
      </c>
      <c r="ON2" s="20" t="str">
        <f>IFERROR(__xludf.DUMMYFUNCTION("""COMPUTED_VALUE"""),"subscriptions_url:""https://api.github.com/users/adixmr/subscriptions""")</f>
        <v>subscriptions_url:"https://api.github.com/users/adixmr/subscriptions"</v>
      </c>
      <c r="OO2" s="20" t="str">
        <f>IFERROR(__xludf.DUMMYFUNCTION("""COMPUTED_VALUE"""),"organizations_url:""https://api.github.com/users/adixmr/orgs""")</f>
        <v>organizations_url:"https://api.github.com/users/adixmr/orgs"</v>
      </c>
      <c r="OP2" s="20" t="str">
        <f>IFERROR(__xludf.DUMMYFUNCTION("""COMPUTED_VALUE"""),"repos_url:""https://api.github.com/users/adixmr/repos""")</f>
        <v>repos_url:"https://api.github.com/users/adixmr/repos"</v>
      </c>
      <c r="OQ2" s="20" t="str">
        <f>IFERROR(__xludf.DUMMYFUNCTION("""COMPUTED_VALUE"""),"events_url:""https://api.github.com/users/adixmr/events{/privacy}""")</f>
        <v>events_url:"https://api.github.com/users/adixmr/events{/privacy}"</v>
      </c>
      <c r="OR2" s="20" t="str">
        <f>IFERROR(__xludf.DUMMYFUNCTION("""COMPUTED_VALUE"""),"received_events_url:""https://api.github.com/users/adixmr/received_events""")</f>
        <v>received_events_url:"https://api.github.com/users/adixmr/received_events"</v>
      </c>
      <c r="OS2" s="20" t="str">
        <f>IFERROR(__xludf.DUMMYFUNCTION("""COMPUTED_VALUE"""),"type:""User""")</f>
        <v>type:"User"</v>
      </c>
      <c r="OT2" s="20" t="str">
        <f>IFERROR(__xludf.DUMMYFUNCTION("""COMPUTED_VALUE"""),"site_admin:false}")</f>
        <v>site_admin:false}</v>
      </c>
      <c r="OU2" s="20" t="str">
        <f>IFERROR(__xludf.DUMMYFUNCTION("""COMPUTED_VALUE"""),"parents:[{""sha"":""d90c2e89c12f06ac26cd1a685066c44e2d0ceb71""")</f>
        <v>parents:[{"sha":"d90c2e89c12f06ac26cd1a685066c44e2d0ceb71"</v>
      </c>
      <c r="OV2" s="20" t="str">
        <f>IFERROR(__xludf.DUMMYFUNCTION("""COMPUTED_VALUE"""),"url:""https://api.github.com/repos/adixmr/leetcode/commits/d90c2e89c12f06ac26cd1a685066c44e2d0ceb71""")</f>
        <v>url:"https://api.github.com/repos/adixmr/leetcode/commits/d90c2e89c12f06ac26cd1a685066c44e2d0ceb71"</v>
      </c>
      <c r="OW2" s="20" t="str">
        <f>IFERROR(__xludf.DUMMYFUNCTION("""COMPUTED_VALUE"""),"html_url:""https://github.com/adixmr/leetcode/commit/d90c2e89c12f06ac26cd1a685066c44e2d0ceb71""}]}")</f>
        <v>html_url:"https://github.com/adixmr/leetcode/commit/d90c2e89c12f06ac26cd1a685066c44e2d0ceb71"}]}</v>
      </c>
      <c r="OX2" s="20" t="str">
        <f>IFERROR(__xludf.DUMMYFUNCTION("""COMPUTED_VALUE"""),"{""sha"":""d90c2e89c12f06ac26cd1a685066c44e2d0ceb71""")</f>
        <v>{"sha":"d90c2e89c12f06ac26cd1a685066c44e2d0ceb71"</v>
      </c>
      <c r="OY2" s="20" t="str">
        <f>IFERROR(__xludf.DUMMYFUNCTION("""COMPUTED_VALUE"""),"node_id:""C_kwDOG-OgStoAKGQ5MGMyZTg5YzEyZjA2YWMyNmNkMWE2ODUwNjZjNDRlMmQwY2ViNzE""")</f>
        <v>node_id:"C_kwDOG-OgStoAKGQ5MGMyZTg5YzEyZjA2YWMyNmNkMWE2ODUwNjZjNDRlMmQwY2ViNzE"</v>
      </c>
      <c r="OZ2" s="20" t="str">
        <f>IFERROR(__xludf.DUMMYFUNCTION("""COMPUTED_VALUE"""),"commit:{""author"":{""name"":""Aditya Rajput""")</f>
        <v>commit:{"author":{"name":"Aditya Rajput"</v>
      </c>
      <c r="PA2" s="20" t="str">
        <f>IFERROR(__xludf.DUMMYFUNCTION("""COMPUTED_VALUE"""),"email:""aditya.icf@gmail.com""")</f>
        <v>email:"aditya.icf@gmail.com"</v>
      </c>
      <c r="PB2" s="20" t="str">
        <f>IFERROR(__xludf.DUMMYFUNCTION("""COMPUTED_VALUE"""),"date:""2022-12-23T12:30:01Z""}")</f>
        <v>date:"2022-12-23T12:30:01Z"}</v>
      </c>
      <c r="PC2" s="20" t="str">
        <f>IFERROR(__xludf.DUMMYFUNCTION("""COMPUTED_VALUE"""),"committer:{""name"":""Aditya Rajput""")</f>
        <v>committer:{"name":"Aditya Rajput"</v>
      </c>
      <c r="PD2" s="20" t="str">
        <f>IFERROR(__xludf.DUMMYFUNCTION("""COMPUTED_VALUE"""),"email:""aditya.icf@gmail.com""")</f>
        <v>email:"aditya.icf@gmail.com"</v>
      </c>
      <c r="PE2" s="20" t="str">
        <f>IFERROR(__xludf.DUMMYFUNCTION("""COMPUTED_VALUE"""),"date:""2022-12-23T12:30:01Z""}")</f>
        <v>date:"2022-12-23T12:30:01Z"}</v>
      </c>
      <c r="PF2" s="20" t="str">
        <f>IFERROR(__xludf.DUMMYFUNCTION("""COMPUTED_VALUE"""),"message:""Daily update by cron""")</f>
        <v>message:"Daily update by cron"</v>
      </c>
      <c r="PG2" s="20" t="str">
        <f>IFERROR(__xludf.DUMMYFUNCTION("""COMPUTED_VALUE"""),"tree:{""sha"":""703340439246a98b60bba3b452344017f6e075c8""")</f>
        <v>tree:{"sha":"703340439246a98b60bba3b452344017f6e075c8"</v>
      </c>
      <c r="PH2" s="20" t="str">
        <f>IFERROR(__xludf.DUMMYFUNCTION("""COMPUTED_VALUE"""),"url:""https://api.github.com/repos/adixmr/leetcode/git/trees/703340439246a98b60bba3b452344017f6e075c8""}")</f>
        <v>url:"https://api.github.com/repos/adixmr/leetcode/git/trees/703340439246a98b60bba3b452344017f6e075c8"}</v>
      </c>
      <c r="PI2" s="20" t="str">
        <f>IFERROR(__xludf.DUMMYFUNCTION("""COMPUTED_VALUE"""),"url:""https://api.github.com/repos/adixmr/leetcode/git/commits/d90c2e89c12f06ac26cd1a685066c44e2d0ceb71""")</f>
        <v>url:"https://api.github.com/repos/adixmr/leetcode/git/commits/d90c2e89c12f06ac26cd1a685066c44e2d0ceb71"</v>
      </c>
      <c r="PJ2" s="20" t="str">
        <f>IFERROR(__xludf.DUMMYFUNCTION("""COMPUTED_VALUE"""),"comment_count:0")</f>
        <v>comment_count:0</v>
      </c>
      <c r="PK2" s="20" t="str">
        <f>IFERROR(__xludf.DUMMYFUNCTION("""COMPUTED_VALUE"""),"verification:{""verified"":false")</f>
        <v>verification:{"verified":false</v>
      </c>
      <c r="PL2" s="20" t="str">
        <f>IFERROR(__xludf.DUMMYFUNCTION("""COMPUTED_VALUE"""),"reason:""unsigned""")</f>
        <v>reason:"unsigned"</v>
      </c>
      <c r="PM2" s="20" t="str">
        <f>IFERROR(__xludf.DUMMYFUNCTION("""COMPUTED_VALUE"""),"signature:null")</f>
        <v>signature:null</v>
      </c>
      <c r="PN2" s="20" t="str">
        <f>IFERROR(__xludf.DUMMYFUNCTION("""COMPUTED_VALUE"""),"payload:null}}")</f>
        <v>payload:null}}</v>
      </c>
      <c r="PO2" s="20" t="str">
        <f>IFERROR(__xludf.DUMMYFUNCTION("""COMPUTED_VALUE"""),"url:""https://api.github.com/repos/adixmr/leetcode/commits/d90c2e89c12f06ac26cd1a685066c44e2d0ceb71""")</f>
        <v>url:"https://api.github.com/repos/adixmr/leetcode/commits/d90c2e89c12f06ac26cd1a685066c44e2d0ceb71"</v>
      </c>
      <c r="PP2" s="20" t="str">
        <f>IFERROR(__xludf.DUMMYFUNCTION("""COMPUTED_VALUE"""),"html_url:""https://github.com/adixmr/leetcode/commit/d90c2e89c12f06ac26cd1a685066c44e2d0ceb71""")</f>
        <v>html_url:"https://github.com/adixmr/leetcode/commit/d90c2e89c12f06ac26cd1a685066c44e2d0ceb71"</v>
      </c>
      <c r="PQ2" s="20" t="str">
        <f>IFERROR(__xludf.DUMMYFUNCTION("""COMPUTED_VALUE"""),"comments_url:""https://api.github.com/repos/adixmr/leetcode/commits/d90c2e89c12f06ac26cd1a685066c44e2d0ceb71/comments""")</f>
        <v>comments_url:"https://api.github.com/repos/adixmr/leetcode/commits/d90c2e89c12f06ac26cd1a685066c44e2d0ceb71/comments"</v>
      </c>
      <c r="PR2" s="20" t="str">
        <f>IFERROR(__xludf.DUMMYFUNCTION("""COMPUTED_VALUE"""),"author:{""login"":""adixmr""")</f>
        <v>author:{"login":"adixmr"</v>
      </c>
      <c r="PS2" s="20" t="str">
        <f>IFERROR(__xludf.DUMMYFUNCTION("""COMPUTED_VALUE"""),"id:42894359")</f>
        <v>id:42894359</v>
      </c>
      <c r="PT2" s="20" t="str">
        <f>IFERROR(__xludf.DUMMYFUNCTION("""COMPUTED_VALUE"""),"node_id:""MDQ6VXNlcjQyODk0MzU5""")</f>
        <v>node_id:"MDQ6VXNlcjQyODk0MzU5"</v>
      </c>
      <c r="PU2" s="20" t="str">
        <f>IFERROR(__xludf.DUMMYFUNCTION("""COMPUTED_VALUE"""),"avatar_url:""https://avatars.githubusercontent.com/u/42894359?v=4""")</f>
        <v>avatar_url:"https://avatars.githubusercontent.com/u/42894359?v=4"</v>
      </c>
      <c r="PV2" s="20" t="str">
        <f>IFERROR(__xludf.DUMMYFUNCTION("""COMPUTED_VALUE"""),"gravatar_id:""""")</f>
        <v>gravatar_id:""</v>
      </c>
      <c r="PW2" s="20" t="str">
        <f>IFERROR(__xludf.DUMMYFUNCTION("""COMPUTED_VALUE"""),"url:""https://api.github.com/users/adixmr""")</f>
        <v>url:"https://api.github.com/users/adixmr"</v>
      </c>
      <c r="PX2" s="20" t="str">
        <f>IFERROR(__xludf.DUMMYFUNCTION("""COMPUTED_VALUE"""),"html_url:""https://github.com/adixmr""")</f>
        <v>html_url:"https://github.com/adixmr"</v>
      </c>
      <c r="PY2" s="20" t="str">
        <f>IFERROR(__xludf.DUMMYFUNCTION("""COMPUTED_VALUE"""),"followers_url:""https://api.github.com/users/adixmr/followers""")</f>
        <v>followers_url:"https://api.github.com/users/adixmr/followers"</v>
      </c>
      <c r="PZ2" s="20" t="str">
        <f>IFERROR(__xludf.DUMMYFUNCTION("""COMPUTED_VALUE"""),"following_url:""https://api.github.com/users/adixmr/following{/other_user}""")</f>
        <v>following_url:"https://api.github.com/users/adixmr/following{/other_user}"</v>
      </c>
      <c r="QA2" s="20" t="str">
        <f>IFERROR(__xludf.DUMMYFUNCTION("""COMPUTED_VALUE"""),"gists_url:""https://api.github.com/users/adixmr/gists{/gist_id}""")</f>
        <v>gists_url:"https://api.github.com/users/adixmr/gists{/gist_id}"</v>
      </c>
      <c r="QB2" s="20" t="str">
        <f>IFERROR(__xludf.DUMMYFUNCTION("""COMPUTED_VALUE"""),"starred_url:""https://api.github.com/users/adixmr/starred{/owner}{/repo}""")</f>
        <v>starred_url:"https://api.github.com/users/adixmr/starred{/owner}{/repo}"</v>
      </c>
      <c r="QC2" s="20" t="str">
        <f>IFERROR(__xludf.DUMMYFUNCTION("""COMPUTED_VALUE"""),"subscriptions_url:""https://api.github.com/users/adixmr/subscriptions""")</f>
        <v>subscriptions_url:"https://api.github.com/users/adixmr/subscriptions"</v>
      </c>
      <c r="QD2" s="20" t="str">
        <f>IFERROR(__xludf.DUMMYFUNCTION("""COMPUTED_VALUE"""),"organizations_url:""https://api.github.com/users/adixmr/orgs""")</f>
        <v>organizations_url:"https://api.github.com/users/adixmr/orgs"</v>
      </c>
      <c r="QE2" s="20" t="str">
        <f>IFERROR(__xludf.DUMMYFUNCTION("""COMPUTED_VALUE"""),"repos_url:""https://api.github.com/users/adixmr/repos""")</f>
        <v>repos_url:"https://api.github.com/users/adixmr/repos"</v>
      </c>
      <c r="QF2" s="20" t="str">
        <f>IFERROR(__xludf.DUMMYFUNCTION("""COMPUTED_VALUE"""),"events_url:""https://api.github.com/users/adixmr/events{/privacy}""")</f>
        <v>events_url:"https://api.github.com/users/adixmr/events{/privacy}"</v>
      </c>
      <c r="QG2" s="20" t="str">
        <f>IFERROR(__xludf.DUMMYFUNCTION("""COMPUTED_VALUE"""),"received_events_url:""https://api.github.com/users/adixmr/received_events""")</f>
        <v>received_events_url:"https://api.github.com/users/adixmr/received_events"</v>
      </c>
      <c r="QH2" s="20" t="str">
        <f>IFERROR(__xludf.DUMMYFUNCTION("""COMPUTED_VALUE"""),"type:""User""")</f>
        <v>type:"User"</v>
      </c>
      <c r="QI2" s="20" t="str">
        <f>IFERROR(__xludf.DUMMYFUNCTION("""COMPUTED_VALUE"""),"site_admin:false}")</f>
        <v>site_admin:false}</v>
      </c>
      <c r="QJ2" s="20" t="str">
        <f>IFERROR(__xludf.DUMMYFUNCTION("""COMPUTED_VALUE"""),"committer:{""login"":""adixmr""")</f>
        <v>committer:{"login":"adixmr"</v>
      </c>
      <c r="QK2" s="20" t="str">
        <f>IFERROR(__xludf.DUMMYFUNCTION("""COMPUTED_VALUE"""),"id:42894359")</f>
        <v>id:42894359</v>
      </c>
      <c r="QL2" s="20" t="str">
        <f>IFERROR(__xludf.DUMMYFUNCTION("""COMPUTED_VALUE"""),"node_id:""MDQ6VXNlcjQyODk0MzU5""")</f>
        <v>node_id:"MDQ6VXNlcjQyODk0MzU5"</v>
      </c>
      <c r="QM2" s="20" t="str">
        <f>IFERROR(__xludf.DUMMYFUNCTION("""COMPUTED_VALUE"""),"avatar_url:""https://avatars.githubusercontent.com/u/42894359?v=4""")</f>
        <v>avatar_url:"https://avatars.githubusercontent.com/u/42894359?v=4"</v>
      </c>
      <c r="QN2" s="20" t="str">
        <f>IFERROR(__xludf.DUMMYFUNCTION("""COMPUTED_VALUE"""),"gravatar_id:""""")</f>
        <v>gravatar_id:""</v>
      </c>
      <c r="QO2" s="20" t="str">
        <f>IFERROR(__xludf.DUMMYFUNCTION("""COMPUTED_VALUE"""),"url:""https://api.github.com/users/adixmr""")</f>
        <v>url:"https://api.github.com/users/adixmr"</v>
      </c>
      <c r="QP2" s="20" t="str">
        <f>IFERROR(__xludf.DUMMYFUNCTION("""COMPUTED_VALUE"""),"html_url:""https://github.com/adixmr""")</f>
        <v>html_url:"https://github.com/adixmr"</v>
      </c>
      <c r="QQ2" s="20" t="str">
        <f>IFERROR(__xludf.DUMMYFUNCTION("""COMPUTED_VALUE"""),"followers_url:""https://api.github.com/users/adixmr/followers""")</f>
        <v>followers_url:"https://api.github.com/users/adixmr/followers"</v>
      </c>
      <c r="QR2" s="20" t="str">
        <f>IFERROR(__xludf.DUMMYFUNCTION("""COMPUTED_VALUE"""),"following_url:""https://api.github.com/users/adixmr/following{/other_user}""")</f>
        <v>following_url:"https://api.github.com/users/adixmr/following{/other_user}"</v>
      </c>
      <c r="QS2" s="20" t="str">
        <f>IFERROR(__xludf.DUMMYFUNCTION("""COMPUTED_VALUE"""),"gists_url:""https://api.github.com/users/adixmr/gists{/gist_id}""")</f>
        <v>gists_url:"https://api.github.com/users/adixmr/gists{/gist_id}"</v>
      </c>
      <c r="QT2" s="20" t="str">
        <f>IFERROR(__xludf.DUMMYFUNCTION("""COMPUTED_VALUE"""),"starred_url:""https://api.github.com/users/adixmr/starred{/owner}{/repo}""")</f>
        <v>starred_url:"https://api.github.com/users/adixmr/starred{/owner}{/repo}"</v>
      </c>
      <c r="QU2" s="20" t="str">
        <f>IFERROR(__xludf.DUMMYFUNCTION("""COMPUTED_VALUE"""),"subscriptions_url:""https://api.github.com/users/adixmr/subscriptions""")</f>
        <v>subscriptions_url:"https://api.github.com/users/adixmr/subscriptions"</v>
      </c>
      <c r="QV2" s="20" t="str">
        <f>IFERROR(__xludf.DUMMYFUNCTION("""COMPUTED_VALUE"""),"organizations_url:""https://api.github.com/users/adixmr/orgs""")</f>
        <v>organizations_url:"https://api.github.com/users/adixmr/orgs"</v>
      </c>
      <c r="QW2" s="20" t="str">
        <f>IFERROR(__xludf.DUMMYFUNCTION("""COMPUTED_VALUE"""),"repos_url:""https://api.github.com/users/adixmr/repos""")</f>
        <v>repos_url:"https://api.github.com/users/adixmr/repos"</v>
      </c>
      <c r="QX2" s="20" t="str">
        <f>IFERROR(__xludf.DUMMYFUNCTION("""COMPUTED_VALUE"""),"events_url:""https://api.github.com/users/adixmr/events{/privacy}""")</f>
        <v>events_url:"https://api.github.com/users/adixmr/events{/privacy}"</v>
      </c>
      <c r="QY2" s="20" t="str">
        <f>IFERROR(__xludf.DUMMYFUNCTION("""COMPUTED_VALUE"""),"received_events_url:""https://api.github.com/users/adixmr/received_events""")</f>
        <v>received_events_url:"https://api.github.com/users/adixmr/received_events"</v>
      </c>
      <c r="QZ2" s="20" t="str">
        <f>IFERROR(__xludf.DUMMYFUNCTION("""COMPUTED_VALUE"""),"type:""User""")</f>
        <v>type:"User"</v>
      </c>
      <c r="RA2" s="20" t="str">
        <f>IFERROR(__xludf.DUMMYFUNCTION("""COMPUTED_VALUE"""),"site_admin:false}")</f>
        <v>site_admin:false}</v>
      </c>
      <c r="RB2" s="20" t="str">
        <f>IFERROR(__xludf.DUMMYFUNCTION("""COMPUTED_VALUE"""),"parents:[{""sha"":""dbc1ea3dcdbb617f82f4e3c137a5ef888f4f73dd""")</f>
        <v>parents:[{"sha":"dbc1ea3dcdbb617f82f4e3c137a5ef888f4f73dd"</v>
      </c>
      <c r="RC2" s="20" t="str">
        <f>IFERROR(__xludf.DUMMYFUNCTION("""COMPUTED_VALUE"""),"url:""https://api.github.com/repos/adixmr/leetcode/commits/dbc1ea3dcdbb617f82f4e3c137a5ef888f4f73dd""")</f>
        <v>url:"https://api.github.com/repos/adixmr/leetcode/commits/dbc1ea3dcdbb617f82f4e3c137a5ef888f4f73dd"</v>
      </c>
      <c r="RD2" s="20" t="str">
        <f>IFERROR(__xludf.DUMMYFUNCTION("""COMPUTED_VALUE"""),"html_url:""https://github.com/adixmr/leetcode/commit/dbc1ea3dcdbb617f82f4e3c137a5ef888f4f73dd""}]}")</f>
        <v>html_url:"https://github.com/adixmr/leetcode/commit/dbc1ea3dcdbb617f82f4e3c137a5ef888f4f73dd"}]}</v>
      </c>
      <c r="RE2" s="20" t="str">
        <f>IFERROR(__xludf.DUMMYFUNCTION("""COMPUTED_VALUE"""),"{""sha"":""dbc1ea3dcdbb617f82f4e3c137a5ef888f4f73dd""")</f>
        <v>{"sha":"dbc1ea3dcdbb617f82f4e3c137a5ef888f4f73dd"</v>
      </c>
      <c r="RF2" s="20" t="str">
        <f>IFERROR(__xludf.DUMMYFUNCTION("""COMPUTED_VALUE"""),"node_id:""C_kwDOG-OgStoAKGRiYzFlYTNkY2RiYjYxN2Y4MmY0ZTNjMTM3YTVlZjg4OGY0ZjczZGQ""")</f>
        <v>node_id:"C_kwDOG-OgStoAKGRiYzFlYTNkY2RiYjYxN2Y4MmY0ZTNjMTM3YTVlZjg4OGY0ZjczZGQ"</v>
      </c>
      <c r="RG2" s="20" t="str">
        <f>IFERROR(__xludf.DUMMYFUNCTION("""COMPUTED_VALUE"""),"commit:{""author"":{""name"":""Aditya Rajput""")</f>
        <v>commit:{"author":{"name":"Aditya Rajput"</v>
      </c>
      <c r="RH2" s="20" t="str">
        <f>IFERROR(__xludf.DUMMYFUNCTION("""COMPUTED_VALUE"""),"email:""aditya.icf@gmail.com""")</f>
        <v>email:"aditya.icf@gmail.com"</v>
      </c>
      <c r="RI2" s="20" t="str">
        <f>IFERROR(__xludf.DUMMYFUNCTION("""COMPUTED_VALUE"""),"date:""2022-12-22T12:30:02Z""}")</f>
        <v>date:"2022-12-22T12:30:02Z"}</v>
      </c>
      <c r="RJ2" s="20" t="str">
        <f>IFERROR(__xludf.DUMMYFUNCTION("""COMPUTED_VALUE"""),"committer:{""name"":""Aditya Rajput""")</f>
        <v>committer:{"name":"Aditya Rajput"</v>
      </c>
      <c r="RK2" s="20" t="str">
        <f>IFERROR(__xludf.DUMMYFUNCTION("""COMPUTED_VALUE"""),"email:""aditya.icf@gmail.com""")</f>
        <v>email:"aditya.icf@gmail.com"</v>
      </c>
      <c r="RL2" s="20" t="str">
        <f>IFERROR(__xludf.DUMMYFUNCTION("""COMPUTED_VALUE"""),"date:""2022-12-22T12:30:02Z""}")</f>
        <v>date:"2022-12-22T12:30:02Z"}</v>
      </c>
      <c r="RM2" s="20" t="str">
        <f>IFERROR(__xludf.DUMMYFUNCTION("""COMPUTED_VALUE"""),"message:""Daily update by cron""")</f>
        <v>message:"Daily update by cron"</v>
      </c>
      <c r="RN2" s="20" t="str">
        <f>IFERROR(__xludf.DUMMYFUNCTION("""COMPUTED_VALUE"""),"tree:{""sha"":""0e71386029978eb9599464a1f5d6ac39ed5173d2""")</f>
        <v>tree:{"sha":"0e71386029978eb9599464a1f5d6ac39ed5173d2"</v>
      </c>
      <c r="RO2" s="20" t="str">
        <f>IFERROR(__xludf.DUMMYFUNCTION("""COMPUTED_VALUE"""),"url:""https://api.github.com/repos/adixmr/leetcode/git/trees/0e71386029978eb9599464a1f5d6ac39ed5173d2""}")</f>
        <v>url:"https://api.github.com/repos/adixmr/leetcode/git/trees/0e71386029978eb9599464a1f5d6ac39ed5173d2"}</v>
      </c>
      <c r="RP2" s="20" t="str">
        <f>IFERROR(__xludf.DUMMYFUNCTION("""COMPUTED_VALUE"""),"url:""https://api.github.com/repos/adixmr/leetcode/git/commits/dbc1ea3dcdbb617f82f4e3c137a5ef888f4f73dd""")</f>
        <v>url:"https://api.github.com/repos/adixmr/leetcode/git/commits/dbc1ea3dcdbb617f82f4e3c137a5ef888f4f73dd"</v>
      </c>
      <c r="RQ2" s="20" t="str">
        <f>IFERROR(__xludf.DUMMYFUNCTION("""COMPUTED_VALUE"""),"comment_count:0")</f>
        <v>comment_count:0</v>
      </c>
      <c r="RR2" s="20" t="str">
        <f>IFERROR(__xludf.DUMMYFUNCTION("""COMPUTED_VALUE"""),"verification:{""verified"":false")</f>
        <v>verification:{"verified":false</v>
      </c>
      <c r="RS2" s="20" t="str">
        <f>IFERROR(__xludf.DUMMYFUNCTION("""COMPUTED_VALUE"""),"reason:""unsigned""")</f>
        <v>reason:"unsigned"</v>
      </c>
      <c r="RT2" s="20" t="str">
        <f>IFERROR(__xludf.DUMMYFUNCTION("""COMPUTED_VALUE"""),"signature:null")</f>
        <v>signature:null</v>
      </c>
      <c r="RU2" s="20" t="str">
        <f>IFERROR(__xludf.DUMMYFUNCTION("""COMPUTED_VALUE"""),"payload:null}}")</f>
        <v>payload:null}}</v>
      </c>
      <c r="RV2" s="20" t="str">
        <f>IFERROR(__xludf.DUMMYFUNCTION("""COMPUTED_VALUE"""),"url:""https://api.github.com/repos/adixmr/leetcode/commits/dbc1ea3dcdbb617f82f4e3c137a5ef888f4f73dd""")</f>
        <v>url:"https://api.github.com/repos/adixmr/leetcode/commits/dbc1ea3dcdbb617f82f4e3c137a5ef888f4f73dd"</v>
      </c>
      <c r="RW2" s="20" t="str">
        <f>IFERROR(__xludf.DUMMYFUNCTION("""COMPUTED_VALUE"""),"html_url:""https://github.com/adixmr/leetcode/commit/dbc1ea3dcdbb617f82f4e3c137a5ef888f4f73dd""")</f>
        <v>html_url:"https://github.com/adixmr/leetcode/commit/dbc1ea3dcdbb617f82f4e3c137a5ef888f4f73dd"</v>
      </c>
      <c r="RX2" s="20" t="str">
        <f>IFERROR(__xludf.DUMMYFUNCTION("""COMPUTED_VALUE"""),"comments_url:""https://api.github.com/repos/adixmr/leetcode/commits/dbc1ea3dcdbb617f82f4e3c137a5ef888f4f73dd/comments""")</f>
        <v>comments_url:"https://api.github.com/repos/adixmr/leetcode/commits/dbc1ea3dcdbb617f82f4e3c137a5ef888f4f73dd/comments"</v>
      </c>
      <c r="RY2" s="20" t="str">
        <f>IFERROR(__xludf.DUMMYFUNCTION("""COMPUTED_VALUE"""),"author:{""login"":""adixmr""")</f>
        <v>author:{"login":"adixmr"</v>
      </c>
      <c r="RZ2" s="20" t="str">
        <f>IFERROR(__xludf.DUMMYFUNCTION("""COMPUTED_VALUE"""),"id:42894359")</f>
        <v>id:42894359</v>
      </c>
      <c r="SA2" s="20" t="str">
        <f>IFERROR(__xludf.DUMMYFUNCTION("""COMPUTED_VALUE"""),"node_id:""MDQ6VXNlcjQyODk0MzU5""")</f>
        <v>node_id:"MDQ6VXNlcjQyODk0MzU5"</v>
      </c>
      <c r="SB2" s="20" t="str">
        <f>IFERROR(__xludf.DUMMYFUNCTION("""COMPUTED_VALUE"""),"avatar_url:""https://avatars.githubusercontent.com/u/42894359?v=4""")</f>
        <v>avatar_url:"https://avatars.githubusercontent.com/u/42894359?v=4"</v>
      </c>
      <c r="SC2" s="20" t="str">
        <f>IFERROR(__xludf.DUMMYFUNCTION("""COMPUTED_VALUE"""),"gravatar_id:""""")</f>
        <v>gravatar_id:""</v>
      </c>
      <c r="SD2" s="20" t="str">
        <f>IFERROR(__xludf.DUMMYFUNCTION("""COMPUTED_VALUE"""),"url:""https://api.github.com/users/adixmr""")</f>
        <v>url:"https://api.github.com/users/adixmr"</v>
      </c>
      <c r="SE2" s="20" t="str">
        <f>IFERROR(__xludf.DUMMYFUNCTION("""COMPUTED_VALUE"""),"html_url:""https://github.com/adixmr""")</f>
        <v>html_url:"https://github.com/adixmr"</v>
      </c>
      <c r="SF2" s="20" t="str">
        <f>IFERROR(__xludf.DUMMYFUNCTION("""COMPUTED_VALUE"""),"followers_url:""https://api.github.com/users/adixmr/followers""")</f>
        <v>followers_url:"https://api.github.com/users/adixmr/followers"</v>
      </c>
      <c r="SG2" s="20" t="str">
        <f>IFERROR(__xludf.DUMMYFUNCTION("""COMPUTED_VALUE"""),"following_url:""https://api.github.com/users/adixmr/following{/other_user}""")</f>
        <v>following_url:"https://api.github.com/users/adixmr/following{/other_user}"</v>
      </c>
      <c r="SH2" s="20" t="str">
        <f>IFERROR(__xludf.DUMMYFUNCTION("""COMPUTED_VALUE"""),"gists_url:""https://api.github.com/users/adixmr/gists{/gist_id}""")</f>
        <v>gists_url:"https://api.github.com/users/adixmr/gists{/gist_id}"</v>
      </c>
      <c r="SI2" s="20" t="str">
        <f>IFERROR(__xludf.DUMMYFUNCTION("""COMPUTED_VALUE"""),"starred_url:""https://api.github.com/users/adixmr/starred{/owner}{/repo}""")</f>
        <v>starred_url:"https://api.github.com/users/adixmr/starred{/owner}{/repo}"</v>
      </c>
      <c r="SJ2" s="20" t="str">
        <f>IFERROR(__xludf.DUMMYFUNCTION("""COMPUTED_VALUE"""),"subscriptions_url:""https://api.github.com/users/adixmr/subscriptions""")</f>
        <v>subscriptions_url:"https://api.github.com/users/adixmr/subscriptions"</v>
      </c>
      <c r="SK2" s="20" t="str">
        <f>IFERROR(__xludf.DUMMYFUNCTION("""COMPUTED_VALUE"""),"organizations_url:""https://api.github.com/users/adixmr/orgs""")</f>
        <v>organizations_url:"https://api.github.com/users/adixmr/orgs"</v>
      </c>
      <c r="SL2" s="20" t="str">
        <f>IFERROR(__xludf.DUMMYFUNCTION("""COMPUTED_VALUE"""),"repos_url:""https://api.github.com/users/adixmr/repos""")</f>
        <v>repos_url:"https://api.github.com/users/adixmr/repos"</v>
      </c>
      <c r="SM2" s="20" t="str">
        <f>IFERROR(__xludf.DUMMYFUNCTION("""COMPUTED_VALUE"""),"events_url:""https://api.github.com/users/adixmr/events{/privacy}""")</f>
        <v>events_url:"https://api.github.com/users/adixmr/events{/privacy}"</v>
      </c>
      <c r="SN2" s="20" t="str">
        <f>IFERROR(__xludf.DUMMYFUNCTION("""COMPUTED_VALUE"""),"received_events_url:""https://api.github.com/users/adixmr/received_events""")</f>
        <v>received_events_url:"https://api.github.com/users/adixmr/received_events"</v>
      </c>
      <c r="SO2" s="20" t="str">
        <f>IFERROR(__xludf.DUMMYFUNCTION("""COMPUTED_VALUE"""),"type:""User""")</f>
        <v>type:"User"</v>
      </c>
      <c r="SP2" s="20" t="str">
        <f>IFERROR(__xludf.DUMMYFUNCTION("""COMPUTED_VALUE"""),"site_admin:false}")</f>
        <v>site_admin:false}</v>
      </c>
      <c r="SQ2" s="20" t="str">
        <f>IFERROR(__xludf.DUMMYFUNCTION("""COMPUTED_VALUE"""),"committer:{""login"":""adixmr""")</f>
        <v>committer:{"login":"adixmr"</v>
      </c>
      <c r="SR2" s="20" t="str">
        <f>IFERROR(__xludf.DUMMYFUNCTION("""COMPUTED_VALUE"""),"id:42894359")</f>
        <v>id:42894359</v>
      </c>
      <c r="SS2" s="20" t="str">
        <f>IFERROR(__xludf.DUMMYFUNCTION("""COMPUTED_VALUE"""),"node_id:""MDQ6VXNlcjQyODk0MzU5""")</f>
        <v>node_id:"MDQ6VXNlcjQyODk0MzU5"</v>
      </c>
      <c r="ST2" s="20" t="str">
        <f>IFERROR(__xludf.DUMMYFUNCTION("""COMPUTED_VALUE"""),"avatar_url:""https://avatars.githubusercontent.com/u/42894359?v=4""")</f>
        <v>avatar_url:"https://avatars.githubusercontent.com/u/42894359?v=4"</v>
      </c>
      <c r="SU2" s="20" t="str">
        <f>IFERROR(__xludf.DUMMYFUNCTION("""COMPUTED_VALUE"""),"gravatar_id:""""")</f>
        <v>gravatar_id:""</v>
      </c>
      <c r="SV2" s="20" t="str">
        <f>IFERROR(__xludf.DUMMYFUNCTION("""COMPUTED_VALUE"""),"url:""https://api.github.com/users/adixmr""")</f>
        <v>url:"https://api.github.com/users/adixmr"</v>
      </c>
      <c r="SW2" s="20" t="str">
        <f>IFERROR(__xludf.DUMMYFUNCTION("""COMPUTED_VALUE"""),"html_url:""https://github.com/adixmr""")</f>
        <v>html_url:"https://github.com/adixmr"</v>
      </c>
      <c r="SX2" s="20" t="str">
        <f>IFERROR(__xludf.DUMMYFUNCTION("""COMPUTED_VALUE"""),"followers_url:""https://api.github.com/users/adixmr/followers""")</f>
        <v>followers_url:"https://api.github.com/users/adixmr/followers"</v>
      </c>
      <c r="SY2" s="20" t="str">
        <f>IFERROR(__xludf.DUMMYFUNCTION("""COMPUTED_VALUE"""),"following_url:""https://api.github.com/users/adixmr/following{/other_user}""")</f>
        <v>following_url:"https://api.github.com/users/adixmr/following{/other_user}"</v>
      </c>
      <c r="SZ2" s="20" t="str">
        <f>IFERROR(__xludf.DUMMYFUNCTION("""COMPUTED_VALUE"""),"gists_url:""https://api.github.com/users/adixmr/gists{/gist_id}""")</f>
        <v>gists_url:"https://api.github.com/users/adixmr/gists{/gist_id}"</v>
      </c>
      <c r="TA2" s="20" t="str">
        <f>IFERROR(__xludf.DUMMYFUNCTION("""COMPUTED_VALUE"""),"starred_url:""https://api.github.com/users/adixmr/starred{/owner}{/repo}""")</f>
        <v>starred_url:"https://api.github.com/users/adixmr/starred{/owner}{/repo}"</v>
      </c>
      <c r="TB2" s="20" t="str">
        <f>IFERROR(__xludf.DUMMYFUNCTION("""COMPUTED_VALUE"""),"subscriptions_url:""https://api.github.com/users/adixmr/subscriptions""")</f>
        <v>subscriptions_url:"https://api.github.com/users/adixmr/subscriptions"</v>
      </c>
      <c r="TC2" s="20" t="str">
        <f>IFERROR(__xludf.DUMMYFUNCTION("""COMPUTED_VALUE"""),"organizations_url:""https://api.github.com/users/adixmr/orgs""")</f>
        <v>organizations_url:"https://api.github.com/users/adixmr/orgs"</v>
      </c>
      <c r="TD2" s="20" t="str">
        <f>IFERROR(__xludf.DUMMYFUNCTION("""COMPUTED_VALUE"""),"repos_url:""https://api.github.com/users/adixmr/repos""")</f>
        <v>repos_url:"https://api.github.com/users/adixmr/repos"</v>
      </c>
      <c r="TE2" s="20" t="str">
        <f>IFERROR(__xludf.DUMMYFUNCTION("""COMPUTED_VALUE"""),"events_url:""https://api.github.com/users/adixmr/events{/privacy}""")</f>
        <v>events_url:"https://api.github.com/users/adixmr/events{/privacy}"</v>
      </c>
      <c r="TF2" s="20" t="str">
        <f>IFERROR(__xludf.DUMMYFUNCTION("""COMPUTED_VALUE"""),"received_events_url:""https://api.github.com/users/adixmr/received_events""")</f>
        <v>received_events_url:"https://api.github.com/users/adixmr/received_events"</v>
      </c>
      <c r="TG2" s="20" t="str">
        <f>IFERROR(__xludf.DUMMYFUNCTION("""COMPUTED_VALUE"""),"type:""User""")</f>
        <v>type:"User"</v>
      </c>
      <c r="TH2" s="20" t="str">
        <f>IFERROR(__xludf.DUMMYFUNCTION("""COMPUTED_VALUE"""),"site_admin:false}")</f>
        <v>site_admin:false}</v>
      </c>
      <c r="TI2" s="20" t="str">
        <f>IFERROR(__xludf.DUMMYFUNCTION("""COMPUTED_VALUE"""),"parents:[{""sha"":""ed5d594e0afe3f42a58fba6c951212faff179485""")</f>
        <v>parents:[{"sha":"ed5d594e0afe3f42a58fba6c951212faff179485"</v>
      </c>
      <c r="TJ2" s="20" t="str">
        <f>IFERROR(__xludf.DUMMYFUNCTION("""COMPUTED_VALUE"""),"url:""https://api.github.com/repos/adixmr/leetcode/commits/ed5d594e0afe3f42a58fba6c951212faff179485""")</f>
        <v>url:"https://api.github.com/repos/adixmr/leetcode/commits/ed5d594e0afe3f42a58fba6c951212faff179485"</v>
      </c>
      <c r="TK2" s="20" t="str">
        <f>IFERROR(__xludf.DUMMYFUNCTION("""COMPUTED_VALUE"""),"html_url:""https://github.com/adixmr/leetcode/commit/ed5d594e0afe3f42a58fba6c951212faff179485""}]}")</f>
        <v>html_url:"https://github.com/adixmr/leetcode/commit/ed5d594e0afe3f42a58fba6c951212faff179485"}]}</v>
      </c>
      <c r="TL2" s="20" t="str">
        <f>IFERROR(__xludf.DUMMYFUNCTION("""COMPUTED_VALUE"""),"{""sha"":""ed5d594e0afe3f42a58fba6c951212faff179485""")</f>
        <v>{"sha":"ed5d594e0afe3f42a58fba6c951212faff179485"</v>
      </c>
      <c r="TM2" s="20" t="str">
        <f>IFERROR(__xludf.DUMMYFUNCTION("""COMPUTED_VALUE"""),"node_id:""C_kwDOG-OgStoAKGVkNWQ1OTRlMGFmZTNmNDJhNThmYmE2Yzk1MTIxMmZhZmYxNzk0ODU""")</f>
        <v>node_id:"C_kwDOG-OgStoAKGVkNWQ1OTRlMGFmZTNmNDJhNThmYmE2Yzk1MTIxMmZhZmYxNzk0ODU"</v>
      </c>
      <c r="TN2" s="20" t="str">
        <f>IFERROR(__xludf.DUMMYFUNCTION("""COMPUTED_VALUE"""),"commit:{""author"":{""name"":""Aditya Rajput""")</f>
        <v>commit:{"author":{"name":"Aditya Rajput"</v>
      </c>
      <c r="TO2" s="20" t="str">
        <f>IFERROR(__xludf.DUMMYFUNCTION("""COMPUTED_VALUE"""),"email:""aditya.icf@gmail.com""")</f>
        <v>email:"aditya.icf@gmail.com"</v>
      </c>
      <c r="TP2" s="20" t="str">
        <f>IFERROR(__xludf.DUMMYFUNCTION("""COMPUTED_VALUE"""),"date:""2022-12-21T12:30:01Z""}")</f>
        <v>date:"2022-12-21T12:30:01Z"}</v>
      </c>
      <c r="TQ2" s="20" t="str">
        <f>IFERROR(__xludf.DUMMYFUNCTION("""COMPUTED_VALUE"""),"committer:{""name"":""Aditya Rajput""")</f>
        <v>committer:{"name":"Aditya Rajput"</v>
      </c>
      <c r="TR2" s="20" t="str">
        <f>IFERROR(__xludf.DUMMYFUNCTION("""COMPUTED_VALUE"""),"email:""aditya.icf@gmail.com""")</f>
        <v>email:"aditya.icf@gmail.com"</v>
      </c>
      <c r="TS2" s="20" t="str">
        <f>IFERROR(__xludf.DUMMYFUNCTION("""COMPUTED_VALUE"""),"date:""2022-12-21T12:30:01Z""}")</f>
        <v>date:"2022-12-21T12:30:01Z"}</v>
      </c>
      <c r="TT2" s="20" t="str">
        <f>IFERROR(__xludf.DUMMYFUNCTION("""COMPUTED_VALUE"""),"message:""Daily update by cron""")</f>
        <v>message:"Daily update by cron"</v>
      </c>
      <c r="TU2" s="20" t="str">
        <f>IFERROR(__xludf.DUMMYFUNCTION("""COMPUTED_VALUE"""),"tree:{""sha"":""5957adc63d1665717e3ceacdc47e3ced05dab3d5""")</f>
        <v>tree:{"sha":"5957adc63d1665717e3ceacdc47e3ced05dab3d5"</v>
      </c>
      <c r="TV2" s="20" t="str">
        <f>IFERROR(__xludf.DUMMYFUNCTION("""COMPUTED_VALUE"""),"url:""https://api.github.com/repos/adixmr/leetcode/git/trees/5957adc63d1665717e3ceacdc47e3ced05dab3d5""}")</f>
        <v>url:"https://api.github.com/repos/adixmr/leetcode/git/trees/5957adc63d1665717e3ceacdc47e3ced05dab3d5"}</v>
      </c>
      <c r="TW2" s="20" t="str">
        <f>IFERROR(__xludf.DUMMYFUNCTION("""COMPUTED_VALUE"""),"url:""https://api.github.com/repos/adixmr/leetcode/git/commits/ed5d594e0afe3f42a58fba6c951212faff179485""")</f>
        <v>url:"https://api.github.com/repos/adixmr/leetcode/git/commits/ed5d594e0afe3f42a58fba6c951212faff179485"</v>
      </c>
      <c r="TX2" s="20" t="str">
        <f>IFERROR(__xludf.DUMMYFUNCTION("""COMPUTED_VALUE"""),"comment_count:0")</f>
        <v>comment_count:0</v>
      </c>
      <c r="TY2" s="20" t="str">
        <f>IFERROR(__xludf.DUMMYFUNCTION("""COMPUTED_VALUE"""),"verification:{""verified"":false")</f>
        <v>verification:{"verified":false</v>
      </c>
      <c r="TZ2" s="20" t="str">
        <f>IFERROR(__xludf.DUMMYFUNCTION("""COMPUTED_VALUE"""),"reason:""unsigned""")</f>
        <v>reason:"unsigned"</v>
      </c>
      <c r="UA2" s="20" t="str">
        <f>IFERROR(__xludf.DUMMYFUNCTION("""COMPUTED_VALUE"""),"signature:null")</f>
        <v>signature:null</v>
      </c>
      <c r="UB2" s="20" t="str">
        <f>IFERROR(__xludf.DUMMYFUNCTION("""COMPUTED_VALUE"""),"payload:null}}")</f>
        <v>payload:null}}</v>
      </c>
      <c r="UC2" s="20" t="str">
        <f>IFERROR(__xludf.DUMMYFUNCTION("""COMPUTED_VALUE"""),"url:""https://api.github.com/repos/adixmr/leetcode/commits/ed5d594e0afe3f42a58fba6c951212faff179485""")</f>
        <v>url:"https://api.github.com/repos/adixmr/leetcode/commits/ed5d594e0afe3f42a58fba6c951212faff179485"</v>
      </c>
      <c r="UD2" s="20" t="str">
        <f>IFERROR(__xludf.DUMMYFUNCTION("""COMPUTED_VALUE"""),"html_url:""https://github.com/adixmr/leetcode/commit/ed5d594e0afe3f42a58fba6c951212faff179485""")</f>
        <v>html_url:"https://github.com/adixmr/leetcode/commit/ed5d594e0afe3f42a58fba6c951212faff179485"</v>
      </c>
      <c r="UE2" s="20" t="str">
        <f>IFERROR(__xludf.DUMMYFUNCTION("""COMPUTED_VALUE"""),"comments_url:""https://api.github.com/repos/adixmr/leetcode/commits/ed5d594e0afe3f42a58fba6c951212faff179485/comments""")</f>
        <v>comments_url:"https://api.github.com/repos/adixmr/leetcode/commits/ed5d594e0afe3f42a58fba6c951212faff179485/comments"</v>
      </c>
      <c r="UF2" s="20" t="str">
        <f>IFERROR(__xludf.DUMMYFUNCTION("""COMPUTED_VALUE"""),"author:{""login"":""adixmr""")</f>
        <v>author:{"login":"adixmr"</v>
      </c>
      <c r="UG2" s="20" t="str">
        <f>IFERROR(__xludf.DUMMYFUNCTION("""COMPUTED_VALUE"""),"id:42894359")</f>
        <v>id:42894359</v>
      </c>
      <c r="UH2" s="20" t="str">
        <f>IFERROR(__xludf.DUMMYFUNCTION("""COMPUTED_VALUE"""),"node_id:""MDQ6VXNlcjQyODk0MzU5""")</f>
        <v>node_id:"MDQ6VXNlcjQyODk0MzU5"</v>
      </c>
      <c r="UI2" s="20" t="str">
        <f>IFERROR(__xludf.DUMMYFUNCTION("""COMPUTED_VALUE"""),"avatar_url:""https://avatars.githubusercontent.com/u/42894359?v=4""")</f>
        <v>avatar_url:"https://avatars.githubusercontent.com/u/42894359?v=4"</v>
      </c>
      <c r="UJ2" s="20" t="str">
        <f>IFERROR(__xludf.DUMMYFUNCTION("""COMPUTED_VALUE"""),"gravatar_id:""""")</f>
        <v>gravatar_id:""</v>
      </c>
      <c r="UK2" s="20" t="str">
        <f>IFERROR(__xludf.DUMMYFUNCTION("""COMPUTED_VALUE"""),"url:""https://api.github.com/users/adixmr""")</f>
        <v>url:"https://api.github.com/users/adixmr"</v>
      </c>
      <c r="UL2" s="20" t="str">
        <f>IFERROR(__xludf.DUMMYFUNCTION("""COMPUTED_VALUE"""),"html_url:""https://github.com/adixmr""")</f>
        <v>html_url:"https://github.com/adixmr"</v>
      </c>
      <c r="UM2" s="20" t="str">
        <f>IFERROR(__xludf.DUMMYFUNCTION("""COMPUTED_VALUE"""),"followers_url:""https://api.github.com/users/adixmr/followers""")</f>
        <v>followers_url:"https://api.github.com/users/adixmr/followers"</v>
      </c>
      <c r="UN2" s="20" t="str">
        <f>IFERROR(__xludf.DUMMYFUNCTION("""COMPUTED_VALUE"""),"following_url:""https://api.github.com/users/adixmr/following{/other_user}""")</f>
        <v>following_url:"https://api.github.com/users/adixmr/following{/other_user}"</v>
      </c>
      <c r="UO2" s="20" t="str">
        <f>IFERROR(__xludf.DUMMYFUNCTION("""COMPUTED_VALUE"""),"gists_url:""https://api.github.com/users/adixmr/gists{/gist_id}""")</f>
        <v>gists_url:"https://api.github.com/users/adixmr/gists{/gist_id}"</v>
      </c>
      <c r="UP2" s="20" t="str">
        <f>IFERROR(__xludf.DUMMYFUNCTION("""COMPUTED_VALUE"""),"starred_url:""https://api.github.com/users/adixmr/starred{/owner}{/repo}""")</f>
        <v>starred_url:"https://api.github.com/users/adixmr/starred{/owner}{/repo}"</v>
      </c>
      <c r="UQ2" s="20" t="str">
        <f>IFERROR(__xludf.DUMMYFUNCTION("""COMPUTED_VALUE"""),"subscriptions_url:""https://api.github.com/users/adixmr/subscriptions""")</f>
        <v>subscriptions_url:"https://api.github.com/users/adixmr/subscriptions"</v>
      </c>
      <c r="UR2" s="20" t="str">
        <f>IFERROR(__xludf.DUMMYFUNCTION("""COMPUTED_VALUE"""),"organizations_url:""https://api.github.com/users/adixmr/orgs""")</f>
        <v>organizations_url:"https://api.github.com/users/adixmr/orgs"</v>
      </c>
      <c r="US2" s="20" t="str">
        <f>IFERROR(__xludf.DUMMYFUNCTION("""COMPUTED_VALUE"""),"repos_url:""https://api.github.com/users/adixmr/repos""")</f>
        <v>repos_url:"https://api.github.com/users/adixmr/repos"</v>
      </c>
      <c r="UT2" s="20" t="str">
        <f>IFERROR(__xludf.DUMMYFUNCTION("""COMPUTED_VALUE"""),"events_url:""https://api.github.com/users/adixmr/events{/privacy}""")</f>
        <v>events_url:"https://api.github.com/users/adixmr/events{/privacy}"</v>
      </c>
      <c r="UU2" s="20" t="str">
        <f>IFERROR(__xludf.DUMMYFUNCTION("""COMPUTED_VALUE"""),"received_events_url:""https://api.github.com/users/adixmr/received_events""")</f>
        <v>received_events_url:"https://api.github.com/users/adixmr/received_events"</v>
      </c>
      <c r="UV2" s="20" t="str">
        <f>IFERROR(__xludf.DUMMYFUNCTION("""COMPUTED_VALUE"""),"type:""User""")</f>
        <v>type:"User"</v>
      </c>
      <c r="UW2" s="20" t="str">
        <f>IFERROR(__xludf.DUMMYFUNCTION("""COMPUTED_VALUE"""),"site_admin:false}")</f>
        <v>site_admin:false}</v>
      </c>
      <c r="UX2" s="20" t="str">
        <f>IFERROR(__xludf.DUMMYFUNCTION("""COMPUTED_VALUE"""),"committer:{""login"":""adixmr""")</f>
        <v>committer:{"login":"adixmr"</v>
      </c>
      <c r="UY2" s="20" t="str">
        <f>IFERROR(__xludf.DUMMYFUNCTION("""COMPUTED_VALUE"""),"id:42894359")</f>
        <v>id:42894359</v>
      </c>
      <c r="UZ2" s="20" t="str">
        <f>IFERROR(__xludf.DUMMYFUNCTION("""COMPUTED_VALUE"""),"node_id:""MDQ6VXNlcjQyODk0MzU5""")</f>
        <v>node_id:"MDQ6VXNlcjQyODk0MzU5"</v>
      </c>
      <c r="VA2" s="20" t="str">
        <f>IFERROR(__xludf.DUMMYFUNCTION("""COMPUTED_VALUE"""),"avatar_url:""https://avatars.githubusercontent.com/u/42894359?v=4""")</f>
        <v>avatar_url:"https://avatars.githubusercontent.com/u/42894359?v=4"</v>
      </c>
      <c r="VB2" s="20" t="str">
        <f>IFERROR(__xludf.DUMMYFUNCTION("""COMPUTED_VALUE"""),"gravatar_id:""""")</f>
        <v>gravatar_id:""</v>
      </c>
      <c r="VC2" s="20" t="str">
        <f>IFERROR(__xludf.DUMMYFUNCTION("""COMPUTED_VALUE"""),"url:""https://api.github.com/users/adixmr""")</f>
        <v>url:"https://api.github.com/users/adixmr"</v>
      </c>
      <c r="VD2" s="20" t="str">
        <f>IFERROR(__xludf.DUMMYFUNCTION("""COMPUTED_VALUE"""),"html_url:""https://github.com/adixmr""")</f>
        <v>html_url:"https://github.com/adixmr"</v>
      </c>
      <c r="VE2" s="20" t="str">
        <f>IFERROR(__xludf.DUMMYFUNCTION("""COMPUTED_VALUE"""),"followers_url:""https://api.github.com/users/adixmr/followers""")</f>
        <v>followers_url:"https://api.github.com/users/adixmr/followers"</v>
      </c>
      <c r="VF2" s="20" t="str">
        <f>IFERROR(__xludf.DUMMYFUNCTION("""COMPUTED_VALUE"""),"following_url:""https://api.github.com/users/adixmr/following{/other_user}""")</f>
        <v>following_url:"https://api.github.com/users/adixmr/following{/other_user}"</v>
      </c>
      <c r="VG2" s="20" t="str">
        <f>IFERROR(__xludf.DUMMYFUNCTION("""COMPUTED_VALUE"""),"gists_url:""https://api.github.com/users/adixmr/gists{/gist_id}""")</f>
        <v>gists_url:"https://api.github.com/users/adixmr/gists{/gist_id}"</v>
      </c>
      <c r="VH2" s="20" t="str">
        <f>IFERROR(__xludf.DUMMYFUNCTION("""COMPUTED_VALUE"""),"starred_url:""https://api.github.com/users/adixmr/starred{/owner}{/repo}""")</f>
        <v>starred_url:"https://api.github.com/users/adixmr/starred{/owner}{/repo}"</v>
      </c>
      <c r="VI2" s="20" t="str">
        <f>IFERROR(__xludf.DUMMYFUNCTION("""COMPUTED_VALUE"""),"subscriptions_url:""https://api.github.com/users/adixmr/subscriptions""")</f>
        <v>subscriptions_url:"https://api.github.com/users/adixmr/subscriptions"</v>
      </c>
      <c r="VJ2" s="20" t="str">
        <f>IFERROR(__xludf.DUMMYFUNCTION("""COMPUTED_VALUE"""),"organizations_url:""https://api.github.com/users/adixmr/orgs""")</f>
        <v>organizations_url:"https://api.github.com/users/adixmr/orgs"</v>
      </c>
      <c r="VK2" s="20" t="str">
        <f>IFERROR(__xludf.DUMMYFUNCTION("""COMPUTED_VALUE"""),"repos_url:""https://api.github.com/users/adixmr/repos""")</f>
        <v>repos_url:"https://api.github.com/users/adixmr/repos"</v>
      </c>
      <c r="VL2" s="20" t="str">
        <f>IFERROR(__xludf.DUMMYFUNCTION("""COMPUTED_VALUE"""),"events_url:""https://api.github.com/users/adixmr/events{/privacy}""")</f>
        <v>events_url:"https://api.github.com/users/adixmr/events{/privacy}"</v>
      </c>
      <c r="VM2" s="20" t="str">
        <f>IFERROR(__xludf.DUMMYFUNCTION("""COMPUTED_VALUE"""),"received_events_url:""https://api.github.com/users/adixmr/received_events""")</f>
        <v>received_events_url:"https://api.github.com/users/adixmr/received_events"</v>
      </c>
      <c r="VN2" s="20" t="str">
        <f>IFERROR(__xludf.DUMMYFUNCTION("""COMPUTED_VALUE"""),"type:""User""")</f>
        <v>type:"User"</v>
      </c>
      <c r="VO2" s="20" t="str">
        <f>IFERROR(__xludf.DUMMYFUNCTION("""COMPUTED_VALUE"""),"site_admin:false}")</f>
        <v>site_admin:false}</v>
      </c>
      <c r="VP2" s="20" t="str">
        <f>IFERROR(__xludf.DUMMYFUNCTION("""COMPUTED_VALUE"""),"parents:[{""sha"":""81e8a5a0b1ceb034849cdb9dea6e1a32514bc113""")</f>
        <v>parents:[{"sha":"81e8a5a0b1ceb034849cdb9dea6e1a32514bc113"</v>
      </c>
      <c r="VQ2" s="20" t="str">
        <f>IFERROR(__xludf.DUMMYFUNCTION("""COMPUTED_VALUE"""),"url:""https://api.github.com/repos/adixmr/leetcode/commits/81e8a5a0b1ceb034849cdb9dea6e1a32514bc113""")</f>
        <v>url:"https://api.github.com/repos/adixmr/leetcode/commits/81e8a5a0b1ceb034849cdb9dea6e1a32514bc113"</v>
      </c>
      <c r="VR2" s="20" t="str">
        <f>IFERROR(__xludf.DUMMYFUNCTION("""COMPUTED_VALUE"""),"html_url:""https://github.com/adixmr/leetcode/commit/81e8a5a0b1ceb034849cdb9dea6e1a32514bc113""}]}")</f>
        <v>html_url:"https://github.com/adixmr/leetcode/commit/81e8a5a0b1ceb034849cdb9dea6e1a32514bc113"}]}</v>
      </c>
      <c r="VS2" s="20" t="str">
        <f>IFERROR(__xludf.DUMMYFUNCTION("""COMPUTED_VALUE"""),"{""sha"":""81e8a5a0b1ceb034849cdb9dea6e1a32514bc113""")</f>
        <v>{"sha":"81e8a5a0b1ceb034849cdb9dea6e1a32514bc113"</v>
      </c>
      <c r="VT2" s="20" t="str">
        <f>IFERROR(__xludf.DUMMYFUNCTION("""COMPUTED_VALUE"""),"node_id:""C_kwDOG-OgStoAKDgxZThhNWEwYjFjZWIwMzQ4NDljZGI5ZGVhNmUxYTMyNTE0YmMxMTM""")</f>
        <v>node_id:"C_kwDOG-OgStoAKDgxZThhNWEwYjFjZWIwMzQ4NDljZGI5ZGVhNmUxYTMyNTE0YmMxMTM"</v>
      </c>
      <c r="VU2" s="20" t="str">
        <f>IFERROR(__xludf.DUMMYFUNCTION("""COMPUTED_VALUE"""),"commit:{""author"":{""name"":""Aditya Rajput""")</f>
        <v>commit:{"author":{"name":"Aditya Rajput"</v>
      </c>
      <c r="VV2" s="20" t="str">
        <f>IFERROR(__xludf.DUMMYFUNCTION("""COMPUTED_VALUE"""),"email:""aditya.icf@gmail.com""")</f>
        <v>email:"aditya.icf@gmail.com"</v>
      </c>
      <c r="VW2" s="20" t="str">
        <f>IFERROR(__xludf.DUMMYFUNCTION("""COMPUTED_VALUE"""),"date:""2022-12-20T12:30:01Z""}")</f>
        <v>date:"2022-12-20T12:30:01Z"}</v>
      </c>
      <c r="VX2" s="20" t="str">
        <f>IFERROR(__xludf.DUMMYFUNCTION("""COMPUTED_VALUE"""),"committer:{""name"":""Aditya Rajput""")</f>
        <v>committer:{"name":"Aditya Rajput"</v>
      </c>
      <c r="VY2" s="20" t="str">
        <f>IFERROR(__xludf.DUMMYFUNCTION("""COMPUTED_VALUE"""),"email:""aditya.icf@gmail.com""")</f>
        <v>email:"aditya.icf@gmail.com"</v>
      </c>
      <c r="VZ2" s="20" t="str">
        <f>IFERROR(__xludf.DUMMYFUNCTION("""COMPUTED_VALUE"""),"date:""2022-12-20T12:30:01Z""}")</f>
        <v>date:"2022-12-20T12:30:01Z"}</v>
      </c>
      <c r="WA2" s="20" t="str">
        <f>IFERROR(__xludf.DUMMYFUNCTION("""COMPUTED_VALUE"""),"message:""Daily update by cron""")</f>
        <v>message:"Daily update by cron"</v>
      </c>
      <c r="WB2" s="20" t="str">
        <f>IFERROR(__xludf.DUMMYFUNCTION("""COMPUTED_VALUE"""),"tree:{""sha"":""6b6e0f5915a6ce550965e6b75e2898514fae799d""")</f>
        <v>tree:{"sha":"6b6e0f5915a6ce550965e6b75e2898514fae799d"</v>
      </c>
      <c r="WC2" s="20" t="str">
        <f>IFERROR(__xludf.DUMMYFUNCTION("""COMPUTED_VALUE"""),"url:""https://api.github.com/repos/adixmr/leetcode/git/trees/6b6e0f5915a6ce550965e6b75e2898514fae799d""}")</f>
        <v>url:"https://api.github.com/repos/adixmr/leetcode/git/trees/6b6e0f5915a6ce550965e6b75e2898514fae799d"}</v>
      </c>
      <c r="WD2" s="20" t="str">
        <f>IFERROR(__xludf.DUMMYFUNCTION("""COMPUTED_VALUE"""),"url:""https://api.github.com/repos/adixmr/leetcode/git/commits/81e8a5a0b1ceb034849cdb9dea6e1a32514bc113""")</f>
        <v>url:"https://api.github.com/repos/adixmr/leetcode/git/commits/81e8a5a0b1ceb034849cdb9dea6e1a32514bc113"</v>
      </c>
      <c r="WE2" s="20" t="str">
        <f>IFERROR(__xludf.DUMMYFUNCTION("""COMPUTED_VALUE"""),"comment_count:0")</f>
        <v>comment_count:0</v>
      </c>
      <c r="WF2" s="20" t="str">
        <f>IFERROR(__xludf.DUMMYFUNCTION("""COMPUTED_VALUE"""),"verification:{""verified"":false")</f>
        <v>verification:{"verified":false</v>
      </c>
      <c r="WG2" s="20" t="str">
        <f>IFERROR(__xludf.DUMMYFUNCTION("""COMPUTED_VALUE"""),"reason:""unsigned""")</f>
        <v>reason:"unsigned"</v>
      </c>
      <c r="WH2" s="20" t="str">
        <f>IFERROR(__xludf.DUMMYFUNCTION("""COMPUTED_VALUE"""),"signature:null")</f>
        <v>signature:null</v>
      </c>
      <c r="WI2" s="20" t="str">
        <f>IFERROR(__xludf.DUMMYFUNCTION("""COMPUTED_VALUE"""),"payload:null}}")</f>
        <v>payload:null}}</v>
      </c>
      <c r="WJ2" s="20" t="str">
        <f>IFERROR(__xludf.DUMMYFUNCTION("""COMPUTED_VALUE"""),"url:""https://api.github.com/repos/adixmr/leetcode/commits/81e8a5a0b1ceb034849cdb9dea6e1a32514bc113""")</f>
        <v>url:"https://api.github.com/repos/adixmr/leetcode/commits/81e8a5a0b1ceb034849cdb9dea6e1a32514bc113"</v>
      </c>
      <c r="WK2" s="20" t="str">
        <f>IFERROR(__xludf.DUMMYFUNCTION("""COMPUTED_VALUE"""),"html_url:""https://github.com/adixmr/leetcode/commit/81e8a5a0b1ceb034849cdb9dea6e1a32514bc113""")</f>
        <v>html_url:"https://github.com/adixmr/leetcode/commit/81e8a5a0b1ceb034849cdb9dea6e1a32514bc113"</v>
      </c>
      <c r="WL2" s="20" t="str">
        <f>IFERROR(__xludf.DUMMYFUNCTION("""COMPUTED_VALUE"""),"comments_url:""https://api.github.com/repos/adixmr/leetcode/commits/81e8a5a0b1ceb034849cdb9dea6e1a32514bc113/comments""")</f>
        <v>comments_url:"https://api.github.com/repos/adixmr/leetcode/commits/81e8a5a0b1ceb034849cdb9dea6e1a32514bc113/comments"</v>
      </c>
      <c r="WM2" s="20" t="str">
        <f>IFERROR(__xludf.DUMMYFUNCTION("""COMPUTED_VALUE"""),"author:{""login"":""adixmr""")</f>
        <v>author:{"login":"adixmr"</v>
      </c>
      <c r="WN2" s="20" t="str">
        <f>IFERROR(__xludf.DUMMYFUNCTION("""COMPUTED_VALUE"""),"id:42894359")</f>
        <v>id:42894359</v>
      </c>
      <c r="WO2" s="20" t="str">
        <f>IFERROR(__xludf.DUMMYFUNCTION("""COMPUTED_VALUE"""),"node_id:""MDQ6VXNlcjQyODk0MzU5""")</f>
        <v>node_id:"MDQ6VXNlcjQyODk0MzU5"</v>
      </c>
      <c r="WP2" s="20" t="str">
        <f>IFERROR(__xludf.DUMMYFUNCTION("""COMPUTED_VALUE"""),"avatar_url:""https://avatars.githubusercontent.com/u/42894359?v=4""")</f>
        <v>avatar_url:"https://avatars.githubusercontent.com/u/42894359?v=4"</v>
      </c>
      <c r="WQ2" s="20" t="str">
        <f>IFERROR(__xludf.DUMMYFUNCTION("""COMPUTED_VALUE"""),"gravatar_id:""""")</f>
        <v>gravatar_id:""</v>
      </c>
      <c r="WR2" s="20" t="str">
        <f>IFERROR(__xludf.DUMMYFUNCTION("""COMPUTED_VALUE"""),"url:""https://api.github.com/users/adixmr""")</f>
        <v>url:"https://api.github.com/users/adixmr"</v>
      </c>
      <c r="WS2" s="20" t="str">
        <f>IFERROR(__xludf.DUMMYFUNCTION("""COMPUTED_VALUE"""),"html_url:""https://github.com/adixmr""")</f>
        <v>html_url:"https://github.com/adixmr"</v>
      </c>
      <c r="WT2" s="20" t="str">
        <f>IFERROR(__xludf.DUMMYFUNCTION("""COMPUTED_VALUE"""),"followers_url:""https://api.github.com/users/adixmr/followers""")</f>
        <v>followers_url:"https://api.github.com/users/adixmr/followers"</v>
      </c>
      <c r="WU2" s="20" t="str">
        <f>IFERROR(__xludf.DUMMYFUNCTION("""COMPUTED_VALUE"""),"following_url:""https://api.github.com/users/adixmr/following{/other_user}""")</f>
        <v>following_url:"https://api.github.com/users/adixmr/following{/other_user}"</v>
      </c>
      <c r="WV2" s="20" t="str">
        <f>IFERROR(__xludf.DUMMYFUNCTION("""COMPUTED_VALUE"""),"gists_url:""https://api.github.com/users/adixmr/gists{/gist_id}""")</f>
        <v>gists_url:"https://api.github.com/users/adixmr/gists{/gist_id}"</v>
      </c>
      <c r="WW2" s="20" t="str">
        <f>IFERROR(__xludf.DUMMYFUNCTION("""COMPUTED_VALUE"""),"starred_url:""https://api.github.com/users/adixmr/starred{/owner}{/repo}""")</f>
        <v>starred_url:"https://api.github.com/users/adixmr/starred{/owner}{/repo}"</v>
      </c>
      <c r="WX2" s="20" t="str">
        <f>IFERROR(__xludf.DUMMYFUNCTION("""COMPUTED_VALUE"""),"subscriptions_url:""https://api.github.com/users/adixmr/subscriptions""")</f>
        <v>subscriptions_url:"https://api.github.com/users/adixmr/subscriptions"</v>
      </c>
      <c r="WY2" s="20" t="str">
        <f>IFERROR(__xludf.DUMMYFUNCTION("""COMPUTED_VALUE"""),"organizations_url:""https://api.github.com/users/adixmr/orgs""")</f>
        <v>organizations_url:"https://api.github.com/users/adixmr/orgs"</v>
      </c>
      <c r="WZ2" s="20" t="str">
        <f>IFERROR(__xludf.DUMMYFUNCTION("""COMPUTED_VALUE"""),"repos_url:""https://api.github.com/users/adixmr/repos""")</f>
        <v>repos_url:"https://api.github.com/users/adixmr/repos"</v>
      </c>
      <c r="XA2" s="20" t="str">
        <f>IFERROR(__xludf.DUMMYFUNCTION("""COMPUTED_VALUE"""),"events_url:""https://api.github.com/users/adixmr/events{/privacy}""")</f>
        <v>events_url:"https://api.github.com/users/adixmr/events{/privacy}"</v>
      </c>
      <c r="XB2" s="20" t="str">
        <f>IFERROR(__xludf.DUMMYFUNCTION("""COMPUTED_VALUE"""),"received_events_url:""https://api.github.com/users/adixmr/received_events""")</f>
        <v>received_events_url:"https://api.github.com/users/adixmr/received_events"</v>
      </c>
      <c r="XC2" s="20" t="str">
        <f>IFERROR(__xludf.DUMMYFUNCTION("""COMPUTED_VALUE"""),"type:""User""")</f>
        <v>type:"User"</v>
      </c>
      <c r="XD2" s="20" t="str">
        <f>IFERROR(__xludf.DUMMYFUNCTION("""COMPUTED_VALUE"""),"site_admin:false}")</f>
        <v>site_admin:false}</v>
      </c>
      <c r="XE2" s="20" t="str">
        <f>IFERROR(__xludf.DUMMYFUNCTION("""COMPUTED_VALUE"""),"committer:{""login"":""adixmr""")</f>
        <v>committer:{"login":"adixmr"</v>
      </c>
      <c r="XF2" s="20" t="str">
        <f>IFERROR(__xludf.DUMMYFUNCTION("""COMPUTED_VALUE"""),"id:42894359")</f>
        <v>id:42894359</v>
      </c>
      <c r="XG2" s="20" t="str">
        <f>IFERROR(__xludf.DUMMYFUNCTION("""COMPUTED_VALUE"""),"node_id:""MDQ6VXNlcjQyODk0MzU5""")</f>
        <v>node_id:"MDQ6VXNlcjQyODk0MzU5"</v>
      </c>
      <c r="XH2" s="20" t="str">
        <f>IFERROR(__xludf.DUMMYFUNCTION("""COMPUTED_VALUE"""),"avatar_url:""https://avatars.githubusercontent.com/u/42894359?v=4""")</f>
        <v>avatar_url:"https://avatars.githubusercontent.com/u/42894359?v=4"</v>
      </c>
      <c r="XI2" s="20" t="str">
        <f>IFERROR(__xludf.DUMMYFUNCTION("""COMPUTED_VALUE"""),"gravatar_id:""""")</f>
        <v>gravatar_id:""</v>
      </c>
      <c r="XJ2" s="20" t="str">
        <f>IFERROR(__xludf.DUMMYFUNCTION("""COMPUTED_VALUE"""),"url:""https://api.github.com/users/adixmr""")</f>
        <v>url:"https://api.github.com/users/adixmr"</v>
      </c>
      <c r="XK2" s="20" t="str">
        <f>IFERROR(__xludf.DUMMYFUNCTION("""COMPUTED_VALUE"""),"html_url:""https://github.com/adixmr""")</f>
        <v>html_url:"https://github.com/adixmr"</v>
      </c>
      <c r="XL2" s="20" t="str">
        <f>IFERROR(__xludf.DUMMYFUNCTION("""COMPUTED_VALUE"""),"followers_url:""https://api.github.com/users/adixmr/followers""")</f>
        <v>followers_url:"https://api.github.com/users/adixmr/followers"</v>
      </c>
      <c r="XM2" s="20" t="str">
        <f>IFERROR(__xludf.DUMMYFUNCTION("""COMPUTED_VALUE"""),"following_url:""https://api.github.com/users/adixmr/following{/other_user}""")</f>
        <v>following_url:"https://api.github.com/users/adixmr/following{/other_user}"</v>
      </c>
      <c r="XN2" s="20" t="str">
        <f>IFERROR(__xludf.DUMMYFUNCTION("""COMPUTED_VALUE"""),"gists_url:""https://api.github.com/users/adixmr/gists{/gist_id}""")</f>
        <v>gists_url:"https://api.github.com/users/adixmr/gists{/gist_id}"</v>
      </c>
      <c r="XO2" s="20" t="str">
        <f>IFERROR(__xludf.DUMMYFUNCTION("""COMPUTED_VALUE"""),"starred_url:""https://api.github.com/users/adixmr/starred{/owner}{/repo}""")</f>
        <v>starred_url:"https://api.github.com/users/adixmr/starred{/owner}{/repo}"</v>
      </c>
      <c r="XP2" s="20" t="str">
        <f>IFERROR(__xludf.DUMMYFUNCTION("""COMPUTED_VALUE"""),"subscriptions_url:""https://api.github.com/users/adixmr/subscriptions""")</f>
        <v>subscriptions_url:"https://api.github.com/users/adixmr/subscriptions"</v>
      </c>
      <c r="XQ2" s="20" t="str">
        <f>IFERROR(__xludf.DUMMYFUNCTION("""COMPUTED_VALUE"""),"organizations_url:""https://api.github.com/users/adixmr/orgs""")</f>
        <v>organizations_url:"https://api.github.com/users/adixmr/orgs"</v>
      </c>
      <c r="XR2" s="20" t="str">
        <f>IFERROR(__xludf.DUMMYFUNCTION("""COMPUTED_VALUE"""),"repos_url:""https://api.github.com/users/adixmr/repos""")</f>
        <v>repos_url:"https://api.github.com/users/adixmr/repos"</v>
      </c>
      <c r="XS2" s="20" t="str">
        <f>IFERROR(__xludf.DUMMYFUNCTION("""COMPUTED_VALUE"""),"events_url:""https://api.github.com/users/adixmr/events{/privacy}""")</f>
        <v>events_url:"https://api.github.com/users/adixmr/events{/privacy}"</v>
      </c>
      <c r="XT2" s="20" t="str">
        <f>IFERROR(__xludf.DUMMYFUNCTION("""COMPUTED_VALUE"""),"received_events_url:""https://api.github.com/users/adixmr/received_events""")</f>
        <v>received_events_url:"https://api.github.com/users/adixmr/received_events"</v>
      </c>
      <c r="XU2" s="20" t="str">
        <f>IFERROR(__xludf.DUMMYFUNCTION("""COMPUTED_VALUE"""),"type:""User""")</f>
        <v>type:"User"</v>
      </c>
      <c r="XV2" s="20" t="str">
        <f>IFERROR(__xludf.DUMMYFUNCTION("""COMPUTED_VALUE"""),"site_admin:false}")</f>
        <v>site_admin:false}</v>
      </c>
      <c r="XW2" s="20" t="str">
        <f>IFERROR(__xludf.DUMMYFUNCTION("""COMPUTED_VALUE"""),"parents:[{""sha"":""888fa568b53762168383998914284c44b034537a""")</f>
        <v>parents:[{"sha":"888fa568b53762168383998914284c44b034537a"</v>
      </c>
      <c r="XX2" s="20" t="str">
        <f>IFERROR(__xludf.DUMMYFUNCTION("""COMPUTED_VALUE"""),"url:""https://api.github.com/repos/adixmr/leetcode/commits/888fa568b53762168383998914284c44b034537a""")</f>
        <v>url:"https://api.github.com/repos/adixmr/leetcode/commits/888fa568b53762168383998914284c44b034537a"</v>
      </c>
      <c r="XY2" s="20" t="str">
        <f>IFERROR(__xludf.DUMMYFUNCTION("""COMPUTED_VALUE"""),"html_url:""https://github.com/adixmr/leetcode/commit/888fa568b53762168383998914284c44b034537a""}]}")</f>
        <v>html_url:"https://github.com/adixmr/leetcode/commit/888fa568b53762168383998914284c44b034537a"}]}</v>
      </c>
      <c r="XZ2" s="20" t="str">
        <f>IFERROR(__xludf.DUMMYFUNCTION("""COMPUTED_VALUE"""),"{""sha"":""888fa568b53762168383998914284c44b034537a""")</f>
        <v>{"sha":"888fa568b53762168383998914284c44b034537a"</v>
      </c>
      <c r="YA2" s="20" t="str">
        <f>IFERROR(__xludf.DUMMYFUNCTION("""COMPUTED_VALUE"""),"node_id:""C_kwDOG-OgStoAKDg4OGZhNTY4YjUzNzYyMTY4MzgzOTk4OTE0Mjg0YzQ0YjAzNDUzN2E""")</f>
        <v>node_id:"C_kwDOG-OgStoAKDg4OGZhNTY4YjUzNzYyMTY4MzgzOTk4OTE0Mjg0YzQ0YjAzNDUzN2E"</v>
      </c>
      <c r="YB2" s="20" t="str">
        <f>IFERROR(__xludf.DUMMYFUNCTION("""COMPUTED_VALUE"""),"commit:{""author"":{""name"":""Aditya Rajput""")</f>
        <v>commit:{"author":{"name":"Aditya Rajput"</v>
      </c>
      <c r="YC2" s="20" t="str">
        <f>IFERROR(__xludf.DUMMYFUNCTION("""COMPUTED_VALUE"""),"email:""aditya.icf@gmail.com""")</f>
        <v>email:"aditya.icf@gmail.com"</v>
      </c>
      <c r="YD2" s="20" t="str">
        <f>IFERROR(__xludf.DUMMYFUNCTION("""COMPUTED_VALUE"""),"date:""2022-12-18T12:30:01Z""}")</f>
        <v>date:"2022-12-18T12:30:01Z"}</v>
      </c>
      <c r="YE2" s="20" t="str">
        <f>IFERROR(__xludf.DUMMYFUNCTION("""COMPUTED_VALUE"""),"committer:{""name"":""Aditya Rajput""")</f>
        <v>committer:{"name":"Aditya Rajput"</v>
      </c>
      <c r="YF2" s="20" t="str">
        <f>IFERROR(__xludf.DUMMYFUNCTION("""COMPUTED_VALUE"""),"email:""aditya.icf@gmail.com""")</f>
        <v>email:"aditya.icf@gmail.com"</v>
      </c>
      <c r="YG2" s="20" t="str">
        <f>IFERROR(__xludf.DUMMYFUNCTION("""COMPUTED_VALUE"""),"date:""2022-12-18T12:30:01Z""}")</f>
        <v>date:"2022-12-18T12:30:01Z"}</v>
      </c>
      <c r="YH2" s="20" t="str">
        <f>IFERROR(__xludf.DUMMYFUNCTION("""COMPUTED_VALUE"""),"message:""Daily update by cron""")</f>
        <v>message:"Daily update by cron"</v>
      </c>
      <c r="YI2" s="20" t="str">
        <f>IFERROR(__xludf.DUMMYFUNCTION("""COMPUTED_VALUE"""),"tree:{""sha"":""7905314549c886e12ea95f3dbff0ef61f2bdf85b""")</f>
        <v>tree:{"sha":"7905314549c886e12ea95f3dbff0ef61f2bdf85b"</v>
      </c>
      <c r="YJ2" s="20" t="str">
        <f>IFERROR(__xludf.DUMMYFUNCTION("""COMPUTED_VALUE"""),"url:""https://api.github.com/repos/adixmr/leetcode/git/trees/7905314549c886e12ea95f3dbff0ef61f2bdf85b""}")</f>
        <v>url:"https://api.github.com/repos/adixmr/leetcode/git/trees/7905314549c886e12ea95f3dbff0ef61f2bdf85b"}</v>
      </c>
      <c r="YK2" s="20" t="str">
        <f>IFERROR(__xludf.DUMMYFUNCTION("""COMPUTED_VALUE"""),"url:""https://api.github.com/repos/adixmr/leetcode/git/commits/888fa568b53762168383998914284c44b034537a""")</f>
        <v>url:"https://api.github.com/repos/adixmr/leetcode/git/commits/888fa568b53762168383998914284c44b034537a"</v>
      </c>
      <c r="YL2" s="20" t="str">
        <f>IFERROR(__xludf.DUMMYFUNCTION("""COMPUTED_VALUE"""),"comment_count:0")</f>
        <v>comment_count:0</v>
      </c>
      <c r="YM2" s="20" t="str">
        <f>IFERROR(__xludf.DUMMYFUNCTION("""COMPUTED_VALUE"""),"verification:{""verified"":false")</f>
        <v>verification:{"verified":false</v>
      </c>
      <c r="YN2" s="20" t="str">
        <f>IFERROR(__xludf.DUMMYFUNCTION("""COMPUTED_VALUE"""),"reason:""unsigned""")</f>
        <v>reason:"unsigned"</v>
      </c>
      <c r="YO2" s="20" t="str">
        <f>IFERROR(__xludf.DUMMYFUNCTION("""COMPUTED_VALUE"""),"signature:null")</f>
        <v>signature:null</v>
      </c>
      <c r="YP2" s="20" t="str">
        <f>IFERROR(__xludf.DUMMYFUNCTION("""COMPUTED_VALUE"""),"payload:null}}")</f>
        <v>payload:null}}</v>
      </c>
      <c r="YQ2" s="20" t="str">
        <f>IFERROR(__xludf.DUMMYFUNCTION("""COMPUTED_VALUE"""),"url:""https://api.github.com/repos/adixmr/leetcode/commits/888fa568b53762168383998914284c44b034537a""")</f>
        <v>url:"https://api.github.com/repos/adixmr/leetcode/commits/888fa568b53762168383998914284c44b034537a"</v>
      </c>
      <c r="YR2" s="20" t="str">
        <f>IFERROR(__xludf.DUMMYFUNCTION("""COMPUTED_VALUE"""),"html_url:""https://github.com/adixmr/leetcode/commit/888fa568b53762168383998914284c44b034537a""")</f>
        <v>html_url:"https://github.com/adixmr/leetcode/commit/888fa568b53762168383998914284c44b034537a"</v>
      </c>
      <c r="YS2" s="20" t="str">
        <f>IFERROR(__xludf.DUMMYFUNCTION("""COMPUTED_VALUE"""),"comments_url:""https://api.github.com/repos/adixmr/leetcode/commits/888fa568b53762168383998914284c44b034537a/comments""")</f>
        <v>comments_url:"https://api.github.com/repos/adixmr/leetcode/commits/888fa568b53762168383998914284c44b034537a/comments"</v>
      </c>
      <c r="YT2" s="20" t="str">
        <f>IFERROR(__xludf.DUMMYFUNCTION("""COMPUTED_VALUE"""),"author:{""login"":""adixmr""")</f>
        <v>author:{"login":"adixmr"</v>
      </c>
      <c r="YU2" s="20" t="str">
        <f>IFERROR(__xludf.DUMMYFUNCTION("""COMPUTED_VALUE"""),"id:42894359")</f>
        <v>id:42894359</v>
      </c>
      <c r="YV2" s="20" t="str">
        <f>IFERROR(__xludf.DUMMYFUNCTION("""COMPUTED_VALUE"""),"node_id:""MDQ6VXNlcjQyODk0MzU5""")</f>
        <v>node_id:"MDQ6VXNlcjQyODk0MzU5"</v>
      </c>
      <c r="YW2" s="20" t="str">
        <f>IFERROR(__xludf.DUMMYFUNCTION("""COMPUTED_VALUE"""),"avatar_url:""https://avatars.githubusercontent.com/u/42894359?v=4""")</f>
        <v>avatar_url:"https://avatars.githubusercontent.com/u/42894359?v=4"</v>
      </c>
      <c r="YX2" s="20" t="str">
        <f>IFERROR(__xludf.DUMMYFUNCTION("""COMPUTED_VALUE"""),"gravatar_id:""""")</f>
        <v>gravatar_id:""</v>
      </c>
      <c r="YY2" s="20" t="str">
        <f>IFERROR(__xludf.DUMMYFUNCTION("""COMPUTED_VALUE"""),"url:""https://api.github.com/users/adixmr""")</f>
        <v>url:"https://api.github.com/users/adixmr"</v>
      </c>
      <c r="YZ2" s="20" t="str">
        <f>IFERROR(__xludf.DUMMYFUNCTION("""COMPUTED_VALUE"""),"html_url:""https://github.com/adixmr""")</f>
        <v>html_url:"https://github.com/adixmr"</v>
      </c>
      <c r="ZA2" s="20" t="str">
        <f>IFERROR(__xludf.DUMMYFUNCTION("""COMPUTED_VALUE"""),"followers_url:""https://api.github.com/users/adixmr/followers""")</f>
        <v>followers_url:"https://api.github.com/users/adixmr/followers"</v>
      </c>
      <c r="ZB2" s="20" t="str">
        <f>IFERROR(__xludf.DUMMYFUNCTION("""COMPUTED_VALUE"""),"following_url:""https://api.github.com/users/adixmr/following{/other_user}""")</f>
        <v>following_url:"https://api.github.com/users/adixmr/following{/other_user}"</v>
      </c>
      <c r="ZC2" s="20" t="str">
        <f>IFERROR(__xludf.DUMMYFUNCTION("""COMPUTED_VALUE"""),"gists_url:""https://api.github.com/users/adixmr/gists{/gist_id}""")</f>
        <v>gists_url:"https://api.github.com/users/adixmr/gists{/gist_id}"</v>
      </c>
      <c r="ZD2" s="20" t="str">
        <f>IFERROR(__xludf.DUMMYFUNCTION("""COMPUTED_VALUE"""),"starred_url:""https://api.github.com/users/adixmr/starred{/owner}{/repo}""")</f>
        <v>starred_url:"https://api.github.com/users/adixmr/starred{/owner}{/repo}"</v>
      </c>
      <c r="ZE2" s="20" t="str">
        <f>IFERROR(__xludf.DUMMYFUNCTION("""COMPUTED_VALUE"""),"subscriptions_url:""https://api.github.com/users/adixmr/subscriptions""")</f>
        <v>subscriptions_url:"https://api.github.com/users/adixmr/subscriptions"</v>
      </c>
      <c r="ZF2" s="20" t="str">
        <f>IFERROR(__xludf.DUMMYFUNCTION("""COMPUTED_VALUE"""),"organizations_url:""https://api.github.com/users/adixmr/orgs""")</f>
        <v>organizations_url:"https://api.github.com/users/adixmr/orgs"</v>
      </c>
      <c r="ZG2" s="20" t="str">
        <f>IFERROR(__xludf.DUMMYFUNCTION("""COMPUTED_VALUE"""),"repos_url:""https://api.github.com/users/adixmr/repos""")</f>
        <v>repos_url:"https://api.github.com/users/adixmr/repos"</v>
      </c>
      <c r="ZH2" s="20" t="str">
        <f>IFERROR(__xludf.DUMMYFUNCTION("""COMPUTED_VALUE"""),"events_url:""https://api.github.com/users/adixmr/events{/privacy}""")</f>
        <v>events_url:"https://api.github.com/users/adixmr/events{/privacy}"</v>
      </c>
      <c r="ZI2" s="20" t="str">
        <f>IFERROR(__xludf.DUMMYFUNCTION("""COMPUTED_VALUE"""),"received_events_url:""https://api.github.com/users/adixmr/received_events""")</f>
        <v>received_events_url:"https://api.github.com/users/adixmr/received_events"</v>
      </c>
      <c r="ZJ2" s="20" t="str">
        <f>IFERROR(__xludf.DUMMYFUNCTION("""COMPUTED_VALUE"""),"type:""User""")</f>
        <v>type:"User"</v>
      </c>
      <c r="ZK2" s="20" t="str">
        <f>IFERROR(__xludf.DUMMYFUNCTION("""COMPUTED_VALUE"""),"site_admin:false}")</f>
        <v>site_admin:false}</v>
      </c>
      <c r="ZL2" s="20" t="str">
        <f>IFERROR(__xludf.DUMMYFUNCTION("""COMPUTED_VALUE"""),"committer:{""login"":""adixmr""")</f>
        <v>committer:{"login":"adixmr"</v>
      </c>
      <c r="ZM2" s="20" t="str">
        <f>IFERROR(__xludf.DUMMYFUNCTION("""COMPUTED_VALUE"""),"id:42894359")</f>
        <v>id:42894359</v>
      </c>
      <c r="ZN2" s="20" t="str">
        <f>IFERROR(__xludf.DUMMYFUNCTION("""COMPUTED_VALUE"""),"node_id:""MDQ6VXNlcjQyODk0MzU5""")</f>
        <v>node_id:"MDQ6VXNlcjQyODk0MzU5"</v>
      </c>
      <c r="ZO2" s="20" t="str">
        <f>IFERROR(__xludf.DUMMYFUNCTION("""COMPUTED_VALUE"""),"avatar_url:""https://avatars.githubusercontent.com/u/42894359?v=4""")</f>
        <v>avatar_url:"https://avatars.githubusercontent.com/u/42894359?v=4"</v>
      </c>
      <c r="ZP2" s="20" t="str">
        <f>IFERROR(__xludf.DUMMYFUNCTION("""COMPUTED_VALUE"""),"gravatar_id:""""")</f>
        <v>gravatar_id:""</v>
      </c>
      <c r="ZQ2" s="20" t="str">
        <f>IFERROR(__xludf.DUMMYFUNCTION("""COMPUTED_VALUE"""),"url:""https://api.github.com/users/adixmr""")</f>
        <v>url:"https://api.github.com/users/adixmr"</v>
      </c>
      <c r="ZR2" s="20" t="str">
        <f>IFERROR(__xludf.DUMMYFUNCTION("""COMPUTED_VALUE"""),"html_url:""https://github.com/adixmr""")</f>
        <v>html_url:"https://github.com/adixmr"</v>
      </c>
      <c r="ZS2" s="20" t="str">
        <f>IFERROR(__xludf.DUMMYFUNCTION("""COMPUTED_VALUE"""),"followers_url:""https://api.github.com/users/adixmr/followers""")</f>
        <v>followers_url:"https://api.github.com/users/adixmr/followers"</v>
      </c>
      <c r="ZT2" s="20" t="str">
        <f>IFERROR(__xludf.DUMMYFUNCTION("""COMPUTED_VALUE"""),"following_url:""https://api.github.com/users/adixmr/following{/other_user}""")</f>
        <v>following_url:"https://api.github.com/users/adixmr/following{/other_user}"</v>
      </c>
      <c r="ZU2" s="20" t="str">
        <f>IFERROR(__xludf.DUMMYFUNCTION("""COMPUTED_VALUE"""),"gists_url:""https://api.github.com/users/adixmr/gists{/gist_id}""")</f>
        <v>gists_url:"https://api.github.com/users/adixmr/gists{/gist_id}"</v>
      </c>
      <c r="ZV2" s="20" t="str">
        <f>IFERROR(__xludf.DUMMYFUNCTION("""COMPUTED_VALUE"""),"starred_url:""https://api.github.com/users/adixmr/starred{/owner}{/repo}""")</f>
        <v>starred_url:"https://api.github.com/users/adixmr/starred{/owner}{/repo}"</v>
      </c>
      <c r="ZW2" s="20" t="str">
        <f>IFERROR(__xludf.DUMMYFUNCTION("""COMPUTED_VALUE"""),"subscriptions_url:""https://api.github.com/users/adixmr/subscriptions""")</f>
        <v>subscriptions_url:"https://api.github.com/users/adixmr/subscriptions"</v>
      </c>
      <c r="ZX2" s="20" t="str">
        <f>IFERROR(__xludf.DUMMYFUNCTION("""COMPUTED_VALUE"""),"organizations_url:""https://api.github.com/users/adixmr/orgs""")</f>
        <v>organizations_url:"https://api.github.com/users/adixmr/orgs"</v>
      </c>
      <c r="ZY2" s="20" t="str">
        <f>IFERROR(__xludf.DUMMYFUNCTION("""COMPUTED_VALUE"""),"repos_url:""https://api.github.com/users/adixmr/repos""")</f>
        <v>repos_url:"https://api.github.com/users/adixmr/repos"</v>
      </c>
      <c r="ZZ2" s="20" t="str">
        <f>IFERROR(__xludf.DUMMYFUNCTION("""COMPUTED_VALUE"""),"events_url:""https://api.github.com/users/adixmr/events{/privacy}""")</f>
        <v>events_url:"https://api.github.com/users/adixmr/events{/privacy}"</v>
      </c>
      <c r="AAA2" s="20" t="str">
        <f>IFERROR(__xludf.DUMMYFUNCTION("""COMPUTED_VALUE"""),"received_events_url:""https://api.github.com/users/adixmr/received_events""")</f>
        <v>received_events_url:"https://api.github.com/users/adixmr/received_events"</v>
      </c>
      <c r="AAB2" s="20" t="str">
        <f>IFERROR(__xludf.DUMMYFUNCTION("""COMPUTED_VALUE"""),"type:""User""")</f>
        <v>type:"User"</v>
      </c>
      <c r="AAC2" s="20" t="str">
        <f>IFERROR(__xludf.DUMMYFUNCTION("""COMPUTED_VALUE"""),"site_admin:false}")</f>
        <v>site_admin:false}</v>
      </c>
      <c r="AAD2" s="20" t="str">
        <f>IFERROR(__xludf.DUMMYFUNCTION("""COMPUTED_VALUE"""),"parents:[{""sha"":""bc20007e3d8f9cce215898cf1596c8e9e3081a61""")</f>
        <v>parents:[{"sha":"bc20007e3d8f9cce215898cf1596c8e9e3081a61"</v>
      </c>
      <c r="AAE2" s="20" t="str">
        <f>IFERROR(__xludf.DUMMYFUNCTION("""COMPUTED_VALUE"""),"url:""https://api.github.com/repos/adixmr/leetcode/commits/bc20007e3d8f9cce215898cf1596c8e9e3081a61""")</f>
        <v>url:"https://api.github.com/repos/adixmr/leetcode/commits/bc20007e3d8f9cce215898cf1596c8e9e3081a61"</v>
      </c>
      <c r="AAF2" s="20" t="str">
        <f>IFERROR(__xludf.DUMMYFUNCTION("""COMPUTED_VALUE"""),"html_url:""https://github.com/adixmr/leetcode/commit/bc20007e3d8f9cce215898cf1596c8e9e3081a61""}]}")</f>
        <v>html_url:"https://github.com/adixmr/leetcode/commit/bc20007e3d8f9cce215898cf1596c8e9e3081a61"}]}</v>
      </c>
      <c r="AAG2" s="20" t="str">
        <f>IFERROR(__xludf.DUMMYFUNCTION("""COMPUTED_VALUE"""),"{""sha"":""bc20007e3d8f9cce215898cf1596c8e9e3081a61""")</f>
        <v>{"sha":"bc20007e3d8f9cce215898cf1596c8e9e3081a61"</v>
      </c>
      <c r="AAH2" s="20" t="str">
        <f>IFERROR(__xludf.DUMMYFUNCTION("""COMPUTED_VALUE"""),"node_id:""C_kwDOG-OgStoAKGJjMjAwMDdlM2Q4ZjljY2UyMTU4OThjZjE1OTZjOGU5ZTMwODFhNjE""")</f>
        <v>node_id:"C_kwDOG-OgStoAKGJjMjAwMDdlM2Q4ZjljY2UyMTU4OThjZjE1OTZjOGU5ZTMwODFhNjE"</v>
      </c>
      <c r="AAI2" s="20" t="str">
        <f>IFERROR(__xludf.DUMMYFUNCTION("""COMPUTED_VALUE"""),"commit:{""author"":{""name"":""Aditya Rajput""")</f>
        <v>commit:{"author":{"name":"Aditya Rajput"</v>
      </c>
      <c r="AAJ2" s="20" t="str">
        <f>IFERROR(__xludf.DUMMYFUNCTION("""COMPUTED_VALUE"""),"email:""aditya.icf@gmail.com""")</f>
        <v>email:"aditya.icf@gmail.com"</v>
      </c>
      <c r="AAK2" s="20" t="str">
        <f>IFERROR(__xludf.DUMMYFUNCTION("""COMPUTED_VALUE"""),"date:""2022-12-17T12:30:01Z""}")</f>
        <v>date:"2022-12-17T12:30:01Z"}</v>
      </c>
      <c r="AAL2" s="20" t="str">
        <f>IFERROR(__xludf.DUMMYFUNCTION("""COMPUTED_VALUE"""),"committer:{""name"":""Aditya Rajput""")</f>
        <v>committer:{"name":"Aditya Rajput"</v>
      </c>
      <c r="AAM2" s="20" t="str">
        <f>IFERROR(__xludf.DUMMYFUNCTION("""COMPUTED_VALUE"""),"email:""aditya.icf@gmail.com""")</f>
        <v>email:"aditya.icf@gmail.com"</v>
      </c>
      <c r="AAN2" s="20" t="str">
        <f>IFERROR(__xludf.DUMMYFUNCTION("""COMPUTED_VALUE"""),"date:""2022-12-17T12:30:01Z""}")</f>
        <v>date:"2022-12-17T12:30:01Z"}</v>
      </c>
      <c r="AAO2" s="20" t="str">
        <f>IFERROR(__xludf.DUMMYFUNCTION("""COMPUTED_VALUE"""),"message:""Daily update by cron""")</f>
        <v>message:"Daily update by cron"</v>
      </c>
      <c r="AAP2" s="20" t="str">
        <f>IFERROR(__xludf.DUMMYFUNCTION("""COMPUTED_VALUE"""),"tree:{""sha"":""8a3ab8c4fa98ff9cf54b9969bb43f5bd6a582d51""")</f>
        <v>tree:{"sha":"8a3ab8c4fa98ff9cf54b9969bb43f5bd6a582d51"</v>
      </c>
      <c r="AAQ2" s="20" t="str">
        <f>IFERROR(__xludf.DUMMYFUNCTION("""COMPUTED_VALUE"""),"url:""https://api.github.com/repos/adixmr/leetcode/git/trees/8a3ab8c4fa98ff9cf54b9969bb43f5bd6a582d51""}")</f>
        <v>url:"https://api.github.com/repos/adixmr/leetcode/git/trees/8a3ab8c4fa98ff9cf54b9969bb43f5bd6a582d51"}</v>
      </c>
      <c r="AAR2" s="20" t="str">
        <f>IFERROR(__xludf.DUMMYFUNCTION("""COMPUTED_VALUE"""),"url:""https://api.github.com/repos/adixmr/leetcode/git/commits/bc20007e3d8f9cce215898cf1596c8e9e3081a61""")</f>
        <v>url:"https://api.github.com/repos/adixmr/leetcode/git/commits/bc20007e3d8f9cce215898cf1596c8e9e3081a61"</v>
      </c>
      <c r="AAS2" s="20" t="str">
        <f>IFERROR(__xludf.DUMMYFUNCTION("""COMPUTED_VALUE"""),"comment_count:0")</f>
        <v>comment_count:0</v>
      </c>
      <c r="AAT2" s="20" t="str">
        <f>IFERROR(__xludf.DUMMYFUNCTION("""COMPUTED_VALUE"""),"verification:{""verified"":false")</f>
        <v>verification:{"verified":false</v>
      </c>
      <c r="AAU2" s="20" t="str">
        <f>IFERROR(__xludf.DUMMYFUNCTION("""COMPUTED_VALUE"""),"reason:""unsigned""")</f>
        <v>reason:"unsigned"</v>
      </c>
      <c r="AAV2" s="20" t="str">
        <f>IFERROR(__xludf.DUMMYFUNCTION("""COMPUTED_VALUE"""),"signature:null")</f>
        <v>signature:null</v>
      </c>
      <c r="AAW2" s="20" t="str">
        <f>IFERROR(__xludf.DUMMYFUNCTION("""COMPUTED_VALUE"""),"payload:null}}")</f>
        <v>payload:null}}</v>
      </c>
      <c r="AAX2" s="20" t="str">
        <f>IFERROR(__xludf.DUMMYFUNCTION("""COMPUTED_VALUE"""),"url:""https://api.github.com/repos/adixmr/leetcode/commits/bc20007e3d8f9cce215898cf1596c8e9e3081a61""")</f>
        <v>url:"https://api.github.com/repos/adixmr/leetcode/commits/bc20007e3d8f9cce215898cf1596c8e9e3081a61"</v>
      </c>
      <c r="AAY2" s="20" t="str">
        <f>IFERROR(__xludf.DUMMYFUNCTION("""COMPUTED_VALUE"""),"html_url:""https://github.com/adixmr/leetcode/commit/bc20007e3d8f9cce215898cf1596c8e9e3081a61""")</f>
        <v>html_url:"https://github.com/adixmr/leetcode/commit/bc20007e3d8f9cce215898cf1596c8e9e3081a61"</v>
      </c>
      <c r="AAZ2" s="20" t="str">
        <f>IFERROR(__xludf.DUMMYFUNCTION("""COMPUTED_VALUE"""),"comments_url:""https://api.github.com/repos/adixmr/leetcode/commits/bc20007e3d8f9cce215898cf1596c8e9e3081a61/comments""")</f>
        <v>comments_url:"https://api.github.com/repos/adixmr/leetcode/commits/bc20007e3d8f9cce215898cf1596c8e9e3081a61/comments"</v>
      </c>
      <c r="ABA2" s="20" t="str">
        <f>IFERROR(__xludf.DUMMYFUNCTION("""COMPUTED_VALUE"""),"author:{""login"":""adixmr""")</f>
        <v>author:{"login":"adixmr"</v>
      </c>
      <c r="ABB2" s="20" t="str">
        <f>IFERROR(__xludf.DUMMYFUNCTION("""COMPUTED_VALUE"""),"id:42894359")</f>
        <v>id:42894359</v>
      </c>
      <c r="ABC2" s="20" t="str">
        <f>IFERROR(__xludf.DUMMYFUNCTION("""COMPUTED_VALUE"""),"node_id:""MDQ6VXNlcjQyODk0MzU5""")</f>
        <v>node_id:"MDQ6VXNlcjQyODk0MzU5"</v>
      </c>
      <c r="ABD2" s="20" t="str">
        <f>IFERROR(__xludf.DUMMYFUNCTION("""COMPUTED_VALUE"""),"avatar_url:""https://avatars.githubusercontent.com/u/42894359?v=4""")</f>
        <v>avatar_url:"https://avatars.githubusercontent.com/u/42894359?v=4"</v>
      </c>
      <c r="ABE2" s="20" t="str">
        <f>IFERROR(__xludf.DUMMYFUNCTION("""COMPUTED_VALUE"""),"gravatar_id:""""")</f>
        <v>gravatar_id:""</v>
      </c>
      <c r="ABF2" s="20" t="str">
        <f>IFERROR(__xludf.DUMMYFUNCTION("""COMPUTED_VALUE"""),"url:""https://api.github.com/users/adixmr""")</f>
        <v>url:"https://api.github.com/users/adixmr"</v>
      </c>
      <c r="ABG2" s="20" t="str">
        <f>IFERROR(__xludf.DUMMYFUNCTION("""COMPUTED_VALUE"""),"html_url:""https://github.com/adixmr""")</f>
        <v>html_url:"https://github.com/adixmr"</v>
      </c>
      <c r="ABH2" s="20" t="str">
        <f>IFERROR(__xludf.DUMMYFUNCTION("""COMPUTED_VALUE"""),"followers_url:""https://api.github.com/users/adixmr/followers""")</f>
        <v>followers_url:"https://api.github.com/users/adixmr/followers"</v>
      </c>
      <c r="ABI2" s="20" t="str">
        <f>IFERROR(__xludf.DUMMYFUNCTION("""COMPUTED_VALUE"""),"following_url:""https://api.github.com/users/adixmr/following{/other_user}""")</f>
        <v>following_url:"https://api.github.com/users/adixmr/following{/other_user}"</v>
      </c>
      <c r="ABJ2" s="20" t="str">
        <f>IFERROR(__xludf.DUMMYFUNCTION("""COMPUTED_VALUE"""),"gists_url:""https://api.github.com/users/adixmr/gists{/gist_id}""")</f>
        <v>gists_url:"https://api.github.com/users/adixmr/gists{/gist_id}"</v>
      </c>
      <c r="ABK2" s="20" t="str">
        <f>IFERROR(__xludf.DUMMYFUNCTION("""COMPUTED_VALUE"""),"starred_url:""https://api.github.com/users/adixmr/starred{/owner}{/repo}""")</f>
        <v>starred_url:"https://api.github.com/users/adixmr/starred{/owner}{/repo}"</v>
      </c>
      <c r="ABL2" s="20" t="str">
        <f>IFERROR(__xludf.DUMMYFUNCTION("""COMPUTED_VALUE"""),"subscriptions_url:""https://api.github.com/users/adixmr/subscriptions""")</f>
        <v>subscriptions_url:"https://api.github.com/users/adixmr/subscriptions"</v>
      </c>
      <c r="ABM2" s="20" t="str">
        <f>IFERROR(__xludf.DUMMYFUNCTION("""COMPUTED_VALUE"""),"organizations_url:""https://api.github.com/users/adixmr/orgs""")</f>
        <v>organizations_url:"https://api.github.com/users/adixmr/orgs"</v>
      </c>
      <c r="ABN2" s="20" t="str">
        <f>IFERROR(__xludf.DUMMYFUNCTION("""COMPUTED_VALUE"""),"repos_url:""https://api.github.com/users/adixmr/repos""")</f>
        <v>repos_url:"https://api.github.com/users/adixmr/repos"</v>
      </c>
      <c r="ABO2" s="20" t="str">
        <f>IFERROR(__xludf.DUMMYFUNCTION("""COMPUTED_VALUE"""),"events_url:""https://api.github.com/users/adixmr/events{/privacy}""")</f>
        <v>events_url:"https://api.github.com/users/adixmr/events{/privacy}"</v>
      </c>
      <c r="ABP2" s="20" t="str">
        <f>IFERROR(__xludf.DUMMYFUNCTION("""COMPUTED_VALUE"""),"received_events_url:""https://api.github.com/users/adixmr/received_events""")</f>
        <v>received_events_url:"https://api.github.com/users/adixmr/received_events"</v>
      </c>
      <c r="ABQ2" s="20" t="str">
        <f>IFERROR(__xludf.DUMMYFUNCTION("""COMPUTED_VALUE"""),"type:""User""")</f>
        <v>type:"User"</v>
      </c>
      <c r="ABR2" s="20" t="str">
        <f>IFERROR(__xludf.DUMMYFUNCTION("""COMPUTED_VALUE"""),"site_admin:false}")</f>
        <v>site_admin:false}</v>
      </c>
      <c r="ABS2" s="20" t="str">
        <f>IFERROR(__xludf.DUMMYFUNCTION("""COMPUTED_VALUE"""),"committer:{""login"":""adixmr""")</f>
        <v>committer:{"login":"adixmr"</v>
      </c>
      <c r="ABT2" s="20" t="str">
        <f>IFERROR(__xludf.DUMMYFUNCTION("""COMPUTED_VALUE"""),"id:42894359")</f>
        <v>id:42894359</v>
      </c>
      <c r="ABU2" s="20" t="str">
        <f>IFERROR(__xludf.DUMMYFUNCTION("""COMPUTED_VALUE"""),"node_id:""MDQ6VXNlcjQyODk0MzU5""")</f>
        <v>node_id:"MDQ6VXNlcjQyODk0MzU5"</v>
      </c>
      <c r="ABV2" s="20" t="str">
        <f>IFERROR(__xludf.DUMMYFUNCTION("""COMPUTED_VALUE"""),"avatar_url:""https://avatars.githubusercontent.com/u/42894359?v=4""")</f>
        <v>avatar_url:"https://avatars.githubusercontent.com/u/42894359?v=4"</v>
      </c>
      <c r="ABW2" s="20" t="str">
        <f>IFERROR(__xludf.DUMMYFUNCTION("""COMPUTED_VALUE"""),"gravatar_id:""""")</f>
        <v>gravatar_id:""</v>
      </c>
      <c r="ABX2" s="20" t="str">
        <f>IFERROR(__xludf.DUMMYFUNCTION("""COMPUTED_VALUE"""),"url:""https://api.github.com/users/adixmr""")</f>
        <v>url:"https://api.github.com/users/adixmr"</v>
      </c>
      <c r="ABY2" s="20" t="str">
        <f>IFERROR(__xludf.DUMMYFUNCTION("""COMPUTED_VALUE"""),"html_url:""https://github.com/adixmr""")</f>
        <v>html_url:"https://github.com/adixmr"</v>
      </c>
      <c r="ABZ2" s="20" t="str">
        <f>IFERROR(__xludf.DUMMYFUNCTION("""COMPUTED_VALUE"""),"followers_url:""https://api.github.com/users/adixmr/followers""")</f>
        <v>followers_url:"https://api.github.com/users/adixmr/followers"</v>
      </c>
      <c r="ACA2" s="20" t="str">
        <f>IFERROR(__xludf.DUMMYFUNCTION("""COMPUTED_VALUE"""),"following_url:""https://api.github.com/users/adixmr/following{/other_user}""")</f>
        <v>following_url:"https://api.github.com/users/adixmr/following{/other_user}"</v>
      </c>
      <c r="ACB2" s="20" t="str">
        <f>IFERROR(__xludf.DUMMYFUNCTION("""COMPUTED_VALUE"""),"gists_url:""https://api.github.com/users/adixmr/gists{/gist_id}""")</f>
        <v>gists_url:"https://api.github.com/users/adixmr/gists{/gist_id}"</v>
      </c>
      <c r="ACC2" s="20" t="str">
        <f>IFERROR(__xludf.DUMMYFUNCTION("""COMPUTED_VALUE"""),"starred_url:""https://api.github.com/users/adixmr/starred{/owner}{/repo}""")</f>
        <v>starred_url:"https://api.github.com/users/adixmr/starred{/owner}{/repo}"</v>
      </c>
      <c r="ACD2" s="20" t="str">
        <f>IFERROR(__xludf.DUMMYFUNCTION("""COMPUTED_VALUE"""),"subscriptions_url:""https://api.github.com/users/adixmr/subscriptions""")</f>
        <v>subscriptions_url:"https://api.github.com/users/adixmr/subscriptions"</v>
      </c>
      <c r="ACE2" s="20" t="str">
        <f>IFERROR(__xludf.DUMMYFUNCTION("""COMPUTED_VALUE"""),"organizations_url:""https://api.github.com/users/adixmr/orgs""")</f>
        <v>organizations_url:"https://api.github.com/users/adixmr/orgs"</v>
      </c>
      <c r="ACF2" s="20" t="str">
        <f>IFERROR(__xludf.DUMMYFUNCTION("""COMPUTED_VALUE"""),"repos_url:""https://api.github.com/users/adixmr/repos""")</f>
        <v>repos_url:"https://api.github.com/users/adixmr/repos"</v>
      </c>
      <c r="ACG2" s="20" t="str">
        <f>IFERROR(__xludf.DUMMYFUNCTION("""COMPUTED_VALUE"""),"events_url:""https://api.github.com/users/adixmr/events{/privacy}""")</f>
        <v>events_url:"https://api.github.com/users/adixmr/events{/privacy}"</v>
      </c>
      <c r="ACH2" s="20" t="str">
        <f>IFERROR(__xludf.DUMMYFUNCTION("""COMPUTED_VALUE"""),"received_events_url:""https://api.github.com/users/adixmr/received_events""")</f>
        <v>received_events_url:"https://api.github.com/users/adixmr/received_events"</v>
      </c>
      <c r="ACI2" s="20" t="str">
        <f>IFERROR(__xludf.DUMMYFUNCTION("""COMPUTED_VALUE"""),"type:""User""")</f>
        <v>type:"User"</v>
      </c>
      <c r="ACJ2" s="20" t="str">
        <f>IFERROR(__xludf.DUMMYFUNCTION("""COMPUTED_VALUE"""),"site_admin:false}")</f>
        <v>site_admin:false}</v>
      </c>
      <c r="ACK2" s="20" t="str">
        <f>IFERROR(__xludf.DUMMYFUNCTION("""COMPUTED_VALUE"""),"parents:[{""sha"":""9d9763519d905bda687690240f88d687f68b3699""")</f>
        <v>parents:[{"sha":"9d9763519d905bda687690240f88d687f68b3699"</v>
      </c>
      <c r="ACL2" s="20" t="str">
        <f>IFERROR(__xludf.DUMMYFUNCTION("""COMPUTED_VALUE"""),"url:""https://api.github.com/repos/adixmr/leetcode/commits/9d9763519d905bda687690240f88d687f68b3699""")</f>
        <v>url:"https://api.github.com/repos/adixmr/leetcode/commits/9d9763519d905bda687690240f88d687f68b3699"</v>
      </c>
      <c r="ACM2" s="20" t="str">
        <f>IFERROR(__xludf.DUMMYFUNCTION("""COMPUTED_VALUE"""),"html_url:""https://github.com/adixmr/leetcode/commit/9d9763519d905bda687690240f88d687f68b3699""}]}")</f>
        <v>html_url:"https://github.com/adixmr/leetcode/commit/9d9763519d905bda687690240f88d687f68b3699"}]}</v>
      </c>
      <c r="ACN2" s="20" t="str">
        <f>IFERROR(__xludf.DUMMYFUNCTION("""COMPUTED_VALUE"""),"{""sha"":""9d9763519d905bda687690240f88d687f68b3699""")</f>
        <v>{"sha":"9d9763519d905bda687690240f88d687f68b3699"</v>
      </c>
      <c r="ACO2" s="20" t="str">
        <f>IFERROR(__xludf.DUMMYFUNCTION("""COMPUTED_VALUE"""),"node_id:""C_kwDOG-OgStoAKDlkOTc2MzUxOWQ5MDViZGE2ODc2OTAyNDBmODhkNjg3ZjY4YjM2OTk""")</f>
        <v>node_id:"C_kwDOG-OgStoAKDlkOTc2MzUxOWQ5MDViZGE2ODc2OTAyNDBmODhkNjg3ZjY4YjM2OTk"</v>
      </c>
      <c r="ACP2" s="20" t="str">
        <f>IFERROR(__xludf.DUMMYFUNCTION("""COMPUTED_VALUE"""),"commit:{""author"":{""name"":""Aditya Rajput""")</f>
        <v>commit:{"author":{"name":"Aditya Rajput"</v>
      </c>
      <c r="ACQ2" s="20" t="str">
        <f>IFERROR(__xludf.DUMMYFUNCTION("""COMPUTED_VALUE"""),"email:""aditya.icf@gmail.com""")</f>
        <v>email:"aditya.icf@gmail.com"</v>
      </c>
      <c r="ACR2" s="20" t="str">
        <f>IFERROR(__xludf.DUMMYFUNCTION("""COMPUTED_VALUE"""),"date:""2022-12-16T12:30:01Z""}")</f>
        <v>date:"2022-12-16T12:30:01Z"}</v>
      </c>
      <c r="ACS2" s="20" t="str">
        <f>IFERROR(__xludf.DUMMYFUNCTION("""COMPUTED_VALUE"""),"committer:{""name"":""Aditya Rajput""")</f>
        <v>committer:{"name":"Aditya Rajput"</v>
      </c>
      <c r="ACT2" s="20" t="str">
        <f>IFERROR(__xludf.DUMMYFUNCTION("""COMPUTED_VALUE"""),"email:""aditya.icf@gmail.com""")</f>
        <v>email:"aditya.icf@gmail.com"</v>
      </c>
      <c r="ACU2" s="20" t="str">
        <f>IFERROR(__xludf.DUMMYFUNCTION("""COMPUTED_VALUE"""),"date:""2022-12-16T12:30:01Z""}")</f>
        <v>date:"2022-12-16T12:30:01Z"}</v>
      </c>
      <c r="ACV2" s="20" t="str">
        <f>IFERROR(__xludf.DUMMYFUNCTION("""COMPUTED_VALUE"""),"message:""Daily update by cron""")</f>
        <v>message:"Daily update by cron"</v>
      </c>
      <c r="ACW2" s="20" t="str">
        <f>IFERROR(__xludf.DUMMYFUNCTION("""COMPUTED_VALUE"""),"tree:{""sha"":""97ae1106a1b3072b6f72070eb7ef3ee9ce104aa2""")</f>
        <v>tree:{"sha":"97ae1106a1b3072b6f72070eb7ef3ee9ce104aa2"</v>
      </c>
      <c r="ACX2" s="20" t="str">
        <f>IFERROR(__xludf.DUMMYFUNCTION("""COMPUTED_VALUE"""),"url:""https://api.github.com/repos/adixmr/leetcode/git/trees/97ae1106a1b3072b6f72070eb7ef3ee9ce104aa2""}")</f>
        <v>url:"https://api.github.com/repos/adixmr/leetcode/git/trees/97ae1106a1b3072b6f72070eb7ef3ee9ce104aa2"}</v>
      </c>
      <c r="ACY2" s="20" t="str">
        <f>IFERROR(__xludf.DUMMYFUNCTION("""COMPUTED_VALUE"""),"url:""https://api.github.com/repos/adixmr/leetcode/git/commits/9d9763519d905bda687690240f88d687f68b3699""")</f>
        <v>url:"https://api.github.com/repos/adixmr/leetcode/git/commits/9d9763519d905bda687690240f88d687f68b3699"</v>
      </c>
      <c r="ACZ2" s="20" t="str">
        <f>IFERROR(__xludf.DUMMYFUNCTION("""COMPUTED_VALUE"""),"comment_count:0")</f>
        <v>comment_count:0</v>
      </c>
      <c r="ADA2" s="20" t="str">
        <f>IFERROR(__xludf.DUMMYFUNCTION("""COMPUTED_VALUE"""),"verification:{""verified"":false")</f>
        <v>verification:{"verified":false</v>
      </c>
      <c r="ADB2" s="20" t="str">
        <f>IFERROR(__xludf.DUMMYFUNCTION("""COMPUTED_VALUE"""),"reason:""unsigned""")</f>
        <v>reason:"unsigned"</v>
      </c>
      <c r="ADC2" s="20" t="str">
        <f>IFERROR(__xludf.DUMMYFUNCTION("""COMPUTED_VALUE"""),"signature:null")</f>
        <v>signature:null</v>
      </c>
      <c r="ADD2" s="20" t="str">
        <f>IFERROR(__xludf.DUMMYFUNCTION("""COMPUTED_VALUE"""),"payload:null}}")</f>
        <v>payload:null}}</v>
      </c>
      <c r="ADE2" s="20" t="str">
        <f>IFERROR(__xludf.DUMMYFUNCTION("""COMPUTED_VALUE"""),"url:""https://api.github.com/repos/adixmr/leetcode/commits/9d9763519d905bda687690240f88d687f68b3699""")</f>
        <v>url:"https://api.github.com/repos/adixmr/leetcode/commits/9d9763519d905bda687690240f88d687f68b3699"</v>
      </c>
      <c r="ADF2" s="20" t="str">
        <f>IFERROR(__xludf.DUMMYFUNCTION("""COMPUTED_VALUE"""),"html_url:""https://github.com/adixmr/leetcode/commit/9d9763519d905bda687690240f88d687f68b3699""")</f>
        <v>html_url:"https://github.com/adixmr/leetcode/commit/9d9763519d905bda687690240f88d687f68b3699"</v>
      </c>
      <c r="ADG2" s="20" t="str">
        <f>IFERROR(__xludf.DUMMYFUNCTION("""COMPUTED_VALUE"""),"comments_url:""https://api.github.com/repos/adixmr/leetcode/commits/9d9763519d905bda687690240f88d687f68b3699/comments""")</f>
        <v>comments_url:"https://api.github.com/repos/adixmr/leetcode/commits/9d9763519d905bda687690240f88d687f68b3699/comments"</v>
      </c>
      <c r="ADH2" s="20" t="str">
        <f>IFERROR(__xludf.DUMMYFUNCTION("""COMPUTED_VALUE"""),"author:{""login"":""adixmr""")</f>
        <v>author:{"login":"adixmr"</v>
      </c>
      <c r="ADI2" s="20" t="str">
        <f>IFERROR(__xludf.DUMMYFUNCTION("""COMPUTED_VALUE"""),"id:42894359")</f>
        <v>id:42894359</v>
      </c>
      <c r="ADJ2" s="20" t="str">
        <f>IFERROR(__xludf.DUMMYFUNCTION("""COMPUTED_VALUE"""),"node_id:""MDQ6VXNlcjQyODk0MzU5""")</f>
        <v>node_id:"MDQ6VXNlcjQyODk0MzU5"</v>
      </c>
      <c r="ADK2" s="20" t="str">
        <f>IFERROR(__xludf.DUMMYFUNCTION("""COMPUTED_VALUE"""),"avatar_url:""https://avatars.githubusercontent.com/u/42894359?v=4""")</f>
        <v>avatar_url:"https://avatars.githubusercontent.com/u/42894359?v=4"</v>
      </c>
      <c r="ADL2" s="20" t="str">
        <f>IFERROR(__xludf.DUMMYFUNCTION("""COMPUTED_VALUE"""),"gravatar_id:""""")</f>
        <v>gravatar_id:""</v>
      </c>
      <c r="ADM2" s="20" t="str">
        <f>IFERROR(__xludf.DUMMYFUNCTION("""COMPUTED_VALUE"""),"url:""https://api.github.com/users/adixmr""")</f>
        <v>url:"https://api.github.com/users/adixmr"</v>
      </c>
      <c r="ADN2" s="20" t="str">
        <f>IFERROR(__xludf.DUMMYFUNCTION("""COMPUTED_VALUE"""),"html_url:""https://github.com/adixmr""")</f>
        <v>html_url:"https://github.com/adixmr"</v>
      </c>
      <c r="ADO2" s="20" t="str">
        <f>IFERROR(__xludf.DUMMYFUNCTION("""COMPUTED_VALUE"""),"followers_url:""https://api.github.com/users/adixmr/followers""")</f>
        <v>followers_url:"https://api.github.com/users/adixmr/followers"</v>
      </c>
      <c r="ADP2" s="20" t="str">
        <f>IFERROR(__xludf.DUMMYFUNCTION("""COMPUTED_VALUE"""),"following_url:""https://api.github.com/users/adixmr/following{/other_user}""")</f>
        <v>following_url:"https://api.github.com/users/adixmr/following{/other_user}"</v>
      </c>
      <c r="ADQ2" s="20" t="str">
        <f>IFERROR(__xludf.DUMMYFUNCTION("""COMPUTED_VALUE"""),"gists_url:""https://api.github.com/users/adixmr/gists{/gist_id}""")</f>
        <v>gists_url:"https://api.github.com/users/adixmr/gists{/gist_id}"</v>
      </c>
      <c r="ADR2" s="20" t="str">
        <f>IFERROR(__xludf.DUMMYFUNCTION("""COMPUTED_VALUE"""),"starred_url:""https://api.github.com/users/adixmr/starred{/owner}{/repo}""")</f>
        <v>starred_url:"https://api.github.com/users/adixmr/starred{/owner}{/repo}"</v>
      </c>
      <c r="ADS2" s="20" t="str">
        <f>IFERROR(__xludf.DUMMYFUNCTION("""COMPUTED_VALUE"""),"subscriptions_url:""https://api.github.com/users/adixmr/subscriptions""")</f>
        <v>subscriptions_url:"https://api.github.com/users/adixmr/subscriptions"</v>
      </c>
      <c r="ADT2" s="20" t="str">
        <f>IFERROR(__xludf.DUMMYFUNCTION("""COMPUTED_VALUE"""),"organizations_url:""https://api.github.com/users/adixmr/orgs""")</f>
        <v>organizations_url:"https://api.github.com/users/adixmr/orgs"</v>
      </c>
      <c r="ADU2" s="20" t="str">
        <f>IFERROR(__xludf.DUMMYFUNCTION("""COMPUTED_VALUE"""),"repos_url:""https://api.github.com/users/adixmr/repos""")</f>
        <v>repos_url:"https://api.github.com/users/adixmr/repos"</v>
      </c>
      <c r="ADV2" s="20" t="str">
        <f>IFERROR(__xludf.DUMMYFUNCTION("""COMPUTED_VALUE"""),"events_url:""https://api.github.com/users/adixmr/events{/privacy}""")</f>
        <v>events_url:"https://api.github.com/users/adixmr/events{/privacy}"</v>
      </c>
      <c r="ADW2" s="20" t="str">
        <f>IFERROR(__xludf.DUMMYFUNCTION("""COMPUTED_VALUE"""),"received_events_url:""https://api.github.com/users/adixmr/received_events""")</f>
        <v>received_events_url:"https://api.github.com/users/adixmr/received_events"</v>
      </c>
      <c r="ADX2" s="20" t="str">
        <f>IFERROR(__xludf.DUMMYFUNCTION("""COMPUTED_VALUE"""),"type:""User""")</f>
        <v>type:"User"</v>
      </c>
      <c r="ADY2" s="20" t="str">
        <f>IFERROR(__xludf.DUMMYFUNCTION("""COMPUTED_VALUE"""),"site_admin:false}")</f>
        <v>site_admin:false}</v>
      </c>
      <c r="ADZ2" s="20" t="str">
        <f>IFERROR(__xludf.DUMMYFUNCTION("""COMPUTED_VALUE"""),"committer:{""login"":""adixmr""")</f>
        <v>committer:{"login":"adixmr"</v>
      </c>
      <c r="AEA2" s="20" t="str">
        <f>IFERROR(__xludf.DUMMYFUNCTION("""COMPUTED_VALUE"""),"id:42894359")</f>
        <v>id:42894359</v>
      </c>
      <c r="AEB2" s="20" t="str">
        <f>IFERROR(__xludf.DUMMYFUNCTION("""COMPUTED_VALUE"""),"node_id:""MDQ6VXNlcjQyODk0MzU5""")</f>
        <v>node_id:"MDQ6VXNlcjQyODk0MzU5"</v>
      </c>
      <c r="AEC2" s="20" t="str">
        <f>IFERROR(__xludf.DUMMYFUNCTION("""COMPUTED_VALUE"""),"avatar_url:""https://avatars.githubusercontent.com/u/42894359?v=4""")</f>
        <v>avatar_url:"https://avatars.githubusercontent.com/u/42894359?v=4"</v>
      </c>
      <c r="AED2" s="20" t="str">
        <f>IFERROR(__xludf.DUMMYFUNCTION("""COMPUTED_VALUE"""),"gravatar_id:""""")</f>
        <v>gravatar_id:""</v>
      </c>
      <c r="AEE2" s="20" t="str">
        <f>IFERROR(__xludf.DUMMYFUNCTION("""COMPUTED_VALUE"""),"url:""https://api.github.com/users/adixmr""")</f>
        <v>url:"https://api.github.com/users/adixmr"</v>
      </c>
      <c r="AEF2" s="20" t="str">
        <f>IFERROR(__xludf.DUMMYFUNCTION("""COMPUTED_VALUE"""),"html_url:""https://github.com/adixmr""")</f>
        <v>html_url:"https://github.com/adixmr"</v>
      </c>
      <c r="AEG2" s="20" t="str">
        <f>IFERROR(__xludf.DUMMYFUNCTION("""COMPUTED_VALUE"""),"followers_url:""https://api.github.com/users/adixmr/followers""")</f>
        <v>followers_url:"https://api.github.com/users/adixmr/followers"</v>
      </c>
      <c r="AEH2" s="20" t="str">
        <f>IFERROR(__xludf.DUMMYFUNCTION("""COMPUTED_VALUE"""),"following_url:""https://api.github.com/users/adixmr/following{/other_user}""")</f>
        <v>following_url:"https://api.github.com/users/adixmr/following{/other_user}"</v>
      </c>
      <c r="AEI2" s="20" t="str">
        <f>IFERROR(__xludf.DUMMYFUNCTION("""COMPUTED_VALUE"""),"gists_url:""https://api.github.com/users/adixmr/gists{/gist_id}""")</f>
        <v>gists_url:"https://api.github.com/users/adixmr/gists{/gist_id}"</v>
      </c>
      <c r="AEJ2" s="20" t="str">
        <f>IFERROR(__xludf.DUMMYFUNCTION("""COMPUTED_VALUE"""),"starred_url:""https://api.github.com/users/adixmr/starred{/owner}{/repo}""")</f>
        <v>starred_url:"https://api.github.com/users/adixmr/starred{/owner}{/repo}"</v>
      </c>
      <c r="AEK2" s="20" t="str">
        <f>IFERROR(__xludf.DUMMYFUNCTION("""COMPUTED_VALUE"""),"subscriptions_url:""https://api.github.com/users/adixmr/subscriptions""")</f>
        <v>subscriptions_url:"https://api.github.com/users/adixmr/subscriptions"</v>
      </c>
      <c r="AEL2" s="20" t="str">
        <f>IFERROR(__xludf.DUMMYFUNCTION("""COMPUTED_VALUE"""),"organizations_url:""https://api.github.com/users/adixmr/orgs""")</f>
        <v>organizations_url:"https://api.github.com/users/adixmr/orgs"</v>
      </c>
      <c r="AEM2" s="20" t="str">
        <f>IFERROR(__xludf.DUMMYFUNCTION("""COMPUTED_VALUE"""),"repos_url:""https://api.github.com/users/adixmr/repos""")</f>
        <v>repos_url:"https://api.github.com/users/adixmr/repos"</v>
      </c>
      <c r="AEN2" s="20" t="str">
        <f>IFERROR(__xludf.DUMMYFUNCTION("""COMPUTED_VALUE"""),"events_url:""https://api.github.com/users/adixmr/events{/privacy}""")</f>
        <v>events_url:"https://api.github.com/users/adixmr/events{/privacy}"</v>
      </c>
      <c r="AEO2" s="20" t="str">
        <f>IFERROR(__xludf.DUMMYFUNCTION("""COMPUTED_VALUE"""),"received_events_url:""https://api.github.com/users/adixmr/received_events""")</f>
        <v>received_events_url:"https://api.github.com/users/adixmr/received_events"</v>
      </c>
      <c r="AEP2" s="20" t="str">
        <f>IFERROR(__xludf.DUMMYFUNCTION("""COMPUTED_VALUE"""),"type:""User""")</f>
        <v>type:"User"</v>
      </c>
      <c r="AEQ2" s="20" t="str">
        <f>IFERROR(__xludf.DUMMYFUNCTION("""COMPUTED_VALUE"""),"site_admin:false}")</f>
        <v>site_admin:false}</v>
      </c>
      <c r="AER2" s="20" t="str">
        <f>IFERROR(__xludf.DUMMYFUNCTION("""COMPUTED_VALUE"""),"parents:[{""sha"":""bd5c8dade44f00758a8826b1be2f4daae18c0972""")</f>
        <v>parents:[{"sha":"bd5c8dade44f00758a8826b1be2f4daae18c0972"</v>
      </c>
      <c r="AES2" s="20" t="str">
        <f>IFERROR(__xludf.DUMMYFUNCTION("""COMPUTED_VALUE"""),"url:""https://api.github.com/repos/adixmr/leetcode/commits/bd5c8dade44f00758a8826b1be2f4daae18c0972""")</f>
        <v>url:"https://api.github.com/repos/adixmr/leetcode/commits/bd5c8dade44f00758a8826b1be2f4daae18c0972"</v>
      </c>
      <c r="AET2" s="20" t="str">
        <f>IFERROR(__xludf.DUMMYFUNCTION("""COMPUTED_VALUE"""),"html_url:""https://github.com/adixmr/leetcode/commit/bd5c8dade44f00758a8826b1be2f4daae18c0972""}]}")</f>
        <v>html_url:"https://github.com/adixmr/leetcode/commit/bd5c8dade44f00758a8826b1be2f4daae18c0972"}]}</v>
      </c>
      <c r="AEU2" s="20" t="str">
        <f>IFERROR(__xludf.DUMMYFUNCTION("""COMPUTED_VALUE"""),"{""sha"":""bd5c8dade44f00758a8826b1be2f4daae18c0972""")</f>
        <v>{"sha":"bd5c8dade44f00758a8826b1be2f4daae18c0972"</v>
      </c>
      <c r="AEV2" s="20" t="str">
        <f>IFERROR(__xludf.DUMMYFUNCTION("""COMPUTED_VALUE"""),"node_id:""C_kwDOG-OgStoAKGJkNWM4ZGFkZTQ0ZjAwNzU4YTg4MjZiMWJlMmY0ZGFhZTE4YzA5NzI""")</f>
        <v>node_id:"C_kwDOG-OgStoAKGJkNWM4ZGFkZTQ0ZjAwNzU4YTg4MjZiMWJlMmY0ZGFhZTE4YzA5NzI"</v>
      </c>
      <c r="AEW2" s="20" t="str">
        <f>IFERROR(__xludf.DUMMYFUNCTION("""COMPUTED_VALUE"""),"commit:{""author"":{""name"":""Aditya Rajput""")</f>
        <v>commit:{"author":{"name":"Aditya Rajput"</v>
      </c>
      <c r="AEX2" s="20" t="str">
        <f>IFERROR(__xludf.DUMMYFUNCTION("""COMPUTED_VALUE"""),"email:""aditya.icf@gmail.com""")</f>
        <v>email:"aditya.icf@gmail.com"</v>
      </c>
      <c r="AEY2" s="20" t="str">
        <f>IFERROR(__xludf.DUMMYFUNCTION("""COMPUTED_VALUE"""),"date:""2022-12-15T12:30:01Z""}")</f>
        <v>date:"2022-12-15T12:30:01Z"}</v>
      </c>
      <c r="AEZ2" s="20" t="str">
        <f>IFERROR(__xludf.DUMMYFUNCTION("""COMPUTED_VALUE"""),"committer:{""name"":""Aditya Rajput""")</f>
        <v>committer:{"name":"Aditya Rajput"</v>
      </c>
      <c r="AFA2" s="20" t="str">
        <f>IFERROR(__xludf.DUMMYFUNCTION("""COMPUTED_VALUE"""),"email:""aditya.icf@gmail.com""")</f>
        <v>email:"aditya.icf@gmail.com"</v>
      </c>
      <c r="AFB2" s="20" t="str">
        <f>IFERROR(__xludf.DUMMYFUNCTION("""COMPUTED_VALUE"""),"date:""2022-12-15T12:30:01Z""}")</f>
        <v>date:"2022-12-15T12:30:01Z"}</v>
      </c>
      <c r="AFC2" s="20" t="str">
        <f>IFERROR(__xludf.DUMMYFUNCTION("""COMPUTED_VALUE"""),"message:""Daily update by cron""")</f>
        <v>message:"Daily update by cron"</v>
      </c>
      <c r="AFD2" s="20" t="str">
        <f>IFERROR(__xludf.DUMMYFUNCTION("""COMPUTED_VALUE"""),"tree:{""sha"":""39ecfa9b1cffce82b3c8254bddb1ea2c76fb34fe""")</f>
        <v>tree:{"sha":"39ecfa9b1cffce82b3c8254bddb1ea2c76fb34fe"</v>
      </c>
      <c r="AFE2" s="20" t="str">
        <f>IFERROR(__xludf.DUMMYFUNCTION("""COMPUTED_VALUE"""),"url:""https://api.github.com/repos/adixmr/leetcode/git/trees/39ecfa9b1cffce82b3c8254bddb1ea2c76fb34fe""}")</f>
        <v>url:"https://api.github.com/repos/adixmr/leetcode/git/trees/39ecfa9b1cffce82b3c8254bddb1ea2c76fb34fe"}</v>
      </c>
      <c r="AFF2" s="20" t="str">
        <f>IFERROR(__xludf.DUMMYFUNCTION("""COMPUTED_VALUE"""),"url:""https://api.github.com/repos/adixmr/leetcode/git/commits/bd5c8dade44f00758a8826b1be2f4daae18c0972""")</f>
        <v>url:"https://api.github.com/repos/adixmr/leetcode/git/commits/bd5c8dade44f00758a8826b1be2f4daae18c0972"</v>
      </c>
      <c r="AFG2" s="20" t="str">
        <f>IFERROR(__xludf.DUMMYFUNCTION("""COMPUTED_VALUE"""),"comment_count:0")</f>
        <v>comment_count:0</v>
      </c>
      <c r="AFH2" s="20" t="str">
        <f>IFERROR(__xludf.DUMMYFUNCTION("""COMPUTED_VALUE"""),"verification:{""verified"":false")</f>
        <v>verification:{"verified":false</v>
      </c>
      <c r="AFI2" s="20" t="str">
        <f>IFERROR(__xludf.DUMMYFUNCTION("""COMPUTED_VALUE"""),"reason:""unsigned""")</f>
        <v>reason:"unsigned"</v>
      </c>
      <c r="AFJ2" s="20" t="str">
        <f>IFERROR(__xludf.DUMMYFUNCTION("""COMPUTED_VALUE"""),"signature:null")</f>
        <v>signature:null</v>
      </c>
      <c r="AFK2" s="20" t="str">
        <f>IFERROR(__xludf.DUMMYFUNCTION("""COMPUTED_VALUE"""),"payload:null}}")</f>
        <v>payload:null}}</v>
      </c>
      <c r="AFL2" s="20" t="str">
        <f>IFERROR(__xludf.DUMMYFUNCTION("""COMPUTED_VALUE"""),"url:""https://api.github.com/repos/adixmr/leetcode/commits/bd5c8dade44f00758a8826b1be2f4daae18c0972""")</f>
        <v>url:"https://api.github.com/repos/adixmr/leetcode/commits/bd5c8dade44f00758a8826b1be2f4daae18c0972"</v>
      </c>
      <c r="AFM2" s="20" t="str">
        <f>IFERROR(__xludf.DUMMYFUNCTION("""COMPUTED_VALUE"""),"html_url:""https://github.com/adixmr/leetcode/commit/bd5c8dade44f00758a8826b1be2f4daae18c0972""")</f>
        <v>html_url:"https://github.com/adixmr/leetcode/commit/bd5c8dade44f00758a8826b1be2f4daae18c0972"</v>
      </c>
      <c r="AFN2" s="20" t="str">
        <f>IFERROR(__xludf.DUMMYFUNCTION("""COMPUTED_VALUE"""),"comments_url:""https://api.github.com/repos/adixmr/leetcode/commits/bd5c8dade44f00758a8826b1be2f4daae18c0972/comments""")</f>
        <v>comments_url:"https://api.github.com/repos/adixmr/leetcode/commits/bd5c8dade44f00758a8826b1be2f4daae18c0972/comments"</v>
      </c>
      <c r="AFO2" s="20" t="str">
        <f>IFERROR(__xludf.DUMMYFUNCTION("""COMPUTED_VALUE"""),"author:{""login"":""adixmr""")</f>
        <v>author:{"login":"adixmr"</v>
      </c>
      <c r="AFP2" s="20" t="str">
        <f>IFERROR(__xludf.DUMMYFUNCTION("""COMPUTED_VALUE"""),"id:42894359")</f>
        <v>id:42894359</v>
      </c>
      <c r="AFQ2" s="20" t="str">
        <f>IFERROR(__xludf.DUMMYFUNCTION("""COMPUTED_VALUE"""),"node_id:""MDQ6VXNlcjQyODk0MzU5""")</f>
        <v>node_id:"MDQ6VXNlcjQyODk0MzU5"</v>
      </c>
      <c r="AFR2" s="20" t="str">
        <f>IFERROR(__xludf.DUMMYFUNCTION("""COMPUTED_VALUE"""),"avatar_url:""https://avatars.githubusercontent.com/u/42894359?v=4""")</f>
        <v>avatar_url:"https://avatars.githubusercontent.com/u/42894359?v=4"</v>
      </c>
      <c r="AFS2" s="20" t="str">
        <f>IFERROR(__xludf.DUMMYFUNCTION("""COMPUTED_VALUE"""),"gravatar_id:""""")</f>
        <v>gravatar_id:""</v>
      </c>
      <c r="AFT2" s="20" t="str">
        <f>IFERROR(__xludf.DUMMYFUNCTION("""COMPUTED_VALUE"""),"url:""https://api.github.com/users/adixmr""")</f>
        <v>url:"https://api.github.com/users/adixmr"</v>
      </c>
      <c r="AFU2" s="20" t="str">
        <f>IFERROR(__xludf.DUMMYFUNCTION("""COMPUTED_VALUE"""),"html_url:""https://github.com/adixmr""")</f>
        <v>html_url:"https://github.com/adixmr"</v>
      </c>
      <c r="AFV2" s="20" t="str">
        <f>IFERROR(__xludf.DUMMYFUNCTION("""COMPUTED_VALUE"""),"followers_url:""https://api.github.com/users/adixmr/followers""")</f>
        <v>followers_url:"https://api.github.com/users/adixmr/followers"</v>
      </c>
      <c r="AFW2" s="20" t="str">
        <f>IFERROR(__xludf.DUMMYFUNCTION("""COMPUTED_VALUE"""),"following_url:""https://api.github.com/users/adixmr/following{/other_user}""")</f>
        <v>following_url:"https://api.github.com/users/adixmr/following{/other_user}"</v>
      </c>
      <c r="AFX2" s="20" t="str">
        <f>IFERROR(__xludf.DUMMYFUNCTION("""COMPUTED_VALUE"""),"gists_url:""https://api.github.com/users/adixmr/gists{/gist_id}""")</f>
        <v>gists_url:"https://api.github.com/users/adixmr/gists{/gist_id}"</v>
      </c>
      <c r="AFY2" s="20" t="str">
        <f>IFERROR(__xludf.DUMMYFUNCTION("""COMPUTED_VALUE"""),"starred_url:""https://api.github.com/users/adixmr/starred{/owner}{/repo}""")</f>
        <v>starred_url:"https://api.github.com/users/adixmr/starred{/owner}{/repo}"</v>
      </c>
      <c r="AFZ2" s="20" t="str">
        <f>IFERROR(__xludf.DUMMYFUNCTION("""COMPUTED_VALUE"""),"subscriptions_url:""https://api.github.com/users/adixmr/subscriptions""")</f>
        <v>subscriptions_url:"https://api.github.com/users/adixmr/subscriptions"</v>
      </c>
      <c r="AGA2" s="20" t="str">
        <f>IFERROR(__xludf.DUMMYFUNCTION("""COMPUTED_VALUE"""),"organizations_url:""https://api.github.com/users/adixmr/orgs""")</f>
        <v>organizations_url:"https://api.github.com/users/adixmr/orgs"</v>
      </c>
      <c r="AGB2" s="20" t="str">
        <f>IFERROR(__xludf.DUMMYFUNCTION("""COMPUTED_VALUE"""),"repos_url:""https://api.github.com/users/adixmr/repos""")</f>
        <v>repos_url:"https://api.github.com/users/adixmr/repos"</v>
      </c>
      <c r="AGC2" s="20" t="str">
        <f>IFERROR(__xludf.DUMMYFUNCTION("""COMPUTED_VALUE"""),"events_url:""https://api.github.com/users/adixmr/events{/privacy}""")</f>
        <v>events_url:"https://api.github.com/users/adixmr/events{/privacy}"</v>
      </c>
      <c r="AGD2" s="20" t="str">
        <f>IFERROR(__xludf.DUMMYFUNCTION("""COMPUTED_VALUE"""),"received_events_url:""https://api.github.com/users/adixmr/received_events""")</f>
        <v>received_events_url:"https://api.github.com/users/adixmr/received_events"</v>
      </c>
      <c r="AGE2" s="20" t="str">
        <f>IFERROR(__xludf.DUMMYFUNCTION("""COMPUTED_VALUE"""),"type:""User""")</f>
        <v>type:"User"</v>
      </c>
      <c r="AGF2" s="20" t="str">
        <f>IFERROR(__xludf.DUMMYFUNCTION("""COMPUTED_VALUE"""),"site_admin:false}")</f>
        <v>site_admin:false}</v>
      </c>
      <c r="AGG2" s="20" t="str">
        <f>IFERROR(__xludf.DUMMYFUNCTION("""COMPUTED_VALUE"""),"committer:{""login"":""adixmr""")</f>
        <v>committer:{"login":"adixmr"</v>
      </c>
      <c r="AGH2" s="20" t="str">
        <f>IFERROR(__xludf.DUMMYFUNCTION("""COMPUTED_VALUE"""),"id:42894359")</f>
        <v>id:42894359</v>
      </c>
      <c r="AGI2" s="20" t="str">
        <f>IFERROR(__xludf.DUMMYFUNCTION("""COMPUTED_VALUE"""),"node_id:""MDQ6VXNlcjQyODk0MzU5""")</f>
        <v>node_id:"MDQ6VXNlcjQyODk0MzU5"</v>
      </c>
      <c r="AGJ2" s="20" t="str">
        <f>IFERROR(__xludf.DUMMYFUNCTION("""COMPUTED_VALUE"""),"avatar_url:""https://avatars.githubusercontent.com/u/42894359?v=4""")</f>
        <v>avatar_url:"https://avatars.githubusercontent.com/u/42894359?v=4"</v>
      </c>
      <c r="AGK2" s="20" t="str">
        <f>IFERROR(__xludf.DUMMYFUNCTION("""COMPUTED_VALUE"""),"gravatar_id:""""")</f>
        <v>gravatar_id:""</v>
      </c>
      <c r="AGL2" s="20" t="str">
        <f>IFERROR(__xludf.DUMMYFUNCTION("""COMPUTED_VALUE"""),"url:""https://api.github.com/users/adixmr""")</f>
        <v>url:"https://api.github.com/users/adixmr"</v>
      </c>
      <c r="AGM2" s="20" t="str">
        <f>IFERROR(__xludf.DUMMYFUNCTION("""COMPUTED_VALUE"""),"html_url:""https://github.com/adixmr""")</f>
        <v>html_url:"https://github.com/adixmr"</v>
      </c>
      <c r="AGN2" s="20" t="str">
        <f>IFERROR(__xludf.DUMMYFUNCTION("""COMPUTED_VALUE"""),"followers_url:""https://api.github.com/users/adixmr/followers""")</f>
        <v>followers_url:"https://api.github.com/users/adixmr/followers"</v>
      </c>
      <c r="AGO2" s="20" t="str">
        <f>IFERROR(__xludf.DUMMYFUNCTION("""COMPUTED_VALUE"""),"following_url:""https://api.github.com/users/adixmr/following{/other_user}""")</f>
        <v>following_url:"https://api.github.com/users/adixmr/following{/other_user}"</v>
      </c>
      <c r="AGP2" s="20" t="str">
        <f>IFERROR(__xludf.DUMMYFUNCTION("""COMPUTED_VALUE"""),"gists_url:""https://api.github.com/users/adixmr/gists{/gist_id}""")</f>
        <v>gists_url:"https://api.github.com/users/adixmr/gists{/gist_id}"</v>
      </c>
      <c r="AGQ2" s="20" t="str">
        <f>IFERROR(__xludf.DUMMYFUNCTION("""COMPUTED_VALUE"""),"starred_url:""https://api.github.com/users/adixmr/starred{/owner}{/repo}""")</f>
        <v>starred_url:"https://api.github.com/users/adixmr/starred{/owner}{/repo}"</v>
      </c>
      <c r="AGR2" s="20" t="str">
        <f>IFERROR(__xludf.DUMMYFUNCTION("""COMPUTED_VALUE"""),"subscriptions_url:""https://api.github.com/users/adixmr/subscriptions""")</f>
        <v>subscriptions_url:"https://api.github.com/users/adixmr/subscriptions"</v>
      </c>
      <c r="AGS2" s="20" t="str">
        <f>IFERROR(__xludf.DUMMYFUNCTION("""COMPUTED_VALUE"""),"organizations_url:""https://api.github.com/users/adixmr/orgs""")</f>
        <v>organizations_url:"https://api.github.com/users/adixmr/orgs"</v>
      </c>
      <c r="AGT2" s="20" t="str">
        <f>IFERROR(__xludf.DUMMYFUNCTION("""COMPUTED_VALUE"""),"repos_url:""https://api.github.com/users/adixmr/repos""")</f>
        <v>repos_url:"https://api.github.com/users/adixmr/repos"</v>
      </c>
      <c r="AGU2" s="20" t="str">
        <f>IFERROR(__xludf.DUMMYFUNCTION("""COMPUTED_VALUE"""),"events_url:""https://api.github.com/users/adixmr/events{/privacy}""")</f>
        <v>events_url:"https://api.github.com/users/adixmr/events{/privacy}"</v>
      </c>
      <c r="AGV2" s="20" t="str">
        <f>IFERROR(__xludf.DUMMYFUNCTION("""COMPUTED_VALUE"""),"received_events_url:""https://api.github.com/users/adixmr/received_events""")</f>
        <v>received_events_url:"https://api.github.com/users/adixmr/received_events"</v>
      </c>
      <c r="AGW2" s="20" t="str">
        <f>IFERROR(__xludf.DUMMYFUNCTION("""COMPUTED_VALUE"""),"type:""User""")</f>
        <v>type:"User"</v>
      </c>
      <c r="AGX2" s="20" t="str">
        <f>IFERROR(__xludf.DUMMYFUNCTION("""COMPUTED_VALUE"""),"site_admin:false}")</f>
        <v>site_admin:false}</v>
      </c>
      <c r="AGY2" s="20" t="str">
        <f>IFERROR(__xludf.DUMMYFUNCTION("""COMPUTED_VALUE"""),"parents:[{""sha"":""f406d04464616b72b8f0330e9cee5c4e94d35244""")</f>
        <v>parents:[{"sha":"f406d04464616b72b8f0330e9cee5c4e94d35244"</v>
      </c>
      <c r="AGZ2" s="20" t="str">
        <f>IFERROR(__xludf.DUMMYFUNCTION("""COMPUTED_VALUE"""),"url:""https://api.github.com/repos/adixmr/leetcode/commits/f406d04464616b72b8f0330e9cee5c4e94d35244""")</f>
        <v>url:"https://api.github.com/repos/adixmr/leetcode/commits/f406d04464616b72b8f0330e9cee5c4e94d35244"</v>
      </c>
      <c r="AHA2" s="20" t="str">
        <f>IFERROR(__xludf.DUMMYFUNCTION("""COMPUTED_VALUE"""),"html_url:""https://github.com/adixmr/leetcode/commit/f406d04464616b72b8f0330e9cee5c4e94d35244""}]}")</f>
        <v>html_url:"https://github.com/adixmr/leetcode/commit/f406d04464616b72b8f0330e9cee5c4e94d35244"}]}</v>
      </c>
      <c r="AHB2" s="20" t="str">
        <f>IFERROR(__xludf.DUMMYFUNCTION("""COMPUTED_VALUE"""),"{""sha"":""f406d04464616b72b8f0330e9cee5c4e94d35244""")</f>
        <v>{"sha":"f406d04464616b72b8f0330e9cee5c4e94d35244"</v>
      </c>
      <c r="AHC2" s="20" t="str">
        <f>IFERROR(__xludf.DUMMYFUNCTION("""COMPUTED_VALUE"""),"node_id:""C_kwDOG-OgStoAKGY0MDZkMDQ0NjQ2MTZiNzJiOGYwMzMwZTljZWU1YzRlOTRkMzUyNDQ""")</f>
        <v>node_id:"C_kwDOG-OgStoAKGY0MDZkMDQ0NjQ2MTZiNzJiOGYwMzMwZTljZWU1YzRlOTRkMzUyNDQ"</v>
      </c>
      <c r="AHD2" s="20" t="str">
        <f>IFERROR(__xludf.DUMMYFUNCTION("""COMPUTED_VALUE"""),"commit:{""author"":{""name"":""Aditya Rajput""")</f>
        <v>commit:{"author":{"name":"Aditya Rajput"</v>
      </c>
      <c r="AHE2" s="20" t="str">
        <f>IFERROR(__xludf.DUMMYFUNCTION("""COMPUTED_VALUE"""),"email:""aditya.icf@gmail.com""")</f>
        <v>email:"aditya.icf@gmail.com"</v>
      </c>
      <c r="AHF2" s="20" t="str">
        <f>IFERROR(__xludf.DUMMYFUNCTION("""COMPUTED_VALUE"""),"date:""2022-12-14T12:30:01Z""}")</f>
        <v>date:"2022-12-14T12:30:01Z"}</v>
      </c>
      <c r="AHG2" s="20" t="str">
        <f>IFERROR(__xludf.DUMMYFUNCTION("""COMPUTED_VALUE"""),"committer:{""name"":""Aditya Rajput""")</f>
        <v>committer:{"name":"Aditya Rajput"</v>
      </c>
      <c r="AHH2" s="20" t="str">
        <f>IFERROR(__xludf.DUMMYFUNCTION("""COMPUTED_VALUE"""),"email:""aditya.icf@gmail.com""")</f>
        <v>email:"aditya.icf@gmail.com"</v>
      </c>
      <c r="AHI2" s="20" t="str">
        <f>IFERROR(__xludf.DUMMYFUNCTION("""COMPUTED_VALUE"""),"date:""2022-12-14T12:30:01Z""}")</f>
        <v>date:"2022-12-14T12:30:01Z"}</v>
      </c>
      <c r="AHJ2" s="20" t="str">
        <f>IFERROR(__xludf.DUMMYFUNCTION("""COMPUTED_VALUE"""),"message:""Daily update by cron""")</f>
        <v>message:"Daily update by cron"</v>
      </c>
      <c r="AHK2" s="20" t="str">
        <f>IFERROR(__xludf.DUMMYFUNCTION("""COMPUTED_VALUE"""),"tree:{""sha"":""82f485747310279f3534651fdaa153b9c56b77d0""")</f>
        <v>tree:{"sha":"82f485747310279f3534651fdaa153b9c56b77d0"</v>
      </c>
      <c r="AHL2" s="20" t="str">
        <f>IFERROR(__xludf.DUMMYFUNCTION("""COMPUTED_VALUE"""),"url:""https://api.github.com/repos/adixmr/leetcode/git/trees/82f485747310279f3534651fdaa153b9c56b77d0""}")</f>
        <v>url:"https://api.github.com/repos/adixmr/leetcode/git/trees/82f485747310279f3534651fdaa153b9c56b77d0"}</v>
      </c>
      <c r="AHM2" s="20" t="str">
        <f>IFERROR(__xludf.DUMMYFUNCTION("""COMPUTED_VALUE"""),"url:""https://api.github.com/repos/adixmr/leetcode/git/commits/f406d04464616b72b8f0330e9cee5c4e94d35244""")</f>
        <v>url:"https://api.github.com/repos/adixmr/leetcode/git/commits/f406d04464616b72b8f0330e9cee5c4e94d35244"</v>
      </c>
      <c r="AHN2" s="20" t="str">
        <f>IFERROR(__xludf.DUMMYFUNCTION("""COMPUTED_VALUE"""),"comment_count:0")</f>
        <v>comment_count:0</v>
      </c>
      <c r="AHO2" s="20" t="str">
        <f>IFERROR(__xludf.DUMMYFUNCTION("""COMPUTED_VALUE"""),"verification:{""verified"":false")</f>
        <v>verification:{"verified":false</v>
      </c>
      <c r="AHP2" s="20" t="str">
        <f>IFERROR(__xludf.DUMMYFUNCTION("""COMPUTED_VALUE"""),"reason:""unsigned""")</f>
        <v>reason:"unsigned"</v>
      </c>
      <c r="AHQ2" s="20" t="str">
        <f>IFERROR(__xludf.DUMMYFUNCTION("""COMPUTED_VALUE"""),"signature:null")</f>
        <v>signature:null</v>
      </c>
      <c r="AHR2" s="20" t="str">
        <f>IFERROR(__xludf.DUMMYFUNCTION("""COMPUTED_VALUE"""),"payload:null}}")</f>
        <v>payload:null}}</v>
      </c>
      <c r="AHS2" s="20" t="str">
        <f>IFERROR(__xludf.DUMMYFUNCTION("""COMPUTED_VALUE"""),"url:""https://api.github.com/repos/adixmr/leetcode/commits/f406d04464616b72b8f0330e9cee5c4e94d35244""")</f>
        <v>url:"https://api.github.com/repos/adixmr/leetcode/commits/f406d04464616b72b8f0330e9cee5c4e94d35244"</v>
      </c>
      <c r="AHT2" s="20" t="str">
        <f>IFERROR(__xludf.DUMMYFUNCTION("""COMPUTED_VALUE"""),"html_url:""https://github.com/adixmr/leetcode/commit/f406d04464616b72b8f0330e9cee5c4e94d35244""")</f>
        <v>html_url:"https://github.com/adixmr/leetcode/commit/f406d04464616b72b8f0330e9cee5c4e94d35244"</v>
      </c>
      <c r="AHU2" s="20" t="str">
        <f>IFERROR(__xludf.DUMMYFUNCTION("""COMPUTED_VALUE"""),"comments_url:""https://api.github.com/repos/adixmr/leetcode/commits/f406d04464616b72b8f0330e9cee5c4e94d35244/comments""")</f>
        <v>comments_url:"https://api.github.com/repos/adixmr/leetcode/commits/f406d04464616b72b8f0330e9cee5c4e94d35244/comments"</v>
      </c>
      <c r="AHV2" s="20" t="str">
        <f>IFERROR(__xludf.DUMMYFUNCTION("""COMPUTED_VALUE"""),"author:{""login"":""adixmr""")</f>
        <v>author:{"login":"adixmr"</v>
      </c>
      <c r="AHW2" s="20" t="str">
        <f>IFERROR(__xludf.DUMMYFUNCTION("""COMPUTED_VALUE"""),"id:42894359")</f>
        <v>id:42894359</v>
      </c>
      <c r="AHX2" s="20" t="str">
        <f>IFERROR(__xludf.DUMMYFUNCTION("""COMPUTED_VALUE"""),"node_id:""MDQ6VXNlcjQyODk0MzU5""")</f>
        <v>node_id:"MDQ6VXNlcjQyODk0MzU5"</v>
      </c>
      <c r="AHY2" s="20" t="str">
        <f>IFERROR(__xludf.DUMMYFUNCTION("""COMPUTED_VALUE"""),"avatar_url:""https://avatars.githubusercontent.com/u/42894359?v=4""")</f>
        <v>avatar_url:"https://avatars.githubusercontent.com/u/42894359?v=4"</v>
      </c>
      <c r="AHZ2" s="20" t="str">
        <f>IFERROR(__xludf.DUMMYFUNCTION("""COMPUTED_VALUE"""),"gravatar_id:""""")</f>
        <v>gravatar_id:""</v>
      </c>
      <c r="AIA2" s="20" t="str">
        <f>IFERROR(__xludf.DUMMYFUNCTION("""COMPUTED_VALUE"""),"url:""https://api.github.com/users/adixmr""")</f>
        <v>url:"https://api.github.com/users/adixmr"</v>
      </c>
      <c r="AIB2" s="20" t="str">
        <f>IFERROR(__xludf.DUMMYFUNCTION("""COMPUTED_VALUE"""),"html_url:""https://github.com/adixmr""")</f>
        <v>html_url:"https://github.com/adixmr"</v>
      </c>
      <c r="AIC2" s="20" t="str">
        <f>IFERROR(__xludf.DUMMYFUNCTION("""COMPUTED_VALUE"""),"followers_url:""https://api.github.com/users/adixmr/followers""")</f>
        <v>followers_url:"https://api.github.com/users/adixmr/followers"</v>
      </c>
      <c r="AID2" s="20" t="str">
        <f>IFERROR(__xludf.DUMMYFUNCTION("""COMPUTED_VALUE"""),"following_url:""https://api.github.com/users/adixmr/following{/other_user}""")</f>
        <v>following_url:"https://api.github.com/users/adixmr/following{/other_user}"</v>
      </c>
      <c r="AIE2" s="20" t="str">
        <f>IFERROR(__xludf.DUMMYFUNCTION("""COMPUTED_VALUE"""),"gists_url:""https://api.github.com/users/adixmr/gists{/gist_id}""")</f>
        <v>gists_url:"https://api.github.com/users/adixmr/gists{/gist_id}"</v>
      </c>
      <c r="AIF2" s="20" t="str">
        <f>IFERROR(__xludf.DUMMYFUNCTION("""COMPUTED_VALUE"""),"starred_url:""https://api.github.com/users/adixmr/starred{/owner}{/repo}""")</f>
        <v>starred_url:"https://api.github.com/users/adixmr/starred{/owner}{/repo}"</v>
      </c>
      <c r="AIG2" s="20" t="str">
        <f>IFERROR(__xludf.DUMMYFUNCTION("""COMPUTED_VALUE"""),"subscriptions_url:""https://api.github.com/users/adixmr/subscriptions""")</f>
        <v>subscriptions_url:"https://api.github.com/users/adixmr/subscriptions"</v>
      </c>
      <c r="AIH2" s="20" t="str">
        <f>IFERROR(__xludf.DUMMYFUNCTION("""COMPUTED_VALUE"""),"organizations_url:""https://api.github.com/users/adixmr/orgs""")</f>
        <v>organizations_url:"https://api.github.com/users/adixmr/orgs"</v>
      </c>
      <c r="AII2" s="20" t="str">
        <f>IFERROR(__xludf.DUMMYFUNCTION("""COMPUTED_VALUE"""),"repos_url:""https://api.github.com/users/adixmr/repos""")</f>
        <v>repos_url:"https://api.github.com/users/adixmr/repos"</v>
      </c>
      <c r="AIJ2" s="20" t="str">
        <f>IFERROR(__xludf.DUMMYFUNCTION("""COMPUTED_VALUE"""),"events_url:""https://api.github.com/users/adixmr/events{/privacy}""")</f>
        <v>events_url:"https://api.github.com/users/adixmr/events{/privacy}"</v>
      </c>
      <c r="AIK2" s="20" t="str">
        <f>IFERROR(__xludf.DUMMYFUNCTION("""COMPUTED_VALUE"""),"received_events_url:""https://api.github.com/users/adixmr/received_events""")</f>
        <v>received_events_url:"https://api.github.com/users/adixmr/received_events"</v>
      </c>
      <c r="AIL2" s="20" t="str">
        <f>IFERROR(__xludf.DUMMYFUNCTION("""COMPUTED_VALUE"""),"type:""User""")</f>
        <v>type:"User"</v>
      </c>
      <c r="AIM2" s="20" t="str">
        <f>IFERROR(__xludf.DUMMYFUNCTION("""COMPUTED_VALUE"""),"site_admin:false}")</f>
        <v>site_admin:false}</v>
      </c>
      <c r="AIN2" s="20" t="str">
        <f>IFERROR(__xludf.DUMMYFUNCTION("""COMPUTED_VALUE"""),"committer:{""login"":""adixmr""")</f>
        <v>committer:{"login":"adixmr"</v>
      </c>
      <c r="AIO2" s="20" t="str">
        <f>IFERROR(__xludf.DUMMYFUNCTION("""COMPUTED_VALUE"""),"id:42894359")</f>
        <v>id:42894359</v>
      </c>
      <c r="AIP2" s="20" t="str">
        <f>IFERROR(__xludf.DUMMYFUNCTION("""COMPUTED_VALUE"""),"node_id:""MDQ6VXNlcjQyODk0MzU5""")</f>
        <v>node_id:"MDQ6VXNlcjQyODk0MzU5"</v>
      </c>
      <c r="AIQ2" s="20" t="str">
        <f>IFERROR(__xludf.DUMMYFUNCTION("""COMPUTED_VALUE"""),"avatar_url:""https://avatars.githubusercontent.com/u/42894359?v=4""")</f>
        <v>avatar_url:"https://avatars.githubusercontent.com/u/42894359?v=4"</v>
      </c>
      <c r="AIR2" s="20" t="str">
        <f>IFERROR(__xludf.DUMMYFUNCTION("""COMPUTED_VALUE"""),"gravatar_id:""""")</f>
        <v>gravatar_id:""</v>
      </c>
      <c r="AIS2" s="20" t="str">
        <f>IFERROR(__xludf.DUMMYFUNCTION("""COMPUTED_VALUE"""),"url:""https://api.github.com/users/adixmr""")</f>
        <v>url:"https://api.github.com/users/adixmr"</v>
      </c>
      <c r="AIT2" s="20" t="str">
        <f>IFERROR(__xludf.DUMMYFUNCTION("""COMPUTED_VALUE"""),"html_url:""https://github.com/adixmr""")</f>
        <v>html_url:"https://github.com/adixmr"</v>
      </c>
      <c r="AIU2" s="20" t="str">
        <f>IFERROR(__xludf.DUMMYFUNCTION("""COMPUTED_VALUE"""),"followers_url:""https://api.github.com/users/adixmr/followers""")</f>
        <v>followers_url:"https://api.github.com/users/adixmr/followers"</v>
      </c>
      <c r="AIV2" s="20" t="str">
        <f>IFERROR(__xludf.DUMMYFUNCTION("""COMPUTED_VALUE"""),"following_url:""https://api.github.com/users/adixmr/following{/other_user}""")</f>
        <v>following_url:"https://api.github.com/users/adixmr/following{/other_user}"</v>
      </c>
      <c r="AIW2" s="20" t="str">
        <f>IFERROR(__xludf.DUMMYFUNCTION("""COMPUTED_VALUE"""),"gists_url:""https://api.github.com/users/adixmr/gists{/gist_id}""")</f>
        <v>gists_url:"https://api.github.com/users/adixmr/gists{/gist_id}"</v>
      </c>
      <c r="AIX2" s="20" t="str">
        <f>IFERROR(__xludf.DUMMYFUNCTION("""COMPUTED_VALUE"""),"starred_url:""https://api.github.com/users/adixmr/starred{/owner}{/repo}""")</f>
        <v>starred_url:"https://api.github.com/users/adixmr/starred{/owner}{/repo}"</v>
      </c>
      <c r="AIY2" s="20" t="str">
        <f>IFERROR(__xludf.DUMMYFUNCTION("""COMPUTED_VALUE"""),"subscriptions_url:""https://api.github.com/users/adixmr/subscriptions""")</f>
        <v>subscriptions_url:"https://api.github.com/users/adixmr/subscriptions"</v>
      </c>
      <c r="AIZ2" s="20" t="str">
        <f>IFERROR(__xludf.DUMMYFUNCTION("""COMPUTED_VALUE"""),"organizations_url:""https://api.github.com/users/adixmr/orgs""")</f>
        <v>organizations_url:"https://api.github.com/users/adixmr/orgs"</v>
      </c>
      <c r="AJA2" s="20" t="str">
        <f>IFERROR(__xludf.DUMMYFUNCTION("""COMPUTED_VALUE"""),"repos_url:""https://api.github.com/users/adixmr/repos""")</f>
        <v>repos_url:"https://api.github.com/users/adixmr/repos"</v>
      </c>
      <c r="AJB2" s="20" t="str">
        <f>IFERROR(__xludf.DUMMYFUNCTION("""COMPUTED_VALUE"""),"events_url:""https://api.github.com/users/adixmr/events{/privacy}""")</f>
        <v>events_url:"https://api.github.com/users/adixmr/events{/privacy}"</v>
      </c>
      <c r="AJC2" s="20" t="str">
        <f>IFERROR(__xludf.DUMMYFUNCTION("""COMPUTED_VALUE"""),"received_events_url:""https://api.github.com/users/adixmr/received_events""")</f>
        <v>received_events_url:"https://api.github.com/users/adixmr/received_events"</v>
      </c>
      <c r="AJD2" s="20" t="str">
        <f>IFERROR(__xludf.DUMMYFUNCTION("""COMPUTED_VALUE"""),"type:""User""")</f>
        <v>type:"User"</v>
      </c>
      <c r="AJE2" s="20" t="str">
        <f>IFERROR(__xludf.DUMMYFUNCTION("""COMPUTED_VALUE"""),"site_admin:false}")</f>
        <v>site_admin:false}</v>
      </c>
      <c r="AJF2" s="20" t="str">
        <f>IFERROR(__xludf.DUMMYFUNCTION("""COMPUTED_VALUE"""),"parents:[{""sha"":""96b0ea3e10fd248f9412149517c88c631f5d27bc""")</f>
        <v>parents:[{"sha":"96b0ea3e10fd248f9412149517c88c631f5d27bc"</v>
      </c>
      <c r="AJG2" s="20" t="str">
        <f>IFERROR(__xludf.DUMMYFUNCTION("""COMPUTED_VALUE"""),"url:""https://api.github.com/repos/adixmr/leetcode/commits/96b0ea3e10fd248f9412149517c88c631f5d27bc""")</f>
        <v>url:"https://api.github.com/repos/adixmr/leetcode/commits/96b0ea3e10fd248f9412149517c88c631f5d27bc"</v>
      </c>
      <c r="AJH2" s="20" t="str">
        <f>IFERROR(__xludf.DUMMYFUNCTION("""COMPUTED_VALUE"""),"html_url:""https://github.com/adixmr/leetcode/commit/96b0ea3e10fd248f9412149517c88c631f5d27bc""}]}")</f>
        <v>html_url:"https://github.com/adixmr/leetcode/commit/96b0ea3e10fd248f9412149517c88c631f5d27bc"}]}</v>
      </c>
      <c r="AJI2" s="20" t="str">
        <f>IFERROR(__xludf.DUMMYFUNCTION("""COMPUTED_VALUE"""),"{""sha"":""96b0ea3e10fd248f9412149517c88c631f5d27bc""")</f>
        <v>{"sha":"96b0ea3e10fd248f9412149517c88c631f5d27bc"</v>
      </c>
      <c r="AJJ2" s="20" t="str">
        <f>IFERROR(__xludf.DUMMYFUNCTION("""COMPUTED_VALUE"""),"node_id:""C_kwDOG-OgStoAKDk2YjBlYTNlMTBmZDI0OGY5NDEyMTQ5NTE3Yzg4YzYzMWY1ZDI3YmM""")</f>
        <v>node_id:"C_kwDOG-OgStoAKDk2YjBlYTNlMTBmZDI0OGY5NDEyMTQ5NTE3Yzg4YzYzMWY1ZDI3YmM"</v>
      </c>
      <c r="AJK2" s="20" t="str">
        <f>IFERROR(__xludf.DUMMYFUNCTION("""COMPUTED_VALUE"""),"commit:{""author"":{""name"":""Aditya Rajput""")</f>
        <v>commit:{"author":{"name":"Aditya Rajput"</v>
      </c>
      <c r="AJL2" s="20" t="str">
        <f>IFERROR(__xludf.DUMMYFUNCTION("""COMPUTED_VALUE"""),"email:""aditya.icf@gmail.com""")</f>
        <v>email:"aditya.icf@gmail.com"</v>
      </c>
      <c r="AJM2" s="20" t="str">
        <f>IFERROR(__xludf.DUMMYFUNCTION("""COMPUTED_VALUE"""),"date:""2022-12-13T12:30:01Z""}")</f>
        <v>date:"2022-12-13T12:30:01Z"}</v>
      </c>
      <c r="AJN2" s="20" t="str">
        <f>IFERROR(__xludf.DUMMYFUNCTION("""COMPUTED_VALUE"""),"committer:{""name"":""Aditya Rajput""")</f>
        <v>committer:{"name":"Aditya Rajput"</v>
      </c>
      <c r="AJO2" s="20" t="str">
        <f>IFERROR(__xludf.DUMMYFUNCTION("""COMPUTED_VALUE"""),"email:""aditya.icf@gmail.com""")</f>
        <v>email:"aditya.icf@gmail.com"</v>
      </c>
      <c r="AJP2" s="20" t="str">
        <f>IFERROR(__xludf.DUMMYFUNCTION("""COMPUTED_VALUE"""),"date:""2022-12-13T12:30:01Z""}")</f>
        <v>date:"2022-12-13T12:30:01Z"}</v>
      </c>
      <c r="AJQ2" s="20" t="str">
        <f>IFERROR(__xludf.DUMMYFUNCTION("""COMPUTED_VALUE"""),"message:""Daily update by cron""")</f>
        <v>message:"Daily update by cron"</v>
      </c>
      <c r="AJR2" s="20" t="str">
        <f>IFERROR(__xludf.DUMMYFUNCTION("""COMPUTED_VALUE"""),"tree:{""sha"":""c169ff04845152fcbcf99b7c149461d958ed5253""")</f>
        <v>tree:{"sha":"c169ff04845152fcbcf99b7c149461d958ed5253"</v>
      </c>
      <c r="AJS2" s="20" t="str">
        <f>IFERROR(__xludf.DUMMYFUNCTION("""COMPUTED_VALUE"""),"url:""https://api.github.com/repos/adixmr/leetcode/git/trees/c169ff04845152fcbcf99b7c149461d958ed5253""}")</f>
        <v>url:"https://api.github.com/repos/adixmr/leetcode/git/trees/c169ff04845152fcbcf99b7c149461d958ed5253"}</v>
      </c>
      <c r="AJT2" s="20" t="str">
        <f>IFERROR(__xludf.DUMMYFUNCTION("""COMPUTED_VALUE"""),"url:""https://api.github.com/repos/adixmr/leetcode/git/commits/96b0ea3e10fd248f9412149517c88c631f5d27bc""")</f>
        <v>url:"https://api.github.com/repos/adixmr/leetcode/git/commits/96b0ea3e10fd248f9412149517c88c631f5d27bc"</v>
      </c>
      <c r="AJU2" s="20" t="str">
        <f>IFERROR(__xludf.DUMMYFUNCTION("""COMPUTED_VALUE"""),"comment_count:0")</f>
        <v>comment_count:0</v>
      </c>
      <c r="AJV2" s="20" t="str">
        <f>IFERROR(__xludf.DUMMYFUNCTION("""COMPUTED_VALUE"""),"verification:{""verified"":false")</f>
        <v>verification:{"verified":false</v>
      </c>
      <c r="AJW2" s="20" t="str">
        <f>IFERROR(__xludf.DUMMYFUNCTION("""COMPUTED_VALUE"""),"reason:""unsigned""")</f>
        <v>reason:"unsigned"</v>
      </c>
      <c r="AJX2" s="20" t="str">
        <f>IFERROR(__xludf.DUMMYFUNCTION("""COMPUTED_VALUE"""),"signature:null")</f>
        <v>signature:null</v>
      </c>
      <c r="AJY2" s="20" t="str">
        <f>IFERROR(__xludf.DUMMYFUNCTION("""COMPUTED_VALUE"""),"payload:null}}")</f>
        <v>payload:null}}</v>
      </c>
      <c r="AJZ2" s="20" t="str">
        <f>IFERROR(__xludf.DUMMYFUNCTION("""COMPUTED_VALUE"""),"url:""https://api.github.com/repos/adixmr/leetcode/commits/96b0ea3e10fd248f9412149517c88c631f5d27bc""")</f>
        <v>url:"https://api.github.com/repos/adixmr/leetcode/commits/96b0ea3e10fd248f9412149517c88c631f5d27bc"</v>
      </c>
      <c r="AKA2" s="20" t="str">
        <f>IFERROR(__xludf.DUMMYFUNCTION("""COMPUTED_VALUE"""),"html_url:""https://github.com/adixmr/leetcode/commit/96b0ea3e10fd248f9412149517c88c631f5d27bc""")</f>
        <v>html_url:"https://github.com/adixmr/leetcode/commit/96b0ea3e10fd248f9412149517c88c631f5d27bc"</v>
      </c>
      <c r="AKB2" s="20" t="str">
        <f>IFERROR(__xludf.DUMMYFUNCTION("""COMPUTED_VALUE"""),"comments_url:""https://api.github.com/repos/adixmr/leetcode/commits/96b0ea3e10fd248f9412149517c88c631f5d27bc/comments""")</f>
        <v>comments_url:"https://api.github.com/repos/adixmr/leetcode/commits/96b0ea3e10fd248f9412149517c88c631f5d27bc/comments"</v>
      </c>
      <c r="AKC2" s="20" t="str">
        <f>IFERROR(__xludf.DUMMYFUNCTION("""COMPUTED_VALUE"""),"author:{""login"":""adixmr""")</f>
        <v>author:{"login":"adixmr"</v>
      </c>
      <c r="AKD2" s="20" t="str">
        <f>IFERROR(__xludf.DUMMYFUNCTION("""COMPUTED_VALUE"""),"id:42894359")</f>
        <v>id:42894359</v>
      </c>
      <c r="AKE2" s="20" t="str">
        <f>IFERROR(__xludf.DUMMYFUNCTION("""COMPUTED_VALUE"""),"node_id:""MDQ6VXNlcjQyODk0MzU5""")</f>
        <v>node_id:"MDQ6VXNlcjQyODk0MzU5"</v>
      </c>
      <c r="AKF2" s="20" t="str">
        <f>IFERROR(__xludf.DUMMYFUNCTION("""COMPUTED_VALUE"""),"avatar_url:""https://avatars.githubusercontent.com/u/42894359?v=4""")</f>
        <v>avatar_url:"https://avatars.githubusercontent.com/u/42894359?v=4"</v>
      </c>
      <c r="AKG2" s="20" t="str">
        <f>IFERROR(__xludf.DUMMYFUNCTION("""COMPUTED_VALUE"""),"gravatar_id:""""")</f>
        <v>gravatar_id:""</v>
      </c>
      <c r="AKH2" s="20" t="str">
        <f>IFERROR(__xludf.DUMMYFUNCTION("""COMPUTED_VALUE"""),"url:""https://api.github.com/users/adixmr""")</f>
        <v>url:"https://api.github.com/users/adixmr"</v>
      </c>
      <c r="AKI2" s="20" t="str">
        <f>IFERROR(__xludf.DUMMYFUNCTION("""COMPUTED_VALUE"""),"html_url:""https://github.com/adixmr""")</f>
        <v>html_url:"https://github.com/adixmr"</v>
      </c>
      <c r="AKJ2" s="20" t="str">
        <f>IFERROR(__xludf.DUMMYFUNCTION("""COMPUTED_VALUE"""),"followers_url:""https://api.github.com/users/adixmr/followers""")</f>
        <v>followers_url:"https://api.github.com/users/adixmr/followers"</v>
      </c>
      <c r="AKK2" s="20" t="str">
        <f>IFERROR(__xludf.DUMMYFUNCTION("""COMPUTED_VALUE"""),"following_url:""https://api.github.com/users/adixmr/following{/other_user}""")</f>
        <v>following_url:"https://api.github.com/users/adixmr/following{/other_user}"</v>
      </c>
      <c r="AKL2" s="20" t="str">
        <f>IFERROR(__xludf.DUMMYFUNCTION("""COMPUTED_VALUE"""),"gists_url:""https://api.github.com/users/adixmr/gists{/gist_id}""")</f>
        <v>gists_url:"https://api.github.com/users/adixmr/gists{/gist_id}"</v>
      </c>
      <c r="AKM2" s="20" t="str">
        <f>IFERROR(__xludf.DUMMYFUNCTION("""COMPUTED_VALUE"""),"starred_url:""https://api.github.com/users/adixmr/starred{/owner}{/repo}""")</f>
        <v>starred_url:"https://api.github.com/users/adixmr/starred{/owner}{/repo}"</v>
      </c>
      <c r="AKN2" s="20" t="str">
        <f>IFERROR(__xludf.DUMMYFUNCTION("""COMPUTED_VALUE"""),"subscriptions_url:""https://api.github.com/users/adixmr/subscriptions""")</f>
        <v>subscriptions_url:"https://api.github.com/users/adixmr/subscriptions"</v>
      </c>
      <c r="AKO2" s="20" t="str">
        <f>IFERROR(__xludf.DUMMYFUNCTION("""COMPUTED_VALUE"""),"organizations_url:""https://api.github.com/users/adixmr/orgs""")</f>
        <v>organizations_url:"https://api.github.com/users/adixmr/orgs"</v>
      </c>
      <c r="AKP2" s="20" t="str">
        <f>IFERROR(__xludf.DUMMYFUNCTION("""COMPUTED_VALUE"""),"repos_url:""https://api.github.com/users/adixmr/repos""")</f>
        <v>repos_url:"https://api.github.com/users/adixmr/repos"</v>
      </c>
      <c r="AKQ2" s="20" t="str">
        <f>IFERROR(__xludf.DUMMYFUNCTION("""COMPUTED_VALUE"""),"events_url:""https://api.github.com/users/adixmr/events{/privacy}""")</f>
        <v>events_url:"https://api.github.com/users/adixmr/events{/privacy}"</v>
      </c>
      <c r="AKR2" s="20" t="str">
        <f>IFERROR(__xludf.DUMMYFUNCTION("""COMPUTED_VALUE"""),"received_events_url:""https://api.github.com/users/adixmr/received_events""")</f>
        <v>received_events_url:"https://api.github.com/users/adixmr/received_events"</v>
      </c>
      <c r="AKS2" s="20" t="str">
        <f>IFERROR(__xludf.DUMMYFUNCTION("""COMPUTED_VALUE"""),"type:""User""")</f>
        <v>type:"User"</v>
      </c>
      <c r="AKT2" s="20" t="str">
        <f>IFERROR(__xludf.DUMMYFUNCTION("""COMPUTED_VALUE"""),"site_admin:false}")</f>
        <v>site_admin:false}</v>
      </c>
      <c r="AKU2" s="20" t="str">
        <f>IFERROR(__xludf.DUMMYFUNCTION("""COMPUTED_VALUE"""),"committer:{""login"":""adixmr""")</f>
        <v>committer:{"login":"adixmr"</v>
      </c>
      <c r="AKV2" s="20" t="str">
        <f>IFERROR(__xludf.DUMMYFUNCTION("""COMPUTED_VALUE"""),"id:42894359")</f>
        <v>id:42894359</v>
      </c>
      <c r="AKW2" s="20" t="str">
        <f>IFERROR(__xludf.DUMMYFUNCTION("""COMPUTED_VALUE"""),"node_id:""MDQ6VXNlcjQyODk0MzU5""")</f>
        <v>node_id:"MDQ6VXNlcjQyODk0MzU5"</v>
      </c>
      <c r="AKX2" s="20" t="str">
        <f>IFERROR(__xludf.DUMMYFUNCTION("""COMPUTED_VALUE"""),"avatar_url:""https://avatars.githubusercontent.com/u/42894359?v=4""")</f>
        <v>avatar_url:"https://avatars.githubusercontent.com/u/42894359?v=4"</v>
      </c>
      <c r="AKY2" s="20" t="str">
        <f>IFERROR(__xludf.DUMMYFUNCTION("""COMPUTED_VALUE"""),"gravatar_id:""""")</f>
        <v>gravatar_id:""</v>
      </c>
      <c r="AKZ2" s="20" t="str">
        <f>IFERROR(__xludf.DUMMYFUNCTION("""COMPUTED_VALUE"""),"url:""https://api.github.com/users/adixmr""")</f>
        <v>url:"https://api.github.com/users/adixmr"</v>
      </c>
      <c r="ALA2" s="20" t="str">
        <f>IFERROR(__xludf.DUMMYFUNCTION("""COMPUTED_VALUE"""),"html_url:""https://github.com/adixmr""")</f>
        <v>html_url:"https://github.com/adixmr"</v>
      </c>
      <c r="ALB2" s="20" t="str">
        <f>IFERROR(__xludf.DUMMYFUNCTION("""COMPUTED_VALUE"""),"followers_url:""https://api.github.com/users/adixmr/followers""")</f>
        <v>followers_url:"https://api.github.com/users/adixmr/followers"</v>
      </c>
      <c r="ALC2" s="20" t="str">
        <f>IFERROR(__xludf.DUMMYFUNCTION("""COMPUTED_VALUE"""),"following_url:""https://api.github.com/users/adixmr/following{/other_user}""")</f>
        <v>following_url:"https://api.github.com/users/adixmr/following{/other_user}"</v>
      </c>
      <c r="ALD2" s="20" t="str">
        <f>IFERROR(__xludf.DUMMYFUNCTION("""COMPUTED_VALUE"""),"gists_url:""https://api.github.com/users/adixmr/gists{/gist_id}""")</f>
        <v>gists_url:"https://api.github.com/users/adixmr/gists{/gist_id}"</v>
      </c>
      <c r="ALE2" s="20" t="str">
        <f>IFERROR(__xludf.DUMMYFUNCTION("""COMPUTED_VALUE"""),"starred_url:""https://api.github.com/users/adixmr/starred{/owner}{/repo}""")</f>
        <v>starred_url:"https://api.github.com/users/adixmr/starred{/owner}{/repo}"</v>
      </c>
      <c r="ALF2" s="20" t="str">
        <f>IFERROR(__xludf.DUMMYFUNCTION("""COMPUTED_VALUE"""),"subscriptions_url:""https://api.github.com/users/adixmr/subscriptions""")</f>
        <v>subscriptions_url:"https://api.github.com/users/adixmr/subscriptions"</v>
      </c>
      <c r="ALG2" s="20" t="str">
        <f>IFERROR(__xludf.DUMMYFUNCTION("""COMPUTED_VALUE"""),"organizations_url:""https://api.github.com/users/adixmr/orgs""")</f>
        <v>organizations_url:"https://api.github.com/users/adixmr/orgs"</v>
      </c>
      <c r="ALH2" s="20" t="str">
        <f>IFERROR(__xludf.DUMMYFUNCTION("""COMPUTED_VALUE"""),"repos_url:""https://api.github.com/users/adixmr/repos""")</f>
        <v>repos_url:"https://api.github.com/users/adixmr/repos"</v>
      </c>
      <c r="ALI2" s="20" t="str">
        <f>IFERROR(__xludf.DUMMYFUNCTION("""COMPUTED_VALUE"""),"events_url:""https://api.github.com/users/adixmr/events{/privacy}""")</f>
        <v>events_url:"https://api.github.com/users/adixmr/events{/privacy}"</v>
      </c>
      <c r="ALJ2" s="20" t="str">
        <f>IFERROR(__xludf.DUMMYFUNCTION("""COMPUTED_VALUE"""),"received_events_url:""https://api.github.com/users/adixmr/received_events""")</f>
        <v>received_events_url:"https://api.github.com/users/adixmr/received_events"</v>
      </c>
      <c r="ALK2" s="20" t="str">
        <f>IFERROR(__xludf.DUMMYFUNCTION("""COMPUTED_VALUE"""),"type:""User""")</f>
        <v>type:"User"</v>
      </c>
      <c r="ALL2" s="20" t="str">
        <f>IFERROR(__xludf.DUMMYFUNCTION("""COMPUTED_VALUE"""),"site_admin:false}")</f>
        <v>site_admin:false}</v>
      </c>
      <c r="ALM2" s="20" t="str">
        <f>IFERROR(__xludf.DUMMYFUNCTION("""COMPUTED_VALUE"""),"parents:[{""sha"":""861db933ed7d4ec5d38832888feb2c64c166c670""")</f>
        <v>parents:[{"sha":"861db933ed7d4ec5d38832888feb2c64c166c670"</v>
      </c>
      <c r="ALN2" s="20" t="str">
        <f>IFERROR(__xludf.DUMMYFUNCTION("""COMPUTED_VALUE"""),"url:""https://api.github.com/repos/adixmr/leetcode/commits/861db933ed7d4ec5d38832888feb2c64c166c670""")</f>
        <v>url:"https://api.github.com/repos/adixmr/leetcode/commits/861db933ed7d4ec5d38832888feb2c64c166c670"</v>
      </c>
      <c r="ALO2" s="20" t="str">
        <f>IFERROR(__xludf.DUMMYFUNCTION("""COMPUTED_VALUE"""),"html_url:""https://github.com/adixmr/leetcode/commit/861db933ed7d4ec5d38832888feb2c64c166c670""}]}")</f>
        <v>html_url:"https://github.com/adixmr/leetcode/commit/861db933ed7d4ec5d38832888feb2c64c166c670"}]}</v>
      </c>
      <c r="ALP2" s="20" t="str">
        <f>IFERROR(__xludf.DUMMYFUNCTION("""COMPUTED_VALUE"""),"{""sha"":""861db933ed7d4ec5d38832888feb2c64c166c670""")</f>
        <v>{"sha":"861db933ed7d4ec5d38832888feb2c64c166c670"</v>
      </c>
      <c r="ALQ2" s="20" t="str">
        <f>IFERROR(__xludf.DUMMYFUNCTION("""COMPUTED_VALUE"""),"node_id:""C_kwDOG-OgStoAKDg2MWRiOTMzZWQ3ZDRlYzVkMzg4MzI4ODhmZWIyYzY0YzE2NmM2NzA""")</f>
        <v>node_id:"C_kwDOG-OgStoAKDg2MWRiOTMzZWQ3ZDRlYzVkMzg4MzI4ODhmZWIyYzY0YzE2NmM2NzA"</v>
      </c>
      <c r="ALR2" s="20" t="str">
        <f>IFERROR(__xludf.DUMMYFUNCTION("""COMPUTED_VALUE"""),"commit:{""author"":{""name"":""Aditya Rajput""")</f>
        <v>commit:{"author":{"name":"Aditya Rajput"</v>
      </c>
      <c r="ALS2" s="20" t="str">
        <f>IFERROR(__xludf.DUMMYFUNCTION("""COMPUTED_VALUE"""),"email:""aditya.icf@gmail.com""")</f>
        <v>email:"aditya.icf@gmail.com"</v>
      </c>
      <c r="ALT2" s="20" t="str">
        <f>IFERROR(__xludf.DUMMYFUNCTION("""COMPUTED_VALUE"""),"date:""2022-12-12T12:30:01Z""}")</f>
        <v>date:"2022-12-12T12:30:01Z"}</v>
      </c>
      <c r="ALU2" s="20" t="str">
        <f>IFERROR(__xludf.DUMMYFUNCTION("""COMPUTED_VALUE"""),"committer:{""name"":""Aditya Rajput""")</f>
        <v>committer:{"name":"Aditya Rajput"</v>
      </c>
      <c r="ALV2" s="20" t="str">
        <f>IFERROR(__xludf.DUMMYFUNCTION("""COMPUTED_VALUE"""),"email:""aditya.icf@gmail.com""")</f>
        <v>email:"aditya.icf@gmail.com"</v>
      </c>
      <c r="ALW2" s="20" t="str">
        <f>IFERROR(__xludf.DUMMYFUNCTION("""COMPUTED_VALUE"""),"date:""2022-12-12T12:30:01Z""}")</f>
        <v>date:"2022-12-12T12:30:01Z"}</v>
      </c>
      <c r="ALX2" s="20" t="str">
        <f>IFERROR(__xludf.DUMMYFUNCTION("""COMPUTED_VALUE"""),"message:""Daily update by cron""")</f>
        <v>message:"Daily update by cron"</v>
      </c>
      <c r="ALY2" s="20" t="str">
        <f>IFERROR(__xludf.DUMMYFUNCTION("""COMPUTED_VALUE"""),"tree:{""sha"":""0d03ab3567ab3b2b1ea12c9805d1aedd0940eb03""")</f>
        <v>tree:{"sha":"0d03ab3567ab3b2b1ea12c9805d1aedd0940eb03"</v>
      </c>
      <c r="ALZ2" s="20" t="str">
        <f>IFERROR(__xludf.DUMMYFUNCTION("""COMPUTED_VALUE"""),"url:""https://api.github.com/repos/adixmr/leetcode/git/trees/0d03ab3567ab3b2b1ea12c9805d1aedd0940eb03""}")</f>
        <v>url:"https://api.github.com/repos/adixmr/leetcode/git/trees/0d03ab3567ab3b2b1ea12c9805d1aedd0940eb03"}</v>
      </c>
      <c r="AMA2" s="20" t="str">
        <f>IFERROR(__xludf.DUMMYFUNCTION("""COMPUTED_VALUE"""),"url:""https://api.github.com/repos/adixmr/leetcode/git/commits/861db933ed7d4ec5d38832888feb2c64c166c670""")</f>
        <v>url:"https://api.github.com/repos/adixmr/leetcode/git/commits/861db933ed7d4ec5d38832888feb2c64c166c670"</v>
      </c>
      <c r="AMB2" s="20" t="str">
        <f>IFERROR(__xludf.DUMMYFUNCTION("""COMPUTED_VALUE"""),"comment_count:0")</f>
        <v>comment_count:0</v>
      </c>
      <c r="AMC2" s="20" t="str">
        <f>IFERROR(__xludf.DUMMYFUNCTION("""COMPUTED_VALUE"""),"verification:{""verified"":false")</f>
        <v>verification:{"verified":false</v>
      </c>
      <c r="AMD2" s="20" t="str">
        <f>IFERROR(__xludf.DUMMYFUNCTION("""COMPUTED_VALUE"""),"reason:""unsigned""")</f>
        <v>reason:"unsigned"</v>
      </c>
      <c r="AME2" s="20" t="str">
        <f>IFERROR(__xludf.DUMMYFUNCTION("""COMPUTED_VALUE"""),"signature:null")</f>
        <v>signature:null</v>
      </c>
      <c r="AMF2" s="20" t="str">
        <f>IFERROR(__xludf.DUMMYFUNCTION("""COMPUTED_VALUE"""),"payload:null}}")</f>
        <v>payload:null}}</v>
      </c>
      <c r="AMG2" s="20" t="str">
        <f>IFERROR(__xludf.DUMMYFUNCTION("""COMPUTED_VALUE"""),"url:""https://api.github.com/repos/adixmr/leetcode/commits/861db933ed7d4ec5d38832888feb2c64c166c670""")</f>
        <v>url:"https://api.github.com/repos/adixmr/leetcode/commits/861db933ed7d4ec5d38832888feb2c64c166c670"</v>
      </c>
      <c r="AMH2" s="20" t="str">
        <f>IFERROR(__xludf.DUMMYFUNCTION("""COMPUTED_VALUE"""),"html_url:""https://github.com/adixmr/leetcode/commit/861db933ed7d4ec5d38832888feb2c64c166c670""")</f>
        <v>html_url:"https://github.com/adixmr/leetcode/commit/861db933ed7d4ec5d38832888feb2c64c166c670"</v>
      </c>
      <c r="AMI2" s="20" t="str">
        <f>IFERROR(__xludf.DUMMYFUNCTION("""COMPUTED_VALUE"""),"comments_url:""https://api.github.com/repos/adixmr/leetcode/commits/861db933ed7d4ec5d38832888feb2c64c166c670/comments""")</f>
        <v>comments_url:"https://api.github.com/repos/adixmr/leetcode/commits/861db933ed7d4ec5d38832888feb2c64c166c670/comments"</v>
      </c>
      <c r="AMJ2" s="20" t="str">
        <f>IFERROR(__xludf.DUMMYFUNCTION("""COMPUTED_VALUE"""),"author:{""login"":""adixmr""")</f>
        <v>author:{"login":"adixmr"</v>
      </c>
      <c r="AMK2" s="20" t="str">
        <f>IFERROR(__xludf.DUMMYFUNCTION("""COMPUTED_VALUE"""),"id:42894359")</f>
        <v>id:42894359</v>
      </c>
      <c r="AML2" s="20" t="str">
        <f>IFERROR(__xludf.DUMMYFUNCTION("""COMPUTED_VALUE"""),"node_id:""MDQ6VXNlcjQyODk0MzU5""")</f>
        <v>node_id:"MDQ6VXNlcjQyODk0MzU5"</v>
      </c>
      <c r="AMM2" s="20" t="str">
        <f>IFERROR(__xludf.DUMMYFUNCTION("""COMPUTED_VALUE"""),"avatar_url:""https://avatars.githubusercontent.com/u/42894359?v=4""")</f>
        <v>avatar_url:"https://avatars.githubusercontent.com/u/42894359?v=4"</v>
      </c>
      <c r="AMN2" s="20" t="str">
        <f>IFERROR(__xludf.DUMMYFUNCTION("""COMPUTED_VALUE"""),"gravatar_id:""""")</f>
        <v>gravatar_id:""</v>
      </c>
      <c r="AMO2" s="20" t="str">
        <f>IFERROR(__xludf.DUMMYFUNCTION("""COMPUTED_VALUE"""),"url:""https://api.github.com/users/adixmr""")</f>
        <v>url:"https://api.github.com/users/adixmr"</v>
      </c>
      <c r="AMP2" s="20" t="str">
        <f>IFERROR(__xludf.DUMMYFUNCTION("""COMPUTED_VALUE"""),"html_url:""https://github.com/adixmr""")</f>
        <v>html_url:"https://github.com/adixmr"</v>
      </c>
      <c r="AMQ2" s="20" t="str">
        <f>IFERROR(__xludf.DUMMYFUNCTION("""COMPUTED_VALUE"""),"followers_url:""https://api.github.com/users/adixmr/followers""")</f>
        <v>followers_url:"https://api.github.com/users/adixmr/followers"</v>
      </c>
      <c r="AMR2" s="20" t="str">
        <f>IFERROR(__xludf.DUMMYFUNCTION("""COMPUTED_VALUE"""),"following_url:""https://api.github.com/users/adixmr/following{/other_user}""")</f>
        <v>following_url:"https://api.github.com/users/adixmr/following{/other_user}"</v>
      </c>
      <c r="AMS2" s="20" t="str">
        <f>IFERROR(__xludf.DUMMYFUNCTION("""COMPUTED_VALUE"""),"gists_url:""https://api.github.com/users/adixmr/gists{/gist_id}""")</f>
        <v>gists_url:"https://api.github.com/users/adixmr/gists{/gist_id}"</v>
      </c>
      <c r="AMT2" s="20" t="str">
        <f>IFERROR(__xludf.DUMMYFUNCTION("""COMPUTED_VALUE"""),"starred_url:""https://api.github.com/users/adixmr/starred{/owner}{/repo}""")</f>
        <v>starred_url:"https://api.github.com/users/adixmr/starred{/owner}{/repo}"</v>
      </c>
      <c r="AMU2" s="20" t="str">
        <f>IFERROR(__xludf.DUMMYFUNCTION("""COMPUTED_VALUE"""),"subscriptions_url:""https://api.github.com/users/adixmr/subscriptions""")</f>
        <v>subscriptions_url:"https://api.github.com/users/adixmr/subscriptions"</v>
      </c>
      <c r="AMV2" s="20" t="str">
        <f>IFERROR(__xludf.DUMMYFUNCTION("""COMPUTED_VALUE"""),"organizations_url:""https://api.github.com/users/adixmr/orgs""")</f>
        <v>organizations_url:"https://api.github.com/users/adixmr/orgs"</v>
      </c>
      <c r="AMW2" s="20" t="str">
        <f>IFERROR(__xludf.DUMMYFUNCTION("""COMPUTED_VALUE"""),"repos_url:""https://api.github.com/users/adixmr/repos""")</f>
        <v>repos_url:"https://api.github.com/users/adixmr/repos"</v>
      </c>
      <c r="AMX2" s="20" t="str">
        <f>IFERROR(__xludf.DUMMYFUNCTION("""COMPUTED_VALUE"""),"events_url:""https://api.github.com/users/adixmr/events{/privacy}""")</f>
        <v>events_url:"https://api.github.com/users/adixmr/events{/privacy}"</v>
      </c>
      <c r="AMY2" s="20" t="str">
        <f>IFERROR(__xludf.DUMMYFUNCTION("""COMPUTED_VALUE"""),"received_events_url:""https://api.github.com/users/adixmr/received_events""")</f>
        <v>received_events_url:"https://api.github.com/users/adixmr/received_events"</v>
      </c>
      <c r="AMZ2" s="20" t="str">
        <f>IFERROR(__xludf.DUMMYFUNCTION("""COMPUTED_VALUE"""),"type:""User""")</f>
        <v>type:"User"</v>
      </c>
      <c r="ANA2" s="20" t="str">
        <f>IFERROR(__xludf.DUMMYFUNCTION("""COMPUTED_VALUE"""),"site_admin:false}")</f>
        <v>site_admin:false}</v>
      </c>
      <c r="ANB2" s="20" t="str">
        <f>IFERROR(__xludf.DUMMYFUNCTION("""COMPUTED_VALUE"""),"committer:{""login"":""adixmr""")</f>
        <v>committer:{"login":"adixmr"</v>
      </c>
      <c r="ANC2" s="20" t="str">
        <f>IFERROR(__xludf.DUMMYFUNCTION("""COMPUTED_VALUE"""),"id:42894359")</f>
        <v>id:42894359</v>
      </c>
      <c r="AND2" s="20" t="str">
        <f>IFERROR(__xludf.DUMMYFUNCTION("""COMPUTED_VALUE"""),"node_id:""MDQ6VXNlcjQyODk0MzU5""")</f>
        <v>node_id:"MDQ6VXNlcjQyODk0MzU5"</v>
      </c>
      <c r="ANE2" s="20" t="str">
        <f>IFERROR(__xludf.DUMMYFUNCTION("""COMPUTED_VALUE"""),"avatar_url:""https://avatars.githubusercontent.com/u/42894359?v=4""")</f>
        <v>avatar_url:"https://avatars.githubusercontent.com/u/42894359?v=4"</v>
      </c>
      <c r="ANF2" s="20" t="str">
        <f>IFERROR(__xludf.DUMMYFUNCTION("""COMPUTED_VALUE"""),"gravatar_id:""""")</f>
        <v>gravatar_id:""</v>
      </c>
      <c r="ANG2" s="20" t="str">
        <f>IFERROR(__xludf.DUMMYFUNCTION("""COMPUTED_VALUE"""),"url:""https://api.github.com/users/adixmr""")</f>
        <v>url:"https://api.github.com/users/adixmr"</v>
      </c>
      <c r="ANH2" s="20" t="str">
        <f>IFERROR(__xludf.DUMMYFUNCTION("""COMPUTED_VALUE"""),"html_url:""https://github.com/adixmr""")</f>
        <v>html_url:"https://github.com/adixmr"</v>
      </c>
      <c r="ANI2" s="20" t="str">
        <f>IFERROR(__xludf.DUMMYFUNCTION("""COMPUTED_VALUE"""),"followers_url:""https://api.github.com/users/adixmr/followers""")</f>
        <v>followers_url:"https://api.github.com/users/adixmr/followers"</v>
      </c>
      <c r="ANJ2" s="20" t="str">
        <f>IFERROR(__xludf.DUMMYFUNCTION("""COMPUTED_VALUE"""),"following_url:""https://api.github.com/users/adixmr/following{/other_user}""")</f>
        <v>following_url:"https://api.github.com/users/adixmr/following{/other_user}"</v>
      </c>
      <c r="ANK2" s="20" t="str">
        <f>IFERROR(__xludf.DUMMYFUNCTION("""COMPUTED_VALUE"""),"gists_url:""https://api.github.com/users/adixmr/gists{/gist_id}""")</f>
        <v>gists_url:"https://api.github.com/users/adixmr/gists{/gist_id}"</v>
      </c>
      <c r="ANL2" s="20" t="str">
        <f>IFERROR(__xludf.DUMMYFUNCTION("""COMPUTED_VALUE"""),"starred_url:""https://api.github.com/users/adixmr/starred{/owner}{/repo}""")</f>
        <v>starred_url:"https://api.github.com/users/adixmr/starred{/owner}{/repo}"</v>
      </c>
      <c r="ANM2" s="20" t="str">
        <f>IFERROR(__xludf.DUMMYFUNCTION("""COMPUTED_VALUE"""),"subscriptions_url:""https://api.github.com/users/adixmr/subscriptions""")</f>
        <v>subscriptions_url:"https://api.github.com/users/adixmr/subscriptions"</v>
      </c>
      <c r="ANN2" s="20" t="str">
        <f>IFERROR(__xludf.DUMMYFUNCTION("""COMPUTED_VALUE"""),"organizations_url:""https://api.github.com/users/adixmr/orgs""")</f>
        <v>organizations_url:"https://api.github.com/users/adixmr/orgs"</v>
      </c>
      <c r="ANO2" s="20" t="str">
        <f>IFERROR(__xludf.DUMMYFUNCTION("""COMPUTED_VALUE"""),"repos_url:""https://api.github.com/users/adixmr/repos""")</f>
        <v>repos_url:"https://api.github.com/users/adixmr/repos"</v>
      </c>
      <c r="ANP2" s="20" t="str">
        <f>IFERROR(__xludf.DUMMYFUNCTION("""COMPUTED_VALUE"""),"events_url:""https://api.github.com/users/adixmr/events{/privacy}""")</f>
        <v>events_url:"https://api.github.com/users/adixmr/events{/privacy}"</v>
      </c>
      <c r="ANQ2" s="20" t="str">
        <f>IFERROR(__xludf.DUMMYFUNCTION("""COMPUTED_VALUE"""),"received_events_url:""https://api.github.com/users/adixmr/received_events""")</f>
        <v>received_events_url:"https://api.github.com/users/adixmr/received_events"</v>
      </c>
      <c r="ANR2" s="20" t="str">
        <f>IFERROR(__xludf.DUMMYFUNCTION("""COMPUTED_VALUE"""),"type:""User""")</f>
        <v>type:"User"</v>
      </c>
      <c r="ANS2" s="20" t="str">
        <f>IFERROR(__xludf.DUMMYFUNCTION("""COMPUTED_VALUE"""),"site_admin:false}")</f>
        <v>site_admin:false}</v>
      </c>
      <c r="ANT2" s="20" t="str">
        <f>IFERROR(__xludf.DUMMYFUNCTION("""COMPUTED_VALUE"""),"parents:[{""sha"":""7ac64099cc3383a35b9aac9dbdccdfcd980fc72d""")</f>
        <v>parents:[{"sha":"7ac64099cc3383a35b9aac9dbdccdfcd980fc72d"</v>
      </c>
      <c r="ANU2" s="20" t="str">
        <f>IFERROR(__xludf.DUMMYFUNCTION("""COMPUTED_VALUE"""),"url:""https://api.github.com/repos/adixmr/leetcode/commits/7ac64099cc3383a35b9aac9dbdccdfcd980fc72d""")</f>
        <v>url:"https://api.github.com/repos/adixmr/leetcode/commits/7ac64099cc3383a35b9aac9dbdccdfcd980fc72d"</v>
      </c>
      <c r="ANV2" s="20" t="str">
        <f>IFERROR(__xludf.DUMMYFUNCTION("""COMPUTED_VALUE"""),"html_url:""https://github.com/adixmr/leetcode/commit/7ac64099cc3383a35b9aac9dbdccdfcd980fc72d""}]}")</f>
        <v>html_url:"https://github.com/adixmr/leetcode/commit/7ac64099cc3383a35b9aac9dbdccdfcd980fc72d"}]}</v>
      </c>
      <c r="ANW2" s="20" t="str">
        <f>IFERROR(__xludf.DUMMYFUNCTION("""COMPUTED_VALUE"""),"{""sha"":""7ac64099cc3383a35b9aac9dbdccdfcd980fc72d""")</f>
        <v>{"sha":"7ac64099cc3383a35b9aac9dbdccdfcd980fc72d"</v>
      </c>
      <c r="ANX2" s="20" t="str">
        <f>IFERROR(__xludf.DUMMYFUNCTION("""COMPUTED_VALUE"""),"node_id:""C_kwDOG-OgStoAKDdhYzY0MDk5Y2MzMzgzYTM1YjlhYWM5ZGJkY2NkZmNkOTgwZmM3MmQ""")</f>
        <v>node_id:"C_kwDOG-OgStoAKDdhYzY0MDk5Y2MzMzgzYTM1YjlhYWM5ZGJkY2NkZmNkOTgwZmM3MmQ"</v>
      </c>
      <c r="ANY2" s="20" t="str">
        <f>IFERROR(__xludf.DUMMYFUNCTION("""COMPUTED_VALUE"""),"commit:{""author"":{""name"":""Aditya Rajput""")</f>
        <v>commit:{"author":{"name":"Aditya Rajput"</v>
      </c>
      <c r="ANZ2" s="20" t="str">
        <f>IFERROR(__xludf.DUMMYFUNCTION("""COMPUTED_VALUE"""),"email:""aditya.icf@gmail.com""")</f>
        <v>email:"aditya.icf@gmail.com"</v>
      </c>
      <c r="AOA2" s="20" t="str">
        <f>IFERROR(__xludf.DUMMYFUNCTION("""COMPUTED_VALUE"""),"date:""2022-12-11T12:30:02Z""}")</f>
        <v>date:"2022-12-11T12:30:02Z"}</v>
      </c>
      <c r="AOB2" s="20" t="str">
        <f>IFERROR(__xludf.DUMMYFUNCTION("""COMPUTED_VALUE"""),"committer:{""name"":""Aditya Rajput""")</f>
        <v>committer:{"name":"Aditya Rajput"</v>
      </c>
      <c r="AOC2" s="20" t="str">
        <f>IFERROR(__xludf.DUMMYFUNCTION("""COMPUTED_VALUE"""),"email:""aditya.icf@gmail.com""")</f>
        <v>email:"aditya.icf@gmail.com"</v>
      </c>
      <c r="AOD2" s="20" t="str">
        <f>IFERROR(__xludf.DUMMYFUNCTION("""COMPUTED_VALUE"""),"date:""2022-12-11T12:30:02Z""}")</f>
        <v>date:"2022-12-11T12:30:02Z"}</v>
      </c>
      <c r="AOE2" s="20" t="str">
        <f>IFERROR(__xludf.DUMMYFUNCTION("""COMPUTED_VALUE"""),"message:""Daily update by cron""")</f>
        <v>message:"Daily update by cron"</v>
      </c>
      <c r="AOF2" s="20" t="str">
        <f>IFERROR(__xludf.DUMMYFUNCTION("""COMPUTED_VALUE"""),"tree:{""sha"":""d03ae6859c16f5fad9b094db14554b05fca805bc""")</f>
        <v>tree:{"sha":"d03ae6859c16f5fad9b094db14554b05fca805bc"</v>
      </c>
      <c r="AOG2" s="20" t="str">
        <f>IFERROR(__xludf.DUMMYFUNCTION("""COMPUTED_VALUE"""),"url:""https://api.github.com/repos/adixmr/leetcode/git/trees/d03ae6859c16f5fad9b094db14554b05fca805bc""}")</f>
        <v>url:"https://api.github.com/repos/adixmr/leetcode/git/trees/d03ae6859c16f5fad9b094db14554b05fca805bc"}</v>
      </c>
      <c r="AOH2" s="20" t="str">
        <f>IFERROR(__xludf.DUMMYFUNCTION("""COMPUTED_VALUE"""),"url:""https://api.github.com/repos/adixmr/leetcode/git/commits/7ac64099cc3383a35b9aac9dbdccdfcd980fc72d""")</f>
        <v>url:"https://api.github.com/repos/adixmr/leetcode/git/commits/7ac64099cc3383a35b9aac9dbdccdfcd980fc72d"</v>
      </c>
      <c r="AOI2" s="20" t="str">
        <f>IFERROR(__xludf.DUMMYFUNCTION("""COMPUTED_VALUE"""),"comment_count:0")</f>
        <v>comment_count:0</v>
      </c>
      <c r="AOJ2" s="20" t="str">
        <f>IFERROR(__xludf.DUMMYFUNCTION("""COMPUTED_VALUE"""),"verification:{""verified"":false")</f>
        <v>verification:{"verified":false</v>
      </c>
      <c r="AOK2" s="20" t="str">
        <f>IFERROR(__xludf.DUMMYFUNCTION("""COMPUTED_VALUE"""),"reason:""unsigned""")</f>
        <v>reason:"unsigned"</v>
      </c>
      <c r="AOL2" s="20" t="str">
        <f>IFERROR(__xludf.DUMMYFUNCTION("""COMPUTED_VALUE"""),"signature:null")</f>
        <v>signature:null</v>
      </c>
      <c r="AOM2" s="20" t="str">
        <f>IFERROR(__xludf.DUMMYFUNCTION("""COMPUTED_VALUE"""),"payload:null}}")</f>
        <v>payload:null}}</v>
      </c>
      <c r="AON2" s="20" t="str">
        <f>IFERROR(__xludf.DUMMYFUNCTION("""COMPUTED_VALUE"""),"url:""https://api.github.com/repos/adixmr/leetcode/commits/7ac64099cc3383a35b9aac9dbdccdfcd980fc72d""")</f>
        <v>url:"https://api.github.com/repos/adixmr/leetcode/commits/7ac64099cc3383a35b9aac9dbdccdfcd980fc72d"</v>
      </c>
      <c r="AOO2" s="20" t="str">
        <f>IFERROR(__xludf.DUMMYFUNCTION("""COMPUTED_VALUE"""),"html_url:""https://github.com/adixmr/leetcode/commit/7ac64099cc3383a35b9aac9dbdccdfcd980fc72d""")</f>
        <v>html_url:"https://github.com/adixmr/leetcode/commit/7ac64099cc3383a35b9aac9dbdccdfcd980fc72d"</v>
      </c>
      <c r="AOP2" s="20" t="str">
        <f>IFERROR(__xludf.DUMMYFUNCTION("""COMPUTED_VALUE"""),"comments_url:""https://api.github.com/repos/adixmr/leetcode/commits/7ac64099cc3383a35b9aac9dbdccdfcd980fc72d/comments""")</f>
        <v>comments_url:"https://api.github.com/repos/adixmr/leetcode/commits/7ac64099cc3383a35b9aac9dbdccdfcd980fc72d/comments"</v>
      </c>
      <c r="AOQ2" s="20" t="str">
        <f>IFERROR(__xludf.DUMMYFUNCTION("""COMPUTED_VALUE"""),"author:{""login"":""adixmr""")</f>
        <v>author:{"login":"adixmr"</v>
      </c>
      <c r="AOR2" s="20" t="str">
        <f>IFERROR(__xludf.DUMMYFUNCTION("""COMPUTED_VALUE"""),"id:42894359")</f>
        <v>id:42894359</v>
      </c>
      <c r="AOS2" s="20" t="str">
        <f>IFERROR(__xludf.DUMMYFUNCTION("""COMPUTED_VALUE"""),"node_id:""MDQ6VXNlcjQyODk0MzU5""")</f>
        <v>node_id:"MDQ6VXNlcjQyODk0MzU5"</v>
      </c>
      <c r="AOT2" s="20" t="str">
        <f>IFERROR(__xludf.DUMMYFUNCTION("""COMPUTED_VALUE"""),"avatar_url:""https://avatars.githubusercontent.com/u/42894359?v=4""")</f>
        <v>avatar_url:"https://avatars.githubusercontent.com/u/42894359?v=4"</v>
      </c>
      <c r="AOU2" s="20" t="str">
        <f>IFERROR(__xludf.DUMMYFUNCTION("""COMPUTED_VALUE"""),"gravatar_id:""""")</f>
        <v>gravatar_id:""</v>
      </c>
      <c r="AOV2" s="20" t="str">
        <f>IFERROR(__xludf.DUMMYFUNCTION("""COMPUTED_VALUE"""),"url:""https://api.github.com/users/adixmr""")</f>
        <v>url:"https://api.github.com/users/adixmr"</v>
      </c>
      <c r="AOW2" s="20" t="str">
        <f>IFERROR(__xludf.DUMMYFUNCTION("""COMPUTED_VALUE"""),"html_url:""https://github.com/adixmr""")</f>
        <v>html_url:"https://github.com/adixmr"</v>
      </c>
      <c r="AOX2" s="20" t="str">
        <f>IFERROR(__xludf.DUMMYFUNCTION("""COMPUTED_VALUE"""),"followers_url:""https://api.github.com/users/adixmr/followers""")</f>
        <v>followers_url:"https://api.github.com/users/adixmr/followers"</v>
      </c>
      <c r="AOY2" s="20" t="str">
        <f>IFERROR(__xludf.DUMMYFUNCTION("""COMPUTED_VALUE"""),"following_url:""https://api.github.com/users/adixmr/following{/other_user}""")</f>
        <v>following_url:"https://api.github.com/users/adixmr/following{/other_user}"</v>
      </c>
      <c r="AOZ2" s="20" t="str">
        <f>IFERROR(__xludf.DUMMYFUNCTION("""COMPUTED_VALUE"""),"gists_url:""https://api.github.com/users/adixmr/gists{/gist_id}""")</f>
        <v>gists_url:"https://api.github.com/users/adixmr/gists{/gist_id}"</v>
      </c>
      <c r="APA2" s="20" t="str">
        <f>IFERROR(__xludf.DUMMYFUNCTION("""COMPUTED_VALUE"""),"starred_url:""https://api.github.com/users/adixmr/starred{/owner}{/repo}""")</f>
        <v>starred_url:"https://api.github.com/users/adixmr/starred{/owner}{/repo}"</v>
      </c>
      <c r="APB2" s="20" t="str">
        <f>IFERROR(__xludf.DUMMYFUNCTION("""COMPUTED_VALUE"""),"subscriptions_url:""https://api.github.com/users/adixmr/subscriptions""")</f>
        <v>subscriptions_url:"https://api.github.com/users/adixmr/subscriptions"</v>
      </c>
      <c r="APC2" s="20" t="str">
        <f>IFERROR(__xludf.DUMMYFUNCTION("""COMPUTED_VALUE"""),"organizations_url:""https://api.github.com/users/adixmr/orgs""")</f>
        <v>organizations_url:"https://api.github.com/users/adixmr/orgs"</v>
      </c>
      <c r="APD2" s="20" t="str">
        <f>IFERROR(__xludf.DUMMYFUNCTION("""COMPUTED_VALUE"""),"repos_url:""https://api.github.com/users/adixmr/repos""")</f>
        <v>repos_url:"https://api.github.com/users/adixmr/repos"</v>
      </c>
      <c r="APE2" s="20" t="str">
        <f>IFERROR(__xludf.DUMMYFUNCTION("""COMPUTED_VALUE"""),"events_url:""https://api.github.com/users/adixmr/events{/privacy}""")</f>
        <v>events_url:"https://api.github.com/users/adixmr/events{/privacy}"</v>
      </c>
      <c r="APF2" s="20" t="str">
        <f>IFERROR(__xludf.DUMMYFUNCTION("""COMPUTED_VALUE"""),"received_events_url:""https://api.github.com/users/adixmr/received_events""")</f>
        <v>received_events_url:"https://api.github.com/users/adixmr/received_events"</v>
      </c>
      <c r="APG2" s="20" t="str">
        <f>IFERROR(__xludf.DUMMYFUNCTION("""COMPUTED_VALUE"""),"type:""User""")</f>
        <v>type:"User"</v>
      </c>
      <c r="APH2" s="20" t="str">
        <f>IFERROR(__xludf.DUMMYFUNCTION("""COMPUTED_VALUE"""),"site_admin:false}")</f>
        <v>site_admin:false}</v>
      </c>
      <c r="API2" s="20" t="str">
        <f>IFERROR(__xludf.DUMMYFUNCTION("""COMPUTED_VALUE"""),"committer:{""login"":""adixmr""")</f>
        <v>committer:{"login":"adixmr"</v>
      </c>
      <c r="APJ2" s="20" t="str">
        <f>IFERROR(__xludf.DUMMYFUNCTION("""COMPUTED_VALUE"""),"id:42894359")</f>
        <v>id:42894359</v>
      </c>
      <c r="APK2" s="20" t="str">
        <f>IFERROR(__xludf.DUMMYFUNCTION("""COMPUTED_VALUE"""),"node_id:""MDQ6VXNlcjQyODk0MzU5""")</f>
        <v>node_id:"MDQ6VXNlcjQyODk0MzU5"</v>
      </c>
      <c r="APL2" s="20" t="str">
        <f>IFERROR(__xludf.DUMMYFUNCTION("""COMPUTED_VALUE"""),"avatar_url:""https://avatars.githubusercontent.com/u/42894359?v=4""")</f>
        <v>avatar_url:"https://avatars.githubusercontent.com/u/42894359?v=4"</v>
      </c>
      <c r="APM2" s="20" t="str">
        <f>IFERROR(__xludf.DUMMYFUNCTION("""COMPUTED_VALUE"""),"gravatar_id:""""")</f>
        <v>gravatar_id:""</v>
      </c>
      <c r="APN2" s="20" t="str">
        <f>IFERROR(__xludf.DUMMYFUNCTION("""COMPUTED_VALUE"""),"url:""https://api.github.com/users/adixmr""")</f>
        <v>url:"https://api.github.com/users/adixmr"</v>
      </c>
      <c r="APO2" s="20" t="str">
        <f>IFERROR(__xludf.DUMMYFUNCTION("""COMPUTED_VALUE"""),"html_url:""https://github.com/adixmr""")</f>
        <v>html_url:"https://github.com/adixmr"</v>
      </c>
      <c r="APP2" s="20" t="str">
        <f>IFERROR(__xludf.DUMMYFUNCTION("""COMPUTED_VALUE"""),"followers_url:""https://api.github.com/users/adixmr/followers""")</f>
        <v>followers_url:"https://api.github.com/users/adixmr/followers"</v>
      </c>
      <c r="APQ2" s="20" t="str">
        <f>IFERROR(__xludf.DUMMYFUNCTION("""COMPUTED_VALUE"""),"following_url:""https://api.github.com/users/adixmr/following{/other_user}""")</f>
        <v>following_url:"https://api.github.com/users/adixmr/following{/other_user}"</v>
      </c>
      <c r="APR2" s="20" t="str">
        <f>IFERROR(__xludf.DUMMYFUNCTION("""COMPUTED_VALUE"""),"gists_url:""https://api.github.com/users/adixmr/gists{/gist_id}""")</f>
        <v>gists_url:"https://api.github.com/users/adixmr/gists{/gist_id}"</v>
      </c>
      <c r="APS2" s="20" t="str">
        <f>IFERROR(__xludf.DUMMYFUNCTION("""COMPUTED_VALUE"""),"starred_url:""https://api.github.com/users/adixmr/starred{/owner}{/repo}""")</f>
        <v>starred_url:"https://api.github.com/users/adixmr/starred{/owner}{/repo}"</v>
      </c>
      <c r="APT2" s="20" t="str">
        <f>IFERROR(__xludf.DUMMYFUNCTION("""COMPUTED_VALUE"""),"subscriptions_url:""https://api.github.com/users/adixmr/subscriptions""")</f>
        <v>subscriptions_url:"https://api.github.com/users/adixmr/subscriptions"</v>
      </c>
      <c r="APU2" s="20" t="str">
        <f>IFERROR(__xludf.DUMMYFUNCTION("""COMPUTED_VALUE"""),"organizations_url:""https://api.github.com/users/adixmr/orgs""")</f>
        <v>organizations_url:"https://api.github.com/users/adixmr/orgs"</v>
      </c>
      <c r="APV2" s="20" t="str">
        <f>IFERROR(__xludf.DUMMYFUNCTION("""COMPUTED_VALUE"""),"repos_url:""https://api.github.com/users/adixmr/repos""")</f>
        <v>repos_url:"https://api.github.com/users/adixmr/repos"</v>
      </c>
      <c r="APW2" s="20" t="str">
        <f>IFERROR(__xludf.DUMMYFUNCTION("""COMPUTED_VALUE"""),"events_url:""https://api.github.com/users/adixmr/events{/privacy}""")</f>
        <v>events_url:"https://api.github.com/users/adixmr/events{/privacy}"</v>
      </c>
      <c r="APX2" s="20" t="str">
        <f>IFERROR(__xludf.DUMMYFUNCTION("""COMPUTED_VALUE"""),"received_events_url:""https://api.github.com/users/adixmr/received_events""")</f>
        <v>received_events_url:"https://api.github.com/users/adixmr/received_events"</v>
      </c>
      <c r="APY2" s="20" t="str">
        <f>IFERROR(__xludf.DUMMYFUNCTION("""COMPUTED_VALUE"""),"type:""User""")</f>
        <v>type:"User"</v>
      </c>
      <c r="APZ2" s="20" t="str">
        <f>IFERROR(__xludf.DUMMYFUNCTION("""COMPUTED_VALUE"""),"site_admin:false}")</f>
        <v>site_admin:false}</v>
      </c>
      <c r="AQA2" s="20" t="str">
        <f>IFERROR(__xludf.DUMMYFUNCTION("""COMPUTED_VALUE"""),"parents:[{""sha"":""a7f1a7c5240bc04cc67fd8f6933d22fdb203ec14""")</f>
        <v>parents:[{"sha":"a7f1a7c5240bc04cc67fd8f6933d22fdb203ec14"</v>
      </c>
      <c r="AQB2" s="20" t="str">
        <f>IFERROR(__xludf.DUMMYFUNCTION("""COMPUTED_VALUE"""),"url:""https://api.github.com/repos/adixmr/leetcode/commits/a7f1a7c5240bc04cc67fd8f6933d22fdb203ec14""")</f>
        <v>url:"https://api.github.com/repos/adixmr/leetcode/commits/a7f1a7c5240bc04cc67fd8f6933d22fdb203ec14"</v>
      </c>
      <c r="AQC2" s="20" t="str">
        <f>IFERROR(__xludf.DUMMYFUNCTION("""COMPUTED_VALUE"""),"html_url:""https://github.com/adixmr/leetcode/commit/a7f1a7c5240bc04cc67fd8f6933d22fdb203ec14""}]}")</f>
        <v>html_url:"https://github.com/adixmr/leetcode/commit/a7f1a7c5240bc04cc67fd8f6933d22fdb203ec14"}]}</v>
      </c>
      <c r="AQD2" s="20" t="str">
        <f>IFERROR(__xludf.DUMMYFUNCTION("""COMPUTED_VALUE"""),"{""sha"":""a7f1a7c5240bc04cc67fd8f6933d22fdb203ec14""")</f>
        <v>{"sha":"a7f1a7c5240bc04cc67fd8f6933d22fdb203ec14"</v>
      </c>
      <c r="AQE2" s="20" t="str">
        <f>IFERROR(__xludf.DUMMYFUNCTION("""COMPUTED_VALUE"""),"node_id:""C_kwDOG-OgStoAKGE3ZjFhN2M1MjQwYmMwNGNjNjdmZDhmNjkzM2QyMmZkYjIwM2VjMTQ""")</f>
        <v>node_id:"C_kwDOG-OgStoAKGE3ZjFhN2M1MjQwYmMwNGNjNjdmZDhmNjkzM2QyMmZkYjIwM2VjMTQ"</v>
      </c>
      <c r="AQF2" s="20" t="str">
        <f>IFERROR(__xludf.DUMMYFUNCTION("""COMPUTED_VALUE"""),"commit:{""author"":{""name"":""Aditya Rajput""")</f>
        <v>commit:{"author":{"name":"Aditya Rajput"</v>
      </c>
      <c r="AQG2" s="20" t="str">
        <f>IFERROR(__xludf.DUMMYFUNCTION("""COMPUTED_VALUE"""),"email:""aditya.icf@gmail.com""")</f>
        <v>email:"aditya.icf@gmail.com"</v>
      </c>
      <c r="AQH2" s="20" t="str">
        <f>IFERROR(__xludf.DUMMYFUNCTION("""COMPUTED_VALUE"""),"date:""2022-12-10T12:30:01Z""}")</f>
        <v>date:"2022-12-10T12:30:01Z"}</v>
      </c>
      <c r="AQI2" s="20" t="str">
        <f>IFERROR(__xludf.DUMMYFUNCTION("""COMPUTED_VALUE"""),"committer:{""name"":""Aditya Rajput""")</f>
        <v>committer:{"name":"Aditya Rajput"</v>
      </c>
      <c r="AQJ2" s="20" t="str">
        <f>IFERROR(__xludf.DUMMYFUNCTION("""COMPUTED_VALUE"""),"email:""aditya.icf@gmail.com""")</f>
        <v>email:"aditya.icf@gmail.com"</v>
      </c>
      <c r="AQK2" s="20" t="str">
        <f>IFERROR(__xludf.DUMMYFUNCTION("""COMPUTED_VALUE"""),"date:""2022-12-10T12:30:01Z""}")</f>
        <v>date:"2022-12-10T12:30:01Z"}</v>
      </c>
      <c r="AQL2" s="20" t="str">
        <f>IFERROR(__xludf.DUMMYFUNCTION("""COMPUTED_VALUE"""),"message:""Daily update by cron""")</f>
        <v>message:"Daily update by cron"</v>
      </c>
      <c r="AQM2" s="20" t="str">
        <f>IFERROR(__xludf.DUMMYFUNCTION("""COMPUTED_VALUE"""),"tree:{""sha"":""92c0a5c8d7d53c84b352e8e9bad9ddd475a79ec2""")</f>
        <v>tree:{"sha":"92c0a5c8d7d53c84b352e8e9bad9ddd475a79ec2"</v>
      </c>
      <c r="AQN2" s="20" t="str">
        <f>IFERROR(__xludf.DUMMYFUNCTION("""COMPUTED_VALUE"""),"url:""https://api.github.com/repos/adixmr/leetcode/git/trees/92c0a5c8d7d53c84b352e8e9bad9ddd475a79ec2""}")</f>
        <v>url:"https://api.github.com/repos/adixmr/leetcode/git/trees/92c0a5c8d7d53c84b352e8e9bad9ddd475a79ec2"}</v>
      </c>
      <c r="AQO2" s="20" t="str">
        <f>IFERROR(__xludf.DUMMYFUNCTION("""COMPUTED_VALUE"""),"url:""https://api.github.com/repos/adixmr/leetcode/git/commits/a7f1a7c5240bc04cc67fd8f6933d22fdb203ec14""")</f>
        <v>url:"https://api.github.com/repos/adixmr/leetcode/git/commits/a7f1a7c5240bc04cc67fd8f6933d22fdb203ec14"</v>
      </c>
      <c r="AQP2" s="20" t="str">
        <f>IFERROR(__xludf.DUMMYFUNCTION("""COMPUTED_VALUE"""),"comment_count:0")</f>
        <v>comment_count:0</v>
      </c>
      <c r="AQQ2" s="20" t="str">
        <f>IFERROR(__xludf.DUMMYFUNCTION("""COMPUTED_VALUE"""),"verification:{""verified"":false")</f>
        <v>verification:{"verified":false</v>
      </c>
      <c r="AQR2" s="20" t="str">
        <f>IFERROR(__xludf.DUMMYFUNCTION("""COMPUTED_VALUE"""),"reason:""unsigned""")</f>
        <v>reason:"unsigned"</v>
      </c>
      <c r="AQS2" s="20" t="str">
        <f>IFERROR(__xludf.DUMMYFUNCTION("""COMPUTED_VALUE"""),"signature:null")</f>
        <v>signature:null</v>
      </c>
      <c r="AQT2" s="20" t="str">
        <f>IFERROR(__xludf.DUMMYFUNCTION("""COMPUTED_VALUE"""),"payload:null}}")</f>
        <v>payload:null}}</v>
      </c>
      <c r="AQU2" s="20" t="str">
        <f>IFERROR(__xludf.DUMMYFUNCTION("""COMPUTED_VALUE"""),"url:""https://api.github.com/repos/adixmr/leetcode/commits/a7f1a7c5240bc04cc67fd8f6933d22fdb203ec14""")</f>
        <v>url:"https://api.github.com/repos/adixmr/leetcode/commits/a7f1a7c5240bc04cc67fd8f6933d22fdb203ec14"</v>
      </c>
      <c r="AQV2" s="20" t="str">
        <f>IFERROR(__xludf.DUMMYFUNCTION("""COMPUTED_VALUE"""),"html_url:""https://github.com/adixmr/leetcode/commit/a7f1a7c5240bc04cc67fd8f6933d22fdb203ec14""")</f>
        <v>html_url:"https://github.com/adixmr/leetcode/commit/a7f1a7c5240bc04cc67fd8f6933d22fdb203ec14"</v>
      </c>
      <c r="AQW2" s="20" t="str">
        <f>IFERROR(__xludf.DUMMYFUNCTION("""COMPUTED_VALUE"""),"comments_url:""https://api.github.com/repos/adixmr/leetcode/commits/a7f1a7c5240bc04cc67fd8f6933d22fdb203ec14/comments""")</f>
        <v>comments_url:"https://api.github.com/repos/adixmr/leetcode/commits/a7f1a7c5240bc04cc67fd8f6933d22fdb203ec14/comments"</v>
      </c>
      <c r="AQX2" s="20" t="str">
        <f>IFERROR(__xludf.DUMMYFUNCTION("""COMPUTED_VALUE"""),"author:{""login"":""adixmr""")</f>
        <v>author:{"login":"adixmr"</v>
      </c>
      <c r="AQY2" s="20" t="str">
        <f>IFERROR(__xludf.DUMMYFUNCTION("""COMPUTED_VALUE"""),"id:42894359")</f>
        <v>id:42894359</v>
      </c>
      <c r="AQZ2" s="20" t="str">
        <f>IFERROR(__xludf.DUMMYFUNCTION("""COMPUTED_VALUE"""),"node_id:""MDQ6VXNlcjQyODk0MzU5""")</f>
        <v>node_id:"MDQ6VXNlcjQyODk0MzU5"</v>
      </c>
      <c r="ARA2" s="20" t="str">
        <f>IFERROR(__xludf.DUMMYFUNCTION("""COMPUTED_VALUE"""),"avatar_url:""https://avatars.githubusercontent.com/u/42894359?v=4""")</f>
        <v>avatar_url:"https://avatars.githubusercontent.com/u/42894359?v=4"</v>
      </c>
      <c r="ARB2" s="20" t="str">
        <f>IFERROR(__xludf.DUMMYFUNCTION("""COMPUTED_VALUE"""),"gravatar_id:""""")</f>
        <v>gravatar_id:""</v>
      </c>
      <c r="ARC2" s="20" t="str">
        <f>IFERROR(__xludf.DUMMYFUNCTION("""COMPUTED_VALUE"""),"url:""https://api.github.com/users/adixmr""")</f>
        <v>url:"https://api.github.com/users/adixmr"</v>
      </c>
      <c r="ARD2" s="20" t="str">
        <f>IFERROR(__xludf.DUMMYFUNCTION("""COMPUTED_VALUE"""),"html_url:""https://github.com/adixmr""")</f>
        <v>html_url:"https://github.com/adixmr"</v>
      </c>
      <c r="ARE2" s="20" t="str">
        <f>IFERROR(__xludf.DUMMYFUNCTION("""COMPUTED_VALUE"""),"followers_url:""https://api.github.com/users/adixmr/followers""")</f>
        <v>followers_url:"https://api.github.com/users/adixmr/followers"</v>
      </c>
      <c r="ARF2" s="20" t="str">
        <f>IFERROR(__xludf.DUMMYFUNCTION("""COMPUTED_VALUE"""),"following_url:""https://api.github.com/users/adixmr/following{/other_user}""")</f>
        <v>following_url:"https://api.github.com/users/adixmr/following{/other_user}"</v>
      </c>
      <c r="ARG2" s="20" t="str">
        <f>IFERROR(__xludf.DUMMYFUNCTION("""COMPUTED_VALUE"""),"gists_url:""https://api.github.com/users/adixmr/gists{/gist_id}""")</f>
        <v>gists_url:"https://api.github.com/users/adixmr/gists{/gist_id}"</v>
      </c>
      <c r="ARH2" s="20" t="str">
        <f>IFERROR(__xludf.DUMMYFUNCTION("""COMPUTED_VALUE"""),"starred_url:""https://api.github.com/users/adixmr/starred{/owner}{/repo}""")</f>
        <v>starred_url:"https://api.github.com/users/adixmr/starred{/owner}{/repo}"</v>
      </c>
      <c r="ARI2" s="20" t="str">
        <f>IFERROR(__xludf.DUMMYFUNCTION("""COMPUTED_VALUE"""),"subscriptions_url:""https://api.github.com/users/adixmr/subscriptions""")</f>
        <v>subscriptions_url:"https://api.github.com/users/adixmr/subscriptions"</v>
      </c>
      <c r="ARJ2" s="20" t="str">
        <f>IFERROR(__xludf.DUMMYFUNCTION("""COMPUTED_VALUE"""),"organizations_url:""https://api.github.com/users/adixmr/orgs""")</f>
        <v>organizations_url:"https://api.github.com/users/adixmr/orgs"</v>
      </c>
      <c r="ARK2" s="20" t="str">
        <f>IFERROR(__xludf.DUMMYFUNCTION("""COMPUTED_VALUE"""),"repos_url:""https://api.github.com/users/adixmr/repos""")</f>
        <v>repos_url:"https://api.github.com/users/adixmr/repos"</v>
      </c>
      <c r="ARL2" s="20" t="str">
        <f>IFERROR(__xludf.DUMMYFUNCTION("""COMPUTED_VALUE"""),"events_url:""https://api.github.com/users/adixmr/events{/privacy}""")</f>
        <v>events_url:"https://api.github.com/users/adixmr/events{/privacy}"</v>
      </c>
      <c r="ARM2" s="20" t="str">
        <f>IFERROR(__xludf.DUMMYFUNCTION("""COMPUTED_VALUE"""),"received_events_url:""https://api.github.com/users/adixmr/received_events""")</f>
        <v>received_events_url:"https://api.github.com/users/adixmr/received_events"</v>
      </c>
      <c r="ARN2" s="20" t="str">
        <f>IFERROR(__xludf.DUMMYFUNCTION("""COMPUTED_VALUE"""),"type:""User""")</f>
        <v>type:"User"</v>
      </c>
      <c r="ARO2" s="20" t="str">
        <f>IFERROR(__xludf.DUMMYFUNCTION("""COMPUTED_VALUE"""),"site_admin:false}")</f>
        <v>site_admin:false}</v>
      </c>
      <c r="ARP2" s="20" t="str">
        <f>IFERROR(__xludf.DUMMYFUNCTION("""COMPUTED_VALUE"""),"committer:{""login"":""adixmr""")</f>
        <v>committer:{"login":"adixmr"</v>
      </c>
      <c r="ARQ2" s="20" t="str">
        <f>IFERROR(__xludf.DUMMYFUNCTION("""COMPUTED_VALUE"""),"id:42894359")</f>
        <v>id:42894359</v>
      </c>
      <c r="ARR2" s="20" t="str">
        <f>IFERROR(__xludf.DUMMYFUNCTION("""COMPUTED_VALUE"""),"node_id:""MDQ6VXNlcjQyODk0MzU5""")</f>
        <v>node_id:"MDQ6VXNlcjQyODk0MzU5"</v>
      </c>
      <c r="ARS2" s="20" t="str">
        <f>IFERROR(__xludf.DUMMYFUNCTION("""COMPUTED_VALUE"""),"avatar_url:""https://avatars.githubusercontent.com/u/42894359?v=4""")</f>
        <v>avatar_url:"https://avatars.githubusercontent.com/u/42894359?v=4"</v>
      </c>
      <c r="ART2" s="20" t="str">
        <f>IFERROR(__xludf.DUMMYFUNCTION("""COMPUTED_VALUE"""),"gravatar_id:""""")</f>
        <v>gravatar_id:""</v>
      </c>
      <c r="ARU2" s="20" t="str">
        <f>IFERROR(__xludf.DUMMYFUNCTION("""COMPUTED_VALUE"""),"url:""https://api.github.com/users/adixmr""")</f>
        <v>url:"https://api.github.com/users/adixmr"</v>
      </c>
      <c r="ARV2" s="20" t="str">
        <f>IFERROR(__xludf.DUMMYFUNCTION("""COMPUTED_VALUE"""),"html_url:""https://github.com/adixmr""")</f>
        <v>html_url:"https://github.com/adixmr"</v>
      </c>
      <c r="ARW2" s="20" t="str">
        <f>IFERROR(__xludf.DUMMYFUNCTION("""COMPUTED_VALUE"""),"followers_url:""https://api.github.com/users/adixmr/followers""")</f>
        <v>followers_url:"https://api.github.com/users/adixmr/followers"</v>
      </c>
      <c r="ARX2" s="20" t="str">
        <f>IFERROR(__xludf.DUMMYFUNCTION("""COMPUTED_VALUE"""),"following_url:""https://api.github.com/users/adixmr/following{/other_user}""")</f>
        <v>following_url:"https://api.github.com/users/adixmr/following{/other_user}"</v>
      </c>
      <c r="ARY2" s="20" t="str">
        <f>IFERROR(__xludf.DUMMYFUNCTION("""COMPUTED_VALUE"""),"gists_url:""https://api.github.com/users/adixmr/gists{/gist_id}""")</f>
        <v>gists_url:"https://api.github.com/users/adixmr/gists{/gist_id}"</v>
      </c>
      <c r="ARZ2" s="20" t="str">
        <f>IFERROR(__xludf.DUMMYFUNCTION("""COMPUTED_VALUE"""),"starred_url:""https://api.github.com/users/adixmr/starred{/owner}{/repo}""")</f>
        <v>starred_url:"https://api.github.com/users/adixmr/starred{/owner}{/repo}"</v>
      </c>
      <c r="ASA2" s="20" t="str">
        <f>IFERROR(__xludf.DUMMYFUNCTION("""COMPUTED_VALUE"""),"subscriptions_url:""https://api.github.com/users/adixmr/subscriptions""")</f>
        <v>subscriptions_url:"https://api.github.com/users/adixmr/subscriptions"</v>
      </c>
      <c r="ASB2" s="20" t="str">
        <f>IFERROR(__xludf.DUMMYFUNCTION("""COMPUTED_VALUE"""),"organizations_url:""https://api.github.com/users/adixmr/orgs""")</f>
        <v>organizations_url:"https://api.github.com/users/adixmr/orgs"</v>
      </c>
      <c r="ASC2" s="20" t="str">
        <f>IFERROR(__xludf.DUMMYFUNCTION("""COMPUTED_VALUE"""),"repos_url:""https://api.github.com/users/adixmr/repos""")</f>
        <v>repos_url:"https://api.github.com/users/adixmr/repos"</v>
      </c>
      <c r="ASD2" s="20" t="str">
        <f>IFERROR(__xludf.DUMMYFUNCTION("""COMPUTED_VALUE"""),"events_url:""https://api.github.com/users/adixmr/events{/privacy}""")</f>
        <v>events_url:"https://api.github.com/users/adixmr/events{/privacy}"</v>
      </c>
      <c r="ASE2" s="20" t="str">
        <f>IFERROR(__xludf.DUMMYFUNCTION("""COMPUTED_VALUE"""),"received_events_url:""https://api.github.com/users/adixmr/received_events""")</f>
        <v>received_events_url:"https://api.github.com/users/adixmr/received_events"</v>
      </c>
      <c r="ASF2" s="20" t="str">
        <f>IFERROR(__xludf.DUMMYFUNCTION("""COMPUTED_VALUE"""),"type:""User""")</f>
        <v>type:"User"</v>
      </c>
      <c r="ASG2" s="20" t="str">
        <f>IFERROR(__xludf.DUMMYFUNCTION("""COMPUTED_VALUE"""),"site_admin:false}")</f>
        <v>site_admin:false}</v>
      </c>
      <c r="ASH2" s="20" t="str">
        <f>IFERROR(__xludf.DUMMYFUNCTION("""COMPUTED_VALUE"""),"parents:[{""sha"":""5e0cd46fec08fe5e83ec6a7d28360a4ecce15e69""")</f>
        <v>parents:[{"sha":"5e0cd46fec08fe5e83ec6a7d28360a4ecce15e69"</v>
      </c>
      <c r="ASI2" s="20" t="str">
        <f>IFERROR(__xludf.DUMMYFUNCTION("""COMPUTED_VALUE"""),"url:""https://api.github.com/repos/adixmr/leetcode/commits/5e0cd46fec08fe5e83ec6a7d28360a4ecce15e69""")</f>
        <v>url:"https://api.github.com/repos/adixmr/leetcode/commits/5e0cd46fec08fe5e83ec6a7d28360a4ecce15e69"</v>
      </c>
      <c r="ASJ2" s="20" t="str">
        <f>IFERROR(__xludf.DUMMYFUNCTION("""COMPUTED_VALUE"""),"html_url:""https://github.com/adixmr/leetcode/commit/5e0cd46fec08fe5e83ec6a7d28360a4ecce15e69""}]}")</f>
        <v>html_url:"https://github.com/adixmr/leetcode/commit/5e0cd46fec08fe5e83ec6a7d28360a4ecce15e69"}]}</v>
      </c>
      <c r="ASK2" s="20" t="str">
        <f>IFERROR(__xludf.DUMMYFUNCTION("""COMPUTED_VALUE"""),"{""sha"":""5e0cd46fec08fe5e83ec6a7d28360a4ecce15e69""")</f>
        <v>{"sha":"5e0cd46fec08fe5e83ec6a7d28360a4ecce15e69"</v>
      </c>
      <c r="ASL2" s="20" t="str">
        <f>IFERROR(__xludf.DUMMYFUNCTION("""COMPUTED_VALUE"""),"node_id:""C_kwDOG-OgStoAKDVlMGNkNDZmZWMwOGZlNWU4M2VjNmE3ZDI4MzYwYTRlY2NlMTVlNjk""")</f>
        <v>node_id:"C_kwDOG-OgStoAKDVlMGNkNDZmZWMwOGZlNWU4M2VjNmE3ZDI4MzYwYTRlY2NlMTVlNjk"</v>
      </c>
      <c r="ASM2" s="20" t="str">
        <f>IFERROR(__xludf.DUMMYFUNCTION("""COMPUTED_VALUE"""),"commit:{""author"":{""name"":""Aditya Rajput""")</f>
        <v>commit:{"author":{"name":"Aditya Rajput"</v>
      </c>
      <c r="ASN2" s="20" t="str">
        <f>IFERROR(__xludf.DUMMYFUNCTION("""COMPUTED_VALUE"""),"email:""aditya.icf@gmail.com""")</f>
        <v>email:"aditya.icf@gmail.com"</v>
      </c>
      <c r="ASO2" s="20" t="str">
        <f>IFERROR(__xludf.DUMMYFUNCTION("""COMPUTED_VALUE"""),"date:""2022-12-08T12:30:02Z""}")</f>
        <v>date:"2022-12-08T12:30:02Z"}</v>
      </c>
      <c r="ASP2" s="20" t="str">
        <f>IFERROR(__xludf.DUMMYFUNCTION("""COMPUTED_VALUE"""),"committer:{""name"":""Aditya Rajput""")</f>
        <v>committer:{"name":"Aditya Rajput"</v>
      </c>
      <c r="ASQ2" s="20" t="str">
        <f>IFERROR(__xludf.DUMMYFUNCTION("""COMPUTED_VALUE"""),"email:""aditya.icf@gmail.com""")</f>
        <v>email:"aditya.icf@gmail.com"</v>
      </c>
      <c r="ASR2" s="20" t="str">
        <f>IFERROR(__xludf.DUMMYFUNCTION("""COMPUTED_VALUE"""),"date:""2022-12-08T12:30:02Z""}")</f>
        <v>date:"2022-12-08T12:30:02Z"}</v>
      </c>
      <c r="ASS2" s="20" t="str">
        <f>IFERROR(__xludf.DUMMYFUNCTION("""COMPUTED_VALUE"""),"message:""Daily update by cron""")</f>
        <v>message:"Daily update by cron"</v>
      </c>
      <c r="AST2" s="20" t="str">
        <f>IFERROR(__xludf.DUMMYFUNCTION("""COMPUTED_VALUE"""),"tree:{""sha"":""d909541dc02287bb3db2bfc31193377a79ef0ca1""")</f>
        <v>tree:{"sha":"d909541dc02287bb3db2bfc31193377a79ef0ca1"</v>
      </c>
      <c r="ASU2" s="20" t="str">
        <f>IFERROR(__xludf.DUMMYFUNCTION("""COMPUTED_VALUE"""),"url:""https://api.github.com/repos/adixmr/leetcode/git/trees/d909541dc02287bb3db2bfc31193377a79ef0ca1""}")</f>
        <v>url:"https://api.github.com/repos/adixmr/leetcode/git/trees/d909541dc02287bb3db2bfc31193377a79ef0ca1"}</v>
      </c>
      <c r="ASV2" s="20" t="str">
        <f>IFERROR(__xludf.DUMMYFUNCTION("""COMPUTED_VALUE"""),"url:""https://api.github.com/repos/adixmr/leetcode/git/commits/5e0cd46fec08fe5e83ec6a7d28360a4ecce15e69""")</f>
        <v>url:"https://api.github.com/repos/adixmr/leetcode/git/commits/5e0cd46fec08fe5e83ec6a7d28360a4ecce15e69"</v>
      </c>
      <c r="ASW2" s="20" t="str">
        <f>IFERROR(__xludf.DUMMYFUNCTION("""COMPUTED_VALUE"""),"comment_count:0")</f>
        <v>comment_count:0</v>
      </c>
      <c r="ASX2" s="20" t="str">
        <f>IFERROR(__xludf.DUMMYFUNCTION("""COMPUTED_VALUE"""),"verification:{""verified"":false")</f>
        <v>verification:{"verified":false</v>
      </c>
      <c r="ASY2" s="20" t="str">
        <f>IFERROR(__xludf.DUMMYFUNCTION("""COMPUTED_VALUE"""),"reason:""unsigned""")</f>
        <v>reason:"unsigned"</v>
      </c>
      <c r="ASZ2" s="20" t="str">
        <f>IFERROR(__xludf.DUMMYFUNCTION("""COMPUTED_VALUE"""),"signature:null")</f>
        <v>signature:null</v>
      </c>
      <c r="ATA2" s="20" t="str">
        <f>IFERROR(__xludf.DUMMYFUNCTION("""COMPUTED_VALUE"""),"payload:null}}")</f>
        <v>payload:null}}</v>
      </c>
      <c r="ATB2" s="20" t="str">
        <f>IFERROR(__xludf.DUMMYFUNCTION("""COMPUTED_VALUE"""),"url:""https://api.github.com/repos/adixmr/leetcode/commits/5e0cd46fec08fe5e83ec6a7d28360a4ecce15e69""")</f>
        <v>url:"https://api.github.com/repos/adixmr/leetcode/commits/5e0cd46fec08fe5e83ec6a7d28360a4ecce15e69"</v>
      </c>
      <c r="ATC2" s="20" t="str">
        <f>IFERROR(__xludf.DUMMYFUNCTION("""COMPUTED_VALUE"""),"html_url:""https://github.com/adixmr/leetcode/commit/5e0cd46fec08fe5e83ec6a7d28360a4ecce15e69""")</f>
        <v>html_url:"https://github.com/adixmr/leetcode/commit/5e0cd46fec08fe5e83ec6a7d28360a4ecce15e69"</v>
      </c>
      <c r="ATD2" s="20" t="str">
        <f>IFERROR(__xludf.DUMMYFUNCTION("""COMPUTED_VALUE"""),"comments_url:""https://api.github.com/repos/adixmr/leetcode/commits/5e0cd46fec08fe5e83ec6a7d28360a4ecce15e69/comments""")</f>
        <v>comments_url:"https://api.github.com/repos/adixmr/leetcode/commits/5e0cd46fec08fe5e83ec6a7d28360a4ecce15e69/comments"</v>
      </c>
      <c r="ATE2" s="20" t="str">
        <f>IFERROR(__xludf.DUMMYFUNCTION("""COMPUTED_VALUE"""),"author:{""login"":""adixmr""")</f>
        <v>author:{"login":"adixmr"</v>
      </c>
      <c r="ATF2" s="20" t="str">
        <f>IFERROR(__xludf.DUMMYFUNCTION("""COMPUTED_VALUE"""),"id:42894359")</f>
        <v>id:42894359</v>
      </c>
      <c r="ATG2" s="20" t="str">
        <f>IFERROR(__xludf.DUMMYFUNCTION("""COMPUTED_VALUE"""),"node_id:""MDQ6VXNlcjQyODk0MzU5""")</f>
        <v>node_id:"MDQ6VXNlcjQyODk0MzU5"</v>
      </c>
      <c r="ATH2" s="20" t="str">
        <f>IFERROR(__xludf.DUMMYFUNCTION("""COMPUTED_VALUE"""),"avatar_url:""https://avatars.githubusercontent.com/u/42894359?v=4""")</f>
        <v>avatar_url:"https://avatars.githubusercontent.com/u/42894359?v=4"</v>
      </c>
      <c r="ATI2" s="20" t="str">
        <f>IFERROR(__xludf.DUMMYFUNCTION("""COMPUTED_VALUE"""),"gravatar_id:""""")</f>
        <v>gravatar_id:""</v>
      </c>
      <c r="ATJ2" s="20" t="str">
        <f>IFERROR(__xludf.DUMMYFUNCTION("""COMPUTED_VALUE"""),"url:""https://api.github.com/users/adixmr""")</f>
        <v>url:"https://api.github.com/users/adixmr"</v>
      </c>
      <c r="ATK2" s="20" t="str">
        <f>IFERROR(__xludf.DUMMYFUNCTION("""COMPUTED_VALUE"""),"html_url:""https://github.com/adixmr""")</f>
        <v>html_url:"https://github.com/adixmr"</v>
      </c>
      <c r="ATL2" s="20" t="str">
        <f>IFERROR(__xludf.DUMMYFUNCTION("""COMPUTED_VALUE"""),"followers_url:""https://api.github.com/users/adixmr/followers""")</f>
        <v>followers_url:"https://api.github.com/users/adixmr/followers"</v>
      </c>
      <c r="ATM2" s="20" t="str">
        <f>IFERROR(__xludf.DUMMYFUNCTION("""COMPUTED_VALUE"""),"following_url:""https://api.github.com/users/adixmr/following{/other_user}""")</f>
        <v>following_url:"https://api.github.com/users/adixmr/following{/other_user}"</v>
      </c>
      <c r="ATN2" s="20" t="str">
        <f>IFERROR(__xludf.DUMMYFUNCTION("""COMPUTED_VALUE"""),"gists_url:""https://api.github.com/users/adixmr/gists{/gist_id}""")</f>
        <v>gists_url:"https://api.github.com/users/adixmr/gists{/gist_id}"</v>
      </c>
      <c r="ATO2" s="20" t="str">
        <f>IFERROR(__xludf.DUMMYFUNCTION("""COMPUTED_VALUE"""),"starred_url:""https://api.github.com/users/adixmr/starred{/owner}{/repo}""")</f>
        <v>starred_url:"https://api.github.com/users/adixmr/starred{/owner}{/repo}"</v>
      </c>
      <c r="ATP2" s="20" t="str">
        <f>IFERROR(__xludf.DUMMYFUNCTION("""COMPUTED_VALUE"""),"subscriptions_url:""https://api.github.com/users/adixmr/subscriptions""")</f>
        <v>subscriptions_url:"https://api.github.com/users/adixmr/subscriptions"</v>
      </c>
      <c r="ATQ2" s="20" t="str">
        <f>IFERROR(__xludf.DUMMYFUNCTION("""COMPUTED_VALUE"""),"organizations_url:""https://api.github.com/users/adixmr/orgs""")</f>
        <v>organizations_url:"https://api.github.com/users/adixmr/orgs"</v>
      </c>
      <c r="ATR2" s="20" t="str">
        <f>IFERROR(__xludf.DUMMYFUNCTION("""COMPUTED_VALUE"""),"repos_url:""https://api.github.com/users/adixmr/repos""")</f>
        <v>repos_url:"https://api.github.com/users/adixmr/repos"</v>
      </c>
      <c r="ATS2" s="20" t="str">
        <f>IFERROR(__xludf.DUMMYFUNCTION("""COMPUTED_VALUE"""),"events_url:""https://api.github.com/users/adixmr/events{/privacy}""")</f>
        <v>events_url:"https://api.github.com/users/adixmr/events{/privacy}"</v>
      </c>
      <c r="ATT2" s="20" t="str">
        <f>IFERROR(__xludf.DUMMYFUNCTION("""COMPUTED_VALUE"""),"received_events_url:""https://api.github.com/users/adixmr/received_events""")</f>
        <v>received_events_url:"https://api.github.com/users/adixmr/received_events"</v>
      </c>
      <c r="ATU2" s="20" t="str">
        <f>IFERROR(__xludf.DUMMYFUNCTION("""COMPUTED_VALUE"""),"type:""User""")</f>
        <v>type:"User"</v>
      </c>
      <c r="ATV2" s="20" t="str">
        <f>IFERROR(__xludf.DUMMYFUNCTION("""COMPUTED_VALUE"""),"site_admin:false}")</f>
        <v>site_admin:false}</v>
      </c>
      <c r="ATW2" s="20" t="str">
        <f>IFERROR(__xludf.DUMMYFUNCTION("""COMPUTED_VALUE"""),"committer:{""login"":""adixmr""")</f>
        <v>committer:{"login":"adixmr"</v>
      </c>
      <c r="ATX2" s="20" t="str">
        <f>IFERROR(__xludf.DUMMYFUNCTION("""COMPUTED_VALUE"""),"id:42894359")</f>
        <v>id:42894359</v>
      </c>
      <c r="ATY2" s="20" t="str">
        <f>IFERROR(__xludf.DUMMYFUNCTION("""COMPUTED_VALUE"""),"node_id:""MDQ6VXNlcjQyODk0MzU5""")</f>
        <v>node_id:"MDQ6VXNlcjQyODk0MzU5"</v>
      </c>
      <c r="ATZ2" s="20" t="str">
        <f>IFERROR(__xludf.DUMMYFUNCTION("""COMPUTED_VALUE"""),"avatar_url:""https://avatars.githubusercontent.com/u/42894359?v=4""")</f>
        <v>avatar_url:"https://avatars.githubusercontent.com/u/42894359?v=4"</v>
      </c>
      <c r="AUA2" s="20" t="str">
        <f>IFERROR(__xludf.DUMMYFUNCTION("""COMPUTED_VALUE"""),"gravatar_id:""""")</f>
        <v>gravatar_id:""</v>
      </c>
      <c r="AUB2" s="20" t="str">
        <f>IFERROR(__xludf.DUMMYFUNCTION("""COMPUTED_VALUE"""),"url:""https://api.github.com/users/adixmr""")</f>
        <v>url:"https://api.github.com/users/adixmr"</v>
      </c>
      <c r="AUC2" s="20" t="str">
        <f>IFERROR(__xludf.DUMMYFUNCTION("""COMPUTED_VALUE"""),"html_url:""https://github.com/adixmr""")</f>
        <v>html_url:"https://github.com/adixmr"</v>
      </c>
      <c r="AUD2" s="20" t="str">
        <f>IFERROR(__xludf.DUMMYFUNCTION("""COMPUTED_VALUE"""),"followers_url:""https://api.github.com/users/adixmr/followers""")</f>
        <v>followers_url:"https://api.github.com/users/adixmr/followers"</v>
      </c>
      <c r="AUE2" s="20" t="str">
        <f>IFERROR(__xludf.DUMMYFUNCTION("""COMPUTED_VALUE"""),"following_url:""https://api.github.com/users/adixmr/following{/other_user}""")</f>
        <v>following_url:"https://api.github.com/users/adixmr/following{/other_user}"</v>
      </c>
      <c r="AUF2" s="20" t="str">
        <f>IFERROR(__xludf.DUMMYFUNCTION("""COMPUTED_VALUE"""),"gists_url:""https://api.github.com/users/adixmr/gists{/gist_id}""")</f>
        <v>gists_url:"https://api.github.com/users/adixmr/gists{/gist_id}"</v>
      </c>
      <c r="AUG2" s="20" t="str">
        <f>IFERROR(__xludf.DUMMYFUNCTION("""COMPUTED_VALUE"""),"starred_url:""https://api.github.com/users/adixmr/starred{/owner}{/repo}""")</f>
        <v>starred_url:"https://api.github.com/users/adixmr/starred{/owner}{/repo}"</v>
      </c>
      <c r="AUH2" s="20" t="str">
        <f>IFERROR(__xludf.DUMMYFUNCTION("""COMPUTED_VALUE"""),"subscriptions_url:""https://api.github.com/users/adixmr/subscriptions""")</f>
        <v>subscriptions_url:"https://api.github.com/users/adixmr/subscriptions"</v>
      </c>
      <c r="AUI2" s="20" t="str">
        <f>IFERROR(__xludf.DUMMYFUNCTION("""COMPUTED_VALUE"""),"organizations_url:""https://api.github.com/users/adixmr/orgs""")</f>
        <v>organizations_url:"https://api.github.com/users/adixmr/orgs"</v>
      </c>
      <c r="AUJ2" s="20" t="str">
        <f>IFERROR(__xludf.DUMMYFUNCTION("""COMPUTED_VALUE"""),"repos_url:""https://api.github.com/users/adixmr/repos""")</f>
        <v>repos_url:"https://api.github.com/users/adixmr/repos"</v>
      </c>
      <c r="AUK2" s="20" t="str">
        <f>IFERROR(__xludf.DUMMYFUNCTION("""COMPUTED_VALUE"""),"events_url:""https://api.github.com/users/adixmr/events{/privacy}""")</f>
        <v>events_url:"https://api.github.com/users/adixmr/events{/privacy}"</v>
      </c>
      <c r="AUL2" s="20" t="str">
        <f>IFERROR(__xludf.DUMMYFUNCTION("""COMPUTED_VALUE"""),"received_events_url:""https://api.github.com/users/adixmr/received_events""")</f>
        <v>received_events_url:"https://api.github.com/users/adixmr/received_events"</v>
      </c>
      <c r="AUM2" s="20" t="str">
        <f>IFERROR(__xludf.DUMMYFUNCTION("""COMPUTED_VALUE"""),"type:""User""")</f>
        <v>type:"User"</v>
      </c>
      <c r="AUN2" s="20" t="str">
        <f>IFERROR(__xludf.DUMMYFUNCTION("""COMPUTED_VALUE"""),"site_admin:false}")</f>
        <v>site_admin:false}</v>
      </c>
      <c r="AUO2" s="20" t="str">
        <f>IFERROR(__xludf.DUMMYFUNCTION("""COMPUTED_VALUE"""),"parents:[{""sha"":""4ba6e44056f50b0a3a91dab6ae8e05c65ea58559""")</f>
        <v>parents:[{"sha":"4ba6e44056f50b0a3a91dab6ae8e05c65ea58559"</v>
      </c>
      <c r="AUP2" s="20" t="str">
        <f>IFERROR(__xludf.DUMMYFUNCTION("""COMPUTED_VALUE"""),"url:""https://api.github.com/repos/adixmr/leetcode/commits/4ba6e44056f50b0a3a91dab6ae8e05c65ea58559""")</f>
        <v>url:"https://api.github.com/repos/adixmr/leetcode/commits/4ba6e44056f50b0a3a91dab6ae8e05c65ea58559"</v>
      </c>
      <c r="AUQ2" s="20" t="str">
        <f>IFERROR(__xludf.DUMMYFUNCTION("""COMPUTED_VALUE"""),"html_url:""https://github.com/adixmr/leetcode/commit/4ba6e44056f50b0a3a91dab6ae8e05c65ea58559""}]}")</f>
        <v>html_url:"https://github.com/adixmr/leetcode/commit/4ba6e44056f50b0a3a91dab6ae8e05c65ea58559"}]}</v>
      </c>
      <c r="AUR2" s="20" t="str">
        <f>IFERROR(__xludf.DUMMYFUNCTION("""COMPUTED_VALUE"""),"{""sha"":""4ba6e44056f50b0a3a91dab6ae8e05c65ea58559""")</f>
        <v>{"sha":"4ba6e44056f50b0a3a91dab6ae8e05c65ea58559"</v>
      </c>
      <c r="AUS2" s="20" t="str">
        <f>IFERROR(__xludf.DUMMYFUNCTION("""COMPUTED_VALUE"""),"node_id:""C_kwDOG-OgStoAKDRiYTZlNDQwNTZmNTBiMGEzYTkxZGFiNmFlOGUwNWM2NWVhNTg1NTk""")</f>
        <v>node_id:"C_kwDOG-OgStoAKDRiYTZlNDQwNTZmNTBiMGEzYTkxZGFiNmFlOGUwNWM2NWVhNTg1NTk"</v>
      </c>
      <c r="AUT2" s="20" t="str">
        <f>IFERROR(__xludf.DUMMYFUNCTION("""COMPUTED_VALUE"""),"commit:{""author"":{""name"":""Aditya Rajput""")</f>
        <v>commit:{"author":{"name":"Aditya Rajput"</v>
      </c>
      <c r="AUU2" s="20" t="str">
        <f>IFERROR(__xludf.DUMMYFUNCTION("""COMPUTED_VALUE"""),"email:""aditya.icf@gmail.com""")</f>
        <v>email:"aditya.icf@gmail.com"</v>
      </c>
      <c r="AUV2" s="20" t="str">
        <f>IFERROR(__xludf.DUMMYFUNCTION("""COMPUTED_VALUE"""),"date:""2022-12-07T12:30:01Z""}")</f>
        <v>date:"2022-12-07T12:30:01Z"}</v>
      </c>
      <c r="AUW2" s="20" t="str">
        <f>IFERROR(__xludf.DUMMYFUNCTION("""COMPUTED_VALUE"""),"committer:{""name"":""Aditya Rajput""")</f>
        <v>committer:{"name":"Aditya Rajput"</v>
      </c>
      <c r="AUX2" s="20" t="str">
        <f>IFERROR(__xludf.DUMMYFUNCTION("""COMPUTED_VALUE"""),"email:""aditya.icf@gmail.com""")</f>
        <v>email:"aditya.icf@gmail.com"</v>
      </c>
      <c r="AUY2" s="20" t="str">
        <f>IFERROR(__xludf.DUMMYFUNCTION("""COMPUTED_VALUE"""),"date:""2022-12-07T12:30:01Z""}")</f>
        <v>date:"2022-12-07T12:30:01Z"}</v>
      </c>
      <c r="AUZ2" s="20" t="str">
        <f>IFERROR(__xludf.DUMMYFUNCTION("""COMPUTED_VALUE"""),"message:""Daily update by cron""")</f>
        <v>message:"Daily update by cron"</v>
      </c>
      <c r="AVA2" s="20" t="str">
        <f>IFERROR(__xludf.DUMMYFUNCTION("""COMPUTED_VALUE"""),"tree:{""sha"":""833c9b87806a45f71d6e6b030a66a2d5eaa14f30""")</f>
        <v>tree:{"sha":"833c9b87806a45f71d6e6b030a66a2d5eaa14f30"</v>
      </c>
      <c r="AVB2" s="20" t="str">
        <f>IFERROR(__xludf.DUMMYFUNCTION("""COMPUTED_VALUE"""),"url:""https://api.github.com/repos/adixmr/leetcode/git/trees/833c9b87806a45f71d6e6b030a66a2d5eaa14f30""}")</f>
        <v>url:"https://api.github.com/repos/adixmr/leetcode/git/trees/833c9b87806a45f71d6e6b030a66a2d5eaa14f30"}</v>
      </c>
      <c r="AVC2" s="20" t="str">
        <f>IFERROR(__xludf.DUMMYFUNCTION("""COMPUTED_VALUE"""),"url:""https://api.github.com/repos/adixmr/leetcode/git/commits/4ba6e44056f50b0a3a91dab6ae8e05c65ea58559""")</f>
        <v>url:"https://api.github.com/repos/adixmr/leetcode/git/commits/4ba6e44056f50b0a3a91dab6ae8e05c65ea58559"</v>
      </c>
      <c r="AVD2" s="20" t="str">
        <f>IFERROR(__xludf.DUMMYFUNCTION("""COMPUTED_VALUE"""),"comment_count:0")</f>
        <v>comment_count:0</v>
      </c>
      <c r="AVE2" s="20" t="str">
        <f>IFERROR(__xludf.DUMMYFUNCTION("""COMPUTED_VALUE"""),"verification:{""verified"":false")</f>
        <v>verification:{"verified":false</v>
      </c>
      <c r="AVF2" s="20" t="str">
        <f>IFERROR(__xludf.DUMMYFUNCTION("""COMPUTED_VALUE"""),"reason:""unsigned""")</f>
        <v>reason:"unsigned"</v>
      </c>
      <c r="AVG2" s="20" t="str">
        <f>IFERROR(__xludf.DUMMYFUNCTION("""COMPUTED_VALUE"""),"signature:null")</f>
        <v>signature:null</v>
      </c>
      <c r="AVH2" s="20" t="str">
        <f>IFERROR(__xludf.DUMMYFUNCTION("""COMPUTED_VALUE"""),"payload:null}}")</f>
        <v>payload:null}}</v>
      </c>
      <c r="AVI2" s="20" t="str">
        <f>IFERROR(__xludf.DUMMYFUNCTION("""COMPUTED_VALUE"""),"url:""https://api.github.com/repos/adixmr/leetcode/commits/4ba6e44056f50b0a3a91dab6ae8e05c65ea58559""")</f>
        <v>url:"https://api.github.com/repos/adixmr/leetcode/commits/4ba6e44056f50b0a3a91dab6ae8e05c65ea58559"</v>
      </c>
      <c r="AVJ2" s="20" t="str">
        <f>IFERROR(__xludf.DUMMYFUNCTION("""COMPUTED_VALUE"""),"html_url:""https://github.com/adixmr/leetcode/commit/4ba6e44056f50b0a3a91dab6ae8e05c65ea58559""")</f>
        <v>html_url:"https://github.com/adixmr/leetcode/commit/4ba6e44056f50b0a3a91dab6ae8e05c65ea58559"</v>
      </c>
      <c r="AVK2" s="20" t="str">
        <f>IFERROR(__xludf.DUMMYFUNCTION("""COMPUTED_VALUE"""),"comments_url:""https://api.github.com/repos/adixmr/leetcode/commits/4ba6e44056f50b0a3a91dab6ae8e05c65ea58559/comments""")</f>
        <v>comments_url:"https://api.github.com/repos/adixmr/leetcode/commits/4ba6e44056f50b0a3a91dab6ae8e05c65ea58559/comments"</v>
      </c>
      <c r="AVL2" s="20" t="str">
        <f>IFERROR(__xludf.DUMMYFUNCTION("""COMPUTED_VALUE"""),"author:{""login"":""adixmr""")</f>
        <v>author:{"login":"adixmr"</v>
      </c>
      <c r="AVM2" s="20" t="str">
        <f>IFERROR(__xludf.DUMMYFUNCTION("""COMPUTED_VALUE"""),"id:42894359")</f>
        <v>id:42894359</v>
      </c>
      <c r="AVN2" s="20" t="str">
        <f>IFERROR(__xludf.DUMMYFUNCTION("""COMPUTED_VALUE"""),"node_id:""MDQ6VXNlcjQyODk0MzU5""")</f>
        <v>node_id:"MDQ6VXNlcjQyODk0MzU5"</v>
      </c>
      <c r="AVO2" s="20" t="str">
        <f>IFERROR(__xludf.DUMMYFUNCTION("""COMPUTED_VALUE"""),"avatar_url:""https://avatars.githubusercontent.com/u/42894359?v=4""")</f>
        <v>avatar_url:"https://avatars.githubusercontent.com/u/42894359?v=4"</v>
      </c>
      <c r="AVP2" s="20" t="str">
        <f>IFERROR(__xludf.DUMMYFUNCTION("""COMPUTED_VALUE"""),"gravatar_id:""""")</f>
        <v>gravatar_id:""</v>
      </c>
      <c r="AVQ2" s="20" t="str">
        <f>IFERROR(__xludf.DUMMYFUNCTION("""COMPUTED_VALUE"""),"url:""https://api.github.com/users/adixmr""")</f>
        <v>url:"https://api.github.com/users/adixmr"</v>
      </c>
      <c r="AVR2" s="20" t="str">
        <f>IFERROR(__xludf.DUMMYFUNCTION("""COMPUTED_VALUE"""),"html_url:""https://github.com/adixmr""")</f>
        <v>html_url:"https://github.com/adixmr"</v>
      </c>
      <c r="AVS2" s="20" t="str">
        <f>IFERROR(__xludf.DUMMYFUNCTION("""COMPUTED_VALUE"""),"followers_url:""https://api.github.com/users/adixmr/followers""")</f>
        <v>followers_url:"https://api.github.com/users/adixmr/followers"</v>
      </c>
      <c r="AVT2" s="20" t="str">
        <f>IFERROR(__xludf.DUMMYFUNCTION("""COMPUTED_VALUE"""),"following_url:""https://api.github.com/users/adixmr/following{/other_user}""")</f>
        <v>following_url:"https://api.github.com/users/adixmr/following{/other_user}"</v>
      </c>
      <c r="AVU2" s="20" t="str">
        <f>IFERROR(__xludf.DUMMYFUNCTION("""COMPUTED_VALUE"""),"gists_url:""https://api.github.com/users/adixmr/gists{/gist_id}""")</f>
        <v>gists_url:"https://api.github.com/users/adixmr/gists{/gist_id}"</v>
      </c>
      <c r="AVV2" s="20" t="str">
        <f>IFERROR(__xludf.DUMMYFUNCTION("""COMPUTED_VALUE"""),"starred_url:""https://api.github.com/users/adixmr/starred{/owner}{/repo}""")</f>
        <v>starred_url:"https://api.github.com/users/adixmr/starred{/owner}{/repo}"</v>
      </c>
      <c r="AVW2" s="20" t="str">
        <f>IFERROR(__xludf.DUMMYFUNCTION("""COMPUTED_VALUE"""),"subscriptions_url:""https://api.github.com/users/adixmr/subscriptions""")</f>
        <v>subscriptions_url:"https://api.github.com/users/adixmr/subscriptions"</v>
      </c>
      <c r="AVX2" s="20" t="str">
        <f>IFERROR(__xludf.DUMMYFUNCTION("""COMPUTED_VALUE"""),"organizations_url:""https://api.github.com/users/adixmr/orgs""")</f>
        <v>organizations_url:"https://api.github.com/users/adixmr/orgs"</v>
      </c>
      <c r="AVY2" s="20" t="str">
        <f>IFERROR(__xludf.DUMMYFUNCTION("""COMPUTED_VALUE"""),"repos_url:""https://api.github.com/users/adixmr/repos""")</f>
        <v>repos_url:"https://api.github.com/users/adixmr/repos"</v>
      </c>
      <c r="AVZ2" s="20" t="str">
        <f>IFERROR(__xludf.DUMMYFUNCTION("""COMPUTED_VALUE"""),"events_url:""https://api.github.com/users/adixmr/events{/privacy}""")</f>
        <v>events_url:"https://api.github.com/users/adixmr/events{/privacy}"</v>
      </c>
      <c r="AWA2" s="20" t="str">
        <f>IFERROR(__xludf.DUMMYFUNCTION("""COMPUTED_VALUE"""),"received_events_url:""https://api.github.com/users/adixmr/received_events""")</f>
        <v>received_events_url:"https://api.github.com/users/adixmr/received_events"</v>
      </c>
      <c r="AWB2" s="20" t="str">
        <f>IFERROR(__xludf.DUMMYFUNCTION("""COMPUTED_VALUE"""),"type:""User""")</f>
        <v>type:"User"</v>
      </c>
      <c r="AWC2" s="20" t="str">
        <f>IFERROR(__xludf.DUMMYFUNCTION("""COMPUTED_VALUE"""),"site_admin:false}")</f>
        <v>site_admin:false}</v>
      </c>
      <c r="AWD2" s="20" t="str">
        <f>IFERROR(__xludf.DUMMYFUNCTION("""COMPUTED_VALUE"""),"committer:{""login"":""adixmr""")</f>
        <v>committer:{"login":"adixmr"</v>
      </c>
      <c r="AWE2" s="20" t="str">
        <f>IFERROR(__xludf.DUMMYFUNCTION("""COMPUTED_VALUE"""),"id:42894359")</f>
        <v>id:42894359</v>
      </c>
      <c r="AWF2" s="20" t="str">
        <f>IFERROR(__xludf.DUMMYFUNCTION("""COMPUTED_VALUE"""),"node_id:""MDQ6VXNlcjQyODk0MzU5""")</f>
        <v>node_id:"MDQ6VXNlcjQyODk0MzU5"</v>
      </c>
      <c r="AWG2" s="20" t="str">
        <f>IFERROR(__xludf.DUMMYFUNCTION("""COMPUTED_VALUE"""),"avatar_url:""https://avatars.githubusercontent.com/u/42894359?v=4""")</f>
        <v>avatar_url:"https://avatars.githubusercontent.com/u/42894359?v=4"</v>
      </c>
      <c r="AWH2" s="20" t="str">
        <f>IFERROR(__xludf.DUMMYFUNCTION("""COMPUTED_VALUE"""),"gravatar_id:""""")</f>
        <v>gravatar_id:""</v>
      </c>
      <c r="AWI2" s="20" t="str">
        <f>IFERROR(__xludf.DUMMYFUNCTION("""COMPUTED_VALUE"""),"url:""https://api.github.com/users/adixmr""")</f>
        <v>url:"https://api.github.com/users/adixmr"</v>
      </c>
      <c r="AWJ2" s="20" t="str">
        <f>IFERROR(__xludf.DUMMYFUNCTION("""COMPUTED_VALUE"""),"html_url:""https://github.com/adixmr""")</f>
        <v>html_url:"https://github.com/adixmr"</v>
      </c>
      <c r="AWK2" s="20" t="str">
        <f>IFERROR(__xludf.DUMMYFUNCTION("""COMPUTED_VALUE"""),"followers_url:""https://api.github.com/users/adixmr/followers""")</f>
        <v>followers_url:"https://api.github.com/users/adixmr/followers"</v>
      </c>
      <c r="AWL2" s="20" t="str">
        <f>IFERROR(__xludf.DUMMYFUNCTION("""COMPUTED_VALUE"""),"following_url:""https://api.github.com/users/adixmr/following{/other_user}""")</f>
        <v>following_url:"https://api.github.com/users/adixmr/following{/other_user}"</v>
      </c>
      <c r="AWM2" s="20" t="str">
        <f>IFERROR(__xludf.DUMMYFUNCTION("""COMPUTED_VALUE"""),"gists_url:""https://api.github.com/users/adixmr/gists{/gist_id}""")</f>
        <v>gists_url:"https://api.github.com/users/adixmr/gists{/gist_id}"</v>
      </c>
      <c r="AWN2" s="20" t="str">
        <f>IFERROR(__xludf.DUMMYFUNCTION("""COMPUTED_VALUE"""),"starred_url:""https://api.github.com/users/adixmr/starred{/owner}{/repo}""")</f>
        <v>starred_url:"https://api.github.com/users/adixmr/starred{/owner}{/repo}"</v>
      </c>
      <c r="AWO2" s="20" t="str">
        <f>IFERROR(__xludf.DUMMYFUNCTION("""COMPUTED_VALUE"""),"subscriptions_url:""https://api.github.com/users/adixmr/subscriptions""")</f>
        <v>subscriptions_url:"https://api.github.com/users/adixmr/subscriptions"</v>
      </c>
      <c r="AWP2" s="20" t="str">
        <f>IFERROR(__xludf.DUMMYFUNCTION("""COMPUTED_VALUE"""),"organizations_url:""https://api.github.com/users/adixmr/orgs""")</f>
        <v>organizations_url:"https://api.github.com/users/adixmr/orgs"</v>
      </c>
      <c r="AWQ2" s="20" t="str">
        <f>IFERROR(__xludf.DUMMYFUNCTION("""COMPUTED_VALUE"""),"repos_url:""https://api.github.com/users/adixmr/repos""")</f>
        <v>repos_url:"https://api.github.com/users/adixmr/repos"</v>
      </c>
      <c r="AWR2" s="20" t="str">
        <f>IFERROR(__xludf.DUMMYFUNCTION("""COMPUTED_VALUE"""),"events_url:""https://api.github.com/users/adixmr/events{/privacy}""")</f>
        <v>events_url:"https://api.github.com/users/adixmr/events{/privacy}"</v>
      </c>
      <c r="AWS2" s="20" t="str">
        <f>IFERROR(__xludf.DUMMYFUNCTION("""COMPUTED_VALUE"""),"received_events_url:""https://api.github.com/users/adixmr/received_events""")</f>
        <v>received_events_url:"https://api.github.com/users/adixmr/received_events"</v>
      </c>
      <c r="AWT2" s="20" t="str">
        <f>IFERROR(__xludf.DUMMYFUNCTION("""COMPUTED_VALUE"""),"type:""User""")</f>
        <v>type:"User"</v>
      </c>
      <c r="AWU2" s="20" t="str">
        <f>IFERROR(__xludf.DUMMYFUNCTION("""COMPUTED_VALUE"""),"site_admin:false}")</f>
        <v>site_admin:false}</v>
      </c>
      <c r="AWV2" s="20" t="str">
        <f>IFERROR(__xludf.DUMMYFUNCTION("""COMPUTED_VALUE"""),"parents:[{""sha"":""b84e11777095442788f3ad03b0e53a7ff4b5423c""")</f>
        <v>parents:[{"sha":"b84e11777095442788f3ad03b0e53a7ff4b5423c"</v>
      </c>
      <c r="AWW2" s="20" t="str">
        <f>IFERROR(__xludf.DUMMYFUNCTION("""COMPUTED_VALUE"""),"url:""https://api.github.com/repos/adixmr/leetcode/commits/b84e11777095442788f3ad03b0e53a7ff4b5423c""")</f>
        <v>url:"https://api.github.com/repos/adixmr/leetcode/commits/b84e11777095442788f3ad03b0e53a7ff4b5423c"</v>
      </c>
      <c r="AWX2" s="20" t="str">
        <f>IFERROR(__xludf.DUMMYFUNCTION("""COMPUTED_VALUE"""),"html_url:""https://github.com/adixmr/leetcode/commit/b84e11777095442788f3ad03b0e53a7ff4b5423c""}]}")</f>
        <v>html_url:"https://github.com/adixmr/leetcode/commit/b84e11777095442788f3ad03b0e53a7ff4b5423c"}]}</v>
      </c>
      <c r="AWY2" s="20" t="str">
        <f>IFERROR(__xludf.DUMMYFUNCTION("""COMPUTED_VALUE"""),"{""sha"":""b84e11777095442788f3ad03b0e53a7ff4b5423c""")</f>
        <v>{"sha":"b84e11777095442788f3ad03b0e53a7ff4b5423c"</v>
      </c>
      <c r="AWZ2" s="20" t="str">
        <f>IFERROR(__xludf.DUMMYFUNCTION("""COMPUTED_VALUE"""),"node_id:""C_kwDOG-OgStoAKGI4NGUxMTc3NzA5NTQ0Mjc4OGYzYWQwM2IwZTUzYTdmZjRiNTQyM2M""")</f>
        <v>node_id:"C_kwDOG-OgStoAKGI4NGUxMTc3NzA5NTQ0Mjc4OGYzYWQwM2IwZTUzYTdmZjRiNTQyM2M"</v>
      </c>
      <c r="AXA2" s="20" t="str">
        <f>IFERROR(__xludf.DUMMYFUNCTION("""COMPUTED_VALUE"""),"commit:{""author"":{""name"":""Aditya Rajput""")</f>
        <v>commit:{"author":{"name":"Aditya Rajput"</v>
      </c>
      <c r="AXB2" s="20" t="str">
        <f>IFERROR(__xludf.DUMMYFUNCTION("""COMPUTED_VALUE"""),"email:""aditya.icf@gmail.com""")</f>
        <v>email:"aditya.icf@gmail.com"</v>
      </c>
      <c r="AXC2" s="20" t="str">
        <f>IFERROR(__xludf.DUMMYFUNCTION("""COMPUTED_VALUE"""),"date:""2022-12-06T12:30:01Z""}")</f>
        <v>date:"2022-12-06T12:30:01Z"}</v>
      </c>
      <c r="AXD2" s="20" t="str">
        <f>IFERROR(__xludf.DUMMYFUNCTION("""COMPUTED_VALUE"""),"committer:{""name"":""Aditya Rajput""")</f>
        <v>committer:{"name":"Aditya Rajput"</v>
      </c>
      <c r="AXE2" s="20" t="str">
        <f>IFERROR(__xludf.DUMMYFUNCTION("""COMPUTED_VALUE"""),"email:""aditya.icf@gmail.com""")</f>
        <v>email:"aditya.icf@gmail.com"</v>
      </c>
      <c r="AXF2" s="20" t="str">
        <f>IFERROR(__xludf.DUMMYFUNCTION("""COMPUTED_VALUE"""),"date:""2022-12-06T12:30:01Z""}")</f>
        <v>date:"2022-12-06T12:30:01Z"}</v>
      </c>
      <c r="AXG2" s="20" t="str">
        <f>IFERROR(__xludf.DUMMYFUNCTION("""COMPUTED_VALUE"""),"message:""Daily update by cron""")</f>
        <v>message:"Daily update by cron"</v>
      </c>
      <c r="AXH2" s="20" t="str">
        <f>IFERROR(__xludf.DUMMYFUNCTION("""COMPUTED_VALUE"""),"tree:{""sha"":""53261b51cfe12949aa76ecf4ad794c2cb616dd60""")</f>
        <v>tree:{"sha":"53261b51cfe12949aa76ecf4ad794c2cb616dd60"</v>
      </c>
      <c r="AXI2" s="20" t="str">
        <f>IFERROR(__xludf.DUMMYFUNCTION("""COMPUTED_VALUE"""),"url:""https://api.github.com/repos/adixmr/leetcode/git/trees/53261b51cfe12949aa76ecf4ad794c2cb616dd60""}")</f>
        <v>url:"https://api.github.com/repos/adixmr/leetcode/git/trees/53261b51cfe12949aa76ecf4ad794c2cb616dd60"}</v>
      </c>
      <c r="AXJ2" s="20" t="str">
        <f>IFERROR(__xludf.DUMMYFUNCTION("""COMPUTED_VALUE"""),"url:""https://api.github.com/repos/adixmr/leetcode/git/commits/b84e11777095442788f3ad03b0e53a7ff4b5423c""")</f>
        <v>url:"https://api.github.com/repos/adixmr/leetcode/git/commits/b84e11777095442788f3ad03b0e53a7ff4b5423c"</v>
      </c>
      <c r="AXK2" s="20" t="str">
        <f>IFERROR(__xludf.DUMMYFUNCTION("""COMPUTED_VALUE"""),"comment_count:0")</f>
        <v>comment_count:0</v>
      </c>
      <c r="AXL2" s="20" t="str">
        <f>IFERROR(__xludf.DUMMYFUNCTION("""COMPUTED_VALUE"""),"verification:{""verified"":false")</f>
        <v>verification:{"verified":false</v>
      </c>
      <c r="AXM2" s="20" t="str">
        <f>IFERROR(__xludf.DUMMYFUNCTION("""COMPUTED_VALUE"""),"reason:""unsigned""")</f>
        <v>reason:"unsigned"</v>
      </c>
      <c r="AXN2" s="20" t="str">
        <f>IFERROR(__xludf.DUMMYFUNCTION("""COMPUTED_VALUE"""),"signature:null")</f>
        <v>signature:null</v>
      </c>
      <c r="AXO2" s="20" t="str">
        <f>IFERROR(__xludf.DUMMYFUNCTION("""COMPUTED_VALUE"""),"payload:null}}")</f>
        <v>payload:null}}</v>
      </c>
      <c r="AXP2" s="20" t="str">
        <f>IFERROR(__xludf.DUMMYFUNCTION("""COMPUTED_VALUE"""),"url:""https://api.github.com/repos/adixmr/leetcode/commits/b84e11777095442788f3ad03b0e53a7ff4b5423c""")</f>
        <v>url:"https://api.github.com/repos/adixmr/leetcode/commits/b84e11777095442788f3ad03b0e53a7ff4b5423c"</v>
      </c>
      <c r="AXQ2" s="20" t="str">
        <f>IFERROR(__xludf.DUMMYFUNCTION("""COMPUTED_VALUE"""),"html_url:""https://github.com/adixmr/leetcode/commit/b84e11777095442788f3ad03b0e53a7ff4b5423c""")</f>
        <v>html_url:"https://github.com/adixmr/leetcode/commit/b84e11777095442788f3ad03b0e53a7ff4b5423c"</v>
      </c>
      <c r="AXR2" s="20" t="str">
        <f>IFERROR(__xludf.DUMMYFUNCTION("""COMPUTED_VALUE"""),"comments_url:""https://api.github.com/repos/adixmr/leetcode/commits/b84e11777095442788f3ad03b0e53a7ff4b5423c/comments""")</f>
        <v>comments_url:"https://api.github.com/repos/adixmr/leetcode/commits/b84e11777095442788f3ad03b0e53a7ff4b5423c/comments"</v>
      </c>
      <c r="AXS2" s="20" t="str">
        <f>IFERROR(__xludf.DUMMYFUNCTION("""COMPUTED_VALUE"""),"author:{""login"":""adixmr""")</f>
        <v>author:{"login":"adixmr"</v>
      </c>
      <c r="AXT2" s="20" t="str">
        <f>IFERROR(__xludf.DUMMYFUNCTION("""COMPUTED_VALUE"""),"id:42894359")</f>
        <v>id:42894359</v>
      </c>
      <c r="AXU2" s="20" t="str">
        <f>IFERROR(__xludf.DUMMYFUNCTION("""COMPUTED_VALUE"""),"node_id:""MDQ6VXNlcjQyODk0MzU5""")</f>
        <v>node_id:"MDQ6VXNlcjQyODk0MzU5"</v>
      </c>
      <c r="AXV2" s="20" t="str">
        <f>IFERROR(__xludf.DUMMYFUNCTION("""COMPUTED_VALUE"""),"avatar_url:""https://avatars.githubusercontent.com/u/42894359?v=4""")</f>
        <v>avatar_url:"https://avatars.githubusercontent.com/u/42894359?v=4"</v>
      </c>
      <c r="AXW2" s="20" t="str">
        <f>IFERROR(__xludf.DUMMYFUNCTION("""COMPUTED_VALUE"""),"gravatar_id:""""")</f>
        <v>gravatar_id:""</v>
      </c>
      <c r="AXX2" s="20" t="str">
        <f>IFERROR(__xludf.DUMMYFUNCTION("""COMPUTED_VALUE"""),"url:""https://api.github.com/users/adixmr""")</f>
        <v>url:"https://api.github.com/users/adixmr"</v>
      </c>
      <c r="AXY2" s="20" t="str">
        <f>IFERROR(__xludf.DUMMYFUNCTION("""COMPUTED_VALUE"""),"html_url:""https://github.com/adixmr""")</f>
        <v>html_url:"https://github.com/adixmr"</v>
      </c>
      <c r="AXZ2" s="20" t="str">
        <f>IFERROR(__xludf.DUMMYFUNCTION("""COMPUTED_VALUE"""),"followers_url:""https://api.github.com/users/adixmr/followers""")</f>
        <v>followers_url:"https://api.github.com/users/adixmr/followers"</v>
      </c>
      <c r="AYA2" s="20" t="str">
        <f>IFERROR(__xludf.DUMMYFUNCTION("""COMPUTED_VALUE"""),"following_url:""https://api.github.com/users/adixmr/following{/other_user}""")</f>
        <v>following_url:"https://api.github.com/users/adixmr/following{/other_user}"</v>
      </c>
      <c r="AYB2" s="20" t="str">
        <f>IFERROR(__xludf.DUMMYFUNCTION("""COMPUTED_VALUE"""),"gists_url:""https://api.github.com/users/adixmr/gists{/gist_id}""")</f>
        <v>gists_url:"https://api.github.com/users/adixmr/gists{/gist_id}"</v>
      </c>
      <c r="AYC2" s="20" t="str">
        <f>IFERROR(__xludf.DUMMYFUNCTION("""COMPUTED_VALUE"""),"starred_url:""https://api.github.com/users/adixmr/starred{/owner}{/repo}""")</f>
        <v>starred_url:"https://api.github.com/users/adixmr/starred{/owner}{/repo}"</v>
      </c>
      <c r="AYD2" s="20" t="str">
        <f>IFERROR(__xludf.DUMMYFUNCTION("""COMPUTED_VALUE"""),"subscriptions_url:""https://api.github.com/users/adixmr/subscriptions""")</f>
        <v>subscriptions_url:"https://api.github.com/users/adixmr/subscriptions"</v>
      </c>
      <c r="AYE2" s="20" t="str">
        <f>IFERROR(__xludf.DUMMYFUNCTION("""COMPUTED_VALUE"""),"organizations_url:""https://api.github.com/users/adixmr/orgs""")</f>
        <v>organizations_url:"https://api.github.com/users/adixmr/orgs"</v>
      </c>
      <c r="AYF2" s="20" t="str">
        <f>IFERROR(__xludf.DUMMYFUNCTION("""COMPUTED_VALUE"""),"repos_url:""https://api.github.com/users/adixmr/repos""")</f>
        <v>repos_url:"https://api.github.com/users/adixmr/repos"</v>
      </c>
      <c r="AYG2" s="20" t="str">
        <f>IFERROR(__xludf.DUMMYFUNCTION("""COMPUTED_VALUE"""),"events_url:""https://api.github.com/users/adixmr/events{/privacy}""")</f>
        <v>events_url:"https://api.github.com/users/adixmr/events{/privacy}"</v>
      </c>
      <c r="AYH2" s="20" t="str">
        <f>IFERROR(__xludf.DUMMYFUNCTION("""COMPUTED_VALUE"""),"received_events_url:""https://api.github.com/users/adixmr/received_events""")</f>
        <v>received_events_url:"https://api.github.com/users/adixmr/received_events"</v>
      </c>
      <c r="AYI2" s="20" t="str">
        <f>IFERROR(__xludf.DUMMYFUNCTION("""COMPUTED_VALUE"""),"type:""User""")</f>
        <v>type:"User"</v>
      </c>
      <c r="AYJ2" s="20" t="str">
        <f>IFERROR(__xludf.DUMMYFUNCTION("""COMPUTED_VALUE"""),"site_admin:false}")</f>
        <v>site_admin:false}</v>
      </c>
      <c r="AYK2" s="20" t="str">
        <f>IFERROR(__xludf.DUMMYFUNCTION("""COMPUTED_VALUE"""),"committer:{""login"":""adixmr""")</f>
        <v>committer:{"login":"adixmr"</v>
      </c>
      <c r="AYL2" s="20" t="str">
        <f>IFERROR(__xludf.DUMMYFUNCTION("""COMPUTED_VALUE"""),"id:42894359")</f>
        <v>id:42894359</v>
      </c>
      <c r="AYM2" s="20" t="str">
        <f>IFERROR(__xludf.DUMMYFUNCTION("""COMPUTED_VALUE"""),"node_id:""MDQ6VXNlcjQyODk0MzU5""")</f>
        <v>node_id:"MDQ6VXNlcjQyODk0MzU5"</v>
      </c>
      <c r="AYN2" s="20" t="str">
        <f>IFERROR(__xludf.DUMMYFUNCTION("""COMPUTED_VALUE"""),"avatar_url:""https://avatars.githubusercontent.com/u/42894359?v=4""")</f>
        <v>avatar_url:"https://avatars.githubusercontent.com/u/42894359?v=4"</v>
      </c>
      <c r="AYO2" s="20" t="str">
        <f>IFERROR(__xludf.DUMMYFUNCTION("""COMPUTED_VALUE"""),"gravatar_id:""""")</f>
        <v>gravatar_id:""</v>
      </c>
      <c r="AYP2" s="20" t="str">
        <f>IFERROR(__xludf.DUMMYFUNCTION("""COMPUTED_VALUE"""),"url:""https://api.github.com/users/adixmr""")</f>
        <v>url:"https://api.github.com/users/adixmr"</v>
      </c>
      <c r="AYQ2" s="20" t="str">
        <f>IFERROR(__xludf.DUMMYFUNCTION("""COMPUTED_VALUE"""),"html_url:""https://github.com/adixmr""")</f>
        <v>html_url:"https://github.com/adixmr"</v>
      </c>
      <c r="AYR2" s="20" t="str">
        <f>IFERROR(__xludf.DUMMYFUNCTION("""COMPUTED_VALUE"""),"followers_url:""https://api.github.com/users/adixmr/followers""")</f>
        <v>followers_url:"https://api.github.com/users/adixmr/followers"</v>
      </c>
      <c r="AYS2" s="20" t="str">
        <f>IFERROR(__xludf.DUMMYFUNCTION("""COMPUTED_VALUE"""),"following_url:""https://api.github.com/users/adixmr/following{/other_user}""")</f>
        <v>following_url:"https://api.github.com/users/adixmr/following{/other_user}"</v>
      </c>
      <c r="AYT2" s="20" t="str">
        <f>IFERROR(__xludf.DUMMYFUNCTION("""COMPUTED_VALUE"""),"gists_url:""https://api.github.com/users/adixmr/gists{/gist_id}""")</f>
        <v>gists_url:"https://api.github.com/users/adixmr/gists{/gist_id}"</v>
      </c>
      <c r="AYU2" s="20" t="str">
        <f>IFERROR(__xludf.DUMMYFUNCTION("""COMPUTED_VALUE"""),"starred_url:""https://api.github.com/users/adixmr/starred{/owner}{/repo}""")</f>
        <v>starred_url:"https://api.github.com/users/adixmr/starred{/owner}{/repo}"</v>
      </c>
      <c r="AYV2" s="20" t="str">
        <f>IFERROR(__xludf.DUMMYFUNCTION("""COMPUTED_VALUE"""),"subscriptions_url:""https://api.github.com/users/adixmr/subscriptions""")</f>
        <v>subscriptions_url:"https://api.github.com/users/adixmr/subscriptions"</v>
      </c>
      <c r="AYW2" s="20" t="str">
        <f>IFERROR(__xludf.DUMMYFUNCTION("""COMPUTED_VALUE"""),"organizations_url:""https://api.github.com/users/adixmr/orgs""")</f>
        <v>organizations_url:"https://api.github.com/users/adixmr/orgs"</v>
      </c>
      <c r="AYX2" s="20" t="str">
        <f>IFERROR(__xludf.DUMMYFUNCTION("""COMPUTED_VALUE"""),"repos_url:""https://api.github.com/users/adixmr/repos""")</f>
        <v>repos_url:"https://api.github.com/users/adixmr/repos"</v>
      </c>
      <c r="AYY2" s="20" t="str">
        <f>IFERROR(__xludf.DUMMYFUNCTION("""COMPUTED_VALUE"""),"events_url:""https://api.github.com/users/adixmr/events{/privacy}""")</f>
        <v>events_url:"https://api.github.com/users/adixmr/events{/privacy}"</v>
      </c>
      <c r="AYZ2" s="20" t="str">
        <f>IFERROR(__xludf.DUMMYFUNCTION("""COMPUTED_VALUE"""),"received_events_url:""https://api.github.com/users/adixmr/received_events""")</f>
        <v>received_events_url:"https://api.github.com/users/adixmr/received_events"</v>
      </c>
      <c r="AZA2" s="20" t="str">
        <f>IFERROR(__xludf.DUMMYFUNCTION("""COMPUTED_VALUE"""),"type:""User""")</f>
        <v>type:"User"</v>
      </c>
      <c r="AZB2" s="20" t="str">
        <f>IFERROR(__xludf.DUMMYFUNCTION("""COMPUTED_VALUE"""),"site_admin:false}")</f>
        <v>site_admin:false}</v>
      </c>
      <c r="AZC2" s="20" t="str">
        <f>IFERROR(__xludf.DUMMYFUNCTION("""COMPUTED_VALUE"""),"parents:[{""sha"":""e2fd2c82fb96d93c13d94905c1e03c97469cdaf0""")</f>
        <v>parents:[{"sha":"e2fd2c82fb96d93c13d94905c1e03c97469cdaf0"</v>
      </c>
      <c r="AZD2" s="20" t="str">
        <f>IFERROR(__xludf.DUMMYFUNCTION("""COMPUTED_VALUE"""),"url:""https://api.github.com/repos/adixmr/leetcode/commits/e2fd2c82fb96d93c13d94905c1e03c97469cdaf0""")</f>
        <v>url:"https://api.github.com/repos/adixmr/leetcode/commits/e2fd2c82fb96d93c13d94905c1e03c97469cdaf0"</v>
      </c>
      <c r="AZE2" s="20" t="str">
        <f>IFERROR(__xludf.DUMMYFUNCTION("""COMPUTED_VALUE"""),"html_url:""https://github.com/adixmr/leetcode/commit/e2fd2c82fb96d93c13d94905c1e03c97469cdaf0""}]}")</f>
        <v>html_url:"https://github.com/adixmr/leetcode/commit/e2fd2c82fb96d93c13d94905c1e03c97469cdaf0"}]}</v>
      </c>
      <c r="AZF2" s="20" t="str">
        <f>IFERROR(__xludf.DUMMYFUNCTION("""COMPUTED_VALUE"""),"{""sha"":""e2fd2c82fb96d93c13d94905c1e03c97469cdaf0""")</f>
        <v>{"sha":"e2fd2c82fb96d93c13d94905c1e03c97469cdaf0"</v>
      </c>
      <c r="AZG2" s="20" t="str">
        <f>IFERROR(__xludf.DUMMYFUNCTION("""COMPUTED_VALUE"""),"node_id:""C_kwDOG-OgStoAKGUyZmQyYzgyZmI5NmQ5M2MxM2Q5NDkwNWMxZTAzYzk3NDY5Y2RhZjA""")</f>
        <v>node_id:"C_kwDOG-OgStoAKGUyZmQyYzgyZmI5NmQ5M2MxM2Q5NDkwNWMxZTAzYzk3NDY5Y2RhZjA"</v>
      </c>
      <c r="AZH2" s="20" t="str">
        <f>IFERROR(__xludf.DUMMYFUNCTION("""COMPUTED_VALUE"""),"commit:{""author"":{""name"":""Aditya Rajput""")</f>
        <v>commit:{"author":{"name":"Aditya Rajput"</v>
      </c>
      <c r="AZI2" s="20" t="str">
        <f>IFERROR(__xludf.DUMMYFUNCTION("""COMPUTED_VALUE"""),"email:""aditya.icf@gmail.com""")</f>
        <v>email:"aditya.icf@gmail.com"</v>
      </c>
      <c r="AZJ2" s="20" t="str">
        <f>IFERROR(__xludf.DUMMYFUNCTION("""COMPUTED_VALUE"""),"date:""2022-12-05T12:30:01Z""}")</f>
        <v>date:"2022-12-05T12:30:01Z"}</v>
      </c>
      <c r="AZK2" s="20" t="str">
        <f>IFERROR(__xludf.DUMMYFUNCTION("""COMPUTED_VALUE"""),"committer:{""name"":""Aditya Rajput""")</f>
        <v>committer:{"name":"Aditya Rajput"</v>
      </c>
      <c r="AZL2" s="20" t="str">
        <f>IFERROR(__xludf.DUMMYFUNCTION("""COMPUTED_VALUE"""),"email:""aditya.icf@gmail.com""")</f>
        <v>email:"aditya.icf@gmail.com"</v>
      </c>
      <c r="AZM2" s="20" t="str">
        <f>IFERROR(__xludf.DUMMYFUNCTION("""COMPUTED_VALUE"""),"date:""2022-12-05T12:30:01Z""}")</f>
        <v>date:"2022-12-05T12:30:01Z"}</v>
      </c>
      <c r="AZN2" s="20" t="str">
        <f>IFERROR(__xludf.DUMMYFUNCTION("""COMPUTED_VALUE"""),"message:""Daily update by cron""")</f>
        <v>message:"Daily update by cron"</v>
      </c>
      <c r="AZO2" s="20" t="str">
        <f>IFERROR(__xludf.DUMMYFUNCTION("""COMPUTED_VALUE"""),"tree:{""sha"":""3306ee08705a6675d376b00239175db82e52bad3""")</f>
        <v>tree:{"sha":"3306ee08705a6675d376b00239175db82e52bad3"</v>
      </c>
      <c r="AZP2" s="20" t="str">
        <f>IFERROR(__xludf.DUMMYFUNCTION("""COMPUTED_VALUE"""),"url:""https://api.github.com/repos/adixmr/leetcode/git/trees/3306ee08705a6675d376b00239175db82e52bad3""}")</f>
        <v>url:"https://api.github.com/repos/adixmr/leetcode/git/trees/3306ee08705a6675d376b00239175db82e52bad3"}</v>
      </c>
      <c r="AZQ2" s="20" t="str">
        <f>IFERROR(__xludf.DUMMYFUNCTION("""COMPUTED_VALUE"""),"url:""https://api.github.com/repos/adixmr/leetcode/git/commits/e2fd2c82fb96d93c13d94905c1e03c97469cdaf0""")</f>
        <v>url:"https://api.github.com/repos/adixmr/leetcode/git/commits/e2fd2c82fb96d93c13d94905c1e03c97469cdaf0"</v>
      </c>
      <c r="AZR2" s="20" t="str">
        <f>IFERROR(__xludf.DUMMYFUNCTION("""COMPUTED_VALUE"""),"comment_count:0")</f>
        <v>comment_count:0</v>
      </c>
      <c r="AZS2" s="20" t="str">
        <f>IFERROR(__xludf.DUMMYFUNCTION("""COMPUTED_VALUE"""),"verification:{""verified"":false")</f>
        <v>verification:{"verified":false</v>
      </c>
      <c r="AZT2" s="20" t="str">
        <f>IFERROR(__xludf.DUMMYFUNCTION("""COMPUTED_VALUE"""),"reason:""unsigned""")</f>
        <v>reason:"unsigned"</v>
      </c>
      <c r="AZU2" s="20" t="str">
        <f>IFERROR(__xludf.DUMMYFUNCTION("""COMPUTED_VALUE"""),"signature:null")</f>
        <v>signature:null</v>
      </c>
      <c r="AZV2" s="20" t="str">
        <f>IFERROR(__xludf.DUMMYFUNCTION("""COMPUTED_VALUE"""),"payload:null}}")</f>
        <v>payload:null}}</v>
      </c>
      <c r="AZW2" s="20" t="str">
        <f>IFERROR(__xludf.DUMMYFUNCTION("""COMPUTED_VALUE"""),"url:""https://api.github.com/repos/adixmr/leetcode/commits/e2fd2c82fb96d93c13d94905c1e03c97469cdaf0""")</f>
        <v>url:"https://api.github.com/repos/adixmr/leetcode/commits/e2fd2c82fb96d93c13d94905c1e03c97469cdaf0"</v>
      </c>
      <c r="AZX2" s="20" t="str">
        <f>IFERROR(__xludf.DUMMYFUNCTION("""COMPUTED_VALUE"""),"html_url:""https://github.com/adixmr/leetcode/commit/e2fd2c82fb96d93c13d94905c1e03c97469cdaf0""")</f>
        <v>html_url:"https://github.com/adixmr/leetcode/commit/e2fd2c82fb96d93c13d94905c1e03c97469cdaf0"</v>
      </c>
      <c r="AZY2" s="20" t="str">
        <f>IFERROR(__xludf.DUMMYFUNCTION("""COMPUTED_VALUE"""),"comments_url:""https://api.github.com/repos/adixmr/leetcode/commits/e2fd2c82fb96d93c13d94905c1e03c97469cdaf0/comments""")</f>
        <v>comments_url:"https://api.github.com/repos/adixmr/leetcode/commits/e2fd2c82fb96d93c13d94905c1e03c97469cdaf0/comments"</v>
      </c>
      <c r="AZZ2" s="20" t="str">
        <f>IFERROR(__xludf.DUMMYFUNCTION("""COMPUTED_VALUE"""),"author:{""login"":""adixmr""")</f>
        <v>author:{"login":"adixmr"</v>
      </c>
      <c r="BAA2" s="20" t="str">
        <f>IFERROR(__xludf.DUMMYFUNCTION("""COMPUTED_VALUE"""),"id:42894359")</f>
        <v>id:42894359</v>
      </c>
      <c r="BAB2" s="20" t="str">
        <f>IFERROR(__xludf.DUMMYFUNCTION("""COMPUTED_VALUE"""),"node_id:""MDQ6VXNlcjQyODk0MzU5""")</f>
        <v>node_id:"MDQ6VXNlcjQyODk0MzU5"</v>
      </c>
      <c r="BAC2" s="20" t="str">
        <f>IFERROR(__xludf.DUMMYFUNCTION("""COMPUTED_VALUE"""),"avatar_url:""https://avatars.githubusercontent.com/u/42894359?v=4""")</f>
        <v>avatar_url:"https://avatars.githubusercontent.com/u/42894359?v=4"</v>
      </c>
      <c r="BAD2" s="20" t="str">
        <f>IFERROR(__xludf.DUMMYFUNCTION("""COMPUTED_VALUE"""),"gravatar_id:""""")</f>
        <v>gravatar_id:""</v>
      </c>
      <c r="BAE2" s="20" t="str">
        <f>IFERROR(__xludf.DUMMYFUNCTION("""COMPUTED_VALUE"""),"url:""https://api.github.com/users/adixmr""")</f>
        <v>url:"https://api.github.com/users/adixmr"</v>
      </c>
      <c r="BAF2" s="20" t="str">
        <f>IFERROR(__xludf.DUMMYFUNCTION("""COMPUTED_VALUE"""),"html_url:""https://github.com/adixmr""")</f>
        <v>html_url:"https://github.com/adixmr"</v>
      </c>
      <c r="BAG2" s="20" t="str">
        <f>IFERROR(__xludf.DUMMYFUNCTION("""COMPUTED_VALUE"""),"followers_url:""https://api.github.com/users/adixmr/followers""")</f>
        <v>followers_url:"https://api.github.com/users/adixmr/followers"</v>
      </c>
      <c r="BAH2" s="20" t="str">
        <f>IFERROR(__xludf.DUMMYFUNCTION("""COMPUTED_VALUE"""),"following_url:""https://api.github.com/users/adixmr/following{/other_user}""")</f>
        <v>following_url:"https://api.github.com/users/adixmr/following{/other_user}"</v>
      </c>
      <c r="BAI2" s="20" t="str">
        <f>IFERROR(__xludf.DUMMYFUNCTION("""COMPUTED_VALUE"""),"gists_url:""https://api.github.com/users/adixmr/gists{/gist_id}""")</f>
        <v>gists_url:"https://api.github.com/users/adixmr/gists{/gist_id}"</v>
      </c>
      <c r="BAJ2" s="20" t="str">
        <f>IFERROR(__xludf.DUMMYFUNCTION("""COMPUTED_VALUE"""),"starred_url:""https://api.github.com/users/adixmr/starred{/owner}{/repo}""")</f>
        <v>starred_url:"https://api.github.com/users/adixmr/starred{/owner}{/repo}"</v>
      </c>
      <c r="BAK2" s="20" t="str">
        <f>IFERROR(__xludf.DUMMYFUNCTION("""COMPUTED_VALUE"""),"subscriptions_url:""https://api.github.com/users/adixmr/subscriptions""")</f>
        <v>subscriptions_url:"https://api.github.com/users/adixmr/subscriptions"</v>
      </c>
      <c r="BAL2" s="20" t="str">
        <f>IFERROR(__xludf.DUMMYFUNCTION("""COMPUTED_VALUE"""),"organizations_url:""https://api.github.com/users/adixmr/orgs""")</f>
        <v>organizations_url:"https://api.github.com/users/adixmr/orgs"</v>
      </c>
      <c r="BAM2" s="20" t="str">
        <f>IFERROR(__xludf.DUMMYFUNCTION("""COMPUTED_VALUE"""),"repos_url:""https://api.github.com/users/adixmr/repos""")</f>
        <v>repos_url:"https://api.github.com/users/adixmr/repos"</v>
      </c>
      <c r="BAN2" s="20" t="str">
        <f>IFERROR(__xludf.DUMMYFUNCTION("""COMPUTED_VALUE"""),"events_url:""https://api.github.com/users/adixmr/events{/privacy}""")</f>
        <v>events_url:"https://api.github.com/users/adixmr/events{/privacy}"</v>
      </c>
      <c r="BAO2" s="20" t="str">
        <f>IFERROR(__xludf.DUMMYFUNCTION("""COMPUTED_VALUE"""),"received_events_url:""https://api.github.com/users/adixmr/received_events""")</f>
        <v>received_events_url:"https://api.github.com/users/adixmr/received_events"</v>
      </c>
      <c r="BAP2" s="20" t="str">
        <f>IFERROR(__xludf.DUMMYFUNCTION("""COMPUTED_VALUE"""),"type:""User""")</f>
        <v>type:"User"</v>
      </c>
      <c r="BAQ2" s="20" t="str">
        <f>IFERROR(__xludf.DUMMYFUNCTION("""COMPUTED_VALUE"""),"site_admin:false}")</f>
        <v>site_admin:false}</v>
      </c>
      <c r="BAR2" s="20" t="str">
        <f>IFERROR(__xludf.DUMMYFUNCTION("""COMPUTED_VALUE"""),"committer:{""login"":""adixmr""")</f>
        <v>committer:{"login":"adixmr"</v>
      </c>
      <c r="BAS2" s="20" t="str">
        <f>IFERROR(__xludf.DUMMYFUNCTION("""COMPUTED_VALUE"""),"id:42894359")</f>
        <v>id:42894359</v>
      </c>
      <c r="BAT2" s="20" t="str">
        <f>IFERROR(__xludf.DUMMYFUNCTION("""COMPUTED_VALUE"""),"node_id:""MDQ6VXNlcjQyODk0MzU5""")</f>
        <v>node_id:"MDQ6VXNlcjQyODk0MzU5"</v>
      </c>
      <c r="BAU2" s="20" t="str">
        <f>IFERROR(__xludf.DUMMYFUNCTION("""COMPUTED_VALUE"""),"avatar_url:""https://avatars.githubusercontent.com/u/42894359?v=4""")</f>
        <v>avatar_url:"https://avatars.githubusercontent.com/u/42894359?v=4"</v>
      </c>
      <c r="BAV2" s="20" t="str">
        <f>IFERROR(__xludf.DUMMYFUNCTION("""COMPUTED_VALUE"""),"gravatar_id:""""")</f>
        <v>gravatar_id:""</v>
      </c>
      <c r="BAW2" s="20" t="str">
        <f>IFERROR(__xludf.DUMMYFUNCTION("""COMPUTED_VALUE"""),"url:""https://api.github.com/users/adixmr""")</f>
        <v>url:"https://api.github.com/users/adixmr"</v>
      </c>
      <c r="BAX2" s="20" t="str">
        <f>IFERROR(__xludf.DUMMYFUNCTION("""COMPUTED_VALUE"""),"html_url:""https://github.com/adixmr""")</f>
        <v>html_url:"https://github.com/adixmr"</v>
      </c>
      <c r="BAY2" s="20" t="str">
        <f>IFERROR(__xludf.DUMMYFUNCTION("""COMPUTED_VALUE"""),"followers_url:""https://api.github.com/users/adixmr/followers""")</f>
        <v>followers_url:"https://api.github.com/users/adixmr/followers"</v>
      </c>
      <c r="BAZ2" s="20" t="str">
        <f>IFERROR(__xludf.DUMMYFUNCTION("""COMPUTED_VALUE"""),"following_url:""https://api.github.com/users/adixmr/following{/other_user}""")</f>
        <v>following_url:"https://api.github.com/users/adixmr/following{/other_user}"</v>
      </c>
      <c r="BBA2" s="20" t="str">
        <f>IFERROR(__xludf.DUMMYFUNCTION("""COMPUTED_VALUE"""),"gists_url:""https://api.github.com/users/adixmr/gists{/gist_id}""")</f>
        <v>gists_url:"https://api.github.com/users/adixmr/gists{/gist_id}"</v>
      </c>
      <c r="BBB2" s="20" t="str">
        <f>IFERROR(__xludf.DUMMYFUNCTION("""COMPUTED_VALUE"""),"starred_url:""https://api.github.com/users/adixmr/starred{/owner}{/repo}""")</f>
        <v>starred_url:"https://api.github.com/users/adixmr/starred{/owner}{/repo}"</v>
      </c>
      <c r="BBC2" s="20" t="str">
        <f>IFERROR(__xludf.DUMMYFUNCTION("""COMPUTED_VALUE"""),"subscriptions_url:""https://api.github.com/users/adixmr/subscriptions""")</f>
        <v>subscriptions_url:"https://api.github.com/users/adixmr/subscriptions"</v>
      </c>
      <c r="BBD2" s="20" t="str">
        <f>IFERROR(__xludf.DUMMYFUNCTION("""COMPUTED_VALUE"""),"organizations_url:""https://api.github.com/users/adixmr/orgs""")</f>
        <v>organizations_url:"https://api.github.com/users/adixmr/orgs"</v>
      </c>
      <c r="BBE2" s="20" t="str">
        <f>IFERROR(__xludf.DUMMYFUNCTION("""COMPUTED_VALUE"""),"repos_url:""https://api.github.com/users/adixmr/repos""")</f>
        <v>repos_url:"https://api.github.com/users/adixmr/repos"</v>
      </c>
      <c r="BBF2" s="20" t="str">
        <f>IFERROR(__xludf.DUMMYFUNCTION("""COMPUTED_VALUE"""),"events_url:""https://api.github.com/users/adixmr/events{/privacy}""")</f>
        <v>events_url:"https://api.github.com/users/adixmr/events{/privacy}"</v>
      </c>
      <c r="BBG2" s="20" t="str">
        <f>IFERROR(__xludf.DUMMYFUNCTION("""COMPUTED_VALUE"""),"received_events_url:""https://api.github.com/users/adixmr/received_events""")</f>
        <v>received_events_url:"https://api.github.com/users/adixmr/received_events"</v>
      </c>
      <c r="BBH2" s="20" t="str">
        <f>IFERROR(__xludf.DUMMYFUNCTION("""COMPUTED_VALUE"""),"type:""User""")</f>
        <v>type:"User"</v>
      </c>
      <c r="BBI2" s="20" t="str">
        <f>IFERROR(__xludf.DUMMYFUNCTION("""COMPUTED_VALUE"""),"site_admin:false}")</f>
        <v>site_admin:false}</v>
      </c>
      <c r="BBJ2" s="20" t="str">
        <f>IFERROR(__xludf.DUMMYFUNCTION("""COMPUTED_VALUE"""),"parents:[{""sha"":""48f1a25f6fedab1dbef50db50026365561d3aff6""")</f>
        <v>parents:[{"sha":"48f1a25f6fedab1dbef50db50026365561d3aff6"</v>
      </c>
      <c r="BBK2" s="20" t="str">
        <f>IFERROR(__xludf.DUMMYFUNCTION("""COMPUTED_VALUE"""),"url:""https://api.github.com/repos/adixmr/leetcode/commits/48f1a25f6fedab1dbef50db50026365561d3aff6""")</f>
        <v>url:"https://api.github.com/repos/adixmr/leetcode/commits/48f1a25f6fedab1dbef50db50026365561d3aff6"</v>
      </c>
      <c r="BBL2" s="20" t="str">
        <f>IFERROR(__xludf.DUMMYFUNCTION("""COMPUTED_VALUE"""),"html_url:""https://github.com/adixmr/leetcode/commit/48f1a25f6fedab1dbef50db50026365561d3aff6""}]}")</f>
        <v>html_url:"https://github.com/adixmr/leetcode/commit/48f1a25f6fedab1dbef50db50026365561d3aff6"}]}</v>
      </c>
      <c r="BBM2" s="20" t="str">
        <f>IFERROR(__xludf.DUMMYFUNCTION("""COMPUTED_VALUE"""),"{""sha"":""48f1a25f6fedab1dbef50db50026365561d3aff6""")</f>
        <v>{"sha":"48f1a25f6fedab1dbef50db50026365561d3aff6"</v>
      </c>
      <c r="BBN2" s="20" t="str">
        <f>IFERROR(__xludf.DUMMYFUNCTION("""COMPUTED_VALUE"""),"node_id:""C_kwDOG-OgStoAKDQ4ZjFhMjVmNmZlZGFiMWRiZWY1MGRiNTAwMjYzNjU1NjFkM2FmZjY""")</f>
        <v>node_id:"C_kwDOG-OgStoAKDQ4ZjFhMjVmNmZlZGFiMWRiZWY1MGRiNTAwMjYzNjU1NjFkM2FmZjY"</v>
      </c>
      <c r="BBO2" s="20" t="str">
        <f>IFERROR(__xludf.DUMMYFUNCTION("""COMPUTED_VALUE"""),"commit:{""author"":{""name"":""Aditya Rajput""")</f>
        <v>commit:{"author":{"name":"Aditya Rajput"</v>
      </c>
      <c r="BBP2" s="20" t="str">
        <f>IFERROR(__xludf.DUMMYFUNCTION("""COMPUTED_VALUE"""),"email:""aditya.icf@gmail.com""")</f>
        <v>email:"aditya.icf@gmail.com"</v>
      </c>
      <c r="BBQ2" s="20" t="str">
        <f>IFERROR(__xludf.DUMMYFUNCTION("""COMPUTED_VALUE"""),"date:""2022-12-03T12:30:01Z""}")</f>
        <v>date:"2022-12-03T12:30:01Z"}</v>
      </c>
      <c r="BBR2" s="20" t="str">
        <f>IFERROR(__xludf.DUMMYFUNCTION("""COMPUTED_VALUE"""),"committer:{""name"":""Aditya Rajput""")</f>
        <v>committer:{"name":"Aditya Rajput"</v>
      </c>
      <c r="BBS2" s="20" t="str">
        <f>IFERROR(__xludf.DUMMYFUNCTION("""COMPUTED_VALUE"""),"email:""aditya.icf@gmail.com""")</f>
        <v>email:"aditya.icf@gmail.com"</v>
      </c>
      <c r="BBT2" s="20" t="str">
        <f>IFERROR(__xludf.DUMMYFUNCTION("""COMPUTED_VALUE"""),"date:""2022-12-03T12:30:01Z""}")</f>
        <v>date:"2022-12-03T12:30:01Z"}</v>
      </c>
      <c r="BBU2" s="20" t="str">
        <f>IFERROR(__xludf.DUMMYFUNCTION("""COMPUTED_VALUE"""),"message:""Daily update by cron""")</f>
        <v>message:"Daily update by cron"</v>
      </c>
      <c r="BBV2" s="20" t="str">
        <f>IFERROR(__xludf.DUMMYFUNCTION("""COMPUTED_VALUE"""),"tree:{""sha"":""26d931fcdc9be28f4cfe88710a3502de409eb7e8""")</f>
        <v>tree:{"sha":"26d931fcdc9be28f4cfe88710a3502de409eb7e8"</v>
      </c>
      <c r="BBW2" s="20" t="str">
        <f>IFERROR(__xludf.DUMMYFUNCTION("""COMPUTED_VALUE"""),"url:""https://api.github.com/repos/adixmr/leetcode/git/trees/26d931fcdc9be28f4cfe88710a3502de409eb7e8""}")</f>
        <v>url:"https://api.github.com/repos/adixmr/leetcode/git/trees/26d931fcdc9be28f4cfe88710a3502de409eb7e8"}</v>
      </c>
      <c r="BBX2" s="20" t="str">
        <f>IFERROR(__xludf.DUMMYFUNCTION("""COMPUTED_VALUE"""),"url:""https://api.github.com/repos/adixmr/leetcode/git/commits/48f1a25f6fedab1dbef50db50026365561d3aff6""")</f>
        <v>url:"https://api.github.com/repos/adixmr/leetcode/git/commits/48f1a25f6fedab1dbef50db50026365561d3aff6"</v>
      </c>
      <c r="BBY2" s="20" t="str">
        <f>IFERROR(__xludf.DUMMYFUNCTION("""COMPUTED_VALUE"""),"comment_count:0")</f>
        <v>comment_count:0</v>
      </c>
      <c r="BBZ2" s="20" t="str">
        <f>IFERROR(__xludf.DUMMYFUNCTION("""COMPUTED_VALUE"""),"verification:{""verified"":false")</f>
        <v>verification:{"verified":false</v>
      </c>
      <c r="BCA2" s="20" t="str">
        <f>IFERROR(__xludf.DUMMYFUNCTION("""COMPUTED_VALUE"""),"reason:""unsigned""")</f>
        <v>reason:"unsigned"</v>
      </c>
      <c r="BCB2" s="20" t="str">
        <f>IFERROR(__xludf.DUMMYFUNCTION("""COMPUTED_VALUE"""),"signature:null")</f>
        <v>signature:null</v>
      </c>
      <c r="BCC2" s="20" t="str">
        <f>IFERROR(__xludf.DUMMYFUNCTION("""COMPUTED_VALUE"""),"payload:null}}")</f>
        <v>payload:null}}</v>
      </c>
      <c r="BCD2" s="20" t="str">
        <f>IFERROR(__xludf.DUMMYFUNCTION("""COMPUTED_VALUE"""),"url:""https://api.github.com/repos/adixmr/leetcode/commits/48f1a25f6fedab1dbef50db50026365561d3aff6""")</f>
        <v>url:"https://api.github.com/repos/adixmr/leetcode/commits/48f1a25f6fedab1dbef50db50026365561d3aff6"</v>
      </c>
      <c r="BCE2" s="20" t="str">
        <f>IFERROR(__xludf.DUMMYFUNCTION("""COMPUTED_VALUE"""),"html_url:""https://github.com/adixmr/leetcode/commit/48f1a25f6fedab1dbef50db50026365561d3aff6""")</f>
        <v>html_url:"https://github.com/adixmr/leetcode/commit/48f1a25f6fedab1dbef50db50026365561d3aff6"</v>
      </c>
      <c r="BCF2" s="20" t="str">
        <f>IFERROR(__xludf.DUMMYFUNCTION("""COMPUTED_VALUE"""),"comments_url:""https://api.github.com/repos/adixmr/leetcode/commits/48f1a25f6fedab1dbef50db50026365561d3aff6/comments""")</f>
        <v>comments_url:"https://api.github.com/repos/adixmr/leetcode/commits/48f1a25f6fedab1dbef50db50026365561d3aff6/comments"</v>
      </c>
      <c r="BCG2" s="20" t="str">
        <f>IFERROR(__xludf.DUMMYFUNCTION("""COMPUTED_VALUE"""),"author:{""login"":""adixmr""")</f>
        <v>author:{"login":"adixmr"</v>
      </c>
      <c r="BCH2" s="20" t="str">
        <f>IFERROR(__xludf.DUMMYFUNCTION("""COMPUTED_VALUE"""),"id:42894359")</f>
        <v>id:42894359</v>
      </c>
      <c r="BCI2" s="20" t="str">
        <f>IFERROR(__xludf.DUMMYFUNCTION("""COMPUTED_VALUE"""),"node_id:""MDQ6VXNlcjQyODk0MzU5""")</f>
        <v>node_id:"MDQ6VXNlcjQyODk0MzU5"</v>
      </c>
      <c r="BCJ2" s="20" t="str">
        <f>IFERROR(__xludf.DUMMYFUNCTION("""COMPUTED_VALUE"""),"avatar_url:""https://avatars.githubusercontent.com/u/42894359?v=4""")</f>
        <v>avatar_url:"https://avatars.githubusercontent.com/u/42894359?v=4"</v>
      </c>
      <c r="BCK2" s="20" t="str">
        <f>IFERROR(__xludf.DUMMYFUNCTION("""COMPUTED_VALUE"""),"gravatar_id:""""")</f>
        <v>gravatar_id:""</v>
      </c>
      <c r="BCL2" s="20" t="str">
        <f>IFERROR(__xludf.DUMMYFUNCTION("""COMPUTED_VALUE"""),"url:""https://api.github.com/users/adixmr""")</f>
        <v>url:"https://api.github.com/users/adixmr"</v>
      </c>
      <c r="BCM2" s="20" t="str">
        <f>IFERROR(__xludf.DUMMYFUNCTION("""COMPUTED_VALUE"""),"html_url:""https://github.com/adixmr""")</f>
        <v>html_url:"https://github.com/adixmr"</v>
      </c>
      <c r="BCN2" s="20" t="str">
        <f>IFERROR(__xludf.DUMMYFUNCTION("""COMPUTED_VALUE"""),"followers_url:""https://api.github.com/users/adixmr/followers""")</f>
        <v>followers_url:"https://api.github.com/users/adixmr/followers"</v>
      </c>
      <c r="BCO2" s="20" t="str">
        <f>IFERROR(__xludf.DUMMYFUNCTION("""COMPUTED_VALUE"""),"following_url:""https://api.github.com/users/adixmr/following{/other_user}""")</f>
        <v>following_url:"https://api.github.com/users/adixmr/following{/other_user}"</v>
      </c>
      <c r="BCP2" s="20" t="str">
        <f>IFERROR(__xludf.DUMMYFUNCTION("""COMPUTED_VALUE"""),"gists_url:""https://api.github.com/users/adixmr/gists{/gist_id}""")</f>
        <v>gists_url:"https://api.github.com/users/adixmr/gists{/gist_id}"</v>
      </c>
      <c r="BCQ2" s="20" t="str">
        <f>IFERROR(__xludf.DUMMYFUNCTION("""COMPUTED_VALUE"""),"starred_url:""https://api.github.com/users/adixmr/starred{/owner}{/repo}""")</f>
        <v>starred_url:"https://api.github.com/users/adixmr/starred{/owner}{/repo}"</v>
      </c>
      <c r="BCR2" s="20" t="str">
        <f>IFERROR(__xludf.DUMMYFUNCTION("""COMPUTED_VALUE"""),"subscriptions_url:""https://api.github.com/users/adixmr/subscriptions""")</f>
        <v>subscriptions_url:"https://api.github.com/users/adixmr/subscriptions"</v>
      </c>
      <c r="BCS2" s="20" t="str">
        <f>IFERROR(__xludf.DUMMYFUNCTION("""COMPUTED_VALUE"""),"organizations_url:""https://api.github.com/users/adixmr/orgs""")</f>
        <v>organizations_url:"https://api.github.com/users/adixmr/orgs"</v>
      </c>
      <c r="BCT2" s="20" t="str">
        <f>IFERROR(__xludf.DUMMYFUNCTION("""COMPUTED_VALUE"""),"repos_url:""https://api.github.com/users/adixmr/repos""")</f>
        <v>repos_url:"https://api.github.com/users/adixmr/repos"</v>
      </c>
      <c r="BCU2" s="20" t="str">
        <f>IFERROR(__xludf.DUMMYFUNCTION("""COMPUTED_VALUE"""),"events_url:""https://api.github.com/users/adixmr/events{/privacy}""")</f>
        <v>events_url:"https://api.github.com/users/adixmr/events{/privacy}"</v>
      </c>
      <c r="BCV2" s="20" t="str">
        <f>IFERROR(__xludf.DUMMYFUNCTION("""COMPUTED_VALUE"""),"received_events_url:""https://api.github.com/users/adixmr/received_events""")</f>
        <v>received_events_url:"https://api.github.com/users/adixmr/received_events"</v>
      </c>
      <c r="BCW2" s="20" t="str">
        <f>IFERROR(__xludf.DUMMYFUNCTION("""COMPUTED_VALUE"""),"type:""User""")</f>
        <v>type:"User"</v>
      </c>
      <c r="BCX2" s="20" t="str">
        <f>IFERROR(__xludf.DUMMYFUNCTION("""COMPUTED_VALUE"""),"site_admin:false}")</f>
        <v>site_admin:false}</v>
      </c>
      <c r="BCY2" s="20" t="str">
        <f>IFERROR(__xludf.DUMMYFUNCTION("""COMPUTED_VALUE"""),"committer:{""login"":""adixmr""")</f>
        <v>committer:{"login":"adixmr"</v>
      </c>
      <c r="BCZ2" s="20" t="str">
        <f>IFERROR(__xludf.DUMMYFUNCTION("""COMPUTED_VALUE"""),"id:42894359")</f>
        <v>id:42894359</v>
      </c>
      <c r="BDA2" s="20" t="str">
        <f>IFERROR(__xludf.DUMMYFUNCTION("""COMPUTED_VALUE"""),"node_id:""MDQ6VXNlcjQyODk0MzU5""")</f>
        <v>node_id:"MDQ6VXNlcjQyODk0MzU5"</v>
      </c>
      <c r="BDB2" s="20" t="str">
        <f>IFERROR(__xludf.DUMMYFUNCTION("""COMPUTED_VALUE"""),"avatar_url:""https://avatars.githubusercontent.com/u/42894359?v=4""")</f>
        <v>avatar_url:"https://avatars.githubusercontent.com/u/42894359?v=4"</v>
      </c>
      <c r="BDC2" s="20" t="str">
        <f>IFERROR(__xludf.DUMMYFUNCTION("""COMPUTED_VALUE"""),"gravatar_id:""""")</f>
        <v>gravatar_id:""</v>
      </c>
      <c r="BDD2" s="20" t="str">
        <f>IFERROR(__xludf.DUMMYFUNCTION("""COMPUTED_VALUE"""),"url:""https://api.github.com/users/adixmr""")</f>
        <v>url:"https://api.github.com/users/adixmr"</v>
      </c>
      <c r="BDE2" s="20" t="str">
        <f>IFERROR(__xludf.DUMMYFUNCTION("""COMPUTED_VALUE"""),"html_url:""https://github.com/adixmr""")</f>
        <v>html_url:"https://github.com/adixmr"</v>
      </c>
      <c r="BDF2" s="20" t="str">
        <f>IFERROR(__xludf.DUMMYFUNCTION("""COMPUTED_VALUE"""),"followers_url:""https://api.github.com/users/adixmr/followers""")</f>
        <v>followers_url:"https://api.github.com/users/adixmr/followers"</v>
      </c>
      <c r="BDG2" s="20" t="str">
        <f>IFERROR(__xludf.DUMMYFUNCTION("""COMPUTED_VALUE"""),"following_url:""https://api.github.com/users/adixmr/following{/other_user}""")</f>
        <v>following_url:"https://api.github.com/users/adixmr/following{/other_user}"</v>
      </c>
      <c r="BDH2" s="20" t="str">
        <f>IFERROR(__xludf.DUMMYFUNCTION("""COMPUTED_VALUE"""),"gists_url:""https://api.github.com/users/adixmr/gists{/gist_id}""")</f>
        <v>gists_url:"https://api.github.com/users/adixmr/gists{/gist_id}"</v>
      </c>
      <c r="BDI2" s="20" t="str">
        <f>IFERROR(__xludf.DUMMYFUNCTION("""COMPUTED_VALUE"""),"starred_url:""https://api.github.com/users/adixmr/starred{/owner}{/repo}""")</f>
        <v>starred_url:"https://api.github.com/users/adixmr/starred{/owner}{/repo}"</v>
      </c>
      <c r="BDJ2" s="20" t="str">
        <f>IFERROR(__xludf.DUMMYFUNCTION("""COMPUTED_VALUE"""),"subscriptions_url:""https://api.github.com/users/adixmr/subscriptions""")</f>
        <v>subscriptions_url:"https://api.github.com/users/adixmr/subscriptions"</v>
      </c>
      <c r="BDK2" s="20" t="str">
        <f>IFERROR(__xludf.DUMMYFUNCTION("""COMPUTED_VALUE"""),"organizations_url:""https://api.github.com/users/adixmr/orgs""")</f>
        <v>organizations_url:"https://api.github.com/users/adixmr/orgs"</v>
      </c>
      <c r="BDL2" s="20" t="str">
        <f>IFERROR(__xludf.DUMMYFUNCTION("""COMPUTED_VALUE"""),"repos_url:""https://api.github.com/users/adixmr/repos""")</f>
        <v>repos_url:"https://api.github.com/users/adixmr/repos"</v>
      </c>
      <c r="BDM2" s="20" t="str">
        <f>IFERROR(__xludf.DUMMYFUNCTION("""COMPUTED_VALUE"""),"events_url:""https://api.github.com/users/adixmr/events{/privacy}""")</f>
        <v>events_url:"https://api.github.com/users/adixmr/events{/privacy}"</v>
      </c>
      <c r="BDN2" s="20" t="str">
        <f>IFERROR(__xludf.DUMMYFUNCTION("""COMPUTED_VALUE"""),"received_events_url:""https://api.github.com/users/adixmr/received_events""")</f>
        <v>received_events_url:"https://api.github.com/users/adixmr/received_events"</v>
      </c>
      <c r="BDO2" s="20" t="str">
        <f>IFERROR(__xludf.DUMMYFUNCTION("""COMPUTED_VALUE"""),"type:""User""")</f>
        <v>type:"User"</v>
      </c>
      <c r="BDP2" s="20" t="str">
        <f>IFERROR(__xludf.DUMMYFUNCTION("""COMPUTED_VALUE"""),"site_admin:false}")</f>
        <v>site_admin:false}</v>
      </c>
      <c r="BDQ2" s="20" t="str">
        <f>IFERROR(__xludf.DUMMYFUNCTION("""COMPUTED_VALUE"""),"parents:[{""sha"":""3acd5fdc81d907857cf58929abeb445f5890e13b""")</f>
        <v>parents:[{"sha":"3acd5fdc81d907857cf58929abeb445f5890e13b"</v>
      </c>
      <c r="BDR2" s="20" t="str">
        <f>IFERROR(__xludf.DUMMYFUNCTION("""COMPUTED_VALUE"""),"url:""https://api.github.com/repos/adixmr/leetcode/commits/3acd5fdc81d907857cf58929abeb445f5890e13b""")</f>
        <v>url:"https://api.github.com/repos/adixmr/leetcode/commits/3acd5fdc81d907857cf58929abeb445f5890e13b"</v>
      </c>
      <c r="BDS2" s="20" t="str">
        <f>IFERROR(__xludf.DUMMYFUNCTION("""COMPUTED_VALUE"""),"html_url:""https://github.com/adixmr/leetcode/commit/3acd5fdc81d907857cf58929abeb445f5890e13b""}]}")</f>
        <v>html_url:"https://github.com/adixmr/leetcode/commit/3acd5fdc81d907857cf58929abeb445f5890e13b"}]}</v>
      </c>
      <c r="BDT2" s="20" t="str">
        <f>IFERROR(__xludf.DUMMYFUNCTION("""COMPUTED_VALUE"""),"{""sha"":""3acd5fdc81d907857cf58929abeb445f5890e13b""")</f>
        <v>{"sha":"3acd5fdc81d907857cf58929abeb445f5890e13b"</v>
      </c>
      <c r="BDU2" s="20" t="str">
        <f>IFERROR(__xludf.DUMMYFUNCTION("""COMPUTED_VALUE"""),"node_id:""C_kwDOG-OgStoAKDNhY2Q1ZmRjODFkOTA3ODU3Y2Y1ODkyOWFiZWI0NDVmNTg5MGUxM2I""")</f>
        <v>node_id:"C_kwDOG-OgStoAKDNhY2Q1ZmRjODFkOTA3ODU3Y2Y1ODkyOWFiZWI0NDVmNTg5MGUxM2I"</v>
      </c>
      <c r="BDV2" s="20" t="str">
        <f>IFERROR(__xludf.DUMMYFUNCTION("""COMPUTED_VALUE"""),"commit:{""author"":{""name"":""Aditya Rajput""")</f>
        <v>commit:{"author":{"name":"Aditya Rajput"</v>
      </c>
      <c r="BDW2" s="20" t="str">
        <f>IFERROR(__xludf.DUMMYFUNCTION("""COMPUTED_VALUE"""),"email:""aditya.icf@gmail.com""")</f>
        <v>email:"aditya.icf@gmail.com"</v>
      </c>
      <c r="BDX2" s="20" t="str">
        <f>IFERROR(__xludf.DUMMYFUNCTION("""COMPUTED_VALUE"""),"date:""2022-12-02T12:30:01Z""}")</f>
        <v>date:"2022-12-02T12:30:01Z"}</v>
      </c>
      <c r="BDY2" s="20" t="str">
        <f>IFERROR(__xludf.DUMMYFUNCTION("""COMPUTED_VALUE"""),"committer:{""name"":""Aditya Rajput""")</f>
        <v>committer:{"name":"Aditya Rajput"</v>
      </c>
      <c r="BDZ2" s="20" t="str">
        <f>IFERROR(__xludf.DUMMYFUNCTION("""COMPUTED_VALUE"""),"email:""aditya.icf@gmail.com""")</f>
        <v>email:"aditya.icf@gmail.com"</v>
      </c>
      <c r="BEA2" s="20" t="str">
        <f>IFERROR(__xludf.DUMMYFUNCTION("""COMPUTED_VALUE"""),"date:""2022-12-02T12:30:01Z""}")</f>
        <v>date:"2022-12-02T12:30:01Z"}</v>
      </c>
      <c r="BEB2" s="20" t="str">
        <f>IFERROR(__xludf.DUMMYFUNCTION("""COMPUTED_VALUE"""),"message:""Daily update by cron""")</f>
        <v>message:"Daily update by cron"</v>
      </c>
      <c r="BEC2" s="20" t="str">
        <f>IFERROR(__xludf.DUMMYFUNCTION("""COMPUTED_VALUE"""),"tree:{""sha"":""481078b9b6b4602911678618ce22ca0d445eb3fa""")</f>
        <v>tree:{"sha":"481078b9b6b4602911678618ce22ca0d445eb3fa"</v>
      </c>
      <c r="BED2" s="20" t="str">
        <f>IFERROR(__xludf.DUMMYFUNCTION("""COMPUTED_VALUE"""),"url:""https://api.github.com/repos/adixmr/leetcode/git/trees/481078b9b6b4602911678618ce22ca0d445eb3fa""}")</f>
        <v>url:"https://api.github.com/repos/adixmr/leetcode/git/trees/481078b9b6b4602911678618ce22ca0d445eb3fa"}</v>
      </c>
      <c r="BEE2" s="20" t="str">
        <f>IFERROR(__xludf.DUMMYFUNCTION("""COMPUTED_VALUE"""),"url:""https://api.github.com/repos/adixmr/leetcode/git/commits/3acd5fdc81d907857cf58929abeb445f5890e13b""")</f>
        <v>url:"https://api.github.com/repos/adixmr/leetcode/git/commits/3acd5fdc81d907857cf58929abeb445f5890e13b"</v>
      </c>
      <c r="BEF2" s="20" t="str">
        <f>IFERROR(__xludf.DUMMYFUNCTION("""COMPUTED_VALUE"""),"comment_count:0")</f>
        <v>comment_count:0</v>
      </c>
      <c r="BEG2" s="20" t="str">
        <f>IFERROR(__xludf.DUMMYFUNCTION("""COMPUTED_VALUE"""),"verification:{""verified"":false")</f>
        <v>verification:{"verified":false</v>
      </c>
      <c r="BEH2" s="20" t="str">
        <f>IFERROR(__xludf.DUMMYFUNCTION("""COMPUTED_VALUE"""),"reason:""unsigned""")</f>
        <v>reason:"unsigned"</v>
      </c>
      <c r="BEI2" s="20" t="str">
        <f>IFERROR(__xludf.DUMMYFUNCTION("""COMPUTED_VALUE"""),"signature:null")</f>
        <v>signature:null</v>
      </c>
      <c r="BEJ2" s="20" t="str">
        <f>IFERROR(__xludf.DUMMYFUNCTION("""COMPUTED_VALUE"""),"payload:null}}")</f>
        <v>payload:null}}</v>
      </c>
      <c r="BEK2" s="20" t="str">
        <f>IFERROR(__xludf.DUMMYFUNCTION("""COMPUTED_VALUE"""),"url:""https://api.github.com/repos/adixmr/leetcode/commits/3acd5fdc81d907857cf58929abeb445f5890e13b""")</f>
        <v>url:"https://api.github.com/repos/adixmr/leetcode/commits/3acd5fdc81d907857cf58929abeb445f5890e13b"</v>
      </c>
      <c r="BEL2" s="20" t="str">
        <f>IFERROR(__xludf.DUMMYFUNCTION("""COMPUTED_VALUE"""),"html_url:""https://github.com/adixmr/leetcode/commit/3acd5fdc81d907857cf58929abeb445f5890e13b""")</f>
        <v>html_url:"https://github.com/adixmr/leetcode/commit/3acd5fdc81d907857cf58929abeb445f5890e13b"</v>
      </c>
      <c r="BEM2" s="20" t="str">
        <f>IFERROR(__xludf.DUMMYFUNCTION("""COMPUTED_VALUE"""),"comments_url:""https://api.github.com/repos/adixmr/leetcode/commits/3acd5fdc81d907857cf58929abeb445f5890e13b/comments""")</f>
        <v>comments_url:"https://api.github.com/repos/adixmr/leetcode/commits/3acd5fdc81d907857cf58929abeb445f5890e13b/comments"</v>
      </c>
      <c r="BEN2" s="20" t="str">
        <f>IFERROR(__xludf.DUMMYFUNCTION("""COMPUTED_VALUE"""),"author:{""login"":""adixmr""")</f>
        <v>author:{"login":"adixmr"</v>
      </c>
      <c r="BEO2" s="20" t="str">
        <f>IFERROR(__xludf.DUMMYFUNCTION("""COMPUTED_VALUE"""),"id:42894359")</f>
        <v>id:42894359</v>
      </c>
      <c r="BEP2" s="20" t="str">
        <f>IFERROR(__xludf.DUMMYFUNCTION("""COMPUTED_VALUE"""),"node_id:""MDQ6VXNlcjQyODk0MzU5""")</f>
        <v>node_id:"MDQ6VXNlcjQyODk0MzU5"</v>
      </c>
      <c r="BEQ2" s="20" t="str">
        <f>IFERROR(__xludf.DUMMYFUNCTION("""COMPUTED_VALUE"""),"avatar_url:""https://avatars.githubusercontent.com/u/42894359?v=4""")</f>
        <v>avatar_url:"https://avatars.githubusercontent.com/u/42894359?v=4"</v>
      </c>
      <c r="BER2" s="20" t="str">
        <f>IFERROR(__xludf.DUMMYFUNCTION("""COMPUTED_VALUE"""),"gravatar_id:""""")</f>
        <v>gravatar_id:""</v>
      </c>
      <c r="BES2" s="20" t="str">
        <f>IFERROR(__xludf.DUMMYFUNCTION("""COMPUTED_VALUE"""),"url:""https://api.github.com/users/adixmr""")</f>
        <v>url:"https://api.github.com/users/adixmr"</v>
      </c>
      <c r="BET2" s="20" t="str">
        <f>IFERROR(__xludf.DUMMYFUNCTION("""COMPUTED_VALUE"""),"html_url:""https://github.com/adixmr""")</f>
        <v>html_url:"https://github.com/adixmr"</v>
      </c>
      <c r="BEU2" s="20" t="str">
        <f>IFERROR(__xludf.DUMMYFUNCTION("""COMPUTED_VALUE"""),"followers_url:""https://api.github.com/users/adixmr/followers""")</f>
        <v>followers_url:"https://api.github.com/users/adixmr/followers"</v>
      </c>
      <c r="BEV2" s="20" t="str">
        <f>IFERROR(__xludf.DUMMYFUNCTION("""COMPUTED_VALUE"""),"following_url:""https://api.github.com/users/adixmr/following{/other_user}""")</f>
        <v>following_url:"https://api.github.com/users/adixmr/following{/other_user}"</v>
      </c>
      <c r="BEW2" s="20" t="str">
        <f>IFERROR(__xludf.DUMMYFUNCTION("""COMPUTED_VALUE"""),"gists_url:""https://api.github.com/users/adixmr/gists{/gist_id}""")</f>
        <v>gists_url:"https://api.github.com/users/adixmr/gists{/gist_id}"</v>
      </c>
      <c r="BEX2" s="20" t="str">
        <f>IFERROR(__xludf.DUMMYFUNCTION("""COMPUTED_VALUE"""),"starred_url:""https://api.github.com/users/adixmr/starred{/owner}{/repo}""")</f>
        <v>starred_url:"https://api.github.com/users/adixmr/starred{/owner}{/repo}"</v>
      </c>
      <c r="BEY2" s="20" t="str">
        <f>IFERROR(__xludf.DUMMYFUNCTION("""COMPUTED_VALUE"""),"subscriptions_url:""https://api.github.com/users/adixmr/subscriptions""")</f>
        <v>subscriptions_url:"https://api.github.com/users/adixmr/subscriptions"</v>
      </c>
      <c r="BEZ2" s="20" t="str">
        <f>IFERROR(__xludf.DUMMYFUNCTION("""COMPUTED_VALUE"""),"organizations_url:""https://api.github.com/users/adixmr/orgs""")</f>
        <v>organizations_url:"https://api.github.com/users/adixmr/orgs"</v>
      </c>
      <c r="BFA2" s="20" t="str">
        <f>IFERROR(__xludf.DUMMYFUNCTION("""COMPUTED_VALUE"""),"repos_url:""https://api.github.com/users/adixmr/repos""")</f>
        <v>repos_url:"https://api.github.com/users/adixmr/repos"</v>
      </c>
      <c r="BFB2" s="20" t="str">
        <f>IFERROR(__xludf.DUMMYFUNCTION("""COMPUTED_VALUE"""),"events_url:""https://api.github.com/users/adixmr/events{/privacy}""")</f>
        <v>events_url:"https://api.github.com/users/adixmr/events{/privacy}"</v>
      </c>
      <c r="BFC2" s="20" t="str">
        <f>IFERROR(__xludf.DUMMYFUNCTION("""COMPUTED_VALUE"""),"received_events_url:""https://api.github.com/users/adixmr/received_events""")</f>
        <v>received_events_url:"https://api.github.com/users/adixmr/received_events"</v>
      </c>
      <c r="BFD2" s="20" t="str">
        <f>IFERROR(__xludf.DUMMYFUNCTION("""COMPUTED_VALUE"""),"type:""User""")</f>
        <v>type:"User"</v>
      </c>
      <c r="BFE2" s="20" t="str">
        <f>IFERROR(__xludf.DUMMYFUNCTION("""COMPUTED_VALUE"""),"site_admin:false}")</f>
        <v>site_admin:false}</v>
      </c>
      <c r="BFF2" s="20" t="str">
        <f>IFERROR(__xludf.DUMMYFUNCTION("""COMPUTED_VALUE"""),"committer:{""login"":""adixmr""")</f>
        <v>committer:{"login":"adixmr"</v>
      </c>
      <c r="BFG2" s="20" t="str">
        <f>IFERROR(__xludf.DUMMYFUNCTION("""COMPUTED_VALUE"""),"id:42894359")</f>
        <v>id:42894359</v>
      </c>
      <c r="BFH2" s="20" t="str">
        <f>IFERROR(__xludf.DUMMYFUNCTION("""COMPUTED_VALUE"""),"node_id:""MDQ6VXNlcjQyODk0MzU5""")</f>
        <v>node_id:"MDQ6VXNlcjQyODk0MzU5"</v>
      </c>
      <c r="BFI2" s="20" t="str">
        <f>IFERROR(__xludf.DUMMYFUNCTION("""COMPUTED_VALUE"""),"avatar_url:""https://avatars.githubusercontent.com/u/42894359?v=4""")</f>
        <v>avatar_url:"https://avatars.githubusercontent.com/u/42894359?v=4"</v>
      </c>
      <c r="BFJ2" s="20" t="str">
        <f>IFERROR(__xludf.DUMMYFUNCTION("""COMPUTED_VALUE"""),"gravatar_id:""""")</f>
        <v>gravatar_id:""</v>
      </c>
      <c r="BFK2" s="20" t="str">
        <f>IFERROR(__xludf.DUMMYFUNCTION("""COMPUTED_VALUE"""),"url:""https://api.github.com/users/adixmr""")</f>
        <v>url:"https://api.github.com/users/adixmr"</v>
      </c>
      <c r="BFL2" s="20" t="str">
        <f>IFERROR(__xludf.DUMMYFUNCTION("""COMPUTED_VALUE"""),"html_url:""https://github.com/adixmr""")</f>
        <v>html_url:"https://github.com/adixmr"</v>
      </c>
      <c r="BFM2" s="20" t="str">
        <f>IFERROR(__xludf.DUMMYFUNCTION("""COMPUTED_VALUE"""),"followers_url:""https://api.github.com/users/adixmr/followers""")</f>
        <v>followers_url:"https://api.github.com/users/adixmr/followers"</v>
      </c>
      <c r="BFN2" s="20" t="str">
        <f>IFERROR(__xludf.DUMMYFUNCTION("""COMPUTED_VALUE"""),"following_url:""https://api.github.com/users/adixmr/following{/other_user}""")</f>
        <v>following_url:"https://api.github.com/users/adixmr/following{/other_user}"</v>
      </c>
      <c r="BFO2" s="20" t="str">
        <f>IFERROR(__xludf.DUMMYFUNCTION("""COMPUTED_VALUE"""),"gists_url:""https://api.github.com/users/adixmr/gists{/gist_id}""")</f>
        <v>gists_url:"https://api.github.com/users/adixmr/gists{/gist_id}"</v>
      </c>
      <c r="BFP2" s="20" t="str">
        <f>IFERROR(__xludf.DUMMYFUNCTION("""COMPUTED_VALUE"""),"starred_url:""https://api.github.com/users/adixmr/starred{/owner}{/repo}""")</f>
        <v>starred_url:"https://api.github.com/users/adixmr/starred{/owner}{/repo}"</v>
      </c>
      <c r="BFQ2" s="20" t="str">
        <f>IFERROR(__xludf.DUMMYFUNCTION("""COMPUTED_VALUE"""),"subscriptions_url:""https://api.github.com/users/adixmr/subscriptions""")</f>
        <v>subscriptions_url:"https://api.github.com/users/adixmr/subscriptions"</v>
      </c>
      <c r="BFR2" s="20" t="str">
        <f>IFERROR(__xludf.DUMMYFUNCTION("""COMPUTED_VALUE"""),"organizations_url:""https://api.github.com/users/adixmr/orgs""")</f>
        <v>organizations_url:"https://api.github.com/users/adixmr/orgs"</v>
      </c>
      <c r="BFS2" s="20" t="str">
        <f>IFERROR(__xludf.DUMMYFUNCTION("""COMPUTED_VALUE"""),"repos_url:""https://api.github.com/users/adixmr/repos""")</f>
        <v>repos_url:"https://api.github.com/users/adixmr/repos"</v>
      </c>
      <c r="BFT2" s="20" t="str">
        <f>IFERROR(__xludf.DUMMYFUNCTION("""COMPUTED_VALUE"""),"events_url:""https://api.github.com/users/adixmr/events{/privacy}""")</f>
        <v>events_url:"https://api.github.com/users/adixmr/events{/privacy}"</v>
      </c>
      <c r="BFU2" s="20" t="str">
        <f>IFERROR(__xludf.DUMMYFUNCTION("""COMPUTED_VALUE"""),"received_events_url:""https://api.github.com/users/adixmr/received_events""")</f>
        <v>received_events_url:"https://api.github.com/users/adixmr/received_events"</v>
      </c>
      <c r="BFV2" s="20" t="str">
        <f>IFERROR(__xludf.DUMMYFUNCTION("""COMPUTED_VALUE"""),"type:""User""")</f>
        <v>type:"User"</v>
      </c>
      <c r="BFW2" s="20" t="str">
        <f>IFERROR(__xludf.DUMMYFUNCTION("""COMPUTED_VALUE"""),"site_admin:false}")</f>
        <v>site_admin:false}</v>
      </c>
      <c r="BFX2" s="20" t="str">
        <f>IFERROR(__xludf.DUMMYFUNCTION("""COMPUTED_VALUE"""),"parents:[{""sha"":""51d6637ea57a86680bfce02b3faa941757fb2df4""")</f>
        <v>parents:[{"sha":"51d6637ea57a86680bfce02b3faa941757fb2df4"</v>
      </c>
      <c r="BFY2" s="20" t="str">
        <f>IFERROR(__xludf.DUMMYFUNCTION("""COMPUTED_VALUE"""),"url:""https://api.github.com/repos/adixmr/leetcode/commits/51d6637ea57a86680bfce02b3faa941757fb2df4""")</f>
        <v>url:"https://api.github.com/repos/adixmr/leetcode/commits/51d6637ea57a86680bfce02b3faa941757fb2df4"</v>
      </c>
      <c r="BFZ2" s="20" t="str">
        <f>IFERROR(__xludf.DUMMYFUNCTION("""COMPUTED_VALUE"""),"html_url:""https://github.com/adixmr/leetcode/commit/51d6637ea57a86680bfce02b3faa941757fb2df4""}]}")</f>
        <v>html_url:"https://github.com/adixmr/leetcode/commit/51d6637ea57a86680bfce02b3faa941757fb2df4"}]}</v>
      </c>
      <c r="BGA2" s="20" t="str">
        <f>IFERROR(__xludf.DUMMYFUNCTION("""COMPUTED_VALUE"""),"{""sha"":""51d6637ea57a86680bfce02b3faa941757fb2df4""")</f>
        <v>{"sha":"51d6637ea57a86680bfce02b3faa941757fb2df4"</v>
      </c>
      <c r="BGB2" s="20" t="str">
        <f>IFERROR(__xludf.DUMMYFUNCTION("""COMPUTED_VALUE"""),"node_id:""C_kwDOG-OgStoAKDUxZDY2MzdlYTU3YTg2NjgwYmZjZTAyYjNmYWE5NDE3NTdmYjJkZjQ""")</f>
        <v>node_id:"C_kwDOG-OgStoAKDUxZDY2MzdlYTU3YTg2NjgwYmZjZTAyYjNmYWE5NDE3NTdmYjJkZjQ"</v>
      </c>
      <c r="BGC2" s="20" t="str">
        <f>IFERROR(__xludf.DUMMYFUNCTION("""COMPUTED_VALUE"""),"commit:{""author"":{""name"":""Aditya Rajput""")</f>
        <v>commit:{"author":{"name":"Aditya Rajput"</v>
      </c>
      <c r="BGD2" s="20" t="str">
        <f>IFERROR(__xludf.DUMMYFUNCTION("""COMPUTED_VALUE"""),"email:""aditya.icf@gmail.com""")</f>
        <v>email:"aditya.icf@gmail.com"</v>
      </c>
      <c r="BGE2" s="20" t="str">
        <f>IFERROR(__xludf.DUMMYFUNCTION("""COMPUTED_VALUE"""),"date:""2022-12-01T12:30:02Z""}")</f>
        <v>date:"2022-12-01T12:30:02Z"}</v>
      </c>
      <c r="BGF2" s="20" t="str">
        <f>IFERROR(__xludf.DUMMYFUNCTION("""COMPUTED_VALUE"""),"committer:{""name"":""Aditya Rajput""")</f>
        <v>committer:{"name":"Aditya Rajput"</v>
      </c>
      <c r="BGG2" s="20" t="str">
        <f>IFERROR(__xludf.DUMMYFUNCTION("""COMPUTED_VALUE"""),"email:""aditya.icf@gmail.com""")</f>
        <v>email:"aditya.icf@gmail.com"</v>
      </c>
      <c r="BGH2" s="20" t="str">
        <f>IFERROR(__xludf.DUMMYFUNCTION("""COMPUTED_VALUE"""),"date:""2022-12-01T12:30:02Z""}")</f>
        <v>date:"2022-12-01T12:30:02Z"}</v>
      </c>
      <c r="BGI2" s="20" t="str">
        <f>IFERROR(__xludf.DUMMYFUNCTION("""COMPUTED_VALUE"""),"message:""Daily update by cron""")</f>
        <v>message:"Daily update by cron"</v>
      </c>
      <c r="BGJ2" s="20" t="str">
        <f>IFERROR(__xludf.DUMMYFUNCTION("""COMPUTED_VALUE"""),"tree:{""sha"":""474471ba4472426a15d8a969b52a874702240c6d""")</f>
        <v>tree:{"sha":"474471ba4472426a15d8a969b52a874702240c6d"</v>
      </c>
      <c r="BGK2" s="20" t="str">
        <f>IFERROR(__xludf.DUMMYFUNCTION("""COMPUTED_VALUE"""),"url:""https://api.github.com/repos/adixmr/leetcode/git/trees/474471ba4472426a15d8a969b52a874702240c6d""}")</f>
        <v>url:"https://api.github.com/repos/adixmr/leetcode/git/trees/474471ba4472426a15d8a969b52a874702240c6d"}</v>
      </c>
      <c r="BGL2" s="20" t="str">
        <f>IFERROR(__xludf.DUMMYFUNCTION("""COMPUTED_VALUE"""),"url:""https://api.github.com/repos/adixmr/leetcode/git/commits/51d6637ea57a86680bfce02b3faa941757fb2df4""")</f>
        <v>url:"https://api.github.com/repos/adixmr/leetcode/git/commits/51d6637ea57a86680bfce02b3faa941757fb2df4"</v>
      </c>
      <c r="BGM2" s="20" t="str">
        <f>IFERROR(__xludf.DUMMYFUNCTION("""COMPUTED_VALUE"""),"comment_count:0")</f>
        <v>comment_count:0</v>
      </c>
      <c r="BGN2" s="20" t="str">
        <f>IFERROR(__xludf.DUMMYFUNCTION("""COMPUTED_VALUE"""),"verification:{""verified"":false")</f>
        <v>verification:{"verified":false</v>
      </c>
      <c r="BGO2" s="20" t="str">
        <f>IFERROR(__xludf.DUMMYFUNCTION("""COMPUTED_VALUE"""),"reason:""unsigned""")</f>
        <v>reason:"unsigned"</v>
      </c>
      <c r="BGP2" s="20" t="str">
        <f>IFERROR(__xludf.DUMMYFUNCTION("""COMPUTED_VALUE"""),"signature:null")</f>
        <v>signature:null</v>
      </c>
      <c r="BGQ2" s="20" t="str">
        <f>IFERROR(__xludf.DUMMYFUNCTION("""COMPUTED_VALUE"""),"payload:null}}")</f>
        <v>payload:null}}</v>
      </c>
      <c r="BGR2" s="20" t="str">
        <f>IFERROR(__xludf.DUMMYFUNCTION("""COMPUTED_VALUE"""),"url:""https://api.github.com/repos/adixmr/leetcode/commits/51d6637ea57a86680bfce02b3faa941757fb2df4""")</f>
        <v>url:"https://api.github.com/repos/adixmr/leetcode/commits/51d6637ea57a86680bfce02b3faa941757fb2df4"</v>
      </c>
      <c r="BGS2" s="20" t="str">
        <f>IFERROR(__xludf.DUMMYFUNCTION("""COMPUTED_VALUE"""),"html_url:""https://github.com/adixmr/leetcode/commit/51d6637ea57a86680bfce02b3faa941757fb2df4""")</f>
        <v>html_url:"https://github.com/adixmr/leetcode/commit/51d6637ea57a86680bfce02b3faa941757fb2df4"</v>
      </c>
      <c r="BGT2" s="20" t="str">
        <f>IFERROR(__xludf.DUMMYFUNCTION("""COMPUTED_VALUE"""),"comments_url:""https://api.github.com/repos/adixmr/leetcode/commits/51d6637ea57a86680bfce02b3faa941757fb2df4/comments""")</f>
        <v>comments_url:"https://api.github.com/repos/adixmr/leetcode/commits/51d6637ea57a86680bfce02b3faa941757fb2df4/comments"</v>
      </c>
      <c r="BGU2" s="20" t="str">
        <f>IFERROR(__xludf.DUMMYFUNCTION("""COMPUTED_VALUE"""),"author:{""login"":""adixmr""")</f>
        <v>author:{"login":"adixmr"</v>
      </c>
      <c r="BGV2" s="20" t="str">
        <f>IFERROR(__xludf.DUMMYFUNCTION("""COMPUTED_VALUE"""),"id:42894359")</f>
        <v>id:42894359</v>
      </c>
      <c r="BGW2" s="20" t="str">
        <f>IFERROR(__xludf.DUMMYFUNCTION("""COMPUTED_VALUE"""),"node_id:""MDQ6VXNlcjQyODk0MzU5""")</f>
        <v>node_id:"MDQ6VXNlcjQyODk0MzU5"</v>
      </c>
      <c r="BGX2" s="20" t="str">
        <f>IFERROR(__xludf.DUMMYFUNCTION("""COMPUTED_VALUE"""),"avatar_url:""https://avatars.githubusercontent.com/u/42894359?v=4""")</f>
        <v>avatar_url:"https://avatars.githubusercontent.com/u/42894359?v=4"</v>
      </c>
      <c r="BGY2" s="20" t="str">
        <f>IFERROR(__xludf.DUMMYFUNCTION("""COMPUTED_VALUE"""),"gravatar_id:""""")</f>
        <v>gravatar_id:""</v>
      </c>
      <c r="BGZ2" s="20" t="str">
        <f>IFERROR(__xludf.DUMMYFUNCTION("""COMPUTED_VALUE"""),"url:""https://api.github.com/users/adixmr""")</f>
        <v>url:"https://api.github.com/users/adixmr"</v>
      </c>
      <c r="BHA2" s="20" t="str">
        <f>IFERROR(__xludf.DUMMYFUNCTION("""COMPUTED_VALUE"""),"html_url:""https://github.com/adixmr""")</f>
        <v>html_url:"https://github.com/adixmr"</v>
      </c>
      <c r="BHB2" s="20" t="str">
        <f>IFERROR(__xludf.DUMMYFUNCTION("""COMPUTED_VALUE"""),"followers_url:""https://api.github.com/users/adixmr/followers""")</f>
        <v>followers_url:"https://api.github.com/users/adixmr/followers"</v>
      </c>
      <c r="BHC2" s="20" t="str">
        <f>IFERROR(__xludf.DUMMYFUNCTION("""COMPUTED_VALUE"""),"following_url:""https://api.github.com/users/adixmr/following{/other_user}""")</f>
        <v>following_url:"https://api.github.com/users/adixmr/following{/other_user}"</v>
      </c>
      <c r="BHD2" s="20" t="str">
        <f>IFERROR(__xludf.DUMMYFUNCTION("""COMPUTED_VALUE"""),"gists_url:""https://api.github.com/users/adixmr/gists{/gist_id}""")</f>
        <v>gists_url:"https://api.github.com/users/adixmr/gists{/gist_id}"</v>
      </c>
      <c r="BHE2" s="20" t="str">
        <f>IFERROR(__xludf.DUMMYFUNCTION("""COMPUTED_VALUE"""),"starred_url:""https://api.github.com/users/adixmr/starred{/owner}{/repo}""")</f>
        <v>starred_url:"https://api.github.com/users/adixmr/starred{/owner}{/repo}"</v>
      </c>
      <c r="BHF2" s="20" t="str">
        <f>IFERROR(__xludf.DUMMYFUNCTION("""COMPUTED_VALUE"""),"subscriptions_url:""https://api.github.com/users/adixmr/subscriptions""")</f>
        <v>subscriptions_url:"https://api.github.com/users/adixmr/subscriptions"</v>
      </c>
      <c r="BHG2" s="20" t="str">
        <f>IFERROR(__xludf.DUMMYFUNCTION("""COMPUTED_VALUE"""),"organizations_url:""https://api.github.com/users/adixmr/orgs""")</f>
        <v>organizations_url:"https://api.github.com/users/adixmr/orgs"</v>
      </c>
      <c r="BHH2" s="20" t="str">
        <f>IFERROR(__xludf.DUMMYFUNCTION("""COMPUTED_VALUE"""),"repos_url:""https://api.github.com/users/adixmr/repos""")</f>
        <v>repos_url:"https://api.github.com/users/adixmr/repos"</v>
      </c>
      <c r="BHI2" s="20" t="str">
        <f>IFERROR(__xludf.DUMMYFUNCTION("""COMPUTED_VALUE"""),"events_url:""https://api.github.com/users/adixmr/events{/privacy}""")</f>
        <v>events_url:"https://api.github.com/users/adixmr/events{/privacy}"</v>
      </c>
      <c r="BHJ2" s="20" t="str">
        <f>IFERROR(__xludf.DUMMYFUNCTION("""COMPUTED_VALUE"""),"received_events_url:""https://api.github.com/users/adixmr/received_events""")</f>
        <v>received_events_url:"https://api.github.com/users/adixmr/received_events"</v>
      </c>
      <c r="BHK2" s="20" t="str">
        <f>IFERROR(__xludf.DUMMYFUNCTION("""COMPUTED_VALUE"""),"type:""User""")</f>
        <v>type:"User"</v>
      </c>
      <c r="BHL2" s="20" t="str">
        <f>IFERROR(__xludf.DUMMYFUNCTION("""COMPUTED_VALUE"""),"site_admin:false}")</f>
        <v>site_admin:false}</v>
      </c>
      <c r="BHM2" s="20" t="str">
        <f>IFERROR(__xludf.DUMMYFUNCTION("""COMPUTED_VALUE"""),"committer:{""login"":""adixmr""")</f>
        <v>committer:{"login":"adixmr"</v>
      </c>
      <c r="BHN2" s="20" t="str">
        <f>IFERROR(__xludf.DUMMYFUNCTION("""COMPUTED_VALUE"""),"id:42894359")</f>
        <v>id:42894359</v>
      </c>
      <c r="BHO2" s="20" t="str">
        <f>IFERROR(__xludf.DUMMYFUNCTION("""COMPUTED_VALUE"""),"node_id:""MDQ6VXNlcjQyODk0MzU5""")</f>
        <v>node_id:"MDQ6VXNlcjQyODk0MzU5"</v>
      </c>
      <c r="BHP2" s="20" t="str">
        <f>IFERROR(__xludf.DUMMYFUNCTION("""COMPUTED_VALUE"""),"avatar_url:""https://avatars.githubusercontent.com/u/42894359?v=4""")</f>
        <v>avatar_url:"https://avatars.githubusercontent.com/u/42894359?v=4"</v>
      </c>
      <c r="BHQ2" s="20" t="str">
        <f>IFERROR(__xludf.DUMMYFUNCTION("""COMPUTED_VALUE"""),"gravatar_id:""""")</f>
        <v>gravatar_id:""</v>
      </c>
      <c r="BHR2" s="20" t="str">
        <f>IFERROR(__xludf.DUMMYFUNCTION("""COMPUTED_VALUE"""),"url:""https://api.github.com/users/adixmr""")</f>
        <v>url:"https://api.github.com/users/adixmr"</v>
      </c>
      <c r="BHS2" s="20" t="str">
        <f>IFERROR(__xludf.DUMMYFUNCTION("""COMPUTED_VALUE"""),"html_url:""https://github.com/adixmr""")</f>
        <v>html_url:"https://github.com/adixmr"</v>
      </c>
      <c r="BHT2" s="20" t="str">
        <f>IFERROR(__xludf.DUMMYFUNCTION("""COMPUTED_VALUE"""),"followers_url:""https://api.github.com/users/adixmr/followers""")</f>
        <v>followers_url:"https://api.github.com/users/adixmr/followers"</v>
      </c>
      <c r="BHU2" s="20" t="str">
        <f>IFERROR(__xludf.DUMMYFUNCTION("""COMPUTED_VALUE"""),"following_url:""https://api.github.com/users/adixmr/following{/other_user}""")</f>
        <v>following_url:"https://api.github.com/users/adixmr/following{/other_user}"</v>
      </c>
      <c r="BHV2" s="20" t="str">
        <f>IFERROR(__xludf.DUMMYFUNCTION("""COMPUTED_VALUE"""),"gists_url:""https://api.github.com/users/adixmr/gists{/gist_id}""")</f>
        <v>gists_url:"https://api.github.com/users/adixmr/gists{/gist_id}"</v>
      </c>
      <c r="BHW2" s="20" t="str">
        <f>IFERROR(__xludf.DUMMYFUNCTION("""COMPUTED_VALUE"""),"starred_url:""https://api.github.com/users/adixmr/starred{/owner}{/repo}""")</f>
        <v>starred_url:"https://api.github.com/users/adixmr/starred{/owner}{/repo}"</v>
      </c>
      <c r="BHX2" s="20" t="str">
        <f>IFERROR(__xludf.DUMMYFUNCTION("""COMPUTED_VALUE"""),"subscriptions_url:""https://api.github.com/users/adixmr/subscriptions""")</f>
        <v>subscriptions_url:"https://api.github.com/users/adixmr/subscriptions"</v>
      </c>
      <c r="BHY2" s="20" t="str">
        <f>IFERROR(__xludf.DUMMYFUNCTION("""COMPUTED_VALUE"""),"organizations_url:""https://api.github.com/users/adixmr/orgs""")</f>
        <v>organizations_url:"https://api.github.com/users/adixmr/orgs"</v>
      </c>
      <c r="BHZ2" s="20" t="str">
        <f>IFERROR(__xludf.DUMMYFUNCTION("""COMPUTED_VALUE"""),"repos_url:""https://api.github.com/users/adixmr/repos""")</f>
        <v>repos_url:"https://api.github.com/users/adixmr/repos"</v>
      </c>
      <c r="BIA2" s="20" t="str">
        <f>IFERROR(__xludf.DUMMYFUNCTION("""COMPUTED_VALUE"""),"events_url:""https://api.github.com/users/adixmr/events{/privacy}""")</f>
        <v>events_url:"https://api.github.com/users/adixmr/events{/privacy}"</v>
      </c>
      <c r="BIB2" s="20" t="str">
        <f>IFERROR(__xludf.DUMMYFUNCTION("""COMPUTED_VALUE"""),"received_events_url:""https://api.github.com/users/adixmr/received_events""")</f>
        <v>received_events_url:"https://api.github.com/users/adixmr/received_events"</v>
      </c>
      <c r="BIC2" s="20" t="str">
        <f>IFERROR(__xludf.DUMMYFUNCTION("""COMPUTED_VALUE"""),"type:""User""")</f>
        <v>type:"User"</v>
      </c>
      <c r="BID2" s="20" t="str">
        <f>IFERROR(__xludf.DUMMYFUNCTION("""COMPUTED_VALUE"""),"site_admin:false}")</f>
        <v>site_admin:false}</v>
      </c>
      <c r="BIE2" s="20" t="str">
        <f>IFERROR(__xludf.DUMMYFUNCTION("""COMPUTED_VALUE"""),"parents:[{""sha"":""1f61ae6d59c3e535951ae22fcfd38aa31bdf52d7""")</f>
        <v>parents:[{"sha":"1f61ae6d59c3e535951ae22fcfd38aa31bdf52d7"</v>
      </c>
      <c r="BIF2" s="20" t="str">
        <f>IFERROR(__xludf.DUMMYFUNCTION("""COMPUTED_VALUE"""),"url:""https://api.github.com/repos/adixmr/leetcode/commits/1f61ae6d59c3e535951ae22fcfd38aa31bdf52d7""")</f>
        <v>url:"https://api.github.com/repos/adixmr/leetcode/commits/1f61ae6d59c3e535951ae22fcfd38aa31bdf52d7"</v>
      </c>
      <c r="BIG2" s="20" t="str">
        <f>IFERROR(__xludf.DUMMYFUNCTION("""COMPUTED_VALUE"""),"html_url:""https://github.com/adixmr/leetcode/commit/1f61ae6d59c3e535951ae22fcfd38aa31bdf52d7""}]}")</f>
        <v>html_url:"https://github.com/adixmr/leetcode/commit/1f61ae6d59c3e535951ae22fcfd38aa31bdf52d7"}]}</v>
      </c>
      <c r="BIH2" s="20" t="str">
        <f>IFERROR(__xludf.DUMMYFUNCTION("""COMPUTED_VALUE"""),"{""sha"":""1f61ae6d59c3e535951ae22fcfd38aa31bdf52d7""")</f>
        <v>{"sha":"1f61ae6d59c3e535951ae22fcfd38aa31bdf52d7"</v>
      </c>
      <c r="BII2" s="20" t="str">
        <f>IFERROR(__xludf.DUMMYFUNCTION("""COMPUTED_VALUE"""),"node_id:""C_kwDOG-OgStoAKDFmNjFhZTZkNTljM2U1MzU5NTFhZTIyZmNmZDM4YWEzMWJkZjUyZDc""")</f>
        <v>node_id:"C_kwDOG-OgStoAKDFmNjFhZTZkNTljM2U1MzU5NTFhZTIyZmNmZDM4YWEzMWJkZjUyZDc"</v>
      </c>
      <c r="BIJ2" s="20" t="str">
        <f>IFERROR(__xludf.DUMMYFUNCTION("""COMPUTED_VALUE"""),"commit:{""author"":{""name"":""Aditya Rajput""")</f>
        <v>commit:{"author":{"name":"Aditya Rajput"</v>
      </c>
      <c r="BIK2" s="20" t="str">
        <f>IFERROR(__xludf.DUMMYFUNCTION("""COMPUTED_VALUE"""),"email:""aditya.icf@gmail.com""")</f>
        <v>email:"aditya.icf@gmail.com"</v>
      </c>
      <c r="BIL2" s="20" t="str">
        <f>IFERROR(__xludf.DUMMYFUNCTION("""COMPUTED_VALUE"""),"date:""2022-11-30T12:30:01Z""}")</f>
        <v>date:"2022-11-30T12:30:01Z"}</v>
      </c>
      <c r="BIM2" s="20" t="str">
        <f>IFERROR(__xludf.DUMMYFUNCTION("""COMPUTED_VALUE"""),"committer:{""name"":""Aditya Rajput""")</f>
        <v>committer:{"name":"Aditya Rajput"</v>
      </c>
      <c r="BIN2" s="20" t="str">
        <f>IFERROR(__xludf.DUMMYFUNCTION("""COMPUTED_VALUE"""),"email:""aditya.icf@gmail.com""")</f>
        <v>email:"aditya.icf@gmail.com"</v>
      </c>
      <c r="BIO2" s="20" t="str">
        <f>IFERROR(__xludf.DUMMYFUNCTION("""COMPUTED_VALUE"""),"date:""2022-11-30T12:30:01Z""}")</f>
        <v>date:"2022-11-30T12:30:01Z"}</v>
      </c>
      <c r="BIP2" s="20" t="str">
        <f>IFERROR(__xludf.DUMMYFUNCTION("""COMPUTED_VALUE"""),"message:""Daily update by cron""")</f>
        <v>message:"Daily update by cron"</v>
      </c>
      <c r="BIQ2" s="20" t="str">
        <f>IFERROR(__xludf.DUMMYFUNCTION("""COMPUTED_VALUE"""),"tree:{""sha"":""df1a5c5453cd734007d70d5a7a80c69febb634fc""")</f>
        <v>tree:{"sha":"df1a5c5453cd734007d70d5a7a80c69febb634fc"</v>
      </c>
      <c r="BIR2" s="20" t="str">
        <f>IFERROR(__xludf.DUMMYFUNCTION("""COMPUTED_VALUE"""),"url:""https://api.github.com/repos/adixmr/leetcode/git/trees/df1a5c5453cd734007d70d5a7a80c69febb634fc""}")</f>
        <v>url:"https://api.github.com/repos/adixmr/leetcode/git/trees/df1a5c5453cd734007d70d5a7a80c69febb634fc"}</v>
      </c>
      <c r="BIS2" s="20" t="str">
        <f>IFERROR(__xludf.DUMMYFUNCTION("""COMPUTED_VALUE"""),"url:""https://api.github.com/repos/adixmr/leetcode/git/commits/1f61ae6d59c3e535951ae22fcfd38aa31bdf52d7""")</f>
        <v>url:"https://api.github.com/repos/adixmr/leetcode/git/commits/1f61ae6d59c3e535951ae22fcfd38aa31bdf52d7"</v>
      </c>
      <c r="BIT2" s="20" t="str">
        <f>IFERROR(__xludf.DUMMYFUNCTION("""COMPUTED_VALUE"""),"comment_count:0")</f>
        <v>comment_count:0</v>
      </c>
      <c r="BIU2" s="20" t="str">
        <f>IFERROR(__xludf.DUMMYFUNCTION("""COMPUTED_VALUE"""),"verification:{""verified"":false")</f>
        <v>verification:{"verified":false</v>
      </c>
      <c r="BIV2" s="20" t="str">
        <f>IFERROR(__xludf.DUMMYFUNCTION("""COMPUTED_VALUE"""),"reason:""unsigned""")</f>
        <v>reason:"unsigned"</v>
      </c>
      <c r="BIW2" s="20" t="str">
        <f>IFERROR(__xludf.DUMMYFUNCTION("""COMPUTED_VALUE"""),"signature:null")</f>
        <v>signature:null</v>
      </c>
      <c r="BIX2" s="20" t="str">
        <f>IFERROR(__xludf.DUMMYFUNCTION("""COMPUTED_VALUE"""),"payload:null}}")</f>
        <v>payload:null}}</v>
      </c>
      <c r="BIY2" s="20" t="str">
        <f>IFERROR(__xludf.DUMMYFUNCTION("""COMPUTED_VALUE"""),"url:""https://api.github.com/repos/adixmr/leetcode/commits/1f61ae6d59c3e535951ae22fcfd38aa31bdf52d7""")</f>
        <v>url:"https://api.github.com/repos/adixmr/leetcode/commits/1f61ae6d59c3e535951ae22fcfd38aa31bdf52d7"</v>
      </c>
      <c r="BIZ2" s="20" t="str">
        <f>IFERROR(__xludf.DUMMYFUNCTION("""COMPUTED_VALUE"""),"html_url:""https://github.com/adixmr/leetcode/commit/1f61ae6d59c3e535951ae22fcfd38aa31bdf52d7""")</f>
        <v>html_url:"https://github.com/adixmr/leetcode/commit/1f61ae6d59c3e535951ae22fcfd38aa31bdf52d7"</v>
      </c>
      <c r="BJA2" s="20" t="str">
        <f>IFERROR(__xludf.DUMMYFUNCTION("""COMPUTED_VALUE"""),"comments_url:""https://api.github.com/repos/adixmr/leetcode/commits/1f61ae6d59c3e535951ae22fcfd38aa31bdf52d7/comments""")</f>
        <v>comments_url:"https://api.github.com/repos/adixmr/leetcode/commits/1f61ae6d59c3e535951ae22fcfd38aa31bdf52d7/comments"</v>
      </c>
      <c r="BJB2" s="20" t="str">
        <f>IFERROR(__xludf.DUMMYFUNCTION("""COMPUTED_VALUE"""),"author:{""login"":""adixmr""")</f>
        <v>author:{"login":"adixmr"</v>
      </c>
      <c r="BJC2" s="20" t="str">
        <f>IFERROR(__xludf.DUMMYFUNCTION("""COMPUTED_VALUE"""),"id:42894359")</f>
        <v>id:42894359</v>
      </c>
      <c r="BJD2" s="20" t="str">
        <f>IFERROR(__xludf.DUMMYFUNCTION("""COMPUTED_VALUE"""),"node_id:""MDQ6VXNlcjQyODk0MzU5""")</f>
        <v>node_id:"MDQ6VXNlcjQyODk0MzU5"</v>
      </c>
      <c r="BJE2" s="20" t="str">
        <f>IFERROR(__xludf.DUMMYFUNCTION("""COMPUTED_VALUE"""),"avatar_url:""https://avatars.githubusercontent.com/u/42894359?v=4""")</f>
        <v>avatar_url:"https://avatars.githubusercontent.com/u/42894359?v=4"</v>
      </c>
      <c r="BJF2" s="20" t="str">
        <f>IFERROR(__xludf.DUMMYFUNCTION("""COMPUTED_VALUE"""),"gravatar_id:""""")</f>
        <v>gravatar_id:""</v>
      </c>
      <c r="BJG2" s="20" t="str">
        <f>IFERROR(__xludf.DUMMYFUNCTION("""COMPUTED_VALUE"""),"url:""https://api.github.com/users/adixmr""")</f>
        <v>url:"https://api.github.com/users/adixmr"</v>
      </c>
      <c r="BJH2" s="20" t="str">
        <f>IFERROR(__xludf.DUMMYFUNCTION("""COMPUTED_VALUE"""),"html_url:""https://github.com/adixmr""")</f>
        <v>html_url:"https://github.com/adixmr"</v>
      </c>
      <c r="BJI2" s="20" t="str">
        <f>IFERROR(__xludf.DUMMYFUNCTION("""COMPUTED_VALUE"""),"followers_url:""https://api.github.com/users/adixmr/followers""")</f>
        <v>followers_url:"https://api.github.com/users/adixmr/followers"</v>
      </c>
      <c r="BJJ2" s="20" t="str">
        <f>IFERROR(__xludf.DUMMYFUNCTION("""COMPUTED_VALUE"""),"following_url:""https://api.github.com/users/adixmr/following{/other_user}""")</f>
        <v>following_url:"https://api.github.com/users/adixmr/following{/other_user}"</v>
      </c>
      <c r="BJK2" s="20" t="str">
        <f>IFERROR(__xludf.DUMMYFUNCTION("""COMPUTED_VALUE"""),"gists_url:""https://api.github.com/users/adixmr/gists{/gist_id}""")</f>
        <v>gists_url:"https://api.github.com/users/adixmr/gists{/gist_id}"</v>
      </c>
      <c r="BJL2" s="20" t="str">
        <f>IFERROR(__xludf.DUMMYFUNCTION("""COMPUTED_VALUE"""),"starred_url:""https://api.github.com/users/adixmr/starred{/owner}{/repo}""")</f>
        <v>starred_url:"https://api.github.com/users/adixmr/starred{/owner}{/repo}"</v>
      </c>
      <c r="BJM2" s="20" t="str">
        <f>IFERROR(__xludf.DUMMYFUNCTION("""COMPUTED_VALUE"""),"subscriptions_url:""https://api.github.com/users/adixmr/subscriptions""")</f>
        <v>subscriptions_url:"https://api.github.com/users/adixmr/subscriptions"</v>
      </c>
      <c r="BJN2" s="20" t="str">
        <f>IFERROR(__xludf.DUMMYFUNCTION("""COMPUTED_VALUE"""),"organizations_url:""https://api.github.com/users/adixmr/orgs""")</f>
        <v>organizations_url:"https://api.github.com/users/adixmr/orgs"</v>
      </c>
      <c r="BJO2" s="20" t="str">
        <f>IFERROR(__xludf.DUMMYFUNCTION("""COMPUTED_VALUE"""),"repos_url:""https://api.github.com/users/adixmr/repos""")</f>
        <v>repos_url:"https://api.github.com/users/adixmr/repos"</v>
      </c>
      <c r="BJP2" s="20" t="str">
        <f>IFERROR(__xludf.DUMMYFUNCTION("""COMPUTED_VALUE"""),"events_url:""https://api.github.com/users/adixmr/events{/privacy}""")</f>
        <v>events_url:"https://api.github.com/users/adixmr/events{/privacy}"</v>
      </c>
      <c r="BJQ2" s="20" t="str">
        <f>IFERROR(__xludf.DUMMYFUNCTION("""COMPUTED_VALUE"""),"received_events_url:""https://api.github.com/users/adixmr/received_events""")</f>
        <v>received_events_url:"https://api.github.com/users/adixmr/received_events"</v>
      </c>
      <c r="BJR2" s="20" t="str">
        <f>IFERROR(__xludf.DUMMYFUNCTION("""COMPUTED_VALUE"""),"type:""User""")</f>
        <v>type:"User"</v>
      </c>
      <c r="BJS2" s="20" t="str">
        <f>IFERROR(__xludf.DUMMYFUNCTION("""COMPUTED_VALUE"""),"site_admin:false}")</f>
        <v>site_admin:false}</v>
      </c>
      <c r="BJT2" s="20" t="str">
        <f>IFERROR(__xludf.DUMMYFUNCTION("""COMPUTED_VALUE"""),"committer:{""login"":""adixmr""")</f>
        <v>committer:{"login":"adixmr"</v>
      </c>
      <c r="BJU2" s="20" t="str">
        <f>IFERROR(__xludf.DUMMYFUNCTION("""COMPUTED_VALUE"""),"id:42894359")</f>
        <v>id:42894359</v>
      </c>
      <c r="BJV2" s="20" t="str">
        <f>IFERROR(__xludf.DUMMYFUNCTION("""COMPUTED_VALUE"""),"node_id:""MDQ6VXNlcjQyODk0MzU5""")</f>
        <v>node_id:"MDQ6VXNlcjQyODk0MzU5"</v>
      </c>
      <c r="BJW2" s="20" t="str">
        <f>IFERROR(__xludf.DUMMYFUNCTION("""COMPUTED_VALUE"""),"avatar_url:""https://avatars.githubusercontent.com/u/42894359?v=4""")</f>
        <v>avatar_url:"https://avatars.githubusercontent.com/u/42894359?v=4"</v>
      </c>
      <c r="BJX2" s="20" t="str">
        <f>IFERROR(__xludf.DUMMYFUNCTION("""COMPUTED_VALUE"""),"gravatar_id:""""")</f>
        <v>gravatar_id:""</v>
      </c>
      <c r="BJY2" s="20" t="str">
        <f>IFERROR(__xludf.DUMMYFUNCTION("""COMPUTED_VALUE"""),"url:""https://api.github.com/users/adixmr""")</f>
        <v>url:"https://api.github.com/users/adixmr"</v>
      </c>
      <c r="BJZ2" s="20" t="str">
        <f>IFERROR(__xludf.DUMMYFUNCTION("""COMPUTED_VALUE"""),"html_url:""https://github.com/adixmr""")</f>
        <v>html_url:"https://github.com/adixmr"</v>
      </c>
      <c r="BKA2" s="20" t="str">
        <f>IFERROR(__xludf.DUMMYFUNCTION("""COMPUTED_VALUE"""),"followers_url:""https://api.github.com/users/adixmr/followers""")</f>
        <v>followers_url:"https://api.github.com/users/adixmr/followers"</v>
      </c>
      <c r="BKB2" s="20" t="str">
        <f>IFERROR(__xludf.DUMMYFUNCTION("""COMPUTED_VALUE"""),"following_url:""https://api.github.com/users/adixmr/following{/other_user}""")</f>
        <v>following_url:"https://api.github.com/users/adixmr/following{/other_user}"</v>
      </c>
      <c r="BKC2" s="20" t="str">
        <f>IFERROR(__xludf.DUMMYFUNCTION("""COMPUTED_VALUE"""),"gists_url:""https://api.github.com/users/adixmr/gists{/gist_id}""")</f>
        <v>gists_url:"https://api.github.com/users/adixmr/gists{/gist_id}"</v>
      </c>
      <c r="BKD2" s="20" t="str">
        <f>IFERROR(__xludf.DUMMYFUNCTION("""COMPUTED_VALUE"""),"starred_url:""https://api.github.com/users/adixmr/starred{/owner}{/repo}""")</f>
        <v>starred_url:"https://api.github.com/users/adixmr/starred{/owner}{/repo}"</v>
      </c>
      <c r="BKE2" s="20" t="str">
        <f>IFERROR(__xludf.DUMMYFUNCTION("""COMPUTED_VALUE"""),"subscriptions_url:""https://api.github.com/users/adixmr/subscriptions""")</f>
        <v>subscriptions_url:"https://api.github.com/users/adixmr/subscriptions"</v>
      </c>
      <c r="BKF2" s="20" t="str">
        <f>IFERROR(__xludf.DUMMYFUNCTION("""COMPUTED_VALUE"""),"organizations_url:""https://api.github.com/users/adixmr/orgs""")</f>
        <v>organizations_url:"https://api.github.com/users/adixmr/orgs"</v>
      </c>
      <c r="BKG2" s="20" t="str">
        <f>IFERROR(__xludf.DUMMYFUNCTION("""COMPUTED_VALUE"""),"repos_url:""https://api.github.com/users/adixmr/repos""")</f>
        <v>repos_url:"https://api.github.com/users/adixmr/repos"</v>
      </c>
      <c r="BKH2" s="20" t="str">
        <f>IFERROR(__xludf.DUMMYFUNCTION("""COMPUTED_VALUE"""),"events_url:""https://api.github.com/users/adixmr/events{/privacy}""")</f>
        <v>events_url:"https://api.github.com/users/adixmr/events{/privacy}"</v>
      </c>
      <c r="BKI2" s="20" t="str">
        <f>IFERROR(__xludf.DUMMYFUNCTION("""COMPUTED_VALUE"""),"received_events_url:""https://api.github.com/users/adixmr/received_events""")</f>
        <v>received_events_url:"https://api.github.com/users/adixmr/received_events"</v>
      </c>
      <c r="BKJ2" s="20" t="str">
        <f>IFERROR(__xludf.DUMMYFUNCTION("""COMPUTED_VALUE"""),"type:""User""")</f>
        <v>type:"User"</v>
      </c>
      <c r="BKK2" s="20" t="str">
        <f>IFERROR(__xludf.DUMMYFUNCTION("""COMPUTED_VALUE"""),"site_admin:false}")</f>
        <v>site_admin:false}</v>
      </c>
      <c r="BKL2" s="20" t="str">
        <f>IFERROR(__xludf.DUMMYFUNCTION("""COMPUTED_VALUE"""),"parents:[{""sha"":""557f7b76bfc0c2018edb8c44729a17ae9cb6fd32""")</f>
        <v>parents:[{"sha":"557f7b76bfc0c2018edb8c44729a17ae9cb6fd32"</v>
      </c>
      <c r="BKM2" s="20" t="str">
        <f>IFERROR(__xludf.DUMMYFUNCTION("""COMPUTED_VALUE"""),"url:""https://api.github.com/repos/adixmr/leetcode/commits/557f7b76bfc0c2018edb8c44729a17ae9cb6fd32""")</f>
        <v>url:"https://api.github.com/repos/adixmr/leetcode/commits/557f7b76bfc0c2018edb8c44729a17ae9cb6fd32"</v>
      </c>
      <c r="BKN2" s="20" t="str">
        <f>IFERROR(__xludf.DUMMYFUNCTION("""COMPUTED_VALUE"""),"html_url:""https://github.com/adixmr/leetcode/commit/557f7b76bfc0c2018edb8c44729a17ae9cb6fd32""}]}")</f>
        <v>html_url:"https://github.com/adixmr/leetcode/commit/557f7b76bfc0c2018edb8c44729a17ae9cb6fd32"}]}</v>
      </c>
      <c r="BKO2" s="20" t="str">
        <f>IFERROR(__xludf.DUMMYFUNCTION("""COMPUTED_VALUE"""),"{""sha"":""557f7b76bfc0c2018edb8c44729a17ae9cb6fd32""")</f>
        <v>{"sha":"557f7b76bfc0c2018edb8c44729a17ae9cb6fd32"</v>
      </c>
      <c r="BKP2" s="20" t="str">
        <f>IFERROR(__xludf.DUMMYFUNCTION("""COMPUTED_VALUE"""),"node_id:""C_kwDOG-OgStoAKDU1N2Y3Yjc2YmZjMGMyMDE4ZWRiOGM0NDcyOWExN2FlOWNiNmZkMzI""")</f>
        <v>node_id:"C_kwDOG-OgStoAKDU1N2Y3Yjc2YmZjMGMyMDE4ZWRiOGM0NDcyOWExN2FlOWNiNmZkMzI"</v>
      </c>
      <c r="BKQ2" s="20" t="str">
        <f>IFERROR(__xludf.DUMMYFUNCTION("""COMPUTED_VALUE"""),"commit:{""author"":{""name"":""Aditya Rajput""")</f>
        <v>commit:{"author":{"name":"Aditya Rajput"</v>
      </c>
      <c r="BKR2" s="20" t="str">
        <f>IFERROR(__xludf.DUMMYFUNCTION("""COMPUTED_VALUE"""),"email:""aditya.icf@gmail.com""")</f>
        <v>email:"aditya.icf@gmail.com"</v>
      </c>
      <c r="BKS2" s="20" t="str">
        <f>IFERROR(__xludf.DUMMYFUNCTION("""COMPUTED_VALUE"""),"date:""2022-11-29T12:30:01Z""}")</f>
        <v>date:"2022-11-29T12:30:01Z"}</v>
      </c>
      <c r="BKT2" s="20" t="str">
        <f>IFERROR(__xludf.DUMMYFUNCTION("""COMPUTED_VALUE"""),"committer:{""name"":""Aditya Rajput""")</f>
        <v>committer:{"name":"Aditya Rajput"</v>
      </c>
      <c r="BKU2" s="20" t="str">
        <f>IFERROR(__xludf.DUMMYFUNCTION("""COMPUTED_VALUE"""),"email:""aditya.icf@gmail.com""")</f>
        <v>email:"aditya.icf@gmail.com"</v>
      </c>
      <c r="BKV2" s="20" t="str">
        <f>IFERROR(__xludf.DUMMYFUNCTION("""COMPUTED_VALUE"""),"date:""2022-11-29T12:30:01Z""}")</f>
        <v>date:"2022-11-29T12:30:01Z"}</v>
      </c>
      <c r="BKW2" s="20" t="str">
        <f>IFERROR(__xludf.DUMMYFUNCTION("""COMPUTED_VALUE"""),"message:""Daily update by cron""")</f>
        <v>message:"Daily update by cron"</v>
      </c>
      <c r="BKX2" s="20" t="str">
        <f>IFERROR(__xludf.DUMMYFUNCTION("""COMPUTED_VALUE"""),"tree:{""sha"":""e8b5e9777f953f0f8a915a98ee9b17de31a85238""")</f>
        <v>tree:{"sha":"e8b5e9777f953f0f8a915a98ee9b17de31a85238"</v>
      </c>
      <c r="BKY2" s="20" t="str">
        <f>IFERROR(__xludf.DUMMYFUNCTION("""COMPUTED_VALUE"""),"url:""https://api.github.com/repos/adixmr/leetcode/git/trees/e8b5e9777f953f0f8a915a98ee9b17de31a85238""}")</f>
        <v>url:"https://api.github.com/repos/adixmr/leetcode/git/trees/e8b5e9777f953f0f8a915a98ee9b17de31a85238"}</v>
      </c>
      <c r="BKZ2" s="20" t="str">
        <f>IFERROR(__xludf.DUMMYFUNCTION("""COMPUTED_VALUE"""),"url:""https://api.github.com/repos/adixmr/leetcode/git/commits/557f7b76bfc0c2018edb8c44729a17ae9cb6fd32""")</f>
        <v>url:"https://api.github.com/repos/adixmr/leetcode/git/commits/557f7b76bfc0c2018edb8c44729a17ae9cb6fd32"</v>
      </c>
      <c r="BLA2" s="20" t="str">
        <f>IFERROR(__xludf.DUMMYFUNCTION("""COMPUTED_VALUE"""),"comment_count:0")</f>
        <v>comment_count:0</v>
      </c>
      <c r="BLB2" s="20" t="str">
        <f>IFERROR(__xludf.DUMMYFUNCTION("""COMPUTED_VALUE"""),"verification:{""verified"":false")</f>
        <v>verification:{"verified":false</v>
      </c>
      <c r="BLC2" s="20" t="str">
        <f>IFERROR(__xludf.DUMMYFUNCTION("""COMPUTED_VALUE"""),"reason:""unsigned""")</f>
        <v>reason:"unsigned"</v>
      </c>
      <c r="BLD2" s="20" t="str">
        <f>IFERROR(__xludf.DUMMYFUNCTION("""COMPUTED_VALUE"""),"signature:null")</f>
        <v>signature:null</v>
      </c>
      <c r="BLE2" s="20" t="str">
        <f>IFERROR(__xludf.DUMMYFUNCTION("""COMPUTED_VALUE"""),"payload:null}}")</f>
        <v>payload:null}}</v>
      </c>
      <c r="BLF2" s="20" t="str">
        <f>IFERROR(__xludf.DUMMYFUNCTION("""COMPUTED_VALUE"""),"url:""https://api.github.com/repos/adixmr/leetcode/commits/557f7b76bfc0c2018edb8c44729a17ae9cb6fd32""")</f>
        <v>url:"https://api.github.com/repos/adixmr/leetcode/commits/557f7b76bfc0c2018edb8c44729a17ae9cb6fd32"</v>
      </c>
      <c r="BLG2" s="20" t="str">
        <f>IFERROR(__xludf.DUMMYFUNCTION("""COMPUTED_VALUE"""),"html_url:""https://github.com/adixmr/leetcode/commit/557f7b76bfc0c2018edb8c44729a17ae9cb6fd32""")</f>
        <v>html_url:"https://github.com/adixmr/leetcode/commit/557f7b76bfc0c2018edb8c44729a17ae9cb6fd32"</v>
      </c>
      <c r="BLH2" s="20" t="str">
        <f>IFERROR(__xludf.DUMMYFUNCTION("""COMPUTED_VALUE"""),"comments_url:""https://api.github.com/repos/adixmr/leetcode/commits/557f7b76bfc0c2018edb8c44729a17ae9cb6fd32/comments""")</f>
        <v>comments_url:"https://api.github.com/repos/adixmr/leetcode/commits/557f7b76bfc0c2018edb8c44729a17ae9cb6fd32/comments"</v>
      </c>
      <c r="BLI2" s="20" t="str">
        <f>IFERROR(__xludf.DUMMYFUNCTION("""COMPUTED_VALUE"""),"author:{""login"":""adixmr""")</f>
        <v>author:{"login":"adixmr"</v>
      </c>
      <c r="BLJ2" s="20" t="str">
        <f>IFERROR(__xludf.DUMMYFUNCTION("""COMPUTED_VALUE"""),"id:42894359")</f>
        <v>id:42894359</v>
      </c>
      <c r="BLK2" s="20" t="str">
        <f>IFERROR(__xludf.DUMMYFUNCTION("""COMPUTED_VALUE"""),"node_id:""MDQ6VXNlcjQyODk0MzU5""")</f>
        <v>node_id:"MDQ6VXNlcjQyODk0MzU5"</v>
      </c>
      <c r="BLL2" s="20" t="str">
        <f>IFERROR(__xludf.DUMMYFUNCTION("""COMPUTED_VALUE"""),"avatar_url:""https://avatars.githubusercontent.com/u/42894359?v=4""")</f>
        <v>avatar_url:"https://avatars.githubusercontent.com/u/42894359?v=4"</v>
      </c>
      <c r="BLM2" s="20" t="str">
        <f>IFERROR(__xludf.DUMMYFUNCTION("""COMPUTED_VALUE"""),"gravatar_id:""""")</f>
        <v>gravatar_id:""</v>
      </c>
      <c r="BLN2" s="20" t="str">
        <f>IFERROR(__xludf.DUMMYFUNCTION("""COMPUTED_VALUE"""),"url:""https://api.github.com/users/adixmr""")</f>
        <v>url:"https://api.github.com/users/adixmr"</v>
      </c>
      <c r="BLO2" s="20" t="str">
        <f>IFERROR(__xludf.DUMMYFUNCTION("""COMPUTED_VALUE"""),"html_url:""https://github.com/adixmr""")</f>
        <v>html_url:"https://github.com/adixmr"</v>
      </c>
      <c r="BLP2" s="20" t="str">
        <f>IFERROR(__xludf.DUMMYFUNCTION("""COMPUTED_VALUE"""),"followers_url:""https://api.github.com/users/adixmr/followers""")</f>
        <v>followers_url:"https://api.github.com/users/adixmr/followers"</v>
      </c>
      <c r="BLQ2" s="20" t="str">
        <f>IFERROR(__xludf.DUMMYFUNCTION("""COMPUTED_VALUE"""),"following_url:""https://api.github.com/users/adixmr/following{/other_user}""")</f>
        <v>following_url:"https://api.github.com/users/adixmr/following{/other_user}"</v>
      </c>
      <c r="BLR2" s="20" t="str">
        <f>IFERROR(__xludf.DUMMYFUNCTION("""COMPUTED_VALUE"""),"gists_url:""https://api.github.com/users/adixmr/gists{/gist_id}""")</f>
        <v>gists_url:"https://api.github.com/users/adixmr/gists{/gist_id}"</v>
      </c>
      <c r="BLS2" s="20" t="str">
        <f>IFERROR(__xludf.DUMMYFUNCTION("""COMPUTED_VALUE"""),"starred_url:""https://api.github.com/users/adixmr/starred{/owner}{/repo}""")</f>
        <v>starred_url:"https://api.github.com/users/adixmr/starred{/owner}{/repo}"</v>
      </c>
      <c r="BLT2" s="20" t="str">
        <f>IFERROR(__xludf.DUMMYFUNCTION("""COMPUTED_VALUE"""),"subscriptions_url:""https://api.github.com/users/adixmr/subscriptions""")</f>
        <v>subscriptions_url:"https://api.github.com/users/adixmr/subscriptions"</v>
      </c>
      <c r="BLU2" s="20" t="str">
        <f>IFERROR(__xludf.DUMMYFUNCTION("""COMPUTED_VALUE"""),"organizations_url:""https://api.github.com/users/adixmr/orgs""")</f>
        <v>organizations_url:"https://api.github.com/users/adixmr/orgs"</v>
      </c>
      <c r="BLV2" s="20" t="str">
        <f>IFERROR(__xludf.DUMMYFUNCTION("""COMPUTED_VALUE"""),"repos_url:""https://api.github.com/users/adixmr/repos""")</f>
        <v>repos_url:"https://api.github.com/users/adixmr/repos"</v>
      </c>
      <c r="BLW2" s="20" t="str">
        <f>IFERROR(__xludf.DUMMYFUNCTION("""COMPUTED_VALUE"""),"events_url:""https://api.github.com/users/adixmr/events{/privacy}""")</f>
        <v>events_url:"https://api.github.com/users/adixmr/events{/privacy}"</v>
      </c>
      <c r="BLX2" s="20" t="str">
        <f>IFERROR(__xludf.DUMMYFUNCTION("""COMPUTED_VALUE"""),"received_events_url:""https://api.github.com/users/adixmr/received_events""")</f>
        <v>received_events_url:"https://api.github.com/users/adixmr/received_events"</v>
      </c>
      <c r="BLY2" s="20" t="str">
        <f>IFERROR(__xludf.DUMMYFUNCTION("""COMPUTED_VALUE"""),"type:""User""")</f>
        <v>type:"User"</v>
      </c>
      <c r="BLZ2" s="20" t="str">
        <f>IFERROR(__xludf.DUMMYFUNCTION("""COMPUTED_VALUE"""),"site_admin:false}")</f>
        <v>site_admin:false}</v>
      </c>
      <c r="BMA2" s="20" t="str">
        <f>IFERROR(__xludf.DUMMYFUNCTION("""COMPUTED_VALUE"""),"committer:{""login"":""adixmr""")</f>
        <v>committer:{"login":"adixmr"</v>
      </c>
      <c r="BMB2" s="20" t="str">
        <f>IFERROR(__xludf.DUMMYFUNCTION("""COMPUTED_VALUE"""),"id:42894359")</f>
        <v>id:42894359</v>
      </c>
      <c r="BMC2" s="20" t="str">
        <f>IFERROR(__xludf.DUMMYFUNCTION("""COMPUTED_VALUE"""),"node_id:""MDQ6VXNlcjQyODk0MzU5""")</f>
        <v>node_id:"MDQ6VXNlcjQyODk0MzU5"</v>
      </c>
      <c r="BMD2" s="20" t="str">
        <f>IFERROR(__xludf.DUMMYFUNCTION("""COMPUTED_VALUE"""),"avatar_url:""https://avatars.githubusercontent.com/u/42894359?v=4""")</f>
        <v>avatar_url:"https://avatars.githubusercontent.com/u/42894359?v=4"</v>
      </c>
      <c r="BME2" s="20" t="str">
        <f>IFERROR(__xludf.DUMMYFUNCTION("""COMPUTED_VALUE"""),"gravatar_id:""""")</f>
        <v>gravatar_id:""</v>
      </c>
      <c r="BMF2" s="20" t="str">
        <f>IFERROR(__xludf.DUMMYFUNCTION("""COMPUTED_VALUE"""),"url:""https://api.github.com/users/adixmr""")</f>
        <v>url:"https://api.github.com/users/adixmr"</v>
      </c>
      <c r="BMG2" s="20" t="str">
        <f>IFERROR(__xludf.DUMMYFUNCTION("""COMPUTED_VALUE"""),"html_url:""https://github.com/adixmr""")</f>
        <v>html_url:"https://github.com/adixmr"</v>
      </c>
      <c r="BMH2" s="20" t="str">
        <f>IFERROR(__xludf.DUMMYFUNCTION("""COMPUTED_VALUE"""),"followers_url:""https://api.github.com/users/adixmr/followers""")</f>
        <v>followers_url:"https://api.github.com/users/adixmr/followers"</v>
      </c>
      <c r="BMI2" s="20" t="str">
        <f>IFERROR(__xludf.DUMMYFUNCTION("""COMPUTED_VALUE"""),"following_url:""https://api.github.com/users/adixmr/following{/other_user}""")</f>
        <v>following_url:"https://api.github.com/users/adixmr/following{/other_user}"</v>
      </c>
      <c r="BMJ2" s="20" t="str">
        <f>IFERROR(__xludf.DUMMYFUNCTION("""COMPUTED_VALUE"""),"gists_url:""https://api.github.com/users/adixmr/gists{/gist_id}""")</f>
        <v>gists_url:"https://api.github.com/users/adixmr/gists{/gist_id}"</v>
      </c>
      <c r="BMK2" s="20" t="str">
        <f>IFERROR(__xludf.DUMMYFUNCTION("""COMPUTED_VALUE"""),"starred_url:""https://api.github.com/users/adixmr/starred{/owner}{/repo}""")</f>
        <v>starred_url:"https://api.github.com/users/adixmr/starred{/owner}{/repo}"</v>
      </c>
      <c r="BML2" s="20" t="str">
        <f>IFERROR(__xludf.DUMMYFUNCTION("""COMPUTED_VALUE"""),"subscriptions_url:""https://api.github.com/users/adixmr/subscriptions""")</f>
        <v>subscriptions_url:"https://api.github.com/users/adixmr/subscriptions"</v>
      </c>
      <c r="BMM2" s="20" t="str">
        <f>IFERROR(__xludf.DUMMYFUNCTION("""COMPUTED_VALUE"""),"organizations_url:""https://api.github.com/users/adixmr/orgs""")</f>
        <v>organizations_url:"https://api.github.com/users/adixmr/orgs"</v>
      </c>
      <c r="BMN2" s="20" t="str">
        <f>IFERROR(__xludf.DUMMYFUNCTION("""COMPUTED_VALUE"""),"repos_url:""https://api.github.com/users/adixmr/repos""")</f>
        <v>repos_url:"https://api.github.com/users/adixmr/repos"</v>
      </c>
      <c r="BMO2" s="20" t="str">
        <f>IFERROR(__xludf.DUMMYFUNCTION("""COMPUTED_VALUE"""),"events_url:""https://api.github.com/users/adixmr/events{/privacy}""")</f>
        <v>events_url:"https://api.github.com/users/adixmr/events{/privacy}"</v>
      </c>
      <c r="BMP2" s="20" t="str">
        <f>IFERROR(__xludf.DUMMYFUNCTION("""COMPUTED_VALUE"""),"received_events_url:""https://api.github.com/users/adixmr/received_events""")</f>
        <v>received_events_url:"https://api.github.com/users/adixmr/received_events"</v>
      </c>
      <c r="BMQ2" s="20" t="str">
        <f>IFERROR(__xludf.DUMMYFUNCTION("""COMPUTED_VALUE"""),"type:""User""")</f>
        <v>type:"User"</v>
      </c>
      <c r="BMR2" s="20" t="str">
        <f>IFERROR(__xludf.DUMMYFUNCTION("""COMPUTED_VALUE"""),"site_admin:false}")</f>
        <v>site_admin:false}</v>
      </c>
      <c r="BMS2" s="20" t="str">
        <f>IFERROR(__xludf.DUMMYFUNCTION("""COMPUTED_VALUE"""),"parents:[{""sha"":""50943b071e2650a8662d34b37dcd7a80cc8897f9""")</f>
        <v>parents:[{"sha":"50943b071e2650a8662d34b37dcd7a80cc8897f9"</v>
      </c>
      <c r="BMT2" s="20" t="str">
        <f>IFERROR(__xludf.DUMMYFUNCTION("""COMPUTED_VALUE"""),"url:""https://api.github.com/repos/adixmr/leetcode/commits/50943b071e2650a8662d34b37dcd7a80cc8897f9""")</f>
        <v>url:"https://api.github.com/repos/adixmr/leetcode/commits/50943b071e2650a8662d34b37dcd7a80cc8897f9"</v>
      </c>
      <c r="BMU2" s="20" t="str">
        <f>IFERROR(__xludf.DUMMYFUNCTION("""COMPUTED_VALUE"""),"html_url:""https://github.com/adixmr/leetcode/commit/50943b071e2650a8662d34b37dcd7a80cc8897f9""}]}")</f>
        <v>html_url:"https://github.com/adixmr/leetcode/commit/50943b071e2650a8662d34b37dcd7a80cc8897f9"}]}</v>
      </c>
      <c r="BMV2" s="20" t="str">
        <f>IFERROR(__xludf.DUMMYFUNCTION("""COMPUTED_VALUE"""),"{""sha"":""50943b071e2650a8662d34b37dcd7a80cc8897f9""")</f>
        <v>{"sha":"50943b071e2650a8662d34b37dcd7a80cc8897f9"</v>
      </c>
      <c r="BMW2" s="20" t="str">
        <f>IFERROR(__xludf.DUMMYFUNCTION("""COMPUTED_VALUE"""),"node_id:""C_kwDOG-OgStoAKDUwOTQzYjA3MWUyNjUwYTg2NjJkMzRiMzdkY2Q3YTgwY2M4ODk3Zjk""")</f>
        <v>node_id:"C_kwDOG-OgStoAKDUwOTQzYjA3MWUyNjUwYTg2NjJkMzRiMzdkY2Q3YTgwY2M4ODk3Zjk"</v>
      </c>
      <c r="BMX2" s="20" t="str">
        <f>IFERROR(__xludf.DUMMYFUNCTION("""COMPUTED_VALUE"""),"commit:{""author"":{""name"":""Aditya Rajput""")</f>
        <v>commit:{"author":{"name":"Aditya Rajput"</v>
      </c>
      <c r="BMY2" s="20" t="str">
        <f>IFERROR(__xludf.DUMMYFUNCTION("""COMPUTED_VALUE"""),"email:""aditya.icf@gmail.com""")</f>
        <v>email:"aditya.icf@gmail.com"</v>
      </c>
      <c r="BMZ2" s="20" t="str">
        <f>IFERROR(__xludf.DUMMYFUNCTION("""COMPUTED_VALUE"""),"date:""2022-11-28T12:30:01Z""}")</f>
        <v>date:"2022-11-28T12:30:01Z"}</v>
      </c>
      <c r="BNA2" s="20" t="str">
        <f>IFERROR(__xludf.DUMMYFUNCTION("""COMPUTED_VALUE"""),"committer:{""name"":""Aditya Rajput""")</f>
        <v>committer:{"name":"Aditya Rajput"</v>
      </c>
      <c r="BNB2" s="20" t="str">
        <f>IFERROR(__xludf.DUMMYFUNCTION("""COMPUTED_VALUE"""),"email:""aditya.icf@gmail.com""")</f>
        <v>email:"aditya.icf@gmail.com"</v>
      </c>
      <c r="BNC2" s="20" t="str">
        <f>IFERROR(__xludf.DUMMYFUNCTION("""COMPUTED_VALUE"""),"date:""2022-11-28T12:30:01Z""}")</f>
        <v>date:"2022-11-28T12:30:01Z"}</v>
      </c>
      <c r="BND2" s="20" t="str">
        <f>IFERROR(__xludf.DUMMYFUNCTION("""COMPUTED_VALUE"""),"message:""Daily update by cron""")</f>
        <v>message:"Daily update by cron"</v>
      </c>
      <c r="BNE2" s="20" t="str">
        <f>IFERROR(__xludf.DUMMYFUNCTION("""COMPUTED_VALUE"""),"tree:{""sha"":""231eb03673c7e9c7e88d7bf1dfa027958b7a3087""")</f>
        <v>tree:{"sha":"231eb03673c7e9c7e88d7bf1dfa027958b7a3087"</v>
      </c>
      <c r="BNF2" s="20" t="str">
        <f>IFERROR(__xludf.DUMMYFUNCTION("""COMPUTED_VALUE"""),"url:""https://api.github.com/repos/adixmr/leetcode/git/trees/231eb03673c7e9c7e88d7bf1dfa027958b7a3087""}")</f>
        <v>url:"https://api.github.com/repos/adixmr/leetcode/git/trees/231eb03673c7e9c7e88d7bf1dfa027958b7a3087"}</v>
      </c>
      <c r="BNG2" s="20" t="str">
        <f>IFERROR(__xludf.DUMMYFUNCTION("""COMPUTED_VALUE"""),"url:""https://api.github.com/repos/adixmr/leetcode/git/commits/50943b071e2650a8662d34b37dcd7a80cc8897f9""")</f>
        <v>url:"https://api.github.com/repos/adixmr/leetcode/git/commits/50943b071e2650a8662d34b37dcd7a80cc8897f9"</v>
      </c>
      <c r="BNH2" s="20" t="str">
        <f>IFERROR(__xludf.DUMMYFUNCTION("""COMPUTED_VALUE"""),"comment_count:0")</f>
        <v>comment_count:0</v>
      </c>
      <c r="BNI2" s="20" t="str">
        <f>IFERROR(__xludf.DUMMYFUNCTION("""COMPUTED_VALUE"""),"verification:{""verified"":false")</f>
        <v>verification:{"verified":false</v>
      </c>
      <c r="BNJ2" s="20" t="str">
        <f>IFERROR(__xludf.DUMMYFUNCTION("""COMPUTED_VALUE"""),"reason:""unsigned""")</f>
        <v>reason:"unsigned"</v>
      </c>
      <c r="BNK2" s="20" t="str">
        <f>IFERROR(__xludf.DUMMYFUNCTION("""COMPUTED_VALUE"""),"signature:null")</f>
        <v>signature:null</v>
      </c>
      <c r="BNL2" s="20" t="str">
        <f>IFERROR(__xludf.DUMMYFUNCTION("""COMPUTED_VALUE"""),"payload:null}}")</f>
        <v>payload:null}}</v>
      </c>
      <c r="BNM2" s="20" t="str">
        <f>IFERROR(__xludf.DUMMYFUNCTION("""COMPUTED_VALUE"""),"url:""https://api.github.com/repos/adixmr/leetcode/commits/50943b071e2650a8662d34b37dcd7a80cc8897f9""")</f>
        <v>url:"https://api.github.com/repos/adixmr/leetcode/commits/50943b071e2650a8662d34b37dcd7a80cc8897f9"</v>
      </c>
      <c r="BNN2" s="20" t="str">
        <f>IFERROR(__xludf.DUMMYFUNCTION("""COMPUTED_VALUE"""),"html_url:""https://github.com/adixmr/leetcode/commit/50943b071e2650a8662d34b37dcd7a80cc8897f9""")</f>
        <v>html_url:"https://github.com/adixmr/leetcode/commit/50943b071e2650a8662d34b37dcd7a80cc8897f9"</v>
      </c>
      <c r="BNO2" s="20" t="str">
        <f>IFERROR(__xludf.DUMMYFUNCTION("""COMPUTED_VALUE"""),"comments_url:""https://api.github.com/repos/adixmr/leetcode/commits/50943b071e2650a8662d34b37dcd7a80cc8897f9/comments""")</f>
        <v>comments_url:"https://api.github.com/repos/adixmr/leetcode/commits/50943b071e2650a8662d34b37dcd7a80cc8897f9/comments"</v>
      </c>
      <c r="BNP2" s="20" t="str">
        <f>IFERROR(__xludf.DUMMYFUNCTION("""COMPUTED_VALUE"""),"author:{""login"":""adixmr""")</f>
        <v>author:{"login":"adixmr"</v>
      </c>
      <c r="BNQ2" s="20" t="str">
        <f>IFERROR(__xludf.DUMMYFUNCTION("""COMPUTED_VALUE"""),"id:42894359")</f>
        <v>id:42894359</v>
      </c>
      <c r="BNR2" s="20" t="str">
        <f>IFERROR(__xludf.DUMMYFUNCTION("""COMPUTED_VALUE"""),"node_id:""MDQ6VXNlcjQyODk0MzU5""")</f>
        <v>node_id:"MDQ6VXNlcjQyODk0MzU5"</v>
      </c>
      <c r="BNS2" s="20" t="str">
        <f>IFERROR(__xludf.DUMMYFUNCTION("""COMPUTED_VALUE"""),"avatar_url:""https://avatars.githubusercontent.com/u/42894359?v=4""")</f>
        <v>avatar_url:"https://avatars.githubusercontent.com/u/42894359?v=4"</v>
      </c>
      <c r="BNT2" s="20" t="str">
        <f>IFERROR(__xludf.DUMMYFUNCTION("""COMPUTED_VALUE"""),"gravatar_id:""""")</f>
        <v>gravatar_id:""</v>
      </c>
      <c r="BNU2" s="20" t="str">
        <f>IFERROR(__xludf.DUMMYFUNCTION("""COMPUTED_VALUE"""),"url:""https://api.github.com/users/adixmr""")</f>
        <v>url:"https://api.github.com/users/adixmr"</v>
      </c>
      <c r="BNV2" s="20" t="str">
        <f>IFERROR(__xludf.DUMMYFUNCTION("""COMPUTED_VALUE"""),"html_url:""https://github.com/adixmr""")</f>
        <v>html_url:"https://github.com/adixmr"</v>
      </c>
      <c r="BNW2" s="20" t="str">
        <f>IFERROR(__xludf.DUMMYFUNCTION("""COMPUTED_VALUE"""),"followers_url:""https://api.github.com/users/adixmr/followers""")</f>
        <v>followers_url:"https://api.github.com/users/adixmr/followers"</v>
      </c>
      <c r="BNX2" s="20" t="str">
        <f>IFERROR(__xludf.DUMMYFUNCTION("""COMPUTED_VALUE"""),"following_url:""https://api.github.com/users/adixmr/following{/other_user}""")</f>
        <v>following_url:"https://api.github.com/users/adixmr/following{/other_user}"</v>
      </c>
      <c r="BNY2" s="20" t="str">
        <f>IFERROR(__xludf.DUMMYFUNCTION("""COMPUTED_VALUE"""),"gists_url:""https://api.github.com/users/adixmr/gists{/gist_id}""")</f>
        <v>gists_url:"https://api.github.com/users/adixmr/gists{/gist_id}"</v>
      </c>
      <c r="BNZ2" s="20" t="str">
        <f>IFERROR(__xludf.DUMMYFUNCTION("""COMPUTED_VALUE"""),"starred_url:""https://api.github.com/users/adixmr/starred{/owner}{/repo}""")</f>
        <v>starred_url:"https://api.github.com/users/adixmr/starred{/owner}{/repo}"</v>
      </c>
      <c r="BOA2" s="20" t="str">
        <f>IFERROR(__xludf.DUMMYFUNCTION("""COMPUTED_VALUE"""),"subscriptions_url:""https://api.github.com/users/adixmr/subscriptions""")</f>
        <v>subscriptions_url:"https://api.github.com/users/adixmr/subscriptions"</v>
      </c>
      <c r="BOB2" s="20" t="str">
        <f>IFERROR(__xludf.DUMMYFUNCTION("""COMPUTED_VALUE"""),"organizations_url:""https://api.github.com/users/adixmr/orgs""")</f>
        <v>organizations_url:"https://api.github.com/users/adixmr/orgs"</v>
      </c>
      <c r="BOC2" s="20" t="str">
        <f>IFERROR(__xludf.DUMMYFUNCTION("""COMPUTED_VALUE"""),"repos_url:""https://api.github.com/users/adixmr/repos""")</f>
        <v>repos_url:"https://api.github.com/users/adixmr/repos"</v>
      </c>
      <c r="BOD2" s="20" t="str">
        <f>IFERROR(__xludf.DUMMYFUNCTION("""COMPUTED_VALUE"""),"events_url:""https://api.github.com/users/adixmr/events{/privacy}""")</f>
        <v>events_url:"https://api.github.com/users/adixmr/events{/privacy}"</v>
      </c>
      <c r="BOE2" s="20" t="str">
        <f>IFERROR(__xludf.DUMMYFUNCTION("""COMPUTED_VALUE"""),"received_events_url:""https://api.github.com/users/adixmr/received_events""")</f>
        <v>received_events_url:"https://api.github.com/users/adixmr/received_events"</v>
      </c>
      <c r="BOF2" s="20" t="str">
        <f>IFERROR(__xludf.DUMMYFUNCTION("""COMPUTED_VALUE"""),"type:""User""")</f>
        <v>type:"User"</v>
      </c>
      <c r="BOG2" s="20" t="str">
        <f>IFERROR(__xludf.DUMMYFUNCTION("""COMPUTED_VALUE"""),"site_admin:false}")</f>
        <v>site_admin:false}</v>
      </c>
      <c r="BOH2" s="20" t="str">
        <f>IFERROR(__xludf.DUMMYFUNCTION("""COMPUTED_VALUE"""),"committer:{""login"":""adixmr""")</f>
        <v>committer:{"login":"adixmr"</v>
      </c>
      <c r="BOI2" s="20" t="str">
        <f>IFERROR(__xludf.DUMMYFUNCTION("""COMPUTED_VALUE"""),"id:42894359")</f>
        <v>id:42894359</v>
      </c>
      <c r="BOJ2" s="20" t="str">
        <f>IFERROR(__xludf.DUMMYFUNCTION("""COMPUTED_VALUE"""),"node_id:""MDQ6VXNlcjQyODk0MzU5""")</f>
        <v>node_id:"MDQ6VXNlcjQyODk0MzU5"</v>
      </c>
      <c r="BOK2" s="20" t="str">
        <f>IFERROR(__xludf.DUMMYFUNCTION("""COMPUTED_VALUE"""),"avatar_url:""https://avatars.githubusercontent.com/u/42894359?v=4""")</f>
        <v>avatar_url:"https://avatars.githubusercontent.com/u/42894359?v=4"</v>
      </c>
      <c r="BOL2" s="20" t="str">
        <f>IFERROR(__xludf.DUMMYFUNCTION("""COMPUTED_VALUE"""),"gravatar_id:""""")</f>
        <v>gravatar_id:""</v>
      </c>
      <c r="BOM2" s="20" t="str">
        <f>IFERROR(__xludf.DUMMYFUNCTION("""COMPUTED_VALUE"""),"url:""https://api.github.com/users/adixmr""")</f>
        <v>url:"https://api.github.com/users/adixmr"</v>
      </c>
      <c r="BON2" s="20" t="str">
        <f>IFERROR(__xludf.DUMMYFUNCTION("""COMPUTED_VALUE"""),"html_url:""https://github.com/adixmr""")</f>
        <v>html_url:"https://github.com/adixmr"</v>
      </c>
      <c r="BOO2" s="20" t="str">
        <f>IFERROR(__xludf.DUMMYFUNCTION("""COMPUTED_VALUE"""),"followers_url:""https://api.github.com/users/adixmr/followers""")</f>
        <v>followers_url:"https://api.github.com/users/adixmr/followers"</v>
      </c>
      <c r="BOP2" s="20" t="str">
        <f>IFERROR(__xludf.DUMMYFUNCTION("""COMPUTED_VALUE"""),"following_url:""https://api.github.com/users/adixmr/following{/other_user}""")</f>
        <v>following_url:"https://api.github.com/users/adixmr/following{/other_user}"</v>
      </c>
      <c r="BOQ2" s="20" t="str">
        <f>IFERROR(__xludf.DUMMYFUNCTION("""COMPUTED_VALUE"""),"gists_url:""https://api.github.com/users/adixmr/gists{/gist_id}""")</f>
        <v>gists_url:"https://api.github.com/users/adixmr/gists{/gist_id}"</v>
      </c>
      <c r="BOR2" s="20" t="str">
        <f>IFERROR(__xludf.DUMMYFUNCTION("""COMPUTED_VALUE"""),"starred_url:""https://api.github.com/users/adixmr/starred{/owner}{/repo}""")</f>
        <v>starred_url:"https://api.github.com/users/adixmr/starred{/owner}{/repo}"</v>
      </c>
      <c r="BOS2" s="20" t="str">
        <f>IFERROR(__xludf.DUMMYFUNCTION("""COMPUTED_VALUE"""),"subscriptions_url:""https://api.github.com/users/adixmr/subscriptions""")</f>
        <v>subscriptions_url:"https://api.github.com/users/adixmr/subscriptions"</v>
      </c>
      <c r="BOT2" s="20" t="str">
        <f>IFERROR(__xludf.DUMMYFUNCTION("""COMPUTED_VALUE"""),"organizations_url:""https://api.github.com/users/adixmr/orgs""")</f>
        <v>organizations_url:"https://api.github.com/users/adixmr/orgs"</v>
      </c>
      <c r="BOU2" s="20" t="str">
        <f>IFERROR(__xludf.DUMMYFUNCTION("""COMPUTED_VALUE"""),"repos_url:""https://api.github.com/users/adixmr/repos""")</f>
        <v>repos_url:"https://api.github.com/users/adixmr/repos"</v>
      </c>
      <c r="BOV2" s="20" t="str">
        <f>IFERROR(__xludf.DUMMYFUNCTION("""COMPUTED_VALUE"""),"events_url:""https://api.github.com/users/adixmr/events{/privacy}""")</f>
        <v>events_url:"https://api.github.com/users/adixmr/events{/privacy}"</v>
      </c>
      <c r="BOW2" s="20" t="str">
        <f>IFERROR(__xludf.DUMMYFUNCTION("""COMPUTED_VALUE"""),"received_events_url:""https://api.github.com/users/adixmr/received_events""")</f>
        <v>received_events_url:"https://api.github.com/users/adixmr/received_events"</v>
      </c>
      <c r="BOX2" s="20" t="str">
        <f>IFERROR(__xludf.DUMMYFUNCTION("""COMPUTED_VALUE"""),"type:""User""")</f>
        <v>type:"User"</v>
      </c>
      <c r="BOY2" s="20" t="str">
        <f>IFERROR(__xludf.DUMMYFUNCTION("""COMPUTED_VALUE"""),"site_admin:false}")</f>
        <v>site_admin:false}</v>
      </c>
      <c r="BOZ2" s="20" t="str">
        <f>IFERROR(__xludf.DUMMYFUNCTION("""COMPUTED_VALUE"""),"parents:[{""sha"":""bd248aa20bdd50dcaea7aaf0078b3ecc4489b71e""")</f>
        <v>parents:[{"sha":"bd248aa20bdd50dcaea7aaf0078b3ecc4489b71e"</v>
      </c>
      <c r="BPA2" s="20" t="str">
        <f>IFERROR(__xludf.DUMMYFUNCTION("""COMPUTED_VALUE"""),"url:""https://api.github.com/repos/adixmr/leetcode/commits/bd248aa20bdd50dcaea7aaf0078b3ecc4489b71e""")</f>
        <v>url:"https://api.github.com/repos/adixmr/leetcode/commits/bd248aa20bdd50dcaea7aaf0078b3ecc4489b71e"</v>
      </c>
      <c r="BPB2" s="20" t="str">
        <f>IFERROR(__xludf.DUMMYFUNCTION("""COMPUTED_VALUE"""),"html_url:""https://github.com/adixmr/leetcode/commit/bd248aa20bdd50dcaea7aaf0078b3ecc4489b71e""}]}]")</f>
        <v>html_url:"https://github.com/adixmr/leetcode/commit/bd248aa20bdd50dcaea7aaf0078b3ecc4489b71e"}]}]</v>
      </c>
    </row>
    <row r="6">
      <c r="A6" s="18" t="s">
        <v>475</v>
      </c>
      <c r="B6" s="20" t="str">
        <f>MID(MN2, 18, 40)</f>
        <v>13d2f338b69a9acd8eed990d7def3bd4c4fa9fb3</v>
      </c>
    </row>
    <row r="7">
      <c r="A7" s="18" t="s">
        <v>476</v>
      </c>
      <c r="B7" s="20" t="str">
        <f>MID(BMY2, 18, 40)</f>
        <v>@gmail.com"</v>
      </c>
    </row>
    <row r="13">
      <c r="A13" s="18" t="s">
        <v>477</v>
      </c>
      <c r="B13" s="18" t="s">
        <v>478</v>
      </c>
    </row>
    <row r="14">
      <c r="A14" s="18" t="s">
        <v>479</v>
      </c>
    </row>
    <row r="15">
      <c r="A15" s="18" t="s">
        <v>480</v>
      </c>
    </row>
    <row r="16">
      <c r="A16" s="18" t="s">
        <v>481</v>
      </c>
    </row>
    <row r="17">
      <c r="A17" s="18" t="s">
        <v>482</v>
      </c>
    </row>
    <row r="18">
      <c r="A18" s="18" t="s">
        <v>483</v>
      </c>
    </row>
    <row r="19">
      <c r="A19" s="18" t="s">
        <v>484</v>
      </c>
    </row>
    <row r="20">
      <c r="A20" s="18" t="s">
        <v>485</v>
      </c>
    </row>
    <row r="21">
      <c r="A21" s="18" t="s">
        <v>486</v>
      </c>
    </row>
    <row r="22">
      <c r="A22" s="18" t="s">
        <v>487</v>
      </c>
    </row>
    <row r="23">
      <c r="A23" s="18" t="s">
        <v>488</v>
      </c>
    </row>
    <row r="24">
      <c r="A24" s="18" t="s">
        <v>489</v>
      </c>
    </row>
    <row r="25">
      <c r="A25" s="18" t="s">
        <v>490</v>
      </c>
    </row>
    <row r="26">
      <c r="A26" s="18" t="s">
        <v>491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1" t="str">
        <f>IFERROR(__xludf.DUMMYFUNCTION("IMPORTDATA(""https://raw.githubusercontent.com/adixmr/leetcode/main/data.csv"")"),"questionId")</f>
        <v>questionId</v>
      </c>
      <c r="B1" s="20" t="str">
        <f>IFERROR(__xludf.DUMMYFUNCTION("""COMPUTED_VALUE"""),"title")</f>
        <v>title</v>
      </c>
      <c r="C1" s="20" t="str">
        <f>IFERROR(__xludf.DUMMYFUNCTION("""COMPUTED_VALUE"""),"titleSlug")</f>
        <v>titleSlug</v>
      </c>
      <c r="D1" s="20" t="str">
        <f>IFERROR(__xludf.DUMMYFUNCTION("""COMPUTED_VALUE"""),"isPaidOnly")</f>
        <v>isPaidOnly</v>
      </c>
      <c r="E1" s="20" t="str">
        <f>IFERROR(__xludf.DUMMYFUNCTION("""COMPUTED_VALUE"""),"difficulty")</f>
        <v>difficulty</v>
      </c>
      <c r="F1" s="20" t="str">
        <f>IFERROR(__xludf.DUMMYFUNCTION("""COMPUTED_VALUE"""),"likes")</f>
        <v>likes</v>
      </c>
      <c r="G1" s="20" t="str">
        <f>IFERROR(__xludf.DUMMYFUNCTION("""COMPUTED_VALUE"""),"dislikes")</f>
        <v>dislikes</v>
      </c>
      <c r="H1" s="20" t="str">
        <f>IFERROR(__xludf.DUMMYFUNCTION("""COMPUTED_VALUE"""),"categoryTitle")</f>
        <v>categoryTitle</v>
      </c>
      <c r="I1" s="20" t="str">
        <f>IFERROR(__xludf.DUMMYFUNCTION("""COMPUTED_VALUE"""),"acRate")</f>
        <v>acRate</v>
      </c>
      <c r="J1" s="20" t="str">
        <f>IFERROR(__xludf.DUMMYFUNCTION("""COMPUTED_VALUE"""),"frontendQuestionId")</f>
        <v>frontendQuestionId</v>
      </c>
      <c r="K1" s="20" t="str">
        <f>IFERROR(__xludf.DUMMYFUNCTION("""COMPUTED_VALUE"""),"paidOnly")</f>
        <v>paidOnly</v>
      </c>
      <c r="L1" s="20" t="str">
        <f>IFERROR(__xludf.DUMMYFUNCTION("""COMPUTED_VALUE"""),"topicTags")</f>
        <v>topicTags</v>
      </c>
      <c r="M1" s="20" t="str">
        <f>IFERROR(__xludf.DUMMYFUNCTION("""COMPUTED_VALUE"""),"hasSolution")</f>
        <v>hasSolution</v>
      </c>
      <c r="N1" s="20" t="str">
        <f>IFERROR(__xludf.DUMMYFUNCTION("""COMPUTED_VALUE"""),"hasVideoSolution")</f>
        <v>hasVideoSolution</v>
      </c>
      <c r="O1" s="20" t="str">
        <f>IFERROR(__xludf.DUMMYFUNCTION("""COMPUTED_VALUE"""),"acRateRaw")</f>
        <v>acRateRaw</v>
      </c>
      <c r="P1" s="20" t="str">
        <f>IFERROR(__xludf.DUMMYFUNCTION("""COMPUTED_VALUE"""),"totalAccepted")</f>
        <v>totalAccepted</v>
      </c>
      <c r="Q1" s="20" t="str">
        <f>IFERROR(__xludf.DUMMYFUNCTION("""COMPUTED_VALUE"""),"totalSubmission")</f>
        <v>totalSubmission</v>
      </c>
    </row>
    <row r="2">
      <c r="A2" s="20">
        <f>IFERROR(__xludf.DUMMYFUNCTION("""COMPUTED_VALUE"""),1.0)</f>
        <v>1</v>
      </c>
      <c r="B2" s="20" t="str">
        <f>IFERROR(__xludf.DUMMYFUNCTION("""COMPUTED_VALUE"""),"Two Sum")</f>
        <v>Two Sum</v>
      </c>
      <c r="C2" s="20" t="str">
        <f>IFERROR(__xludf.DUMMYFUNCTION("""COMPUTED_VALUE"""),"two-sum")</f>
        <v>two-sum</v>
      </c>
      <c r="D2" s="20" t="b">
        <f>IFERROR(__xludf.DUMMYFUNCTION("""COMPUTED_VALUE"""),FALSE)</f>
        <v>0</v>
      </c>
      <c r="E2" s="20" t="str">
        <f>IFERROR(__xludf.DUMMYFUNCTION("""COMPUTED_VALUE"""),"Easy")</f>
        <v>Easy</v>
      </c>
      <c r="F2" s="20">
        <f>IFERROR(__xludf.DUMMYFUNCTION("""COMPUTED_VALUE"""),41717.0)</f>
        <v>41717</v>
      </c>
      <c r="G2" s="20">
        <f>IFERROR(__xludf.DUMMYFUNCTION("""COMPUTED_VALUE"""),1361.0)</f>
        <v>1361</v>
      </c>
      <c r="H2" s="20" t="str">
        <f>IFERROR(__xludf.DUMMYFUNCTION("""COMPUTED_VALUE"""),"Algorithms")</f>
        <v>Algorithms</v>
      </c>
      <c r="I2" s="20">
        <f>IFERROR(__xludf.DUMMYFUNCTION("""COMPUTED_VALUE"""),0.492)</f>
        <v>0.492</v>
      </c>
      <c r="J2" s="20">
        <f>IFERROR(__xludf.DUMMYFUNCTION("""COMPUTED_VALUE"""),1.0)</f>
        <v>1</v>
      </c>
      <c r="K2" s="20" t="b">
        <f>IFERROR(__xludf.DUMMYFUNCTION("""COMPUTED_VALUE"""),FALSE)</f>
        <v>0</v>
      </c>
      <c r="L2" s="20" t="str">
        <f>IFERROR(__xludf.DUMMYFUNCTION("""COMPUTED_VALUE"""),"Array;Hash Table;")</f>
        <v>Array;Hash Table;</v>
      </c>
      <c r="M2" s="20" t="b">
        <f>IFERROR(__xludf.DUMMYFUNCTION("""COMPUTED_VALUE"""),TRUE)</f>
        <v>1</v>
      </c>
      <c r="N2" s="20" t="b">
        <f>IFERROR(__xludf.DUMMYFUNCTION("""COMPUTED_VALUE"""),TRUE)</f>
        <v>1</v>
      </c>
      <c r="O2" s="20">
        <f>IFERROR(__xludf.DUMMYFUNCTION("""COMPUTED_VALUE"""),49.2005556575863)</f>
        <v>49.20055566</v>
      </c>
      <c r="P2" s="20">
        <f>IFERROR(__xludf.DUMMYFUNCTION("""COMPUTED_VALUE"""),8599309.0)</f>
        <v>8599309</v>
      </c>
      <c r="Q2" s="20">
        <f>IFERROR(__xludf.DUMMYFUNCTION("""COMPUTED_VALUE"""),1.7478135E7)</f>
        <v>17478135</v>
      </c>
    </row>
    <row r="3">
      <c r="A3" s="20">
        <f>IFERROR(__xludf.DUMMYFUNCTION("""COMPUTED_VALUE"""),2.0)</f>
        <v>2</v>
      </c>
      <c r="B3" s="20" t="str">
        <f>IFERROR(__xludf.DUMMYFUNCTION("""COMPUTED_VALUE"""),"Add Two Numbers")</f>
        <v>Add Two Numbers</v>
      </c>
      <c r="C3" s="20" t="str">
        <f>IFERROR(__xludf.DUMMYFUNCTION("""COMPUTED_VALUE"""),"add-two-numbers")</f>
        <v>add-two-numbers</v>
      </c>
      <c r="D3" s="20" t="b">
        <f>IFERROR(__xludf.DUMMYFUNCTION("""COMPUTED_VALUE"""),FALSE)</f>
        <v>0</v>
      </c>
      <c r="E3" s="20" t="str">
        <f>IFERROR(__xludf.DUMMYFUNCTION("""COMPUTED_VALUE"""),"Medium")</f>
        <v>Medium</v>
      </c>
      <c r="F3" s="20">
        <f>IFERROR(__xludf.DUMMYFUNCTION("""COMPUTED_VALUE"""),23520.0)</f>
        <v>23520</v>
      </c>
      <c r="G3" s="20">
        <f>IFERROR(__xludf.DUMMYFUNCTION("""COMPUTED_VALUE"""),4537.0)</f>
        <v>4537</v>
      </c>
      <c r="H3" s="20" t="str">
        <f>IFERROR(__xludf.DUMMYFUNCTION("""COMPUTED_VALUE"""),"Algorithms")</f>
        <v>Algorithms</v>
      </c>
      <c r="I3" s="20">
        <f>IFERROR(__xludf.DUMMYFUNCTION("""COMPUTED_VALUE"""),0.4)</f>
        <v>0.4</v>
      </c>
      <c r="J3" s="20">
        <f>IFERROR(__xludf.DUMMYFUNCTION("""COMPUTED_VALUE"""),2.0)</f>
        <v>2</v>
      </c>
      <c r="K3" s="20" t="b">
        <f>IFERROR(__xludf.DUMMYFUNCTION("""COMPUTED_VALUE"""),FALSE)</f>
        <v>0</v>
      </c>
      <c r="L3" s="20" t="str">
        <f>IFERROR(__xludf.DUMMYFUNCTION("""COMPUTED_VALUE"""),"Linked List;Math;Recursion;")</f>
        <v>Linked List;Math;Recursion;</v>
      </c>
      <c r="M3" s="20" t="b">
        <f>IFERROR(__xludf.DUMMYFUNCTION("""COMPUTED_VALUE"""),TRUE)</f>
        <v>1</v>
      </c>
      <c r="N3" s="20" t="b">
        <f>IFERROR(__xludf.DUMMYFUNCTION("""COMPUTED_VALUE"""),FALSE)</f>
        <v>0</v>
      </c>
      <c r="O3" s="20">
        <f>IFERROR(__xludf.DUMMYFUNCTION("""COMPUTED_VALUE"""),39.9747197912356)</f>
        <v>39.97471979</v>
      </c>
      <c r="P3" s="20">
        <f>IFERROR(__xludf.DUMMYFUNCTION("""COMPUTED_VALUE"""),3333882.0)</f>
        <v>3333882</v>
      </c>
      <c r="Q3" s="20">
        <f>IFERROR(__xludf.DUMMYFUNCTION("""COMPUTED_VALUE"""),8340017.0)</f>
        <v>8340017</v>
      </c>
    </row>
    <row r="4">
      <c r="A4" s="20">
        <f>IFERROR(__xludf.DUMMYFUNCTION("""COMPUTED_VALUE"""),3.0)</f>
        <v>3</v>
      </c>
      <c r="B4" s="20" t="str">
        <f>IFERROR(__xludf.DUMMYFUNCTION("""COMPUTED_VALUE"""),"Longest Substring Without Repeating Characters")</f>
        <v>Longest Substring Without Repeating Characters</v>
      </c>
      <c r="C4" s="20" t="str">
        <f>IFERROR(__xludf.DUMMYFUNCTION("""COMPUTED_VALUE"""),"longest-substring-without-repeating-characters")</f>
        <v>longest-substring-without-repeating-characters</v>
      </c>
      <c r="D4" s="20" t="b">
        <f>IFERROR(__xludf.DUMMYFUNCTION("""COMPUTED_VALUE"""),FALSE)</f>
        <v>0</v>
      </c>
      <c r="E4" s="20" t="str">
        <f>IFERROR(__xludf.DUMMYFUNCTION("""COMPUTED_VALUE"""),"Medium")</f>
        <v>Medium</v>
      </c>
      <c r="F4" s="20">
        <f>IFERROR(__xludf.DUMMYFUNCTION("""COMPUTED_VALUE"""),31121.0)</f>
        <v>31121</v>
      </c>
      <c r="G4" s="20">
        <f>IFERROR(__xludf.DUMMYFUNCTION("""COMPUTED_VALUE"""),1354.0)</f>
        <v>1354</v>
      </c>
      <c r="H4" s="20" t="str">
        <f>IFERROR(__xludf.DUMMYFUNCTION("""COMPUTED_VALUE"""),"Algorithms")</f>
        <v>Algorithms</v>
      </c>
      <c r="I4" s="20">
        <f>IFERROR(__xludf.DUMMYFUNCTION("""COMPUTED_VALUE"""),0.338)</f>
        <v>0.338</v>
      </c>
      <c r="J4" s="20">
        <f>IFERROR(__xludf.DUMMYFUNCTION("""COMPUTED_VALUE"""),3.0)</f>
        <v>3</v>
      </c>
      <c r="K4" s="20" t="b">
        <f>IFERROR(__xludf.DUMMYFUNCTION("""COMPUTED_VALUE"""),FALSE)</f>
        <v>0</v>
      </c>
      <c r="L4" s="20" t="str">
        <f>IFERROR(__xludf.DUMMYFUNCTION("""COMPUTED_VALUE"""),"Hash Table;String;Sliding Window;")</f>
        <v>Hash Table;String;Sliding Window;</v>
      </c>
      <c r="M4" s="20" t="b">
        <f>IFERROR(__xludf.DUMMYFUNCTION("""COMPUTED_VALUE"""),TRUE)</f>
        <v>1</v>
      </c>
      <c r="N4" s="20" t="b">
        <f>IFERROR(__xludf.DUMMYFUNCTION("""COMPUTED_VALUE"""),TRUE)</f>
        <v>1</v>
      </c>
      <c r="O4" s="20">
        <f>IFERROR(__xludf.DUMMYFUNCTION("""COMPUTED_VALUE"""),33.8037427495816)</f>
        <v>33.80374275</v>
      </c>
      <c r="P4" s="20">
        <f>IFERROR(__xludf.DUMMYFUNCTION("""COMPUTED_VALUE"""),4138047.0)</f>
        <v>4138047</v>
      </c>
      <c r="Q4" s="20">
        <f>IFERROR(__xludf.DUMMYFUNCTION("""COMPUTED_VALUE"""),1.2241359E7)</f>
        <v>12241359</v>
      </c>
    </row>
    <row r="5">
      <c r="A5" s="20">
        <f>IFERROR(__xludf.DUMMYFUNCTION("""COMPUTED_VALUE"""),4.0)</f>
        <v>4</v>
      </c>
      <c r="B5" s="20" t="str">
        <f>IFERROR(__xludf.DUMMYFUNCTION("""COMPUTED_VALUE"""),"Median of Two Sorted Arrays")</f>
        <v>Median of Two Sorted Arrays</v>
      </c>
      <c r="C5" s="20" t="str">
        <f>IFERROR(__xludf.DUMMYFUNCTION("""COMPUTED_VALUE"""),"median-of-two-sorted-arrays")</f>
        <v>median-of-two-sorted-arrays</v>
      </c>
      <c r="D5" s="20" t="b">
        <f>IFERROR(__xludf.DUMMYFUNCTION("""COMPUTED_VALUE"""),FALSE)</f>
        <v>0</v>
      </c>
      <c r="E5" s="20" t="str">
        <f>IFERROR(__xludf.DUMMYFUNCTION("""COMPUTED_VALUE"""),"Hard")</f>
        <v>Hard</v>
      </c>
      <c r="F5" s="20">
        <f>IFERROR(__xludf.DUMMYFUNCTION("""COMPUTED_VALUE"""),21352.0)</f>
        <v>21352</v>
      </c>
      <c r="G5" s="20">
        <f>IFERROR(__xludf.DUMMYFUNCTION("""COMPUTED_VALUE"""),2406.0)</f>
        <v>2406</v>
      </c>
      <c r="H5" s="20" t="str">
        <f>IFERROR(__xludf.DUMMYFUNCTION("""COMPUTED_VALUE"""),"Algorithms")</f>
        <v>Algorithms</v>
      </c>
      <c r="I5" s="20">
        <f>IFERROR(__xludf.DUMMYFUNCTION("""COMPUTED_VALUE"""),0.355)</f>
        <v>0.355</v>
      </c>
      <c r="J5" s="20">
        <f>IFERROR(__xludf.DUMMYFUNCTION("""COMPUTED_VALUE"""),4.0)</f>
        <v>4</v>
      </c>
      <c r="K5" s="20" t="b">
        <f>IFERROR(__xludf.DUMMYFUNCTION("""COMPUTED_VALUE"""),FALSE)</f>
        <v>0</v>
      </c>
      <c r="L5" s="20" t="str">
        <f>IFERROR(__xludf.DUMMYFUNCTION("""COMPUTED_VALUE"""),"Array;Binary Search;Divide and Conquer;")</f>
        <v>Array;Binary Search;Divide and Conquer;</v>
      </c>
      <c r="M5" s="20" t="b">
        <f>IFERROR(__xludf.DUMMYFUNCTION("""COMPUTED_VALUE"""),FALSE)</f>
        <v>0</v>
      </c>
      <c r="N5" s="20" t="b">
        <f>IFERROR(__xludf.DUMMYFUNCTION("""COMPUTED_VALUE"""),FALSE)</f>
        <v>0</v>
      </c>
      <c r="O5" s="20">
        <f>IFERROR(__xludf.DUMMYFUNCTION("""COMPUTED_VALUE"""),35.5497152021576)</f>
        <v>35.5497152</v>
      </c>
      <c r="P5" s="20">
        <f>IFERROR(__xludf.DUMMYFUNCTION("""COMPUTED_VALUE"""),1727160.0)</f>
        <v>1727160</v>
      </c>
      <c r="Q5" s="20">
        <f>IFERROR(__xludf.DUMMYFUNCTION("""COMPUTED_VALUE"""),4858448.0)</f>
        <v>4858448</v>
      </c>
    </row>
    <row r="6">
      <c r="A6" s="20">
        <f>IFERROR(__xludf.DUMMYFUNCTION("""COMPUTED_VALUE"""),5.0)</f>
        <v>5</v>
      </c>
      <c r="B6" s="20" t="str">
        <f>IFERROR(__xludf.DUMMYFUNCTION("""COMPUTED_VALUE"""),"Longest Palindromic Substring")</f>
        <v>Longest Palindromic Substring</v>
      </c>
      <c r="C6" s="20" t="str">
        <f>IFERROR(__xludf.DUMMYFUNCTION("""COMPUTED_VALUE"""),"longest-palindromic-substring")</f>
        <v>longest-palindromic-substring</v>
      </c>
      <c r="D6" s="20" t="b">
        <f>IFERROR(__xludf.DUMMYFUNCTION("""COMPUTED_VALUE"""),FALSE)</f>
        <v>0</v>
      </c>
      <c r="E6" s="20" t="str">
        <f>IFERROR(__xludf.DUMMYFUNCTION("""COMPUTED_VALUE"""),"Medium")</f>
        <v>Medium</v>
      </c>
      <c r="F6" s="20">
        <f>IFERROR(__xludf.DUMMYFUNCTION("""COMPUTED_VALUE"""),23229.0)</f>
        <v>23229</v>
      </c>
      <c r="G6" s="20">
        <f>IFERROR(__xludf.DUMMYFUNCTION("""COMPUTED_VALUE"""),1353.0)</f>
        <v>1353</v>
      </c>
      <c r="H6" s="20" t="str">
        <f>IFERROR(__xludf.DUMMYFUNCTION("""COMPUTED_VALUE"""),"Algorithms")</f>
        <v>Algorithms</v>
      </c>
      <c r="I6" s="20">
        <f>IFERROR(__xludf.DUMMYFUNCTION("""COMPUTED_VALUE"""),0.324)</f>
        <v>0.324</v>
      </c>
      <c r="J6" s="20">
        <f>IFERROR(__xludf.DUMMYFUNCTION("""COMPUTED_VALUE"""),5.0)</f>
        <v>5</v>
      </c>
      <c r="K6" s="20" t="b">
        <f>IFERROR(__xludf.DUMMYFUNCTION("""COMPUTED_VALUE"""),FALSE)</f>
        <v>0</v>
      </c>
      <c r="L6" s="20" t="str">
        <f>IFERROR(__xludf.DUMMYFUNCTION("""COMPUTED_VALUE"""),"String;Dynamic Programming;")</f>
        <v>String;Dynamic Programming;</v>
      </c>
      <c r="M6" s="20" t="b">
        <f>IFERROR(__xludf.DUMMYFUNCTION("""COMPUTED_VALUE"""),TRUE)</f>
        <v>1</v>
      </c>
      <c r="N6" s="20" t="b">
        <f>IFERROR(__xludf.DUMMYFUNCTION("""COMPUTED_VALUE"""),FALSE)</f>
        <v>0</v>
      </c>
      <c r="O6" s="20">
        <f>IFERROR(__xludf.DUMMYFUNCTION("""COMPUTED_VALUE"""),32.4125724458464)</f>
        <v>32.41257245</v>
      </c>
      <c r="P6" s="20">
        <f>IFERROR(__xludf.DUMMYFUNCTION("""COMPUTED_VALUE"""),2239072.0)</f>
        <v>2239072</v>
      </c>
      <c r="Q6" s="20">
        <f>IFERROR(__xludf.DUMMYFUNCTION("""COMPUTED_VALUE"""),6908019.0)</f>
        <v>6908019</v>
      </c>
    </row>
    <row r="7">
      <c r="A7" s="20">
        <f>IFERROR(__xludf.DUMMYFUNCTION("""COMPUTED_VALUE"""),6.0)</f>
        <v>6</v>
      </c>
      <c r="B7" s="20" t="str">
        <f>IFERROR(__xludf.DUMMYFUNCTION("""COMPUTED_VALUE"""),"Zigzag Conversion")</f>
        <v>Zigzag Conversion</v>
      </c>
      <c r="C7" s="20" t="str">
        <f>IFERROR(__xludf.DUMMYFUNCTION("""COMPUTED_VALUE"""),"zigzag-conversion")</f>
        <v>zigzag-conversion</v>
      </c>
      <c r="D7" s="20" t="b">
        <f>IFERROR(__xludf.DUMMYFUNCTION("""COMPUTED_VALUE"""),FALSE)</f>
        <v>0</v>
      </c>
      <c r="E7" s="20" t="str">
        <f>IFERROR(__xludf.DUMMYFUNCTION("""COMPUTED_VALUE"""),"Medium")</f>
        <v>Medium</v>
      </c>
      <c r="F7" s="20">
        <f>IFERROR(__xludf.DUMMYFUNCTION("""COMPUTED_VALUE"""),4828.0)</f>
        <v>4828</v>
      </c>
      <c r="G7" s="20">
        <f>IFERROR(__xludf.DUMMYFUNCTION("""COMPUTED_VALUE"""),10384.0)</f>
        <v>10384</v>
      </c>
      <c r="H7" s="20" t="str">
        <f>IFERROR(__xludf.DUMMYFUNCTION("""COMPUTED_VALUE"""),"Algorithms")</f>
        <v>Algorithms</v>
      </c>
      <c r="I7" s="20">
        <f>IFERROR(__xludf.DUMMYFUNCTION("""COMPUTED_VALUE"""),0.434)</f>
        <v>0.434</v>
      </c>
      <c r="J7" s="20">
        <f>IFERROR(__xludf.DUMMYFUNCTION("""COMPUTED_VALUE"""),6.0)</f>
        <v>6</v>
      </c>
      <c r="K7" s="20" t="b">
        <f>IFERROR(__xludf.DUMMYFUNCTION("""COMPUTED_VALUE"""),FALSE)</f>
        <v>0</v>
      </c>
      <c r="L7" s="20" t="str">
        <f>IFERROR(__xludf.DUMMYFUNCTION("""COMPUTED_VALUE"""),"String;")</f>
        <v>String;</v>
      </c>
      <c r="M7" s="20" t="b">
        <f>IFERROR(__xludf.DUMMYFUNCTION("""COMPUTED_VALUE"""),TRUE)</f>
        <v>1</v>
      </c>
      <c r="N7" s="20" t="b">
        <f>IFERROR(__xludf.DUMMYFUNCTION("""COMPUTED_VALUE"""),FALSE)</f>
        <v>0</v>
      </c>
      <c r="O7" s="20">
        <f>IFERROR(__xludf.DUMMYFUNCTION("""COMPUTED_VALUE"""),43.3760169369769)</f>
        <v>43.37601694</v>
      </c>
      <c r="P7" s="20">
        <f>IFERROR(__xludf.DUMMYFUNCTION("""COMPUTED_VALUE"""),902699.0)</f>
        <v>902699</v>
      </c>
      <c r="Q7" s="20">
        <f>IFERROR(__xludf.DUMMYFUNCTION("""COMPUTED_VALUE"""),2081113.0)</f>
        <v>2081113</v>
      </c>
    </row>
    <row r="8">
      <c r="A8" s="20">
        <f>IFERROR(__xludf.DUMMYFUNCTION("""COMPUTED_VALUE"""),7.0)</f>
        <v>7</v>
      </c>
      <c r="B8" s="20" t="str">
        <f>IFERROR(__xludf.DUMMYFUNCTION("""COMPUTED_VALUE"""),"Reverse Integer")</f>
        <v>Reverse Integer</v>
      </c>
      <c r="C8" s="20" t="str">
        <f>IFERROR(__xludf.DUMMYFUNCTION("""COMPUTED_VALUE"""),"reverse-integer")</f>
        <v>reverse-integer</v>
      </c>
      <c r="D8" s="20" t="b">
        <f>IFERROR(__xludf.DUMMYFUNCTION("""COMPUTED_VALUE"""),FALSE)</f>
        <v>0</v>
      </c>
      <c r="E8" s="20" t="str">
        <f>IFERROR(__xludf.DUMMYFUNCTION("""COMPUTED_VALUE"""),"Medium")</f>
        <v>Medium</v>
      </c>
      <c r="F8" s="20">
        <f>IFERROR(__xludf.DUMMYFUNCTION("""COMPUTED_VALUE"""),9348.0)</f>
        <v>9348</v>
      </c>
      <c r="G8" s="20">
        <f>IFERROR(__xludf.DUMMYFUNCTION("""COMPUTED_VALUE"""),11317.0)</f>
        <v>11317</v>
      </c>
      <c r="H8" s="20" t="str">
        <f>IFERROR(__xludf.DUMMYFUNCTION("""COMPUTED_VALUE"""),"Algorithms")</f>
        <v>Algorithms</v>
      </c>
      <c r="I8" s="20">
        <f>IFERROR(__xludf.DUMMYFUNCTION("""COMPUTED_VALUE"""),0.273)</f>
        <v>0.273</v>
      </c>
      <c r="J8" s="20">
        <f>IFERROR(__xludf.DUMMYFUNCTION("""COMPUTED_VALUE"""),7.0)</f>
        <v>7</v>
      </c>
      <c r="K8" s="20" t="b">
        <f>IFERROR(__xludf.DUMMYFUNCTION("""COMPUTED_VALUE"""),FALSE)</f>
        <v>0</v>
      </c>
      <c r="L8" s="20" t="str">
        <f>IFERROR(__xludf.DUMMYFUNCTION("""COMPUTED_VALUE"""),"Math;")</f>
        <v>Math;</v>
      </c>
      <c r="M8" s="20" t="b">
        <f>IFERROR(__xludf.DUMMYFUNCTION("""COMPUTED_VALUE"""),TRUE)</f>
        <v>1</v>
      </c>
      <c r="N8" s="20" t="b">
        <f>IFERROR(__xludf.DUMMYFUNCTION("""COMPUTED_VALUE"""),FALSE)</f>
        <v>0</v>
      </c>
      <c r="O8" s="20">
        <f>IFERROR(__xludf.DUMMYFUNCTION("""COMPUTED_VALUE"""),27.3045960447988)</f>
        <v>27.30459604</v>
      </c>
      <c r="P8" s="20">
        <f>IFERROR(__xludf.DUMMYFUNCTION("""COMPUTED_VALUE"""),2399751.0)</f>
        <v>2399751</v>
      </c>
      <c r="Q8" s="20">
        <f>IFERROR(__xludf.DUMMYFUNCTION("""COMPUTED_VALUE"""),8788768.0)</f>
        <v>8788768</v>
      </c>
    </row>
    <row r="9">
      <c r="A9" s="20">
        <f>IFERROR(__xludf.DUMMYFUNCTION("""COMPUTED_VALUE"""),8.0)</f>
        <v>8</v>
      </c>
      <c r="B9" s="20" t="str">
        <f>IFERROR(__xludf.DUMMYFUNCTION("""COMPUTED_VALUE"""),"String to Integer (atoi)")</f>
        <v>String to Integer (atoi)</v>
      </c>
      <c r="C9" s="20" t="str">
        <f>IFERROR(__xludf.DUMMYFUNCTION("""COMPUTED_VALUE"""),"string-to-integer-atoi")</f>
        <v>string-to-integer-atoi</v>
      </c>
      <c r="D9" s="20" t="b">
        <f>IFERROR(__xludf.DUMMYFUNCTION("""COMPUTED_VALUE"""),FALSE)</f>
        <v>0</v>
      </c>
      <c r="E9" s="20" t="str">
        <f>IFERROR(__xludf.DUMMYFUNCTION("""COMPUTED_VALUE"""),"Medium")</f>
        <v>Medium</v>
      </c>
      <c r="F9" s="20">
        <f>IFERROR(__xludf.DUMMYFUNCTION("""COMPUTED_VALUE"""),2736.0)</f>
        <v>2736</v>
      </c>
      <c r="G9" s="20">
        <f>IFERROR(__xludf.DUMMYFUNCTION("""COMPUTED_VALUE"""),8109.0)</f>
        <v>8109</v>
      </c>
      <c r="H9" s="20" t="str">
        <f>IFERROR(__xludf.DUMMYFUNCTION("""COMPUTED_VALUE"""),"Algorithms")</f>
        <v>Algorithms</v>
      </c>
      <c r="I9" s="20">
        <f>IFERROR(__xludf.DUMMYFUNCTION("""COMPUTED_VALUE"""),0.166)</f>
        <v>0.166</v>
      </c>
      <c r="J9" s="20">
        <f>IFERROR(__xludf.DUMMYFUNCTION("""COMPUTED_VALUE"""),8.0)</f>
        <v>8</v>
      </c>
      <c r="K9" s="20" t="b">
        <f>IFERROR(__xludf.DUMMYFUNCTION("""COMPUTED_VALUE"""),FALSE)</f>
        <v>0</v>
      </c>
      <c r="L9" s="20" t="str">
        <f>IFERROR(__xludf.DUMMYFUNCTION("""COMPUTED_VALUE"""),"String;")</f>
        <v>String;</v>
      </c>
      <c r="M9" s="20" t="b">
        <f>IFERROR(__xludf.DUMMYFUNCTION("""COMPUTED_VALUE"""),TRUE)</f>
        <v>1</v>
      </c>
      <c r="N9" s="20" t="b">
        <f>IFERROR(__xludf.DUMMYFUNCTION("""COMPUTED_VALUE"""),FALSE)</f>
        <v>0</v>
      </c>
      <c r="O9" s="20">
        <f>IFERROR(__xludf.DUMMYFUNCTION("""COMPUTED_VALUE"""),16.6138941939016)</f>
        <v>16.61389419</v>
      </c>
      <c r="P9" s="20">
        <f>IFERROR(__xludf.DUMMYFUNCTION("""COMPUTED_VALUE"""),1170133.0)</f>
        <v>1170133</v>
      </c>
      <c r="Q9" s="20">
        <f>IFERROR(__xludf.DUMMYFUNCTION("""COMPUTED_VALUE"""),7043075.0)</f>
        <v>7043075</v>
      </c>
    </row>
    <row r="10">
      <c r="A10" s="20">
        <f>IFERROR(__xludf.DUMMYFUNCTION("""COMPUTED_VALUE"""),9.0)</f>
        <v>9</v>
      </c>
      <c r="B10" s="20" t="str">
        <f>IFERROR(__xludf.DUMMYFUNCTION("""COMPUTED_VALUE"""),"Palindrome Number")</f>
        <v>Palindrome Number</v>
      </c>
      <c r="C10" s="20" t="str">
        <f>IFERROR(__xludf.DUMMYFUNCTION("""COMPUTED_VALUE"""),"palindrome-number")</f>
        <v>palindrome-number</v>
      </c>
      <c r="D10" s="20" t="b">
        <f>IFERROR(__xludf.DUMMYFUNCTION("""COMPUTED_VALUE"""),FALSE)</f>
        <v>0</v>
      </c>
      <c r="E10" s="20" t="str">
        <f>IFERROR(__xludf.DUMMYFUNCTION("""COMPUTED_VALUE"""),"Easy")</f>
        <v>Easy</v>
      </c>
      <c r="F10" s="20">
        <f>IFERROR(__xludf.DUMMYFUNCTION("""COMPUTED_VALUE"""),8263.0)</f>
        <v>8263</v>
      </c>
      <c r="G10" s="20">
        <f>IFERROR(__xludf.DUMMYFUNCTION("""COMPUTED_VALUE"""),2391.0)</f>
        <v>2391</v>
      </c>
      <c r="H10" s="20" t="str">
        <f>IFERROR(__xludf.DUMMYFUNCTION("""COMPUTED_VALUE"""),"Algorithms")</f>
        <v>Algorithms</v>
      </c>
      <c r="I10" s="20">
        <f>IFERROR(__xludf.DUMMYFUNCTION("""COMPUTED_VALUE"""),0.531)</f>
        <v>0.531</v>
      </c>
      <c r="J10" s="20">
        <f>IFERROR(__xludf.DUMMYFUNCTION("""COMPUTED_VALUE"""),9.0)</f>
        <v>9</v>
      </c>
      <c r="K10" s="20" t="b">
        <f>IFERROR(__xludf.DUMMYFUNCTION("""COMPUTED_VALUE"""),FALSE)</f>
        <v>0</v>
      </c>
      <c r="L10" s="20" t="str">
        <f>IFERROR(__xludf.DUMMYFUNCTION("""COMPUTED_VALUE"""),"Math;")</f>
        <v>Math;</v>
      </c>
      <c r="M10" s="20" t="b">
        <f>IFERROR(__xludf.DUMMYFUNCTION("""COMPUTED_VALUE"""),TRUE)</f>
        <v>1</v>
      </c>
      <c r="N10" s="20" t="b">
        <f>IFERROR(__xludf.DUMMYFUNCTION("""COMPUTED_VALUE"""),FALSE)</f>
        <v>0</v>
      </c>
      <c r="O10" s="20">
        <f>IFERROR(__xludf.DUMMYFUNCTION("""COMPUTED_VALUE"""),53.1021775294477)</f>
        <v>53.10217753</v>
      </c>
      <c r="P10" s="20">
        <f>IFERROR(__xludf.DUMMYFUNCTION("""COMPUTED_VALUE"""),2776116.0)</f>
        <v>2776116</v>
      </c>
      <c r="Q10" s="20">
        <f>IFERROR(__xludf.DUMMYFUNCTION("""COMPUTED_VALUE"""),5227893.0)</f>
        <v>5227893</v>
      </c>
    </row>
    <row r="11">
      <c r="A11" s="20">
        <f>IFERROR(__xludf.DUMMYFUNCTION("""COMPUTED_VALUE"""),10.0)</f>
        <v>10</v>
      </c>
      <c r="B11" s="20" t="str">
        <f>IFERROR(__xludf.DUMMYFUNCTION("""COMPUTED_VALUE"""),"Regular Expression Matching")</f>
        <v>Regular Expression Matching</v>
      </c>
      <c r="C11" s="20" t="str">
        <f>IFERROR(__xludf.DUMMYFUNCTION("""COMPUTED_VALUE"""),"regular-expression-matching")</f>
        <v>regular-expression-matching</v>
      </c>
      <c r="D11" s="20" t="b">
        <f>IFERROR(__xludf.DUMMYFUNCTION("""COMPUTED_VALUE"""),FALSE)</f>
        <v>0</v>
      </c>
      <c r="E11" s="20" t="str">
        <f>IFERROR(__xludf.DUMMYFUNCTION("""COMPUTED_VALUE"""),"Hard")</f>
        <v>Hard</v>
      </c>
      <c r="F11" s="20">
        <f>IFERROR(__xludf.DUMMYFUNCTION("""COMPUTED_VALUE"""),9818.0)</f>
        <v>9818</v>
      </c>
      <c r="G11" s="20">
        <f>IFERROR(__xludf.DUMMYFUNCTION("""COMPUTED_VALUE"""),1590.0)</f>
        <v>1590</v>
      </c>
      <c r="H11" s="20" t="str">
        <f>IFERROR(__xludf.DUMMYFUNCTION("""COMPUTED_VALUE"""),"Algorithms")</f>
        <v>Algorithms</v>
      </c>
      <c r="I11" s="20">
        <f>IFERROR(__xludf.DUMMYFUNCTION("""COMPUTED_VALUE"""),0.282)</f>
        <v>0.282</v>
      </c>
      <c r="J11" s="20">
        <f>IFERROR(__xludf.DUMMYFUNCTION("""COMPUTED_VALUE"""),10.0)</f>
        <v>10</v>
      </c>
      <c r="K11" s="20" t="b">
        <f>IFERROR(__xludf.DUMMYFUNCTION("""COMPUTED_VALUE"""),FALSE)</f>
        <v>0</v>
      </c>
      <c r="L11" s="20" t="str">
        <f>IFERROR(__xludf.DUMMYFUNCTION("""COMPUTED_VALUE"""),"String;Dynamic Programming;Recursion;")</f>
        <v>String;Dynamic Programming;Recursion;</v>
      </c>
      <c r="M11" s="20" t="b">
        <f>IFERROR(__xludf.DUMMYFUNCTION("""COMPUTED_VALUE"""),TRUE)</f>
        <v>1</v>
      </c>
      <c r="N11" s="20" t="b">
        <f>IFERROR(__xludf.DUMMYFUNCTION("""COMPUTED_VALUE"""),FALSE)</f>
        <v>0</v>
      </c>
      <c r="O11" s="20">
        <f>IFERROR(__xludf.DUMMYFUNCTION("""COMPUTED_VALUE"""),28.2036729233388)</f>
        <v>28.20367292</v>
      </c>
      <c r="P11" s="20">
        <f>IFERROR(__xludf.DUMMYFUNCTION("""COMPUTED_VALUE"""),772218.0)</f>
        <v>772218</v>
      </c>
      <c r="Q11" s="20">
        <f>IFERROR(__xludf.DUMMYFUNCTION("""COMPUTED_VALUE"""),2737997.0)</f>
        <v>2737997</v>
      </c>
    </row>
    <row r="12">
      <c r="A12" s="20">
        <f>IFERROR(__xludf.DUMMYFUNCTION("""COMPUTED_VALUE"""),11.0)</f>
        <v>11</v>
      </c>
      <c r="B12" s="20" t="str">
        <f>IFERROR(__xludf.DUMMYFUNCTION("""COMPUTED_VALUE"""),"Container With Most Water")</f>
        <v>Container With Most Water</v>
      </c>
      <c r="C12" s="20" t="str">
        <f>IFERROR(__xludf.DUMMYFUNCTION("""COMPUTED_VALUE"""),"container-with-most-water")</f>
        <v>container-with-most-water</v>
      </c>
      <c r="D12" s="20" t="b">
        <f>IFERROR(__xludf.DUMMYFUNCTION("""COMPUTED_VALUE"""),FALSE)</f>
        <v>0</v>
      </c>
      <c r="E12" s="20" t="str">
        <f>IFERROR(__xludf.DUMMYFUNCTION("""COMPUTED_VALUE"""),"Medium")</f>
        <v>Medium</v>
      </c>
      <c r="F12" s="20">
        <f>IFERROR(__xludf.DUMMYFUNCTION("""COMPUTED_VALUE"""),21986.0)</f>
        <v>21986</v>
      </c>
      <c r="G12" s="20">
        <f>IFERROR(__xludf.DUMMYFUNCTION("""COMPUTED_VALUE"""),1170.0)</f>
        <v>1170</v>
      </c>
      <c r="H12" s="20" t="str">
        <f>IFERROR(__xludf.DUMMYFUNCTION("""COMPUTED_VALUE"""),"Algorithms")</f>
        <v>Algorithms</v>
      </c>
      <c r="I12" s="20">
        <f>IFERROR(__xludf.DUMMYFUNCTION("""COMPUTED_VALUE"""),0.542)</f>
        <v>0.542</v>
      </c>
      <c r="J12" s="20">
        <f>IFERROR(__xludf.DUMMYFUNCTION("""COMPUTED_VALUE"""),11.0)</f>
        <v>11</v>
      </c>
      <c r="K12" s="20" t="b">
        <f>IFERROR(__xludf.DUMMYFUNCTION("""COMPUTED_VALUE"""),FALSE)</f>
        <v>0</v>
      </c>
      <c r="L12" s="20" t="str">
        <f>IFERROR(__xludf.DUMMYFUNCTION("""COMPUTED_VALUE"""),"Array;Two Pointers;Greedy;")</f>
        <v>Array;Two Pointers;Greedy;</v>
      </c>
      <c r="M12" s="20" t="b">
        <f>IFERROR(__xludf.DUMMYFUNCTION("""COMPUTED_VALUE"""),TRUE)</f>
        <v>1</v>
      </c>
      <c r="N12" s="20" t="b">
        <f>IFERROR(__xludf.DUMMYFUNCTION("""COMPUTED_VALUE"""),TRUE)</f>
        <v>1</v>
      </c>
      <c r="O12" s="20">
        <f>IFERROR(__xludf.DUMMYFUNCTION("""COMPUTED_VALUE"""),54.2333733507058)</f>
        <v>54.23337335</v>
      </c>
      <c r="P12" s="20">
        <f>IFERROR(__xludf.DUMMYFUNCTION("""COMPUTED_VALUE"""),1906344.0)</f>
        <v>1906344</v>
      </c>
      <c r="Q12" s="20">
        <f>IFERROR(__xludf.DUMMYFUNCTION("""COMPUTED_VALUE"""),3515083.0)</f>
        <v>3515083</v>
      </c>
    </row>
    <row r="13">
      <c r="A13" s="20">
        <f>IFERROR(__xludf.DUMMYFUNCTION("""COMPUTED_VALUE"""),12.0)</f>
        <v>12</v>
      </c>
      <c r="B13" s="20" t="str">
        <f>IFERROR(__xludf.DUMMYFUNCTION("""COMPUTED_VALUE"""),"Integer to Roman")</f>
        <v>Integer to Roman</v>
      </c>
      <c r="C13" s="20" t="str">
        <f>IFERROR(__xludf.DUMMYFUNCTION("""COMPUTED_VALUE"""),"integer-to-roman")</f>
        <v>integer-to-roman</v>
      </c>
      <c r="D13" s="20" t="b">
        <f>IFERROR(__xludf.DUMMYFUNCTION("""COMPUTED_VALUE"""),FALSE)</f>
        <v>0</v>
      </c>
      <c r="E13" s="20" t="str">
        <f>IFERROR(__xludf.DUMMYFUNCTION("""COMPUTED_VALUE"""),"Medium")</f>
        <v>Medium</v>
      </c>
      <c r="F13" s="20">
        <f>IFERROR(__xludf.DUMMYFUNCTION("""COMPUTED_VALUE"""),5051.0)</f>
        <v>5051</v>
      </c>
      <c r="G13" s="20">
        <f>IFERROR(__xludf.DUMMYFUNCTION("""COMPUTED_VALUE"""),4925.0)</f>
        <v>4925</v>
      </c>
      <c r="H13" s="20" t="str">
        <f>IFERROR(__xludf.DUMMYFUNCTION("""COMPUTED_VALUE"""),"Algorithms")</f>
        <v>Algorithms</v>
      </c>
      <c r="I13" s="20">
        <f>IFERROR(__xludf.DUMMYFUNCTION("""COMPUTED_VALUE"""),0.617)</f>
        <v>0.617</v>
      </c>
      <c r="J13" s="20">
        <f>IFERROR(__xludf.DUMMYFUNCTION("""COMPUTED_VALUE"""),12.0)</f>
        <v>12</v>
      </c>
      <c r="K13" s="20" t="b">
        <f>IFERROR(__xludf.DUMMYFUNCTION("""COMPUTED_VALUE"""),FALSE)</f>
        <v>0</v>
      </c>
      <c r="L13" s="20" t="str">
        <f>IFERROR(__xludf.DUMMYFUNCTION("""COMPUTED_VALUE"""),"Hash Table;Math;String;")</f>
        <v>Hash Table;Math;String;</v>
      </c>
      <c r="M13" s="20" t="b">
        <f>IFERROR(__xludf.DUMMYFUNCTION("""COMPUTED_VALUE"""),TRUE)</f>
        <v>1</v>
      </c>
      <c r="N13" s="20" t="b">
        <f>IFERROR(__xludf.DUMMYFUNCTION("""COMPUTED_VALUE"""),FALSE)</f>
        <v>0</v>
      </c>
      <c r="O13" s="20">
        <f>IFERROR(__xludf.DUMMYFUNCTION("""COMPUTED_VALUE"""),61.6536967077501)</f>
        <v>61.65369671</v>
      </c>
      <c r="P13" s="20">
        <f>IFERROR(__xludf.DUMMYFUNCTION("""COMPUTED_VALUE"""),915220.0)</f>
        <v>915220</v>
      </c>
      <c r="Q13" s="20">
        <f>IFERROR(__xludf.DUMMYFUNCTION("""COMPUTED_VALUE"""),1484453.0)</f>
        <v>1484453</v>
      </c>
    </row>
    <row r="14">
      <c r="A14" s="20">
        <f>IFERROR(__xludf.DUMMYFUNCTION("""COMPUTED_VALUE"""),13.0)</f>
        <v>13</v>
      </c>
      <c r="B14" s="20" t="str">
        <f>IFERROR(__xludf.DUMMYFUNCTION("""COMPUTED_VALUE"""),"Roman to Integer")</f>
        <v>Roman to Integer</v>
      </c>
      <c r="C14" s="20" t="str">
        <f>IFERROR(__xludf.DUMMYFUNCTION("""COMPUTED_VALUE"""),"roman-to-integer")</f>
        <v>roman-to-integer</v>
      </c>
      <c r="D14" s="20" t="b">
        <f>IFERROR(__xludf.DUMMYFUNCTION("""COMPUTED_VALUE"""),FALSE)</f>
        <v>0</v>
      </c>
      <c r="E14" s="20" t="str">
        <f>IFERROR(__xludf.DUMMYFUNCTION("""COMPUTED_VALUE"""),"Easy")</f>
        <v>Easy</v>
      </c>
      <c r="F14" s="20">
        <f>IFERROR(__xludf.DUMMYFUNCTION("""COMPUTED_VALUE"""),8608.0)</f>
        <v>8608</v>
      </c>
      <c r="G14" s="20">
        <f>IFERROR(__xludf.DUMMYFUNCTION("""COMPUTED_VALUE"""),495.0)</f>
        <v>495</v>
      </c>
      <c r="H14" s="20" t="str">
        <f>IFERROR(__xludf.DUMMYFUNCTION("""COMPUTED_VALUE"""),"Algorithms")</f>
        <v>Algorithms</v>
      </c>
      <c r="I14" s="20">
        <f>IFERROR(__xludf.DUMMYFUNCTION("""COMPUTED_VALUE"""),0.582)</f>
        <v>0.582</v>
      </c>
      <c r="J14" s="20">
        <f>IFERROR(__xludf.DUMMYFUNCTION("""COMPUTED_VALUE"""),13.0)</f>
        <v>13</v>
      </c>
      <c r="K14" s="20" t="b">
        <f>IFERROR(__xludf.DUMMYFUNCTION("""COMPUTED_VALUE"""),FALSE)</f>
        <v>0</v>
      </c>
      <c r="L14" s="20" t="str">
        <f>IFERROR(__xludf.DUMMYFUNCTION("""COMPUTED_VALUE"""),"Hash Table;Math;String;")</f>
        <v>Hash Table;Math;String;</v>
      </c>
      <c r="M14" s="20" t="b">
        <f>IFERROR(__xludf.DUMMYFUNCTION("""COMPUTED_VALUE"""),TRUE)</f>
        <v>1</v>
      </c>
      <c r="N14" s="20" t="b">
        <f>IFERROR(__xludf.DUMMYFUNCTION("""COMPUTED_VALUE"""),FALSE)</f>
        <v>0</v>
      </c>
      <c r="O14" s="20">
        <f>IFERROR(__xludf.DUMMYFUNCTION("""COMPUTED_VALUE"""),58.1868535593206)</f>
        <v>58.18685356</v>
      </c>
      <c r="P14" s="20">
        <f>IFERROR(__xludf.DUMMYFUNCTION("""COMPUTED_VALUE"""),2321784.0)</f>
        <v>2321784</v>
      </c>
      <c r="Q14" s="20">
        <f>IFERROR(__xludf.DUMMYFUNCTION("""COMPUTED_VALUE"""),3990206.0)</f>
        <v>3990206</v>
      </c>
    </row>
    <row r="15">
      <c r="A15" s="20">
        <f>IFERROR(__xludf.DUMMYFUNCTION("""COMPUTED_VALUE"""),14.0)</f>
        <v>14</v>
      </c>
      <c r="B15" s="20" t="str">
        <f>IFERROR(__xludf.DUMMYFUNCTION("""COMPUTED_VALUE"""),"Longest Common Prefix")</f>
        <v>Longest Common Prefix</v>
      </c>
      <c r="C15" s="20" t="str">
        <f>IFERROR(__xludf.DUMMYFUNCTION("""COMPUTED_VALUE"""),"longest-common-prefix")</f>
        <v>longest-common-prefix</v>
      </c>
      <c r="D15" s="20" t="b">
        <f>IFERROR(__xludf.DUMMYFUNCTION("""COMPUTED_VALUE"""),FALSE)</f>
        <v>0</v>
      </c>
      <c r="E15" s="20" t="str">
        <f>IFERROR(__xludf.DUMMYFUNCTION("""COMPUTED_VALUE"""),"Easy")</f>
        <v>Easy</v>
      </c>
      <c r="F15" s="20">
        <f>IFERROR(__xludf.DUMMYFUNCTION("""COMPUTED_VALUE"""),11959.0)</f>
        <v>11959</v>
      </c>
      <c r="G15" s="20">
        <f>IFERROR(__xludf.DUMMYFUNCTION("""COMPUTED_VALUE"""),3621.0)</f>
        <v>3621</v>
      </c>
      <c r="H15" s="20" t="str">
        <f>IFERROR(__xludf.DUMMYFUNCTION("""COMPUTED_VALUE"""),"Algorithms")</f>
        <v>Algorithms</v>
      </c>
      <c r="I15" s="20">
        <f>IFERROR(__xludf.DUMMYFUNCTION("""COMPUTED_VALUE"""),0.408)</f>
        <v>0.408</v>
      </c>
      <c r="J15" s="20">
        <f>IFERROR(__xludf.DUMMYFUNCTION("""COMPUTED_VALUE"""),14.0)</f>
        <v>14</v>
      </c>
      <c r="K15" s="20" t="b">
        <f>IFERROR(__xludf.DUMMYFUNCTION("""COMPUTED_VALUE"""),FALSE)</f>
        <v>0</v>
      </c>
      <c r="L15" s="20" t="str">
        <f>IFERROR(__xludf.DUMMYFUNCTION("""COMPUTED_VALUE"""),"String;")</f>
        <v>String;</v>
      </c>
      <c r="M15" s="20" t="b">
        <f>IFERROR(__xludf.DUMMYFUNCTION("""COMPUTED_VALUE"""),TRUE)</f>
        <v>1</v>
      </c>
      <c r="N15" s="20" t="b">
        <f>IFERROR(__xludf.DUMMYFUNCTION("""COMPUTED_VALUE"""),FALSE)</f>
        <v>0</v>
      </c>
      <c r="O15" s="20">
        <f>IFERROR(__xludf.DUMMYFUNCTION("""COMPUTED_VALUE"""),40.8126493452563)</f>
        <v>40.81264935</v>
      </c>
      <c r="P15" s="20">
        <f>IFERROR(__xludf.DUMMYFUNCTION("""COMPUTED_VALUE"""),2087469.0)</f>
        <v>2087469</v>
      </c>
      <c r="Q15" s="20">
        <f>IFERROR(__xludf.DUMMYFUNCTION("""COMPUTED_VALUE"""),5114762.0)</f>
        <v>5114762</v>
      </c>
    </row>
    <row r="16">
      <c r="A16" s="20">
        <f>IFERROR(__xludf.DUMMYFUNCTION("""COMPUTED_VALUE"""),15.0)</f>
        <v>15</v>
      </c>
      <c r="B16" s="20" t="str">
        <f>IFERROR(__xludf.DUMMYFUNCTION("""COMPUTED_VALUE"""),"3Sum")</f>
        <v>3Sum</v>
      </c>
      <c r="C16" s="20" t="str">
        <f>IFERROR(__xludf.DUMMYFUNCTION("""COMPUTED_VALUE"""),"3sum")</f>
        <v>3sum</v>
      </c>
      <c r="D16" s="20" t="b">
        <f>IFERROR(__xludf.DUMMYFUNCTION("""COMPUTED_VALUE"""),FALSE)</f>
        <v>0</v>
      </c>
      <c r="E16" s="20" t="str">
        <f>IFERROR(__xludf.DUMMYFUNCTION("""COMPUTED_VALUE"""),"Medium")</f>
        <v>Medium</v>
      </c>
      <c r="F16" s="20">
        <f>IFERROR(__xludf.DUMMYFUNCTION("""COMPUTED_VALUE"""),23248.0)</f>
        <v>23248</v>
      </c>
      <c r="G16" s="20">
        <f>IFERROR(__xludf.DUMMYFUNCTION("""COMPUTED_VALUE"""),2129.0)</f>
        <v>2129</v>
      </c>
      <c r="H16" s="20" t="str">
        <f>IFERROR(__xludf.DUMMYFUNCTION("""COMPUTED_VALUE"""),"Algorithms")</f>
        <v>Algorithms</v>
      </c>
      <c r="I16" s="20">
        <f>IFERROR(__xludf.DUMMYFUNCTION("""COMPUTED_VALUE"""),0.324)</f>
        <v>0.324</v>
      </c>
      <c r="J16" s="20">
        <f>IFERROR(__xludf.DUMMYFUNCTION("""COMPUTED_VALUE"""),15.0)</f>
        <v>15</v>
      </c>
      <c r="K16" s="20" t="b">
        <f>IFERROR(__xludf.DUMMYFUNCTION("""COMPUTED_VALUE"""),FALSE)</f>
        <v>0</v>
      </c>
      <c r="L16" s="20" t="str">
        <f>IFERROR(__xludf.DUMMYFUNCTION("""COMPUTED_VALUE"""),"Array;Two Pointers;Sorting;")</f>
        <v>Array;Two Pointers;Sorting;</v>
      </c>
      <c r="M16" s="20" t="b">
        <f>IFERROR(__xludf.DUMMYFUNCTION("""COMPUTED_VALUE"""),TRUE)</f>
        <v>1</v>
      </c>
      <c r="N16" s="20" t="b">
        <f>IFERROR(__xludf.DUMMYFUNCTION("""COMPUTED_VALUE"""),FALSE)</f>
        <v>0</v>
      </c>
      <c r="O16" s="20">
        <f>IFERROR(__xludf.DUMMYFUNCTION("""COMPUTED_VALUE"""),32.3697065748801)</f>
        <v>32.36970657</v>
      </c>
      <c r="P16" s="20">
        <f>IFERROR(__xludf.DUMMYFUNCTION("""COMPUTED_VALUE"""),2432311.0)</f>
        <v>2432311</v>
      </c>
      <c r="Q16" s="20">
        <f>IFERROR(__xludf.DUMMYFUNCTION("""COMPUTED_VALUE"""),7514169.0)</f>
        <v>7514169</v>
      </c>
    </row>
    <row r="17">
      <c r="A17" s="20">
        <f>IFERROR(__xludf.DUMMYFUNCTION("""COMPUTED_VALUE"""),16.0)</f>
        <v>16</v>
      </c>
      <c r="B17" s="20" t="str">
        <f>IFERROR(__xludf.DUMMYFUNCTION("""COMPUTED_VALUE"""),"3Sum Closest")</f>
        <v>3Sum Closest</v>
      </c>
      <c r="C17" s="20" t="str">
        <f>IFERROR(__xludf.DUMMYFUNCTION("""COMPUTED_VALUE"""),"3sum-closest")</f>
        <v>3sum-closest</v>
      </c>
      <c r="D17" s="20" t="b">
        <f>IFERROR(__xludf.DUMMYFUNCTION("""COMPUTED_VALUE"""),FALSE)</f>
        <v>0</v>
      </c>
      <c r="E17" s="20" t="str">
        <f>IFERROR(__xludf.DUMMYFUNCTION("""COMPUTED_VALUE"""),"Medium")</f>
        <v>Medium</v>
      </c>
      <c r="F17" s="20">
        <f>IFERROR(__xludf.DUMMYFUNCTION("""COMPUTED_VALUE"""),8389.0)</f>
        <v>8389</v>
      </c>
      <c r="G17" s="20">
        <f>IFERROR(__xludf.DUMMYFUNCTION("""COMPUTED_VALUE"""),462.0)</f>
        <v>462</v>
      </c>
      <c r="H17" s="20" t="str">
        <f>IFERROR(__xludf.DUMMYFUNCTION("""COMPUTED_VALUE"""),"Algorithms")</f>
        <v>Algorithms</v>
      </c>
      <c r="I17" s="20">
        <f>IFERROR(__xludf.DUMMYFUNCTION("""COMPUTED_VALUE"""),0.46)</f>
        <v>0.46</v>
      </c>
      <c r="J17" s="20">
        <f>IFERROR(__xludf.DUMMYFUNCTION("""COMPUTED_VALUE"""),16.0)</f>
        <v>16</v>
      </c>
      <c r="K17" s="20" t="b">
        <f>IFERROR(__xludf.DUMMYFUNCTION("""COMPUTED_VALUE"""),FALSE)</f>
        <v>0</v>
      </c>
      <c r="L17" s="20" t="str">
        <f>IFERROR(__xludf.DUMMYFUNCTION("""COMPUTED_VALUE"""),"Array;Two Pointers;Sorting;")</f>
        <v>Array;Two Pointers;Sorting;</v>
      </c>
      <c r="M17" s="20" t="b">
        <f>IFERROR(__xludf.DUMMYFUNCTION("""COMPUTED_VALUE"""),TRUE)</f>
        <v>1</v>
      </c>
      <c r="N17" s="20" t="b">
        <f>IFERROR(__xludf.DUMMYFUNCTION("""COMPUTED_VALUE"""),FALSE)</f>
        <v>0</v>
      </c>
      <c r="O17" s="20">
        <f>IFERROR(__xludf.DUMMYFUNCTION("""COMPUTED_VALUE"""),46.0320774593705)</f>
        <v>46.03207746</v>
      </c>
      <c r="P17" s="20">
        <f>IFERROR(__xludf.DUMMYFUNCTION("""COMPUTED_VALUE"""),972224.0)</f>
        <v>972224</v>
      </c>
      <c r="Q17" s="20">
        <f>IFERROR(__xludf.DUMMYFUNCTION("""COMPUTED_VALUE"""),2112045.0)</f>
        <v>2112045</v>
      </c>
    </row>
    <row r="18">
      <c r="A18" s="20">
        <f>IFERROR(__xludf.DUMMYFUNCTION("""COMPUTED_VALUE"""),17.0)</f>
        <v>17</v>
      </c>
      <c r="B18" s="20" t="str">
        <f>IFERROR(__xludf.DUMMYFUNCTION("""COMPUTED_VALUE"""),"Letter Combinations of a Phone Number")</f>
        <v>Letter Combinations of a Phone Number</v>
      </c>
      <c r="C18" s="20" t="str">
        <f>IFERROR(__xludf.DUMMYFUNCTION("""COMPUTED_VALUE"""),"letter-combinations-of-a-phone-number")</f>
        <v>letter-combinations-of-a-phone-number</v>
      </c>
      <c r="D18" s="20" t="b">
        <f>IFERROR(__xludf.DUMMYFUNCTION("""COMPUTED_VALUE"""),FALSE)</f>
        <v>0</v>
      </c>
      <c r="E18" s="20" t="str">
        <f>IFERROR(__xludf.DUMMYFUNCTION("""COMPUTED_VALUE"""),"Medium")</f>
        <v>Medium</v>
      </c>
      <c r="F18" s="20">
        <f>IFERROR(__xludf.DUMMYFUNCTION("""COMPUTED_VALUE"""),13635.0)</f>
        <v>13635</v>
      </c>
      <c r="G18" s="20">
        <f>IFERROR(__xludf.DUMMYFUNCTION("""COMPUTED_VALUE"""),794.0)</f>
        <v>794</v>
      </c>
      <c r="H18" s="20" t="str">
        <f>IFERROR(__xludf.DUMMYFUNCTION("""COMPUTED_VALUE"""),"Algorithms")</f>
        <v>Algorithms</v>
      </c>
      <c r="I18" s="20">
        <f>IFERROR(__xludf.DUMMYFUNCTION("""COMPUTED_VALUE"""),0.559)</f>
        <v>0.559</v>
      </c>
      <c r="J18" s="20">
        <f>IFERROR(__xludf.DUMMYFUNCTION("""COMPUTED_VALUE"""),17.0)</f>
        <v>17</v>
      </c>
      <c r="K18" s="20" t="b">
        <f>IFERROR(__xludf.DUMMYFUNCTION("""COMPUTED_VALUE"""),FALSE)</f>
        <v>0</v>
      </c>
      <c r="L18" s="20" t="str">
        <f>IFERROR(__xludf.DUMMYFUNCTION("""COMPUTED_VALUE"""),"Hash Table;String;Backtracking;")</f>
        <v>Hash Table;String;Backtracking;</v>
      </c>
      <c r="M18" s="20" t="b">
        <f>IFERROR(__xludf.DUMMYFUNCTION("""COMPUTED_VALUE"""),TRUE)</f>
        <v>1</v>
      </c>
      <c r="N18" s="20" t="b">
        <f>IFERROR(__xludf.DUMMYFUNCTION("""COMPUTED_VALUE"""),FALSE)</f>
        <v>0</v>
      </c>
      <c r="O18" s="20">
        <f>IFERROR(__xludf.DUMMYFUNCTION("""COMPUTED_VALUE"""),55.9256648842085)</f>
        <v>55.92566488</v>
      </c>
      <c r="P18" s="20">
        <f>IFERROR(__xludf.DUMMYFUNCTION("""COMPUTED_VALUE"""),1446505.0)</f>
        <v>1446505</v>
      </c>
      <c r="Q18" s="20">
        <f>IFERROR(__xludf.DUMMYFUNCTION("""COMPUTED_VALUE"""),2586483.0)</f>
        <v>2586483</v>
      </c>
    </row>
    <row r="19">
      <c r="A19" s="20">
        <f>IFERROR(__xludf.DUMMYFUNCTION("""COMPUTED_VALUE"""),18.0)</f>
        <v>18</v>
      </c>
      <c r="B19" s="20" t="str">
        <f>IFERROR(__xludf.DUMMYFUNCTION("""COMPUTED_VALUE"""),"4Sum")</f>
        <v>4Sum</v>
      </c>
      <c r="C19" s="20" t="str">
        <f>IFERROR(__xludf.DUMMYFUNCTION("""COMPUTED_VALUE"""),"4sum")</f>
        <v>4sum</v>
      </c>
      <c r="D19" s="20" t="b">
        <f>IFERROR(__xludf.DUMMYFUNCTION("""COMPUTED_VALUE"""),FALSE)</f>
        <v>0</v>
      </c>
      <c r="E19" s="20" t="str">
        <f>IFERROR(__xludf.DUMMYFUNCTION("""COMPUTED_VALUE"""),"Medium")</f>
        <v>Medium</v>
      </c>
      <c r="F19" s="20">
        <f>IFERROR(__xludf.DUMMYFUNCTION("""COMPUTED_VALUE"""),8361.0)</f>
        <v>8361</v>
      </c>
      <c r="G19" s="20">
        <f>IFERROR(__xludf.DUMMYFUNCTION("""COMPUTED_VALUE"""),973.0)</f>
        <v>973</v>
      </c>
      <c r="H19" s="20" t="str">
        <f>IFERROR(__xludf.DUMMYFUNCTION("""COMPUTED_VALUE"""),"Algorithms")</f>
        <v>Algorithms</v>
      </c>
      <c r="I19" s="20">
        <f>IFERROR(__xludf.DUMMYFUNCTION("""COMPUTED_VALUE"""),0.363)</f>
        <v>0.363</v>
      </c>
      <c r="J19" s="20">
        <f>IFERROR(__xludf.DUMMYFUNCTION("""COMPUTED_VALUE"""),18.0)</f>
        <v>18</v>
      </c>
      <c r="K19" s="20" t="b">
        <f>IFERROR(__xludf.DUMMYFUNCTION("""COMPUTED_VALUE"""),FALSE)</f>
        <v>0</v>
      </c>
      <c r="L19" s="20" t="str">
        <f>IFERROR(__xludf.DUMMYFUNCTION("""COMPUTED_VALUE"""),"Array;Two Pointers;Sorting;")</f>
        <v>Array;Two Pointers;Sorting;</v>
      </c>
      <c r="M19" s="20" t="b">
        <f>IFERROR(__xludf.DUMMYFUNCTION("""COMPUTED_VALUE"""),TRUE)</f>
        <v>1</v>
      </c>
      <c r="N19" s="20" t="b">
        <f>IFERROR(__xludf.DUMMYFUNCTION("""COMPUTED_VALUE"""),FALSE)</f>
        <v>0</v>
      </c>
      <c r="O19" s="20">
        <f>IFERROR(__xludf.DUMMYFUNCTION("""COMPUTED_VALUE"""),36.2536218994803)</f>
        <v>36.2536219</v>
      </c>
      <c r="P19" s="20">
        <f>IFERROR(__xludf.DUMMYFUNCTION("""COMPUTED_VALUE"""),688902.0)</f>
        <v>688902</v>
      </c>
      <c r="Q19" s="20">
        <f>IFERROR(__xludf.DUMMYFUNCTION("""COMPUTED_VALUE"""),1900231.0)</f>
        <v>1900231</v>
      </c>
    </row>
    <row r="20">
      <c r="A20" s="20">
        <f>IFERROR(__xludf.DUMMYFUNCTION("""COMPUTED_VALUE"""),19.0)</f>
        <v>19</v>
      </c>
      <c r="B20" s="20" t="str">
        <f>IFERROR(__xludf.DUMMYFUNCTION("""COMPUTED_VALUE"""),"Remove Nth Node From End of List")</f>
        <v>Remove Nth Node From End of List</v>
      </c>
      <c r="C20" s="20" t="str">
        <f>IFERROR(__xludf.DUMMYFUNCTION("""COMPUTED_VALUE"""),"remove-nth-node-from-end-of-list")</f>
        <v>remove-nth-node-from-end-of-list</v>
      </c>
      <c r="D20" s="20" t="b">
        <f>IFERROR(__xludf.DUMMYFUNCTION("""COMPUTED_VALUE"""),FALSE)</f>
        <v>0</v>
      </c>
      <c r="E20" s="20" t="str">
        <f>IFERROR(__xludf.DUMMYFUNCTION("""COMPUTED_VALUE"""),"Medium")</f>
        <v>Medium</v>
      </c>
      <c r="F20" s="20">
        <f>IFERROR(__xludf.DUMMYFUNCTION("""COMPUTED_VALUE"""),14262.0)</f>
        <v>14262</v>
      </c>
      <c r="G20" s="20">
        <f>IFERROR(__xludf.DUMMYFUNCTION("""COMPUTED_VALUE"""),593.0)</f>
        <v>593</v>
      </c>
      <c r="H20" s="20" t="str">
        <f>IFERROR(__xludf.DUMMYFUNCTION("""COMPUTED_VALUE"""),"Algorithms")</f>
        <v>Algorithms</v>
      </c>
      <c r="I20" s="20">
        <f>IFERROR(__xludf.DUMMYFUNCTION("""COMPUTED_VALUE"""),0.403)</f>
        <v>0.403</v>
      </c>
      <c r="J20" s="20">
        <f>IFERROR(__xludf.DUMMYFUNCTION("""COMPUTED_VALUE"""),19.0)</f>
        <v>19</v>
      </c>
      <c r="K20" s="20" t="b">
        <f>IFERROR(__xludf.DUMMYFUNCTION("""COMPUTED_VALUE"""),FALSE)</f>
        <v>0</v>
      </c>
      <c r="L20" s="20" t="str">
        <f>IFERROR(__xludf.DUMMYFUNCTION("""COMPUTED_VALUE"""),"Linked List;Two Pointers;")</f>
        <v>Linked List;Two Pointers;</v>
      </c>
      <c r="M20" s="20" t="b">
        <f>IFERROR(__xludf.DUMMYFUNCTION("""COMPUTED_VALUE"""),TRUE)</f>
        <v>1</v>
      </c>
      <c r="N20" s="20" t="b">
        <f>IFERROR(__xludf.DUMMYFUNCTION("""COMPUTED_VALUE"""),TRUE)</f>
        <v>1</v>
      </c>
      <c r="O20" s="20">
        <f>IFERROR(__xludf.DUMMYFUNCTION("""COMPUTED_VALUE"""),40.2972938685604)</f>
        <v>40.29729387</v>
      </c>
      <c r="P20" s="20">
        <f>IFERROR(__xludf.DUMMYFUNCTION("""COMPUTED_VALUE"""),1839139.0)</f>
        <v>1839139</v>
      </c>
      <c r="Q20" s="20">
        <f>IFERROR(__xludf.DUMMYFUNCTION("""COMPUTED_VALUE"""),4563943.0)</f>
        <v>4563943</v>
      </c>
    </row>
    <row r="21">
      <c r="A21" s="20">
        <f>IFERROR(__xludf.DUMMYFUNCTION("""COMPUTED_VALUE"""),20.0)</f>
        <v>20</v>
      </c>
      <c r="B21" s="20" t="str">
        <f>IFERROR(__xludf.DUMMYFUNCTION("""COMPUTED_VALUE"""),"Valid Parentheses")</f>
        <v>Valid Parentheses</v>
      </c>
      <c r="C21" s="20" t="str">
        <f>IFERROR(__xludf.DUMMYFUNCTION("""COMPUTED_VALUE"""),"valid-parentheses")</f>
        <v>valid-parentheses</v>
      </c>
      <c r="D21" s="20" t="b">
        <f>IFERROR(__xludf.DUMMYFUNCTION("""COMPUTED_VALUE"""),FALSE)</f>
        <v>0</v>
      </c>
      <c r="E21" s="20" t="str">
        <f>IFERROR(__xludf.DUMMYFUNCTION("""COMPUTED_VALUE"""),"Easy")</f>
        <v>Easy</v>
      </c>
      <c r="F21" s="20">
        <f>IFERROR(__xludf.DUMMYFUNCTION("""COMPUTED_VALUE"""),17384.0)</f>
        <v>17384</v>
      </c>
      <c r="G21" s="20">
        <f>IFERROR(__xludf.DUMMYFUNCTION("""COMPUTED_VALUE"""),938.0)</f>
        <v>938</v>
      </c>
      <c r="H21" s="20" t="str">
        <f>IFERROR(__xludf.DUMMYFUNCTION("""COMPUTED_VALUE"""),"Algorithms")</f>
        <v>Algorithms</v>
      </c>
      <c r="I21" s="20">
        <f>IFERROR(__xludf.DUMMYFUNCTION("""COMPUTED_VALUE"""),0.405)</f>
        <v>0.405</v>
      </c>
      <c r="J21" s="20">
        <f>IFERROR(__xludf.DUMMYFUNCTION("""COMPUTED_VALUE"""),20.0)</f>
        <v>20</v>
      </c>
      <c r="K21" s="20" t="b">
        <f>IFERROR(__xludf.DUMMYFUNCTION("""COMPUTED_VALUE"""),FALSE)</f>
        <v>0</v>
      </c>
      <c r="L21" s="20" t="str">
        <f>IFERROR(__xludf.DUMMYFUNCTION("""COMPUTED_VALUE"""),"String;Stack;")</f>
        <v>String;Stack;</v>
      </c>
      <c r="M21" s="20" t="b">
        <f>IFERROR(__xludf.DUMMYFUNCTION("""COMPUTED_VALUE"""),TRUE)</f>
        <v>1</v>
      </c>
      <c r="N21" s="20" t="b">
        <f>IFERROR(__xludf.DUMMYFUNCTION("""COMPUTED_VALUE"""),TRUE)</f>
        <v>1</v>
      </c>
      <c r="O21" s="20">
        <f>IFERROR(__xludf.DUMMYFUNCTION("""COMPUTED_VALUE"""),40.4991776549084)</f>
        <v>40.49917765</v>
      </c>
      <c r="P21" s="20">
        <f>IFERROR(__xludf.DUMMYFUNCTION("""COMPUTED_VALUE"""),2926543.0)</f>
        <v>2926543</v>
      </c>
      <c r="Q21" s="20">
        <f>IFERROR(__xludf.DUMMYFUNCTION("""COMPUTED_VALUE"""),7226164.0)</f>
        <v>7226164</v>
      </c>
    </row>
    <row r="22">
      <c r="A22" s="20">
        <f>IFERROR(__xludf.DUMMYFUNCTION("""COMPUTED_VALUE"""),21.0)</f>
        <v>21</v>
      </c>
      <c r="B22" s="20" t="str">
        <f>IFERROR(__xludf.DUMMYFUNCTION("""COMPUTED_VALUE"""),"Merge Two Sorted Lists")</f>
        <v>Merge Two Sorted Lists</v>
      </c>
      <c r="C22" s="20" t="str">
        <f>IFERROR(__xludf.DUMMYFUNCTION("""COMPUTED_VALUE"""),"merge-two-sorted-lists")</f>
        <v>merge-two-sorted-lists</v>
      </c>
      <c r="D22" s="20" t="b">
        <f>IFERROR(__xludf.DUMMYFUNCTION("""COMPUTED_VALUE"""),FALSE)</f>
        <v>0</v>
      </c>
      <c r="E22" s="20" t="str">
        <f>IFERROR(__xludf.DUMMYFUNCTION("""COMPUTED_VALUE"""),"Easy")</f>
        <v>Easy</v>
      </c>
      <c r="F22" s="20">
        <f>IFERROR(__xludf.DUMMYFUNCTION("""COMPUTED_VALUE"""),16530.0)</f>
        <v>16530</v>
      </c>
      <c r="G22" s="20">
        <f>IFERROR(__xludf.DUMMYFUNCTION("""COMPUTED_VALUE"""),1460.0)</f>
        <v>1460</v>
      </c>
      <c r="H22" s="20" t="str">
        <f>IFERROR(__xludf.DUMMYFUNCTION("""COMPUTED_VALUE"""),"Algorithms")</f>
        <v>Algorithms</v>
      </c>
      <c r="I22" s="20">
        <f>IFERROR(__xludf.DUMMYFUNCTION("""COMPUTED_VALUE"""),0.621)</f>
        <v>0.621</v>
      </c>
      <c r="J22" s="20">
        <f>IFERROR(__xludf.DUMMYFUNCTION("""COMPUTED_VALUE"""),21.0)</f>
        <v>21</v>
      </c>
      <c r="K22" s="20" t="b">
        <f>IFERROR(__xludf.DUMMYFUNCTION("""COMPUTED_VALUE"""),FALSE)</f>
        <v>0</v>
      </c>
      <c r="L22" s="20" t="str">
        <f>IFERROR(__xludf.DUMMYFUNCTION("""COMPUTED_VALUE"""),"Linked List;Recursion;")</f>
        <v>Linked List;Recursion;</v>
      </c>
      <c r="M22" s="20" t="b">
        <f>IFERROR(__xludf.DUMMYFUNCTION("""COMPUTED_VALUE"""),TRUE)</f>
        <v>1</v>
      </c>
      <c r="N22" s="20" t="b">
        <f>IFERROR(__xludf.DUMMYFUNCTION("""COMPUTED_VALUE"""),TRUE)</f>
        <v>1</v>
      </c>
      <c r="O22" s="20">
        <f>IFERROR(__xludf.DUMMYFUNCTION("""COMPUTED_VALUE"""),62.0668404978071)</f>
        <v>62.0668405</v>
      </c>
      <c r="P22" s="20">
        <f>IFERROR(__xludf.DUMMYFUNCTION("""COMPUTED_VALUE"""),2884442.0)</f>
        <v>2884442</v>
      </c>
      <c r="Q22" s="20">
        <f>IFERROR(__xludf.DUMMYFUNCTION("""COMPUTED_VALUE"""),4647354.0)</f>
        <v>4647354</v>
      </c>
    </row>
    <row r="23">
      <c r="A23" s="20">
        <f>IFERROR(__xludf.DUMMYFUNCTION("""COMPUTED_VALUE"""),22.0)</f>
        <v>22</v>
      </c>
      <c r="B23" s="20" t="str">
        <f>IFERROR(__xludf.DUMMYFUNCTION("""COMPUTED_VALUE"""),"Generate Parentheses")</f>
        <v>Generate Parentheses</v>
      </c>
      <c r="C23" s="20" t="str">
        <f>IFERROR(__xludf.DUMMYFUNCTION("""COMPUTED_VALUE"""),"generate-parentheses")</f>
        <v>generate-parentheses</v>
      </c>
      <c r="D23" s="20" t="b">
        <f>IFERROR(__xludf.DUMMYFUNCTION("""COMPUTED_VALUE"""),FALSE)</f>
        <v>0</v>
      </c>
      <c r="E23" s="20" t="str">
        <f>IFERROR(__xludf.DUMMYFUNCTION("""COMPUTED_VALUE"""),"Medium")</f>
        <v>Medium</v>
      </c>
      <c r="F23" s="20">
        <f>IFERROR(__xludf.DUMMYFUNCTION("""COMPUTED_VALUE"""),16415.0)</f>
        <v>16415</v>
      </c>
      <c r="G23" s="20">
        <f>IFERROR(__xludf.DUMMYFUNCTION("""COMPUTED_VALUE"""),640.0)</f>
        <v>640</v>
      </c>
      <c r="H23" s="20" t="str">
        <f>IFERROR(__xludf.DUMMYFUNCTION("""COMPUTED_VALUE"""),"Algorithms")</f>
        <v>Algorithms</v>
      </c>
      <c r="I23" s="20">
        <f>IFERROR(__xludf.DUMMYFUNCTION("""COMPUTED_VALUE"""),0.721)</f>
        <v>0.721</v>
      </c>
      <c r="J23" s="20">
        <f>IFERROR(__xludf.DUMMYFUNCTION("""COMPUTED_VALUE"""),22.0)</f>
        <v>22</v>
      </c>
      <c r="K23" s="20" t="b">
        <f>IFERROR(__xludf.DUMMYFUNCTION("""COMPUTED_VALUE"""),FALSE)</f>
        <v>0</v>
      </c>
      <c r="L23" s="20" t="str">
        <f>IFERROR(__xludf.DUMMYFUNCTION("""COMPUTED_VALUE"""),"String;Dynamic Programming;Backtracking;")</f>
        <v>String;Dynamic Programming;Backtracking;</v>
      </c>
      <c r="M23" s="20" t="b">
        <f>IFERROR(__xludf.DUMMYFUNCTION("""COMPUTED_VALUE"""),TRUE)</f>
        <v>1</v>
      </c>
      <c r="N23" s="20" t="b">
        <f>IFERROR(__xludf.DUMMYFUNCTION("""COMPUTED_VALUE"""),FALSE)</f>
        <v>0</v>
      </c>
      <c r="O23" s="20">
        <f>IFERROR(__xludf.DUMMYFUNCTION("""COMPUTED_VALUE"""),72.1095062349374)</f>
        <v>72.10950623</v>
      </c>
      <c r="P23" s="20">
        <f>IFERROR(__xludf.DUMMYFUNCTION("""COMPUTED_VALUE"""),1291663.0)</f>
        <v>1291663</v>
      </c>
      <c r="Q23" s="20">
        <f>IFERROR(__xludf.DUMMYFUNCTION("""COMPUTED_VALUE"""),1791253.0)</f>
        <v>1791253</v>
      </c>
    </row>
    <row r="24">
      <c r="A24" s="20">
        <f>IFERROR(__xludf.DUMMYFUNCTION("""COMPUTED_VALUE"""),23.0)</f>
        <v>23</v>
      </c>
      <c r="B24" s="20" t="str">
        <f>IFERROR(__xludf.DUMMYFUNCTION("""COMPUTED_VALUE"""),"Merge k Sorted Lists")</f>
        <v>Merge k Sorted Lists</v>
      </c>
      <c r="C24" s="20" t="str">
        <f>IFERROR(__xludf.DUMMYFUNCTION("""COMPUTED_VALUE"""),"merge-k-sorted-lists")</f>
        <v>merge-k-sorted-lists</v>
      </c>
      <c r="D24" s="20" t="b">
        <f>IFERROR(__xludf.DUMMYFUNCTION("""COMPUTED_VALUE"""),FALSE)</f>
        <v>0</v>
      </c>
      <c r="E24" s="20" t="str">
        <f>IFERROR(__xludf.DUMMYFUNCTION("""COMPUTED_VALUE"""),"Hard")</f>
        <v>Hard</v>
      </c>
      <c r="F24" s="20">
        <f>IFERROR(__xludf.DUMMYFUNCTION("""COMPUTED_VALUE"""),15125.0)</f>
        <v>15125</v>
      </c>
      <c r="G24" s="20">
        <f>IFERROR(__xludf.DUMMYFUNCTION("""COMPUTED_VALUE"""),571.0)</f>
        <v>571</v>
      </c>
      <c r="H24" s="20" t="str">
        <f>IFERROR(__xludf.DUMMYFUNCTION("""COMPUTED_VALUE"""),"Algorithms")</f>
        <v>Algorithms</v>
      </c>
      <c r="I24" s="20">
        <f>IFERROR(__xludf.DUMMYFUNCTION("""COMPUTED_VALUE"""),0.486)</f>
        <v>0.486</v>
      </c>
      <c r="J24" s="20">
        <f>IFERROR(__xludf.DUMMYFUNCTION("""COMPUTED_VALUE"""),23.0)</f>
        <v>23</v>
      </c>
      <c r="K24" s="20" t="b">
        <f>IFERROR(__xludf.DUMMYFUNCTION("""COMPUTED_VALUE"""),FALSE)</f>
        <v>0</v>
      </c>
      <c r="L24" s="20" t="str">
        <f>IFERROR(__xludf.DUMMYFUNCTION("""COMPUTED_VALUE"""),"Linked List;Divide and Conquer;Heap (Priority Queue);Merge Sort;")</f>
        <v>Linked List;Divide and Conquer;Heap (Priority Queue);Merge Sort;</v>
      </c>
      <c r="M24" s="20" t="b">
        <f>IFERROR(__xludf.DUMMYFUNCTION("""COMPUTED_VALUE"""),TRUE)</f>
        <v>1</v>
      </c>
      <c r="N24" s="20" t="b">
        <f>IFERROR(__xludf.DUMMYFUNCTION("""COMPUTED_VALUE"""),FALSE)</f>
        <v>0</v>
      </c>
      <c r="O24" s="20">
        <f>IFERROR(__xludf.DUMMYFUNCTION("""COMPUTED_VALUE"""),48.6368776402622)</f>
        <v>48.63687764</v>
      </c>
      <c r="P24" s="20">
        <f>IFERROR(__xludf.DUMMYFUNCTION("""COMPUTED_VALUE"""),1494182.0)</f>
        <v>1494182</v>
      </c>
      <c r="Q24" s="20">
        <f>IFERROR(__xludf.DUMMYFUNCTION("""COMPUTED_VALUE"""),3072126.0)</f>
        <v>3072126</v>
      </c>
    </row>
    <row r="25">
      <c r="A25" s="20">
        <f>IFERROR(__xludf.DUMMYFUNCTION("""COMPUTED_VALUE"""),24.0)</f>
        <v>24</v>
      </c>
      <c r="B25" s="20" t="str">
        <f>IFERROR(__xludf.DUMMYFUNCTION("""COMPUTED_VALUE"""),"Swap Nodes in Pairs")</f>
        <v>Swap Nodes in Pairs</v>
      </c>
      <c r="C25" s="20" t="str">
        <f>IFERROR(__xludf.DUMMYFUNCTION("""COMPUTED_VALUE"""),"swap-nodes-in-pairs")</f>
        <v>swap-nodes-in-pairs</v>
      </c>
      <c r="D25" s="20" t="b">
        <f>IFERROR(__xludf.DUMMYFUNCTION("""COMPUTED_VALUE"""),FALSE)</f>
        <v>0</v>
      </c>
      <c r="E25" s="20" t="str">
        <f>IFERROR(__xludf.DUMMYFUNCTION("""COMPUTED_VALUE"""),"Medium")</f>
        <v>Medium</v>
      </c>
      <c r="F25" s="20">
        <f>IFERROR(__xludf.DUMMYFUNCTION("""COMPUTED_VALUE"""),8820.0)</f>
        <v>8820</v>
      </c>
      <c r="G25" s="20">
        <f>IFERROR(__xludf.DUMMYFUNCTION("""COMPUTED_VALUE"""),346.0)</f>
        <v>346</v>
      </c>
      <c r="H25" s="20" t="str">
        <f>IFERROR(__xludf.DUMMYFUNCTION("""COMPUTED_VALUE"""),"Algorithms")</f>
        <v>Algorithms</v>
      </c>
      <c r="I25" s="20">
        <f>IFERROR(__xludf.DUMMYFUNCTION("""COMPUTED_VALUE"""),0.608)</f>
        <v>0.608</v>
      </c>
      <c r="J25" s="20">
        <f>IFERROR(__xludf.DUMMYFUNCTION("""COMPUTED_VALUE"""),24.0)</f>
        <v>24</v>
      </c>
      <c r="K25" s="20" t="b">
        <f>IFERROR(__xludf.DUMMYFUNCTION("""COMPUTED_VALUE"""),FALSE)</f>
        <v>0</v>
      </c>
      <c r="L25" s="20" t="str">
        <f>IFERROR(__xludf.DUMMYFUNCTION("""COMPUTED_VALUE"""),"Linked List;Recursion;")</f>
        <v>Linked List;Recursion;</v>
      </c>
      <c r="M25" s="20" t="b">
        <f>IFERROR(__xludf.DUMMYFUNCTION("""COMPUTED_VALUE"""),TRUE)</f>
        <v>1</v>
      </c>
      <c r="N25" s="20" t="b">
        <f>IFERROR(__xludf.DUMMYFUNCTION("""COMPUTED_VALUE"""),FALSE)</f>
        <v>0</v>
      </c>
      <c r="O25" s="20">
        <f>IFERROR(__xludf.DUMMYFUNCTION("""COMPUTED_VALUE"""),60.7522451198536)</f>
        <v>60.75224512</v>
      </c>
      <c r="P25" s="20">
        <f>IFERROR(__xludf.DUMMYFUNCTION("""COMPUTED_VALUE"""),1022509.0)</f>
        <v>1022509</v>
      </c>
      <c r="Q25" s="20">
        <f>IFERROR(__xludf.DUMMYFUNCTION("""COMPUTED_VALUE"""),1683086.0)</f>
        <v>1683086</v>
      </c>
    </row>
    <row r="26">
      <c r="A26" s="20">
        <f>IFERROR(__xludf.DUMMYFUNCTION("""COMPUTED_VALUE"""),25.0)</f>
        <v>25</v>
      </c>
      <c r="B26" s="20" t="str">
        <f>IFERROR(__xludf.DUMMYFUNCTION("""COMPUTED_VALUE"""),"Reverse Nodes in k-Group")</f>
        <v>Reverse Nodes in k-Group</v>
      </c>
      <c r="C26" s="20" t="str">
        <f>IFERROR(__xludf.DUMMYFUNCTION("""COMPUTED_VALUE"""),"reverse-nodes-in-k-group")</f>
        <v>reverse-nodes-in-k-group</v>
      </c>
      <c r="D26" s="20" t="b">
        <f>IFERROR(__xludf.DUMMYFUNCTION("""COMPUTED_VALUE"""),FALSE)</f>
        <v>0</v>
      </c>
      <c r="E26" s="20" t="str">
        <f>IFERROR(__xludf.DUMMYFUNCTION("""COMPUTED_VALUE"""),"Hard")</f>
        <v>Hard</v>
      </c>
      <c r="F26" s="20">
        <f>IFERROR(__xludf.DUMMYFUNCTION("""COMPUTED_VALUE"""),10000.0)</f>
        <v>10000</v>
      </c>
      <c r="G26" s="20">
        <f>IFERROR(__xludf.DUMMYFUNCTION("""COMPUTED_VALUE"""),558.0)</f>
        <v>558</v>
      </c>
      <c r="H26" s="20" t="str">
        <f>IFERROR(__xludf.DUMMYFUNCTION("""COMPUTED_VALUE"""),"Algorithms")</f>
        <v>Algorithms</v>
      </c>
      <c r="I26" s="20">
        <f>IFERROR(__xludf.DUMMYFUNCTION("""COMPUTED_VALUE"""),0.54)</f>
        <v>0.54</v>
      </c>
      <c r="J26" s="20">
        <f>IFERROR(__xludf.DUMMYFUNCTION("""COMPUTED_VALUE"""),25.0)</f>
        <v>25</v>
      </c>
      <c r="K26" s="20" t="b">
        <f>IFERROR(__xludf.DUMMYFUNCTION("""COMPUTED_VALUE"""),FALSE)</f>
        <v>0</v>
      </c>
      <c r="L26" s="20" t="str">
        <f>IFERROR(__xludf.DUMMYFUNCTION("""COMPUTED_VALUE"""),"Linked List;Recursion;")</f>
        <v>Linked List;Recursion;</v>
      </c>
      <c r="M26" s="20" t="b">
        <f>IFERROR(__xludf.DUMMYFUNCTION("""COMPUTED_VALUE"""),TRUE)</f>
        <v>1</v>
      </c>
      <c r="N26" s="20" t="b">
        <f>IFERROR(__xludf.DUMMYFUNCTION("""COMPUTED_VALUE"""),FALSE)</f>
        <v>0</v>
      </c>
      <c r="O26" s="20">
        <f>IFERROR(__xludf.DUMMYFUNCTION("""COMPUTED_VALUE"""),53.9671263066327)</f>
        <v>53.96712631</v>
      </c>
      <c r="P26" s="20">
        <f>IFERROR(__xludf.DUMMYFUNCTION("""COMPUTED_VALUE"""),639618.0)</f>
        <v>639618</v>
      </c>
      <c r="Q26" s="20">
        <f>IFERROR(__xludf.DUMMYFUNCTION("""COMPUTED_VALUE"""),1185201.0)</f>
        <v>1185201</v>
      </c>
    </row>
    <row r="27">
      <c r="A27" s="20">
        <f>IFERROR(__xludf.DUMMYFUNCTION("""COMPUTED_VALUE"""),26.0)</f>
        <v>26</v>
      </c>
      <c r="B27" s="20" t="str">
        <f>IFERROR(__xludf.DUMMYFUNCTION("""COMPUTED_VALUE"""),"Remove Duplicates from Sorted Array")</f>
        <v>Remove Duplicates from Sorted Array</v>
      </c>
      <c r="C27" s="20" t="str">
        <f>IFERROR(__xludf.DUMMYFUNCTION("""COMPUTED_VALUE"""),"remove-duplicates-from-sorted-array")</f>
        <v>remove-duplicates-from-sorted-array</v>
      </c>
      <c r="D27" s="20" t="b">
        <f>IFERROR(__xludf.DUMMYFUNCTION("""COMPUTED_VALUE"""),FALSE)</f>
        <v>0</v>
      </c>
      <c r="E27" s="20" t="str">
        <f>IFERROR(__xludf.DUMMYFUNCTION("""COMPUTED_VALUE"""),"Easy")</f>
        <v>Easy</v>
      </c>
      <c r="F27" s="20">
        <f>IFERROR(__xludf.DUMMYFUNCTION("""COMPUTED_VALUE"""),9649.0)</f>
        <v>9649</v>
      </c>
      <c r="G27" s="20">
        <f>IFERROR(__xludf.DUMMYFUNCTION("""COMPUTED_VALUE"""),13216.0)</f>
        <v>13216</v>
      </c>
      <c r="H27" s="20" t="str">
        <f>IFERROR(__xludf.DUMMYFUNCTION("""COMPUTED_VALUE"""),"Algorithms")</f>
        <v>Algorithms</v>
      </c>
      <c r="I27" s="20">
        <f>IFERROR(__xludf.DUMMYFUNCTION("""COMPUTED_VALUE"""),0.511)</f>
        <v>0.511</v>
      </c>
      <c r="J27" s="20">
        <f>IFERROR(__xludf.DUMMYFUNCTION("""COMPUTED_VALUE"""),26.0)</f>
        <v>26</v>
      </c>
      <c r="K27" s="20" t="b">
        <f>IFERROR(__xludf.DUMMYFUNCTION("""COMPUTED_VALUE"""),FALSE)</f>
        <v>0</v>
      </c>
      <c r="L27" s="20" t="str">
        <f>IFERROR(__xludf.DUMMYFUNCTION("""COMPUTED_VALUE"""),"Array;Two Pointers;")</f>
        <v>Array;Two Pointers;</v>
      </c>
      <c r="M27" s="20" t="b">
        <f>IFERROR(__xludf.DUMMYFUNCTION("""COMPUTED_VALUE"""),TRUE)</f>
        <v>1</v>
      </c>
      <c r="N27" s="20" t="b">
        <f>IFERROR(__xludf.DUMMYFUNCTION("""COMPUTED_VALUE"""),FALSE)</f>
        <v>0</v>
      </c>
      <c r="O27" s="20">
        <f>IFERROR(__xludf.DUMMYFUNCTION("""COMPUTED_VALUE"""),51.0766385794008)</f>
        <v>51.07663858</v>
      </c>
      <c r="P27" s="20">
        <f>IFERROR(__xludf.DUMMYFUNCTION("""COMPUTED_VALUE"""),2699568.0)</f>
        <v>2699568</v>
      </c>
      <c r="Q27" s="20">
        <f>IFERROR(__xludf.DUMMYFUNCTION("""COMPUTED_VALUE"""),5285357.0)</f>
        <v>5285357</v>
      </c>
    </row>
    <row r="28">
      <c r="A28" s="20">
        <f>IFERROR(__xludf.DUMMYFUNCTION("""COMPUTED_VALUE"""),27.0)</f>
        <v>27</v>
      </c>
      <c r="B28" s="20" t="str">
        <f>IFERROR(__xludf.DUMMYFUNCTION("""COMPUTED_VALUE"""),"Remove Element")</f>
        <v>Remove Element</v>
      </c>
      <c r="C28" s="20" t="str">
        <f>IFERROR(__xludf.DUMMYFUNCTION("""COMPUTED_VALUE"""),"remove-element")</f>
        <v>remove-element</v>
      </c>
      <c r="D28" s="20" t="b">
        <f>IFERROR(__xludf.DUMMYFUNCTION("""COMPUTED_VALUE"""),FALSE)</f>
        <v>0</v>
      </c>
      <c r="E28" s="20" t="str">
        <f>IFERROR(__xludf.DUMMYFUNCTION("""COMPUTED_VALUE"""),"Easy")</f>
        <v>Easy</v>
      </c>
      <c r="F28" s="20">
        <f>IFERROR(__xludf.DUMMYFUNCTION("""COMPUTED_VALUE"""),5000.0)</f>
        <v>5000</v>
      </c>
      <c r="G28" s="20">
        <f>IFERROR(__xludf.DUMMYFUNCTION("""COMPUTED_VALUE"""),6699.0)</f>
        <v>6699</v>
      </c>
      <c r="H28" s="20" t="str">
        <f>IFERROR(__xludf.DUMMYFUNCTION("""COMPUTED_VALUE"""),"Algorithms")</f>
        <v>Algorithms</v>
      </c>
      <c r="I28" s="20">
        <f>IFERROR(__xludf.DUMMYFUNCTION("""COMPUTED_VALUE"""),0.524)</f>
        <v>0.524</v>
      </c>
      <c r="J28" s="20">
        <f>IFERROR(__xludf.DUMMYFUNCTION("""COMPUTED_VALUE"""),27.0)</f>
        <v>27</v>
      </c>
      <c r="K28" s="20" t="b">
        <f>IFERROR(__xludf.DUMMYFUNCTION("""COMPUTED_VALUE"""),FALSE)</f>
        <v>0</v>
      </c>
      <c r="L28" s="20" t="str">
        <f>IFERROR(__xludf.DUMMYFUNCTION("""COMPUTED_VALUE"""),"Array;Two Pointers;")</f>
        <v>Array;Two Pointers;</v>
      </c>
      <c r="M28" s="20" t="b">
        <f>IFERROR(__xludf.DUMMYFUNCTION("""COMPUTED_VALUE"""),TRUE)</f>
        <v>1</v>
      </c>
      <c r="N28" s="20" t="b">
        <f>IFERROR(__xludf.DUMMYFUNCTION("""COMPUTED_VALUE"""),TRUE)</f>
        <v>1</v>
      </c>
      <c r="O28" s="20">
        <f>IFERROR(__xludf.DUMMYFUNCTION("""COMPUTED_VALUE"""),52.4249055960264)</f>
        <v>52.4249056</v>
      </c>
      <c r="P28" s="20">
        <f>IFERROR(__xludf.DUMMYFUNCTION("""COMPUTED_VALUE"""),1604732.0)</f>
        <v>1604732</v>
      </c>
      <c r="Q28" s="20">
        <f>IFERROR(__xludf.DUMMYFUNCTION("""COMPUTED_VALUE"""),3061020.0)</f>
        <v>3061020</v>
      </c>
    </row>
    <row r="29">
      <c r="A29" s="20">
        <f>IFERROR(__xludf.DUMMYFUNCTION("""COMPUTED_VALUE"""),28.0)</f>
        <v>28</v>
      </c>
      <c r="B29" s="20" t="str">
        <f>IFERROR(__xludf.DUMMYFUNCTION("""COMPUTED_VALUE"""),"Find the Index of the First Occurrence in a String")</f>
        <v>Find the Index of the First Occurrence in a String</v>
      </c>
      <c r="C29" s="20" t="str">
        <f>IFERROR(__xludf.DUMMYFUNCTION("""COMPUTED_VALUE"""),"find-the-index-of-the-first-occurrence-in-a-string")</f>
        <v>find-the-index-of-the-first-occurrence-in-a-string</v>
      </c>
      <c r="D29" s="20" t="b">
        <f>IFERROR(__xludf.DUMMYFUNCTION("""COMPUTED_VALUE"""),FALSE)</f>
        <v>0</v>
      </c>
      <c r="E29" s="20" t="str">
        <f>IFERROR(__xludf.DUMMYFUNCTION("""COMPUTED_VALUE"""),"Medium")</f>
        <v>Medium</v>
      </c>
      <c r="F29" s="20">
        <f>IFERROR(__xludf.DUMMYFUNCTION("""COMPUTED_VALUE"""),1168.0)</f>
        <v>1168</v>
      </c>
      <c r="G29" s="20">
        <f>IFERROR(__xludf.DUMMYFUNCTION("""COMPUTED_VALUE"""),89.0)</f>
        <v>89</v>
      </c>
      <c r="H29" s="20" t="str">
        <f>IFERROR(__xludf.DUMMYFUNCTION("""COMPUTED_VALUE"""),"Algorithms")</f>
        <v>Algorithms</v>
      </c>
      <c r="I29" s="20">
        <f>IFERROR(__xludf.DUMMYFUNCTION("""COMPUTED_VALUE"""),0.378)</f>
        <v>0.378</v>
      </c>
      <c r="J29" s="20">
        <f>IFERROR(__xludf.DUMMYFUNCTION("""COMPUTED_VALUE"""),28.0)</f>
        <v>28</v>
      </c>
      <c r="K29" s="20" t="b">
        <f>IFERROR(__xludf.DUMMYFUNCTION("""COMPUTED_VALUE"""),FALSE)</f>
        <v>0</v>
      </c>
      <c r="L29" s="20" t="str">
        <f>IFERROR(__xludf.DUMMYFUNCTION("""COMPUTED_VALUE"""),"Two Pointers;String;String Matching;")</f>
        <v>Two Pointers;String;String Matching;</v>
      </c>
      <c r="M29" s="20" t="b">
        <f>IFERROR(__xludf.DUMMYFUNCTION("""COMPUTED_VALUE"""),FALSE)</f>
        <v>0</v>
      </c>
      <c r="N29" s="20" t="b">
        <f>IFERROR(__xludf.DUMMYFUNCTION("""COMPUTED_VALUE"""),FALSE)</f>
        <v>0</v>
      </c>
      <c r="O29" s="20">
        <f>IFERROR(__xludf.DUMMYFUNCTION("""COMPUTED_VALUE"""),37.8106170325796)</f>
        <v>37.81061703</v>
      </c>
      <c r="P29" s="20">
        <f>IFERROR(__xludf.DUMMYFUNCTION("""COMPUTED_VALUE"""),1497475.0)</f>
        <v>1497475</v>
      </c>
      <c r="Q29" s="20">
        <f>IFERROR(__xludf.DUMMYFUNCTION("""COMPUTED_VALUE"""),3960482.0)</f>
        <v>3960482</v>
      </c>
    </row>
    <row r="30">
      <c r="A30" s="20">
        <f>IFERROR(__xludf.DUMMYFUNCTION("""COMPUTED_VALUE"""),29.0)</f>
        <v>29</v>
      </c>
      <c r="B30" s="20" t="str">
        <f>IFERROR(__xludf.DUMMYFUNCTION("""COMPUTED_VALUE"""),"Divide Two Integers")</f>
        <v>Divide Two Integers</v>
      </c>
      <c r="C30" s="20" t="str">
        <f>IFERROR(__xludf.DUMMYFUNCTION("""COMPUTED_VALUE"""),"divide-two-integers")</f>
        <v>divide-two-integers</v>
      </c>
      <c r="D30" s="20" t="b">
        <f>IFERROR(__xludf.DUMMYFUNCTION("""COMPUTED_VALUE"""),FALSE)</f>
        <v>0</v>
      </c>
      <c r="E30" s="20" t="str">
        <f>IFERROR(__xludf.DUMMYFUNCTION("""COMPUTED_VALUE"""),"Medium")</f>
        <v>Medium</v>
      </c>
      <c r="F30" s="20">
        <f>IFERROR(__xludf.DUMMYFUNCTION("""COMPUTED_VALUE"""),3804.0)</f>
        <v>3804</v>
      </c>
      <c r="G30" s="20">
        <f>IFERROR(__xludf.DUMMYFUNCTION("""COMPUTED_VALUE"""),12367.0)</f>
        <v>12367</v>
      </c>
      <c r="H30" s="20" t="str">
        <f>IFERROR(__xludf.DUMMYFUNCTION("""COMPUTED_VALUE"""),"Algorithms")</f>
        <v>Algorithms</v>
      </c>
      <c r="I30" s="20">
        <f>IFERROR(__xludf.DUMMYFUNCTION("""COMPUTED_VALUE"""),0.173)</f>
        <v>0.173</v>
      </c>
      <c r="J30" s="20">
        <f>IFERROR(__xludf.DUMMYFUNCTION("""COMPUTED_VALUE"""),29.0)</f>
        <v>29</v>
      </c>
      <c r="K30" s="20" t="b">
        <f>IFERROR(__xludf.DUMMYFUNCTION("""COMPUTED_VALUE"""),FALSE)</f>
        <v>0</v>
      </c>
      <c r="L30" s="20" t="str">
        <f>IFERROR(__xludf.DUMMYFUNCTION("""COMPUTED_VALUE"""),"Math;Bit Manipulation;")</f>
        <v>Math;Bit Manipulation;</v>
      </c>
      <c r="M30" s="20" t="b">
        <f>IFERROR(__xludf.DUMMYFUNCTION("""COMPUTED_VALUE"""),TRUE)</f>
        <v>1</v>
      </c>
      <c r="N30" s="20" t="b">
        <f>IFERROR(__xludf.DUMMYFUNCTION("""COMPUTED_VALUE"""),FALSE)</f>
        <v>0</v>
      </c>
      <c r="O30" s="20">
        <f>IFERROR(__xludf.DUMMYFUNCTION("""COMPUTED_VALUE"""),17.2707777491982)</f>
        <v>17.27077775</v>
      </c>
      <c r="P30" s="20">
        <f>IFERROR(__xludf.DUMMYFUNCTION("""COMPUTED_VALUE"""),567370.0)</f>
        <v>567370</v>
      </c>
      <c r="Q30" s="20">
        <f>IFERROR(__xludf.DUMMYFUNCTION("""COMPUTED_VALUE"""),3285143.0)</f>
        <v>3285143</v>
      </c>
    </row>
    <row r="31">
      <c r="A31" s="20">
        <f>IFERROR(__xludf.DUMMYFUNCTION("""COMPUTED_VALUE"""),30.0)</f>
        <v>30</v>
      </c>
      <c r="B31" s="20" t="str">
        <f>IFERROR(__xludf.DUMMYFUNCTION("""COMPUTED_VALUE"""),"Substring with Concatenation of All Words")</f>
        <v>Substring with Concatenation of All Words</v>
      </c>
      <c r="C31" s="20" t="str">
        <f>IFERROR(__xludf.DUMMYFUNCTION("""COMPUTED_VALUE"""),"substring-with-concatenation-of-all-words")</f>
        <v>substring-with-concatenation-of-all-words</v>
      </c>
      <c r="D31" s="20" t="b">
        <f>IFERROR(__xludf.DUMMYFUNCTION("""COMPUTED_VALUE"""),FALSE)</f>
        <v>0</v>
      </c>
      <c r="E31" s="20" t="str">
        <f>IFERROR(__xludf.DUMMYFUNCTION("""COMPUTED_VALUE"""),"Hard")</f>
        <v>Hard</v>
      </c>
      <c r="F31" s="20">
        <f>IFERROR(__xludf.DUMMYFUNCTION("""COMPUTED_VALUE"""),470.0)</f>
        <v>470</v>
      </c>
      <c r="G31" s="20">
        <f>IFERROR(__xludf.DUMMYFUNCTION("""COMPUTED_VALUE"""),26.0)</f>
        <v>26</v>
      </c>
      <c r="H31" s="20" t="str">
        <f>IFERROR(__xludf.DUMMYFUNCTION("""COMPUTED_VALUE"""),"Algorithms")</f>
        <v>Algorithms</v>
      </c>
      <c r="I31" s="20">
        <f>IFERROR(__xludf.DUMMYFUNCTION("""COMPUTED_VALUE"""),0.31)</f>
        <v>0.31</v>
      </c>
      <c r="J31" s="20">
        <f>IFERROR(__xludf.DUMMYFUNCTION("""COMPUTED_VALUE"""),30.0)</f>
        <v>30</v>
      </c>
      <c r="K31" s="20" t="b">
        <f>IFERROR(__xludf.DUMMYFUNCTION("""COMPUTED_VALUE"""),FALSE)</f>
        <v>0</v>
      </c>
      <c r="L31" s="20" t="str">
        <f>IFERROR(__xludf.DUMMYFUNCTION("""COMPUTED_VALUE"""),"Hash Table;String;Sliding Window;")</f>
        <v>Hash Table;String;Sliding Window;</v>
      </c>
      <c r="M31" s="20" t="b">
        <f>IFERROR(__xludf.DUMMYFUNCTION("""COMPUTED_VALUE"""),TRUE)</f>
        <v>1</v>
      </c>
      <c r="N31" s="20" t="b">
        <f>IFERROR(__xludf.DUMMYFUNCTION("""COMPUTED_VALUE"""),TRUE)</f>
        <v>1</v>
      </c>
      <c r="O31" s="20">
        <f>IFERROR(__xludf.DUMMYFUNCTION("""COMPUTED_VALUE"""),31.01164974581)</f>
        <v>31.01164975</v>
      </c>
      <c r="P31" s="20">
        <f>IFERROR(__xludf.DUMMYFUNCTION("""COMPUTED_VALUE"""),328915.0)</f>
        <v>328915</v>
      </c>
      <c r="Q31" s="20">
        <f>IFERROR(__xludf.DUMMYFUNCTION("""COMPUTED_VALUE"""),1060622.0)</f>
        <v>1060622</v>
      </c>
    </row>
    <row r="32">
      <c r="A32" s="20">
        <f>IFERROR(__xludf.DUMMYFUNCTION("""COMPUTED_VALUE"""),31.0)</f>
        <v>31</v>
      </c>
      <c r="B32" s="20" t="str">
        <f>IFERROR(__xludf.DUMMYFUNCTION("""COMPUTED_VALUE"""),"Next Permutation")</f>
        <v>Next Permutation</v>
      </c>
      <c r="C32" s="20" t="str">
        <f>IFERROR(__xludf.DUMMYFUNCTION("""COMPUTED_VALUE"""),"next-permutation")</f>
        <v>next-permutation</v>
      </c>
      <c r="D32" s="20" t="b">
        <f>IFERROR(__xludf.DUMMYFUNCTION("""COMPUTED_VALUE"""),FALSE)</f>
        <v>0</v>
      </c>
      <c r="E32" s="20" t="str">
        <f>IFERROR(__xludf.DUMMYFUNCTION("""COMPUTED_VALUE"""),"Medium")</f>
        <v>Medium</v>
      </c>
      <c r="F32" s="20">
        <f>IFERROR(__xludf.DUMMYFUNCTION("""COMPUTED_VALUE"""),13919.0)</f>
        <v>13919</v>
      </c>
      <c r="G32" s="20">
        <f>IFERROR(__xludf.DUMMYFUNCTION("""COMPUTED_VALUE"""),3947.0)</f>
        <v>3947</v>
      </c>
      <c r="H32" s="20" t="str">
        <f>IFERROR(__xludf.DUMMYFUNCTION("""COMPUTED_VALUE"""),"Algorithms")</f>
        <v>Algorithms</v>
      </c>
      <c r="I32" s="20">
        <f>IFERROR(__xludf.DUMMYFUNCTION("""COMPUTED_VALUE"""),0.372)</f>
        <v>0.372</v>
      </c>
      <c r="J32" s="20">
        <f>IFERROR(__xludf.DUMMYFUNCTION("""COMPUTED_VALUE"""),31.0)</f>
        <v>31</v>
      </c>
      <c r="K32" s="20" t="b">
        <f>IFERROR(__xludf.DUMMYFUNCTION("""COMPUTED_VALUE"""),FALSE)</f>
        <v>0</v>
      </c>
      <c r="L32" s="20" t="str">
        <f>IFERROR(__xludf.DUMMYFUNCTION("""COMPUTED_VALUE"""),"Array;Two Pointers;")</f>
        <v>Array;Two Pointers;</v>
      </c>
      <c r="M32" s="20" t="b">
        <f>IFERROR(__xludf.DUMMYFUNCTION("""COMPUTED_VALUE"""),TRUE)</f>
        <v>1</v>
      </c>
      <c r="N32" s="20" t="b">
        <f>IFERROR(__xludf.DUMMYFUNCTION("""COMPUTED_VALUE"""),FALSE)</f>
        <v>0</v>
      </c>
      <c r="O32" s="20">
        <f>IFERROR(__xludf.DUMMYFUNCTION("""COMPUTED_VALUE"""),37.247275213265)</f>
        <v>37.24727521</v>
      </c>
      <c r="P32" s="20">
        <f>IFERROR(__xludf.DUMMYFUNCTION("""COMPUTED_VALUE"""),968686.0)</f>
        <v>968686</v>
      </c>
      <c r="Q32" s="20">
        <f>IFERROR(__xludf.DUMMYFUNCTION("""COMPUTED_VALUE"""),2600725.0)</f>
        <v>2600725</v>
      </c>
    </row>
    <row r="33">
      <c r="A33" s="20">
        <f>IFERROR(__xludf.DUMMYFUNCTION("""COMPUTED_VALUE"""),32.0)</f>
        <v>32</v>
      </c>
      <c r="B33" s="20" t="str">
        <f>IFERROR(__xludf.DUMMYFUNCTION("""COMPUTED_VALUE"""),"Longest Valid Parentheses")</f>
        <v>Longest Valid Parentheses</v>
      </c>
      <c r="C33" s="20" t="str">
        <f>IFERROR(__xludf.DUMMYFUNCTION("""COMPUTED_VALUE"""),"longest-valid-parentheses")</f>
        <v>longest-valid-parentheses</v>
      </c>
      <c r="D33" s="20" t="b">
        <f>IFERROR(__xludf.DUMMYFUNCTION("""COMPUTED_VALUE"""),FALSE)</f>
        <v>0</v>
      </c>
      <c r="E33" s="20" t="str">
        <f>IFERROR(__xludf.DUMMYFUNCTION("""COMPUTED_VALUE"""),"Hard")</f>
        <v>Hard</v>
      </c>
      <c r="F33" s="20">
        <f>IFERROR(__xludf.DUMMYFUNCTION("""COMPUTED_VALUE"""),10292.0)</f>
        <v>10292</v>
      </c>
      <c r="G33" s="20">
        <f>IFERROR(__xludf.DUMMYFUNCTION("""COMPUTED_VALUE"""),326.0)</f>
        <v>326</v>
      </c>
      <c r="H33" s="20" t="str">
        <f>IFERROR(__xludf.DUMMYFUNCTION("""COMPUTED_VALUE"""),"Algorithms")</f>
        <v>Algorithms</v>
      </c>
      <c r="I33" s="20">
        <f>IFERROR(__xludf.DUMMYFUNCTION("""COMPUTED_VALUE"""),0.327)</f>
        <v>0.327</v>
      </c>
      <c r="J33" s="20">
        <f>IFERROR(__xludf.DUMMYFUNCTION("""COMPUTED_VALUE"""),32.0)</f>
        <v>32</v>
      </c>
      <c r="K33" s="20" t="b">
        <f>IFERROR(__xludf.DUMMYFUNCTION("""COMPUTED_VALUE"""),FALSE)</f>
        <v>0</v>
      </c>
      <c r="L33" s="20" t="str">
        <f>IFERROR(__xludf.DUMMYFUNCTION("""COMPUTED_VALUE"""),"String;Dynamic Programming;Stack;")</f>
        <v>String;Dynamic Programming;Stack;</v>
      </c>
      <c r="M33" s="20" t="b">
        <f>IFERROR(__xludf.DUMMYFUNCTION("""COMPUTED_VALUE"""),TRUE)</f>
        <v>1</v>
      </c>
      <c r="N33" s="20" t="b">
        <f>IFERROR(__xludf.DUMMYFUNCTION("""COMPUTED_VALUE"""),FALSE)</f>
        <v>0</v>
      </c>
      <c r="O33" s="20">
        <f>IFERROR(__xludf.DUMMYFUNCTION("""COMPUTED_VALUE"""),32.7463405926454)</f>
        <v>32.74634059</v>
      </c>
      <c r="P33" s="20">
        <f>IFERROR(__xludf.DUMMYFUNCTION("""COMPUTED_VALUE"""),587015.0)</f>
        <v>587015</v>
      </c>
      <c r="Q33" s="20">
        <f>IFERROR(__xludf.DUMMYFUNCTION("""COMPUTED_VALUE"""),1792622.0)</f>
        <v>1792622</v>
      </c>
    </row>
    <row r="34">
      <c r="A34" s="20">
        <f>IFERROR(__xludf.DUMMYFUNCTION("""COMPUTED_VALUE"""),33.0)</f>
        <v>33</v>
      </c>
      <c r="B34" s="20" t="str">
        <f>IFERROR(__xludf.DUMMYFUNCTION("""COMPUTED_VALUE"""),"Search in Rotated Sorted Array")</f>
        <v>Search in Rotated Sorted Array</v>
      </c>
      <c r="C34" s="20" t="str">
        <f>IFERROR(__xludf.DUMMYFUNCTION("""COMPUTED_VALUE"""),"search-in-rotated-sorted-array")</f>
        <v>search-in-rotated-sorted-array</v>
      </c>
      <c r="D34" s="20" t="b">
        <f>IFERROR(__xludf.DUMMYFUNCTION("""COMPUTED_VALUE"""),FALSE)</f>
        <v>0</v>
      </c>
      <c r="E34" s="20" t="str">
        <f>IFERROR(__xludf.DUMMYFUNCTION("""COMPUTED_VALUE"""),"Medium")</f>
        <v>Medium</v>
      </c>
      <c r="F34" s="20">
        <f>IFERROR(__xludf.DUMMYFUNCTION("""COMPUTED_VALUE"""),19178.0)</f>
        <v>19178</v>
      </c>
      <c r="G34" s="20">
        <f>IFERROR(__xludf.DUMMYFUNCTION("""COMPUTED_VALUE"""),1148.0)</f>
        <v>1148</v>
      </c>
      <c r="H34" s="20" t="str">
        <f>IFERROR(__xludf.DUMMYFUNCTION("""COMPUTED_VALUE"""),"Algorithms")</f>
        <v>Algorithms</v>
      </c>
      <c r="I34" s="20">
        <f>IFERROR(__xludf.DUMMYFUNCTION("""COMPUTED_VALUE"""),0.388)</f>
        <v>0.388</v>
      </c>
      <c r="J34" s="20">
        <f>IFERROR(__xludf.DUMMYFUNCTION("""COMPUTED_VALUE"""),33.0)</f>
        <v>33</v>
      </c>
      <c r="K34" s="20" t="b">
        <f>IFERROR(__xludf.DUMMYFUNCTION("""COMPUTED_VALUE"""),FALSE)</f>
        <v>0</v>
      </c>
      <c r="L34" s="20" t="str">
        <f>IFERROR(__xludf.DUMMYFUNCTION("""COMPUTED_VALUE"""),"Array;Binary Search;")</f>
        <v>Array;Binary Search;</v>
      </c>
      <c r="M34" s="20" t="b">
        <f>IFERROR(__xludf.DUMMYFUNCTION("""COMPUTED_VALUE"""),TRUE)</f>
        <v>1</v>
      </c>
      <c r="N34" s="20" t="b">
        <f>IFERROR(__xludf.DUMMYFUNCTION("""COMPUTED_VALUE"""),FALSE)</f>
        <v>0</v>
      </c>
      <c r="O34" s="20">
        <f>IFERROR(__xludf.DUMMYFUNCTION("""COMPUTED_VALUE"""),38.7952982616331)</f>
        <v>38.79529826</v>
      </c>
      <c r="P34" s="20">
        <f>IFERROR(__xludf.DUMMYFUNCTION("""COMPUTED_VALUE"""),1862648.0)</f>
        <v>1862648</v>
      </c>
      <c r="Q34" s="20">
        <f>IFERROR(__xludf.DUMMYFUNCTION("""COMPUTED_VALUE"""),4801220.0)</f>
        <v>4801220</v>
      </c>
    </row>
    <row r="35">
      <c r="A35" s="20">
        <f>IFERROR(__xludf.DUMMYFUNCTION("""COMPUTED_VALUE"""),34.0)</f>
        <v>34</v>
      </c>
      <c r="B35" s="20" t="str">
        <f>IFERROR(__xludf.DUMMYFUNCTION("""COMPUTED_VALUE"""),"Find First and Last Position of Element in Sorted Array")</f>
        <v>Find First and Last Position of Element in Sorted Array</v>
      </c>
      <c r="C35" s="20" t="str">
        <f>IFERROR(__xludf.DUMMYFUNCTION("""COMPUTED_VALUE"""),"find-first-and-last-position-of-element-in-sorted-array")</f>
        <v>find-first-and-last-position-of-element-in-sorted-array</v>
      </c>
      <c r="D35" s="20" t="b">
        <f>IFERROR(__xludf.DUMMYFUNCTION("""COMPUTED_VALUE"""),FALSE)</f>
        <v>0</v>
      </c>
      <c r="E35" s="20" t="str">
        <f>IFERROR(__xludf.DUMMYFUNCTION("""COMPUTED_VALUE"""),"Medium")</f>
        <v>Medium</v>
      </c>
      <c r="F35" s="20">
        <f>IFERROR(__xludf.DUMMYFUNCTION("""COMPUTED_VALUE"""),15230.0)</f>
        <v>15230</v>
      </c>
      <c r="G35" s="20">
        <f>IFERROR(__xludf.DUMMYFUNCTION("""COMPUTED_VALUE"""),364.0)</f>
        <v>364</v>
      </c>
      <c r="H35" s="20" t="str">
        <f>IFERROR(__xludf.DUMMYFUNCTION("""COMPUTED_VALUE"""),"Algorithms")</f>
        <v>Algorithms</v>
      </c>
      <c r="I35" s="20">
        <f>IFERROR(__xludf.DUMMYFUNCTION("""COMPUTED_VALUE"""),0.417)</f>
        <v>0.417</v>
      </c>
      <c r="J35" s="20">
        <f>IFERROR(__xludf.DUMMYFUNCTION("""COMPUTED_VALUE"""),34.0)</f>
        <v>34</v>
      </c>
      <c r="K35" s="20" t="b">
        <f>IFERROR(__xludf.DUMMYFUNCTION("""COMPUTED_VALUE"""),FALSE)</f>
        <v>0</v>
      </c>
      <c r="L35" s="20" t="str">
        <f>IFERROR(__xludf.DUMMYFUNCTION("""COMPUTED_VALUE"""),"Array;Binary Search;")</f>
        <v>Array;Binary Search;</v>
      </c>
      <c r="M35" s="20" t="b">
        <f>IFERROR(__xludf.DUMMYFUNCTION("""COMPUTED_VALUE"""),TRUE)</f>
        <v>1</v>
      </c>
      <c r="N35" s="20" t="b">
        <f>IFERROR(__xludf.DUMMYFUNCTION("""COMPUTED_VALUE"""),FALSE)</f>
        <v>0</v>
      </c>
      <c r="O35" s="20">
        <f>IFERROR(__xludf.DUMMYFUNCTION("""COMPUTED_VALUE"""),41.6521044839317)</f>
        <v>41.65210448</v>
      </c>
      <c r="P35" s="20">
        <f>IFERROR(__xludf.DUMMYFUNCTION("""COMPUTED_VALUE"""),1410583.0)</f>
        <v>1410583</v>
      </c>
      <c r="Q35" s="20">
        <f>IFERROR(__xludf.DUMMYFUNCTION("""COMPUTED_VALUE"""),3386599.0)</f>
        <v>3386599</v>
      </c>
    </row>
    <row r="36">
      <c r="A36" s="20">
        <f>IFERROR(__xludf.DUMMYFUNCTION("""COMPUTED_VALUE"""),35.0)</f>
        <v>35</v>
      </c>
      <c r="B36" s="20" t="str">
        <f>IFERROR(__xludf.DUMMYFUNCTION("""COMPUTED_VALUE"""),"Search Insert Position")</f>
        <v>Search Insert Position</v>
      </c>
      <c r="C36" s="20" t="str">
        <f>IFERROR(__xludf.DUMMYFUNCTION("""COMPUTED_VALUE"""),"search-insert-position")</f>
        <v>search-insert-position</v>
      </c>
      <c r="D36" s="20" t="b">
        <f>IFERROR(__xludf.DUMMYFUNCTION("""COMPUTED_VALUE"""),FALSE)</f>
        <v>0</v>
      </c>
      <c r="E36" s="20" t="str">
        <f>IFERROR(__xludf.DUMMYFUNCTION("""COMPUTED_VALUE"""),"Easy")</f>
        <v>Easy</v>
      </c>
      <c r="F36" s="20">
        <f>IFERROR(__xludf.DUMMYFUNCTION("""COMPUTED_VALUE"""),11059.0)</f>
        <v>11059</v>
      </c>
      <c r="G36" s="20">
        <f>IFERROR(__xludf.DUMMYFUNCTION("""COMPUTED_VALUE"""),515.0)</f>
        <v>515</v>
      </c>
      <c r="H36" s="20" t="str">
        <f>IFERROR(__xludf.DUMMYFUNCTION("""COMPUTED_VALUE"""),"Algorithms")</f>
        <v>Algorithms</v>
      </c>
      <c r="I36" s="20">
        <f>IFERROR(__xludf.DUMMYFUNCTION("""COMPUTED_VALUE"""),0.422)</f>
        <v>0.422</v>
      </c>
      <c r="J36" s="20">
        <f>IFERROR(__xludf.DUMMYFUNCTION("""COMPUTED_VALUE"""),35.0)</f>
        <v>35</v>
      </c>
      <c r="K36" s="20" t="b">
        <f>IFERROR(__xludf.DUMMYFUNCTION("""COMPUTED_VALUE"""),FALSE)</f>
        <v>0</v>
      </c>
      <c r="L36" s="20" t="str">
        <f>IFERROR(__xludf.DUMMYFUNCTION("""COMPUTED_VALUE"""),"Array;Binary Search;")</f>
        <v>Array;Binary Search;</v>
      </c>
      <c r="M36" s="20" t="b">
        <f>IFERROR(__xludf.DUMMYFUNCTION("""COMPUTED_VALUE"""),TRUE)</f>
        <v>1</v>
      </c>
      <c r="N36" s="20" t="b">
        <f>IFERROR(__xludf.DUMMYFUNCTION("""COMPUTED_VALUE"""),FALSE)</f>
        <v>0</v>
      </c>
      <c r="O36" s="20">
        <f>IFERROR(__xludf.DUMMYFUNCTION("""COMPUTED_VALUE"""),42.2060080288661)</f>
        <v>42.20600803</v>
      </c>
      <c r="P36" s="20">
        <f>IFERROR(__xludf.DUMMYFUNCTION("""COMPUTED_VALUE"""),1887051.0)</f>
        <v>1887051</v>
      </c>
      <c r="Q36" s="20">
        <f>IFERROR(__xludf.DUMMYFUNCTION("""COMPUTED_VALUE"""),4471073.0)</f>
        <v>4471073</v>
      </c>
    </row>
    <row r="37">
      <c r="A37" s="20">
        <f>IFERROR(__xludf.DUMMYFUNCTION("""COMPUTED_VALUE"""),36.0)</f>
        <v>36</v>
      </c>
      <c r="B37" s="20" t="str">
        <f>IFERROR(__xludf.DUMMYFUNCTION("""COMPUTED_VALUE"""),"Valid Sudoku")</f>
        <v>Valid Sudoku</v>
      </c>
      <c r="C37" s="20" t="str">
        <f>IFERROR(__xludf.DUMMYFUNCTION("""COMPUTED_VALUE"""),"valid-sudoku")</f>
        <v>valid-sudoku</v>
      </c>
      <c r="D37" s="20" t="b">
        <f>IFERROR(__xludf.DUMMYFUNCTION("""COMPUTED_VALUE"""),FALSE)</f>
        <v>0</v>
      </c>
      <c r="E37" s="20" t="str">
        <f>IFERROR(__xludf.DUMMYFUNCTION("""COMPUTED_VALUE"""),"Medium")</f>
        <v>Medium</v>
      </c>
      <c r="F37" s="20">
        <f>IFERROR(__xludf.DUMMYFUNCTION("""COMPUTED_VALUE"""),7668.0)</f>
        <v>7668</v>
      </c>
      <c r="G37" s="20">
        <f>IFERROR(__xludf.DUMMYFUNCTION("""COMPUTED_VALUE"""),856.0)</f>
        <v>856</v>
      </c>
      <c r="H37" s="20" t="str">
        <f>IFERROR(__xludf.DUMMYFUNCTION("""COMPUTED_VALUE"""),"Algorithms")</f>
        <v>Algorithms</v>
      </c>
      <c r="I37" s="20">
        <f>IFERROR(__xludf.DUMMYFUNCTION("""COMPUTED_VALUE"""),0.578)</f>
        <v>0.578</v>
      </c>
      <c r="J37" s="20">
        <f>IFERROR(__xludf.DUMMYFUNCTION("""COMPUTED_VALUE"""),36.0)</f>
        <v>36</v>
      </c>
      <c r="K37" s="20" t="b">
        <f>IFERROR(__xludf.DUMMYFUNCTION("""COMPUTED_VALUE"""),FALSE)</f>
        <v>0</v>
      </c>
      <c r="L37" s="20" t="str">
        <f>IFERROR(__xludf.DUMMYFUNCTION("""COMPUTED_VALUE"""),"Array;Hash Table;Matrix;")</f>
        <v>Array;Hash Table;Matrix;</v>
      </c>
      <c r="M37" s="20" t="b">
        <f>IFERROR(__xludf.DUMMYFUNCTION("""COMPUTED_VALUE"""),TRUE)</f>
        <v>1</v>
      </c>
      <c r="N37" s="20" t="b">
        <f>IFERROR(__xludf.DUMMYFUNCTION("""COMPUTED_VALUE"""),FALSE)</f>
        <v>0</v>
      </c>
      <c r="O37" s="20">
        <f>IFERROR(__xludf.DUMMYFUNCTION("""COMPUTED_VALUE"""),57.7956652595759)</f>
        <v>57.79566526</v>
      </c>
      <c r="P37" s="20">
        <f>IFERROR(__xludf.DUMMYFUNCTION("""COMPUTED_VALUE"""),992214.0)</f>
        <v>992214</v>
      </c>
      <c r="Q37" s="20">
        <f>IFERROR(__xludf.DUMMYFUNCTION("""COMPUTED_VALUE"""),1716766.0)</f>
        <v>1716766</v>
      </c>
    </row>
    <row r="38">
      <c r="A38" s="20">
        <f>IFERROR(__xludf.DUMMYFUNCTION("""COMPUTED_VALUE"""),37.0)</f>
        <v>37</v>
      </c>
      <c r="B38" s="20" t="str">
        <f>IFERROR(__xludf.DUMMYFUNCTION("""COMPUTED_VALUE"""),"Sudoku Solver")</f>
        <v>Sudoku Solver</v>
      </c>
      <c r="C38" s="20" t="str">
        <f>IFERROR(__xludf.DUMMYFUNCTION("""COMPUTED_VALUE"""),"sudoku-solver")</f>
        <v>sudoku-solver</v>
      </c>
      <c r="D38" s="20" t="b">
        <f>IFERROR(__xludf.DUMMYFUNCTION("""COMPUTED_VALUE"""),FALSE)</f>
        <v>0</v>
      </c>
      <c r="E38" s="20" t="str">
        <f>IFERROR(__xludf.DUMMYFUNCTION("""COMPUTED_VALUE"""),"Hard")</f>
        <v>Hard</v>
      </c>
      <c r="F38" s="20">
        <f>IFERROR(__xludf.DUMMYFUNCTION("""COMPUTED_VALUE"""),7133.0)</f>
        <v>7133</v>
      </c>
      <c r="G38" s="20">
        <f>IFERROR(__xludf.DUMMYFUNCTION("""COMPUTED_VALUE"""),190.0)</f>
        <v>190</v>
      </c>
      <c r="H38" s="20" t="str">
        <f>IFERROR(__xludf.DUMMYFUNCTION("""COMPUTED_VALUE"""),"Algorithms")</f>
        <v>Algorithms</v>
      </c>
      <c r="I38" s="20">
        <f>IFERROR(__xludf.DUMMYFUNCTION("""COMPUTED_VALUE"""),0.571)</f>
        <v>0.571</v>
      </c>
      <c r="J38" s="20">
        <f>IFERROR(__xludf.DUMMYFUNCTION("""COMPUTED_VALUE"""),37.0)</f>
        <v>37</v>
      </c>
      <c r="K38" s="20" t="b">
        <f>IFERROR(__xludf.DUMMYFUNCTION("""COMPUTED_VALUE"""),FALSE)</f>
        <v>0</v>
      </c>
      <c r="L38" s="20" t="str">
        <f>IFERROR(__xludf.DUMMYFUNCTION("""COMPUTED_VALUE"""),"Array;Backtracking;Matrix;")</f>
        <v>Array;Backtracking;Matrix;</v>
      </c>
      <c r="M38" s="20" t="b">
        <f>IFERROR(__xludf.DUMMYFUNCTION("""COMPUTED_VALUE"""),TRUE)</f>
        <v>1</v>
      </c>
      <c r="N38" s="20" t="b">
        <f>IFERROR(__xludf.DUMMYFUNCTION("""COMPUTED_VALUE"""),FALSE)</f>
        <v>0</v>
      </c>
      <c r="O38" s="20">
        <f>IFERROR(__xludf.DUMMYFUNCTION("""COMPUTED_VALUE"""),57.1085277658951)</f>
        <v>57.10852777</v>
      </c>
      <c r="P38" s="20">
        <f>IFERROR(__xludf.DUMMYFUNCTION("""COMPUTED_VALUE"""),425861.0)</f>
        <v>425861</v>
      </c>
      <c r="Q38" s="20">
        <f>IFERROR(__xludf.DUMMYFUNCTION("""COMPUTED_VALUE"""),745709.0)</f>
        <v>745709</v>
      </c>
    </row>
    <row r="39">
      <c r="A39" s="20">
        <f>IFERROR(__xludf.DUMMYFUNCTION("""COMPUTED_VALUE"""),38.0)</f>
        <v>38</v>
      </c>
      <c r="B39" s="20" t="str">
        <f>IFERROR(__xludf.DUMMYFUNCTION("""COMPUTED_VALUE"""),"Count and Say")</f>
        <v>Count and Say</v>
      </c>
      <c r="C39" s="20" t="str">
        <f>IFERROR(__xludf.DUMMYFUNCTION("""COMPUTED_VALUE"""),"count-and-say")</f>
        <v>count-and-say</v>
      </c>
      <c r="D39" s="20" t="b">
        <f>IFERROR(__xludf.DUMMYFUNCTION("""COMPUTED_VALUE"""),FALSE)</f>
        <v>0</v>
      </c>
      <c r="E39" s="20" t="str">
        <f>IFERROR(__xludf.DUMMYFUNCTION("""COMPUTED_VALUE"""),"Medium")</f>
        <v>Medium</v>
      </c>
      <c r="F39" s="20">
        <f>IFERROR(__xludf.DUMMYFUNCTION("""COMPUTED_VALUE"""),2826.0)</f>
        <v>2826</v>
      </c>
      <c r="G39" s="20">
        <f>IFERROR(__xludf.DUMMYFUNCTION("""COMPUTED_VALUE"""),5962.0)</f>
        <v>5962</v>
      </c>
      <c r="H39" s="20" t="str">
        <f>IFERROR(__xludf.DUMMYFUNCTION("""COMPUTED_VALUE"""),"Algorithms")</f>
        <v>Algorithms</v>
      </c>
      <c r="I39" s="20">
        <f>IFERROR(__xludf.DUMMYFUNCTION("""COMPUTED_VALUE"""),0.516)</f>
        <v>0.516</v>
      </c>
      <c r="J39" s="20">
        <f>IFERROR(__xludf.DUMMYFUNCTION("""COMPUTED_VALUE"""),38.0)</f>
        <v>38</v>
      </c>
      <c r="K39" s="20" t="b">
        <f>IFERROR(__xludf.DUMMYFUNCTION("""COMPUTED_VALUE"""),FALSE)</f>
        <v>0</v>
      </c>
      <c r="L39" s="20" t="str">
        <f>IFERROR(__xludf.DUMMYFUNCTION("""COMPUTED_VALUE"""),"String;")</f>
        <v>String;</v>
      </c>
      <c r="M39" s="20" t="b">
        <f>IFERROR(__xludf.DUMMYFUNCTION("""COMPUTED_VALUE"""),TRUE)</f>
        <v>1</v>
      </c>
      <c r="N39" s="20" t="b">
        <f>IFERROR(__xludf.DUMMYFUNCTION("""COMPUTED_VALUE"""),FALSE)</f>
        <v>0</v>
      </c>
      <c r="O39" s="20">
        <f>IFERROR(__xludf.DUMMYFUNCTION("""COMPUTED_VALUE"""),51.5502704247647)</f>
        <v>51.55027042</v>
      </c>
      <c r="P39" s="20">
        <f>IFERROR(__xludf.DUMMYFUNCTION("""COMPUTED_VALUE"""),750301.0)</f>
        <v>750301</v>
      </c>
      <c r="Q39" s="20">
        <f>IFERROR(__xludf.DUMMYFUNCTION("""COMPUTED_VALUE"""),1455480.0)</f>
        <v>1455480</v>
      </c>
    </row>
    <row r="40">
      <c r="A40" s="20">
        <f>IFERROR(__xludf.DUMMYFUNCTION("""COMPUTED_VALUE"""),39.0)</f>
        <v>39</v>
      </c>
      <c r="B40" s="20" t="str">
        <f>IFERROR(__xludf.DUMMYFUNCTION("""COMPUTED_VALUE"""),"Combination Sum")</f>
        <v>Combination Sum</v>
      </c>
      <c r="C40" s="20" t="str">
        <f>IFERROR(__xludf.DUMMYFUNCTION("""COMPUTED_VALUE"""),"combination-sum")</f>
        <v>combination-sum</v>
      </c>
      <c r="D40" s="20" t="b">
        <f>IFERROR(__xludf.DUMMYFUNCTION("""COMPUTED_VALUE"""),FALSE)</f>
        <v>0</v>
      </c>
      <c r="E40" s="20" t="str">
        <f>IFERROR(__xludf.DUMMYFUNCTION("""COMPUTED_VALUE"""),"Medium")</f>
        <v>Medium</v>
      </c>
      <c r="F40" s="20">
        <f>IFERROR(__xludf.DUMMYFUNCTION("""COMPUTED_VALUE"""),14538.0)</f>
        <v>14538</v>
      </c>
      <c r="G40" s="20">
        <f>IFERROR(__xludf.DUMMYFUNCTION("""COMPUTED_VALUE"""),290.0)</f>
        <v>290</v>
      </c>
      <c r="H40" s="20" t="str">
        <f>IFERROR(__xludf.DUMMYFUNCTION("""COMPUTED_VALUE"""),"Algorithms")</f>
        <v>Algorithms</v>
      </c>
      <c r="I40" s="20">
        <f>IFERROR(__xludf.DUMMYFUNCTION("""COMPUTED_VALUE"""),0.68)</f>
        <v>0.68</v>
      </c>
      <c r="J40" s="20">
        <f>IFERROR(__xludf.DUMMYFUNCTION("""COMPUTED_VALUE"""),39.0)</f>
        <v>39</v>
      </c>
      <c r="K40" s="20" t="b">
        <f>IFERROR(__xludf.DUMMYFUNCTION("""COMPUTED_VALUE"""),FALSE)</f>
        <v>0</v>
      </c>
      <c r="L40" s="20" t="str">
        <f>IFERROR(__xludf.DUMMYFUNCTION("""COMPUTED_VALUE"""),"Array;Backtracking;")</f>
        <v>Array;Backtracking;</v>
      </c>
      <c r="M40" s="20" t="b">
        <f>IFERROR(__xludf.DUMMYFUNCTION("""COMPUTED_VALUE"""),TRUE)</f>
        <v>1</v>
      </c>
      <c r="N40" s="20" t="b">
        <f>IFERROR(__xludf.DUMMYFUNCTION("""COMPUTED_VALUE"""),FALSE)</f>
        <v>0</v>
      </c>
      <c r="O40" s="20">
        <f>IFERROR(__xludf.DUMMYFUNCTION("""COMPUTED_VALUE"""),68.0457566102702)</f>
        <v>68.04575661</v>
      </c>
      <c r="P40" s="20">
        <f>IFERROR(__xludf.DUMMYFUNCTION("""COMPUTED_VALUE"""),1354882.0)</f>
        <v>1354882</v>
      </c>
      <c r="Q40" s="20">
        <f>IFERROR(__xludf.DUMMYFUNCTION("""COMPUTED_VALUE"""),1991137.0)</f>
        <v>1991137</v>
      </c>
    </row>
    <row r="41">
      <c r="A41" s="20">
        <f>IFERROR(__xludf.DUMMYFUNCTION("""COMPUTED_VALUE"""),40.0)</f>
        <v>40</v>
      </c>
      <c r="B41" s="20" t="str">
        <f>IFERROR(__xludf.DUMMYFUNCTION("""COMPUTED_VALUE"""),"Combination Sum II")</f>
        <v>Combination Sum II</v>
      </c>
      <c r="C41" s="20" t="str">
        <f>IFERROR(__xludf.DUMMYFUNCTION("""COMPUTED_VALUE"""),"combination-sum-ii")</f>
        <v>combination-sum-ii</v>
      </c>
      <c r="D41" s="20" t="b">
        <f>IFERROR(__xludf.DUMMYFUNCTION("""COMPUTED_VALUE"""),FALSE)</f>
        <v>0</v>
      </c>
      <c r="E41" s="20" t="str">
        <f>IFERROR(__xludf.DUMMYFUNCTION("""COMPUTED_VALUE"""),"Medium")</f>
        <v>Medium</v>
      </c>
      <c r="F41" s="20">
        <f>IFERROR(__xludf.DUMMYFUNCTION("""COMPUTED_VALUE"""),7591.0)</f>
        <v>7591</v>
      </c>
      <c r="G41" s="20">
        <f>IFERROR(__xludf.DUMMYFUNCTION("""COMPUTED_VALUE"""),185.0)</f>
        <v>185</v>
      </c>
      <c r="H41" s="20" t="str">
        <f>IFERROR(__xludf.DUMMYFUNCTION("""COMPUTED_VALUE"""),"Algorithms")</f>
        <v>Algorithms</v>
      </c>
      <c r="I41" s="20">
        <f>IFERROR(__xludf.DUMMYFUNCTION("""COMPUTED_VALUE"""),0.534)</f>
        <v>0.534</v>
      </c>
      <c r="J41" s="20">
        <f>IFERROR(__xludf.DUMMYFUNCTION("""COMPUTED_VALUE"""),40.0)</f>
        <v>40</v>
      </c>
      <c r="K41" s="20" t="b">
        <f>IFERROR(__xludf.DUMMYFUNCTION("""COMPUTED_VALUE"""),FALSE)</f>
        <v>0</v>
      </c>
      <c r="L41" s="20" t="str">
        <f>IFERROR(__xludf.DUMMYFUNCTION("""COMPUTED_VALUE"""),"Array;Backtracking;")</f>
        <v>Array;Backtracking;</v>
      </c>
      <c r="M41" s="20" t="b">
        <f>IFERROR(__xludf.DUMMYFUNCTION("""COMPUTED_VALUE"""),TRUE)</f>
        <v>1</v>
      </c>
      <c r="N41" s="20" t="b">
        <f>IFERROR(__xludf.DUMMYFUNCTION("""COMPUTED_VALUE"""),FALSE)</f>
        <v>0</v>
      </c>
      <c r="O41" s="20">
        <f>IFERROR(__xludf.DUMMYFUNCTION("""COMPUTED_VALUE"""),53.3525310041607)</f>
        <v>53.352531</v>
      </c>
      <c r="P41" s="20">
        <f>IFERROR(__xludf.DUMMYFUNCTION("""COMPUTED_VALUE"""),687541.0)</f>
        <v>687541</v>
      </c>
      <c r="Q41" s="20">
        <f>IFERROR(__xludf.DUMMYFUNCTION("""COMPUTED_VALUE"""),1288676.0)</f>
        <v>1288676</v>
      </c>
    </row>
    <row r="42">
      <c r="A42" s="20">
        <f>IFERROR(__xludf.DUMMYFUNCTION("""COMPUTED_VALUE"""),41.0)</f>
        <v>41</v>
      </c>
      <c r="B42" s="20" t="str">
        <f>IFERROR(__xludf.DUMMYFUNCTION("""COMPUTED_VALUE"""),"First Missing Positive")</f>
        <v>First Missing Positive</v>
      </c>
      <c r="C42" s="20" t="str">
        <f>IFERROR(__xludf.DUMMYFUNCTION("""COMPUTED_VALUE"""),"first-missing-positive")</f>
        <v>first-missing-positive</v>
      </c>
      <c r="D42" s="20" t="b">
        <f>IFERROR(__xludf.DUMMYFUNCTION("""COMPUTED_VALUE"""),FALSE)</f>
        <v>0</v>
      </c>
      <c r="E42" s="20" t="str">
        <f>IFERROR(__xludf.DUMMYFUNCTION("""COMPUTED_VALUE"""),"Hard")</f>
        <v>Hard</v>
      </c>
      <c r="F42" s="20">
        <f>IFERROR(__xludf.DUMMYFUNCTION("""COMPUTED_VALUE"""),12759.0)</f>
        <v>12759</v>
      </c>
      <c r="G42" s="20">
        <f>IFERROR(__xludf.DUMMYFUNCTION("""COMPUTED_VALUE"""),1518.0)</f>
        <v>1518</v>
      </c>
      <c r="H42" s="20" t="str">
        <f>IFERROR(__xludf.DUMMYFUNCTION("""COMPUTED_VALUE"""),"Algorithms")</f>
        <v>Algorithms</v>
      </c>
      <c r="I42" s="20">
        <f>IFERROR(__xludf.DUMMYFUNCTION("""COMPUTED_VALUE"""),0.366)</f>
        <v>0.366</v>
      </c>
      <c r="J42" s="20">
        <f>IFERROR(__xludf.DUMMYFUNCTION("""COMPUTED_VALUE"""),41.0)</f>
        <v>41</v>
      </c>
      <c r="K42" s="20" t="b">
        <f>IFERROR(__xludf.DUMMYFUNCTION("""COMPUTED_VALUE"""),FALSE)</f>
        <v>0</v>
      </c>
      <c r="L42" s="20" t="str">
        <f>IFERROR(__xludf.DUMMYFUNCTION("""COMPUTED_VALUE"""),"Array;Hash Table;")</f>
        <v>Array;Hash Table;</v>
      </c>
      <c r="M42" s="20" t="b">
        <f>IFERROR(__xludf.DUMMYFUNCTION("""COMPUTED_VALUE"""),TRUE)</f>
        <v>1</v>
      </c>
      <c r="N42" s="20" t="b">
        <f>IFERROR(__xludf.DUMMYFUNCTION("""COMPUTED_VALUE"""),FALSE)</f>
        <v>0</v>
      </c>
      <c r="O42" s="20">
        <f>IFERROR(__xludf.DUMMYFUNCTION("""COMPUTED_VALUE"""),36.5949456462741)</f>
        <v>36.59494565</v>
      </c>
      <c r="P42" s="20">
        <f>IFERROR(__xludf.DUMMYFUNCTION("""COMPUTED_VALUE"""),815797.0)</f>
        <v>815797</v>
      </c>
      <c r="Q42" s="20">
        <f>IFERROR(__xludf.DUMMYFUNCTION("""COMPUTED_VALUE"""),2229271.0)</f>
        <v>2229271</v>
      </c>
    </row>
    <row r="43">
      <c r="A43" s="20">
        <f>IFERROR(__xludf.DUMMYFUNCTION("""COMPUTED_VALUE"""),42.0)</f>
        <v>42</v>
      </c>
      <c r="B43" s="20" t="str">
        <f>IFERROR(__xludf.DUMMYFUNCTION("""COMPUTED_VALUE"""),"Trapping Rain Water")</f>
        <v>Trapping Rain Water</v>
      </c>
      <c r="C43" s="20" t="str">
        <f>IFERROR(__xludf.DUMMYFUNCTION("""COMPUTED_VALUE"""),"trapping-rain-water")</f>
        <v>trapping-rain-water</v>
      </c>
      <c r="D43" s="20" t="b">
        <f>IFERROR(__xludf.DUMMYFUNCTION("""COMPUTED_VALUE"""),FALSE)</f>
        <v>0</v>
      </c>
      <c r="E43" s="20" t="str">
        <f>IFERROR(__xludf.DUMMYFUNCTION("""COMPUTED_VALUE"""),"Hard")</f>
        <v>Hard</v>
      </c>
      <c r="F43" s="20">
        <f>IFERROR(__xludf.DUMMYFUNCTION("""COMPUTED_VALUE"""),24410.0)</f>
        <v>24410</v>
      </c>
      <c r="G43" s="20">
        <f>IFERROR(__xludf.DUMMYFUNCTION("""COMPUTED_VALUE"""),341.0)</f>
        <v>341</v>
      </c>
      <c r="H43" s="20" t="str">
        <f>IFERROR(__xludf.DUMMYFUNCTION("""COMPUTED_VALUE"""),"Algorithms")</f>
        <v>Algorithms</v>
      </c>
      <c r="I43" s="20">
        <f>IFERROR(__xludf.DUMMYFUNCTION("""COMPUTED_VALUE"""),0.59)</f>
        <v>0.59</v>
      </c>
      <c r="J43" s="20">
        <f>IFERROR(__xludf.DUMMYFUNCTION("""COMPUTED_VALUE"""),42.0)</f>
        <v>42</v>
      </c>
      <c r="K43" s="20" t="b">
        <f>IFERROR(__xludf.DUMMYFUNCTION("""COMPUTED_VALUE"""),FALSE)</f>
        <v>0</v>
      </c>
      <c r="L43" s="20" t="str">
        <f>IFERROR(__xludf.DUMMYFUNCTION("""COMPUTED_VALUE"""),"Array;Two Pointers;Dynamic Programming;Stack;Monotonic Stack;")</f>
        <v>Array;Two Pointers;Dynamic Programming;Stack;Monotonic Stack;</v>
      </c>
      <c r="M43" s="20" t="b">
        <f>IFERROR(__xludf.DUMMYFUNCTION("""COMPUTED_VALUE"""),TRUE)</f>
        <v>1</v>
      </c>
      <c r="N43" s="20" t="b">
        <f>IFERROR(__xludf.DUMMYFUNCTION("""COMPUTED_VALUE"""),FALSE)</f>
        <v>0</v>
      </c>
      <c r="O43" s="20">
        <f>IFERROR(__xludf.DUMMYFUNCTION("""COMPUTED_VALUE"""),58.9630035111735)</f>
        <v>58.96300351</v>
      </c>
      <c r="P43" s="20">
        <f>IFERROR(__xludf.DUMMYFUNCTION("""COMPUTED_VALUE"""),1419668.0)</f>
        <v>1419668</v>
      </c>
      <c r="Q43" s="20">
        <f>IFERROR(__xludf.DUMMYFUNCTION("""COMPUTED_VALUE"""),2407730.0)</f>
        <v>2407730</v>
      </c>
    </row>
    <row r="44">
      <c r="A44" s="20">
        <f>IFERROR(__xludf.DUMMYFUNCTION("""COMPUTED_VALUE"""),43.0)</f>
        <v>43</v>
      </c>
      <c r="B44" s="20" t="str">
        <f>IFERROR(__xludf.DUMMYFUNCTION("""COMPUTED_VALUE"""),"Multiply Strings")</f>
        <v>Multiply Strings</v>
      </c>
      <c r="C44" s="20" t="str">
        <f>IFERROR(__xludf.DUMMYFUNCTION("""COMPUTED_VALUE"""),"multiply-strings")</f>
        <v>multiply-strings</v>
      </c>
      <c r="D44" s="20" t="b">
        <f>IFERROR(__xludf.DUMMYFUNCTION("""COMPUTED_VALUE"""),FALSE)</f>
        <v>0</v>
      </c>
      <c r="E44" s="20" t="str">
        <f>IFERROR(__xludf.DUMMYFUNCTION("""COMPUTED_VALUE"""),"Medium")</f>
        <v>Medium</v>
      </c>
      <c r="F44" s="20">
        <f>IFERROR(__xludf.DUMMYFUNCTION("""COMPUTED_VALUE"""),5596.0)</f>
        <v>5596</v>
      </c>
      <c r="G44" s="20">
        <f>IFERROR(__xludf.DUMMYFUNCTION("""COMPUTED_VALUE"""),2443.0)</f>
        <v>2443</v>
      </c>
      <c r="H44" s="20" t="str">
        <f>IFERROR(__xludf.DUMMYFUNCTION("""COMPUTED_VALUE"""),"Algorithms")</f>
        <v>Algorithms</v>
      </c>
      <c r="I44" s="20">
        <f>IFERROR(__xludf.DUMMYFUNCTION("""COMPUTED_VALUE"""),0.389)</f>
        <v>0.389</v>
      </c>
      <c r="J44" s="20">
        <f>IFERROR(__xludf.DUMMYFUNCTION("""COMPUTED_VALUE"""),43.0)</f>
        <v>43</v>
      </c>
      <c r="K44" s="20" t="b">
        <f>IFERROR(__xludf.DUMMYFUNCTION("""COMPUTED_VALUE"""),FALSE)</f>
        <v>0</v>
      </c>
      <c r="L44" s="20" t="str">
        <f>IFERROR(__xludf.DUMMYFUNCTION("""COMPUTED_VALUE"""),"Math;String;Simulation;")</f>
        <v>Math;String;Simulation;</v>
      </c>
      <c r="M44" s="20" t="b">
        <f>IFERROR(__xludf.DUMMYFUNCTION("""COMPUTED_VALUE"""),TRUE)</f>
        <v>1</v>
      </c>
      <c r="N44" s="20" t="b">
        <f>IFERROR(__xludf.DUMMYFUNCTION("""COMPUTED_VALUE"""),FALSE)</f>
        <v>0</v>
      </c>
      <c r="O44" s="20">
        <f>IFERROR(__xludf.DUMMYFUNCTION("""COMPUTED_VALUE"""),38.919933771855)</f>
        <v>38.91993377</v>
      </c>
      <c r="P44" s="20">
        <f>IFERROR(__xludf.DUMMYFUNCTION("""COMPUTED_VALUE"""),614219.0)</f>
        <v>614219</v>
      </c>
      <c r="Q44" s="20">
        <f>IFERROR(__xludf.DUMMYFUNCTION("""COMPUTED_VALUE"""),1578164.0)</f>
        <v>1578164</v>
      </c>
    </row>
    <row r="45">
      <c r="A45" s="20">
        <f>IFERROR(__xludf.DUMMYFUNCTION("""COMPUTED_VALUE"""),44.0)</f>
        <v>44</v>
      </c>
      <c r="B45" s="20" t="str">
        <f>IFERROR(__xludf.DUMMYFUNCTION("""COMPUTED_VALUE"""),"Wildcard Matching")</f>
        <v>Wildcard Matching</v>
      </c>
      <c r="C45" s="20" t="str">
        <f>IFERROR(__xludf.DUMMYFUNCTION("""COMPUTED_VALUE"""),"wildcard-matching")</f>
        <v>wildcard-matching</v>
      </c>
      <c r="D45" s="20" t="b">
        <f>IFERROR(__xludf.DUMMYFUNCTION("""COMPUTED_VALUE"""),FALSE)</f>
        <v>0</v>
      </c>
      <c r="E45" s="20" t="str">
        <f>IFERROR(__xludf.DUMMYFUNCTION("""COMPUTED_VALUE"""),"Hard")</f>
        <v>Hard</v>
      </c>
      <c r="F45" s="20">
        <f>IFERROR(__xludf.DUMMYFUNCTION("""COMPUTED_VALUE"""),6296.0)</f>
        <v>6296</v>
      </c>
      <c r="G45" s="20">
        <f>IFERROR(__xludf.DUMMYFUNCTION("""COMPUTED_VALUE"""),267.0)</f>
        <v>267</v>
      </c>
      <c r="H45" s="20" t="str">
        <f>IFERROR(__xludf.DUMMYFUNCTION("""COMPUTED_VALUE"""),"Algorithms")</f>
        <v>Algorithms</v>
      </c>
      <c r="I45" s="20">
        <f>IFERROR(__xludf.DUMMYFUNCTION("""COMPUTED_VALUE"""),0.269)</f>
        <v>0.269</v>
      </c>
      <c r="J45" s="20">
        <f>IFERROR(__xludf.DUMMYFUNCTION("""COMPUTED_VALUE"""),44.0)</f>
        <v>44</v>
      </c>
      <c r="K45" s="20" t="b">
        <f>IFERROR(__xludf.DUMMYFUNCTION("""COMPUTED_VALUE"""),FALSE)</f>
        <v>0</v>
      </c>
      <c r="L45" s="20" t="str">
        <f>IFERROR(__xludf.DUMMYFUNCTION("""COMPUTED_VALUE"""),"String;Dynamic Programming;Greedy;Recursion;")</f>
        <v>String;Dynamic Programming;Greedy;Recursion;</v>
      </c>
      <c r="M45" s="20" t="b">
        <f>IFERROR(__xludf.DUMMYFUNCTION("""COMPUTED_VALUE"""),TRUE)</f>
        <v>1</v>
      </c>
      <c r="N45" s="20" t="b">
        <f>IFERROR(__xludf.DUMMYFUNCTION("""COMPUTED_VALUE"""),FALSE)</f>
        <v>0</v>
      </c>
      <c r="O45" s="20">
        <f>IFERROR(__xludf.DUMMYFUNCTION("""COMPUTED_VALUE"""),26.8571562734785)</f>
        <v>26.85715627</v>
      </c>
      <c r="P45" s="20">
        <f>IFERROR(__xludf.DUMMYFUNCTION("""COMPUTED_VALUE"""),446120.0)</f>
        <v>446120</v>
      </c>
      <c r="Q45" s="20">
        <f>IFERROR(__xludf.DUMMYFUNCTION("""COMPUTED_VALUE"""),1661082.0)</f>
        <v>1661082</v>
      </c>
    </row>
    <row r="46">
      <c r="A46" s="20">
        <f>IFERROR(__xludf.DUMMYFUNCTION("""COMPUTED_VALUE"""),45.0)</f>
        <v>45</v>
      </c>
      <c r="B46" s="20" t="str">
        <f>IFERROR(__xludf.DUMMYFUNCTION("""COMPUTED_VALUE"""),"Jump Game II")</f>
        <v>Jump Game II</v>
      </c>
      <c r="C46" s="20" t="str">
        <f>IFERROR(__xludf.DUMMYFUNCTION("""COMPUTED_VALUE"""),"jump-game-ii")</f>
        <v>jump-game-ii</v>
      </c>
      <c r="D46" s="20" t="b">
        <f>IFERROR(__xludf.DUMMYFUNCTION("""COMPUTED_VALUE"""),FALSE)</f>
        <v>0</v>
      </c>
      <c r="E46" s="20" t="str">
        <f>IFERROR(__xludf.DUMMYFUNCTION("""COMPUTED_VALUE"""),"Medium")</f>
        <v>Medium</v>
      </c>
      <c r="F46" s="20">
        <f>IFERROR(__xludf.DUMMYFUNCTION("""COMPUTED_VALUE"""),10425.0)</f>
        <v>10425</v>
      </c>
      <c r="G46" s="20">
        <f>IFERROR(__xludf.DUMMYFUNCTION("""COMPUTED_VALUE"""),368.0)</f>
        <v>368</v>
      </c>
      <c r="H46" s="20" t="str">
        <f>IFERROR(__xludf.DUMMYFUNCTION("""COMPUTED_VALUE"""),"Algorithms")</f>
        <v>Algorithms</v>
      </c>
      <c r="I46" s="20">
        <f>IFERROR(__xludf.DUMMYFUNCTION("""COMPUTED_VALUE"""),0.387)</f>
        <v>0.387</v>
      </c>
      <c r="J46" s="20">
        <f>IFERROR(__xludf.DUMMYFUNCTION("""COMPUTED_VALUE"""),45.0)</f>
        <v>45</v>
      </c>
      <c r="K46" s="20" t="b">
        <f>IFERROR(__xludf.DUMMYFUNCTION("""COMPUTED_VALUE"""),FALSE)</f>
        <v>0</v>
      </c>
      <c r="L46" s="20" t="str">
        <f>IFERROR(__xludf.DUMMYFUNCTION("""COMPUTED_VALUE"""),"Array;Dynamic Programming;Greedy;")</f>
        <v>Array;Dynamic Programming;Greedy;</v>
      </c>
      <c r="M46" s="20" t="b">
        <f>IFERROR(__xludf.DUMMYFUNCTION("""COMPUTED_VALUE"""),FALSE)</f>
        <v>0</v>
      </c>
      <c r="N46" s="20" t="b">
        <f>IFERROR(__xludf.DUMMYFUNCTION("""COMPUTED_VALUE"""),FALSE)</f>
        <v>0</v>
      </c>
      <c r="O46" s="20">
        <f>IFERROR(__xludf.DUMMYFUNCTION("""COMPUTED_VALUE"""),38.7288643795462)</f>
        <v>38.72886438</v>
      </c>
      <c r="P46" s="20">
        <f>IFERROR(__xludf.DUMMYFUNCTION("""COMPUTED_VALUE"""),761426.0)</f>
        <v>761426</v>
      </c>
      <c r="Q46" s="20">
        <f>IFERROR(__xludf.DUMMYFUNCTION("""COMPUTED_VALUE"""),1966039.0)</f>
        <v>1966039</v>
      </c>
    </row>
    <row r="47">
      <c r="A47" s="20">
        <f>IFERROR(__xludf.DUMMYFUNCTION("""COMPUTED_VALUE"""),46.0)</f>
        <v>46</v>
      </c>
      <c r="B47" s="20" t="str">
        <f>IFERROR(__xludf.DUMMYFUNCTION("""COMPUTED_VALUE"""),"Permutations")</f>
        <v>Permutations</v>
      </c>
      <c r="C47" s="20" t="str">
        <f>IFERROR(__xludf.DUMMYFUNCTION("""COMPUTED_VALUE"""),"permutations")</f>
        <v>permutations</v>
      </c>
      <c r="D47" s="20" t="b">
        <f>IFERROR(__xludf.DUMMYFUNCTION("""COMPUTED_VALUE"""),FALSE)</f>
        <v>0</v>
      </c>
      <c r="E47" s="20" t="str">
        <f>IFERROR(__xludf.DUMMYFUNCTION("""COMPUTED_VALUE"""),"Medium")</f>
        <v>Medium</v>
      </c>
      <c r="F47" s="20">
        <f>IFERROR(__xludf.DUMMYFUNCTION("""COMPUTED_VALUE"""),14155.0)</f>
        <v>14155</v>
      </c>
      <c r="G47" s="20">
        <f>IFERROR(__xludf.DUMMYFUNCTION("""COMPUTED_VALUE"""),241.0)</f>
        <v>241</v>
      </c>
      <c r="H47" s="20" t="str">
        <f>IFERROR(__xludf.DUMMYFUNCTION("""COMPUTED_VALUE"""),"Algorithms")</f>
        <v>Algorithms</v>
      </c>
      <c r="I47" s="20">
        <f>IFERROR(__xludf.DUMMYFUNCTION("""COMPUTED_VALUE"""),0.751)</f>
        <v>0.751</v>
      </c>
      <c r="J47" s="20">
        <f>IFERROR(__xludf.DUMMYFUNCTION("""COMPUTED_VALUE"""),46.0)</f>
        <v>46</v>
      </c>
      <c r="K47" s="20" t="b">
        <f>IFERROR(__xludf.DUMMYFUNCTION("""COMPUTED_VALUE"""),FALSE)</f>
        <v>0</v>
      </c>
      <c r="L47" s="20" t="str">
        <f>IFERROR(__xludf.DUMMYFUNCTION("""COMPUTED_VALUE"""),"Array;Backtracking;")</f>
        <v>Array;Backtracking;</v>
      </c>
      <c r="M47" s="20" t="b">
        <f>IFERROR(__xludf.DUMMYFUNCTION("""COMPUTED_VALUE"""),TRUE)</f>
        <v>1</v>
      </c>
      <c r="N47" s="20" t="b">
        <f>IFERROR(__xludf.DUMMYFUNCTION("""COMPUTED_VALUE"""),FALSE)</f>
        <v>0</v>
      </c>
      <c r="O47" s="20">
        <f>IFERROR(__xludf.DUMMYFUNCTION("""COMPUTED_VALUE"""),75.1029424147544)</f>
        <v>75.10294241</v>
      </c>
      <c r="P47" s="20">
        <f>IFERROR(__xludf.DUMMYFUNCTION("""COMPUTED_VALUE"""),1453820.0)</f>
        <v>1453820</v>
      </c>
      <c r="Q47" s="20">
        <f>IFERROR(__xludf.DUMMYFUNCTION("""COMPUTED_VALUE"""),1935774.0)</f>
        <v>1935774</v>
      </c>
    </row>
    <row r="48">
      <c r="A48" s="20">
        <f>IFERROR(__xludf.DUMMYFUNCTION("""COMPUTED_VALUE"""),47.0)</f>
        <v>47</v>
      </c>
      <c r="B48" s="20" t="str">
        <f>IFERROR(__xludf.DUMMYFUNCTION("""COMPUTED_VALUE"""),"Permutations II")</f>
        <v>Permutations II</v>
      </c>
      <c r="C48" s="20" t="str">
        <f>IFERROR(__xludf.DUMMYFUNCTION("""COMPUTED_VALUE"""),"permutations-ii")</f>
        <v>permutations-ii</v>
      </c>
      <c r="D48" s="20" t="b">
        <f>IFERROR(__xludf.DUMMYFUNCTION("""COMPUTED_VALUE"""),FALSE)</f>
        <v>0</v>
      </c>
      <c r="E48" s="20" t="str">
        <f>IFERROR(__xludf.DUMMYFUNCTION("""COMPUTED_VALUE"""),"Medium")</f>
        <v>Medium</v>
      </c>
      <c r="F48" s="20">
        <f>IFERROR(__xludf.DUMMYFUNCTION("""COMPUTED_VALUE"""),6902.0)</f>
        <v>6902</v>
      </c>
      <c r="G48" s="20">
        <f>IFERROR(__xludf.DUMMYFUNCTION("""COMPUTED_VALUE"""),123.0)</f>
        <v>123</v>
      </c>
      <c r="H48" s="20" t="str">
        <f>IFERROR(__xludf.DUMMYFUNCTION("""COMPUTED_VALUE"""),"Algorithms")</f>
        <v>Algorithms</v>
      </c>
      <c r="I48" s="20">
        <f>IFERROR(__xludf.DUMMYFUNCTION("""COMPUTED_VALUE"""),0.57)</f>
        <v>0.57</v>
      </c>
      <c r="J48" s="20">
        <f>IFERROR(__xludf.DUMMYFUNCTION("""COMPUTED_VALUE"""),47.0)</f>
        <v>47</v>
      </c>
      <c r="K48" s="20" t="b">
        <f>IFERROR(__xludf.DUMMYFUNCTION("""COMPUTED_VALUE"""),FALSE)</f>
        <v>0</v>
      </c>
      <c r="L48" s="20" t="str">
        <f>IFERROR(__xludf.DUMMYFUNCTION("""COMPUTED_VALUE"""),"Array;Backtracking;")</f>
        <v>Array;Backtracking;</v>
      </c>
      <c r="M48" s="20" t="b">
        <f>IFERROR(__xludf.DUMMYFUNCTION("""COMPUTED_VALUE"""),TRUE)</f>
        <v>1</v>
      </c>
      <c r="N48" s="20" t="b">
        <f>IFERROR(__xludf.DUMMYFUNCTION("""COMPUTED_VALUE"""),FALSE)</f>
        <v>0</v>
      </c>
      <c r="O48" s="20">
        <f>IFERROR(__xludf.DUMMYFUNCTION("""COMPUTED_VALUE"""),56.9681801328075)</f>
        <v>56.96818013</v>
      </c>
      <c r="P48" s="20">
        <f>IFERROR(__xludf.DUMMYFUNCTION("""COMPUTED_VALUE"""),743629.0)</f>
        <v>743629</v>
      </c>
      <c r="Q48" s="20">
        <f>IFERROR(__xludf.DUMMYFUNCTION("""COMPUTED_VALUE"""),1305340.0)</f>
        <v>1305340</v>
      </c>
    </row>
    <row r="49">
      <c r="A49" s="20">
        <f>IFERROR(__xludf.DUMMYFUNCTION("""COMPUTED_VALUE"""),48.0)</f>
        <v>48</v>
      </c>
      <c r="B49" s="20" t="str">
        <f>IFERROR(__xludf.DUMMYFUNCTION("""COMPUTED_VALUE"""),"Rotate Image")</f>
        <v>Rotate Image</v>
      </c>
      <c r="C49" s="20" t="str">
        <f>IFERROR(__xludf.DUMMYFUNCTION("""COMPUTED_VALUE"""),"rotate-image")</f>
        <v>rotate-image</v>
      </c>
      <c r="D49" s="20" t="b">
        <f>IFERROR(__xludf.DUMMYFUNCTION("""COMPUTED_VALUE"""),FALSE)</f>
        <v>0</v>
      </c>
      <c r="E49" s="20" t="str">
        <f>IFERROR(__xludf.DUMMYFUNCTION("""COMPUTED_VALUE"""),"Medium")</f>
        <v>Medium</v>
      </c>
      <c r="F49" s="20">
        <f>IFERROR(__xludf.DUMMYFUNCTION("""COMPUTED_VALUE"""),13305.0)</f>
        <v>13305</v>
      </c>
      <c r="G49" s="20">
        <f>IFERROR(__xludf.DUMMYFUNCTION("""COMPUTED_VALUE"""),613.0)</f>
        <v>613</v>
      </c>
      <c r="H49" s="20" t="str">
        <f>IFERROR(__xludf.DUMMYFUNCTION("""COMPUTED_VALUE"""),"Algorithms")</f>
        <v>Algorithms</v>
      </c>
      <c r="I49" s="20">
        <f>IFERROR(__xludf.DUMMYFUNCTION("""COMPUTED_VALUE"""),0.704)</f>
        <v>0.704</v>
      </c>
      <c r="J49" s="20">
        <f>IFERROR(__xludf.DUMMYFUNCTION("""COMPUTED_VALUE"""),48.0)</f>
        <v>48</v>
      </c>
      <c r="K49" s="20" t="b">
        <f>IFERROR(__xludf.DUMMYFUNCTION("""COMPUTED_VALUE"""),FALSE)</f>
        <v>0</v>
      </c>
      <c r="L49" s="20" t="str">
        <f>IFERROR(__xludf.DUMMYFUNCTION("""COMPUTED_VALUE"""),"Array;Math;Matrix;")</f>
        <v>Array;Math;Matrix;</v>
      </c>
      <c r="M49" s="20" t="b">
        <f>IFERROR(__xludf.DUMMYFUNCTION("""COMPUTED_VALUE"""),TRUE)</f>
        <v>1</v>
      </c>
      <c r="N49" s="20" t="b">
        <f>IFERROR(__xludf.DUMMYFUNCTION("""COMPUTED_VALUE"""),FALSE)</f>
        <v>0</v>
      </c>
      <c r="O49" s="20">
        <f>IFERROR(__xludf.DUMMYFUNCTION("""COMPUTED_VALUE"""),70.3516233538711)</f>
        <v>70.35162335</v>
      </c>
      <c r="P49" s="20">
        <f>IFERROR(__xludf.DUMMYFUNCTION("""COMPUTED_VALUE"""),1174569.0)</f>
        <v>1174569</v>
      </c>
      <c r="Q49" s="20">
        <f>IFERROR(__xludf.DUMMYFUNCTION("""COMPUTED_VALUE"""),1669578.0)</f>
        <v>1669578</v>
      </c>
    </row>
    <row r="50">
      <c r="A50" s="20">
        <f>IFERROR(__xludf.DUMMYFUNCTION("""COMPUTED_VALUE"""),49.0)</f>
        <v>49</v>
      </c>
      <c r="B50" s="20" t="str">
        <f>IFERROR(__xludf.DUMMYFUNCTION("""COMPUTED_VALUE"""),"Group Anagrams")</f>
        <v>Group Anagrams</v>
      </c>
      <c r="C50" s="20" t="str">
        <f>IFERROR(__xludf.DUMMYFUNCTION("""COMPUTED_VALUE"""),"group-anagrams")</f>
        <v>group-anagrams</v>
      </c>
      <c r="D50" s="20" t="b">
        <f>IFERROR(__xludf.DUMMYFUNCTION("""COMPUTED_VALUE"""),FALSE)</f>
        <v>0</v>
      </c>
      <c r="E50" s="20" t="str">
        <f>IFERROR(__xludf.DUMMYFUNCTION("""COMPUTED_VALUE"""),"Medium")</f>
        <v>Medium</v>
      </c>
      <c r="F50" s="20">
        <f>IFERROR(__xludf.DUMMYFUNCTION("""COMPUTED_VALUE"""),13719.0)</f>
        <v>13719</v>
      </c>
      <c r="G50" s="20">
        <f>IFERROR(__xludf.DUMMYFUNCTION("""COMPUTED_VALUE"""),405.0)</f>
        <v>405</v>
      </c>
      <c r="H50" s="20" t="str">
        <f>IFERROR(__xludf.DUMMYFUNCTION("""COMPUTED_VALUE"""),"Algorithms")</f>
        <v>Algorithms</v>
      </c>
      <c r="I50" s="20">
        <f>IFERROR(__xludf.DUMMYFUNCTION("""COMPUTED_VALUE"""),0.666)</f>
        <v>0.666</v>
      </c>
      <c r="J50" s="20">
        <f>IFERROR(__xludf.DUMMYFUNCTION("""COMPUTED_VALUE"""),49.0)</f>
        <v>49</v>
      </c>
      <c r="K50" s="20" t="b">
        <f>IFERROR(__xludf.DUMMYFUNCTION("""COMPUTED_VALUE"""),FALSE)</f>
        <v>0</v>
      </c>
      <c r="L50" s="20" t="str">
        <f>IFERROR(__xludf.DUMMYFUNCTION("""COMPUTED_VALUE"""),"Array;Hash Table;String;Sorting;")</f>
        <v>Array;Hash Table;String;Sorting;</v>
      </c>
      <c r="M50" s="20" t="b">
        <f>IFERROR(__xludf.DUMMYFUNCTION("""COMPUTED_VALUE"""),TRUE)</f>
        <v>1</v>
      </c>
      <c r="N50" s="20" t="b">
        <f>IFERROR(__xludf.DUMMYFUNCTION("""COMPUTED_VALUE"""),TRUE)</f>
        <v>1</v>
      </c>
      <c r="O50" s="20">
        <f>IFERROR(__xludf.DUMMYFUNCTION("""COMPUTED_VALUE"""),66.5815871023008)</f>
        <v>66.5815871</v>
      </c>
      <c r="P50" s="20">
        <f>IFERROR(__xludf.DUMMYFUNCTION("""COMPUTED_VALUE"""),1786082.0)</f>
        <v>1786082</v>
      </c>
      <c r="Q50" s="20">
        <f>IFERROR(__xludf.DUMMYFUNCTION("""COMPUTED_VALUE"""),2682545.0)</f>
        <v>2682545</v>
      </c>
    </row>
    <row r="51">
      <c r="A51" s="20">
        <f>IFERROR(__xludf.DUMMYFUNCTION("""COMPUTED_VALUE"""),50.0)</f>
        <v>50</v>
      </c>
      <c r="B51" s="20" t="str">
        <f>IFERROR(__xludf.DUMMYFUNCTION("""COMPUTED_VALUE"""),"Pow(x, n)")</f>
        <v>Pow(x, n)</v>
      </c>
      <c r="C51" s="20" t="str">
        <f>IFERROR(__xludf.DUMMYFUNCTION("""COMPUTED_VALUE"""),"powx-n")</f>
        <v>powx-n</v>
      </c>
      <c r="D51" s="20" t="b">
        <f>IFERROR(__xludf.DUMMYFUNCTION("""COMPUTED_VALUE"""),FALSE)</f>
        <v>0</v>
      </c>
      <c r="E51" s="20" t="str">
        <f>IFERROR(__xludf.DUMMYFUNCTION("""COMPUTED_VALUE"""),"Medium")</f>
        <v>Medium</v>
      </c>
      <c r="F51" s="20">
        <f>IFERROR(__xludf.DUMMYFUNCTION("""COMPUTED_VALUE"""),6378.0)</f>
        <v>6378</v>
      </c>
      <c r="G51" s="20">
        <f>IFERROR(__xludf.DUMMYFUNCTION("""COMPUTED_VALUE"""),6773.0)</f>
        <v>6773</v>
      </c>
      <c r="H51" s="20" t="str">
        <f>IFERROR(__xludf.DUMMYFUNCTION("""COMPUTED_VALUE"""),"Algorithms")</f>
        <v>Algorithms</v>
      </c>
      <c r="I51" s="20">
        <f>IFERROR(__xludf.DUMMYFUNCTION("""COMPUTED_VALUE"""),0.329)</f>
        <v>0.329</v>
      </c>
      <c r="J51" s="20">
        <f>IFERROR(__xludf.DUMMYFUNCTION("""COMPUTED_VALUE"""),50.0)</f>
        <v>50</v>
      </c>
      <c r="K51" s="20" t="b">
        <f>IFERROR(__xludf.DUMMYFUNCTION("""COMPUTED_VALUE"""),FALSE)</f>
        <v>0</v>
      </c>
      <c r="L51" s="20" t="str">
        <f>IFERROR(__xludf.DUMMYFUNCTION("""COMPUTED_VALUE"""),"Math;Recursion;")</f>
        <v>Math;Recursion;</v>
      </c>
      <c r="M51" s="20" t="b">
        <f>IFERROR(__xludf.DUMMYFUNCTION("""COMPUTED_VALUE"""),TRUE)</f>
        <v>1</v>
      </c>
      <c r="N51" s="20" t="b">
        <f>IFERROR(__xludf.DUMMYFUNCTION("""COMPUTED_VALUE"""),FALSE)</f>
        <v>0</v>
      </c>
      <c r="O51" s="20">
        <f>IFERROR(__xludf.DUMMYFUNCTION("""COMPUTED_VALUE"""),32.8638315112139)</f>
        <v>32.86383151</v>
      </c>
      <c r="P51" s="20">
        <f>IFERROR(__xludf.DUMMYFUNCTION("""COMPUTED_VALUE"""),1107249.0)</f>
        <v>1107249</v>
      </c>
      <c r="Q51" s="20">
        <f>IFERROR(__xludf.DUMMYFUNCTION("""COMPUTED_VALUE"""),3369211.0)</f>
        <v>3369211</v>
      </c>
    </row>
    <row r="52">
      <c r="A52" s="20">
        <f>IFERROR(__xludf.DUMMYFUNCTION("""COMPUTED_VALUE"""),51.0)</f>
        <v>51</v>
      </c>
      <c r="B52" s="20" t="str">
        <f>IFERROR(__xludf.DUMMYFUNCTION("""COMPUTED_VALUE"""),"N-Queens")</f>
        <v>N-Queens</v>
      </c>
      <c r="C52" s="20" t="str">
        <f>IFERROR(__xludf.DUMMYFUNCTION("""COMPUTED_VALUE"""),"n-queens")</f>
        <v>n-queens</v>
      </c>
      <c r="D52" s="20" t="b">
        <f>IFERROR(__xludf.DUMMYFUNCTION("""COMPUTED_VALUE"""),FALSE)</f>
        <v>0</v>
      </c>
      <c r="E52" s="20" t="str">
        <f>IFERROR(__xludf.DUMMYFUNCTION("""COMPUTED_VALUE"""),"Hard")</f>
        <v>Hard</v>
      </c>
      <c r="F52" s="20">
        <f>IFERROR(__xludf.DUMMYFUNCTION("""COMPUTED_VALUE"""),9073.0)</f>
        <v>9073</v>
      </c>
      <c r="G52" s="20">
        <f>IFERROR(__xludf.DUMMYFUNCTION("""COMPUTED_VALUE"""),201.0)</f>
        <v>201</v>
      </c>
      <c r="H52" s="20" t="str">
        <f>IFERROR(__xludf.DUMMYFUNCTION("""COMPUTED_VALUE"""),"Algorithms")</f>
        <v>Algorithms</v>
      </c>
      <c r="I52" s="20">
        <f>IFERROR(__xludf.DUMMYFUNCTION("""COMPUTED_VALUE"""),0.634)</f>
        <v>0.634</v>
      </c>
      <c r="J52" s="20">
        <f>IFERROR(__xludf.DUMMYFUNCTION("""COMPUTED_VALUE"""),51.0)</f>
        <v>51</v>
      </c>
      <c r="K52" s="20" t="b">
        <f>IFERROR(__xludf.DUMMYFUNCTION("""COMPUTED_VALUE"""),FALSE)</f>
        <v>0</v>
      </c>
      <c r="L52" s="20" t="str">
        <f>IFERROR(__xludf.DUMMYFUNCTION("""COMPUTED_VALUE"""),"Array;Backtracking;")</f>
        <v>Array;Backtracking;</v>
      </c>
      <c r="M52" s="20" t="b">
        <f>IFERROR(__xludf.DUMMYFUNCTION("""COMPUTED_VALUE"""),TRUE)</f>
        <v>1</v>
      </c>
      <c r="N52" s="20" t="b">
        <f>IFERROR(__xludf.DUMMYFUNCTION("""COMPUTED_VALUE"""),FALSE)</f>
        <v>0</v>
      </c>
      <c r="O52" s="20">
        <f>IFERROR(__xludf.DUMMYFUNCTION("""COMPUTED_VALUE"""),63.4492874574813)</f>
        <v>63.44928746</v>
      </c>
      <c r="P52" s="20">
        <f>IFERROR(__xludf.DUMMYFUNCTION("""COMPUTED_VALUE"""),501771.0)</f>
        <v>501771</v>
      </c>
      <c r="Q52" s="20">
        <f>IFERROR(__xludf.DUMMYFUNCTION("""COMPUTED_VALUE"""),790824.0)</f>
        <v>790824</v>
      </c>
    </row>
    <row r="53">
      <c r="A53" s="20">
        <f>IFERROR(__xludf.DUMMYFUNCTION("""COMPUTED_VALUE"""),52.0)</f>
        <v>52</v>
      </c>
      <c r="B53" s="20" t="str">
        <f>IFERROR(__xludf.DUMMYFUNCTION("""COMPUTED_VALUE"""),"N-Queens II")</f>
        <v>N-Queens II</v>
      </c>
      <c r="C53" s="20" t="str">
        <f>IFERROR(__xludf.DUMMYFUNCTION("""COMPUTED_VALUE"""),"n-queens-ii")</f>
        <v>n-queens-ii</v>
      </c>
      <c r="D53" s="20" t="b">
        <f>IFERROR(__xludf.DUMMYFUNCTION("""COMPUTED_VALUE"""),FALSE)</f>
        <v>0</v>
      </c>
      <c r="E53" s="20" t="str">
        <f>IFERROR(__xludf.DUMMYFUNCTION("""COMPUTED_VALUE"""),"Hard")</f>
        <v>Hard</v>
      </c>
      <c r="F53" s="20">
        <f>IFERROR(__xludf.DUMMYFUNCTION("""COMPUTED_VALUE"""),2989.0)</f>
        <v>2989</v>
      </c>
      <c r="G53" s="20">
        <f>IFERROR(__xludf.DUMMYFUNCTION("""COMPUTED_VALUE"""),237.0)</f>
        <v>237</v>
      </c>
      <c r="H53" s="20" t="str">
        <f>IFERROR(__xludf.DUMMYFUNCTION("""COMPUTED_VALUE"""),"Algorithms")</f>
        <v>Algorithms</v>
      </c>
      <c r="I53" s="20">
        <f>IFERROR(__xludf.DUMMYFUNCTION("""COMPUTED_VALUE"""),0.712)</f>
        <v>0.712</v>
      </c>
      <c r="J53" s="20">
        <f>IFERROR(__xludf.DUMMYFUNCTION("""COMPUTED_VALUE"""),52.0)</f>
        <v>52</v>
      </c>
      <c r="K53" s="20" t="b">
        <f>IFERROR(__xludf.DUMMYFUNCTION("""COMPUTED_VALUE"""),FALSE)</f>
        <v>0</v>
      </c>
      <c r="L53" s="20" t="str">
        <f>IFERROR(__xludf.DUMMYFUNCTION("""COMPUTED_VALUE"""),"Backtracking;")</f>
        <v>Backtracking;</v>
      </c>
      <c r="M53" s="20" t="b">
        <f>IFERROR(__xludf.DUMMYFUNCTION("""COMPUTED_VALUE"""),TRUE)</f>
        <v>1</v>
      </c>
      <c r="N53" s="20" t="b">
        <f>IFERROR(__xludf.DUMMYFUNCTION("""COMPUTED_VALUE"""),FALSE)</f>
        <v>0</v>
      </c>
      <c r="O53" s="20">
        <f>IFERROR(__xludf.DUMMYFUNCTION("""COMPUTED_VALUE"""),71.1811065655315)</f>
        <v>71.18110657</v>
      </c>
      <c r="P53" s="20">
        <f>IFERROR(__xludf.DUMMYFUNCTION("""COMPUTED_VALUE"""),293348.0)</f>
        <v>293348</v>
      </c>
      <c r="Q53" s="20">
        <f>IFERROR(__xludf.DUMMYFUNCTION("""COMPUTED_VALUE"""),412117.0)</f>
        <v>412117</v>
      </c>
    </row>
    <row r="54">
      <c r="A54" s="20">
        <f>IFERROR(__xludf.DUMMYFUNCTION("""COMPUTED_VALUE"""),53.0)</f>
        <v>53</v>
      </c>
      <c r="B54" s="20" t="str">
        <f>IFERROR(__xludf.DUMMYFUNCTION("""COMPUTED_VALUE"""),"Maximum Subarray")</f>
        <v>Maximum Subarray</v>
      </c>
      <c r="C54" s="20" t="str">
        <f>IFERROR(__xludf.DUMMYFUNCTION("""COMPUTED_VALUE"""),"maximum-subarray")</f>
        <v>maximum-subarray</v>
      </c>
      <c r="D54" s="20" t="b">
        <f>IFERROR(__xludf.DUMMYFUNCTION("""COMPUTED_VALUE"""),FALSE)</f>
        <v>0</v>
      </c>
      <c r="E54" s="20" t="str">
        <f>IFERROR(__xludf.DUMMYFUNCTION("""COMPUTED_VALUE"""),"Medium")</f>
        <v>Medium</v>
      </c>
      <c r="F54" s="20">
        <f>IFERROR(__xludf.DUMMYFUNCTION("""COMPUTED_VALUE"""),27160.0)</f>
        <v>27160</v>
      </c>
      <c r="G54" s="20">
        <f>IFERROR(__xludf.DUMMYFUNCTION("""COMPUTED_VALUE"""),1214.0)</f>
        <v>1214</v>
      </c>
      <c r="H54" s="20" t="str">
        <f>IFERROR(__xludf.DUMMYFUNCTION("""COMPUTED_VALUE"""),"Algorithms")</f>
        <v>Algorithms</v>
      </c>
      <c r="I54" s="20">
        <f>IFERROR(__xludf.DUMMYFUNCTION("""COMPUTED_VALUE"""),0.501)</f>
        <v>0.501</v>
      </c>
      <c r="J54" s="20">
        <f>IFERROR(__xludf.DUMMYFUNCTION("""COMPUTED_VALUE"""),53.0)</f>
        <v>53</v>
      </c>
      <c r="K54" s="20" t="b">
        <f>IFERROR(__xludf.DUMMYFUNCTION("""COMPUTED_VALUE"""),FALSE)</f>
        <v>0</v>
      </c>
      <c r="L54" s="20" t="str">
        <f>IFERROR(__xludf.DUMMYFUNCTION("""COMPUTED_VALUE"""),"Array;Divide and Conquer;Dynamic Programming;")</f>
        <v>Array;Divide and Conquer;Dynamic Programming;</v>
      </c>
      <c r="M54" s="20" t="b">
        <f>IFERROR(__xludf.DUMMYFUNCTION("""COMPUTED_VALUE"""),TRUE)</f>
        <v>1</v>
      </c>
      <c r="N54" s="20" t="b">
        <f>IFERROR(__xludf.DUMMYFUNCTION("""COMPUTED_VALUE"""),FALSE)</f>
        <v>0</v>
      </c>
      <c r="O54" s="20">
        <f>IFERROR(__xludf.DUMMYFUNCTION("""COMPUTED_VALUE"""),50.1005970006514)</f>
        <v>50.100597</v>
      </c>
      <c r="P54" s="20">
        <f>IFERROR(__xludf.DUMMYFUNCTION("""COMPUTED_VALUE"""),2923171.0)</f>
        <v>2923171</v>
      </c>
      <c r="Q54" s="20">
        <f>IFERROR(__xludf.DUMMYFUNCTION("""COMPUTED_VALUE"""),5834614.0)</f>
        <v>5834614</v>
      </c>
    </row>
    <row r="55">
      <c r="A55" s="20">
        <f>IFERROR(__xludf.DUMMYFUNCTION("""COMPUTED_VALUE"""),54.0)</f>
        <v>54</v>
      </c>
      <c r="B55" s="20" t="str">
        <f>IFERROR(__xludf.DUMMYFUNCTION("""COMPUTED_VALUE"""),"Spiral Matrix")</f>
        <v>Spiral Matrix</v>
      </c>
      <c r="C55" s="20" t="str">
        <f>IFERROR(__xludf.DUMMYFUNCTION("""COMPUTED_VALUE"""),"spiral-matrix")</f>
        <v>spiral-matrix</v>
      </c>
      <c r="D55" s="20" t="b">
        <f>IFERROR(__xludf.DUMMYFUNCTION("""COMPUTED_VALUE"""),FALSE)</f>
        <v>0</v>
      </c>
      <c r="E55" s="20" t="str">
        <f>IFERROR(__xludf.DUMMYFUNCTION("""COMPUTED_VALUE"""),"Medium")</f>
        <v>Medium</v>
      </c>
      <c r="F55" s="20">
        <f>IFERROR(__xludf.DUMMYFUNCTION("""COMPUTED_VALUE"""),9988.0)</f>
        <v>9988</v>
      </c>
      <c r="G55" s="20">
        <f>IFERROR(__xludf.DUMMYFUNCTION("""COMPUTED_VALUE"""),977.0)</f>
        <v>977</v>
      </c>
      <c r="H55" s="20" t="str">
        <f>IFERROR(__xludf.DUMMYFUNCTION("""COMPUTED_VALUE"""),"Algorithms")</f>
        <v>Algorithms</v>
      </c>
      <c r="I55" s="20">
        <f>IFERROR(__xludf.DUMMYFUNCTION("""COMPUTED_VALUE"""),0.442)</f>
        <v>0.442</v>
      </c>
      <c r="J55" s="20">
        <f>IFERROR(__xludf.DUMMYFUNCTION("""COMPUTED_VALUE"""),54.0)</f>
        <v>54</v>
      </c>
      <c r="K55" s="20" t="b">
        <f>IFERROR(__xludf.DUMMYFUNCTION("""COMPUTED_VALUE"""),FALSE)</f>
        <v>0</v>
      </c>
      <c r="L55" s="20" t="str">
        <f>IFERROR(__xludf.DUMMYFUNCTION("""COMPUTED_VALUE"""),"Array;Matrix;Simulation;")</f>
        <v>Array;Matrix;Simulation;</v>
      </c>
      <c r="M55" s="20" t="b">
        <f>IFERROR(__xludf.DUMMYFUNCTION("""COMPUTED_VALUE"""),TRUE)</f>
        <v>1</v>
      </c>
      <c r="N55" s="20" t="b">
        <f>IFERROR(__xludf.DUMMYFUNCTION("""COMPUTED_VALUE"""),FALSE)</f>
        <v>0</v>
      </c>
      <c r="O55" s="20">
        <f>IFERROR(__xludf.DUMMYFUNCTION("""COMPUTED_VALUE"""),44.1618077115341)</f>
        <v>44.16180771</v>
      </c>
      <c r="P55" s="20">
        <f>IFERROR(__xludf.DUMMYFUNCTION("""COMPUTED_VALUE"""),931131.0)</f>
        <v>931131</v>
      </c>
      <c r="Q55" s="20">
        <f>IFERROR(__xludf.DUMMYFUNCTION("""COMPUTED_VALUE"""),2108458.0)</f>
        <v>2108458</v>
      </c>
    </row>
    <row r="56">
      <c r="A56" s="20">
        <f>IFERROR(__xludf.DUMMYFUNCTION("""COMPUTED_VALUE"""),55.0)</f>
        <v>55</v>
      </c>
      <c r="B56" s="20" t="str">
        <f>IFERROR(__xludf.DUMMYFUNCTION("""COMPUTED_VALUE"""),"Jump Game")</f>
        <v>Jump Game</v>
      </c>
      <c r="C56" s="20" t="str">
        <f>IFERROR(__xludf.DUMMYFUNCTION("""COMPUTED_VALUE"""),"jump-game")</f>
        <v>jump-game</v>
      </c>
      <c r="D56" s="20" t="b">
        <f>IFERROR(__xludf.DUMMYFUNCTION("""COMPUTED_VALUE"""),FALSE)</f>
        <v>0</v>
      </c>
      <c r="E56" s="20" t="str">
        <f>IFERROR(__xludf.DUMMYFUNCTION("""COMPUTED_VALUE"""),"Medium")</f>
        <v>Medium</v>
      </c>
      <c r="F56" s="20">
        <f>IFERROR(__xludf.DUMMYFUNCTION("""COMPUTED_VALUE"""),14909.0)</f>
        <v>14909</v>
      </c>
      <c r="G56" s="20">
        <f>IFERROR(__xludf.DUMMYFUNCTION("""COMPUTED_VALUE"""),763.0)</f>
        <v>763</v>
      </c>
      <c r="H56" s="20" t="str">
        <f>IFERROR(__xludf.DUMMYFUNCTION("""COMPUTED_VALUE"""),"Algorithms")</f>
        <v>Algorithms</v>
      </c>
      <c r="I56" s="20">
        <f>IFERROR(__xludf.DUMMYFUNCTION("""COMPUTED_VALUE"""),0.388)</f>
        <v>0.388</v>
      </c>
      <c r="J56" s="20">
        <f>IFERROR(__xludf.DUMMYFUNCTION("""COMPUTED_VALUE"""),55.0)</f>
        <v>55</v>
      </c>
      <c r="K56" s="20" t="b">
        <f>IFERROR(__xludf.DUMMYFUNCTION("""COMPUTED_VALUE"""),FALSE)</f>
        <v>0</v>
      </c>
      <c r="L56" s="20" t="str">
        <f>IFERROR(__xludf.DUMMYFUNCTION("""COMPUTED_VALUE"""),"Array;Dynamic Programming;Greedy;")</f>
        <v>Array;Dynamic Programming;Greedy;</v>
      </c>
      <c r="M56" s="20" t="b">
        <f>IFERROR(__xludf.DUMMYFUNCTION("""COMPUTED_VALUE"""),TRUE)</f>
        <v>1</v>
      </c>
      <c r="N56" s="20" t="b">
        <f>IFERROR(__xludf.DUMMYFUNCTION("""COMPUTED_VALUE"""),FALSE)</f>
        <v>0</v>
      </c>
      <c r="O56" s="20">
        <f>IFERROR(__xludf.DUMMYFUNCTION("""COMPUTED_VALUE"""),38.8468170777141)</f>
        <v>38.84681708</v>
      </c>
      <c r="P56" s="20">
        <f>IFERROR(__xludf.DUMMYFUNCTION("""COMPUTED_VALUE"""),1285643.0)</f>
        <v>1285643</v>
      </c>
      <c r="Q56" s="20">
        <f>IFERROR(__xludf.DUMMYFUNCTION("""COMPUTED_VALUE"""),3309530.0)</f>
        <v>3309530</v>
      </c>
    </row>
    <row r="57">
      <c r="A57" s="20">
        <f>IFERROR(__xludf.DUMMYFUNCTION("""COMPUTED_VALUE"""),56.0)</f>
        <v>56</v>
      </c>
      <c r="B57" s="20" t="str">
        <f>IFERROR(__xludf.DUMMYFUNCTION("""COMPUTED_VALUE"""),"Merge Intervals")</f>
        <v>Merge Intervals</v>
      </c>
      <c r="C57" s="20" t="str">
        <f>IFERROR(__xludf.DUMMYFUNCTION("""COMPUTED_VALUE"""),"merge-intervals")</f>
        <v>merge-intervals</v>
      </c>
      <c r="D57" s="20" t="b">
        <f>IFERROR(__xludf.DUMMYFUNCTION("""COMPUTED_VALUE"""),FALSE)</f>
        <v>0</v>
      </c>
      <c r="E57" s="20" t="str">
        <f>IFERROR(__xludf.DUMMYFUNCTION("""COMPUTED_VALUE"""),"Medium")</f>
        <v>Medium</v>
      </c>
      <c r="F57" s="20">
        <f>IFERROR(__xludf.DUMMYFUNCTION("""COMPUTED_VALUE"""),17465.0)</f>
        <v>17465</v>
      </c>
      <c r="G57" s="20">
        <f>IFERROR(__xludf.DUMMYFUNCTION("""COMPUTED_VALUE"""),610.0)</f>
        <v>610</v>
      </c>
      <c r="H57" s="20" t="str">
        <f>IFERROR(__xludf.DUMMYFUNCTION("""COMPUTED_VALUE"""),"Algorithms")</f>
        <v>Algorithms</v>
      </c>
      <c r="I57" s="20">
        <f>IFERROR(__xludf.DUMMYFUNCTION("""COMPUTED_VALUE"""),0.46)</f>
        <v>0.46</v>
      </c>
      <c r="J57" s="20">
        <f>IFERROR(__xludf.DUMMYFUNCTION("""COMPUTED_VALUE"""),56.0)</f>
        <v>56</v>
      </c>
      <c r="K57" s="20" t="b">
        <f>IFERROR(__xludf.DUMMYFUNCTION("""COMPUTED_VALUE"""),FALSE)</f>
        <v>0</v>
      </c>
      <c r="L57" s="20" t="str">
        <f>IFERROR(__xludf.DUMMYFUNCTION("""COMPUTED_VALUE"""),"Array;Sorting;")</f>
        <v>Array;Sorting;</v>
      </c>
      <c r="M57" s="20" t="b">
        <f>IFERROR(__xludf.DUMMYFUNCTION("""COMPUTED_VALUE"""),TRUE)</f>
        <v>1</v>
      </c>
      <c r="N57" s="20" t="b">
        <f>IFERROR(__xludf.DUMMYFUNCTION("""COMPUTED_VALUE"""),TRUE)</f>
        <v>1</v>
      </c>
      <c r="O57" s="20">
        <f>IFERROR(__xludf.DUMMYFUNCTION("""COMPUTED_VALUE"""),46.0388342023777)</f>
        <v>46.0388342</v>
      </c>
      <c r="P57" s="20">
        <f>IFERROR(__xludf.DUMMYFUNCTION("""COMPUTED_VALUE"""),1754299.0)</f>
        <v>1754299</v>
      </c>
      <c r="Q57" s="20">
        <f>IFERROR(__xludf.DUMMYFUNCTION("""COMPUTED_VALUE"""),3810481.0)</f>
        <v>3810481</v>
      </c>
    </row>
    <row r="58">
      <c r="A58" s="20">
        <f>IFERROR(__xludf.DUMMYFUNCTION("""COMPUTED_VALUE"""),57.0)</f>
        <v>57</v>
      </c>
      <c r="B58" s="20" t="str">
        <f>IFERROR(__xludf.DUMMYFUNCTION("""COMPUTED_VALUE"""),"Insert Interval")</f>
        <v>Insert Interval</v>
      </c>
      <c r="C58" s="20" t="str">
        <f>IFERROR(__xludf.DUMMYFUNCTION("""COMPUTED_VALUE"""),"insert-interval")</f>
        <v>insert-interval</v>
      </c>
      <c r="D58" s="20" t="b">
        <f>IFERROR(__xludf.DUMMYFUNCTION("""COMPUTED_VALUE"""),FALSE)</f>
        <v>0</v>
      </c>
      <c r="E58" s="20" t="str">
        <f>IFERROR(__xludf.DUMMYFUNCTION("""COMPUTED_VALUE"""),"Medium")</f>
        <v>Medium</v>
      </c>
      <c r="F58" s="20">
        <f>IFERROR(__xludf.DUMMYFUNCTION("""COMPUTED_VALUE"""),6501.0)</f>
        <v>6501</v>
      </c>
      <c r="G58" s="20">
        <f>IFERROR(__xludf.DUMMYFUNCTION("""COMPUTED_VALUE"""),463.0)</f>
        <v>463</v>
      </c>
      <c r="H58" s="20" t="str">
        <f>IFERROR(__xludf.DUMMYFUNCTION("""COMPUTED_VALUE"""),"Algorithms")</f>
        <v>Algorithms</v>
      </c>
      <c r="I58" s="20">
        <f>IFERROR(__xludf.DUMMYFUNCTION("""COMPUTED_VALUE"""),0.38)</f>
        <v>0.38</v>
      </c>
      <c r="J58" s="20">
        <f>IFERROR(__xludf.DUMMYFUNCTION("""COMPUTED_VALUE"""),57.0)</f>
        <v>57</v>
      </c>
      <c r="K58" s="20" t="b">
        <f>IFERROR(__xludf.DUMMYFUNCTION("""COMPUTED_VALUE"""),FALSE)</f>
        <v>0</v>
      </c>
      <c r="L58" s="20" t="str">
        <f>IFERROR(__xludf.DUMMYFUNCTION("""COMPUTED_VALUE"""),"Array;")</f>
        <v>Array;</v>
      </c>
      <c r="M58" s="20" t="b">
        <f>IFERROR(__xludf.DUMMYFUNCTION("""COMPUTED_VALUE"""),TRUE)</f>
        <v>1</v>
      </c>
      <c r="N58" s="20" t="b">
        <f>IFERROR(__xludf.DUMMYFUNCTION("""COMPUTED_VALUE"""),FALSE)</f>
        <v>0</v>
      </c>
      <c r="O58" s="20">
        <f>IFERROR(__xludf.DUMMYFUNCTION("""COMPUTED_VALUE"""),38.0289198685705)</f>
        <v>38.02891987</v>
      </c>
      <c r="P58" s="20">
        <f>IFERROR(__xludf.DUMMYFUNCTION("""COMPUTED_VALUE"""),650565.0)</f>
        <v>650565</v>
      </c>
      <c r="Q58" s="20">
        <f>IFERROR(__xludf.DUMMYFUNCTION("""COMPUTED_VALUE"""),1710710.0)</f>
        <v>1710710</v>
      </c>
    </row>
    <row r="59">
      <c r="A59" s="20">
        <f>IFERROR(__xludf.DUMMYFUNCTION("""COMPUTED_VALUE"""),58.0)</f>
        <v>58</v>
      </c>
      <c r="B59" s="20" t="str">
        <f>IFERROR(__xludf.DUMMYFUNCTION("""COMPUTED_VALUE"""),"Length of Last Word")</f>
        <v>Length of Last Word</v>
      </c>
      <c r="C59" s="20" t="str">
        <f>IFERROR(__xludf.DUMMYFUNCTION("""COMPUTED_VALUE"""),"length-of-last-word")</f>
        <v>length-of-last-word</v>
      </c>
      <c r="D59" s="20" t="b">
        <f>IFERROR(__xludf.DUMMYFUNCTION("""COMPUTED_VALUE"""),FALSE)</f>
        <v>0</v>
      </c>
      <c r="E59" s="20" t="str">
        <f>IFERROR(__xludf.DUMMYFUNCTION("""COMPUTED_VALUE"""),"Easy")</f>
        <v>Easy</v>
      </c>
      <c r="F59" s="20">
        <f>IFERROR(__xludf.DUMMYFUNCTION("""COMPUTED_VALUE"""),2398.0)</f>
        <v>2398</v>
      </c>
      <c r="G59" s="20">
        <f>IFERROR(__xludf.DUMMYFUNCTION("""COMPUTED_VALUE"""),138.0)</f>
        <v>138</v>
      </c>
      <c r="H59" s="20" t="str">
        <f>IFERROR(__xludf.DUMMYFUNCTION("""COMPUTED_VALUE"""),"Algorithms")</f>
        <v>Algorithms</v>
      </c>
      <c r="I59" s="20">
        <f>IFERROR(__xludf.DUMMYFUNCTION("""COMPUTED_VALUE"""),0.415)</f>
        <v>0.415</v>
      </c>
      <c r="J59" s="20">
        <f>IFERROR(__xludf.DUMMYFUNCTION("""COMPUTED_VALUE"""),58.0)</f>
        <v>58</v>
      </c>
      <c r="K59" s="20" t="b">
        <f>IFERROR(__xludf.DUMMYFUNCTION("""COMPUTED_VALUE"""),FALSE)</f>
        <v>0</v>
      </c>
      <c r="L59" s="20" t="str">
        <f>IFERROR(__xludf.DUMMYFUNCTION("""COMPUTED_VALUE"""),"String;")</f>
        <v>String;</v>
      </c>
      <c r="M59" s="20" t="b">
        <f>IFERROR(__xludf.DUMMYFUNCTION("""COMPUTED_VALUE"""),TRUE)</f>
        <v>1</v>
      </c>
      <c r="N59" s="20" t="b">
        <f>IFERROR(__xludf.DUMMYFUNCTION("""COMPUTED_VALUE"""),FALSE)</f>
        <v>0</v>
      </c>
      <c r="O59" s="20">
        <f>IFERROR(__xludf.DUMMYFUNCTION("""COMPUTED_VALUE"""),41.4580658919222)</f>
        <v>41.45806589</v>
      </c>
      <c r="P59" s="20">
        <f>IFERROR(__xludf.DUMMYFUNCTION("""COMPUTED_VALUE"""),979817.0)</f>
        <v>979817</v>
      </c>
      <c r="Q59" s="20">
        <f>IFERROR(__xludf.DUMMYFUNCTION("""COMPUTED_VALUE"""),2363408.0)</f>
        <v>2363408</v>
      </c>
    </row>
    <row r="60">
      <c r="A60" s="20">
        <f>IFERROR(__xludf.DUMMYFUNCTION("""COMPUTED_VALUE"""),59.0)</f>
        <v>59</v>
      </c>
      <c r="B60" s="20" t="str">
        <f>IFERROR(__xludf.DUMMYFUNCTION("""COMPUTED_VALUE"""),"Spiral Matrix II")</f>
        <v>Spiral Matrix II</v>
      </c>
      <c r="C60" s="20" t="str">
        <f>IFERROR(__xludf.DUMMYFUNCTION("""COMPUTED_VALUE"""),"spiral-matrix-ii")</f>
        <v>spiral-matrix-ii</v>
      </c>
      <c r="D60" s="20" t="b">
        <f>IFERROR(__xludf.DUMMYFUNCTION("""COMPUTED_VALUE"""),FALSE)</f>
        <v>0</v>
      </c>
      <c r="E60" s="20" t="str">
        <f>IFERROR(__xludf.DUMMYFUNCTION("""COMPUTED_VALUE"""),"Medium")</f>
        <v>Medium</v>
      </c>
      <c r="F60" s="20">
        <f>IFERROR(__xludf.DUMMYFUNCTION("""COMPUTED_VALUE"""),4486.0)</f>
        <v>4486</v>
      </c>
      <c r="G60" s="20">
        <f>IFERROR(__xludf.DUMMYFUNCTION("""COMPUTED_VALUE"""),201.0)</f>
        <v>201</v>
      </c>
      <c r="H60" s="20" t="str">
        <f>IFERROR(__xludf.DUMMYFUNCTION("""COMPUTED_VALUE"""),"Algorithms")</f>
        <v>Algorithms</v>
      </c>
      <c r="I60" s="20">
        <f>IFERROR(__xludf.DUMMYFUNCTION("""COMPUTED_VALUE"""),0.669)</f>
        <v>0.669</v>
      </c>
      <c r="J60" s="20">
        <f>IFERROR(__xludf.DUMMYFUNCTION("""COMPUTED_VALUE"""),59.0)</f>
        <v>59</v>
      </c>
      <c r="K60" s="20" t="b">
        <f>IFERROR(__xludf.DUMMYFUNCTION("""COMPUTED_VALUE"""),FALSE)</f>
        <v>0</v>
      </c>
      <c r="L60" s="20" t="str">
        <f>IFERROR(__xludf.DUMMYFUNCTION("""COMPUTED_VALUE"""),"Array;Matrix;Simulation;")</f>
        <v>Array;Matrix;Simulation;</v>
      </c>
      <c r="M60" s="20" t="b">
        <f>IFERROR(__xludf.DUMMYFUNCTION("""COMPUTED_VALUE"""),TRUE)</f>
        <v>1</v>
      </c>
      <c r="N60" s="20" t="b">
        <f>IFERROR(__xludf.DUMMYFUNCTION("""COMPUTED_VALUE"""),FALSE)</f>
        <v>0</v>
      </c>
      <c r="O60" s="20">
        <f>IFERROR(__xludf.DUMMYFUNCTION("""COMPUTED_VALUE"""),66.8876089547941)</f>
        <v>66.88760895</v>
      </c>
      <c r="P60" s="20">
        <f>IFERROR(__xludf.DUMMYFUNCTION("""COMPUTED_VALUE"""),413537.0)</f>
        <v>413537</v>
      </c>
      <c r="Q60" s="20">
        <f>IFERROR(__xludf.DUMMYFUNCTION("""COMPUTED_VALUE"""),618256.0)</f>
        <v>618256</v>
      </c>
    </row>
    <row r="61">
      <c r="A61" s="20">
        <f>IFERROR(__xludf.DUMMYFUNCTION("""COMPUTED_VALUE"""),60.0)</f>
        <v>60</v>
      </c>
      <c r="B61" s="20" t="str">
        <f>IFERROR(__xludf.DUMMYFUNCTION("""COMPUTED_VALUE"""),"Permutation Sequence")</f>
        <v>Permutation Sequence</v>
      </c>
      <c r="C61" s="20" t="str">
        <f>IFERROR(__xludf.DUMMYFUNCTION("""COMPUTED_VALUE"""),"permutation-sequence")</f>
        <v>permutation-sequence</v>
      </c>
      <c r="D61" s="20" t="b">
        <f>IFERROR(__xludf.DUMMYFUNCTION("""COMPUTED_VALUE"""),FALSE)</f>
        <v>0</v>
      </c>
      <c r="E61" s="20" t="str">
        <f>IFERROR(__xludf.DUMMYFUNCTION("""COMPUTED_VALUE"""),"Hard")</f>
        <v>Hard</v>
      </c>
      <c r="F61" s="20">
        <f>IFERROR(__xludf.DUMMYFUNCTION("""COMPUTED_VALUE"""),5157.0)</f>
        <v>5157</v>
      </c>
      <c r="G61" s="20">
        <f>IFERROR(__xludf.DUMMYFUNCTION("""COMPUTED_VALUE"""),427.0)</f>
        <v>427</v>
      </c>
      <c r="H61" s="20" t="str">
        <f>IFERROR(__xludf.DUMMYFUNCTION("""COMPUTED_VALUE"""),"Algorithms")</f>
        <v>Algorithms</v>
      </c>
      <c r="I61" s="20">
        <f>IFERROR(__xludf.DUMMYFUNCTION("""COMPUTED_VALUE"""),0.44)</f>
        <v>0.44</v>
      </c>
      <c r="J61" s="20">
        <f>IFERROR(__xludf.DUMMYFUNCTION("""COMPUTED_VALUE"""),60.0)</f>
        <v>60</v>
      </c>
      <c r="K61" s="20" t="b">
        <f>IFERROR(__xludf.DUMMYFUNCTION("""COMPUTED_VALUE"""),FALSE)</f>
        <v>0</v>
      </c>
      <c r="L61" s="20" t="str">
        <f>IFERROR(__xludf.DUMMYFUNCTION("""COMPUTED_VALUE"""),"Math;Recursion;")</f>
        <v>Math;Recursion;</v>
      </c>
      <c r="M61" s="20" t="b">
        <f>IFERROR(__xludf.DUMMYFUNCTION("""COMPUTED_VALUE"""),TRUE)</f>
        <v>1</v>
      </c>
      <c r="N61" s="20" t="b">
        <f>IFERROR(__xludf.DUMMYFUNCTION("""COMPUTED_VALUE"""),FALSE)</f>
        <v>0</v>
      </c>
      <c r="O61" s="20">
        <f>IFERROR(__xludf.DUMMYFUNCTION("""COMPUTED_VALUE"""),43.9979588510032)</f>
        <v>43.99795885</v>
      </c>
      <c r="P61" s="20">
        <f>IFERROR(__xludf.DUMMYFUNCTION("""COMPUTED_VALUE"""),310395.0)</f>
        <v>310395</v>
      </c>
      <c r="Q61" s="20">
        <f>IFERROR(__xludf.DUMMYFUNCTION("""COMPUTED_VALUE"""),705476.0)</f>
        <v>705476</v>
      </c>
    </row>
    <row r="62">
      <c r="A62" s="20">
        <f>IFERROR(__xludf.DUMMYFUNCTION("""COMPUTED_VALUE"""),61.0)</f>
        <v>61</v>
      </c>
      <c r="B62" s="20" t="str">
        <f>IFERROR(__xludf.DUMMYFUNCTION("""COMPUTED_VALUE"""),"Rotate List")</f>
        <v>Rotate List</v>
      </c>
      <c r="C62" s="20" t="str">
        <f>IFERROR(__xludf.DUMMYFUNCTION("""COMPUTED_VALUE"""),"rotate-list")</f>
        <v>rotate-list</v>
      </c>
      <c r="D62" s="20" t="b">
        <f>IFERROR(__xludf.DUMMYFUNCTION("""COMPUTED_VALUE"""),FALSE)</f>
        <v>0</v>
      </c>
      <c r="E62" s="20" t="str">
        <f>IFERROR(__xludf.DUMMYFUNCTION("""COMPUTED_VALUE"""),"Medium")</f>
        <v>Medium</v>
      </c>
      <c r="F62" s="20">
        <f>IFERROR(__xludf.DUMMYFUNCTION("""COMPUTED_VALUE"""),6976.0)</f>
        <v>6976</v>
      </c>
      <c r="G62" s="20">
        <f>IFERROR(__xludf.DUMMYFUNCTION("""COMPUTED_VALUE"""),1328.0)</f>
        <v>1328</v>
      </c>
      <c r="H62" s="20" t="str">
        <f>IFERROR(__xludf.DUMMYFUNCTION("""COMPUTED_VALUE"""),"Algorithms")</f>
        <v>Algorithms</v>
      </c>
      <c r="I62" s="20">
        <f>IFERROR(__xludf.DUMMYFUNCTION("""COMPUTED_VALUE"""),0.359)</f>
        <v>0.359</v>
      </c>
      <c r="J62" s="20">
        <f>IFERROR(__xludf.DUMMYFUNCTION("""COMPUTED_VALUE"""),61.0)</f>
        <v>61</v>
      </c>
      <c r="K62" s="20" t="b">
        <f>IFERROR(__xludf.DUMMYFUNCTION("""COMPUTED_VALUE"""),FALSE)</f>
        <v>0</v>
      </c>
      <c r="L62" s="20" t="str">
        <f>IFERROR(__xludf.DUMMYFUNCTION("""COMPUTED_VALUE"""),"Linked List;Two Pointers;")</f>
        <v>Linked List;Two Pointers;</v>
      </c>
      <c r="M62" s="20" t="b">
        <f>IFERROR(__xludf.DUMMYFUNCTION("""COMPUTED_VALUE"""),TRUE)</f>
        <v>1</v>
      </c>
      <c r="N62" s="20" t="b">
        <f>IFERROR(__xludf.DUMMYFUNCTION("""COMPUTED_VALUE"""),FALSE)</f>
        <v>0</v>
      </c>
      <c r="O62" s="20">
        <f>IFERROR(__xludf.DUMMYFUNCTION("""COMPUTED_VALUE"""),35.904006534124)</f>
        <v>35.90400653</v>
      </c>
      <c r="P62" s="20">
        <f>IFERROR(__xludf.DUMMYFUNCTION("""COMPUTED_VALUE"""),671684.0)</f>
        <v>671684</v>
      </c>
      <c r="Q62" s="20">
        <f>IFERROR(__xludf.DUMMYFUNCTION("""COMPUTED_VALUE"""),1870770.0)</f>
        <v>1870770</v>
      </c>
    </row>
    <row r="63">
      <c r="A63" s="20">
        <f>IFERROR(__xludf.DUMMYFUNCTION("""COMPUTED_VALUE"""),62.0)</f>
        <v>62</v>
      </c>
      <c r="B63" s="20" t="str">
        <f>IFERROR(__xludf.DUMMYFUNCTION("""COMPUTED_VALUE"""),"Unique Paths")</f>
        <v>Unique Paths</v>
      </c>
      <c r="C63" s="20" t="str">
        <f>IFERROR(__xludf.DUMMYFUNCTION("""COMPUTED_VALUE"""),"unique-paths")</f>
        <v>unique-paths</v>
      </c>
      <c r="D63" s="20" t="b">
        <f>IFERROR(__xludf.DUMMYFUNCTION("""COMPUTED_VALUE"""),FALSE)</f>
        <v>0</v>
      </c>
      <c r="E63" s="20" t="str">
        <f>IFERROR(__xludf.DUMMYFUNCTION("""COMPUTED_VALUE"""),"Medium")</f>
        <v>Medium</v>
      </c>
      <c r="F63" s="20">
        <f>IFERROR(__xludf.DUMMYFUNCTION("""COMPUTED_VALUE"""),12630.0)</f>
        <v>12630</v>
      </c>
      <c r="G63" s="20">
        <f>IFERROR(__xludf.DUMMYFUNCTION("""COMPUTED_VALUE"""),366.0)</f>
        <v>366</v>
      </c>
      <c r="H63" s="20" t="str">
        <f>IFERROR(__xludf.DUMMYFUNCTION("""COMPUTED_VALUE"""),"Algorithms")</f>
        <v>Algorithms</v>
      </c>
      <c r="I63" s="20">
        <f>IFERROR(__xludf.DUMMYFUNCTION("""COMPUTED_VALUE"""),0.625)</f>
        <v>0.625</v>
      </c>
      <c r="J63" s="20">
        <f>IFERROR(__xludf.DUMMYFUNCTION("""COMPUTED_VALUE"""),62.0)</f>
        <v>62</v>
      </c>
      <c r="K63" s="20" t="b">
        <f>IFERROR(__xludf.DUMMYFUNCTION("""COMPUTED_VALUE"""),FALSE)</f>
        <v>0</v>
      </c>
      <c r="L63" s="20" t="str">
        <f>IFERROR(__xludf.DUMMYFUNCTION("""COMPUTED_VALUE"""),"Math;Dynamic Programming;Combinatorics;")</f>
        <v>Math;Dynamic Programming;Combinatorics;</v>
      </c>
      <c r="M63" s="20" t="b">
        <f>IFERROR(__xludf.DUMMYFUNCTION("""COMPUTED_VALUE"""),TRUE)</f>
        <v>1</v>
      </c>
      <c r="N63" s="20" t="b">
        <f>IFERROR(__xludf.DUMMYFUNCTION("""COMPUTED_VALUE"""),FALSE)</f>
        <v>0</v>
      </c>
      <c r="O63" s="20">
        <f>IFERROR(__xludf.DUMMYFUNCTION("""COMPUTED_VALUE"""),62.4603875500341)</f>
        <v>62.46038755</v>
      </c>
      <c r="P63" s="20">
        <f>IFERROR(__xludf.DUMMYFUNCTION("""COMPUTED_VALUE"""),1264568.0)</f>
        <v>1264568</v>
      </c>
      <c r="Q63" s="20">
        <f>IFERROR(__xludf.DUMMYFUNCTION("""COMPUTED_VALUE"""),2024584.0)</f>
        <v>2024584</v>
      </c>
    </row>
    <row r="64">
      <c r="A64" s="20">
        <f>IFERROR(__xludf.DUMMYFUNCTION("""COMPUTED_VALUE"""),63.0)</f>
        <v>63</v>
      </c>
      <c r="B64" s="20" t="str">
        <f>IFERROR(__xludf.DUMMYFUNCTION("""COMPUTED_VALUE"""),"Unique Paths II")</f>
        <v>Unique Paths II</v>
      </c>
      <c r="C64" s="20" t="str">
        <f>IFERROR(__xludf.DUMMYFUNCTION("""COMPUTED_VALUE"""),"unique-paths-ii")</f>
        <v>unique-paths-ii</v>
      </c>
      <c r="D64" s="20" t="b">
        <f>IFERROR(__xludf.DUMMYFUNCTION("""COMPUTED_VALUE"""),FALSE)</f>
        <v>0</v>
      </c>
      <c r="E64" s="20" t="str">
        <f>IFERROR(__xludf.DUMMYFUNCTION("""COMPUTED_VALUE"""),"Medium")</f>
        <v>Medium</v>
      </c>
      <c r="F64" s="20">
        <f>IFERROR(__xludf.DUMMYFUNCTION("""COMPUTED_VALUE"""),6412.0)</f>
        <v>6412</v>
      </c>
      <c r="G64" s="20">
        <f>IFERROR(__xludf.DUMMYFUNCTION("""COMPUTED_VALUE"""),423.0)</f>
        <v>423</v>
      </c>
      <c r="H64" s="20" t="str">
        <f>IFERROR(__xludf.DUMMYFUNCTION("""COMPUTED_VALUE"""),"Algorithms")</f>
        <v>Algorithms</v>
      </c>
      <c r="I64" s="20">
        <f>IFERROR(__xludf.DUMMYFUNCTION("""COMPUTED_VALUE"""),0.392)</f>
        <v>0.392</v>
      </c>
      <c r="J64" s="20">
        <f>IFERROR(__xludf.DUMMYFUNCTION("""COMPUTED_VALUE"""),63.0)</f>
        <v>63</v>
      </c>
      <c r="K64" s="20" t="b">
        <f>IFERROR(__xludf.DUMMYFUNCTION("""COMPUTED_VALUE"""),FALSE)</f>
        <v>0</v>
      </c>
      <c r="L64" s="20" t="str">
        <f>IFERROR(__xludf.DUMMYFUNCTION("""COMPUTED_VALUE"""),"Array;Dynamic Programming;Matrix;")</f>
        <v>Array;Dynamic Programming;Matrix;</v>
      </c>
      <c r="M64" s="20" t="b">
        <f>IFERROR(__xludf.DUMMYFUNCTION("""COMPUTED_VALUE"""),TRUE)</f>
        <v>1</v>
      </c>
      <c r="N64" s="20" t="b">
        <f>IFERROR(__xludf.DUMMYFUNCTION("""COMPUTED_VALUE"""),FALSE)</f>
        <v>0</v>
      </c>
      <c r="O64" s="20">
        <f>IFERROR(__xludf.DUMMYFUNCTION("""COMPUTED_VALUE"""),39.2252231104512)</f>
        <v>39.22522311</v>
      </c>
      <c r="P64" s="20">
        <f>IFERROR(__xludf.DUMMYFUNCTION("""COMPUTED_VALUE"""),638294.0)</f>
        <v>638294</v>
      </c>
      <c r="Q64" s="20">
        <f>IFERROR(__xludf.DUMMYFUNCTION("""COMPUTED_VALUE"""),1627293.0)</f>
        <v>1627293</v>
      </c>
    </row>
    <row r="65">
      <c r="A65" s="20">
        <f>IFERROR(__xludf.DUMMYFUNCTION("""COMPUTED_VALUE"""),64.0)</f>
        <v>64</v>
      </c>
      <c r="B65" s="20" t="str">
        <f>IFERROR(__xludf.DUMMYFUNCTION("""COMPUTED_VALUE"""),"Minimum Path Sum")</f>
        <v>Minimum Path Sum</v>
      </c>
      <c r="C65" s="20" t="str">
        <f>IFERROR(__xludf.DUMMYFUNCTION("""COMPUTED_VALUE"""),"minimum-path-sum")</f>
        <v>minimum-path-sum</v>
      </c>
      <c r="D65" s="20" t="b">
        <f>IFERROR(__xludf.DUMMYFUNCTION("""COMPUTED_VALUE"""),FALSE)</f>
        <v>0</v>
      </c>
      <c r="E65" s="20" t="str">
        <f>IFERROR(__xludf.DUMMYFUNCTION("""COMPUTED_VALUE"""),"Medium")</f>
        <v>Medium</v>
      </c>
      <c r="F65" s="20">
        <f>IFERROR(__xludf.DUMMYFUNCTION("""COMPUTED_VALUE"""),9217.0)</f>
        <v>9217</v>
      </c>
      <c r="G65" s="20">
        <f>IFERROR(__xludf.DUMMYFUNCTION("""COMPUTED_VALUE"""),120.0)</f>
        <v>120</v>
      </c>
      <c r="H65" s="20" t="str">
        <f>IFERROR(__xludf.DUMMYFUNCTION("""COMPUTED_VALUE"""),"Algorithms")</f>
        <v>Algorithms</v>
      </c>
      <c r="I65" s="20">
        <f>IFERROR(__xludf.DUMMYFUNCTION("""COMPUTED_VALUE"""),0.608)</f>
        <v>0.608</v>
      </c>
      <c r="J65" s="20">
        <f>IFERROR(__xludf.DUMMYFUNCTION("""COMPUTED_VALUE"""),64.0)</f>
        <v>64</v>
      </c>
      <c r="K65" s="20" t="b">
        <f>IFERROR(__xludf.DUMMYFUNCTION("""COMPUTED_VALUE"""),FALSE)</f>
        <v>0</v>
      </c>
      <c r="L65" s="20" t="str">
        <f>IFERROR(__xludf.DUMMYFUNCTION("""COMPUTED_VALUE"""),"Array;Dynamic Programming;Matrix;")</f>
        <v>Array;Dynamic Programming;Matrix;</v>
      </c>
      <c r="M65" s="20" t="b">
        <f>IFERROR(__xludf.DUMMYFUNCTION("""COMPUTED_VALUE"""),TRUE)</f>
        <v>1</v>
      </c>
      <c r="N65" s="20" t="b">
        <f>IFERROR(__xludf.DUMMYFUNCTION("""COMPUTED_VALUE"""),FALSE)</f>
        <v>0</v>
      </c>
      <c r="O65" s="20">
        <f>IFERROR(__xludf.DUMMYFUNCTION("""COMPUTED_VALUE"""),60.8345440544982)</f>
        <v>60.83454405</v>
      </c>
      <c r="P65" s="20">
        <f>IFERROR(__xludf.DUMMYFUNCTION("""COMPUTED_VALUE"""),830313.0)</f>
        <v>830313</v>
      </c>
      <c r="Q65" s="20">
        <f>IFERROR(__xludf.DUMMYFUNCTION("""COMPUTED_VALUE"""),1364876.0)</f>
        <v>1364876</v>
      </c>
    </row>
    <row r="66">
      <c r="A66" s="20">
        <f>IFERROR(__xludf.DUMMYFUNCTION("""COMPUTED_VALUE"""),65.0)</f>
        <v>65</v>
      </c>
      <c r="B66" s="20" t="str">
        <f>IFERROR(__xludf.DUMMYFUNCTION("""COMPUTED_VALUE"""),"Valid Number")</f>
        <v>Valid Number</v>
      </c>
      <c r="C66" s="20" t="str">
        <f>IFERROR(__xludf.DUMMYFUNCTION("""COMPUTED_VALUE"""),"valid-number")</f>
        <v>valid-number</v>
      </c>
      <c r="D66" s="20" t="b">
        <f>IFERROR(__xludf.DUMMYFUNCTION("""COMPUTED_VALUE"""),FALSE)</f>
        <v>0</v>
      </c>
      <c r="E66" s="20" t="str">
        <f>IFERROR(__xludf.DUMMYFUNCTION("""COMPUTED_VALUE"""),"Hard")</f>
        <v>Hard</v>
      </c>
      <c r="F66" s="20">
        <f>IFERROR(__xludf.DUMMYFUNCTION("""COMPUTED_VALUE"""),826.0)</f>
        <v>826</v>
      </c>
      <c r="G66" s="20">
        <f>IFERROR(__xludf.DUMMYFUNCTION("""COMPUTED_VALUE"""),1424.0)</f>
        <v>1424</v>
      </c>
      <c r="H66" s="20" t="str">
        <f>IFERROR(__xludf.DUMMYFUNCTION("""COMPUTED_VALUE"""),"Algorithms")</f>
        <v>Algorithms</v>
      </c>
      <c r="I66" s="20">
        <f>IFERROR(__xludf.DUMMYFUNCTION("""COMPUTED_VALUE"""),0.186)</f>
        <v>0.186</v>
      </c>
      <c r="J66" s="20">
        <f>IFERROR(__xludf.DUMMYFUNCTION("""COMPUTED_VALUE"""),65.0)</f>
        <v>65</v>
      </c>
      <c r="K66" s="20" t="b">
        <f>IFERROR(__xludf.DUMMYFUNCTION("""COMPUTED_VALUE"""),FALSE)</f>
        <v>0</v>
      </c>
      <c r="L66" s="20" t="str">
        <f>IFERROR(__xludf.DUMMYFUNCTION("""COMPUTED_VALUE"""),"String;")</f>
        <v>String;</v>
      </c>
      <c r="M66" s="20" t="b">
        <f>IFERROR(__xludf.DUMMYFUNCTION("""COMPUTED_VALUE"""),TRUE)</f>
        <v>1</v>
      </c>
      <c r="N66" s="20" t="b">
        <f>IFERROR(__xludf.DUMMYFUNCTION("""COMPUTED_VALUE"""),FALSE)</f>
        <v>0</v>
      </c>
      <c r="O66" s="20">
        <f>IFERROR(__xludf.DUMMYFUNCTION("""COMPUTED_VALUE"""),18.6362268645291)</f>
        <v>18.63622686</v>
      </c>
      <c r="P66" s="20">
        <f>IFERROR(__xludf.DUMMYFUNCTION("""COMPUTED_VALUE"""),296047.0)</f>
        <v>296047</v>
      </c>
      <c r="Q66" s="20">
        <f>IFERROR(__xludf.DUMMYFUNCTION("""COMPUTED_VALUE"""),1588568.0)</f>
        <v>1588568</v>
      </c>
    </row>
    <row r="67">
      <c r="A67" s="20">
        <f>IFERROR(__xludf.DUMMYFUNCTION("""COMPUTED_VALUE"""),66.0)</f>
        <v>66</v>
      </c>
      <c r="B67" s="20" t="str">
        <f>IFERROR(__xludf.DUMMYFUNCTION("""COMPUTED_VALUE"""),"Plus One")</f>
        <v>Plus One</v>
      </c>
      <c r="C67" s="20" t="str">
        <f>IFERROR(__xludf.DUMMYFUNCTION("""COMPUTED_VALUE"""),"plus-one")</f>
        <v>plus-one</v>
      </c>
      <c r="D67" s="20" t="b">
        <f>IFERROR(__xludf.DUMMYFUNCTION("""COMPUTED_VALUE"""),FALSE)</f>
        <v>0</v>
      </c>
      <c r="E67" s="20" t="str">
        <f>IFERROR(__xludf.DUMMYFUNCTION("""COMPUTED_VALUE"""),"Easy")</f>
        <v>Easy</v>
      </c>
      <c r="F67" s="20">
        <f>IFERROR(__xludf.DUMMYFUNCTION("""COMPUTED_VALUE"""),6159.0)</f>
        <v>6159</v>
      </c>
      <c r="G67" s="20">
        <f>IFERROR(__xludf.DUMMYFUNCTION("""COMPUTED_VALUE"""),4652.0)</f>
        <v>4652</v>
      </c>
      <c r="H67" s="20" t="str">
        <f>IFERROR(__xludf.DUMMYFUNCTION("""COMPUTED_VALUE"""),"Algorithms")</f>
        <v>Algorithms</v>
      </c>
      <c r="I67" s="20">
        <f>IFERROR(__xludf.DUMMYFUNCTION("""COMPUTED_VALUE"""),0.435)</f>
        <v>0.435</v>
      </c>
      <c r="J67" s="20">
        <f>IFERROR(__xludf.DUMMYFUNCTION("""COMPUTED_VALUE"""),66.0)</f>
        <v>66</v>
      </c>
      <c r="K67" s="20" t="b">
        <f>IFERROR(__xludf.DUMMYFUNCTION("""COMPUTED_VALUE"""),FALSE)</f>
        <v>0</v>
      </c>
      <c r="L67" s="20" t="str">
        <f>IFERROR(__xludf.DUMMYFUNCTION("""COMPUTED_VALUE"""),"Array;Math;")</f>
        <v>Array;Math;</v>
      </c>
      <c r="M67" s="20" t="b">
        <f>IFERROR(__xludf.DUMMYFUNCTION("""COMPUTED_VALUE"""),TRUE)</f>
        <v>1</v>
      </c>
      <c r="N67" s="20" t="b">
        <f>IFERROR(__xludf.DUMMYFUNCTION("""COMPUTED_VALUE"""),FALSE)</f>
        <v>0</v>
      </c>
      <c r="O67" s="20">
        <f>IFERROR(__xludf.DUMMYFUNCTION("""COMPUTED_VALUE"""),43.4759878156797)</f>
        <v>43.47598782</v>
      </c>
      <c r="P67" s="20">
        <f>IFERROR(__xludf.DUMMYFUNCTION("""COMPUTED_VALUE"""),1509323.0)</f>
        <v>1509323</v>
      </c>
      <c r="Q67" s="20">
        <f>IFERROR(__xludf.DUMMYFUNCTION("""COMPUTED_VALUE"""),3471613.0)</f>
        <v>3471613</v>
      </c>
    </row>
    <row r="68">
      <c r="A68" s="20">
        <f>IFERROR(__xludf.DUMMYFUNCTION("""COMPUTED_VALUE"""),67.0)</f>
        <v>67</v>
      </c>
      <c r="B68" s="20" t="str">
        <f>IFERROR(__xludf.DUMMYFUNCTION("""COMPUTED_VALUE"""),"Add Binary")</f>
        <v>Add Binary</v>
      </c>
      <c r="C68" s="20" t="str">
        <f>IFERROR(__xludf.DUMMYFUNCTION("""COMPUTED_VALUE"""),"add-binary")</f>
        <v>add-binary</v>
      </c>
      <c r="D68" s="20" t="b">
        <f>IFERROR(__xludf.DUMMYFUNCTION("""COMPUTED_VALUE"""),FALSE)</f>
        <v>0</v>
      </c>
      <c r="E68" s="20" t="str">
        <f>IFERROR(__xludf.DUMMYFUNCTION("""COMPUTED_VALUE"""),"Easy")</f>
        <v>Easy</v>
      </c>
      <c r="F68" s="20">
        <f>IFERROR(__xludf.DUMMYFUNCTION("""COMPUTED_VALUE"""),6497.0)</f>
        <v>6497</v>
      </c>
      <c r="G68" s="20">
        <f>IFERROR(__xludf.DUMMYFUNCTION("""COMPUTED_VALUE"""),682.0)</f>
        <v>682</v>
      </c>
      <c r="H68" s="20" t="str">
        <f>IFERROR(__xludf.DUMMYFUNCTION("""COMPUTED_VALUE"""),"Algorithms")</f>
        <v>Algorithms</v>
      </c>
      <c r="I68" s="20">
        <f>IFERROR(__xludf.DUMMYFUNCTION("""COMPUTED_VALUE"""),0.514)</f>
        <v>0.514</v>
      </c>
      <c r="J68" s="20">
        <f>IFERROR(__xludf.DUMMYFUNCTION("""COMPUTED_VALUE"""),67.0)</f>
        <v>67</v>
      </c>
      <c r="K68" s="20" t="b">
        <f>IFERROR(__xludf.DUMMYFUNCTION("""COMPUTED_VALUE"""),FALSE)</f>
        <v>0</v>
      </c>
      <c r="L68" s="20" t="str">
        <f>IFERROR(__xludf.DUMMYFUNCTION("""COMPUTED_VALUE"""),"Math;String;Bit Manipulation;Simulation;")</f>
        <v>Math;String;Bit Manipulation;Simulation;</v>
      </c>
      <c r="M68" s="20" t="b">
        <f>IFERROR(__xludf.DUMMYFUNCTION("""COMPUTED_VALUE"""),TRUE)</f>
        <v>1</v>
      </c>
      <c r="N68" s="20" t="b">
        <f>IFERROR(__xludf.DUMMYFUNCTION("""COMPUTED_VALUE"""),FALSE)</f>
        <v>0</v>
      </c>
      <c r="O68" s="20">
        <f>IFERROR(__xludf.DUMMYFUNCTION("""COMPUTED_VALUE"""),51.4400380267887)</f>
        <v>51.44003803</v>
      </c>
      <c r="P68" s="20">
        <f>IFERROR(__xludf.DUMMYFUNCTION("""COMPUTED_VALUE"""),998850.0)</f>
        <v>998850</v>
      </c>
      <c r="Q68" s="20">
        <f>IFERROR(__xludf.DUMMYFUNCTION("""COMPUTED_VALUE"""),1941775.0)</f>
        <v>1941775</v>
      </c>
    </row>
    <row r="69">
      <c r="A69" s="20">
        <f>IFERROR(__xludf.DUMMYFUNCTION("""COMPUTED_VALUE"""),68.0)</f>
        <v>68</v>
      </c>
      <c r="B69" s="20" t="str">
        <f>IFERROR(__xludf.DUMMYFUNCTION("""COMPUTED_VALUE"""),"Text Justification")</f>
        <v>Text Justification</v>
      </c>
      <c r="C69" s="20" t="str">
        <f>IFERROR(__xludf.DUMMYFUNCTION("""COMPUTED_VALUE"""),"text-justification")</f>
        <v>text-justification</v>
      </c>
      <c r="D69" s="20" t="b">
        <f>IFERROR(__xludf.DUMMYFUNCTION("""COMPUTED_VALUE"""),FALSE)</f>
        <v>0</v>
      </c>
      <c r="E69" s="20" t="str">
        <f>IFERROR(__xludf.DUMMYFUNCTION("""COMPUTED_VALUE"""),"Hard")</f>
        <v>Hard</v>
      </c>
      <c r="F69" s="20">
        <f>IFERROR(__xludf.DUMMYFUNCTION("""COMPUTED_VALUE"""),2170.0)</f>
        <v>2170</v>
      </c>
      <c r="G69" s="20">
        <f>IFERROR(__xludf.DUMMYFUNCTION("""COMPUTED_VALUE"""),3369.0)</f>
        <v>3369</v>
      </c>
      <c r="H69" s="20" t="str">
        <f>IFERROR(__xludf.DUMMYFUNCTION("""COMPUTED_VALUE"""),"Algorithms")</f>
        <v>Algorithms</v>
      </c>
      <c r="I69" s="20">
        <f>IFERROR(__xludf.DUMMYFUNCTION("""COMPUTED_VALUE"""),0.37)</f>
        <v>0.37</v>
      </c>
      <c r="J69" s="20">
        <f>IFERROR(__xludf.DUMMYFUNCTION("""COMPUTED_VALUE"""),68.0)</f>
        <v>68</v>
      </c>
      <c r="K69" s="20" t="b">
        <f>IFERROR(__xludf.DUMMYFUNCTION("""COMPUTED_VALUE"""),FALSE)</f>
        <v>0</v>
      </c>
      <c r="L69" s="20" t="str">
        <f>IFERROR(__xludf.DUMMYFUNCTION("""COMPUTED_VALUE"""),"Array;String;Simulation;")</f>
        <v>Array;String;Simulation;</v>
      </c>
      <c r="M69" s="20" t="b">
        <f>IFERROR(__xludf.DUMMYFUNCTION("""COMPUTED_VALUE"""),FALSE)</f>
        <v>0</v>
      </c>
      <c r="N69" s="20" t="b">
        <f>IFERROR(__xludf.DUMMYFUNCTION("""COMPUTED_VALUE"""),FALSE)</f>
        <v>0</v>
      </c>
      <c r="O69" s="20">
        <f>IFERROR(__xludf.DUMMYFUNCTION("""COMPUTED_VALUE"""),37.0131270030313)</f>
        <v>37.013127</v>
      </c>
      <c r="P69" s="20">
        <f>IFERROR(__xludf.DUMMYFUNCTION("""COMPUTED_VALUE"""),281566.0)</f>
        <v>281566</v>
      </c>
      <c r="Q69" s="20">
        <f>IFERROR(__xludf.DUMMYFUNCTION("""COMPUTED_VALUE"""),760721.0)</f>
        <v>760721</v>
      </c>
    </row>
    <row r="70">
      <c r="A70" s="20">
        <f>IFERROR(__xludf.DUMMYFUNCTION("""COMPUTED_VALUE"""),69.0)</f>
        <v>69</v>
      </c>
      <c r="B70" s="20" t="str">
        <f>IFERROR(__xludf.DUMMYFUNCTION("""COMPUTED_VALUE"""),"Sqrt(x)")</f>
        <v>Sqrt(x)</v>
      </c>
      <c r="C70" s="20" t="str">
        <f>IFERROR(__xludf.DUMMYFUNCTION("""COMPUTED_VALUE"""),"sqrtx")</f>
        <v>sqrtx</v>
      </c>
      <c r="D70" s="20" t="b">
        <f>IFERROR(__xludf.DUMMYFUNCTION("""COMPUTED_VALUE"""),FALSE)</f>
        <v>0</v>
      </c>
      <c r="E70" s="20" t="str">
        <f>IFERROR(__xludf.DUMMYFUNCTION("""COMPUTED_VALUE"""),"Easy")</f>
        <v>Easy</v>
      </c>
      <c r="F70" s="20">
        <f>IFERROR(__xludf.DUMMYFUNCTION("""COMPUTED_VALUE"""),5541.0)</f>
        <v>5541</v>
      </c>
      <c r="G70" s="20">
        <f>IFERROR(__xludf.DUMMYFUNCTION("""COMPUTED_VALUE"""),3780.0)</f>
        <v>3780</v>
      </c>
      <c r="H70" s="20" t="str">
        <f>IFERROR(__xludf.DUMMYFUNCTION("""COMPUTED_VALUE"""),"Algorithms")</f>
        <v>Algorithms</v>
      </c>
      <c r="I70" s="20">
        <f>IFERROR(__xludf.DUMMYFUNCTION("""COMPUTED_VALUE"""),0.372)</f>
        <v>0.372</v>
      </c>
      <c r="J70" s="20">
        <f>IFERROR(__xludf.DUMMYFUNCTION("""COMPUTED_VALUE"""),69.0)</f>
        <v>69</v>
      </c>
      <c r="K70" s="20" t="b">
        <f>IFERROR(__xludf.DUMMYFUNCTION("""COMPUTED_VALUE"""),FALSE)</f>
        <v>0</v>
      </c>
      <c r="L70" s="20" t="str">
        <f>IFERROR(__xludf.DUMMYFUNCTION("""COMPUTED_VALUE"""),"Math;Binary Search;")</f>
        <v>Math;Binary Search;</v>
      </c>
      <c r="M70" s="20" t="b">
        <f>IFERROR(__xludf.DUMMYFUNCTION("""COMPUTED_VALUE"""),TRUE)</f>
        <v>1</v>
      </c>
      <c r="N70" s="20" t="b">
        <f>IFERROR(__xludf.DUMMYFUNCTION("""COMPUTED_VALUE"""),FALSE)</f>
        <v>0</v>
      </c>
      <c r="O70" s="20">
        <f>IFERROR(__xludf.DUMMYFUNCTION("""COMPUTED_VALUE"""),37.1611622170857)</f>
        <v>37.16116222</v>
      </c>
      <c r="P70" s="20">
        <f>IFERROR(__xludf.DUMMYFUNCTION("""COMPUTED_VALUE"""),1317519.0)</f>
        <v>1317519</v>
      </c>
      <c r="Q70" s="20">
        <f>IFERROR(__xludf.DUMMYFUNCTION("""COMPUTED_VALUE"""),3545434.0)</f>
        <v>3545434</v>
      </c>
    </row>
    <row r="71">
      <c r="A71" s="20">
        <f>IFERROR(__xludf.DUMMYFUNCTION("""COMPUTED_VALUE"""),70.0)</f>
        <v>70</v>
      </c>
      <c r="B71" s="20" t="str">
        <f>IFERROR(__xludf.DUMMYFUNCTION("""COMPUTED_VALUE"""),"Climbing Stairs")</f>
        <v>Climbing Stairs</v>
      </c>
      <c r="C71" s="20" t="str">
        <f>IFERROR(__xludf.DUMMYFUNCTION("""COMPUTED_VALUE"""),"climbing-stairs")</f>
        <v>climbing-stairs</v>
      </c>
      <c r="D71" s="20" t="b">
        <f>IFERROR(__xludf.DUMMYFUNCTION("""COMPUTED_VALUE"""),FALSE)</f>
        <v>0</v>
      </c>
      <c r="E71" s="20" t="str">
        <f>IFERROR(__xludf.DUMMYFUNCTION("""COMPUTED_VALUE"""),"Easy")</f>
        <v>Easy</v>
      </c>
      <c r="F71" s="20">
        <f>IFERROR(__xludf.DUMMYFUNCTION("""COMPUTED_VALUE"""),16459.0)</f>
        <v>16459</v>
      </c>
      <c r="G71" s="20">
        <f>IFERROR(__xludf.DUMMYFUNCTION("""COMPUTED_VALUE"""),500.0)</f>
        <v>500</v>
      </c>
      <c r="H71" s="20" t="str">
        <f>IFERROR(__xludf.DUMMYFUNCTION("""COMPUTED_VALUE"""),"Algorithms")</f>
        <v>Algorithms</v>
      </c>
      <c r="I71" s="20">
        <f>IFERROR(__xludf.DUMMYFUNCTION("""COMPUTED_VALUE"""),0.521)</f>
        <v>0.521</v>
      </c>
      <c r="J71" s="20">
        <f>IFERROR(__xludf.DUMMYFUNCTION("""COMPUTED_VALUE"""),70.0)</f>
        <v>70</v>
      </c>
      <c r="K71" s="20" t="b">
        <f>IFERROR(__xludf.DUMMYFUNCTION("""COMPUTED_VALUE"""),FALSE)</f>
        <v>0</v>
      </c>
      <c r="L71" s="20" t="str">
        <f>IFERROR(__xludf.DUMMYFUNCTION("""COMPUTED_VALUE"""),"Math;Dynamic Programming;Memoization;")</f>
        <v>Math;Dynamic Programming;Memoization;</v>
      </c>
      <c r="M71" s="20" t="b">
        <f>IFERROR(__xludf.DUMMYFUNCTION("""COMPUTED_VALUE"""),TRUE)</f>
        <v>1</v>
      </c>
      <c r="N71" s="20" t="b">
        <f>IFERROR(__xludf.DUMMYFUNCTION("""COMPUTED_VALUE"""),FALSE)</f>
        <v>0</v>
      </c>
      <c r="O71" s="20">
        <f>IFERROR(__xludf.DUMMYFUNCTION("""COMPUTED_VALUE"""),52.1136246407781)</f>
        <v>52.11362464</v>
      </c>
      <c r="P71" s="20">
        <f>IFERROR(__xludf.DUMMYFUNCTION("""COMPUTED_VALUE"""),2121671.0)</f>
        <v>2121671</v>
      </c>
      <c r="Q71" s="20">
        <f>IFERROR(__xludf.DUMMYFUNCTION("""COMPUTED_VALUE"""),4071244.0)</f>
        <v>4071244</v>
      </c>
    </row>
    <row r="72">
      <c r="A72" s="20">
        <f>IFERROR(__xludf.DUMMYFUNCTION("""COMPUTED_VALUE"""),71.0)</f>
        <v>71</v>
      </c>
      <c r="B72" s="20" t="str">
        <f>IFERROR(__xludf.DUMMYFUNCTION("""COMPUTED_VALUE"""),"Simplify Path")</f>
        <v>Simplify Path</v>
      </c>
      <c r="C72" s="20" t="str">
        <f>IFERROR(__xludf.DUMMYFUNCTION("""COMPUTED_VALUE"""),"simplify-path")</f>
        <v>simplify-path</v>
      </c>
      <c r="D72" s="20" t="b">
        <f>IFERROR(__xludf.DUMMYFUNCTION("""COMPUTED_VALUE"""),FALSE)</f>
        <v>0</v>
      </c>
      <c r="E72" s="20" t="str">
        <f>IFERROR(__xludf.DUMMYFUNCTION("""COMPUTED_VALUE"""),"Medium")</f>
        <v>Medium</v>
      </c>
      <c r="F72" s="20">
        <f>IFERROR(__xludf.DUMMYFUNCTION("""COMPUTED_VALUE"""),3113.0)</f>
        <v>3113</v>
      </c>
      <c r="G72" s="20">
        <f>IFERROR(__xludf.DUMMYFUNCTION("""COMPUTED_VALUE"""),623.0)</f>
        <v>623</v>
      </c>
      <c r="H72" s="20" t="str">
        <f>IFERROR(__xludf.DUMMYFUNCTION("""COMPUTED_VALUE"""),"Algorithms")</f>
        <v>Algorithms</v>
      </c>
      <c r="I72" s="20">
        <f>IFERROR(__xludf.DUMMYFUNCTION("""COMPUTED_VALUE"""),0.392)</f>
        <v>0.392</v>
      </c>
      <c r="J72" s="20">
        <f>IFERROR(__xludf.DUMMYFUNCTION("""COMPUTED_VALUE"""),71.0)</f>
        <v>71</v>
      </c>
      <c r="K72" s="20" t="b">
        <f>IFERROR(__xludf.DUMMYFUNCTION("""COMPUTED_VALUE"""),FALSE)</f>
        <v>0</v>
      </c>
      <c r="L72" s="20" t="str">
        <f>IFERROR(__xludf.DUMMYFUNCTION("""COMPUTED_VALUE"""),"String;Stack;")</f>
        <v>String;Stack;</v>
      </c>
      <c r="M72" s="20" t="b">
        <f>IFERROR(__xludf.DUMMYFUNCTION("""COMPUTED_VALUE"""),TRUE)</f>
        <v>1</v>
      </c>
      <c r="N72" s="20" t="b">
        <f>IFERROR(__xludf.DUMMYFUNCTION("""COMPUTED_VALUE"""),FALSE)</f>
        <v>0</v>
      </c>
      <c r="O72" s="20">
        <f>IFERROR(__xludf.DUMMYFUNCTION("""COMPUTED_VALUE"""),39.2498812173143)</f>
        <v>39.24988122</v>
      </c>
      <c r="P72" s="20">
        <f>IFERROR(__xludf.DUMMYFUNCTION("""COMPUTED_VALUE"""),480772.0)</f>
        <v>480772</v>
      </c>
      <c r="Q72" s="20">
        <f>IFERROR(__xludf.DUMMYFUNCTION("""COMPUTED_VALUE"""),1224912.0)</f>
        <v>1224912</v>
      </c>
    </row>
    <row r="73">
      <c r="A73" s="20">
        <f>IFERROR(__xludf.DUMMYFUNCTION("""COMPUTED_VALUE"""),72.0)</f>
        <v>72</v>
      </c>
      <c r="B73" s="20" t="str">
        <f>IFERROR(__xludf.DUMMYFUNCTION("""COMPUTED_VALUE"""),"Edit Distance")</f>
        <v>Edit Distance</v>
      </c>
      <c r="C73" s="20" t="str">
        <f>IFERROR(__xludf.DUMMYFUNCTION("""COMPUTED_VALUE"""),"edit-distance")</f>
        <v>edit-distance</v>
      </c>
      <c r="D73" s="20" t="b">
        <f>IFERROR(__xludf.DUMMYFUNCTION("""COMPUTED_VALUE"""),FALSE)</f>
        <v>0</v>
      </c>
      <c r="E73" s="20" t="str">
        <f>IFERROR(__xludf.DUMMYFUNCTION("""COMPUTED_VALUE"""),"Hard")</f>
        <v>Hard</v>
      </c>
      <c r="F73" s="20">
        <f>IFERROR(__xludf.DUMMYFUNCTION("""COMPUTED_VALUE"""),10758.0)</f>
        <v>10758</v>
      </c>
      <c r="G73" s="20">
        <f>IFERROR(__xludf.DUMMYFUNCTION("""COMPUTED_VALUE"""),125.0)</f>
        <v>125</v>
      </c>
      <c r="H73" s="20" t="str">
        <f>IFERROR(__xludf.DUMMYFUNCTION("""COMPUTED_VALUE"""),"Algorithms")</f>
        <v>Algorithms</v>
      </c>
      <c r="I73" s="20">
        <f>IFERROR(__xludf.DUMMYFUNCTION("""COMPUTED_VALUE"""),0.529)</f>
        <v>0.529</v>
      </c>
      <c r="J73" s="20">
        <f>IFERROR(__xludf.DUMMYFUNCTION("""COMPUTED_VALUE"""),72.0)</f>
        <v>72</v>
      </c>
      <c r="K73" s="20" t="b">
        <f>IFERROR(__xludf.DUMMYFUNCTION("""COMPUTED_VALUE"""),FALSE)</f>
        <v>0</v>
      </c>
      <c r="L73" s="20" t="str">
        <f>IFERROR(__xludf.DUMMYFUNCTION("""COMPUTED_VALUE"""),"String;Dynamic Programming;")</f>
        <v>String;Dynamic Programming;</v>
      </c>
      <c r="M73" s="20" t="b">
        <f>IFERROR(__xludf.DUMMYFUNCTION("""COMPUTED_VALUE"""),TRUE)</f>
        <v>1</v>
      </c>
      <c r="N73" s="20" t="b">
        <f>IFERROR(__xludf.DUMMYFUNCTION("""COMPUTED_VALUE"""),FALSE)</f>
        <v>0</v>
      </c>
      <c r="O73" s="20">
        <f>IFERROR(__xludf.DUMMYFUNCTION("""COMPUTED_VALUE"""),52.9291698686109)</f>
        <v>52.92916987</v>
      </c>
      <c r="P73" s="20">
        <f>IFERROR(__xludf.DUMMYFUNCTION("""COMPUTED_VALUE"""),564776.0)</f>
        <v>564776</v>
      </c>
      <c r="Q73" s="20">
        <f>IFERROR(__xludf.DUMMYFUNCTION("""COMPUTED_VALUE"""),1067047.0)</f>
        <v>1067047</v>
      </c>
    </row>
    <row r="74">
      <c r="A74" s="20">
        <f>IFERROR(__xludf.DUMMYFUNCTION("""COMPUTED_VALUE"""),73.0)</f>
        <v>73</v>
      </c>
      <c r="B74" s="20" t="str">
        <f>IFERROR(__xludf.DUMMYFUNCTION("""COMPUTED_VALUE"""),"Set Matrix Zeroes")</f>
        <v>Set Matrix Zeroes</v>
      </c>
      <c r="C74" s="20" t="str">
        <f>IFERROR(__xludf.DUMMYFUNCTION("""COMPUTED_VALUE"""),"set-matrix-zeroes")</f>
        <v>set-matrix-zeroes</v>
      </c>
      <c r="D74" s="20" t="b">
        <f>IFERROR(__xludf.DUMMYFUNCTION("""COMPUTED_VALUE"""),FALSE)</f>
        <v>0</v>
      </c>
      <c r="E74" s="20" t="str">
        <f>IFERROR(__xludf.DUMMYFUNCTION("""COMPUTED_VALUE"""),"Medium")</f>
        <v>Medium</v>
      </c>
      <c r="F74" s="20">
        <f>IFERROR(__xludf.DUMMYFUNCTION("""COMPUTED_VALUE"""),10178.0)</f>
        <v>10178</v>
      </c>
      <c r="G74" s="20">
        <f>IFERROR(__xludf.DUMMYFUNCTION("""COMPUTED_VALUE"""),587.0)</f>
        <v>587</v>
      </c>
      <c r="H74" s="20" t="str">
        <f>IFERROR(__xludf.DUMMYFUNCTION("""COMPUTED_VALUE"""),"Algorithms")</f>
        <v>Algorithms</v>
      </c>
      <c r="I74" s="20">
        <f>IFERROR(__xludf.DUMMYFUNCTION("""COMPUTED_VALUE"""),0.504)</f>
        <v>0.504</v>
      </c>
      <c r="J74" s="20">
        <f>IFERROR(__xludf.DUMMYFUNCTION("""COMPUTED_VALUE"""),73.0)</f>
        <v>73</v>
      </c>
      <c r="K74" s="20" t="b">
        <f>IFERROR(__xludf.DUMMYFUNCTION("""COMPUTED_VALUE"""),FALSE)</f>
        <v>0</v>
      </c>
      <c r="L74" s="20" t="str">
        <f>IFERROR(__xludf.DUMMYFUNCTION("""COMPUTED_VALUE"""),"Array;Hash Table;Matrix;")</f>
        <v>Array;Hash Table;Matrix;</v>
      </c>
      <c r="M74" s="20" t="b">
        <f>IFERROR(__xludf.DUMMYFUNCTION("""COMPUTED_VALUE"""),TRUE)</f>
        <v>1</v>
      </c>
      <c r="N74" s="20" t="b">
        <f>IFERROR(__xludf.DUMMYFUNCTION("""COMPUTED_VALUE"""),FALSE)</f>
        <v>0</v>
      </c>
      <c r="O74" s="20">
        <f>IFERROR(__xludf.DUMMYFUNCTION("""COMPUTED_VALUE"""),50.4457717825984)</f>
        <v>50.44577178</v>
      </c>
      <c r="P74" s="20">
        <f>IFERROR(__xludf.DUMMYFUNCTION("""COMPUTED_VALUE"""),898004.0)</f>
        <v>898004</v>
      </c>
      <c r="Q74" s="20">
        <f>IFERROR(__xludf.DUMMYFUNCTION("""COMPUTED_VALUE"""),1780140.0)</f>
        <v>1780140</v>
      </c>
    </row>
    <row r="75">
      <c r="A75" s="20">
        <f>IFERROR(__xludf.DUMMYFUNCTION("""COMPUTED_VALUE"""),74.0)</f>
        <v>74</v>
      </c>
      <c r="B75" s="20" t="str">
        <f>IFERROR(__xludf.DUMMYFUNCTION("""COMPUTED_VALUE"""),"Search a 2D Matrix")</f>
        <v>Search a 2D Matrix</v>
      </c>
      <c r="C75" s="20" t="str">
        <f>IFERROR(__xludf.DUMMYFUNCTION("""COMPUTED_VALUE"""),"search-a-2d-matrix")</f>
        <v>search-a-2d-matrix</v>
      </c>
      <c r="D75" s="20" t="b">
        <f>IFERROR(__xludf.DUMMYFUNCTION("""COMPUTED_VALUE"""),FALSE)</f>
        <v>0</v>
      </c>
      <c r="E75" s="20" t="str">
        <f>IFERROR(__xludf.DUMMYFUNCTION("""COMPUTED_VALUE"""),"Medium")</f>
        <v>Medium</v>
      </c>
      <c r="F75" s="20">
        <f>IFERROR(__xludf.DUMMYFUNCTION("""COMPUTED_VALUE"""),10903.0)</f>
        <v>10903</v>
      </c>
      <c r="G75" s="20">
        <f>IFERROR(__xludf.DUMMYFUNCTION("""COMPUTED_VALUE"""),323.0)</f>
        <v>323</v>
      </c>
      <c r="H75" s="20" t="str">
        <f>IFERROR(__xludf.DUMMYFUNCTION("""COMPUTED_VALUE"""),"Algorithms")</f>
        <v>Algorithms</v>
      </c>
      <c r="I75" s="20">
        <f>IFERROR(__xludf.DUMMYFUNCTION("""COMPUTED_VALUE"""),0.472)</f>
        <v>0.472</v>
      </c>
      <c r="J75" s="20">
        <f>IFERROR(__xludf.DUMMYFUNCTION("""COMPUTED_VALUE"""),74.0)</f>
        <v>74</v>
      </c>
      <c r="K75" s="20" t="b">
        <f>IFERROR(__xludf.DUMMYFUNCTION("""COMPUTED_VALUE"""),FALSE)</f>
        <v>0</v>
      </c>
      <c r="L75" s="20" t="str">
        <f>IFERROR(__xludf.DUMMYFUNCTION("""COMPUTED_VALUE"""),"Array;Binary Search;Matrix;")</f>
        <v>Array;Binary Search;Matrix;</v>
      </c>
      <c r="M75" s="20" t="b">
        <f>IFERROR(__xludf.DUMMYFUNCTION("""COMPUTED_VALUE"""),TRUE)</f>
        <v>1</v>
      </c>
      <c r="N75" s="20" t="b">
        <f>IFERROR(__xludf.DUMMYFUNCTION("""COMPUTED_VALUE"""),FALSE)</f>
        <v>0</v>
      </c>
      <c r="O75" s="20">
        <f>IFERROR(__xludf.DUMMYFUNCTION("""COMPUTED_VALUE"""),47.2080141589966)</f>
        <v>47.20801416</v>
      </c>
      <c r="P75" s="20">
        <f>IFERROR(__xludf.DUMMYFUNCTION("""COMPUTED_VALUE"""),1086115.0)</f>
        <v>1086115</v>
      </c>
      <c r="Q75" s="20">
        <f>IFERROR(__xludf.DUMMYFUNCTION("""COMPUTED_VALUE"""),2300692.0)</f>
        <v>2300692</v>
      </c>
    </row>
    <row r="76">
      <c r="A76" s="20">
        <f>IFERROR(__xludf.DUMMYFUNCTION("""COMPUTED_VALUE"""),75.0)</f>
        <v>75</v>
      </c>
      <c r="B76" s="20" t="str">
        <f>IFERROR(__xludf.DUMMYFUNCTION("""COMPUTED_VALUE"""),"Sort Colors")</f>
        <v>Sort Colors</v>
      </c>
      <c r="C76" s="20" t="str">
        <f>IFERROR(__xludf.DUMMYFUNCTION("""COMPUTED_VALUE"""),"sort-colors")</f>
        <v>sort-colors</v>
      </c>
      <c r="D76" s="20" t="b">
        <f>IFERROR(__xludf.DUMMYFUNCTION("""COMPUTED_VALUE"""),FALSE)</f>
        <v>0</v>
      </c>
      <c r="E76" s="20" t="str">
        <f>IFERROR(__xludf.DUMMYFUNCTION("""COMPUTED_VALUE"""),"Medium")</f>
        <v>Medium</v>
      </c>
      <c r="F76" s="20">
        <f>IFERROR(__xludf.DUMMYFUNCTION("""COMPUTED_VALUE"""),13421.0)</f>
        <v>13421</v>
      </c>
      <c r="G76" s="20">
        <f>IFERROR(__xludf.DUMMYFUNCTION("""COMPUTED_VALUE"""),485.0)</f>
        <v>485</v>
      </c>
      <c r="H76" s="20" t="str">
        <f>IFERROR(__xludf.DUMMYFUNCTION("""COMPUTED_VALUE"""),"Algorithms")</f>
        <v>Algorithms</v>
      </c>
      <c r="I76" s="20">
        <f>IFERROR(__xludf.DUMMYFUNCTION("""COMPUTED_VALUE"""),0.577)</f>
        <v>0.577</v>
      </c>
      <c r="J76" s="20">
        <f>IFERROR(__xludf.DUMMYFUNCTION("""COMPUTED_VALUE"""),75.0)</f>
        <v>75</v>
      </c>
      <c r="K76" s="20" t="b">
        <f>IFERROR(__xludf.DUMMYFUNCTION("""COMPUTED_VALUE"""),FALSE)</f>
        <v>0</v>
      </c>
      <c r="L76" s="20" t="str">
        <f>IFERROR(__xludf.DUMMYFUNCTION("""COMPUTED_VALUE"""),"Array;Two Pointers;Sorting;")</f>
        <v>Array;Two Pointers;Sorting;</v>
      </c>
      <c r="M76" s="20" t="b">
        <f>IFERROR(__xludf.DUMMYFUNCTION("""COMPUTED_VALUE"""),TRUE)</f>
        <v>1</v>
      </c>
      <c r="N76" s="20" t="b">
        <f>IFERROR(__xludf.DUMMYFUNCTION("""COMPUTED_VALUE"""),FALSE)</f>
        <v>0</v>
      </c>
      <c r="O76" s="20">
        <f>IFERROR(__xludf.DUMMYFUNCTION("""COMPUTED_VALUE"""),57.6999738771654)</f>
        <v>57.69997388</v>
      </c>
      <c r="P76" s="20">
        <f>IFERROR(__xludf.DUMMYFUNCTION("""COMPUTED_VALUE"""),1289914.0)</f>
        <v>1289914</v>
      </c>
      <c r="Q76" s="20">
        <f>IFERROR(__xludf.DUMMYFUNCTION("""COMPUTED_VALUE"""),2235566.0)</f>
        <v>2235566</v>
      </c>
    </row>
    <row r="77">
      <c r="A77" s="20">
        <f>IFERROR(__xludf.DUMMYFUNCTION("""COMPUTED_VALUE"""),76.0)</f>
        <v>76</v>
      </c>
      <c r="B77" s="20" t="str">
        <f>IFERROR(__xludf.DUMMYFUNCTION("""COMPUTED_VALUE"""),"Minimum Window Substring")</f>
        <v>Minimum Window Substring</v>
      </c>
      <c r="C77" s="20" t="str">
        <f>IFERROR(__xludf.DUMMYFUNCTION("""COMPUTED_VALUE"""),"minimum-window-substring")</f>
        <v>minimum-window-substring</v>
      </c>
      <c r="D77" s="20" t="b">
        <f>IFERROR(__xludf.DUMMYFUNCTION("""COMPUTED_VALUE"""),FALSE)</f>
        <v>0</v>
      </c>
      <c r="E77" s="20" t="str">
        <f>IFERROR(__xludf.DUMMYFUNCTION("""COMPUTED_VALUE"""),"Hard")</f>
        <v>Hard</v>
      </c>
      <c r="F77" s="20">
        <f>IFERROR(__xludf.DUMMYFUNCTION("""COMPUTED_VALUE"""),13961.0)</f>
        <v>13961</v>
      </c>
      <c r="G77" s="20">
        <f>IFERROR(__xludf.DUMMYFUNCTION("""COMPUTED_VALUE"""),606.0)</f>
        <v>606</v>
      </c>
      <c r="H77" s="20" t="str">
        <f>IFERROR(__xludf.DUMMYFUNCTION("""COMPUTED_VALUE"""),"Algorithms")</f>
        <v>Algorithms</v>
      </c>
      <c r="I77" s="20">
        <f>IFERROR(__xludf.DUMMYFUNCTION("""COMPUTED_VALUE"""),0.408)</f>
        <v>0.408</v>
      </c>
      <c r="J77" s="20">
        <f>IFERROR(__xludf.DUMMYFUNCTION("""COMPUTED_VALUE"""),76.0)</f>
        <v>76</v>
      </c>
      <c r="K77" s="20" t="b">
        <f>IFERROR(__xludf.DUMMYFUNCTION("""COMPUTED_VALUE"""),FALSE)</f>
        <v>0</v>
      </c>
      <c r="L77" s="20" t="str">
        <f>IFERROR(__xludf.DUMMYFUNCTION("""COMPUTED_VALUE"""),"Hash Table;String;Sliding Window;")</f>
        <v>Hash Table;String;Sliding Window;</v>
      </c>
      <c r="M77" s="20" t="b">
        <f>IFERROR(__xludf.DUMMYFUNCTION("""COMPUTED_VALUE"""),TRUE)</f>
        <v>1</v>
      </c>
      <c r="N77" s="20" t="b">
        <f>IFERROR(__xludf.DUMMYFUNCTION("""COMPUTED_VALUE"""),FALSE)</f>
        <v>0</v>
      </c>
      <c r="O77" s="20">
        <f>IFERROR(__xludf.DUMMYFUNCTION("""COMPUTED_VALUE"""),40.7732104393385)</f>
        <v>40.77321044</v>
      </c>
      <c r="P77" s="20">
        <f>IFERROR(__xludf.DUMMYFUNCTION("""COMPUTED_VALUE"""),948158.0)</f>
        <v>948158</v>
      </c>
      <c r="Q77" s="20">
        <f>IFERROR(__xludf.DUMMYFUNCTION("""COMPUTED_VALUE"""),2325444.0)</f>
        <v>2325444</v>
      </c>
    </row>
    <row r="78">
      <c r="A78" s="20">
        <f>IFERROR(__xludf.DUMMYFUNCTION("""COMPUTED_VALUE"""),77.0)</f>
        <v>77</v>
      </c>
      <c r="B78" s="20" t="str">
        <f>IFERROR(__xludf.DUMMYFUNCTION("""COMPUTED_VALUE"""),"Combinations")</f>
        <v>Combinations</v>
      </c>
      <c r="C78" s="20" t="str">
        <f>IFERROR(__xludf.DUMMYFUNCTION("""COMPUTED_VALUE"""),"combinations")</f>
        <v>combinations</v>
      </c>
      <c r="D78" s="20" t="b">
        <f>IFERROR(__xludf.DUMMYFUNCTION("""COMPUTED_VALUE"""),FALSE)</f>
        <v>0</v>
      </c>
      <c r="E78" s="20" t="str">
        <f>IFERROR(__xludf.DUMMYFUNCTION("""COMPUTED_VALUE"""),"Medium")</f>
        <v>Medium</v>
      </c>
      <c r="F78" s="20">
        <f>IFERROR(__xludf.DUMMYFUNCTION("""COMPUTED_VALUE"""),5498.0)</f>
        <v>5498</v>
      </c>
      <c r="G78" s="20">
        <f>IFERROR(__xludf.DUMMYFUNCTION("""COMPUTED_VALUE"""),174.0)</f>
        <v>174</v>
      </c>
      <c r="H78" s="20" t="str">
        <f>IFERROR(__xludf.DUMMYFUNCTION("""COMPUTED_VALUE"""),"Algorithms")</f>
        <v>Algorithms</v>
      </c>
      <c r="I78" s="20">
        <f>IFERROR(__xludf.DUMMYFUNCTION("""COMPUTED_VALUE"""),0.664)</f>
        <v>0.664</v>
      </c>
      <c r="J78" s="20">
        <f>IFERROR(__xludf.DUMMYFUNCTION("""COMPUTED_VALUE"""),77.0)</f>
        <v>77</v>
      </c>
      <c r="K78" s="20" t="b">
        <f>IFERROR(__xludf.DUMMYFUNCTION("""COMPUTED_VALUE"""),FALSE)</f>
        <v>0</v>
      </c>
      <c r="L78" s="20" t="str">
        <f>IFERROR(__xludf.DUMMYFUNCTION("""COMPUTED_VALUE"""),"Backtracking;")</f>
        <v>Backtracking;</v>
      </c>
      <c r="M78" s="20" t="b">
        <f>IFERROR(__xludf.DUMMYFUNCTION("""COMPUTED_VALUE"""),TRUE)</f>
        <v>1</v>
      </c>
      <c r="N78" s="20" t="b">
        <f>IFERROR(__xludf.DUMMYFUNCTION("""COMPUTED_VALUE"""),FALSE)</f>
        <v>0</v>
      </c>
      <c r="O78" s="20">
        <f>IFERROR(__xludf.DUMMYFUNCTION("""COMPUTED_VALUE"""),66.4474957722211)</f>
        <v>66.44749577</v>
      </c>
      <c r="P78" s="20">
        <f>IFERROR(__xludf.DUMMYFUNCTION("""COMPUTED_VALUE"""),624741.0)</f>
        <v>624741</v>
      </c>
      <c r="Q78" s="20">
        <f>IFERROR(__xludf.DUMMYFUNCTION("""COMPUTED_VALUE"""),940198.0)</f>
        <v>940198</v>
      </c>
    </row>
    <row r="79">
      <c r="A79" s="20">
        <f>IFERROR(__xludf.DUMMYFUNCTION("""COMPUTED_VALUE"""),78.0)</f>
        <v>78</v>
      </c>
      <c r="B79" s="20" t="str">
        <f>IFERROR(__xludf.DUMMYFUNCTION("""COMPUTED_VALUE"""),"Subsets")</f>
        <v>Subsets</v>
      </c>
      <c r="C79" s="20" t="str">
        <f>IFERROR(__xludf.DUMMYFUNCTION("""COMPUTED_VALUE"""),"subsets")</f>
        <v>subsets</v>
      </c>
      <c r="D79" s="20" t="b">
        <f>IFERROR(__xludf.DUMMYFUNCTION("""COMPUTED_VALUE"""),FALSE)</f>
        <v>0</v>
      </c>
      <c r="E79" s="20" t="str">
        <f>IFERROR(__xludf.DUMMYFUNCTION("""COMPUTED_VALUE"""),"Medium")</f>
        <v>Medium</v>
      </c>
      <c r="F79" s="20">
        <f>IFERROR(__xludf.DUMMYFUNCTION("""COMPUTED_VALUE"""),13122.0)</f>
        <v>13122</v>
      </c>
      <c r="G79" s="20">
        <f>IFERROR(__xludf.DUMMYFUNCTION("""COMPUTED_VALUE"""),185.0)</f>
        <v>185</v>
      </c>
      <c r="H79" s="20" t="str">
        <f>IFERROR(__xludf.DUMMYFUNCTION("""COMPUTED_VALUE"""),"Algorithms")</f>
        <v>Algorithms</v>
      </c>
      <c r="I79" s="20">
        <f>IFERROR(__xludf.DUMMYFUNCTION("""COMPUTED_VALUE"""),0.743)</f>
        <v>0.743</v>
      </c>
      <c r="J79" s="20">
        <f>IFERROR(__xludf.DUMMYFUNCTION("""COMPUTED_VALUE"""),78.0)</f>
        <v>78</v>
      </c>
      <c r="K79" s="20" t="b">
        <f>IFERROR(__xludf.DUMMYFUNCTION("""COMPUTED_VALUE"""),FALSE)</f>
        <v>0</v>
      </c>
      <c r="L79" s="20" t="str">
        <f>IFERROR(__xludf.DUMMYFUNCTION("""COMPUTED_VALUE"""),"Array;Backtracking;Bit Manipulation;")</f>
        <v>Array;Backtracking;Bit Manipulation;</v>
      </c>
      <c r="M79" s="20" t="b">
        <f>IFERROR(__xludf.DUMMYFUNCTION("""COMPUTED_VALUE"""),TRUE)</f>
        <v>1</v>
      </c>
      <c r="N79" s="20" t="b">
        <f>IFERROR(__xludf.DUMMYFUNCTION("""COMPUTED_VALUE"""),FALSE)</f>
        <v>0</v>
      </c>
      <c r="O79" s="20">
        <f>IFERROR(__xludf.DUMMYFUNCTION("""COMPUTED_VALUE"""),74.2713805669932)</f>
        <v>74.27138057</v>
      </c>
      <c r="P79" s="20">
        <f>IFERROR(__xludf.DUMMYFUNCTION("""COMPUTED_VALUE"""),1333871.0)</f>
        <v>1333871</v>
      </c>
      <c r="Q79" s="20">
        <f>IFERROR(__xludf.DUMMYFUNCTION("""COMPUTED_VALUE"""),1795948.0)</f>
        <v>1795948</v>
      </c>
    </row>
    <row r="80">
      <c r="A80" s="20">
        <f>IFERROR(__xludf.DUMMYFUNCTION("""COMPUTED_VALUE"""),79.0)</f>
        <v>79</v>
      </c>
      <c r="B80" s="20" t="str">
        <f>IFERROR(__xludf.DUMMYFUNCTION("""COMPUTED_VALUE"""),"Word Search")</f>
        <v>Word Search</v>
      </c>
      <c r="C80" s="20" t="str">
        <f>IFERROR(__xludf.DUMMYFUNCTION("""COMPUTED_VALUE"""),"word-search")</f>
        <v>word-search</v>
      </c>
      <c r="D80" s="20" t="b">
        <f>IFERROR(__xludf.DUMMYFUNCTION("""COMPUTED_VALUE"""),FALSE)</f>
        <v>0</v>
      </c>
      <c r="E80" s="20" t="str">
        <f>IFERROR(__xludf.DUMMYFUNCTION("""COMPUTED_VALUE"""),"Medium")</f>
        <v>Medium</v>
      </c>
      <c r="F80" s="20">
        <f>IFERROR(__xludf.DUMMYFUNCTION("""COMPUTED_VALUE"""),12450.0)</f>
        <v>12450</v>
      </c>
      <c r="G80" s="20">
        <f>IFERROR(__xludf.DUMMYFUNCTION("""COMPUTED_VALUE"""),502.0)</f>
        <v>502</v>
      </c>
      <c r="H80" s="20" t="str">
        <f>IFERROR(__xludf.DUMMYFUNCTION("""COMPUTED_VALUE"""),"Algorithms")</f>
        <v>Algorithms</v>
      </c>
      <c r="I80" s="20">
        <f>IFERROR(__xludf.DUMMYFUNCTION("""COMPUTED_VALUE"""),0.401)</f>
        <v>0.401</v>
      </c>
      <c r="J80" s="20">
        <f>IFERROR(__xludf.DUMMYFUNCTION("""COMPUTED_VALUE"""),79.0)</f>
        <v>79</v>
      </c>
      <c r="K80" s="20" t="b">
        <f>IFERROR(__xludf.DUMMYFUNCTION("""COMPUTED_VALUE"""),FALSE)</f>
        <v>0</v>
      </c>
      <c r="L80" s="20" t="str">
        <f>IFERROR(__xludf.DUMMYFUNCTION("""COMPUTED_VALUE"""),"Array;Backtracking;Matrix;")</f>
        <v>Array;Backtracking;Matrix;</v>
      </c>
      <c r="M80" s="20" t="b">
        <f>IFERROR(__xludf.DUMMYFUNCTION("""COMPUTED_VALUE"""),TRUE)</f>
        <v>1</v>
      </c>
      <c r="N80" s="20" t="b">
        <f>IFERROR(__xludf.DUMMYFUNCTION("""COMPUTED_VALUE"""),FALSE)</f>
        <v>0</v>
      </c>
      <c r="O80" s="20">
        <f>IFERROR(__xludf.DUMMYFUNCTION("""COMPUTED_VALUE"""),40.1330840926862)</f>
        <v>40.13308409</v>
      </c>
      <c r="P80" s="20">
        <f>IFERROR(__xludf.DUMMYFUNCTION("""COMPUTED_VALUE"""),1202496.0)</f>
        <v>1202496</v>
      </c>
      <c r="Q80" s="20">
        <f>IFERROR(__xludf.DUMMYFUNCTION("""COMPUTED_VALUE"""),2996260.0)</f>
        <v>2996260</v>
      </c>
    </row>
    <row r="81">
      <c r="A81" s="20">
        <f>IFERROR(__xludf.DUMMYFUNCTION("""COMPUTED_VALUE"""),80.0)</f>
        <v>80</v>
      </c>
      <c r="B81" s="20" t="str">
        <f>IFERROR(__xludf.DUMMYFUNCTION("""COMPUTED_VALUE"""),"Remove Duplicates from Sorted Array II")</f>
        <v>Remove Duplicates from Sorted Array II</v>
      </c>
      <c r="C81" s="20" t="str">
        <f>IFERROR(__xludf.DUMMYFUNCTION("""COMPUTED_VALUE"""),"remove-duplicates-from-sorted-array-ii")</f>
        <v>remove-duplicates-from-sorted-array-ii</v>
      </c>
      <c r="D81" s="20" t="b">
        <f>IFERROR(__xludf.DUMMYFUNCTION("""COMPUTED_VALUE"""),FALSE)</f>
        <v>0</v>
      </c>
      <c r="E81" s="20" t="str">
        <f>IFERROR(__xludf.DUMMYFUNCTION("""COMPUTED_VALUE"""),"Medium")</f>
        <v>Medium</v>
      </c>
      <c r="F81" s="20">
        <f>IFERROR(__xludf.DUMMYFUNCTION("""COMPUTED_VALUE"""),4393.0)</f>
        <v>4393</v>
      </c>
      <c r="G81" s="20">
        <f>IFERROR(__xludf.DUMMYFUNCTION("""COMPUTED_VALUE"""),966.0)</f>
        <v>966</v>
      </c>
      <c r="H81" s="20" t="str">
        <f>IFERROR(__xludf.DUMMYFUNCTION("""COMPUTED_VALUE"""),"Algorithms")</f>
        <v>Algorithms</v>
      </c>
      <c r="I81" s="20">
        <f>IFERROR(__xludf.DUMMYFUNCTION("""COMPUTED_VALUE"""),0.519)</f>
        <v>0.519</v>
      </c>
      <c r="J81" s="20">
        <f>IFERROR(__xludf.DUMMYFUNCTION("""COMPUTED_VALUE"""),80.0)</f>
        <v>80</v>
      </c>
      <c r="K81" s="20" t="b">
        <f>IFERROR(__xludf.DUMMYFUNCTION("""COMPUTED_VALUE"""),FALSE)</f>
        <v>0</v>
      </c>
      <c r="L81" s="20" t="str">
        <f>IFERROR(__xludf.DUMMYFUNCTION("""COMPUTED_VALUE"""),"Array;Two Pointers;")</f>
        <v>Array;Two Pointers;</v>
      </c>
      <c r="M81" s="20" t="b">
        <f>IFERROR(__xludf.DUMMYFUNCTION("""COMPUTED_VALUE"""),TRUE)</f>
        <v>1</v>
      </c>
      <c r="N81" s="20" t="b">
        <f>IFERROR(__xludf.DUMMYFUNCTION("""COMPUTED_VALUE"""),FALSE)</f>
        <v>0</v>
      </c>
      <c r="O81" s="20">
        <f>IFERROR(__xludf.DUMMYFUNCTION("""COMPUTED_VALUE"""),51.8748472414785)</f>
        <v>51.87484724</v>
      </c>
      <c r="P81" s="20">
        <f>IFERROR(__xludf.DUMMYFUNCTION("""COMPUTED_VALUE"""),479665.0)</f>
        <v>479665</v>
      </c>
      <c r="Q81" s="20">
        <f>IFERROR(__xludf.DUMMYFUNCTION("""COMPUTED_VALUE"""),924660.0)</f>
        <v>924660</v>
      </c>
    </row>
    <row r="82">
      <c r="A82" s="20">
        <f>IFERROR(__xludf.DUMMYFUNCTION("""COMPUTED_VALUE"""),81.0)</f>
        <v>81</v>
      </c>
      <c r="B82" s="20" t="str">
        <f>IFERROR(__xludf.DUMMYFUNCTION("""COMPUTED_VALUE"""),"Search in Rotated Sorted Array II")</f>
        <v>Search in Rotated Sorted Array II</v>
      </c>
      <c r="C82" s="20" t="str">
        <f>IFERROR(__xludf.DUMMYFUNCTION("""COMPUTED_VALUE"""),"search-in-rotated-sorted-array-ii")</f>
        <v>search-in-rotated-sorted-array-ii</v>
      </c>
      <c r="D82" s="20" t="b">
        <f>IFERROR(__xludf.DUMMYFUNCTION("""COMPUTED_VALUE"""),FALSE)</f>
        <v>0</v>
      </c>
      <c r="E82" s="20" t="str">
        <f>IFERROR(__xludf.DUMMYFUNCTION("""COMPUTED_VALUE"""),"Medium")</f>
        <v>Medium</v>
      </c>
      <c r="F82" s="20">
        <f>IFERROR(__xludf.DUMMYFUNCTION("""COMPUTED_VALUE"""),5504.0)</f>
        <v>5504</v>
      </c>
      <c r="G82" s="20">
        <f>IFERROR(__xludf.DUMMYFUNCTION("""COMPUTED_VALUE"""),813.0)</f>
        <v>813</v>
      </c>
      <c r="H82" s="20" t="str">
        <f>IFERROR(__xludf.DUMMYFUNCTION("""COMPUTED_VALUE"""),"Algorithms")</f>
        <v>Algorithms</v>
      </c>
      <c r="I82" s="20">
        <f>IFERROR(__xludf.DUMMYFUNCTION("""COMPUTED_VALUE"""),0.358)</f>
        <v>0.358</v>
      </c>
      <c r="J82" s="20">
        <f>IFERROR(__xludf.DUMMYFUNCTION("""COMPUTED_VALUE"""),81.0)</f>
        <v>81</v>
      </c>
      <c r="K82" s="20" t="b">
        <f>IFERROR(__xludf.DUMMYFUNCTION("""COMPUTED_VALUE"""),FALSE)</f>
        <v>0</v>
      </c>
      <c r="L82" s="20" t="str">
        <f>IFERROR(__xludf.DUMMYFUNCTION("""COMPUTED_VALUE"""),"Array;Binary Search;")</f>
        <v>Array;Binary Search;</v>
      </c>
      <c r="M82" s="20" t="b">
        <f>IFERROR(__xludf.DUMMYFUNCTION("""COMPUTED_VALUE"""),TRUE)</f>
        <v>1</v>
      </c>
      <c r="N82" s="20" t="b">
        <f>IFERROR(__xludf.DUMMYFUNCTION("""COMPUTED_VALUE"""),FALSE)</f>
        <v>0</v>
      </c>
      <c r="O82" s="20">
        <f>IFERROR(__xludf.DUMMYFUNCTION("""COMPUTED_VALUE"""),35.754433012462)</f>
        <v>35.75443301</v>
      </c>
      <c r="P82" s="20">
        <f>IFERROR(__xludf.DUMMYFUNCTION("""COMPUTED_VALUE"""),482371.0)</f>
        <v>482371</v>
      </c>
      <c r="Q82" s="20">
        <f>IFERROR(__xludf.DUMMYFUNCTION("""COMPUTED_VALUE"""),1349116.0)</f>
        <v>1349116</v>
      </c>
    </row>
    <row r="83">
      <c r="A83" s="20">
        <f>IFERROR(__xludf.DUMMYFUNCTION("""COMPUTED_VALUE"""),82.0)</f>
        <v>82</v>
      </c>
      <c r="B83" s="20" t="str">
        <f>IFERROR(__xludf.DUMMYFUNCTION("""COMPUTED_VALUE"""),"Remove Duplicates from Sorted List II")</f>
        <v>Remove Duplicates from Sorted List II</v>
      </c>
      <c r="C83" s="20" t="str">
        <f>IFERROR(__xludf.DUMMYFUNCTION("""COMPUTED_VALUE"""),"remove-duplicates-from-sorted-list-ii")</f>
        <v>remove-duplicates-from-sorted-list-ii</v>
      </c>
      <c r="D83" s="20" t="b">
        <f>IFERROR(__xludf.DUMMYFUNCTION("""COMPUTED_VALUE"""),FALSE)</f>
        <v>0</v>
      </c>
      <c r="E83" s="20" t="str">
        <f>IFERROR(__xludf.DUMMYFUNCTION("""COMPUTED_VALUE"""),"Medium")</f>
        <v>Medium</v>
      </c>
      <c r="F83" s="20">
        <f>IFERROR(__xludf.DUMMYFUNCTION("""COMPUTED_VALUE"""),7078.0)</f>
        <v>7078</v>
      </c>
      <c r="G83" s="20">
        <f>IFERROR(__xludf.DUMMYFUNCTION("""COMPUTED_VALUE"""),186.0)</f>
        <v>186</v>
      </c>
      <c r="H83" s="20" t="str">
        <f>IFERROR(__xludf.DUMMYFUNCTION("""COMPUTED_VALUE"""),"Algorithms")</f>
        <v>Algorithms</v>
      </c>
      <c r="I83" s="20">
        <f>IFERROR(__xludf.DUMMYFUNCTION("""COMPUTED_VALUE"""),0.456)</f>
        <v>0.456</v>
      </c>
      <c r="J83" s="20">
        <f>IFERROR(__xludf.DUMMYFUNCTION("""COMPUTED_VALUE"""),82.0)</f>
        <v>82</v>
      </c>
      <c r="K83" s="20" t="b">
        <f>IFERROR(__xludf.DUMMYFUNCTION("""COMPUTED_VALUE"""),FALSE)</f>
        <v>0</v>
      </c>
      <c r="L83" s="20" t="str">
        <f>IFERROR(__xludf.DUMMYFUNCTION("""COMPUTED_VALUE"""),"Linked List;Two Pointers;")</f>
        <v>Linked List;Two Pointers;</v>
      </c>
      <c r="M83" s="20" t="b">
        <f>IFERROR(__xludf.DUMMYFUNCTION("""COMPUTED_VALUE"""),TRUE)</f>
        <v>1</v>
      </c>
      <c r="N83" s="20" t="b">
        <f>IFERROR(__xludf.DUMMYFUNCTION("""COMPUTED_VALUE"""),FALSE)</f>
        <v>0</v>
      </c>
      <c r="O83" s="20">
        <f>IFERROR(__xludf.DUMMYFUNCTION("""COMPUTED_VALUE"""),45.627777383632)</f>
        <v>45.62777738</v>
      </c>
      <c r="P83" s="20">
        <f>IFERROR(__xludf.DUMMYFUNCTION("""COMPUTED_VALUE"""),565946.0)</f>
        <v>565946</v>
      </c>
      <c r="Q83" s="20">
        <f>IFERROR(__xludf.DUMMYFUNCTION("""COMPUTED_VALUE"""),1240365.0)</f>
        <v>1240365</v>
      </c>
    </row>
    <row r="84">
      <c r="A84" s="20">
        <f>IFERROR(__xludf.DUMMYFUNCTION("""COMPUTED_VALUE"""),83.0)</f>
        <v>83</v>
      </c>
      <c r="B84" s="20" t="str">
        <f>IFERROR(__xludf.DUMMYFUNCTION("""COMPUTED_VALUE"""),"Remove Duplicates from Sorted List")</f>
        <v>Remove Duplicates from Sorted List</v>
      </c>
      <c r="C84" s="20" t="str">
        <f>IFERROR(__xludf.DUMMYFUNCTION("""COMPUTED_VALUE"""),"remove-duplicates-from-sorted-list")</f>
        <v>remove-duplicates-from-sorted-list</v>
      </c>
      <c r="D84" s="20" t="b">
        <f>IFERROR(__xludf.DUMMYFUNCTION("""COMPUTED_VALUE"""),FALSE)</f>
        <v>0</v>
      </c>
      <c r="E84" s="20" t="str">
        <f>IFERROR(__xludf.DUMMYFUNCTION("""COMPUTED_VALUE"""),"Easy")</f>
        <v>Easy</v>
      </c>
      <c r="F84" s="20">
        <f>IFERROR(__xludf.DUMMYFUNCTION("""COMPUTED_VALUE"""),6484.0)</f>
        <v>6484</v>
      </c>
      <c r="G84" s="20">
        <f>IFERROR(__xludf.DUMMYFUNCTION("""COMPUTED_VALUE"""),225.0)</f>
        <v>225</v>
      </c>
      <c r="H84" s="20" t="str">
        <f>IFERROR(__xludf.DUMMYFUNCTION("""COMPUTED_VALUE"""),"Algorithms")</f>
        <v>Algorithms</v>
      </c>
      <c r="I84" s="20">
        <f>IFERROR(__xludf.DUMMYFUNCTION("""COMPUTED_VALUE"""),0.501)</f>
        <v>0.501</v>
      </c>
      <c r="J84" s="20">
        <f>IFERROR(__xludf.DUMMYFUNCTION("""COMPUTED_VALUE"""),83.0)</f>
        <v>83</v>
      </c>
      <c r="K84" s="20" t="b">
        <f>IFERROR(__xludf.DUMMYFUNCTION("""COMPUTED_VALUE"""),FALSE)</f>
        <v>0</v>
      </c>
      <c r="L84" s="20" t="str">
        <f>IFERROR(__xludf.DUMMYFUNCTION("""COMPUTED_VALUE"""),"Linked List;")</f>
        <v>Linked List;</v>
      </c>
      <c r="M84" s="20" t="b">
        <f>IFERROR(__xludf.DUMMYFUNCTION("""COMPUTED_VALUE"""),TRUE)</f>
        <v>1</v>
      </c>
      <c r="N84" s="20" t="b">
        <f>IFERROR(__xludf.DUMMYFUNCTION("""COMPUTED_VALUE"""),FALSE)</f>
        <v>0</v>
      </c>
      <c r="O84" s="20">
        <f>IFERROR(__xludf.DUMMYFUNCTION("""COMPUTED_VALUE"""),50.1155665850682)</f>
        <v>50.11556659</v>
      </c>
      <c r="P84" s="20">
        <f>IFERROR(__xludf.DUMMYFUNCTION("""COMPUTED_VALUE"""),1071101.0)</f>
        <v>1071101</v>
      </c>
      <c r="Q84" s="20">
        <f>IFERROR(__xludf.DUMMYFUNCTION("""COMPUTED_VALUE"""),2137266.0)</f>
        <v>2137266</v>
      </c>
    </row>
    <row r="85">
      <c r="A85" s="20">
        <f>IFERROR(__xludf.DUMMYFUNCTION("""COMPUTED_VALUE"""),84.0)</f>
        <v>84</v>
      </c>
      <c r="B85" s="20" t="str">
        <f>IFERROR(__xludf.DUMMYFUNCTION("""COMPUTED_VALUE"""),"Largest Rectangle in Histogram")</f>
        <v>Largest Rectangle in Histogram</v>
      </c>
      <c r="C85" s="20" t="str">
        <f>IFERROR(__xludf.DUMMYFUNCTION("""COMPUTED_VALUE"""),"largest-rectangle-in-histogram")</f>
        <v>largest-rectangle-in-histogram</v>
      </c>
      <c r="D85" s="20" t="b">
        <f>IFERROR(__xludf.DUMMYFUNCTION("""COMPUTED_VALUE"""),FALSE)</f>
        <v>0</v>
      </c>
      <c r="E85" s="20" t="str">
        <f>IFERROR(__xludf.DUMMYFUNCTION("""COMPUTED_VALUE"""),"Hard")</f>
        <v>Hard</v>
      </c>
      <c r="F85" s="20">
        <f>IFERROR(__xludf.DUMMYFUNCTION("""COMPUTED_VALUE"""),12998.0)</f>
        <v>12998</v>
      </c>
      <c r="G85" s="20">
        <f>IFERROR(__xludf.DUMMYFUNCTION("""COMPUTED_VALUE"""),184.0)</f>
        <v>184</v>
      </c>
      <c r="H85" s="20" t="str">
        <f>IFERROR(__xludf.DUMMYFUNCTION("""COMPUTED_VALUE"""),"Algorithms")</f>
        <v>Algorithms</v>
      </c>
      <c r="I85" s="20">
        <f>IFERROR(__xludf.DUMMYFUNCTION("""COMPUTED_VALUE"""),0.423)</f>
        <v>0.423</v>
      </c>
      <c r="J85" s="20">
        <f>IFERROR(__xludf.DUMMYFUNCTION("""COMPUTED_VALUE"""),84.0)</f>
        <v>84</v>
      </c>
      <c r="K85" s="20" t="b">
        <f>IFERROR(__xludf.DUMMYFUNCTION("""COMPUTED_VALUE"""),FALSE)</f>
        <v>0</v>
      </c>
      <c r="L85" s="20" t="str">
        <f>IFERROR(__xludf.DUMMYFUNCTION("""COMPUTED_VALUE"""),"Array;Stack;Monotonic Stack;")</f>
        <v>Array;Stack;Monotonic Stack;</v>
      </c>
      <c r="M85" s="20" t="b">
        <f>IFERROR(__xludf.DUMMYFUNCTION("""COMPUTED_VALUE"""),TRUE)</f>
        <v>1</v>
      </c>
      <c r="N85" s="20" t="b">
        <f>IFERROR(__xludf.DUMMYFUNCTION("""COMPUTED_VALUE"""),TRUE)</f>
        <v>1</v>
      </c>
      <c r="O85" s="20">
        <f>IFERROR(__xludf.DUMMYFUNCTION("""COMPUTED_VALUE"""),42.3153455536373)</f>
        <v>42.31534555</v>
      </c>
      <c r="P85" s="20">
        <f>IFERROR(__xludf.DUMMYFUNCTION("""COMPUTED_VALUE"""),619888.0)</f>
        <v>619888</v>
      </c>
      <c r="Q85" s="20">
        <f>IFERROR(__xludf.DUMMYFUNCTION("""COMPUTED_VALUE"""),1464925.0)</f>
        <v>1464925</v>
      </c>
    </row>
    <row r="86">
      <c r="A86" s="20">
        <f>IFERROR(__xludf.DUMMYFUNCTION("""COMPUTED_VALUE"""),85.0)</f>
        <v>85</v>
      </c>
      <c r="B86" s="20" t="str">
        <f>IFERROR(__xludf.DUMMYFUNCTION("""COMPUTED_VALUE"""),"Maximal Rectangle")</f>
        <v>Maximal Rectangle</v>
      </c>
      <c r="C86" s="20" t="str">
        <f>IFERROR(__xludf.DUMMYFUNCTION("""COMPUTED_VALUE"""),"maximal-rectangle")</f>
        <v>maximal-rectangle</v>
      </c>
      <c r="D86" s="20" t="b">
        <f>IFERROR(__xludf.DUMMYFUNCTION("""COMPUTED_VALUE"""),FALSE)</f>
        <v>0</v>
      </c>
      <c r="E86" s="20" t="str">
        <f>IFERROR(__xludf.DUMMYFUNCTION("""COMPUTED_VALUE"""),"Hard")</f>
        <v>Hard</v>
      </c>
      <c r="F86" s="20">
        <f>IFERROR(__xludf.DUMMYFUNCTION("""COMPUTED_VALUE"""),8060.0)</f>
        <v>8060</v>
      </c>
      <c r="G86" s="20">
        <f>IFERROR(__xludf.DUMMYFUNCTION("""COMPUTED_VALUE"""),129.0)</f>
        <v>129</v>
      </c>
      <c r="H86" s="20" t="str">
        <f>IFERROR(__xludf.DUMMYFUNCTION("""COMPUTED_VALUE"""),"Algorithms")</f>
        <v>Algorithms</v>
      </c>
      <c r="I86" s="20">
        <f>IFERROR(__xludf.DUMMYFUNCTION("""COMPUTED_VALUE"""),0.444)</f>
        <v>0.444</v>
      </c>
      <c r="J86" s="20">
        <f>IFERROR(__xludf.DUMMYFUNCTION("""COMPUTED_VALUE"""),85.0)</f>
        <v>85</v>
      </c>
      <c r="K86" s="20" t="b">
        <f>IFERROR(__xludf.DUMMYFUNCTION("""COMPUTED_VALUE"""),FALSE)</f>
        <v>0</v>
      </c>
      <c r="L86" s="20" t="str">
        <f>IFERROR(__xludf.DUMMYFUNCTION("""COMPUTED_VALUE"""),"Array;Dynamic Programming;Stack;Matrix;Monotonic Stack;")</f>
        <v>Array;Dynamic Programming;Stack;Matrix;Monotonic Stack;</v>
      </c>
      <c r="M86" s="20" t="b">
        <f>IFERROR(__xludf.DUMMYFUNCTION("""COMPUTED_VALUE"""),TRUE)</f>
        <v>1</v>
      </c>
      <c r="N86" s="20" t="b">
        <f>IFERROR(__xludf.DUMMYFUNCTION("""COMPUTED_VALUE"""),FALSE)</f>
        <v>0</v>
      </c>
      <c r="O86" s="20">
        <f>IFERROR(__xludf.DUMMYFUNCTION("""COMPUTED_VALUE"""),44.3667328797869)</f>
        <v>44.36673288</v>
      </c>
      <c r="P86" s="20">
        <f>IFERROR(__xludf.DUMMYFUNCTION("""COMPUTED_VALUE"""),330115.0)</f>
        <v>330115</v>
      </c>
      <c r="Q86" s="20">
        <f>IFERROR(__xludf.DUMMYFUNCTION("""COMPUTED_VALUE"""),744058.0)</f>
        <v>744058</v>
      </c>
    </row>
    <row r="87">
      <c r="A87" s="20">
        <f>IFERROR(__xludf.DUMMYFUNCTION("""COMPUTED_VALUE"""),86.0)</f>
        <v>86</v>
      </c>
      <c r="B87" s="20" t="str">
        <f>IFERROR(__xludf.DUMMYFUNCTION("""COMPUTED_VALUE"""),"Partition List")</f>
        <v>Partition List</v>
      </c>
      <c r="C87" s="20" t="str">
        <f>IFERROR(__xludf.DUMMYFUNCTION("""COMPUTED_VALUE"""),"partition-list")</f>
        <v>partition-list</v>
      </c>
      <c r="D87" s="20" t="b">
        <f>IFERROR(__xludf.DUMMYFUNCTION("""COMPUTED_VALUE"""),FALSE)</f>
        <v>0</v>
      </c>
      <c r="E87" s="20" t="str">
        <f>IFERROR(__xludf.DUMMYFUNCTION("""COMPUTED_VALUE"""),"Medium")</f>
        <v>Medium</v>
      </c>
      <c r="F87" s="20">
        <f>IFERROR(__xludf.DUMMYFUNCTION("""COMPUTED_VALUE"""),5061.0)</f>
        <v>5061</v>
      </c>
      <c r="G87" s="20">
        <f>IFERROR(__xludf.DUMMYFUNCTION("""COMPUTED_VALUE"""),601.0)</f>
        <v>601</v>
      </c>
      <c r="H87" s="20" t="str">
        <f>IFERROR(__xludf.DUMMYFUNCTION("""COMPUTED_VALUE"""),"Algorithms")</f>
        <v>Algorithms</v>
      </c>
      <c r="I87" s="20">
        <f>IFERROR(__xludf.DUMMYFUNCTION("""COMPUTED_VALUE"""),0.516)</f>
        <v>0.516</v>
      </c>
      <c r="J87" s="20">
        <f>IFERROR(__xludf.DUMMYFUNCTION("""COMPUTED_VALUE"""),86.0)</f>
        <v>86</v>
      </c>
      <c r="K87" s="20" t="b">
        <f>IFERROR(__xludf.DUMMYFUNCTION("""COMPUTED_VALUE"""),FALSE)</f>
        <v>0</v>
      </c>
      <c r="L87" s="20" t="str">
        <f>IFERROR(__xludf.DUMMYFUNCTION("""COMPUTED_VALUE"""),"Linked List;Two Pointers;")</f>
        <v>Linked List;Two Pointers;</v>
      </c>
      <c r="M87" s="20" t="b">
        <f>IFERROR(__xludf.DUMMYFUNCTION("""COMPUTED_VALUE"""),TRUE)</f>
        <v>1</v>
      </c>
      <c r="N87" s="20" t="b">
        <f>IFERROR(__xludf.DUMMYFUNCTION("""COMPUTED_VALUE"""),FALSE)</f>
        <v>0</v>
      </c>
      <c r="O87" s="20">
        <f>IFERROR(__xludf.DUMMYFUNCTION("""COMPUTED_VALUE"""),51.6012768037729)</f>
        <v>51.6012768</v>
      </c>
      <c r="P87" s="20">
        <f>IFERROR(__xludf.DUMMYFUNCTION("""COMPUTED_VALUE"""),430652.0)</f>
        <v>430652</v>
      </c>
      <c r="Q87" s="20">
        <f>IFERROR(__xludf.DUMMYFUNCTION("""COMPUTED_VALUE"""),834576.0)</f>
        <v>834576</v>
      </c>
    </row>
    <row r="88">
      <c r="A88" s="20">
        <f>IFERROR(__xludf.DUMMYFUNCTION("""COMPUTED_VALUE"""),87.0)</f>
        <v>87</v>
      </c>
      <c r="B88" s="20" t="str">
        <f>IFERROR(__xludf.DUMMYFUNCTION("""COMPUTED_VALUE"""),"Scramble String")</f>
        <v>Scramble String</v>
      </c>
      <c r="C88" s="20" t="str">
        <f>IFERROR(__xludf.DUMMYFUNCTION("""COMPUTED_VALUE"""),"scramble-string")</f>
        <v>scramble-string</v>
      </c>
      <c r="D88" s="20" t="b">
        <f>IFERROR(__xludf.DUMMYFUNCTION("""COMPUTED_VALUE"""),FALSE)</f>
        <v>0</v>
      </c>
      <c r="E88" s="20" t="str">
        <f>IFERROR(__xludf.DUMMYFUNCTION("""COMPUTED_VALUE"""),"Hard")</f>
        <v>Hard</v>
      </c>
      <c r="F88" s="20">
        <f>IFERROR(__xludf.DUMMYFUNCTION("""COMPUTED_VALUE"""),1928.0)</f>
        <v>1928</v>
      </c>
      <c r="G88" s="20">
        <f>IFERROR(__xludf.DUMMYFUNCTION("""COMPUTED_VALUE"""),978.0)</f>
        <v>978</v>
      </c>
      <c r="H88" s="20" t="str">
        <f>IFERROR(__xludf.DUMMYFUNCTION("""COMPUTED_VALUE"""),"Algorithms")</f>
        <v>Algorithms</v>
      </c>
      <c r="I88" s="20">
        <f>IFERROR(__xludf.DUMMYFUNCTION("""COMPUTED_VALUE"""),0.361)</f>
        <v>0.361</v>
      </c>
      <c r="J88" s="20">
        <f>IFERROR(__xludf.DUMMYFUNCTION("""COMPUTED_VALUE"""),87.0)</f>
        <v>87</v>
      </c>
      <c r="K88" s="20" t="b">
        <f>IFERROR(__xludf.DUMMYFUNCTION("""COMPUTED_VALUE"""),FALSE)</f>
        <v>0</v>
      </c>
      <c r="L88" s="20" t="str">
        <f>IFERROR(__xludf.DUMMYFUNCTION("""COMPUTED_VALUE"""),"String;Dynamic Programming;")</f>
        <v>String;Dynamic Programming;</v>
      </c>
      <c r="M88" s="20" t="b">
        <f>IFERROR(__xludf.DUMMYFUNCTION("""COMPUTED_VALUE"""),FALSE)</f>
        <v>0</v>
      </c>
      <c r="N88" s="20" t="b">
        <f>IFERROR(__xludf.DUMMYFUNCTION("""COMPUTED_VALUE"""),FALSE)</f>
        <v>0</v>
      </c>
      <c r="O88" s="20">
        <f>IFERROR(__xludf.DUMMYFUNCTION("""COMPUTED_VALUE"""),36.0970629275431)</f>
        <v>36.09706293</v>
      </c>
      <c r="P88" s="20">
        <f>IFERROR(__xludf.DUMMYFUNCTION("""COMPUTED_VALUE"""),159095.0)</f>
        <v>159095</v>
      </c>
      <c r="Q88" s="20">
        <f>IFERROR(__xludf.DUMMYFUNCTION("""COMPUTED_VALUE"""),440738.0)</f>
        <v>440738</v>
      </c>
    </row>
    <row r="89">
      <c r="A89" s="20">
        <f>IFERROR(__xludf.DUMMYFUNCTION("""COMPUTED_VALUE"""),88.0)</f>
        <v>88</v>
      </c>
      <c r="B89" s="20" t="str">
        <f>IFERROR(__xludf.DUMMYFUNCTION("""COMPUTED_VALUE"""),"Merge Sorted Array")</f>
        <v>Merge Sorted Array</v>
      </c>
      <c r="C89" s="20" t="str">
        <f>IFERROR(__xludf.DUMMYFUNCTION("""COMPUTED_VALUE"""),"merge-sorted-array")</f>
        <v>merge-sorted-array</v>
      </c>
      <c r="D89" s="20" t="b">
        <f>IFERROR(__xludf.DUMMYFUNCTION("""COMPUTED_VALUE"""),FALSE)</f>
        <v>0</v>
      </c>
      <c r="E89" s="20" t="str">
        <f>IFERROR(__xludf.DUMMYFUNCTION("""COMPUTED_VALUE"""),"Easy")</f>
        <v>Easy</v>
      </c>
      <c r="F89" s="20">
        <f>IFERROR(__xludf.DUMMYFUNCTION("""COMPUTED_VALUE"""),8801.0)</f>
        <v>8801</v>
      </c>
      <c r="G89" s="20">
        <f>IFERROR(__xludf.DUMMYFUNCTION("""COMPUTED_VALUE"""),806.0)</f>
        <v>806</v>
      </c>
      <c r="H89" s="20" t="str">
        <f>IFERROR(__xludf.DUMMYFUNCTION("""COMPUTED_VALUE"""),"Algorithms")</f>
        <v>Algorithms</v>
      </c>
      <c r="I89" s="20">
        <f>IFERROR(__xludf.DUMMYFUNCTION("""COMPUTED_VALUE"""),0.46)</f>
        <v>0.46</v>
      </c>
      <c r="J89" s="20">
        <f>IFERROR(__xludf.DUMMYFUNCTION("""COMPUTED_VALUE"""),88.0)</f>
        <v>88</v>
      </c>
      <c r="K89" s="20" t="b">
        <f>IFERROR(__xludf.DUMMYFUNCTION("""COMPUTED_VALUE"""),FALSE)</f>
        <v>0</v>
      </c>
      <c r="L89" s="20" t="str">
        <f>IFERROR(__xludf.DUMMYFUNCTION("""COMPUTED_VALUE"""),"Array;Two Pointers;Sorting;")</f>
        <v>Array;Two Pointers;Sorting;</v>
      </c>
      <c r="M89" s="20" t="b">
        <f>IFERROR(__xludf.DUMMYFUNCTION("""COMPUTED_VALUE"""),TRUE)</f>
        <v>1</v>
      </c>
      <c r="N89" s="20" t="b">
        <f>IFERROR(__xludf.DUMMYFUNCTION("""COMPUTED_VALUE"""),TRUE)</f>
        <v>1</v>
      </c>
      <c r="O89" s="20">
        <f>IFERROR(__xludf.DUMMYFUNCTION("""COMPUTED_VALUE"""),46.0352186200861)</f>
        <v>46.03521862</v>
      </c>
      <c r="P89" s="20">
        <f>IFERROR(__xludf.DUMMYFUNCTION("""COMPUTED_VALUE"""),1820565.0)</f>
        <v>1820565</v>
      </c>
      <c r="Q89" s="20">
        <f>IFERROR(__xludf.DUMMYFUNCTION("""COMPUTED_VALUE"""),3954740.0)</f>
        <v>3954740</v>
      </c>
    </row>
    <row r="90">
      <c r="A90" s="20">
        <f>IFERROR(__xludf.DUMMYFUNCTION("""COMPUTED_VALUE"""),89.0)</f>
        <v>89</v>
      </c>
      <c r="B90" s="20" t="str">
        <f>IFERROR(__xludf.DUMMYFUNCTION("""COMPUTED_VALUE"""),"Gray Code")</f>
        <v>Gray Code</v>
      </c>
      <c r="C90" s="20" t="str">
        <f>IFERROR(__xludf.DUMMYFUNCTION("""COMPUTED_VALUE"""),"gray-code")</f>
        <v>gray-code</v>
      </c>
      <c r="D90" s="20" t="b">
        <f>IFERROR(__xludf.DUMMYFUNCTION("""COMPUTED_VALUE"""),FALSE)</f>
        <v>0</v>
      </c>
      <c r="E90" s="20" t="str">
        <f>IFERROR(__xludf.DUMMYFUNCTION("""COMPUTED_VALUE"""),"Medium")</f>
        <v>Medium</v>
      </c>
      <c r="F90" s="20">
        <f>IFERROR(__xludf.DUMMYFUNCTION("""COMPUTED_VALUE"""),1759.0)</f>
        <v>1759</v>
      </c>
      <c r="G90" s="20">
        <f>IFERROR(__xludf.DUMMYFUNCTION("""COMPUTED_VALUE"""),2436.0)</f>
        <v>2436</v>
      </c>
      <c r="H90" s="20" t="str">
        <f>IFERROR(__xludf.DUMMYFUNCTION("""COMPUTED_VALUE"""),"Algorithms")</f>
        <v>Algorithms</v>
      </c>
      <c r="I90" s="20">
        <f>IFERROR(__xludf.DUMMYFUNCTION("""COMPUTED_VALUE"""),0.568)</f>
        <v>0.568</v>
      </c>
      <c r="J90" s="20">
        <f>IFERROR(__xludf.DUMMYFUNCTION("""COMPUTED_VALUE"""),89.0)</f>
        <v>89</v>
      </c>
      <c r="K90" s="20" t="b">
        <f>IFERROR(__xludf.DUMMYFUNCTION("""COMPUTED_VALUE"""),FALSE)</f>
        <v>0</v>
      </c>
      <c r="L90" s="20" t="str">
        <f>IFERROR(__xludf.DUMMYFUNCTION("""COMPUTED_VALUE"""),"Math;Backtracking;Bit Manipulation;")</f>
        <v>Math;Backtracking;Bit Manipulation;</v>
      </c>
      <c r="M90" s="20" t="b">
        <f>IFERROR(__xludf.DUMMYFUNCTION("""COMPUTED_VALUE"""),TRUE)</f>
        <v>1</v>
      </c>
      <c r="N90" s="20" t="b">
        <f>IFERROR(__xludf.DUMMYFUNCTION("""COMPUTED_VALUE"""),FALSE)</f>
        <v>0</v>
      </c>
      <c r="O90" s="20">
        <f>IFERROR(__xludf.DUMMYFUNCTION("""COMPUTED_VALUE"""),56.7616512872069)</f>
        <v>56.76165129</v>
      </c>
      <c r="P90" s="20">
        <f>IFERROR(__xludf.DUMMYFUNCTION("""COMPUTED_VALUE"""),252937.0)</f>
        <v>252937</v>
      </c>
      <c r="Q90" s="20">
        <f>IFERROR(__xludf.DUMMYFUNCTION("""COMPUTED_VALUE"""),445614.0)</f>
        <v>445614</v>
      </c>
    </row>
    <row r="91">
      <c r="A91" s="20">
        <f>IFERROR(__xludf.DUMMYFUNCTION("""COMPUTED_VALUE"""),90.0)</f>
        <v>90</v>
      </c>
      <c r="B91" s="20" t="str">
        <f>IFERROR(__xludf.DUMMYFUNCTION("""COMPUTED_VALUE"""),"Subsets II")</f>
        <v>Subsets II</v>
      </c>
      <c r="C91" s="20" t="str">
        <f>IFERROR(__xludf.DUMMYFUNCTION("""COMPUTED_VALUE"""),"subsets-ii")</f>
        <v>subsets-ii</v>
      </c>
      <c r="D91" s="20" t="b">
        <f>IFERROR(__xludf.DUMMYFUNCTION("""COMPUTED_VALUE"""),FALSE)</f>
        <v>0</v>
      </c>
      <c r="E91" s="20" t="str">
        <f>IFERROR(__xludf.DUMMYFUNCTION("""COMPUTED_VALUE"""),"Medium")</f>
        <v>Medium</v>
      </c>
      <c r="F91" s="20">
        <f>IFERROR(__xludf.DUMMYFUNCTION("""COMPUTED_VALUE"""),7256.0)</f>
        <v>7256</v>
      </c>
      <c r="G91" s="20">
        <f>IFERROR(__xludf.DUMMYFUNCTION("""COMPUTED_VALUE"""),204.0)</f>
        <v>204</v>
      </c>
      <c r="H91" s="20" t="str">
        <f>IFERROR(__xludf.DUMMYFUNCTION("""COMPUTED_VALUE"""),"Algorithms")</f>
        <v>Algorithms</v>
      </c>
      <c r="I91" s="20">
        <f>IFERROR(__xludf.DUMMYFUNCTION("""COMPUTED_VALUE"""),0.556)</f>
        <v>0.556</v>
      </c>
      <c r="J91" s="20">
        <f>IFERROR(__xludf.DUMMYFUNCTION("""COMPUTED_VALUE"""),90.0)</f>
        <v>90</v>
      </c>
      <c r="K91" s="20" t="b">
        <f>IFERROR(__xludf.DUMMYFUNCTION("""COMPUTED_VALUE"""),FALSE)</f>
        <v>0</v>
      </c>
      <c r="L91" s="20" t="str">
        <f>IFERROR(__xludf.DUMMYFUNCTION("""COMPUTED_VALUE"""),"Array;Backtracking;Bit Manipulation;")</f>
        <v>Array;Backtracking;Bit Manipulation;</v>
      </c>
      <c r="M91" s="20" t="b">
        <f>IFERROR(__xludf.DUMMYFUNCTION("""COMPUTED_VALUE"""),TRUE)</f>
        <v>1</v>
      </c>
      <c r="N91" s="20" t="b">
        <f>IFERROR(__xludf.DUMMYFUNCTION("""COMPUTED_VALUE"""),FALSE)</f>
        <v>0</v>
      </c>
      <c r="O91" s="20">
        <f>IFERROR(__xludf.DUMMYFUNCTION("""COMPUTED_VALUE"""),55.5502287779018)</f>
        <v>55.55022878</v>
      </c>
      <c r="P91" s="20">
        <f>IFERROR(__xludf.DUMMYFUNCTION("""COMPUTED_VALUE"""),643085.0)</f>
        <v>643085</v>
      </c>
      <c r="Q91" s="20">
        <f>IFERROR(__xludf.DUMMYFUNCTION("""COMPUTED_VALUE"""),1157657.0)</f>
        <v>1157657</v>
      </c>
    </row>
    <row r="92">
      <c r="A92" s="20">
        <f>IFERROR(__xludf.DUMMYFUNCTION("""COMPUTED_VALUE"""),91.0)</f>
        <v>91</v>
      </c>
      <c r="B92" s="20" t="str">
        <f>IFERROR(__xludf.DUMMYFUNCTION("""COMPUTED_VALUE"""),"Decode Ways")</f>
        <v>Decode Ways</v>
      </c>
      <c r="C92" s="20" t="str">
        <f>IFERROR(__xludf.DUMMYFUNCTION("""COMPUTED_VALUE"""),"decode-ways")</f>
        <v>decode-ways</v>
      </c>
      <c r="D92" s="20" t="b">
        <f>IFERROR(__xludf.DUMMYFUNCTION("""COMPUTED_VALUE"""),FALSE)</f>
        <v>0</v>
      </c>
      <c r="E92" s="20" t="str">
        <f>IFERROR(__xludf.DUMMYFUNCTION("""COMPUTED_VALUE"""),"Medium")</f>
        <v>Medium</v>
      </c>
      <c r="F92" s="20">
        <f>IFERROR(__xludf.DUMMYFUNCTION("""COMPUTED_VALUE"""),9333.0)</f>
        <v>9333</v>
      </c>
      <c r="G92" s="20">
        <f>IFERROR(__xludf.DUMMYFUNCTION("""COMPUTED_VALUE"""),4166.0)</f>
        <v>4166</v>
      </c>
      <c r="H92" s="20" t="str">
        <f>IFERROR(__xludf.DUMMYFUNCTION("""COMPUTED_VALUE"""),"Algorithms")</f>
        <v>Algorithms</v>
      </c>
      <c r="I92" s="20">
        <f>IFERROR(__xludf.DUMMYFUNCTION("""COMPUTED_VALUE"""),0.324)</f>
        <v>0.324</v>
      </c>
      <c r="J92" s="20">
        <f>IFERROR(__xludf.DUMMYFUNCTION("""COMPUTED_VALUE"""),91.0)</f>
        <v>91</v>
      </c>
      <c r="K92" s="20" t="b">
        <f>IFERROR(__xludf.DUMMYFUNCTION("""COMPUTED_VALUE"""),FALSE)</f>
        <v>0</v>
      </c>
      <c r="L92" s="20" t="str">
        <f>IFERROR(__xludf.DUMMYFUNCTION("""COMPUTED_VALUE"""),"String;Dynamic Programming;")</f>
        <v>String;Dynamic Programming;</v>
      </c>
      <c r="M92" s="20" t="b">
        <f>IFERROR(__xludf.DUMMYFUNCTION("""COMPUTED_VALUE"""),TRUE)</f>
        <v>1</v>
      </c>
      <c r="N92" s="20" t="b">
        <f>IFERROR(__xludf.DUMMYFUNCTION("""COMPUTED_VALUE"""),TRUE)</f>
        <v>1</v>
      </c>
      <c r="O92" s="20">
        <f>IFERROR(__xludf.DUMMYFUNCTION("""COMPUTED_VALUE"""),32.4410598684354)</f>
        <v>32.44105987</v>
      </c>
      <c r="P92" s="20">
        <f>IFERROR(__xludf.DUMMYFUNCTION("""COMPUTED_VALUE"""),961895.0)</f>
        <v>961895</v>
      </c>
      <c r="Q92" s="20">
        <f>IFERROR(__xludf.DUMMYFUNCTION("""COMPUTED_VALUE"""),2965062.0)</f>
        <v>2965062</v>
      </c>
    </row>
    <row r="93">
      <c r="A93" s="20">
        <f>IFERROR(__xludf.DUMMYFUNCTION("""COMPUTED_VALUE"""),92.0)</f>
        <v>92</v>
      </c>
      <c r="B93" s="20" t="str">
        <f>IFERROR(__xludf.DUMMYFUNCTION("""COMPUTED_VALUE"""),"Reverse Linked List II")</f>
        <v>Reverse Linked List II</v>
      </c>
      <c r="C93" s="20" t="str">
        <f>IFERROR(__xludf.DUMMYFUNCTION("""COMPUTED_VALUE"""),"reverse-linked-list-ii")</f>
        <v>reverse-linked-list-ii</v>
      </c>
      <c r="D93" s="20" t="b">
        <f>IFERROR(__xludf.DUMMYFUNCTION("""COMPUTED_VALUE"""),FALSE)</f>
        <v>0</v>
      </c>
      <c r="E93" s="20" t="str">
        <f>IFERROR(__xludf.DUMMYFUNCTION("""COMPUTED_VALUE"""),"Medium")</f>
        <v>Medium</v>
      </c>
      <c r="F93" s="20">
        <f>IFERROR(__xludf.DUMMYFUNCTION("""COMPUTED_VALUE"""),8483.0)</f>
        <v>8483</v>
      </c>
      <c r="G93" s="20">
        <f>IFERROR(__xludf.DUMMYFUNCTION("""COMPUTED_VALUE"""),379.0)</f>
        <v>379</v>
      </c>
      <c r="H93" s="20" t="str">
        <f>IFERROR(__xludf.DUMMYFUNCTION("""COMPUTED_VALUE"""),"Algorithms")</f>
        <v>Algorithms</v>
      </c>
      <c r="I93" s="20">
        <f>IFERROR(__xludf.DUMMYFUNCTION("""COMPUTED_VALUE"""),0.454)</f>
        <v>0.454</v>
      </c>
      <c r="J93" s="20">
        <f>IFERROR(__xludf.DUMMYFUNCTION("""COMPUTED_VALUE"""),92.0)</f>
        <v>92</v>
      </c>
      <c r="K93" s="20" t="b">
        <f>IFERROR(__xludf.DUMMYFUNCTION("""COMPUTED_VALUE"""),FALSE)</f>
        <v>0</v>
      </c>
      <c r="L93" s="20" t="str">
        <f>IFERROR(__xludf.DUMMYFUNCTION("""COMPUTED_VALUE"""),"Linked List;")</f>
        <v>Linked List;</v>
      </c>
      <c r="M93" s="20" t="b">
        <f>IFERROR(__xludf.DUMMYFUNCTION("""COMPUTED_VALUE"""),TRUE)</f>
        <v>1</v>
      </c>
      <c r="N93" s="20" t="b">
        <f>IFERROR(__xludf.DUMMYFUNCTION("""COMPUTED_VALUE"""),TRUE)</f>
        <v>1</v>
      </c>
      <c r="O93" s="20">
        <f>IFERROR(__xludf.DUMMYFUNCTION("""COMPUTED_VALUE"""),45.405244595641)</f>
        <v>45.4052446</v>
      </c>
      <c r="P93" s="20">
        <f>IFERROR(__xludf.DUMMYFUNCTION("""COMPUTED_VALUE"""),599804.0)</f>
        <v>599804</v>
      </c>
      <c r="Q93" s="20">
        <f>IFERROR(__xludf.DUMMYFUNCTION("""COMPUTED_VALUE"""),1321010.0)</f>
        <v>1321010</v>
      </c>
    </row>
    <row r="94">
      <c r="A94" s="20">
        <f>IFERROR(__xludf.DUMMYFUNCTION("""COMPUTED_VALUE"""),93.0)</f>
        <v>93</v>
      </c>
      <c r="B94" s="20" t="str">
        <f>IFERROR(__xludf.DUMMYFUNCTION("""COMPUTED_VALUE"""),"Restore IP Addresses")</f>
        <v>Restore IP Addresses</v>
      </c>
      <c r="C94" s="20" t="str">
        <f>IFERROR(__xludf.DUMMYFUNCTION("""COMPUTED_VALUE"""),"restore-ip-addresses")</f>
        <v>restore-ip-addresses</v>
      </c>
      <c r="D94" s="20" t="b">
        <f>IFERROR(__xludf.DUMMYFUNCTION("""COMPUTED_VALUE"""),FALSE)</f>
        <v>0</v>
      </c>
      <c r="E94" s="20" t="str">
        <f>IFERROR(__xludf.DUMMYFUNCTION("""COMPUTED_VALUE"""),"Medium")</f>
        <v>Medium</v>
      </c>
      <c r="F94" s="20">
        <f>IFERROR(__xludf.DUMMYFUNCTION("""COMPUTED_VALUE"""),3306.0)</f>
        <v>3306</v>
      </c>
      <c r="G94" s="20">
        <f>IFERROR(__xludf.DUMMYFUNCTION("""COMPUTED_VALUE"""),666.0)</f>
        <v>666</v>
      </c>
      <c r="H94" s="20" t="str">
        <f>IFERROR(__xludf.DUMMYFUNCTION("""COMPUTED_VALUE"""),"Algorithms")</f>
        <v>Algorithms</v>
      </c>
      <c r="I94" s="20">
        <f>IFERROR(__xludf.DUMMYFUNCTION("""COMPUTED_VALUE"""),0.438)</f>
        <v>0.438</v>
      </c>
      <c r="J94" s="20">
        <f>IFERROR(__xludf.DUMMYFUNCTION("""COMPUTED_VALUE"""),93.0)</f>
        <v>93</v>
      </c>
      <c r="K94" s="20" t="b">
        <f>IFERROR(__xludf.DUMMYFUNCTION("""COMPUTED_VALUE"""),FALSE)</f>
        <v>0</v>
      </c>
      <c r="L94" s="20" t="str">
        <f>IFERROR(__xludf.DUMMYFUNCTION("""COMPUTED_VALUE"""),"String;Backtracking;")</f>
        <v>String;Backtracking;</v>
      </c>
      <c r="M94" s="20" t="b">
        <f>IFERROR(__xludf.DUMMYFUNCTION("""COMPUTED_VALUE"""),TRUE)</f>
        <v>1</v>
      </c>
      <c r="N94" s="20" t="b">
        <f>IFERROR(__xludf.DUMMYFUNCTION("""COMPUTED_VALUE"""),FALSE)</f>
        <v>0</v>
      </c>
      <c r="O94" s="20">
        <f>IFERROR(__xludf.DUMMYFUNCTION("""COMPUTED_VALUE"""),43.8391361256544)</f>
        <v>43.83913613</v>
      </c>
      <c r="P94" s="20">
        <f>IFERROR(__xludf.DUMMYFUNCTION("""COMPUTED_VALUE"""),334929.0)</f>
        <v>334929</v>
      </c>
      <c r="Q94" s="20">
        <f>IFERROR(__xludf.DUMMYFUNCTION("""COMPUTED_VALUE"""),763998.0)</f>
        <v>763998</v>
      </c>
    </row>
    <row r="95">
      <c r="A95" s="20">
        <f>IFERROR(__xludf.DUMMYFUNCTION("""COMPUTED_VALUE"""),94.0)</f>
        <v>94</v>
      </c>
      <c r="B95" s="20" t="str">
        <f>IFERROR(__xludf.DUMMYFUNCTION("""COMPUTED_VALUE"""),"Binary Tree Inorder Traversal")</f>
        <v>Binary Tree Inorder Traversal</v>
      </c>
      <c r="C95" s="20" t="str">
        <f>IFERROR(__xludf.DUMMYFUNCTION("""COMPUTED_VALUE"""),"binary-tree-inorder-traversal")</f>
        <v>binary-tree-inorder-traversal</v>
      </c>
      <c r="D95" s="20" t="b">
        <f>IFERROR(__xludf.DUMMYFUNCTION("""COMPUTED_VALUE"""),FALSE)</f>
        <v>0</v>
      </c>
      <c r="E95" s="20" t="str">
        <f>IFERROR(__xludf.DUMMYFUNCTION("""COMPUTED_VALUE"""),"Easy")</f>
        <v>Easy</v>
      </c>
      <c r="F95" s="20">
        <f>IFERROR(__xludf.DUMMYFUNCTION("""COMPUTED_VALUE"""),10490.0)</f>
        <v>10490</v>
      </c>
      <c r="G95" s="20">
        <f>IFERROR(__xludf.DUMMYFUNCTION("""COMPUTED_VALUE"""),498.0)</f>
        <v>498</v>
      </c>
      <c r="H95" s="20" t="str">
        <f>IFERROR(__xludf.DUMMYFUNCTION("""COMPUTED_VALUE"""),"Algorithms")</f>
        <v>Algorithms</v>
      </c>
      <c r="I95" s="20">
        <f>IFERROR(__xludf.DUMMYFUNCTION("""COMPUTED_VALUE"""),0.733)</f>
        <v>0.733</v>
      </c>
      <c r="J95" s="20">
        <f>IFERROR(__xludf.DUMMYFUNCTION("""COMPUTED_VALUE"""),94.0)</f>
        <v>94</v>
      </c>
      <c r="K95" s="20" t="b">
        <f>IFERROR(__xludf.DUMMYFUNCTION("""COMPUTED_VALUE"""),FALSE)</f>
        <v>0</v>
      </c>
      <c r="L95" s="20" t="str">
        <f>IFERROR(__xludf.DUMMYFUNCTION("""COMPUTED_VALUE"""),"Stack;Tree;Depth-First Search;Binary Tree;")</f>
        <v>Stack;Tree;Depth-First Search;Binary Tree;</v>
      </c>
      <c r="M95" s="20" t="b">
        <f>IFERROR(__xludf.DUMMYFUNCTION("""COMPUTED_VALUE"""),TRUE)</f>
        <v>1</v>
      </c>
      <c r="N95" s="20" t="b">
        <f>IFERROR(__xludf.DUMMYFUNCTION("""COMPUTED_VALUE"""),FALSE)</f>
        <v>0</v>
      </c>
      <c r="O95" s="20">
        <f>IFERROR(__xludf.DUMMYFUNCTION("""COMPUTED_VALUE"""),73.2750671610319)</f>
        <v>73.27506716</v>
      </c>
      <c r="P95" s="20">
        <f>IFERROR(__xludf.DUMMYFUNCTION("""COMPUTED_VALUE"""),1853923.0)</f>
        <v>1853923</v>
      </c>
      <c r="Q95" s="20">
        <f>IFERROR(__xludf.DUMMYFUNCTION("""COMPUTED_VALUE"""),2530094.0)</f>
        <v>2530094</v>
      </c>
    </row>
    <row r="96">
      <c r="A96" s="20">
        <f>IFERROR(__xludf.DUMMYFUNCTION("""COMPUTED_VALUE"""),95.0)</f>
        <v>95</v>
      </c>
      <c r="B96" s="20" t="str">
        <f>IFERROR(__xludf.DUMMYFUNCTION("""COMPUTED_VALUE"""),"Unique Binary Search Trees II")</f>
        <v>Unique Binary Search Trees II</v>
      </c>
      <c r="C96" s="20" t="str">
        <f>IFERROR(__xludf.DUMMYFUNCTION("""COMPUTED_VALUE"""),"unique-binary-search-trees-ii")</f>
        <v>unique-binary-search-trees-ii</v>
      </c>
      <c r="D96" s="20" t="b">
        <f>IFERROR(__xludf.DUMMYFUNCTION("""COMPUTED_VALUE"""),FALSE)</f>
        <v>0</v>
      </c>
      <c r="E96" s="20" t="str">
        <f>IFERROR(__xludf.DUMMYFUNCTION("""COMPUTED_VALUE"""),"Medium")</f>
        <v>Medium</v>
      </c>
      <c r="F96" s="20">
        <f>IFERROR(__xludf.DUMMYFUNCTION("""COMPUTED_VALUE"""),5601.0)</f>
        <v>5601</v>
      </c>
      <c r="G96" s="20">
        <f>IFERROR(__xludf.DUMMYFUNCTION("""COMPUTED_VALUE"""),364.0)</f>
        <v>364</v>
      </c>
      <c r="H96" s="20" t="str">
        <f>IFERROR(__xludf.DUMMYFUNCTION("""COMPUTED_VALUE"""),"Algorithms")</f>
        <v>Algorithms</v>
      </c>
      <c r="I96" s="20">
        <f>IFERROR(__xludf.DUMMYFUNCTION("""COMPUTED_VALUE"""),0.519)</f>
        <v>0.519</v>
      </c>
      <c r="J96" s="20">
        <f>IFERROR(__xludf.DUMMYFUNCTION("""COMPUTED_VALUE"""),95.0)</f>
        <v>95</v>
      </c>
      <c r="K96" s="20" t="b">
        <f>IFERROR(__xludf.DUMMYFUNCTION("""COMPUTED_VALUE"""),FALSE)</f>
        <v>0</v>
      </c>
      <c r="L96" s="20" t="str">
        <f>IFERROR(__xludf.DUMMYFUNCTION("""COMPUTED_VALUE"""),"Dynamic Programming;Backtracking;Tree;Binary Search Tree;Binary Tree;")</f>
        <v>Dynamic Programming;Backtracking;Tree;Binary Search Tree;Binary Tree;</v>
      </c>
      <c r="M96" s="20" t="b">
        <f>IFERROR(__xludf.DUMMYFUNCTION("""COMPUTED_VALUE"""),TRUE)</f>
        <v>1</v>
      </c>
      <c r="N96" s="20" t="b">
        <f>IFERROR(__xludf.DUMMYFUNCTION("""COMPUTED_VALUE"""),FALSE)</f>
        <v>0</v>
      </c>
      <c r="O96" s="20">
        <f>IFERROR(__xludf.DUMMYFUNCTION("""COMPUTED_VALUE"""),51.8885854059359)</f>
        <v>51.88858541</v>
      </c>
      <c r="P96" s="20">
        <f>IFERROR(__xludf.DUMMYFUNCTION("""COMPUTED_VALUE"""),340999.0)</f>
        <v>340999</v>
      </c>
      <c r="Q96" s="20">
        <f>IFERROR(__xludf.DUMMYFUNCTION("""COMPUTED_VALUE"""),657177.0)</f>
        <v>657177</v>
      </c>
    </row>
    <row r="97">
      <c r="A97" s="20">
        <f>IFERROR(__xludf.DUMMYFUNCTION("""COMPUTED_VALUE"""),96.0)</f>
        <v>96</v>
      </c>
      <c r="B97" s="20" t="str">
        <f>IFERROR(__xludf.DUMMYFUNCTION("""COMPUTED_VALUE"""),"Unique Binary Search Trees")</f>
        <v>Unique Binary Search Trees</v>
      </c>
      <c r="C97" s="20" t="str">
        <f>IFERROR(__xludf.DUMMYFUNCTION("""COMPUTED_VALUE"""),"unique-binary-search-trees")</f>
        <v>unique-binary-search-trees</v>
      </c>
      <c r="D97" s="20" t="b">
        <f>IFERROR(__xludf.DUMMYFUNCTION("""COMPUTED_VALUE"""),FALSE)</f>
        <v>0</v>
      </c>
      <c r="E97" s="20" t="str">
        <f>IFERROR(__xludf.DUMMYFUNCTION("""COMPUTED_VALUE"""),"Medium")</f>
        <v>Medium</v>
      </c>
      <c r="F97" s="20">
        <f>IFERROR(__xludf.DUMMYFUNCTION("""COMPUTED_VALUE"""),8582.0)</f>
        <v>8582</v>
      </c>
      <c r="G97" s="20">
        <f>IFERROR(__xludf.DUMMYFUNCTION("""COMPUTED_VALUE"""),341.0)</f>
        <v>341</v>
      </c>
      <c r="H97" s="20" t="str">
        <f>IFERROR(__xludf.DUMMYFUNCTION("""COMPUTED_VALUE"""),"Algorithms")</f>
        <v>Algorithms</v>
      </c>
      <c r="I97" s="20">
        <f>IFERROR(__xludf.DUMMYFUNCTION("""COMPUTED_VALUE"""),0.594)</f>
        <v>0.594</v>
      </c>
      <c r="J97" s="20">
        <f>IFERROR(__xludf.DUMMYFUNCTION("""COMPUTED_VALUE"""),96.0)</f>
        <v>96</v>
      </c>
      <c r="K97" s="20" t="b">
        <f>IFERROR(__xludf.DUMMYFUNCTION("""COMPUTED_VALUE"""),FALSE)</f>
        <v>0</v>
      </c>
      <c r="L97" s="20" t="str">
        <f>IFERROR(__xludf.DUMMYFUNCTION("""COMPUTED_VALUE"""),"Math;Dynamic Programming;Tree;Binary Search Tree;Binary Tree;")</f>
        <v>Math;Dynamic Programming;Tree;Binary Search Tree;Binary Tree;</v>
      </c>
      <c r="M97" s="20" t="b">
        <f>IFERROR(__xludf.DUMMYFUNCTION("""COMPUTED_VALUE"""),TRUE)</f>
        <v>1</v>
      </c>
      <c r="N97" s="20" t="b">
        <f>IFERROR(__xludf.DUMMYFUNCTION("""COMPUTED_VALUE"""),FALSE)</f>
        <v>0</v>
      </c>
      <c r="O97" s="20">
        <f>IFERROR(__xludf.DUMMYFUNCTION("""COMPUTED_VALUE"""),59.399523649577)</f>
        <v>59.39952365</v>
      </c>
      <c r="P97" s="20">
        <f>IFERROR(__xludf.DUMMYFUNCTION("""COMPUTED_VALUE"""),544673.0)</f>
        <v>544673</v>
      </c>
      <c r="Q97" s="20">
        <f>IFERROR(__xludf.DUMMYFUNCTION("""COMPUTED_VALUE"""),916966.0)</f>
        <v>916966</v>
      </c>
    </row>
    <row r="98">
      <c r="A98" s="20">
        <f>IFERROR(__xludf.DUMMYFUNCTION("""COMPUTED_VALUE"""),97.0)</f>
        <v>97</v>
      </c>
      <c r="B98" s="20" t="str">
        <f>IFERROR(__xludf.DUMMYFUNCTION("""COMPUTED_VALUE"""),"Interleaving String")</f>
        <v>Interleaving String</v>
      </c>
      <c r="C98" s="20" t="str">
        <f>IFERROR(__xludf.DUMMYFUNCTION("""COMPUTED_VALUE"""),"interleaving-string")</f>
        <v>interleaving-string</v>
      </c>
      <c r="D98" s="20" t="b">
        <f>IFERROR(__xludf.DUMMYFUNCTION("""COMPUTED_VALUE"""),FALSE)</f>
        <v>0</v>
      </c>
      <c r="E98" s="20" t="str">
        <f>IFERROR(__xludf.DUMMYFUNCTION("""COMPUTED_VALUE"""),"Medium")</f>
        <v>Medium</v>
      </c>
      <c r="F98" s="20">
        <f>IFERROR(__xludf.DUMMYFUNCTION("""COMPUTED_VALUE"""),6090.0)</f>
        <v>6090</v>
      </c>
      <c r="G98" s="20">
        <f>IFERROR(__xludf.DUMMYFUNCTION("""COMPUTED_VALUE"""),373.0)</f>
        <v>373</v>
      </c>
      <c r="H98" s="20" t="str">
        <f>IFERROR(__xludf.DUMMYFUNCTION("""COMPUTED_VALUE"""),"Algorithms")</f>
        <v>Algorithms</v>
      </c>
      <c r="I98" s="20">
        <f>IFERROR(__xludf.DUMMYFUNCTION("""COMPUTED_VALUE"""),0.372)</f>
        <v>0.372</v>
      </c>
      <c r="J98" s="20">
        <f>IFERROR(__xludf.DUMMYFUNCTION("""COMPUTED_VALUE"""),97.0)</f>
        <v>97</v>
      </c>
      <c r="K98" s="20" t="b">
        <f>IFERROR(__xludf.DUMMYFUNCTION("""COMPUTED_VALUE"""),FALSE)</f>
        <v>0</v>
      </c>
      <c r="L98" s="20" t="str">
        <f>IFERROR(__xludf.DUMMYFUNCTION("""COMPUTED_VALUE"""),"String;Dynamic Programming;")</f>
        <v>String;Dynamic Programming;</v>
      </c>
      <c r="M98" s="20" t="b">
        <f>IFERROR(__xludf.DUMMYFUNCTION("""COMPUTED_VALUE"""),TRUE)</f>
        <v>1</v>
      </c>
      <c r="N98" s="20" t="b">
        <f>IFERROR(__xludf.DUMMYFUNCTION("""COMPUTED_VALUE"""),FALSE)</f>
        <v>0</v>
      </c>
      <c r="O98" s="20">
        <f>IFERROR(__xludf.DUMMYFUNCTION("""COMPUTED_VALUE"""),37.1931991068113)</f>
        <v>37.19319911</v>
      </c>
      <c r="P98" s="20">
        <f>IFERROR(__xludf.DUMMYFUNCTION("""COMPUTED_VALUE"""),359609.0)</f>
        <v>359609</v>
      </c>
      <c r="Q98" s="20">
        <f>IFERROR(__xludf.DUMMYFUNCTION("""COMPUTED_VALUE"""),966869.0)</f>
        <v>966869</v>
      </c>
    </row>
    <row r="99">
      <c r="A99" s="20">
        <f>IFERROR(__xludf.DUMMYFUNCTION("""COMPUTED_VALUE"""),98.0)</f>
        <v>98</v>
      </c>
      <c r="B99" s="20" t="str">
        <f>IFERROR(__xludf.DUMMYFUNCTION("""COMPUTED_VALUE"""),"Validate Binary Search Tree")</f>
        <v>Validate Binary Search Tree</v>
      </c>
      <c r="C99" s="20" t="str">
        <f>IFERROR(__xludf.DUMMYFUNCTION("""COMPUTED_VALUE"""),"validate-binary-search-tree")</f>
        <v>validate-binary-search-tree</v>
      </c>
      <c r="D99" s="20" t="b">
        <f>IFERROR(__xludf.DUMMYFUNCTION("""COMPUTED_VALUE"""),FALSE)</f>
        <v>0</v>
      </c>
      <c r="E99" s="20" t="str">
        <f>IFERROR(__xludf.DUMMYFUNCTION("""COMPUTED_VALUE"""),"Medium")</f>
        <v>Medium</v>
      </c>
      <c r="F99" s="20">
        <f>IFERROR(__xludf.DUMMYFUNCTION("""COMPUTED_VALUE"""),13473.0)</f>
        <v>13473</v>
      </c>
      <c r="G99" s="20">
        <f>IFERROR(__xludf.DUMMYFUNCTION("""COMPUTED_VALUE"""),1099.0)</f>
        <v>1099</v>
      </c>
      <c r="H99" s="20" t="str">
        <f>IFERROR(__xludf.DUMMYFUNCTION("""COMPUTED_VALUE"""),"Algorithms")</f>
        <v>Algorithms</v>
      </c>
      <c r="I99" s="20">
        <f>IFERROR(__xludf.DUMMYFUNCTION("""COMPUTED_VALUE"""),0.318)</f>
        <v>0.318</v>
      </c>
      <c r="J99" s="20">
        <f>IFERROR(__xludf.DUMMYFUNCTION("""COMPUTED_VALUE"""),98.0)</f>
        <v>98</v>
      </c>
      <c r="K99" s="20" t="b">
        <f>IFERROR(__xludf.DUMMYFUNCTION("""COMPUTED_VALUE"""),FALSE)</f>
        <v>0</v>
      </c>
      <c r="L99" s="20" t="str">
        <f>IFERROR(__xludf.DUMMYFUNCTION("""COMPUTED_VALUE"""),"Tree;Depth-First Search;Binary Search Tree;Binary Tree;")</f>
        <v>Tree;Depth-First Search;Binary Search Tree;Binary Tree;</v>
      </c>
      <c r="M99" s="20" t="b">
        <f>IFERROR(__xludf.DUMMYFUNCTION("""COMPUTED_VALUE"""),TRUE)</f>
        <v>1</v>
      </c>
      <c r="N99" s="20" t="b">
        <f>IFERROR(__xludf.DUMMYFUNCTION("""COMPUTED_VALUE"""),TRUE)</f>
        <v>1</v>
      </c>
      <c r="O99" s="20">
        <f>IFERROR(__xludf.DUMMYFUNCTION("""COMPUTED_VALUE"""),31.8267217310894)</f>
        <v>31.82672173</v>
      </c>
      <c r="P99" s="20">
        <f>IFERROR(__xludf.DUMMYFUNCTION("""COMPUTED_VALUE"""),1789364.0)</f>
        <v>1789364</v>
      </c>
      <c r="Q99" s="20">
        <f>IFERROR(__xludf.DUMMYFUNCTION("""COMPUTED_VALUE"""),5622209.0)</f>
        <v>5622209</v>
      </c>
    </row>
    <row r="100">
      <c r="A100" s="20">
        <f>IFERROR(__xludf.DUMMYFUNCTION("""COMPUTED_VALUE"""),99.0)</f>
        <v>99</v>
      </c>
      <c r="B100" s="20" t="str">
        <f>IFERROR(__xludf.DUMMYFUNCTION("""COMPUTED_VALUE"""),"Recover Binary Search Tree")</f>
        <v>Recover Binary Search Tree</v>
      </c>
      <c r="C100" s="20" t="str">
        <f>IFERROR(__xludf.DUMMYFUNCTION("""COMPUTED_VALUE"""),"recover-binary-search-tree")</f>
        <v>recover-binary-search-tree</v>
      </c>
      <c r="D100" s="20" t="b">
        <f>IFERROR(__xludf.DUMMYFUNCTION("""COMPUTED_VALUE"""),FALSE)</f>
        <v>0</v>
      </c>
      <c r="E100" s="20" t="str">
        <f>IFERROR(__xludf.DUMMYFUNCTION("""COMPUTED_VALUE"""),"Medium")</f>
        <v>Medium</v>
      </c>
      <c r="F100" s="20">
        <f>IFERROR(__xludf.DUMMYFUNCTION("""COMPUTED_VALUE"""),6492.0)</f>
        <v>6492</v>
      </c>
      <c r="G100" s="20">
        <f>IFERROR(__xludf.DUMMYFUNCTION("""COMPUTED_VALUE"""),218.0)</f>
        <v>218</v>
      </c>
      <c r="H100" s="20" t="str">
        <f>IFERROR(__xludf.DUMMYFUNCTION("""COMPUTED_VALUE"""),"Algorithms")</f>
        <v>Algorithms</v>
      </c>
      <c r="I100" s="20">
        <f>IFERROR(__xludf.DUMMYFUNCTION("""COMPUTED_VALUE"""),0.506)</f>
        <v>0.506</v>
      </c>
      <c r="J100" s="20">
        <f>IFERROR(__xludf.DUMMYFUNCTION("""COMPUTED_VALUE"""),99.0)</f>
        <v>99</v>
      </c>
      <c r="K100" s="20" t="b">
        <f>IFERROR(__xludf.DUMMYFUNCTION("""COMPUTED_VALUE"""),FALSE)</f>
        <v>0</v>
      </c>
      <c r="L100" s="20" t="str">
        <f>IFERROR(__xludf.DUMMYFUNCTION("""COMPUTED_VALUE"""),"Tree;Depth-First Search;Binary Search Tree;Binary Tree;")</f>
        <v>Tree;Depth-First Search;Binary Search Tree;Binary Tree;</v>
      </c>
      <c r="M100" s="20" t="b">
        <f>IFERROR(__xludf.DUMMYFUNCTION("""COMPUTED_VALUE"""),TRUE)</f>
        <v>1</v>
      </c>
      <c r="N100" s="20" t="b">
        <f>IFERROR(__xludf.DUMMYFUNCTION("""COMPUTED_VALUE"""),FALSE)</f>
        <v>0</v>
      </c>
      <c r="O100" s="20">
        <f>IFERROR(__xludf.DUMMYFUNCTION("""COMPUTED_VALUE"""),50.5519705543929)</f>
        <v>50.55197055</v>
      </c>
      <c r="P100" s="20">
        <f>IFERROR(__xludf.DUMMYFUNCTION("""COMPUTED_VALUE"""),375632.0)</f>
        <v>375632</v>
      </c>
      <c r="Q100" s="20">
        <f>IFERROR(__xludf.DUMMYFUNCTION("""COMPUTED_VALUE"""),743053.0)</f>
        <v>743053</v>
      </c>
    </row>
    <row r="101">
      <c r="A101" s="20">
        <f>IFERROR(__xludf.DUMMYFUNCTION("""COMPUTED_VALUE"""),100.0)</f>
        <v>100</v>
      </c>
      <c r="B101" s="20" t="str">
        <f>IFERROR(__xludf.DUMMYFUNCTION("""COMPUTED_VALUE"""),"Same Tree")</f>
        <v>Same Tree</v>
      </c>
      <c r="C101" s="20" t="str">
        <f>IFERROR(__xludf.DUMMYFUNCTION("""COMPUTED_VALUE"""),"same-tree")</f>
        <v>same-tree</v>
      </c>
      <c r="D101" s="20" t="b">
        <f>IFERROR(__xludf.DUMMYFUNCTION("""COMPUTED_VALUE"""),FALSE)</f>
        <v>0</v>
      </c>
      <c r="E101" s="20" t="str">
        <f>IFERROR(__xludf.DUMMYFUNCTION("""COMPUTED_VALUE"""),"Easy")</f>
        <v>Easy</v>
      </c>
      <c r="F101" s="20">
        <f>IFERROR(__xludf.DUMMYFUNCTION("""COMPUTED_VALUE"""),7872.0)</f>
        <v>7872</v>
      </c>
      <c r="G101" s="20">
        <f>IFERROR(__xludf.DUMMYFUNCTION("""COMPUTED_VALUE"""),163.0)</f>
        <v>163</v>
      </c>
      <c r="H101" s="20" t="str">
        <f>IFERROR(__xludf.DUMMYFUNCTION("""COMPUTED_VALUE"""),"Algorithms")</f>
        <v>Algorithms</v>
      </c>
      <c r="I101" s="20">
        <f>IFERROR(__xludf.DUMMYFUNCTION("""COMPUTED_VALUE"""),0.567)</f>
        <v>0.567</v>
      </c>
      <c r="J101" s="20">
        <f>IFERROR(__xludf.DUMMYFUNCTION("""COMPUTED_VALUE"""),100.0)</f>
        <v>100</v>
      </c>
      <c r="K101" s="20" t="b">
        <f>IFERROR(__xludf.DUMMYFUNCTION("""COMPUTED_VALUE"""),FALSE)</f>
        <v>0</v>
      </c>
      <c r="L101" s="20" t="str">
        <f>IFERROR(__xludf.DUMMYFUNCTION("""COMPUTED_VALUE"""),"Tree;Depth-First Search;Breadth-First Search;Binary Tree;")</f>
        <v>Tree;Depth-First Search;Breadth-First Search;Binary Tree;</v>
      </c>
      <c r="M101" s="20" t="b">
        <f>IFERROR(__xludf.DUMMYFUNCTION("""COMPUTED_VALUE"""),TRUE)</f>
        <v>1</v>
      </c>
      <c r="N101" s="20" t="b">
        <f>IFERROR(__xludf.DUMMYFUNCTION("""COMPUTED_VALUE"""),FALSE)</f>
        <v>0</v>
      </c>
      <c r="O101" s="20">
        <f>IFERROR(__xludf.DUMMYFUNCTION("""COMPUTED_VALUE"""),56.6560483018093)</f>
        <v>56.6560483</v>
      </c>
      <c r="P101" s="20">
        <f>IFERROR(__xludf.DUMMYFUNCTION("""COMPUTED_VALUE"""),1325895.0)</f>
        <v>1325895</v>
      </c>
      <c r="Q101" s="20">
        <f>IFERROR(__xludf.DUMMYFUNCTION("""COMPUTED_VALUE"""),2340264.0)</f>
        <v>2340264</v>
      </c>
    </row>
    <row r="102">
      <c r="A102" s="20">
        <f>IFERROR(__xludf.DUMMYFUNCTION("""COMPUTED_VALUE"""),101.0)</f>
        <v>101</v>
      </c>
      <c r="B102" s="20" t="str">
        <f>IFERROR(__xludf.DUMMYFUNCTION("""COMPUTED_VALUE"""),"Symmetric Tree")</f>
        <v>Symmetric Tree</v>
      </c>
      <c r="C102" s="20" t="str">
        <f>IFERROR(__xludf.DUMMYFUNCTION("""COMPUTED_VALUE"""),"symmetric-tree")</f>
        <v>symmetric-tree</v>
      </c>
      <c r="D102" s="20" t="b">
        <f>IFERROR(__xludf.DUMMYFUNCTION("""COMPUTED_VALUE"""),FALSE)</f>
        <v>0</v>
      </c>
      <c r="E102" s="20" t="str">
        <f>IFERROR(__xludf.DUMMYFUNCTION("""COMPUTED_VALUE"""),"Easy")</f>
        <v>Easy</v>
      </c>
      <c r="F102" s="20">
        <f>IFERROR(__xludf.DUMMYFUNCTION("""COMPUTED_VALUE"""),11846.0)</f>
        <v>11846</v>
      </c>
      <c r="G102" s="20">
        <f>IFERROR(__xludf.DUMMYFUNCTION("""COMPUTED_VALUE"""),266.0)</f>
        <v>266</v>
      </c>
      <c r="H102" s="20" t="str">
        <f>IFERROR(__xludf.DUMMYFUNCTION("""COMPUTED_VALUE"""),"Algorithms")</f>
        <v>Algorithms</v>
      </c>
      <c r="I102" s="20">
        <f>IFERROR(__xludf.DUMMYFUNCTION("""COMPUTED_VALUE"""),0.532)</f>
        <v>0.532</v>
      </c>
      <c r="J102" s="20">
        <f>IFERROR(__xludf.DUMMYFUNCTION("""COMPUTED_VALUE"""),101.0)</f>
        <v>101</v>
      </c>
      <c r="K102" s="20" t="b">
        <f>IFERROR(__xludf.DUMMYFUNCTION("""COMPUTED_VALUE"""),FALSE)</f>
        <v>0</v>
      </c>
      <c r="L102" s="20" t="str">
        <f>IFERROR(__xludf.DUMMYFUNCTION("""COMPUTED_VALUE"""),"Tree;Depth-First Search;Breadth-First Search;Binary Tree;")</f>
        <v>Tree;Depth-First Search;Breadth-First Search;Binary Tree;</v>
      </c>
      <c r="M102" s="20" t="b">
        <f>IFERROR(__xludf.DUMMYFUNCTION("""COMPUTED_VALUE"""),TRUE)</f>
        <v>1</v>
      </c>
      <c r="N102" s="20" t="b">
        <f>IFERROR(__xludf.DUMMYFUNCTION("""COMPUTED_VALUE"""),TRUE)</f>
        <v>1</v>
      </c>
      <c r="O102" s="20">
        <f>IFERROR(__xludf.DUMMYFUNCTION("""COMPUTED_VALUE"""),53.166994252129)</f>
        <v>53.16699425</v>
      </c>
      <c r="P102" s="20">
        <f>IFERROR(__xludf.DUMMYFUNCTION("""COMPUTED_VALUE"""),1473399.0)</f>
        <v>1473399</v>
      </c>
      <c r="Q102" s="20">
        <f>IFERROR(__xludf.DUMMYFUNCTION("""COMPUTED_VALUE"""),2771274.0)</f>
        <v>2771274</v>
      </c>
    </row>
    <row r="103">
      <c r="A103" s="20">
        <f>IFERROR(__xludf.DUMMYFUNCTION("""COMPUTED_VALUE"""),102.0)</f>
        <v>102</v>
      </c>
      <c r="B103" s="20" t="str">
        <f>IFERROR(__xludf.DUMMYFUNCTION("""COMPUTED_VALUE"""),"Binary Tree Level Order Traversal")</f>
        <v>Binary Tree Level Order Traversal</v>
      </c>
      <c r="C103" s="20" t="str">
        <f>IFERROR(__xludf.DUMMYFUNCTION("""COMPUTED_VALUE"""),"binary-tree-level-order-traversal")</f>
        <v>binary-tree-level-order-traversal</v>
      </c>
      <c r="D103" s="20" t="b">
        <f>IFERROR(__xludf.DUMMYFUNCTION("""COMPUTED_VALUE"""),FALSE)</f>
        <v>0</v>
      </c>
      <c r="E103" s="20" t="str">
        <f>IFERROR(__xludf.DUMMYFUNCTION("""COMPUTED_VALUE"""),"Medium")</f>
        <v>Medium</v>
      </c>
      <c r="F103" s="20">
        <f>IFERROR(__xludf.DUMMYFUNCTION("""COMPUTED_VALUE"""),11908.0)</f>
        <v>11908</v>
      </c>
      <c r="G103" s="20">
        <f>IFERROR(__xludf.DUMMYFUNCTION("""COMPUTED_VALUE"""),233.0)</f>
        <v>233</v>
      </c>
      <c r="H103" s="20" t="str">
        <f>IFERROR(__xludf.DUMMYFUNCTION("""COMPUTED_VALUE"""),"Algorithms")</f>
        <v>Algorithms</v>
      </c>
      <c r="I103" s="20">
        <f>IFERROR(__xludf.DUMMYFUNCTION("""COMPUTED_VALUE"""),0.636)</f>
        <v>0.636</v>
      </c>
      <c r="J103" s="20">
        <f>IFERROR(__xludf.DUMMYFUNCTION("""COMPUTED_VALUE"""),102.0)</f>
        <v>102</v>
      </c>
      <c r="K103" s="20" t="b">
        <f>IFERROR(__xludf.DUMMYFUNCTION("""COMPUTED_VALUE"""),FALSE)</f>
        <v>0</v>
      </c>
      <c r="L103" s="20" t="str">
        <f>IFERROR(__xludf.DUMMYFUNCTION("""COMPUTED_VALUE"""),"Tree;Breadth-First Search;Binary Tree;")</f>
        <v>Tree;Breadth-First Search;Binary Tree;</v>
      </c>
      <c r="M103" s="20" t="b">
        <f>IFERROR(__xludf.DUMMYFUNCTION("""COMPUTED_VALUE"""),TRUE)</f>
        <v>1</v>
      </c>
      <c r="N103" s="20" t="b">
        <f>IFERROR(__xludf.DUMMYFUNCTION("""COMPUTED_VALUE"""),FALSE)</f>
        <v>0</v>
      </c>
      <c r="O103" s="20">
        <f>IFERROR(__xludf.DUMMYFUNCTION("""COMPUTED_VALUE"""),63.6234959698588)</f>
        <v>63.62349597</v>
      </c>
      <c r="P103" s="20">
        <f>IFERROR(__xludf.DUMMYFUNCTION("""COMPUTED_VALUE"""),1634800.0)</f>
        <v>1634800</v>
      </c>
      <c r="Q103" s="20">
        <f>IFERROR(__xludf.DUMMYFUNCTION("""COMPUTED_VALUE"""),2569496.0)</f>
        <v>2569496</v>
      </c>
    </row>
    <row r="104">
      <c r="A104" s="20">
        <f>IFERROR(__xludf.DUMMYFUNCTION("""COMPUTED_VALUE"""),103.0)</f>
        <v>103</v>
      </c>
      <c r="B104" s="20" t="str">
        <f>IFERROR(__xludf.DUMMYFUNCTION("""COMPUTED_VALUE"""),"Binary Tree Zigzag Level Order Traversal")</f>
        <v>Binary Tree Zigzag Level Order Traversal</v>
      </c>
      <c r="C104" s="20" t="str">
        <f>IFERROR(__xludf.DUMMYFUNCTION("""COMPUTED_VALUE"""),"binary-tree-zigzag-level-order-traversal")</f>
        <v>binary-tree-zigzag-level-order-traversal</v>
      </c>
      <c r="D104" s="20" t="b">
        <f>IFERROR(__xludf.DUMMYFUNCTION("""COMPUTED_VALUE"""),FALSE)</f>
        <v>0</v>
      </c>
      <c r="E104" s="20" t="str">
        <f>IFERROR(__xludf.DUMMYFUNCTION("""COMPUTED_VALUE"""),"Medium")</f>
        <v>Medium</v>
      </c>
      <c r="F104" s="20">
        <f>IFERROR(__xludf.DUMMYFUNCTION("""COMPUTED_VALUE"""),7846.0)</f>
        <v>7846</v>
      </c>
      <c r="G104" s="20">
        <f>IFERROR(__xludf.DUMMYFUNCTION("""COMPUTED_VALUE"""),207.0)</f>
        <v>207</v>
      </c>
      <c r="H104" s="20" t="str">
        <f>IFERROR(__xludf.DUMMYFUNCTION("""COMPUTED_VALUE"""),"Algorithms")</f>
        <v>Algorithms</v>
      </c>
      <c r="I104" s="20">
        <f>IFERROR(__xludf.DUMMYFUNCTION("""COMPUTED_VALUE"""),0.554)</f>
        <v>0.554</v>
      </c>
      <c r="J104" s="20">
        <f>IFERROR(__xludf.DUMMYFUNCTION("""COMPUTED_VALUE"""),103.0)</f>
        <v>103</v>
      </c>
      <c r="K104" s="20" t="b">
        <f>IFERROR(__xludf.DUMMYFUNCTION("""COMPUTED_VALUE"""),FALSE)</f>
        <v>0</v>
      </c>
      <c r="L104" s="20" t="str">
        <f>IFERROR(__xludf.DUMMYFUNCTION("""COMPUTED_VALUE"""),"Tree;Breadth-First Search;Binary Tree;")</f>
        <v>Tree;Breadth-First Search;Binary Tree;</v>
      </c>
      <c r="M104" s="20" t="b">
        <f>IFERROR(__xludf.DUMMYFUNCTION("""COMPUTED_VALUE"""),TRUE)</f>
        <v>1</v>
      </c>
      <c r="N104" s="20" t="b">
        <f>IFERROR(__xludf.DUMMYFUNCTION("""COMPUTED_VALUE"""),FALSE)</f>
        <v>0</v>
      </c>
      <c r="O104" s="20">
        <f>IFERROR(__xludf.DUMMYFUNCTION("""COMPUTED_VALUE"""),55.3860971404218)</f>
        <v>55.38609714</v>
      </c>
      <c r="P104" s="20">
        <f>IFERROR(__xludf.DUMMYFUNCTION("""COMPUTED_VALUE"""),849921.0)</f>
        <v>849921</v>
      </c>
      <c r="Q104" s="20">
        <f>IFERROR(__xludf.DUMMYFUNCTION("""COMPUTED_VALUE"""),1534546.0)</f>
        <v>1534546</v>
      </c>
    </row>
    <row r="105">
      <c r="A105" s="20">
        <f>IFERROR(__xludf.DUMMYFUNCTION("""COMPUTED_VALUE"""),104.0)</f>
        <v>104</v>
      </c>
      <c r="B105" s="20" t="str">
        <f>IFERROR(__xludf.DUMMYFUNCTION("""COMPUTED_VALUE"""),"Maximum Depth of Binary Tree")</f>
        <v>Maximum Depth of Binary Tree</v>
      </c>
      <c r="C105" s="20" t="str">
        <f>IFERROR(__xludf.DUMMYFUNCTION("""COMPUTED_VALUE"""),"maximum-depth-of-binary-tree")</f>
        <v>maximum-depth-of-binary-tree</v>
      </c>
      <c r="D105" s="20" t="b">
        <f>IFERROR(__xludf.DUMMYFUNCTION("""COMPUTED_VALUE"""),FALSE)</f>
        <v>0</v>
      </c>
      <c r="E105" s="20" t="str">
        <f>IFERROR(__xludf.DUMMYFUNCTION("""COMPUTED_VALUE"""),"Easy")</f>
        <v>Easy</v>
      </c>
      <c r="F105" s="20">
        <f>IFERROR(__xludf.DUMMYFUNCTION("""COMPUTED_VALUE"""),9300.0)</f>
        <v>9300</v>
      </c>
      <c r="G105" s="20">
        <f>IFERROR(__xludf.DUMMYFUNCTION("""COMPUTED_VALUE"""),154.0)</f>
        <v>154</v>
      </c>
      <c r="H105" s="20" t="str">
        <f>IFERROR(__xludf.DUMMYFUNCTION("""COMPUTED_VALUE"""),"Algorithms")</f>
        <v>Algorithms</v>
      </c>
      <c r="I105" s="20">
        <f>IFERROR(__xludf.DUMMYFUNCTION("""COMPUTED_VALUE"""),0.733)</f>
        <v>0.733</v>
      </c>
      <c r="J105" s="20">
        <f>IFERROR(__xludf.DUMMYFUNCTION("""COMPUTED_VALUE"""),104.0)</f>
        <v>104</v>
      </c>
      <c r="K105" s="20" t="b">
        <f>IFERROR(__xludf.DUMMYFUNCTION("""COMPUTED_VALUE"""),FALSE)</f>
        <v>0</v>
      </c>
      <c r="L105" s="20" t="str">
        <f>IFERROR(__xludf.DUMMYFUNCTION("""COMPUTED_VALUE"""),"Tree;Depth-First Search;Breadth-First Search;Binary Tree;")</f>
        <v>Tree;Depth-First Search;Breadth-First Search;Binary Tree;</v>
      </c>
      <c r="M105" s="20" t="b">
        <f>IFERROR(__xludf.DUMMYFUNCTION("""COMPUTED_VALUE"""),TRUE)</f>
        <v>1</v>
      </c>
      <c r="N105" s="20" t="b">
        <f>IFERROR(__xludf.DUMMYFUNCTION("""COMPUTED_VALUE"""),FALSE)</f>
        <v>0</v>
      </c>
      <c r="O105" s="20">
        <f>IFERROR(__xludf.DUMMYFUNCTION("""COMPUTED_VALUE"""),73.2701623478877)</f>
        <v>73.27016235</v>
      </c>
      <c r="P105" s="20">
        <f>IFERROR(__xludf.DUMMYFUNCTION("""COMPUTED_VALUE"""),2086810.0)</f>
        <v>2086810</v>
      </c>
      <c r="Q105" s="20">
        <f>IFERROR(__xludf.DUMMYFUNCTION("""COMPUTED_VALUE"""),2848103.0)</f>
        <v>2848103</v>
      </c>
    </row>
    <row r="106">
      <c r="A106" s="20">
        <f>IFERROR(__xludf.DUMMYFUNCTION("""COMPUTED_VALUE"""),105.0)</f>
        <v>105</v>
      </c>
      <c r="B106" s="20" t="str">
        <f>IFERROR(__xludf.DUMMYFUNCTION("""COMPUTED_VALUE"""),"Construct Binary Tree from Preorder and Inorder Traversal")</f>
        <v>Construct Binary Tree from Preorder and Inorder Traversal</v>
      </c>
      <c r="C106" s="20" t="str">
        <f>IFERROR(__xludf.DUMMYFUNCTION("""COMPUTED_VALUE"""),"construct-binary-tree-from-preorder-and-inorder-traversal")</f>
        <v>construct-binary-tree-from-preorder-and-inorder-traversal</v>
      </c>
      <c r="D106" s="20" t="b">
        <f>IFERROR(__xludf.DUMMYFUNCTION("""COMPUTED_VALUE"""),FALSE)</f>
        <v>0</v>
      </c>
      <c r="E106" s="20" t="str">
        <f>IFERROR(__xludf.DUMMYFUNCTION("""COMPUTED_VALUE"""),"Medium")</f>
        <v>Medium</v>
      </c>
      <c r="F106" s="20">
        <f>IFERROR(__xludf.DUMMYFUNCTION("""COMPUTED_VALUE"""),11805.0)</f>
        <v>11805</v>
      </c>
      <c r="G106" s="20">
        <f>IFERROR(__xludf.DUMMYFUNCTION("""COMPUTED_VALUE"""),341.0)</f>
        <v>341</v>
      </c>
      <c r="H106" s="20" t="str">
        <f>IFERROR(__xludf.DUMMYFUNCTION("""COMPUTED_VALUE"""),"Algorithms")</f>
        <v>Algorithms</v>
      </c>
      <c r="I106" s="20">
        <f>IFERROR(__xludf.DUMMYFUNCTION("""COMPUTED_VALUE"""),0.611)</f>
        <v>0.611</v>
      </c>
      <c r="J106" s="20">
        <f>IFERROR(__xludf.DUMMYFUNCTION("""COMPUTED_VALUE"""),105.0)</f>
        <v>105</v>
      </c>
      <c r="K106" s="20" t="b">
        <f>IFERROR(__xludf.DUMMYFUNCTION("""COMPUTED_VALUE"""),FALSE)</f>
        <v>0</v>
      </c>
      <c r="L106" s="20" t="str">
        <f>IFERROR(__xludf.DUMMYFUNCTION("""COMPUTED_VALUE"""),"Array;Hash Table;Divide and Conquer;Tree;Binary Tree;")</f>
        <v>Array;Hash Table;Divide and Conquer;Tree;Binary Tree;</v>
      </c>
      <c r="M106" s="20" t="b">
        <f>IFERROR(__xludf.DUMMYFUNCTION("""COMPUTED_VALUE"""),TRUE)</f>
        <v>1</v>
      </c>
      <c r="N106" s="20" t="b">
        <f>IFERROR(__xludf.DUMMYFUNCTION("""COMPUTED_VALUE"""),FALSE)</f>
        <v>0</v>
      </c>
      <c r="O106" s="20">
        <f>IFERROR(__xludf.DUMMYFUNCTION("""COMPUTED_VALUE"""),61.0543852179261)</f>
        <v>61.05438522</v>
      </c>
      <c r="P106" s="20">
        <f>IFERROR(__xludf.DUMMYFUNCTION("""COMPUTED_VALUE"""),903366.0)</f>
        <v>903366</v>
      </c>
      <c r="Q106" s="20">
        <f>IFERROR(__xludf.DUMMYFUNCTION("""COMPUTED_VALUE"""),1479617.0)</f>
        <v>1479617</v>
      </c>
    </row>
    <row r="107">
      <c r="A107" s="20">
        <f>IFERROR(__xludf.DUMMYFUNCTION("""COMPUTED_VALUE"""),106.0)</f>
        <v>106</v>
      </c>
      <c r="B107" s="20" t="str">
        <f>IFERROR(__xludf.DUMMYFUNCTION("""COMPUTED_VALUE"""),"Construct Binary Tree from Inorder and Postorder Traversal")</f>
        <v>Construct Binary Tree from Inorder and Postorder Traversal</v>
      </c>
      <c r="C107" s="20" t="str">
        <f>IFERROR(__xludf.DUMMYFUNCTION("""COMPUTED_VALUE"""),"construct-binary-tree-from-inorder-and-postorder-traversal")</f>
        <v>construct-binary-tree-from-inorder-and-postorder-traversal</v>
      </c>
      <c r="D107" s="20" t="b">
        <f>IFERROR(__xludf.DUMMYFUNCTION("""COMPUTED_VALUE"""),FALSE)</f>
        <v>0</v>
      </c>
      <c r="E107" s="20" t="str">
        <f>IFERROR(__xludf.DUMMYFUNCTION("""COMPUTED_VALUE"""),"Medium")</f>
        <v>Medium</v>
      </c>
      <c r="F107" s="20">
        <f>IFERROR(__xludf.DUMMYFUNCTION("""COMPUTED_VALUE"""),5614.0)</f>
        <v>5614</v>
      </c>
      <c r="G107" s="20">
        <f>IFERROR(__xludf.DUMMYFUNCTION("""COMPUTED_VALUE"""),84.0)</f>
        <v>84</v>
      </c>
      <c r="H107" s="20" t="str">
        <f>IFERROR(__xludf.DUMMYFUNCTION("""COMPUTED_VALUE"""),"Algorithms")</f>
        <v>Algorithms</v>
      </c>
      <c r="I107" s="20">
        <f>IFERROR(__xludf.DUMMYFUNCTION("""COMPUTED_VALUE"""),0.577)</f>
        <v>0.577</v>
      </c>
      <c r="J107" s="20">
        <f>IFERROR(__xludf.DUMMYFUNCTION("""COMPUTED_VALUE"""),106.0)</f>
        <v>106</v>
      </c>
      <c r="K107" s="20" t="b">
        <f>IFERROR(__xludf.DUMMYFUNCTION("""COMPUTED_VALUE"""),FALSE)</f>
        <v>0</v>
      </c>
      <c r="L107" s="20" t="str">
        <f>IFERROR(__xludf.DUMMYFUNCTION("""COMPUTED_VALUE"""),"Array;Hash Table;Divide and Conquer;Tree;Binary Tree;")</f>
        <v>Array;Hash Table;Divide and Conquer;Tree;Binary Tree;</v>
      </c>
      <c r="M107" s="20" t="b">
        <f>IFERROR(__xludf.DUMMYFUNCTION("""COMPUTED_VALUE"""),TRUE)</f>
        <v>1</v>
      </c>
      <c r="N107" s="20" t="b">
        <f>IFERROR(__xludf.DUMMYFUNCTION("""COMPUTED_VALUE"""),FALSE)</f>
        <v>0</v>
      </c>
      <c r="O107" s="20">
        <f>IFERROR(__xludf.DUMMYFUNCTION("""COMPUTED_VALUE"""),57.7234262335957)</f>
        <v>57.72342623</v>
      </c>
      <c r="P107" s="20">
        <f>IFERROR(__xludf.DUMMYFUNCTION("""COMPUTED_VALUE"""),453750.0)</f>
        <v>453750</v>
      </c>
      <c r="Q107" s="20">
        <f>IFERROR(__xludf.DUMMYFUNCTION("""COMPUTED_VALUE"""),786076.0)</f>
        <v>786076</v>
      </c>
    </row>
    <row r="108">
      <c r="A108" s="20">
        <f>IFERROR(__xludf.DUMMYFUNCTION("""COMPUTED_VALUE"""),107.0)</f>
        <v>107</v>
      </c>
      <c r="B108" s="20" t="str">
        <f>IFERROR(__xludf.DUMMYFUNCTION("""COMPUTED_VALUE"""),"Binary Tree Level Order Traversal II")</f>
        <v>Binary Tree Level Order Traversal II</v>
      </c>
      <c r="C108" s="20" t="str">
        <f>IFERROR(__xludf.DUMMYFUNCTION("""COMPUTED_VALUE"""),"binary-tree-level-order-traversal-ii")</f>
        <v>binary-tree-level-order-traversal-ii</v>
      </c>
      <c r="D108" s="20" t="b">
        <f>IFERROR(__xludf.DUMMYFUNCTION("""COMPUTED_VALUE"""),FALSE)</f>
        <v>0</v>
      </c>
      <c r="E108" s="20" t="str">
        <f>IFERROR(__xludf.DUMMYFUNCTION("""COMPUTED_VALUE"""),"Medium")</f>
        <v>Medium</v>
      </c>
      <c r="F108" s="20">
        <f>IFERROR(__xludf.DUMMYFUNCTION("""COMPUTED_VALUE"""),3989.0)</f>
        <v>3989</v>
      </c>
      <c r="G108" s="20">
        <f>IFERROR(__xludf.DUMMYFUNCTION("""COMPUTED_VALUE"""),307.0)</f>
        <v>307</v>
      </c>
      <c r="H108" s="20" t="str">
        <f>IFERROR(__xludf.DUMMYFUNCTION("""COMPUTED_VALUE"""),"Algorithms")</f>
        <v>Algorithms</v>
      </c>
      <c r="I108" s="20">
        <f>IFERROR(__xludf.DUMMYFUNCTION("""COMPUTED_VALUE"""),0.606)</f>
        <v>0.606</v>
      </c>
      <c r="J108" s="20">
        <f>IFERROR(__xludf.DUMMYFUNCTION("""COMPUTED_VALUE"""),107.0)</f>
        <v>107</v>
      </c>
      <c r="K108" s="20" t="b">
        <f>IFERROR(__xludf.DUMMYFUNCTION("""COMPUTED_VALUE"""),FALSE)</f>
        <v>0</v>
      </c>
      <c r="L108" s="20" t="str">
        <f>IFERROR(__xludf.DUMMYFUNCTION("""COMPUTED_VALUE"""),"Tree;Breadth-First Search;Binary Tree;")</f>
        <v>Tree;Breadth-First Search;Binary Tree;</v>
      </c>
      <c r="M108" s="20" t="b">
        <f>IFERROR(__xludf.DUMMYFUNCTION("""COMPUTED_VALUE"""),TRUE)</f>
        <v>1</v>
      </c>
      <c r="N108" s="20" t="b">
        <f>IFERROR(__xludf.DUMMYFUNCTION("""COMPUTED_VALUE"""),FALSE)</f>
        <v>0</v>
      </c>
      <c r="O108" s="20">
        <f>IFERROR(__xludf.DUMMYFUNCTION("""COMPUTED_VALUE"""),60.6231168944587)</f>
        <v>60.62311689</v>
      </c>
      <c r="P108" s="20">
        <f>IFERROR(__xludf.DUMMYFUNCTION("""COMPUTED_VALUE"""),555328.0)</f>
        <v>555328</v>
      </c>
      <c r="Q108" s="20">
        <f>IFERROR(__xludf.DUMMYFUNCTION("""COMPUTED_VALUE"""),916036.0)</f>
        <v>916036</v>
      </c>
    </row>
    <row r="109">
      <c r="A109" s="20">
        <f>IFERROR(__xludf.DUMMYFUNCTION("""COMPUTED_VALUE"""),108.0)</f>
        <v>108</v>
      </c>
      <c r="B109" s="20" t="str">
        <f>IFERROR(__xludf.DUMMYFUNCTION("""COMPUTED_VALUE"""),"Convert Sorted Array to Binary Search Tree")</f>
        <v>Convert Sorted Array to Binary Search Tree</v>
      </c>
      <c r="C109" s="20" t="str">
        <f>IFERROR(__xludf.DUMMYFUNCTION("""COMPUTED_VALUE"""),"convert-sorted-array-to-binary-search-tree")</f>
        <v>convert-sorted-array-to-binary-search-tree</v>
      </c>
      <c r="D109" s="20" t="b">
        <f>IFERROR(__xludf.DUMMYFUNCTION("""COMPUTED_VALUE"""),FALSE)</f>
        <v>0</v>
      </c>
      <c r="E109" s="20" t="str">
        <f>IFERROR(__xludf.DUMMYFUNCTION("""COMPUTED_VALUE"""),"Easy")</f>
        <v>Easy</v>
      </c>
      <c r="F109" s="20">
        <f>IFERROR(__xludf.DUMMYFUNCTION("""COMPUTED_VALUE"""),8837.0)</f>
        <v>8837</v>
      </c>
      <c r="G109" s="20">
        <f>IFERROR(__xludf.DUMMYFUNCTION("""COMPUTED_VALUE"""),445.0)</f>
        <v>445</v>
      </c>
      <c r="H109" s="20" t="str">
        <f>IFERROR(__xludf.DUMMYFUNCTION("""COMPUTED_VALUE"""),"Algorithms")</f>
        <v>Algorithms</v>
      </c>
      <c r="I109" s="20">
        <f>IFERROR(__xludf.DUMMYFUNCTION("""COMPUTED_VALUE"""),0.693)</f>
        <v>0.693</v>
      </c>
      <c r="J109" s="20">
        <f>IFERROR(__xludf.DUMMYFUNCTION("""COMPUTED_VALUE"""),108.0)</f>
        <v>108</v>
      </c>
      <c r="K109" s="20" t="b">
        <f>IFERROR(__xludf.DUMMYFUNCTION("""COMPUTED_VALUE"""),FALSE)</f>
        <v>0</v>
      </c>
      <c r="L109" s="20" t="str">
        <f>IFERROR(__xludf.DUMMYFUNCTION("""COMPUTED_VALUE"""),"Array;Divide and Conquer;Tree;Binary Search Tree;Binary Tree;")</f>
        <v>Array;Divide and Conquer;Tree;Binary Search Tree;Binary Tree;</v>
      </c>
      <c r="M109" s="20" t="b">
        <f>IFERROR(__xludf.DUMMYFUNCTION("""COMPUTED_VALUE"""),TRUE)</f>
        <v>1</v>
      </c>
      <c r="N109" s="20" t="b">
        <f>IFERROR(__xludf.DUMMYFUNCTION("""COMPUTED_VALUE"""),FALSE)</f>
        <v>0</v>
      </c>
      <c r="O109" s="20">
        <f>IFERROR(__xludf.DUMMYFUNCTION("""COMPUTED_VALUE"""),69.3430656934306)</f>
        <v>69.34306569</v>
      </c>
      <c r="P109" s="20">
        <f>IFERROR(__xludf.DUMMYFUNCTION("""COMPUTED_VALUE"""),925105.0)</f>
        <v>925105</v>
      </c>
      <c r="Q109" s="20">
        <f>IFERROR(__xludf.DUMMYFUNCTION("""COMPUTED_VALUE"""),1334099.0)</f>
        <v>1334099</v>
      </c>
    </row>
    <row r="110">
      <c r="A110" s="20">
        <f>IFERROR(__xludf.DUMMYFUNCTION("""COMPUTED_VALUE"""),109.0)</f>
        <v>109</v>
      </c>
      <c r="B110" s="20" t="str">
        <f>IFERROR(__xludf.DUMMYFUNCTION("""COMPUTED_VALUE"""),"Convert Sorted List to Binary Search Tree")</f>
        <v>Convert Sorted List to Binary Search Tree</v>
      </c>
      <c r="C110" s="20" t="str">
        <f>IFERROR(__xludf.DUMMYFUNCTION("""COMPUTED_VALUE"""),"convert-sorted-list-to-binary-search-tree")</f>
        <v>convert-sorted-list-to-binary-search-tree</v>
      </c>
      <c r="D110" s="20" t="b">
        <f>IFERROR(__xludf.DUMMYFUNCTION("""COMPUTED_VALUE"""),FALSE)</f>
        <v>0</v>
      </c>
      <c r="E110" s="20" t="str">
        <f>IFERROR(__xludf.DUMMYFUNCTION("""COMPUTED_VALUE"""),"Medium")</f>
        <v>Medium</v>
      </c>
      <c r="F110" s="20">
        <f>IFERROR(__xludf.DUMMYFUNCTION("""COMPUTED_VALUE"""),5482.0)</f>
        <v>5482</v>
      </c>
      <c r="G110" s="20">
        <f>IFERROR(__xludf.DUMMYFUNCTION("""COMPUTED_VALUE"""),125.0)</f>
        <v>125</v>
      </c>
      <c r="H110" s="20" t="str">
        <f>IFERROR(__xludf.DUMMYFUNCTION("""COMPUTED_VALUE"""),"Algorithms")</f>
        <v>Algorithms</v>
      </c>
      <c r="I110" s="20">
        <f>IFERROR(__xludf.DUMMYFUNCTION("""COMPUTED_VALUE"""),0.576)</f>
        <v>0.576</v>
      </c>
      <c r="J110" s="20">
        <f>IFERROR(__xludf.DUMMYFUNCTION("""COMPUTED_VALUE"""),109.0)</f>
        <v>109</v>
      </c>
      <c r="K110" s="20" t="b">
        <f>IFERROR(__xludf.DUMMYFUNCTION("""COMPUTED_VALUE"""),FALSE)</f>
        <v>0</v>
      </c>
      <c r="L110" s="20" t="str">
        <f>IFERROR(__xludf.DUMMYFUNCTION("""COMPUTED_VALUE"""),"Linked List;Divide and Conquer;Tree;Binary Search Tree;Binary Tree;")</f>
        <v>Linked List;Divide and Conquer;Tree;Binary Search Tree;Binary Tree;</v>
      </c>
      <c r="M110" s="20" t="b">
        <f>IFERROR(__xludf.DUMMYFUNCTION("""COMPUTED_VALUE"""),TRUE)</f>
        <v>1</v>
      </c>
      <c r="N110" s="20" t="b">
        <f>IFERROR(__xludf.DUMMYFUNCTION("""COMPUTED_VALUE"""),FALSE)</f>
        <v>0</v>
      </c>
      <c r="O110" s="20">
        <f>IFERROR(__xludf.DUMMYFUNCTION("""COMPUTED_VALUE"""),57.5754103766466)</f>
        <v>57.57541038</v>
      </c>
      <c r="P110" s="20">
        <f>IFERROR(__xludf.DUMMYFUNCTION("""COMPUTED_VALUE"""),412055.0)</f>
        <v>412055</v>
      </c>
      <c r="Q110" s="20">
        <f>IFERROR(__xludf.DUMMYFUNCTION("""COMPUTED_VALUE"""),715681.0)</f>
        <v>715681</v>
      </c>
    </row>
    <row r="111">
      <c r="A111" s="20">
        <f>IFERROR(__xludf.DUMMYFUNCTION("""COMPUTED_VALUE"""),110.0)</f>
        <v>110</v>
      </c>
      <c r="B111" s="20" t="str">
        <f>IFERROR(__xludf.DUMMYFUNCTION("""COMPUTED_VALUE"""),"Balanced Binary Tree")</f>
        <v>Balanced Binary Tree</v>
      </c>
      <c r="C111" s="20" t="str">
        <f>IFERROR(__xludf.DUMMYFUNCTION("""COMPUTED_VALUE"""),"balanced-binary-tree")</f>
        <v>balanced-binary-tree</v>
      </c>
      <c r="D111" s="20" t="b">
        <f>IFERROR(__xludf.DUMMYFUNCTION("""COMPUTED_VALUE"""),FALSE)</f>
        <v>0</v>
      </c>
      <c r="E111" s="20" t="str">
        <f>IFERROR(__xludf.DUMMYFUNCTION("""COMPUTED_VALUE"""),"Easy")</f>
        <v>Easy</v>
      </c>
      <c r="F111" s="20">
        <f>IFERROR(__xludf.DUMMYFUNCTION("""COMPUTED_VALUE"""),8026.0)</f>
        <v>8026</v>
      </c>
      <c r="G111" s="20">
        <f>IFERROR(__xludf.DUMMYFUNCTION("""COMPUTED_VALUE"""),450.0)</f>
        <v>450</v>
      </c>
      <c r="H111" s="20" t="str">
        <f>IFERROR(__xludf.DUMMYFUNCTION("""COMPUTED_VALUE"""),"Algorithms")</f>
        <v>Algorithms</v>
      </c>
      <c r="I111" s="20">
        <f>IFERROR(__xludf.DUMMYFUNCTION("""COMPUTED_VALUE"""),0.484)</f>
        <v>0.484</v>
      </c>
      <c r="J111" s="20">
        <f>IFERROR(__xludf.DUMMYFUNCTION("""COMPUTED_VALUE"""),110.0)</f>
        <v>110</v>
      </c>
      <c r="K111" s="20" t="b">
        <f>IFERROR(__xludf.DUMMYFUNCTION("""COMPUTED_VALUE"""),FALSE)</f>
        <v>0</v>
      </c>
      <c r="L111" s="20" t="str">
        <f>IFERROR(__xludf.DUMMYFUNCTION("""COMPUTED_VALUE"""),"Tree;Depth-First Search;Binary Tree;")</f>
        <v>Tree;Depth-First Search;Binary Tree;</v>
      </c>
      <c r="M111" s="20" t="b">
        <f>IFERROR(__xludf.DUMMYFUNCTION("""COMPUTED_VALUE"""),TRUE)</f>
        <v>1</v>
      </c>
      <c r="N111" s="20" t="b">
        <f>IFERROR(__xludf.DUMMYFUNCTION("""COMPUTED_VALUE"""),FALSE)</f>
        <v>0</v>
      </c>
      <c r="O111" s="20">
        <f>IFERROR(__xludf.DUMMYFUNCTION("""COMPUTED_VALUE"""),48.4426455272999)</f>
        <v>48.44264553</v>
      </c>
      <c r="P111" s="20">
        <f>IFERROR(__xludf.DUMMYFUNCTION("""COMPUTED_VALUE"""),1004252.0)</f>
        <v>1004252</v>
      </c>
      <c r="Q111" s="20">
        <f>IFERROR(__xludf.DUMMYFUNCTION("""COMPUTED_VALUE"""),2073080.0)</f>
        <v>2073080</v>
      </c>
    </row>
    <row r="112">
      <c r="A112" s="20">
        <f>IFERROR(__xludf.DUMMYFUNCTION("""COMPUTED_VALUE"""),111.0)</f>
        <v>111</v>
      </c>
      <c r="B112" s="20" t="str">
        <f>IFERROR(__xludf.DUMMYFUNCTION("""COMPUTED_VALUE"""),"Minimum Depth of Binary Tree")</f>
        <v>Minimum Depth of Binary Tree</v>
      </c>
      <c r="C112" s="20" t="str">
        <f>IFERROR(__xludf.DUMMYFUNCTION("""COMPUTED_VALUE"""),"minimum-depth-of-binary-tree")</f>
        <v>minimum-depth-of-binary-tree</v>
      </c>
      <c r="D112" s="20" t="b">
        <f>IFERROR(__xludf.DUMMYFUNCTION("""COMPUTED_VALUE"""),FALSE)</f>
        <v>0</v>
      </c>
      <c r="E112" s="20" t="str">
        <f>IFERROR(__xludf.DUMMYFUNCTION("""COMPUTED_VALUE"""),"Easy")</f>
        <v>Easy</v>
      </c>
      <c r="F112" s="20">
        <f>IFERROR(__xludf.DUMMYFUNCTION("""COMPUTED_VALUE"""),5220.0)</f>
        <v>5220</v>
      </c>
      <c r="G112" s="20">
        <f>IFERROR(__xludf.DUMMYFUNCTION("""COMPUTED_VALUE"""),1056.0)</f>
        <v>1056</v>
      </c>
      <c r="H112" s="20" t="str">
        <f>IFERROR(__xludf.DUMMYFUNCTION("""COMPUTED_VALUE"""),"Algorithms")</f>
        <v>Algorithms</v>
      </c>
      <c r="I112" s="20">
        <f>IFERROR(__xludf.DUMMYFUNCTION("""COMPUTED_VALUE"""),0.439)</f>
        <v>0.439</v>
      </c>
      <c r="J112" s="20">
        <f>IFERROR(__xludf.DUMMYFUNCTION("""COMPUTED_VALUE"""),111.0)</f>
        <v>111</v>
      </c>
      <c r="K112" s="20" t="b">
        <f>IFERROR(__xludf.DUMMYFUNCTION("""COMPUTED_VALUE"""),FALSE)</f>
        <v>0</v>
      </c>
      <c r="L112" s="20" t="str">
        <f>IFERROR(__xludf.DUMMYFUNCTION("""COMPUTED_VALUE"""),"Tree;Depth-First Search;Breadth-First Search;Binary Tree;")</f>
        <v>Tree;Depth-First Search;Breadth-First Search;Binary Tree;</v>
      </c>
      <c r="M112" s="20" t="b">
        <f>IFERROR(__xludf.DUMMYFUNCTION("""COMPUTED_VALUE"""),TRUE)</f>
        <v>1</v>
      </c>
      <c r="N112" s="20" t="b">
        <f>IFERROR(__xludf.DUMMYFUNCTION("""COMPUTED_VALUE"""),FALSE)</f>
        <v>0</v>
      </c>
      <c r="O112" s="20">
        <f>IFERROR(__xludf.DUMMYFUNCTION("""COMPUTED_VALUE"""),43.8573488659878)</f>
        <v>43.85734887</v>
      </c>
      <c r="P112" s="20">
        <f>IFERROR(__xludf.DUMMYFUNCTION("""COMPUTED_VALUE"""),881057.0)</f>
        <v>881057</v>
      </c>
      <c r="Q112" s="20">
        <f>IFERROR(__xludf.DUMMYFUNCTION("""COMPUTED_VALUE"""),2008921.0)</f>
        <v>2008921</v>
      </c>
    </row>
    <row r="113">
      <c r="A113" s="20">
        <f>IFERROR(__xludf.DUMMYFUNCTION("""COMPUTED_VALUE"""),112.0)</f>
        <v>112</v>
      </c>
      <c r="B113" s="20" t="str">
        <f>IFERROR(__xludf.DUMMYFUNCTION("""COMPUTED_VALUE"""),"Path Sum")</f>
        <v>Path Sum</v>
      </c>
      <c r="C113" s="20" t="str">
        <f>IFERROR(__xludf.DUMMYFUNCTION("""COMPUTED_VALUE"""),"path-sum")</f>
        <v>path-sum</v>
      </c>
      <c r="D113" s="20" t="b">
        <f>IFERROR(__xludf.DUMMYFUNCTION("""COMPUTED_VALUE"""),FALSE)</f>
        <v>0</v>
      </c>
      <c r="E113" s="20" t="str">
        <f>IFERROR(__xludf.DUMMYFUNCTION("""COMPUTED_VALUE"""),"Easy")</f>
        <v>Easy</v>
      </c>
      <c r="F113" s="20">
        <f>IFERROR(__xludf.DUMMYFUNCTION("""COMPUTED_VALUE"""),7658.0)</f>
        <v>7658</v>
      </c>
      <c r="G113" s="20">
        <f>IFERROR(__xludf.DUMMYFUNCTION("""COMPUTED_VALUE"""),907.0)</f>
        <v>907</v>
      </c>
      <c r="H113" s="20" t="str">
        <f>IFERROR(__xludf.DUMMYFUNCTION("""COMPUTED_VALUE"""),"Algorithms")</f>
        <v>Algorithms</v>
      </c>
      <c r="I113" s="20">
        <f>IFERROR(__xludf.DUMMYFUNCTION("""COMPUTED_VALUE"""),0.478)</f>
        <v>0.478</v>
      </c>
      <c r="J113" s="20">
        <f>IFERROR(__xludf.DUMMYFUNCTION("""COMPUTED_VALUE"""),112.0)</f>
        <v>112</v>
      </c>
      <c r="K113" s="20" t="b">
        <f>IFERROR(__xludf.DUMMYFUNCTION("""COMPUTED_VALUE"""),FALSE)</f>
        <v>0</v>
      </c>
      <c r="L113" s="20" t="str">
        <f>IFERROR(__xludf.DUMMYFUNCTION("""COMPUTED_VALUE"""),"Tree;Depth-First Search;Breadth-First Search;Binary Tree;")</f>
        <v>Tree;Depth-First Search;Breadth-First Search;Binary Tree;</v>
      </c>
      <c r="M113" s="20" t="b">
        <f>IFERROR(__xludf.DUMMYFUNCTION("""COMPUTED_VALUE"""),TRUE)</f>
        <v>1</v>
      </c>
      <c r="N113" s="20" t="b">
        <f>IFERROR(__xludf.DUMMYFUNCTION("""COMPUTED_VALUE"""),FALSE)</f>
        <v>0</v>
      </c>
      <c r="O113" s="20">
        <f>IFERROR(__xludf.DUMMYFUNCTION("""COMPUTED_VALUE"""),47.8422595085504)</f>
        <v>47.84225951</v>
      </c>
      <c r="P113" s="20">
        <f>IFERROR(__xludf.DUMMYFUNCTION("""COMPUTED_VALUE"""),1099299.0)</f>
        <v>1099299</v>
      </c>
      <c r="Q113" s="20">
        <f>IFERROR(__xludf.DUMMYFUNCTION("""COMPUTED_VALUE"""),2297760.0)</f>
        <v>2297760</v>
      </c>
    </row>
    <row r="114">
      <c r="A114" s="20">
        <f>IFERROR(__xludf.DUMMYFUNCTION("""COMPUTED_VALUE"""),113.0)</f>
        <v>113</v>
      </c>
      <c r="B114" s="20" t="str">
        <f>IFERROR(__xludf.DUMMYFUNCTION("""COMPUTED_VALUE"""),"Path Sum II")</f>
        <v>Path Sum II</v>
      </c>
      <c r="C114" s="20" t="str">
        <f>IFERROR(__xludf.DUMMYFUNCTION("""COMPUTED_VALUE"""),"path-sum-ii")</f>
        <v>path-sum-ii</v>
      </c>
      <c r="D114" s="20" t="b">
        <f>IFERROR(__xludf.DUMMYFUNCTION("""COMPUTED_VALUE"""),FALSE)</f>
        <v>0</v>
      </c>
      <c r="E114" s="20" t="str">
        <f>IFERROR(__xludf.DUMMYFUNCTION("""COMPUTED_VALUE"""),"Medium")</f>
        <v>Medium</v>
      </c>
      <c r="F114" s="20">
        <f>IFERROR(__xludf.DUMMYFUNCTION("""COMPUTED_VALUE"""),6586.0)</f>
        <v>6586</v>
      </c>
      <c r="G114" s="20">
        <f>IFERROR(__xludf.DUMMYFUNCTION("""COMPUTED_VALUE"""),135.0)</f>
        <v>135</v>
      </c>
      <c r="H114" s="20" t="str">
        <f>IFERROR(__xludf.DUMMYFUNCTION("""COMPUTED_VALUE"""),"Algorithms")</f>
        <v>Algorithms</v>
      </c>
      <c r="I114" s="20">
        <f>IFERROR(__xludf.DUMMYFUNCTION("""COMPUTED_VALUE"""),0.568)</f>
        <v>0.568</v>
      </c>
      <c r="J114" s="20">
        <f>IFERROR(__xludf.DUMMYFUNCTION("""COMPUTED_VALUE"""),113.0)</f>
        <v>113</v>
      </c>
      <c r="K114" s="20" t="b">
        <f>IFERROR(__xludf.DUMMYFUNCTION("""COMPUTED_VALUE"""),FALSE)</f>
        <v>0</v>
      </c>
      <c r="L114" s="20" t="str">
        <f>IFERROR(__xludf.DUMMYFUNCTION("""COMPUTED_VALUE"""),"Backtracking;Tree;Depth-First Search;Binary Tree;")</f>
        <v>Backtracking;Tree;Depth-First Search;Binary Tree;</v>
      </c>
      <c r="M114" s="20" t="b">
        <f>IFERROR(__xludf.DUMMYFUNCTION("""COMPUTED_VALUE"""),TRUE)</f>
        <v>1</v>
      </c>
      <c r="N114" s="20" t="b">
        <f>IFERROR(__xludf.DUMMYFUNCTION("""COMPUTED_VALUE"""),FALSE)</f>
        <v>0</v>
      </c>
      <c r="O114" s="20">
        <f>IFERROR(__xludf.DUMMYFUNCTION("""COMPUTED_VALUE"""),56.8051899794993)</f>
        <v>56.80518998</v>
      </c>
      <c r="P114" s="20">
        <f>IFERROR(__xludf.DUMMYFUNCTION("""COMPUTED_VALUE"""),712396.0)</f>
        <v>712396</v>
      </c>
      <c r="Q114" s="20">
        <f>IFERROR(__xludf.DUMMYFUNCTION("""COMPUTED_VALUE"""),1254105.0)</f>
        <v>1254105</v>
      </c>
    </row>
    <row r="115">
      <c r="A115" s="20">
        <f>IFERROR(__xludf.DUMMYFUNCTION("""COMPUTED_VALUE"""),114.0)</f>
        <v>114</v>
      </c>
      <c r="B115" s="20" t="str">
        <f>IFERROR(__xludf.DUMMYFUNCTION("""COMPUTED_VALUE"""),"Flatten Binary Tree to Linked List")</f>
        <v>Flatten Binary Tree to Linked List</v>
      </c>
      <c r="C115" s="20" t="str">
        <f>IFERROR(__xludf.DUMMYFUNCTION("""COMPUTED_VALUE"""),"flatten-binary-tree-to-linked-list")</f>
        <v>flatten-binary-tree-to-linked-list</v>
      </c>
      <c r="D115" s="20" t="b">
        <f>IFERROR(__xludf.DUMMYFUNCTION("""COMPUTED_VALUE"""),FALSE)</f>
        <v>0</v>
      </c>
      <c r="E115" s="20" t="str">
        <f>IFERROR(__xludf.DUMMYFUNCTION("""COMPUTED_VALUE"""),"Medium")</f>
        <v>Medium</v>
      </c>
      <c r="F115" s="20">
        <f>IFERROR(__xludf.DUMMYFUNCTION("""COMPUTED_VALUE"""),9808.0)</f>
        <v>9808</v>
      </c>
      <c r="G115" s="20">
        <f>IFERROR(__xludf.DUMMYFUNCTION("""COMPUTED_VALUE"""),498.0)</f>
        <v>498</v>
      </c>
      <c r="H115" s="20" t="str">
        <f>IFERROR(__xludf.DUMMYFUNCTION("""COMPUTED_VALUE"""),"Algorithms")</f>
        <v>Algorithms</v>
      </c>
      <c r="I115" s="20">
        <f>IFERROR(__xludf.DUMMYFUNCTION("""COMPUTED_VALUE"""),0.614)</f>
        <v>0.614</v>
      </c>
      <c r="J115" s="20">
        <f>IFERROR(__xludf.DUMMYFUNCTION("""COMPUTED_VALUE"""),114.0)</f>
        <v>114</v>
      </c>
      <c r="K115" s="20" t="b">
        <f>IFERROR(__xludf.DUMMYFUNCTION("""COMPUTED_VALUE"""),FALSE)</f>
        <v>0</v>
      </c>
      <c r="L115" s="20" t="str">
        <f>IFERROR(__xludf.DUMMYFUNCTION("""COMPUTED_VALUE"""),"Linked List;Stack;Tree;Depth-First Search;Binary Tree;")</f>
        <v>Linked List;Stack;Tree;Depth-First Search;Binary Tree;</v>
      </c>
      <c r="M115" s="20" t="b">
        <f>IFERROR(__xludf.DUMMYFUNCTION("""COMPUTED_VALUE"""),TRUE)</f>
        <v>1</v>
      </c>
      <c r="N115" s="20" t="b">
        <f>IFERROR(__xludf.DUMMYFUNCTION("""COMPUTED_VALUE"""),FALSE)</f>
        <v>0</v>
      </c>
      <c r="O115" s="20">
        <f>IFERROR(__xludf.DUMMYFUNCTION("""COMPUTED_VALUE"""),61.377411290376)</f>
        <v>61.37741129</v>
      </c>
      <c r="P115" s="20">
        <f>IFERROR(__xludf.DUMMYFUNCTION("""COMPUTED_VALUE"""),740462.0)</f>
        <v>740462</v>
      </c>
      <c r="Q115" s="20">
        <f>IFERROR(__xludf.DUMMYFUNCTION("""COMPUTED_VALUE"""),1206408.0)</f>
        <v>1206408</v>
      </c>
    </row>
    <row r="116">
      <c r="A116" s="20">
        <f>IFERROR(__xludf.DUMMYFUNCTION("""COMPUTED_VALUE"""),115.0)</f>
        <v>115</v>
      </c>
      <c r="B116" s="20" t="str">
        <f>IFERROR(__xludf.DUMMYFUNCTION("""COMPUTED_VALUE"""),"Distinct Subsequences")</f>
        <v>Distinct Subsequences</v>
      </c>
      <c r="C116" s="20" t="str">
        <f>IFERROR(__xludf.DUMMYFUNCTION("""COMPUTED_VALUE"""),"distinct-subsequences")</f>
        <v>distinct-subsequences</v>
      </c>
      <c r="D116" s="20" t="b">
        <f>IFERROR(__xludf.DUMMYFUNCTION("""COMPUTED_VALUE"""),FALSE)</f>
        <v>0</v>
      </c>
      <c r="E116" s="20" t="str">
        <f>IFERROR(__xludf.DUMMYFUNCTION("""COMPUTED_VALUE"""),"Hard")</f>
        <v>Hard</v>
      </c>
      <c r="F116" s="20">
        <f>IFERROR(__xludf.DUMMYFUNCTION("""COMPUTED_VALUE"""),4818.0)</f>
        <v>4818</v>
      </c>
      <c r="G116" s="20">
        <f>IFERROR(__xludf.DUMMYFUNCTION("""COMPUTED_VALUE"""),192.0)</f>
        <v>192</v>
      </c>
      <c r="H116" s="20" t="str">
        <f>IFERROR(__xludf.DUMMYFUNCTION("""COMPUTED_VALUE"""),"Algorithms")</f>
        <v>Algorithms</v>
      </c>
      <c r="I116" s="20">
        <f>IFERROR(__xludf.DUMMYFUNCTION("""COMPUTED_VALUE"""),0.44)</f>
        <v>0.44</v>
      </c>
      <c r="J116" s="20">
        <f>IFERROR(__xludf.DUMMYFUNCTION("""COMPUTED_VALUE"""),115.0)</f>
        <v>115</v>
      </c>
      <c r="K116" s="20" t="b">
        <f>IFERROR(__xludf.DUMMYFUNCTION("""COMPUTED_VALUE"""),FALSE)</f>
        <v>0</v>
      </c>
      <c r="L116" s="20" t="str">
        <f>IFERROR(__xludf.DUMMYFUNCTION("""COMPUTED_VALUE"""),"String;Dynamic Programming;")</f>
        <v>String;Dynamic Programming;</v>
      </c>
      <c r="M116" s="20" t="b">
        <f>IFERROR(__xludf.DUMMYFUNCTION("""COMPUTED_VALUE"""),TRUE)</f>
        <v>1</v>
      </c>
      <c r="N116" s="20" t="b">
        <f>IFERROR(__xludf.DUMMYFUNCTION("""COMPUTED_VALUE"""),FALSE)</f>
        <v>0</v>
      </c>
      <c r="O116" s="20">
        <f>IFERROR(__xludf.DUMMYFUNCTION("""COMPUTED_VALUE"""),44.0037126801682)</f>
        <v>44.00371268</v>
      </c>
      <c r="P116" s="20">
        <f>IFERROR(__xludf.DUMMYFUNCTION("""COMPUTED_VALUE"""),270700.0)</f>
        <v>270700</v>
      </c>
      <c r="Q116" s="20">
        <f>IFERROR(__xludf.DUMMYFUNCTION("""COMPUTED_VALUE"""),615181.0)</f>
        <v>615181</v>
      </c>
    </row>
    <row r="117">
      <c r="A117" s="20">
        <f>IFERROR(__xludf.DUMMYFUNCTION("""COMPUTED_VALUE"""),116.0)</f>
        <v>116</v>
      </c>
      <c r="B117" s="20" t="str">
        <f>IFERROR(__xludf.DUMMYFUNCTION("""COMPUTED_VALUE"""),"Populating Next Right Pointers in Each Node")</f>
        <v>Populating Next Right Pointers in Each Node</v>
      </c>
      <c r="C117" s="20" t="str">
        <f>IFERROR(__xludf.DUMMYFUNCTION("""COMPUTED_VALUE"""),"populating-next-right-pointers-in-each-node")</f>
        <v>populating-next-right-pointers-in-each-node</v>
      </c>
      <c r="D117" s="20" t="b">
        <f>IFERROR(__xludf.DUMMYFUNCTION("""COMPUTED_VALUE"""),FALSE)</f>
        <v>0</v>
      </c>
      <c r="E117" s="20" t="str">
        <f>IFERROR(__xludf.DUMMYFUNCTION("""COMPUTED_VALUE"""),"Medium")</f>
        <v>Medium</v>
      </c>
      <c r="F117" s="20">
        <f>IFERROR(__xludf.DUMMYFUNCTION("""COMPUTED_VALUE"""),8115.0)</f>
        <v>8115</v>
      </c>
      <c r="G117" s="20">
        <f>IFERROR(__xludf.DUMMYFUNCTION("""COMPUTED_VALUE"""),273.0)</f>
        <v>273</v>
      </c>
      <c r="H117" s="20" t="str">
        <f>IFERROR(__xludf.DUMMYFUNCTION("""COMPUTED_VALUE"""),"Algorithms")</f>
        <v>Algorithms</v>
      </c>
      <c r="I117" s="20">
        <f>IFERROR(__xludf.DUMMYFUNCTION("""COMPUTED_VALUE"""),0.598)</f>
        <v>0.598</v>
      </c>
      <c r="J117" s="20">
        <f>IFERROR(__xludf.DUMMYFUNCTION("""COMPUTED_VALUE"""),116.0)</f>
        <v>116</v>
      </c>
      <c r="K117" s="20" t="b">
        <f>IFERROR(__xludf.DUMMYFUNCTION("""COMPUTED_VALUE"""),FALSE)</f>
        <v>0</v>
      </c>
      <c r="L117" s="20" t="str">
        <f>IFERROR(__xludf.DUMMYFUNCTION("""COMPUTED_VALUE"""),"Linked List;Tree;Depth-First Search;Breadth-First Search;Binary Tree;")</f>
        <v>Linked List;Tree;Depth-First Search;Breadth-First Search;Binary Tree;</v>
      </c>
      <c r="M117" s="20" t="b">
        <f>IFERROR(__xludf.DUMMYFUNCTION("""COMPUTED_VALUE"""),TRUE)</f>
        <v>1</v>
      </c>
      <c r="N117" s="20" t="b">
        <f>IFERROR(__xludf.DUMMYFUNCTION("""COMPUTED_VALUE"""),FALSE)</f>
        <v>0</v>
      </c>
      <c r="O117" s="20">
        <f>IFERROR(__xludf.DUMMYFUNCTION("""COMPUTED_VALUE"""),59.794804324554)</f>
        <v>59.79480432</v>
      </c>
      <c r="P117" s="20">
        <f>IFERROR(__xludf.DUMMYFUNCTION("""COMPUTED_VALUE"""),878053.0)</f>
        <v>878053</v>
      </c>
      <c r="Q117" s="20">
        <f>IFERROR(__xludf.DUMMYFUNCTION("""COMPUTED_VALUE"""),1468447.0)</f>
        <v>1468447</v>
      </c>
    </row>
    <row r="118">
      <c r="A118" s="20">
        <f>IFERROR(__xludf.DUMMYFUNCTION("""COMPUTED_VALUE"""),117.0)</f>
        <v>117</v>
      </c>
      <c r="B118" s="20" t="str">
        <f>IFERROR(__xludf.DUMMYFUNCTION("""COMPUTED_VALUE"""),"Populating Next Right Pointers in Each Node II")</f>
        <v>Populating Next Right Pointers in Each Node II</v>
      </c>
      <c r="C118" s="20" t="str">
        <f>IFERROR(__xludf.DUMMYFUNCTION("""COMPUTED_VALUE"""),"populating-next-right-pointers-in-each-node-ii")</f>
        <v>populating-next-right-pointers-in-each-node-ii</v>
      </c>
      <c r="D118" s="20" t="b">
        <f>IFERROR(__xludf.DUMMYFUNCTION("""COMPUTED_VALUE"""),FALSE)</f>
        <v>0</v>
      </c>
      <c r="E118" s="20" t="str">
        <f>IFERROR(__xludf.DUMMYFUNCTION("""COMPUTED_VALUE"""),"Medium")</f>
        <v>Medium</v>
      </c>
      <c r="F118" s="20">
        <f>IFERROR(__xludf.DUMMYFUNCTION("""COMPUTED_VALUE"""),5036.0)</f>
        <v>5036</v>
      </c>
      <c r="G118" s="20">
        <f>IFERROR(__xludf.DUMMYFUNCTION("""COMPUTED_VALUE"""),292.0)</f>
        <v>292</v>
      </c>
      <c r="H118" s="20" t="str">
        <f>IFERROR(__xludf.DUMMYFUNCTION("""COMPUTED_VALUE"""),"Algorithms")</f>
        <v>Algorithms</v>
      </c>
      <c r="I118" s="20">
        <f>IFERROR(__xludf.DUMMYFUNCTION("""COMPUTED_VALUE"""),0.499)</f>
        <v>0.499</v>
      </c>
      <c r="J118" s="20">
        <f>IFERROR(__xludf.DUMMYFUNCTION("""COMPUTED_VALUE"""),117.0)</f>
        <v>117</v>
      </c>
      <c r="K118" s="20" t="b">
        <f>IFERROR(__xludf.DUMMYFUNCTION("""COMPUTED_VALUE"""),FALSE)</f>
        <v>0</v>
      </c>
      <c r="L118" s="20" t="str">
        <f>IFERROR(__xludf.DUMMYFUNCTION("""COMPUTED_VALUE"""),"Linked List;Tree;Depth-First Search;Breadth-First Search;Binary Tree;")</f>
        <v>Linked List;Tree;Depth-First Search;Breadth-First Search;Binary Tree;</v>
      </c>
      <c r="M118" s="20" t="b">
        <f>IFERROR(__xludf.DUMMYFUNCTION("""COMPUTED_VALUE"""),TRUE)</f>
        <v>1</v>
      </c>
      <c r="N118" s="20" t="b">
        <f>IFERROR(__xludf.DUMMYFUNCTION("""COMPUTED_VALUE"""),FALSE)</f>
        <v>0</v>
      </c>
      <c r="O118" s="20">
        <f>IFERROR(__xludf.DUMMYFUNCTION("""COMPUTED_VALUE"""),49.91435594349)</f>
        <v>49.91435594</v>
      </c>
      <c r="P118" s="20">
        <f>IFERROR(__xludf.DUMMYFUNCTION("""COMPUTED_VALUE"""),529193.0)</f>
        <v>529193</v>
      </c>
      <c r="Q118" s="20">
        <f>IFERROR(__xludf.DUMMYFUNCTION("""COMPUTED_VALUE"""),1060202.0)</f>
        <v>1060202</v>
      </c>
    </row>
    <row r="119">
      <c r="A119" s="20">
        <f>IFERROR(__xludf.DUMMYFUNCTION("""COMPUTED_VALUE"""),118.0)</f>
        <v>118</v>
      </c>
      <c r="B119" s="20" t="str">
        <f>IFERROR(__xludf.DUMMYFUNCTION("""COMPUTED_VALUE"""),"Pascal's Triangle")</f>
        <v>Pascal's Triangle</v>
      </c>
      <c r="C119" s="20" t="str">
        <f>IFERROR(__xludf.DUMMYFUNCTION("""COMPUTED_VALUE"""),"pascals-triangle")</f>
        <v>pascals-triangle</v>
      </c>
      <c r="D119" s="20" t="b">
        <f>IFERROR(__xludf.DUMMYFUNCTION("""COMPUTED_VALUE"""),FALSE)</f>
        <v>0</v>
      </c>
      <c r="E119" s="20" t="str">
        <f>IFERROR(__xludf.DUMMYFUNCTION("""COMPUTED_VALUE"""),"Easy")</f>
        <v>Easy</v>
      </c>
      <c r="F119" s="20">
        <f>IFERROR(__xludf.DUMMYFUNCTION("""COMPUTED_VALUE"""),8795.0)</f>
        <v>8795</v>
      </c>
      <c r="G119" s="20">
        <f>IFERROR(__xludf.DUMMYFUNCTION("""COMPUTED_VALUE"""),289.0)</f>
        <v>289</v>
      </c>
      <c r="H119" s="20" t="str">
        <f>IFERROR(__xludf.DUMMYFUNCTION("""COMPUTED_VALUE"""),"Algorithms")</f>
        <v>Algorithms</v>
      </c>
      <c r="I119" s="20">
        <f>IFERROR(__xludf.DUMMYFUNCTION("""COMPUTED_VALUE"""),0.697)</f>
        <v>0.697</v>
      </c>
      <c r="J119" s="20">
        <f>IFERROR(__xludf.DUMMYFUNCTION("""COMPUTED_VALUE"""),118.0)</f>
        <v>118</v>
      </c>
      <c r="K119" s="20" t="b">
        <f>IFERROR(__xludf.DUMMYFUNCTION("""COMPUTED_VALUE"""),FALSE)</f>
        <v>0</v>
      </c>
      <c r="L119" s="20" t="str">
        <f>IFERROR(__xludf.DUMMYFUNCTION("""COMPUTED_VALUE"""),"Array;Dynamic Programming;")</f>
        <v>Array;Dynamic Programming;</v>
      </c>
      <c r="M119" s="20" t="b">
        <f>IFERROR(__xludf.DUMMYFUNCTION("""COMPUTED_VALUE"""),TRUE)</f>
        <v>1</v>
      </c>
      <c r="N119" s="20" t="b">
        <f>IFERROR(__xludf.DUMMYFUNCTION("""COMPUTED_VALUE"""),TRUE)</f>
        <v>1</v>
      </c>
      <c r="O119" s="20">
        <f>IFERROR(__xludf.DUMMYFUNCTION("""COMPUTED_VALUE"""),69.7416419568163)</f>
        <v>69.74164196</v>
      </c>
      <c r="P119" s="20">
        <f>IFERROR(__xludf.DUMMYFUNCTION("""COMPUTED_VALUE"""),1095072.0)</f>
        <v>1095072</v>
      </c>
      <c r="Q119" s="20">
        <f>IFERROR(__xludf.DUMMYFUNCTION("""COMPUTED_VALUE"""),1570191.0)</f>
        <v>1570191</v>
      </c>
    </row>
    <row r="120">
      <c r="A120" s="20">
        <f>IFERROR(__xludf.DUMMYFUNCTION("""COMPUTED_VALUE"""),119.0)</f>
        <v>119</v>
      </c>
      <c r="B120" s="20" t="str">
        <f>IFERROR(__xludf.DUMMYFUNCTION("""COMPUTED_VALUE"""),"Pascal's Triangle II")</f>
        <v>Pascal's Triangle II</v>
      </c>
      <c r="C120" s="20" t="str">
        <f>IFERROR(__xludf.DUMMYFUNCTION("""COMPUTED_VALUE"""),"pascals-triangle-ii")</f>
        <v>pascals-triangle-ii</v>
      </c>
      <c r="D120" s="20" t="b">
        <f>IFERROR(__xludf.DUMMYFUNCTION("""COMPUTED_VALUE"""),FALSE)</f>
        <v>0</v>
      </c>
      <c r="E120" s="20" t="str">
        <f>IFERROR(__xludf.DUMMYFUNCTION("""COMPUTED_VALUE"""),"Easy")</f>
        <v>Easy</v>
      </c>
      <c r="F120" s="20">
        <f>IFERROR(__xludf.DUMMYFUNCTION("""COMPUTED_VALUE"""),3412.0)</f>
        <v>3412</v>
      </c>
      <c r="G120" s="20">
        <f>IFERROR(__xludf.DUMMYFUNCTION("""COMPUTED_VALUE"""),290.0)</f>
        <v>290</v>
      </c>
      <c r="H120" s="20" t="str">
        <f>IFERROR(__xludf.DUMMYFUNCTION("""COMPUTED_VALUE"""),"Algorithms")</f>
        <v>Algorithms</v>
      </c>
      <c r="I120" s="20">
        <f>IFERROR(__xludf.DUMMYFUNCTION("""COMPUTED_VALUE"""),0.601)</f>
        <v>0.601</v>
      </c>
      <c r="J120" s="20">
        <f>IFERROR(__xludf.DUMMYFUNCTION("""COMPUTED_VALUE"""),119.0)</f>
        <v>119</v>
      </c>
      <c r="K120" s="20" t="b">
        <f>IFERROR(__xludf.DUMMYFUNCTION("""COMPUTED_VALUE"""),FALSE)</f>
        <v>0</v>
      </c>
      <c r="L120" s="20" t="str">
        <f>IFERROR(__xludf.DUMMYFUNCTION("""COMPUTED_VALUE"""),"Array;Dynamic Programming;")</f>
        <v>Array;Dynamic Programming;</v>
      </c>
      <c r="M120" s="20" t="b">
        <f>IFERROR(__xludf.DUMMYFUNCTION("""COMPUTED_VALUE"""),TRUE)</f>
        <v>1</v>
      </c>
      <c r="N120" s="20" t="b">
        <f>IFERROR(__xludf.DUMMYFUNCTION("""COMPUTED_VALUE"""),FALSE)</f>
        <v>0</v>
      </c>
      <c r="O120" s="20">
        <f>IFERROR(__xludf.DUMMYFUNCTION("""COMPUTED_VALUE"""),60.0818239972502)</f>
        <v>60.081824</v>
      </c>
      <c r="P120" s="20">
        <f>IFERROR(__xludf.DUMMYFUNCTION("""COMPUTED_VALUE"""),629272.0)</f>
        <v>629272</v>
      </c>
      <c r="Q120" s="20">
        <f>IFERROR(__xludf.DUMMYFUNCTION("""COMPUTED_VALUE"""),1047355.0)</f>
        <v>1047355</v>
      </c>
    </row>
    <row r="121">
      <c r="A121" s="20">
        <f>IFERROR(__xludf.DUMMYFUNCTION("""COMPUTED_VALUE"""),120.0)</f>
        <v>120</v>
      </c>
      <c r="B121" s="20" t="str">
        <f>IFERROR(__xludf.DUMMYFUNCTION("""COMPUTED_VALUE"""),"Triangle")</f>
        <v>Triangle</v>
      </c>
      <c r="C121" s="20" t="str">
        <f>IFERROR(__xludf.DUMMYFUNCTION("""COMPUTED_VALUE"""),"triangle")</f>
        <v>triangle</v>
      </c>
      <c r="D121" s="20" t="b">
        <f>IFERROR(__xludf.DUMMYFUNCTION("""COMPUTED_VALUE"""),FALSE)</f>
        <v>0</v>
      </c>
      <c r="E121" s="20" t="str">
        <f>IFERROR(__xludf.DUMMYFUNCTION("""COMPUTED_VALUE"""),"Medium")</f>
        <v>Medium</v>
      </c>
      <c r="F121" s="20">
        <f>IFERROR(__xludf.DUMMYFUNCTION("""COMPUTED_VALUE"""),7394.0)</f>
        <v>7394</v>
      </c>
      <c r="G121" s="20">
        <f>IFERROR(__xludf.DUMMYFUNCTION("""COMPUTED_VALUE"""),455.0)</f>
        <v>455</v>
      </c>
      <c r="H121" s="20" t="str">
        <f>IFERROR(__xludf.DUMMYFUNCTION("""COMPUTED_VALUE"""),"Algorithms")</f>
        <v>Algorithms</v>
      </c>
      <c r="I121" s="20">
        <f>IFERROR(__xludf.DUMMYFUNCTION("""COMPUTED_VALUE"""),0.541)</f>
        <v>0.541</v>
      </c>
      <c r="J121" s="20">
        <f>IFERROR(__xludf.DUMMYFUNCTION("""COMPUTED_VALUE"""),120.0)</f>
        <v>120</v>
      </c>
      <c r="K121" s="20" t="b">
        <f>IFERROR(__xludf.DUMMYFUNCTION("""COMPUTED_VALUE"""),FALSE)</f>
        <v>0</v>
      </c>
      <c r="L121" s="20" t="str">
        <f>IFERROR(__xludf.DUMMYFUNCTION("""COMPUTED_VALUE"""),"Array;Dynamic Programming;")</f>
        <v>Array;Dynamic Programming;</v>
      </c>
      <c r="M121" s="20" t="b">
        <f>IFERROR(__xludf.DUMMYFUNCTION("""COMPUTED_VALUE"""),TRUE)</f>
        <v>1</v>
      </c>
      <c r="N121" s="20" t="b">
        <f>IFERROR(__xludf.DUMMYFUNCTION("""COMPUTED_VALUE"""),FALSE)</f>
        <v>0</v>
      </c>
      <c r="O121" s="20">
        <f>IFERROR(__xludf.DUMMYFUNCTION("""COMPUTED_VALUE"""),54.1348159124408)</f>
        <v>54.13481591</v>
      </c>
      <c r="P121" s="20">
        <f>IFERROR(__xludf.DUMMYFUNCTION("""COMPUTED_VALUE"""),552373.0)</f>
        <v>552373</v>
      </c>
      <c r="Q121" s="20">
        <f>IFERROR(__xludf.DUMMYFUNCTION("""COMPUTED_VALUE"""),1020367.0)</f>
        <v>1020367</v>
      </c>
    </row>
    <row r="122">
      <c r="A122" s="20">
        <f>IFERROR(__xludf.DUMMYFUNCTION("""COMPUTED_VALUE"""),121.0)</f>
        <v>121</v>
      </c>
      <c r="B122" s="20" t="str">
        <f>IFERROR(__xludf.DUMMYFUNCTION("""COMPUTED_VALUE"""),"Best Time to Buy and Sell Stock")</f>
        <v>Best Time to Buy and Sell Stock</v>
      </c>
      <c r="C122" s="20" t="str">
        <f>IFERROR(__xludf.DUMMYFUNCTION("""COMPUTED_VALUE"""),"best-time-to-buy-and-sell-stock")</f>
        <v>best-time-to-buy-and-sell-stock</v>
      </c>
      <c r="D122" s="20" t="b">
        <f>IFERROR(__xludf.DUMMYFUNCTION("""COMPUTED_VALUE"""),FALSE)</f>
        <v>0</v>
      </c>
      <c r="E122" s="20" t="str">
        <f>IFERROR(__xludf.DUMMYFUNCTION("""COMPUTED_VALUE"""),"Easy")</f>
        <v>Easy</v>
      </c>
      <c r="F122" s="20">
        <f>IFERROR(__xludf.DUMMYFUNCTION("""COMPUTED_VALUE"""),22219.0)</f>
        <v>22219</v>
      </c>
      <c r="G122" s="20">
        <f>IFERROR(__xludf.DUMMYFUNCTION("""COMPUTED_VALUE"""),701.0)</f>
        <v>701</v>
      </c>
      <c r="H122" s="20" t="str">
        <f>IFERROR(__xludf.DUMMYFUNCTION("""COMPUTED_VALUE"""),"Algorithms")</f>
        <v>Algorithms</v>
      </c>
      <c r="I122" s="20">
        <f>IFERROR(__xludf.DUMMYFUNCTION("""COMPUTED_VALUE"""),0.544)</f>
        <v>0.544</v>
      </c>
      <c r="J122" s="20">
        <f>IFERROR(__xludf.DUMMYFUNCTION("""COMPUTED_VALUE"""),121.0)</f>
        <v>121</v>
      </c>
      <c r="K122" s="20" t="b">
        <f>IFERROR(__xludf.DUMMYFUNCTION("""COMPUTED_VALUE"""),FALSE)</f>
        <v>0</v>
      </c>
      <c r="L122" s="20" t="str">
        <f>IFERROR(__xludf.DUMMYFUNCTION("""COMPUTED_VALUE"""),"Array;Dynamic Programming;")</f>
        <v>Array;Dynamic Programming;</v>
      </c>
      <c r="M122" s="20" t="b">
        <f>IFERROR(__xludf.DUMMYFUNCTION("""COMPUTED_VALUE"""),TRUE)</f>
        <v>1</v>
      </c>
      <c r="N122" s="20" t="b">
        <f>IFERROR(__xludf.DUMMYFUNCTION("""COMPUTED_VALUE"""),TRUE)</f>
        <v>1</v>
      </c>
      <c r="O122" s="20">
        <f>IFERROR(__xludf.DUMMYFUNCTION("""COMPUTED_VALUE"""),54.3596313289224)</f>
        <v>54.35963133</v>
      </c>
      <c r="P122" s="20">
        <f>IFERROR(__xludf.DUMMYFUNCTION("""COMPUTED_VALUE"""),2932445.0)</f>
        <v>2932445</v>
      </c>
      <c r="Q122" s="20">
        <f>IFERROR(__xludf.DUMMYFUNCTION("""COMPUTED_VALUE"""),5394533.0)</f>
        <v>5394533</v>
      </c>
    </row>
    <row r="123">
      <c r="A123" s="20">
        <f>IFERROR(__xludf.DUMMYFUNCTION("""COMPUTED_VALUE"""),122.0)</f>
        <v>122</v>
      </c>
      <c r="B123" s="20" t="str">
        <f>IFERROR(__xludf.DUMMYFUNCTION("""COMPUTED_VALUE"""),"Best Time to Buy and Sell Stock II")</f>
        <v>Best Time to Buy and Sell Stock II</v>
      </c>
      <c r="C123" s="20" t="str">
        <f>IFERROR(__xludf.DUMMYFUNCTION("""COMPUTED_VALUE"""),"best-time-to-buy-and-sell-stock-ii")</f>
        <v>best-time-to-buy-and-sell-stock-ii</v>
      </c>
      <c r="D123" s="20" t="b">
        <f>IFERROR(__xludf.DUMMYFUNCTION("""COMPUTED_VALUE"""),FALSE)</f>
        <v>0</v>
      </c>
      <c r="E123" s="20" t="str">
        <f>IFERROR(__xludf.DUMMYFUNCTION("""COMPUTED_VALUE"""),"Medium")</f>
        <v>Medium</v>
      </c>
      <c r="F123" s="20">
        <f>IFERROR(__xludf.DUMMYFUNCTION("""COMPUTED_VALUE"""),10053.0)</f>
        <v>10053</v>
      </c>
      <c r="G123" s="20">
        <f>IFERROR(__xludf.DUMMYFUNCTION("""COMPUTED_VALUE"""),2488.0)</f>
        <v>2488</v>
      </c>
      <c r="H123" s="20" t="str">
        <f>IFERROR(__xludf.DUMMYFUNCTION("""COMPUTED_VALUE"""),"Algorithms")</f>
        <v>Algorithms</v>
      </c>
      <c r="I123" s="20">
        <f>IFERROR(__xludf.DUMMYFUNCTION("""COMPUTED_VALUE"""),0.635)</f>
        <v>0.635</v>
      </c>
      <c r="J123" s="20">
        <f>IFERROR(__xludf.DUMMYFUNCTION("""COMPUTED_VALUE"""),122.0)</f>
        <v>122</v>
      </c>
      <c r="K123" s="20" t="b">
        <f>IFERROR(__xludf.DUMMYFUNCTION("""COMPUTED_VALUE"""),FALSE)</f>
        <v>0</v>
      </c>
      <c r="L123" s="20" t="str">
        <f>IFERROR(__xludf.DUMMYFUNCTION("""COMPUTED_VALUE"""),"Array;Dynamic Programming;Greedy;")</f>
        <v>Array;Dynamic Programming;Greedy;</v>
      </c>
      <c r="M123" s="20" t="b">
        <f>IFERROR(__xludf.DUMMYFUNCTION("""COMPUTED_VALUE"""),TRUE)</f>
        <v>1</v>
      </c>
      <c r="N123" s="20" t="b">
        <f>IFERROR(__xludf.DUMMYFUNCTION("""COMPUTED_VALUE"""),TRUE)</f>
        <v>1</v>
      </c>
      <c r="O123" s="20">
        <f>IFERROR(__xludf.DUMMYFUNCTION("""COMPUTED_VALUE"""),63.5410304361658)</f>
        <v>63.54103044</v>
      </c>
      <c r="P123" s="20">
        <f>IFERROR(__xludf.DUMMYFUNCTION("""COMPUTED_VALUE"""),1346170.0)</f>
        <v>1346170</v>
      </c>
      <c r="Q123" s="20">
        <f>IFERROR(__xludf.DUMMYFUNCTION("""COMPUTED_VALUE"""),2118584.0)</f>
        <v>2118584</v>
      </c>
    </row>
    <row r="124">
      <c r="A124" s="20">
        <f>IFERROR(__xludf.DUMMYFUNCTION("""COMPUTED_VALUE"""),123.0)</f>
        <v>123</v>
      </c>
      <c r="B124" s="20" t="str">
        <f>IFERROR(__xludf.DUMMYFUNCTION("""COMPUTED_VALUE"""),"Best Time to Buy and Sell Stock III")</f>
        <v>Best Time to Buy and Sell Stock III</v>
      </c>
      <c r="C124" s="20" t="str">
        <f>IFERROR(__xludf.DUMMYFUNCTION("""COMPUTED_VALUE"""),"best-time-to-buy-and-sell-stock-iii")</f>
        <v>best-time-to-buy-and-sell-stock-iii</v>
      </c>
      <c r="D124" s="20" t="b">
        <f>IFERROR(__xludf.DUMMYFUNCTION("""COMPUTED_VALUE"""),FALSE)</f>
        <v>0</v>
      </c>
      <c r="E124" s="20" t="str">
        <f>IFERROR(__xludf.DUMMYFUNCTION("""COMPUTED_VALUE"""),"Hard")</f>
        <v>Hard</v>
      </c>
      <c r="F124" s="20">
        <f>IFERROR(__xludf.DUMMYFUNCTION("""COMPUTED_VALUE"""),7524.0)</f>
        <v>7524</v>
      </c>
      <c r="G124" s="20">
        <f>IFERROR(__xludf.DUMMYFUNCTION("""COMPUTED_VALUE"""),143.0)</f>
        <v>143</v>
      </c>
      <c r="H124" s="20" t="str">
        <f>IFERROR(__xludf.DUMMYFUNCTION("""COMPUTED_VALUE"""),"Algorithms")</f>
        <v>Algorithms</v>
      </c>
      <c r="I124" s="20">
        <f>IFERROR(__xludf.DUMMYFUNCTION("""COMPUTED_VALUE"""),0.451)</f>
        <v>0.451</v>
      </c>
      <c r="J124" s="20">
        <f>IFERROR(__xludf.DUMMYFUNCTION("""COMPUTED_VALUE"""),123.0)</f>
        <v>123</v>
      </c>
      <c r="K124" s="20" t="b">
        <f>IFERROR(__xludf.DUMMYFUNCTION("""COMPUTED_VALUE"""),FALSE)</f>
        <v>0</v>
      </c>
      <c r="L124" s="20" t="str">
        <f>IFERROR(__xludf.DUMMYFUNCTION("""COMPUTED_VALUE"""),"Array;Dynamic Programming;")</f>
        <v>Array;Dynamic Programming;</v>
      </c>
      <c r="M124" s="20" t="b">
        <f>IFERROR(__xludf.DUMMYFUNCTION("""COMPUTED_VALUE"""),TRUE)</f>
        <v>1</v>
      </c>
      <c r="N124" s="20" t="b">
        <f>IFERROR(__xludf.DUMMYFUNCTION("""COMPUTED_VALUE"""),FALSE)</f>
        <v>0</v>
      </c>
      <c r="O124" s="20">
        <f>IFERROR(__xludf.DUMMYFUNCTION("""COMPUTED_VALUE"""),45.0961336572782)</f>
        <v>45.09613366</v>
      </c>
      <c r="P124" s="20">
        <f>IFERROR(__xludf.DUMMYFUNCTION("""COMPUTED_VALUE"""),451037.0)</f>
        <v>451037</v>
      </c>
      <c r="Q124" s="20">
        <f>IFERROR(__xludf.DUMMYFUNCTION("""COMPUTED_VALUE"""),1000169.0)</f>
        <v>1000169</v>
      </c>
    </row>
    <row r="125">
      <c r="A125" s="20">
        <f>IFERROR(__xludf.DUMMYFUNCTION("""COMPUTED_VALUE"""),124.0)</f>
        <v>124</v>
      </c>
      <c r="B125" s="20" t="str">
        <f>IFERROR(__xludf.DUMMYFUNCTION("""COMPUTED_VALUE"""),"Binary Tree Maximum Path Sum")</f>
        <v>Binary Tree Maximum Path Sum</v>
      </c>
      <c r="C125" s="20" t="str">
        <f>IFERROR(__xludf.DUMMYFUNCTION("""COMPUTED_VALUE"""),"binary-tree-maximum-path-sum")</f>
        <v>binary-tree-maximum-path-sum</v>
      </c>
      <c r="D125" s="20" t="b">
        <f>IFERROR(__xludf.DUMMYFUNCTION("""COMPUTED_VALUE"""),FALSE)</f>
        <v>0</v>
      </c>
      <c r="E125" s="20" t="str">
        <f>IFERROR(__xludf.DUMMYFUNCTION("""COMPUTED_VALUE"""),"Hard")</f>
        <v>Hard</v>
      </c>
      <c r="F125" s="20">
        <f>IFERROR(__xludf.DUMMYFUNCTION("""COMPUTED_VALUE"""),13210.0)</f>
        <v>13210</v>
      </c>
      <c r="G125" s="20">
        <f>IFERROR(__xludf.DUMMYFUNCTION("""COMPUTED_VALUE"""),620.0)</f>
        <v>620</v>
      </c>
      <c r="H125" s="20" t="str">
        <f>IFERROR(__xludf.DUMMYFUNCTION("""COMPUTED_VALUE"""),"Algorithms")</f>
        <v>Algorithms</v>
      </c>
      <c r="I125" s="20">
        <f>IFERROR(__xludf.DUMMYFUNCTION("""COMPUTED_VALUE"""),0.391)</f>
        <v>0.391</v>
      </c>
      <c r="J125" s="20">
        <f>IFERROR(__xludf.DUMMYFUNCTION("""COMPUTED_VALUE"""),124.0)</f>
        <v>124</v>
      </c>
      <c r="K125" s="20" t="b">
        <f>IFERROR(__xludf.DUMMYFUNCTION("""COMPUTED_VALUE"""),FALSE)</f>
        <v>0</v>
      </c>
      <c r="L125" s="20" t="str">
        <f>IFERROR(__xludf.DUMMYFUNCTION("""COMPUTED_VALUE"""),"Dynamic Programming;Tree;Depth-First Search;Binary Tree;")</f>
        <v>Dynamic Programming;Tree;Depth-First Search;Binary Tree;</v>
      </c>
      <c r="M125" s="20" t="b">
        <f>IFERROR(__xludf.DUMMYFUNCTION("""COMPUTED_VALUE"""),TRUE)</f>
        <v>1</v>
      </c>
      <c r="N125" s="20" t="b">
        <f>IFERROR(__xludf.DUMMYFUNCTION("""COMPUTED_VALUE"""),FALSE)</f>
        <v>0</v>
      </c>
      <c r="O125" s="20">
        <f>IFERROR(__xludf.DUMMYFUNCTION("""COMPUTED_VALUE"""),39.1006670130751)</f>
        <v>39.10066701</v>
      </c>
      <c r="P125" s="20">
        <f>IFERROR(__xludf.DUMMYFUNCTION("""COMPUTED_VALUE"""),921804.0)</f>
        <v>921804</v>
      </c>
      <c r="Q125" s="20">
        <f>IFERROR(__xludf.DUMMYFUNCTION("""COMPUTED_VALUE"""),2357514.0)</f>
        <v>2357514</v>
      </c>
    </row>
    <row r="126">
      <c r="A126" s="20">
        <f>IFERROR(__xludf.DUMMYFUNCTION("""COMPUTED_VALUE"""),125.0)</f>
        <v>125</v>
      </c>
      <c r="B126" s="20" t="str">
        <f>IFERROR(__xludf.DUMMYFUNCTION("""COMPUTED_VALUE"""),"Valid Palindrome")</f>
        <v>Valid Palindrome</v>
      </c>
      <c r="C126" s="20" t="str">
        <f>IFERROR(__xludf.DUMMYFUNCTION("""COMPUTED_VALUE"""),"valid-palindrome")</f>
        <v>valid-palindrome</v>
      </c>
      <c r="D126" s="20" t="b">
        <f>IFERROR(__xludf.DUMMYFUNCTION("""COMPUTED_VALUE"""),FALSE)</f>
        <v>0</v>
      </c>
      <c r="E126" s="20" t="str">
        <f>IFERROR(__xludf.DUMMYFUNCTION("""COMPUTED_VALUE"""),"Easy")</f>
        <v>Easy</v>
      </c>
      <c r="F126" s="20">
        <f>IFERROR(__xludf.DUMMYFUNCTION("""COMPUTED_VALUE"""),5686.0)</f>
        <v>5686</v>
      </c>
      <c r="G126" s="20">
        <f>IFERROR(__xludf.DUMMYFUNCTION("""COMPUTED_VALUE"""),6444.0)</f>
        <v>6444</v>
      </c>
      <c r="H126" s="20" t="str">
        <f>IFERROR(__xludf.DUMMYFUNCTION("""COMPUTED_VALUE"""),"Algorithms")</f>
        <v>Algorithms</v>
      </c>
      <c r="I126" s="20">
        <f>IFERROR(__xludf.DUMMYFUNCTION("""COMPUTED_VALUE"""),0.439)</f>
        <v>0.439</v>
      </c>
      <c r="J126" s="20">
        <f>IFERROR(__xludf.DUMMYFUNCTION("""COMPUTED_VALUE"""),125.0)</f>
        <v>125</v>
      </c>
      <c r="K126" s="20" t="b">
        <f>IFERROR(__xludf.DUMMYFUNCTION("""COMPUTED_VALUE"""),FALSE)</f>
        <v>0</v>
      </c>
      <c r="L126" s="20" t="str">
        <f>IFERROR(__xludf.DUMMYFUNCTION("""COMPUTED_VALUE"""),"Two Pointers;String;")</f>
        <v>Two Pointers;String;</v>
      </c>
      <c r="M126" s="20" t="b">
        <f>IFERROR(__xludf.DUMMYFUNCTION("""COMPUTED_VALUE"""),TRUE)</f>
        <v>1</v>
      </c>
      <c r="N126" s="20" t="b">
        <f>IFERROR(__xludf.DUMMYFUNCTION("""COMPUTED_VALUE"""),FALSE)</f>
        <v>0</v>
      </c>
      <c r="O126" s="20">
        <f>IFERROR(__xludf.DUMMYFUNCTION("""COMPUTED_VALUE"""),43.8987827577604)</f>
        <v>43.89878276</v>
      </c>
      <c r="P126" s="20">
        <f>IFERROR(__xludf.DUMMYFUNCTION("""COMPUTED_VALUE"""),1715719.0)</f>
        <v>1715719</v>
      </c>
      <c r="Q126" s="20">
        <f>IFERROR(__xludf.DUMMYFUNCTION("""COMPUTED_VALUE"""),3908370.0)</f>
        <v>3908370</v>
      </c>
    </row>
    <row r="127">
      <c r="A127" s="20">
        <f>IFERROR(__xludf.DUMMYFUNCTION("""COMPUTED_VALUE"""),126.0)</f>
        <v>126</v>
      </c>
      <c r="B127" s="20" t="str">
        <f>IFERROR(__xludf.DUMMYFUNCTION("""COMPUTED_VALUE"""),"Word Ladder II")</f>
        <v>Word Ladder II</v>
      </c>
      <c r="C127" s="20" t="str">
        <f>IFERROR(__xludf.DUMMYFUNCTION("""COMPUTED_VALUE"""),"word-ladder-ii")</f>
        <v>word-ladder-ii</v>
      </c>
      <c r="D127" s="20" t="b">
        <f>IFERROR(__xludf.DUMMYFUNCTION("""COMPUTED_VALUE"""),FALSE)</f>
        <v>0</v>
      </c>
      <c r="E127" s="20" t="str">
        <f>IFERROR(__xludf.DUMMYFUNCTION("""COMPUTED_VALUE"""),"Hard")</f>
        <v>Hard</v>
      </c>
      <c r="F127" s="20">
        <f>IFERROR(__xludf.DUMMYFUNCTION("""COMPUTED_VALUE"""),5026.0)</f>
        <v>5026</v>
      </c>
      <c r="G127" s="20">
        <f>IFERROR(__xludf.DUMMYFUNCTION("""COMPUTED_VALUE"""),643.0)</f>
        <v>643</v>
      </c>
      <c r="H127" s="20" t="str">
        <f>IFERROR(__xludf.DUMMYFUNCTION("""COMPUTED_VALUE"""),"Algorithms")</f>
        <v>Algorithms</v>
      </c>
      <c r="I127" s="20">
        <f>IFERROR(__xludf.DUMMYFUNCTION("""COMPUTED_VALUE"""),0.276)</f>
        <v>0.276</v>
      </c>
      <c r="J127" s="20">
        <f>IFERROR(__xludf.DUMMYFUNCTION("""COMPUTED_VALUE"""),126.0)</f>
        <v>126</v>
      </c>
      <c r="K127" s="20" t="b">
        <f>IFERROR(__xludf.DUMMYFUNCTION("""COMPUTED_VALUE"""),FALSE)</f>
        <v>0</v>
      </c>
      <c r="L127" s="20" t="str">
        <f>IFERROR(__xludf.DUMMYFUNCTION("""COMPUTED_VALUE"""),"Hash Table;String;Backtracking;Breadth-First Search;")</f>
        <v>Hash Table;String;Backtracking;Breadth-First Search;</v>
      </c>
      <c r="M127" s="20" t="b">
        <f>IFERROR(__xludf.DUMMYFUNCTION("""COMPUTED_VALUE"""),TRUE)</f>
        <v>1</v>
      </c>
      <c r="N127" s="20" t="b">
        <f>IFERROR(__xludf.DUMMYFUNCTION("""COMPUTED_VALUE"""),FALSE)</f>
        <v>0</v>
      </c>
      <c r="O127" s="20">
        <f>IFERROR(__xludf.DUMMYFUNCTION("""COMPUTED_VALUE"""),27.5563105967051)</f>
        <v>27.5563106</v>
      </c>
      <c r="P127" s="20">
        <f>IFERROR(__xludf.DUMMYFUNCTION("""COMPUTED_VALUE"""),335604.0)</f>
        <v>335604</v>
      </c>
      <c r="Q127" s="20">
        <f>IFERROR(__xludf.DUMMYFUNCTION("""COMPUTED_VALUE"""),1217881.0)</f>
        <v>1217881</v>
      </c>
    </row>
    <row r="128">
      <c r="A128" s="20">
        <f>IFERROR(__xludf.DUMMYFUNCTION("""COMPUTED_VALUE"""),127.0)</f>
        <v>127</v>
      </c>
      <c r="B128" s="20" t="str">
        <f>IFERROR(__xludf.DUMMYFUNCTION("""COMPUTED_VALUE"""),"Word Ladder")</f>
        <v>Word Ladder</v>
      </c>
      <c r="C128" s="20" t="str">
        <f>IFERROR(__xludf.DUMMYFUNCTION("""COMPUTED_VALUE"""),"word-ladder")</f>
        <v>word-ladder</v>
      </c>
      <c r="D128" s="20" t="b">
        <f>IFERROR(__xludf.DUMMYFUNCTION("""COMPUTED_VALUE"""),FALSE)</f>
        <v>0</v>
      </c>
      <c r="E128" s="20" t="str">
        <f>IFERROR(__xludf.DUMMYFUNCTION("""COMPUTED_VALUE"""),"Hard")</f>
        <v>Hard</v>
      </c>
      <c r="F128" s="20">
        <f>IFERROR(__xludf.DUMMYFUNCTION("""COMPUTED_VALUE"""),9670.0)</f>
        <v>9670</v>
      </c>
      <c r="G128" s="20">
        <f>IFERROR(__xludf.DUMMYFUNCTION("""COMPUTED_VALUE"""),1751.0)</f>
        <v>1751</v>
      </c>
      <c r="H128" s="20" t="str">
        <f>IFERROR(__xludf.DUMMYFUNCTION("""COMPUTED_VALUE"""),"Algorithms")</f>
        <v>Algorithms</v>
      </c>
      <c r="I128" s="20">
        <f>IFERROR(__xludf.DUMMYFUNCTION("""COMPUTED_VALUE"""),0.369)</f>
        <v>0.369</v>
      </c>
      <c r="J128" s="20">
        <f>IFERROR(__xludf.DUMMYFUNCTION("""COMPUTED_VALUE"""),127.0)</f>
        <v>127</v>
      </c>
      <c r="K128" s="20" t="b">
        <f>IFERROR(__xludf.DUMMYFUNCTION("""COMPUTED_VALUE"""),FALSE)</f>
        <v>0</v>
      </c>
      <c r="L128" s="20" t="str">
        <f>IFERROR(__xludf.DUMMYFUNCTION("""COMPUTED_VALUE"""),"Hash Table;String;Breadth-First Search;")</f>
        <v>Hash Table;String;Breadth-First Search;</v>
      </c>
      <c r="M128" s="20" t="b">
        <f>IFERROR(__xludf.DUMMYFUNCTION("""COMPUTED_VALUE"""),TRUE)</f>
        <v>1</v>
      </c>
      <c r="N128" s="20" t="b">
        <f>IFERROR(__xludf.DUMMYFUNCTION("""COMPUTED_VALUE"""),TRUE)</f>
        <v>1</v>
      </c>
      <c r="O128" s="20">
        <f>IFERROR(__xludf.DUMMYFUNCTION("""COMPUTED_VALUE"""),36.8543575883821)</f>
        <v>36.85435759</v>
      </c>
      <c r="P128" s="20">
        <f>IFERROR(__xludf.DUMMYFUNCTION("""COMPUTED_VALUE"""),874354.0)</f>
        <v>874354</v>
      </c>
      <c r="Q128" s="20">
        <f>IFERROR(__xludf.DUMMYFUNCTION("""COMPUTED_VALUE"""),2372469.0)</f>
        <v>2372469</v>
      </c>
    </row>
    <row r="129">
      <c r="A129" s="20">
        <f>IFERROR(__xludf.DUMMYFUNCTION("""COMPUTED_VALUE"""),128.0)</f>
        <v>128</v>
      </c>
      <c r="B129" s="20" t="str">
        <f>IFERROR(__xludf.DUMMYFUNCTION("""COMPUTED_VALUE"""),"Longest Consecutive Sequence")</f>
        <v>Longest Consecutive Sequence</v>
      </c>
      <c r="C129" s="20" t="str">
        <f>IFERROR(__xludf.DUMMYFUNCTION("""COMPUTED_VALUE"""),"longest-consecutive-sequence")</f>
        <v>longest-consecutive-sequence</v>
      </c>
      <c r="D129" s="20" t="b">
        <f>IFERROR(__xludf.DUMMYFUNCTION("""COMPUTED_VALUE"""),FALSE)</f>
        <v>0</v>
      </c>
      <c r="E129" s="20" t="str">
        <f>IFERROR(__xludf.DUMMYFUNCTION("""COMPUTED_VALUE"""),"Medium")</f>
        <v>Medium</v>
      </c>
      <c r="F129" s="20">
        <f>IFERROR(__xludf.DUMMYFUNCTION("""COMPUTED_VALUE"""),14435.0)</f>
        <v>14435</v>
      </c>
      <c r="G129" s="20">
        <f>IFERROR(__xludf.DUMMYFUNCTION("""COMPUTED_VALUE"""),596.0)</f>
        <v>596</v>
      </c>
      <c r="H129" s="20" t="str">
        <f>IFERROR(__xludf.DUMMYFUNCTION("""COMPUTED_VALUE"""),"Algorithms")</f>
        <v>Algorithms</v>
      </c>
      <c r="I129" s="20">
        <f>IFERROR(__xludf.DUMMYFUNCTION("""COMPUTED_VALUE"""),0.488)</f>
        <v>0.488</v>
      </c>
      <c r="J129" s="20">
        <f>IFERROR(__xludf.DUMMYFUNCTION("""COMPUTED_VALUE"""),128.0)</f>
        <v>128</v>
      </c>
      <c r="K129" s="20" t="b">
        <f>IFERROR(__xludf.DUMMYFUNCTION("""COMPUTED_VALUE"""),FALSE)</f>
        <v>0</v>
      </c>
      <c r="L129" s="20" t="str">
        <f>IFERROR(__xludf.DUMMYFUNCTION("""COMPUTED_VALUE"""),"Array;Hash Table;Union Find;")</f>
        <v>Array;Hash Table;Union Find;</v>
      </c>
      <c r="M129" s="20" t="b">
        <f>IFERROR(__xludf.DUMMYFUNCTION("""COMPUTED_VALUE"""),TRUE)</f>
        <v>1</v>
      </c>
      <c r="N129" s="20" t="b">
        <f>IFERROR(__xludf.DUMMYFUNCTION("""COMPUTED_VALUE"""),FALSE)</f>
        <v>0</v>
      </c>
      <c r="O129" s="20">
        <f>IFERROR(__xludf.DUMMYFUNCTION("""COMPUTED_VALUE"""),48.8087371826694)</f>
        <v>48.80873718</v>
      </c>
      <c r="P129" s="20">
        <f>IFERROR(__xludf.DUMMYFUNCTION("""COMPUTED_VALUE"""),997930.0)</f>
        <v>997930</v>
      </c>
      <c r="Q129" s="20">
        <f>IFERROR(__xludf.DUMMYFUNCTION("""COMPUTED_VALUE"""),2044570.0)</f>
        <v>2044570</v>
      </c>
    </row>
    <row r="130">
      <c r="A130" s="20">
        <f>IFERROR(__xludf.DUMMYFUNCTION("""COMPUTED_VALUE"""),129.0)</f>
        <v>129</v>
      </c>
      <c r="B130" s="20" t="str">
        <f>IFERROR(__xludf.DUMMYFUNCTION("""COMPUTED_VALUE"""),"Sum Root to Leaf Numbers")</f>
        <v>Sum Root to Leaf Numbers</v>
      </c>
      <c r="C130" s="20" t="str">
        <f>IFERROR(__xludf.DUMMYFUNCTION("""COMPUTED_VALUE"""),"sum-root-to-leaf-numbers")</f>
        <v>sum-root-to-leaf-numbers</v>
      </c>
      <c r="D130" s="20" t="b">
        <f>IFERROR(__xludf.DUMMYFUNCTION("""COMPUTED_VALUE"""),FALSE)</f>
        <v>0</v>
      </c>
      <c r="E130" s="20" t="str">
        <f>IFERROR(__xludf.DUMMYFUNCTION("""COMPUTED_VALUE"""),"Medium")</f>
        <v>Medium</v>
      </c>
      <c r="F130" s="20">
        <f>IFERROR(__xludf.DUMMYFUNCTION("""COMPUTED_VALUE"""),5237.0)</f>
        <v>5237</v>
      </c>
      <c r="G130" s="20">
        <f>IFERROR(__xludf.DUMMYFUNCTION("""COMPUTED_VALUE"""),95.0)</f>
        <v>95</v>
      </c>
      <c r="H130" s="20" t="str">
        <f>IFERROR(__xludf.DUMMYFUNCTION("""COMPUTED_VALUE"""),"Algorithms")</f>
        <v>Algorithms</v>
      </c>
      <c r="I130" s="20">
        <f>IFERROR(__xludf.DUMMYFUNCTION("""COMPUTED_VALUE"""),0.59)</f>
        <v>0.59</v>
      </c>
      <c r="J130" s="20">
        <f>IFERROR(__xludf.DUMMYFUNCTION("""COMPUTED_VALUE"""),129.0)</f>
        <v>129</v>
      </c>
      <c r="K130" s="20" t="b">
        <f>IFERROR(__xludf.DUMMYFUNCTION("""COMPUTED_VALUE"""),FALSE)</f>
        <v>0</v>
      </c>
      <c r="L130" s="20" t="str">
        <f>IFERROR(__xludf.DUMMYFUNCTION("""COMPUTED_VALUE"""),"Tree;Depth-First Search;Binary Tree;")</f>
        <v>Tree;Depth-First Search;Binary Tree;</v>
      </c>
      <c r="M130" s="20" t="b">
        <f>IFERROR(__xludf.DUMMYFUNCTION("""COMPUTED_VALUE"""),TRUE)</f>
        <v>1</v>
      </c>
      <c r="N130" s="20" t="b">
        <f>IFERROR(__xludf.DUMMYFUNCTION("""COMPUTED_VALUE"""),FALSE)</f>
        <v>0</v>
      </c>
      <c r="O130" s="20">
        <f>IFERROR(__xludf.DUMMYFUNCTION("""COMPUTED_VALUE"""),58.9634248013736)</f>
        <v>58.9634248</v>
      </c>
      <c r="P130" s="20">
        <f>IFERROR(__xludf.DUMMYFUNCTION("""COMPUTED_VALUE"""),523355.0)</f>
        <v>523355</v>
      </c>
      <c r="Q130" s="20">
        <f>IFERROR(__xludf.DUMMYFUNCTION("""COMPUTED_VALUE"""),887592.0)</f>
        <v>887592</v>
      </c>
    </row>
    <row r="131">
      <c r="A131" s="20">
        <f>IFERROR(__xludf.DUMMYFUNCTION("""COMPUTED_VALUE"""),130.0)</f>
        <v>130</v>
      </c>
      <c r="B131" s="20" t="str">
        <f>IFERROR(__xludf.DUMMYFUNCTION("""COMPUTED_VALUE"""),"Surrounded Regions")</f>
        <v>Surrounded Regions</v>
      </c>
      <c r="C131" s="20" t="str">
        <f>IFERROR(__xludf.DUMMYFUNCTION("""COMPUTED_VALUE"""),"surrounded-regions")</f>
        <v>surrounded-regions</v>
      </c>
      <c r="D131" s="20" t="b">
        <f>IFERROR(__xludf.DUMMYFUNCTION("""COMPUTED_VALUE"""),FALSE)</f>
        <v>0</v>
      </c>
      <c r="E131" s="20" t="str">
        <f>IFERROR(__xludf.DUMMYFUNCTION("""COMPUTED_VALUE"""),"Medium")</f>
        <v>Medium</v>
      </c>
      <c r="F131" s="20">
        <f>IFERROR(__xludf.DUMMYFUNCTION("""COMPUTED_VALUE"""),6368.0)</f>
        <v>6368</v>
      </c>
      <c r="G131" s="20">
        <f>IFERROR(__xludf.DUMMYFUNCTION("""COMPUTED_VALUE"""),1409.0)</f>
        <v>1409</v>
      </c>
      <c r="H131" s="20" t="str">
        <f>IFERROR(__xludf.DUMMYFUNCTION("""COMPUTED_VALUE"""),"Algorithms")</f>
        <v>Algorithms</v>
      </c>
      <c r="I131" s="20">
        <f>IFERROR(__xludf.DUMMYFUNCTION("""COMPUTED_VALUE"""),0.363)</f>
        <v>0.363</v>
      </c>
      <c r="J131" s="20">
        <f>IFERROR(__xludf.DUMMYFUNCTION("""COMPUTED_VALUE"""),130.0)</f>
        <v>130</v>
      </c>
      <c r="K131" s="20" t="b">
        <f>IFERROR(__xludf.DUMMYFUNCTION("""COMPUTED_VALUE"""),FALSE)</f>
        <v>0</v>
      </c>
      <c r="L131" s="20" t="str">
        <f>IFERROR(__xludf.DUMMYFUNCTION("""COMPUTED_VALUE"""),"Array;Depth-First Search;Breadth-First Search;Union Find;Matrix;")</f>
        <v>Array;Depth-First Search;Breadth-First Search;Union Find;Matrix;</v>
      </c>
      <c r="M131" s="20" t="b">
        <f>IFERROR(__xludf.DUMMYFUNCTION("""COMPUTED_VALUE"""),TRUE)</f>
        <v>1</v>
      </c>
      <c r="N131" s="20" t="b">
        <f>IFERROR(__xludf.DUMMYFUNCTION("""COMPUTED_VALUE"""),FALSE)</f>
        <v>0</v>
      </c>
      <c r="O131" s="20">
        <f>IFERROR(__xludf.DUMMYFUNCTION("""COMPUTED_VALUE"""),36.291674787561)</f>
        <v>36.29167479</v>
      </c>
      <c r="P131" s="20">
        <f>IFERROR(__xludf.DUMMYFUNCTION("""COMPUTED_VALUE"""),497163.0)</f>
        <v>497163</v>
      </c>
      <c r="Q131" s="20">
        <f>IFERROR(__xludf.DUMMYFUNCTION("""COMPUTED_VALUE"""),1369913.0)</f>
        <v>1369913</v>
      </c>
    </row>
    <row r="132">
      <c r="A132" s="20">
        <f>IFERROR(__xludf.DUMMYFUNCTION("""COMPUTED_VALUE"""),131.0)</f>
        <v>131</v>
      </c>
      <c r="B132" s="20" t="str">
        <f>IFERROR(__xludf.DUMMYFUNCTION("""COMPUTED_VALUE"""),"Palindrome Partitioning")</f>
        <v>Palindrome Partitioning</v>
      </c>
      <c r="C132" s="20" t="str">
        <f>IFERROR(__xludf.DUMMYFUNCTION("""COMPUTED_VALUE"""),"palindrome-partitioning")</f>
        <v>palindrome-partitioning</v>
      </c>
      <c r="D132" s="20" t="b">
        <f>IFERROR(__xludf.DUMMYFUNCTION("""COMPUTED_VALUE"""),FALSE)</f>
        <v>0</v>
      </c>
      <c r="E132" s="20" t="str">
        <f>IFERROR(__xludf.DUMMYFUNCTION("""COMPUTED_VALUE"""),"Medium")</f>
        <v>Medium</v>
      </c>
      <c r="F132" s="20">
        <f>IFERROR(__xludf.DUMMYFUNCTION("""COMPUTED_VALUE"""),8966.0)</f>
        <v>8966</v>
      </c>
      <c r="G132" s="20">
        <f>IFERROR(__xludf.DUMMYFUNCTION("""COMPUTED_VALUE"""),284.0)</f>
        <v>284</v>
      </c>
      <c r="H132" s="20" t="str">
        <f>IFERROR(__xludf.DUMMYFUNCTION("""COMPUTED_VALUE"""),"Algorithms")</f>
        <v>Algorithms</v>
      </c>
      <c r="I132" s="20">
        <f>IFERROR(__xludf.DUMMYFUNCTION("""COMPUTED_VALUE"""),0.628)</f>
        <v>0.628</v>
      </c>
      <c r="J132" s="20">
        <f>IFERROR(__xludf.DUMMYFUNCTION("""COMPUTED_VALUE"""),131.0)</f>
        <v>131</v>
      </c>
      <c r="K132" s="20" t="b">
        <f>IFERROR(__xludf.DUMMYFUNCTION("""COMPUTED_VALUE"""),FALSE)</f>
        <v>0</v>
      </c>
      <c r="L132" s="20" t="str">
        <f>IFERROR(__xludf.DUMMYFUNCTION("""COMPUTED_VALUE"""),"String;Dynamic Programming;Backtracking;")</f>
        <v>String;Dynamic Programming;Backtracking;</v>
      </c>
      <c r="M132" s="20" t="b">
        <f>IFERROR(__xludf.DUMMYFUNCTION("""COMPUTED_VALUE"""),TRUE)</f>
        <v>1</v>
      </c>
      <c r="N132" s="20" t="b">
        <f>IFERROR(__xludf.DUMMYFUNCTION("""COMPUTED_VALUE"""),FALSE)</f>
        <v>0</v>
      </c>
      <c r="O132" s="20">
        <f>IFERROR(__xludf.DUMMYFUNCTION("""COMPUTED_VALUE"""),62.8167131071222)</f>
        <v>62.81671311</v>
      </c>
      <c r="P132" s="20">
        <f>IFERROR(__xludf.DUMMYFUNCTION("""COMPUTED_VALUE"""),552544.0)</f>
        <v>552544</v>
      </c>
      <c r="Q132" s="20">
        <f>IFERROR(__xludf.DUMMYFUNCTION("""COMPUTED_VALUE"""),879614.0)</f>
        <v>879614</v>
      </c>
    </row>
    <row r="133">
      <c r="A133" s="20">
        <f>IFERROR(__xludf.DUMMYFUNCTION("""COMPUTED_VALUE"""),132.0)</f>
        <v>132</v>
      </c>
      <c r="B133" s="20" t="str">
        <f>IFERROR(__xludf.DUMMYFUNCTION("""COMPUTED_VALUE"""),"Palindrome Partitioning II")</f>
        <v>Palindrome Partitioning II</v>
      </c>
      <c r="C133" s="20" t="str">
        <f>IFERROR(__xludf.DUMMYFUNCTION("""COMPUTED_VALUE"""),"palindrome-partitioning-ii")</f>
        <v>palindrome-partitioning-ii</v>
      </c>
      <c r="D133" s="20" t="b">
        <f>IFERROR(__xludf.DUMMYFUNCTION("""COMPUTED_VALUE"""),FALSE)</f>
        <v>0</v>
      </c>
      <c r="E133" s="20" t="str">
        <f>IFERROR(__xludf.DUMMYFUNCTION("""COMPUTED_VALUE"""),"Hard")</f>
        <v>Hard</v>
      </c>
      <c r="F133" s="20">
        <f>IFERROR(__xludf.DUMMYFUNCTION("""COMPUTED_VALUE"""),4343.0)</f>
        <v>4343</v>
      </c>
      <c r="G133" s="20">
        <f>IFERROR(__xludf.DUMMYFUNCTION("""COMPUTED_VALUE"""),99.0)</f>
        <v>99</v>
      </c>
      <c r="H133" s="20" t="str">
        <f>IFERROR(__xludf.DUMMYFUNCTION("""COMPUTED_VALUE"""),"Algorithms")</f>
        <v>Algorithms</v>
      </c>
      <c r="I133" s="20">
        <f>IFERROR(__xludf.DUMMYFUNCTION("""COMPUTED_VALUE"""),0.337)</f>
        <v>0.337</v>
      </c>
      <c r="J133" s="20">
        <f>IFERROR(__xludf.DUMMYFUNCTION("""COMPUTED_VALUE"""),132.0)</f>
        <v>132</v>
      </c>
      <c r="K133" s="20" t="b">
        <f>IFERROR(__xludf.DUMMYFUNCTION("""COMPUTED_VALUE"""),FALSE)</f>
        <v>0</v>
      </c>
      <c r="L133" s="20" t="str">
        <f>IFERROR(__xludf.DUMMYFUNCTION("""COMPUTED_VALUE"""),"String;Dynamic Programming;")</f>
        <v>String;Dynamic Programming;</v>
      </c>
      <c r="M133" s="20" t="b">
        <f>IFERROR(__xludf.DUMMYFUNCTION("""COMPUTED_VALUE"""),TRUE)</f>
        <v>1</v>
      </c>
      <c r="N133" s="20" t="b">
        <f>IFERROR(__xludf.DUMMYFUNCTION("""COMPUTED_VALUE"""),FALSE)</f>
        <v>0</v>
      </c>
      <c r="O133" s="20">
        <f>IFERROR(__xludf.DUMMYFUNCTION("""COMPUTED_VALUE"""),33.6775226549911)</f>
        <v>33.67752265</v>
      </c>
      <c r="P133" s="20">
        <f>IFERROR(__xludf.DUMMYFUNCTION("""COMPUTED_VALUE"""),230521.0)</f>
        <v>230521</v>
      </c>
      <c r="Q133" s="20">
        <f>IFERROR(__xludf.DUMMYFUNCTION("""COMPUTED_VALUE"""),684490.0)</f>
        <v>684490</v>
      </c>
    </row>
    <row r="134">
      <c r="A134" s="20">
        <f>IFERROR(__xludf.DUMMYFUNCTION("""COMPUTED_VALUE"""),133.0)</f>
        <v>133</v>
      </c>
      <c r="B134" s="20" t="str">
        <f>IFERROR(__xludf.DUMMYFUNCTION("""COMPUTED_VALUE"""),"Clone Graph")</f>
        <v>Clone Graph</v>
      </c>
      <c r="C134" s="20" t="str">
        <f>IFERROR(__xludf.DUMMYFUNCTION("""COMPUTED_VALUE"""),"clone-graph")</f>
        <v>clone-graph</v>
      </c>
      <c r="D134" s="20" t="b">
        <f>IFERROR(__xludf.DUMMYFUNCTION("""COMPUTED_VALUE"""),FALSE)</f>
        <v>0</v>
      </c>
      <c r="E134" s="20" t="str">
        <f>IFERROR(__xludf.DUMMYFUNCTION("""COMPUTED_VALUE"""),"Medium")</f>
        <v>Medium</v>
      </c>
      <c r="F134" s="20">
        <f>IFERROR(__xludf.DUMMYFUNCTION("""COMPUTED_VALUE"""),7182.0)</f>
        <v>7182</v>
      </c>
      <c r="G134" s="20">
        <f>IFERROR(__xludf.DUMMYFUNCTION("""COMPUTED_VALUE"""),2932.0)</f>
        <v>2932</v>
      </c>
      <c r="H134" s="20" t="str">
        <f>IFERROR(__xludf.DUMMYFUNCTION("""COMPUTED_VALUE"""),"Algorithms")</f>
        <v>Algorithms</v>
      </c>
      <c r="I134" s="20">
        <f>IFERROR(__xludf.DUMMYFUNCTION("""COMPUTED_VALUE"""),0.512)</f>
        <v>0.512</v>
      </c>
      <c r="J134" s="20">
        <f>IFERROR(__xludf.DUMMYFUNCTION("""COMPUTED_VALUE"""),133.0)</f>
        <v>133</v>
      </c>
      <c r="K134" s="20" t="b">
        <f>IFERROR(__xludf.DUMMYFUNCTION("""COMPUTED_VALUE"""),FALSE)</f>
        <v>0</v>
      </c>
      <c r="L134" s="20" t="str">
        <f>IFERROR(__xludf.DUMMYFUNCTION("""COMPUTED_VALUE"""),"Hash Table;Depth-First Search;Breadth-First Search;Graph;")</f>
        <v>Hash Table;Depth-First Search;Breadth-First Search;Graph;</v>
      </c>
      <c r="M134" s="20" t="b">
        <f>IFERROR(__xludf.DUMMYFUNCTION("""COMPUTED_VALUE"""),TRUE)</f>
        <v>1</v>
      </c>
      <c r="N134" s="20" t="b">
        <f>IFERROR(__xludf.DUMMYFUNCTION("""COMPUTED_VALUE"""),FALSE)</f>
        <v>0</v>
      </c>
      <c r="O134" s="20">
        <f>IFERROR(__xludf.DUMMYFUNCTION("""COMPUTED_VALUE"""),51.1600085278557)</f>
        <v>51.16000853</v>
      </c>
      <c r="P134" s="20">
        <f>IFERROR(__xludf.DUMMYFUNCTION("""COMPUTED_VALUE"""),883075.0)</f>
        <v>883075</v>
      </c>
      <c r="Q134" s="20">
        <f>IFERROR(__xludf.DUMMYFUNCTION("""COMPUTED_VALUE"""),1726104.0)</f>
        <v>1726104</v>
      </c>
    </row>
    <row r="135">
      <c r="A135" s="20">
        <f>IFERROR(__xludf.DUMMYFUNCTION("""COMPUTED_VALUE"""),134.0)</f>
        <v>134</v>
      </c>
      <c r="B135" s="20" t="str">
        <f>IFERROR(__xludf.DUMMYFUNCTION("""COMPUTED_VALUE"""),"Gas Station")</f>
        <v>Gas Station</v>
      </c>
      <c r="C135" s="20" t="str">
        <f>IFERROR(__xludf.DUMMYFUNCTION("""COMPUTED_VALUE"""),"gas-station")</f>
        <v>gas-station</v>
      </c>
      <c r="D135" s="20" t="b">
        <f>IFERROR(__xludf.DUMMYFUNCTION("""COMPUTED_VALUE"""),FALSE)</f>
        <v>0</v>
      </c>
      <c r="E135" s="20" t="str">
        <f>IFERROR(__xludf.DUMMYFUNCTION("""COMPUTED_VALUE"""),"Medium")</f>
        <v>Medium</v>
      </c>
      <c r="F135" s="20">
        <f>IFERROR(__xludf.DUMMYFUNCTION("""COMPUTED_VALUE"""),7563.0)</f>
        <v>7563</v>
      </c>
      <c r="G135" s="20">
        <f>IFERROR(__xludf.DUMMYFUNCTION("""COMPUTED_VALUE"""),700.0)</f>
        <v>700</v>
      </c>
      <c r="H135" s="20" t="str">
        <f>IFERROR(__xludf.DUMMYFUNCTION("""COMPUTED_VALUE"""),"Algorithms")</f>
        <v>Algorithms</v>
      </c>
      <c r="I135" s="20">
        <f>IFERROR(__xludf.DUMMYFUNCTION("""COMPUTED_VALUE"""),0.451)</f>
        <v>0.451</v>
      </c>
      <c r="J135" s="20">
        <f>IFERROR(__xludf.DUMMYFUNCTION("""COMPUTED_VALUE"""),134.0)</f>
        <v>134</v>
      </c>
      <c r="K135" s="20" t="b">
        <f>IFERROR(__xludf.DUMMYFUNCTION("""COMPUTED_VALUE"""),FALSE)</f>
        <v>0</v>
      </c>
      <c r="L135" s="20" t="str">
        <f>IFERROR(__xludf.DUMMYFUNCTION("""COMPUTED_VALUE"""),"Array;Greedy;")</f>
        <v>Array;Greedy;</v>
      </c>
      <c r="M135" s="20" t="b">
        <f>IFERROR(__xludf.DUMMYFUNCTION("""COMPUTED_VALUE"""),TRUE)</f>
        <v>1</v>
      </c>
      <c r="N135" s="20" t="b">
        <f>IFERROR(__xludf.DUMMYFUNCTION("""COMPUTED_VALUE"""),FALSE)</f>
        <v>0</v>
      </c>
      <c r="O135" s="20">
        <f>IFERROR(__xludf.DUMMYFUNCTION("""COMPUTED_VALUE"""),45.140910935818)</f>
        <v>45.14091094</v>
      </c>
      <c r="P135" s="20">
        <f>IFERROR(__xludf.DUMMYFUNCTION("""COMPUTED_VALUE"""),486018.0)</f>
        <v>486018</v>
      </c>
      <c r="Q135" s="20">
        <f>IFERROR(__xludf.DUMMYFUNCTION("""COMPUTED_VALUE"""),1076662.0)</f>
        <v>1076662</v>
      </c>
    </row>
    <row r="136">
      <c r="A136" s="20">
        <f>IFERROR(__xludf.DUMMYFUNCTION("""COMPUTED_VALUE"""),135.0)</f>
        <v>135</v>
      </c>
      <c r="B136" s="20" t="str">
        <f>IFERROR(__xludf.DUMMYFUNCTION("""COMPUTED_VALUE"""),"Candy")</f>
        <v>Candy</v>
      </c>
      <c r="C136" s="20" t="str">
        <f>IFERROR(__xludf.DUMMYFUNCTION("""COMPUTED_VALUE"""),"candy")</f>
        <v>candy</v>
      </c>
      <c r="D136" s="20" t="b">
        <f>IFERROR(__xludf.DUMMYFUNCTION("""COMPUTED_VALUE"""),FALSE)</f>
        <v>0</v>
      </c>
      <c r="E136" s="20" t="str">
        <f>IFERROR(__xludf.DUMMYFUNCTION("""COMPUTED_VALUE"""),"Hard")</f>
        <v>Hard</v>
      </c>
      <c r="F136" s="20">
        <f>IFERROR(__xludf.DUMMYFUNCTION("""COMPUTED_VALUE"""),4997.0)</f>
        <v>4997</v>
      </c>
      <c r="G136" s="20">
        <f>IFERROR(__xludf.DUMMYFUNCTION("""COMPUTED_VALUE"""),330.0)</f>
        <v>330</v>
      </c>
      <c r="H136" s="20" t="str">
        <f>IFERROR(__xludf.DUMMYFUNCTION("""COMPUTED_VALUE"""),"Algorithms")</f>
        <v>Algorithms</v>
      </c>
      <c r="I136" s="20">
        <f>IFERROR(__xludf.DUMMYFUNCTION("""COMPUTED_VALUE"""),0.408)</f>
        <v>0.408</v>
      </c>
      <c r="J136" s="20">
        <f>IFERROR(__xludf.DUMMYFUNCTION("""COMPUTED_VALUE"""),135.0)</f>
        <v>135</v>
      </c>
      <c r="K136" s="20" t="b">
        <f>IFERROR(__xludf.DUMMYFUNCTION("""COMPUTED_VALUE"""),FALSE)</f>
        <v>0</v>
      </c>
      <c r="L136" s="20" t="str">
        <f>IFERROR(__xludf.DUMMYFUNCTION("""COMPUTED_VALUE"""),"Array;Greedy;")</f>
        <v>Array;Greedy;</v>
      </c>
      <c r="M136" s="20" t="b">
        <f>IFERROR(__xludf.DUMMYFUNCTION("""COMPUTED_VALUE"""),TRUE)</f>
        <v>1</v>
      </c>
      <c r="N136" s="20" t="b">
        <f>IFERROR(__xludf.DUMMYFUNCTION("""COMPUTED_VALUE"""),FALSE)</f>
        <v>0</v>
      </c>
      <c r="O136" s="20">
        <f>IFERROR(__xludf.DUMMYFUNCTION("""COMPUTED_VALUE"""),40.8386729794388)</f>
        <v>40.83867298</v>
      </c>
      <c r="P136" s="20">
        <f>IFERROR(__xludf.DUMMYFUNCTION("""COMPUTED_VALUE"""),292924.0)</f>
        <v>292924</v>
      </c>
      <c r="Q136" s="20">
        <f>IFERROR(__xludf.DUMMYFUNCTION("""COMPUTED_VALUE"""),717271.0)</f>
        <v>717271</v>
      </c>
    </row>
    <row r="137">
      <c r="A137" s="20">
        <f>IFERROR(__xludf.DUMMYFUNCTION("""COMPUTED_VALUE"""),136.0)</f>
        <v>136</v>
      </c>
      <c r="B137" s="20" t="str">
        <f>IFERROR(__xludf.DUMMYFUNCTION("""COMPUTED_VALUE"""),"Single Number")</f>
        <v>Single Number</v>
      </c>
      <c r="C137" s="20" t="str">
        <f>IFERROR(__xludf.DUMMYFUNCTION("""COMPUTED_VALUE"""),"single-number")</f>
        <v>single-number</v>
      </c>
      <c r="D137" s="20" t="b">
        <f>IFERROR(__xludf.DUMMYFUNCTION("""COMPUTED_VALUE"""),FALSE)</f>
        <v>0</v>
      </c>
      <c r="E137" s="20" t="str">
        <f>IFERROR(__xludf.DUMMYFUNCTION("""COMPUTED_VALUE"""),"Easy")</f>
        <v>Easy</v>
      </c>
      <c r="F137" s="20">
        <f>IFERROR(__xludf.DUMMYFUNCTION("""COMPUTED_VALUE"""),12500.0)</f>
        <v>12500</v>
      </c>
      <c r="G137" s="20">
        <f>IFERROR(__xludf.DUMMYFUNCTION("""COMPUTED_VALUE"""),475.0)</f>
        <v>475</v>
      </c>
      <c r="H137" s="20" t="str">
        <f>IFERROR(__xludf.DUMMYFUNCTION("""COMPUTED_VALUE"""),"Algorithms")</f>
        <v>Algorithms</v>
      </c>
      <c r="I137" s="20">
        <f>IFERROR(__xludf.DUMMYFUNCTION("""COMPUTED_VALUE"""),0.703)</f>
        <v>0.703</v>
      </c>
      <c r="J137" s="20">
        <f>IFERROR(__xludf.DUMMYFUNCTION("""COMPUTED_VALUE"""),136.0)</f>
        <v>136</v>
      </c>
      <c r="K137" s="20" t="b">
        <f>IFERROR(__xludf.DUMMYFUNCTION("""COMPUTED_VALUE"""),FALSE)</f>
        <v>0</v>
      </c>
      <c r="L137" s="20" t="str">
        <f>IFERROR(__xludf.DUMMYFUNCTION("""COMPUTED_VALUE"""),"Array;Bit Manipulation;")</f>
        <v>Array;Bit Manipulation;</v>
      </c>
      <c r="M137" s="20" t="b">
        <f>IFERROR(__xludf.DUMMYFUNCTION("""COMPUTED_VALUE"""),TRUE)</f>
        <v>1</v>
      </c>
      <c r="N137" s="20" t="b">
        <f>IFERROR(__xludf.DUMMYFUNCTION("""COMPUTED_VALUE"""),FALSE)</f>
        <v>0</v>
      </c>
      <c r="O137" s="20">
        <f>IFERROR(__xludf.DUMMYFUNCTION("""COMPUTED_VALUE"""),70.2561267579282)</f>
        <v>70.25612676</v>
      </c>
      <c r="P137" s="20">
        <f>IFERROR(__xludf.DUMMYFUNCTION("""COMPUTED_VALUE"""),1990136.0)</f>
        <v>1990136</v>
      </c>
      <c r="Q137" s="20">
        <f>IFERROR(__xludf.DUMMYFUNCTION("""COMPUTED_VALUE"""),2832693.0)</f>
        <v>2832693</v>
      </c>
    </row>
    <row r="138">
      <c r="A138" s="20">
        <f>IFERROR(__xludf.DUMMYFUNCTION("""COMPUTED_VALUE"""),137.0)</f>
        <v>137</v>
      </c>
      <c r="B138" s="20" t="str">
        <f>IFERROR(__xludf.DUMMYFUNCTION("""COMPUTED_VALUE"""),"Single Number II")</f>
        <v>Single Number II</v>
      </c>
      <c r="C138" s="20" t="str">
        <f>IFERROR(__xludf.DUMMYFUNCTION("""COMPUTED_VALUE"""),"single-number-ii")</f>
        <v>single-number-ii</v>
      </c>
      <c r="D138" s="20" t="b">
        <f>IFERROR(__xludf.DUMMYFUNCTION("""COMPUTED_VALUE"""),FALSE)</f>
        <v>0</v>
      </c>
      <c r="E138" s="20" t="str">
        <f>IFERROR(__xludf.DUMMYFUNCTION("""COMPUTED_VALUE"""),"Medium")</f>
        <v>Medium</v>
      </c>
      <c r="F138" s="20">
        <f>IFERROR(__xludf.DUMMYFUNCTION("""COMPUTED_VALUE"""),5082.0)</f>
        <v>5082</v>
      </c>
      <c r="G138" s="20">
        <f>IFERROR(__xludf.DUMMYFUNCTION("""COMPUTED_VALUE"""),526.0)</f>
        <v>526</v>
      </c>
      <c r="H138" s="20" t="str">
        <f>IFERROR(__xludf.DUMMYFUNCTION("""COMPUTED_VALUE"""),"Algorithms")</f>
        <v>Algorithms</v>
      </c>
      <c r="I138" s="20">
        <f>IFERROR(__xludf.DUMMYFUNCTION("""COMPUTED_VALUE"""),0.58)</f>
        <v>0.58</v>
      </c>
      <c r="J138" s="20">
        <f>IFERROR(__xludf.DUMMYFUNCTION("""COMPUTED_VALUE"""),137.0)</f>
        <v>137</v>
      </c>
      <c r="K138" s="20" t="b">
        <f>IFERROR(__xludf.DUMMYFUNCTION("""COMPUTED_VALUE"""),FALSE)</f>
        <v>0</v>
      </c>
      <c r="L138" s="20" t="str">
        <f>IFERROR(__xludf.DUMMYFUNCTION("""COMPUTED_VALUE"""),"Array;Bit Manipulation;")</f>
        <v>Array;Bit Manipulation;</v>
      </c>
      <c r="M138" s="20" t="b">
        <f>IFERROR(__xludf.DUMMYFUNCTION("""COMPUTED_VALUE"""),TRUE)</f>
        <v>1</v>
      </c>
      <c r="N138" s="20" t="b">
        <f>IFERROR(__xludf.DUMMYFUNCTION("""COMPUTED_VALUE"""),FALSE)</f>
        <v>0</v>
      </c>
      <c r="O138" s="20">
        <f>IFERROR(__xludf.DUMMYFUNCTION("""COMPUTED_VALUE"""),58.0253357093327)</f>
        <v>58.02533571</v>
      </c>
      <c r="P138" s="20">
        <f>IFERROR(__xludf.DUMMYFUNCTION("""COMPUTED_VALUE"""),389113.0)</f>
        <v>389113</v>
      </c>
      <c r="Q138" s="20">
        <f>IFERROR(__xludf.DUMMYFUNCTION("""COMPUTED_VALUE"""),670590.0)</f>
        <v>670590</v>
      </c>
    </row>
    <row r="139">
      <c r="A139" s="20">
        <f>IFERROR(__xludf.DUMMYFUNCTION("""COMPUTED_VALUE"""),138.0)</f>
        <v>138</v>
      </c>
      <c r="B139" s="20" t="str">
        <f>IFERROR(__xludf.DUMMYFUNCTION("""COMPUTED_VALUE"""),"Copy List with Random Pointer")</f>
        <v>Copy List with Random Pointer</v>
      </c>
      <c r="C139" s="20" t="str">
        <f>IFERROR(__xludf.DUMMYFUNCTION("""COMPUTED_VALUE"""),"copy-list-with-random-pointer")</f>
        <v>copy-list-with-random-pointer</v>
      </c>
      <c r="D139" s="20" t="b">
        <f>IFERROR(__xludf.DUMMYFUNCTION("""COMPUTED_VALUE"""),FALSE)</f>
        <v>0</v>
      </c>
      <c r="E139" s="20" t="str">
        <f>IFERROR(__xludf.DUMMYFUNCTION("""COMPUTED_VALUE"""),"Medium")</f>
        <v>Medium</v>
      </c>
      <c r="F139" s="20">
        <f>IFERROR(__xludf.DUMMYFUNCTION("""COMPUTED_VALUE"""),10471.0)</f>
        <v>10471</v>
      </c>
      <c r="G139" s="20">
        <f>IFERROR(__xludf.DUMMYFUNCTION("""COMPUTED_VALUE"""),1114.0)</f>
        <v>1114</v>
      </c>
      <c r="H139" s="20" t="str">
        <f>IFERROR(__xludf.DUMMYFUNCTION("""COMPUTED_VALUE"""),"Algorithms")</f>
        <v>Algorithms</v>
      </c>
      <c r="I139" s="20">
        <f>IFERROR(__xludf.DUMMYFUNCTION("""COMPUTED_VALUE"""),0.508)</f>
        <v>0.508</v>
      </c>
      <c r="J139" s="20">
        <f>IFERROR(__xludf.DUMMYFUNCTION("""COMPUTED_VALUE"""),138.0)</f>
        <v>138</v>
      </c>
      <c r="K139" s="20" t="b">
        <f>IFERROR(__xludf.DUMMYFUNCTION("""COMPUTED_VALUE"""),FALSE)</f>
        <v>0</v>
      </c>
      <c r="L139" s="20" t="str">
        <f>IFERROR(__xludf.DUMMYFUNCTION("""COMPUTED_VALUE"""),"Hash Table;Linked List;")</f>
        <v>Hash Table;Linked List;</v>
      </c>
      <c r="M139" s="20" t="b">
        <f>IFERROR(__xludf.DUMMYFUNCTION("""COMPUTED_VALUE"""),TRUE)</f>
        <v>1</v>
      </c>
      <c r="N139" s="20" t="b">
        <f>IFERROR(__xludf.DUMMYFUNCTION("""COMPUTED_VALUE"""),FALSE)</f>
        <v>0</v>
      </c>
      <c r="O139" s="20">
        <f>IFERROR(__xludf.DUMMYFUNCTION("""COMPUTED_VALUE"""),50.8274574946586)</f>
        <v>50.82745749</v>
      </c>
      <c r="P139" s="20">
        <f>IFERROR(__xludf.DUMMYFUNCTION("""COMPUTED_VALUE"""),906608.0)</f>
        <v>906608</v>
      </c>
      <c r="Q139" s="20">
        <f>IFERROR(__xludf.DUMMYFUNCTION("""COMPUTED_VALUE"""),1783707.0)</f>
        <v>1783707</v>
      </c>
    </row>
    <row r="140">
      <c r="A140" s="20">
        <f>IFERROR(__xludf.DUMMYFUNCTION("""COMPUTED_VALUE"""),139.0)</f>
        <v>139</v>
      </c>
      <c r="B140" s="20" t="str">
        <f>IFERROR(__xludf.DUMMYFUNCTION("""COMPUTED_VALUE"""),"Word Break")</f>
        <v>Word Break</v>
      </c>
      <c r="C140" s="20" t="str">
        <f>IFERROR(__xludf.DUMMYFUNCTION("""COMPUTED_VALUE"""),"word-break")</f>
        <v>word-break</v>
      </c>
      <c r="D140" s="20" t="b">
        <f>IFERROR(__xludf.DUMMYFUNCTION("""COMPUTED_VALUE"""),FALSE)</f>
        <v>0</v>
      </c>
      <c r="E140" s="20" t="str">
        <f>IFERROR(__xludf.DUMMYFUNCTION("""COMPUTED_VALUE"""),"Medium")</f>
        <v>Medium</v>
      </c>
      <c r="F140" s="20">
        <f>IFERROR(__xludf.DUMMYFUNCTION("""COMPUTED_VALUE"""),13065.0)</f>
        <v>13065</v>
      </c>
      <c r="G140" s="20">
        <f>IFERROR(__xludf.DUMMYFUNCTION("""COMPUTED_VALUE"""),555.0)</f>
        <v>555</v>
      </c>
      <c r="H140" s="20" t="str">
        <f>IFERROR(__xludf.DUMMYFUNCTION("""COMPUTED_VALUE"""),"Algorithms")</f>
        <v>Algorithms</v>
      </c>
      <c r="I140" s="20">
        <f>IFERROR(__xludf.DUMMYFUNCTION("""COMPUTED_VALUE"""),0.455)</f>
        <v>0.455</v>
      </c>
      <c r="J140" s="20">
        <f>IFERROR(__xludf.DUMMYFUNCTION("""COMPUTED_VALUE"""),139.0)</f>
        <v>139</v>
      </c>
      <c r="K140" s="20" t="b">
        <f>IFERROR(__xludf.DUMMYFUNCTION("""COMPUTED_VALUE"""),FALSE)</f>
        <v>0</v>
      </c>
      <c r="L140" s="20" t="str">
        <f>IFERROR(__xludf.DUMMYFUNCTION("""COMPUTED_VALUE"""),"Hash Table;String;Dynamic Programming;Trie;Memoization;")</f>
        <v>Hash Table;String;Dynamic Programming;Trie;Memoization;</v>
      </c>
      <c r="M140" s="20" t="b">
        <f>IFERROR(__xludf.DUMMYFUNCTION("""COMPUTED_VALUE"""),TRUE)</f>
        <v>1</v>
      </c>
      <c r="N140" s="20" t="b">
        <f>IFERROR(__xludf.DUMMYFUNCTION("""COMPUTED_VALUE"""),TRUE)</f>
        <v>1</v>
      </c>
      <c r="O140" s="20">
        <f>IFERROR(__xludf.DUMMYFUNCTION("""COMPUTED_VALUE"""),45.5043828094873)</f>
        <v>45.50438281</v>
      </c>
      <c r="P140" s="20">
        <f>IFERROR(__xludf.DUMMYFUNCTION("""COMPUTED_VALUE"""),1264995.0)</f>
        <v>1264995</v>
      </c>
      <c r="Q140" s="20">
        <f>IFERROR(__xludf.DUMMYFUNCTION("""COMPUTED_VALUE"""),2779941.0)</f>
        <v>2779941</v>
      </c>
    </row>
    <row r="141">
      <c r="A141" s="20">
        <f>IFERROR(__xludf.DUMMYFUNCTION("""COMPUTED_VALUE"""),140.0)</f>
        <v>140</v>
      </c>
      <c r="B141" s="20" t="str">
        <f>IFERROR(__xludf.DUMMYFUNCTION("""COMPUTED_VALUE"""),"Word Break II")</f>
        <v>Word Break II</v>
      </c>
      <c r="C141" s="20" t="str">
        <f>IFERROR(__xludf.DUMMYFUNCTION("""COMPUTED_VALUE"""),"word-break-ii")</f>
        <v>word-break-ii</v>
      </c>
      <c r="D141" s="20" t="b">
        <f>IFERROR(__xludf.DUMMYFUNCTION("""COMPUTED_VALUE"""),FALSE)</f>
        <v>0</v>
      </c>
      <c r="E141" s="20" t="str">
        <f>IFERROR(__xludf.DUMMYFUNCTION("""COMPUTED_VALUE"""),"Hard")</f>
        <v>Hard</v>
      </c>
      <c r="F141" s="20">
        <f>IFERROR(__xludf.DUMMYFUNCTION("""COMPUTED_VALUE"""),5699.0)</f>
        <v>5699</v>
      </c>
      <c r="G141" s="20">
        <f>IFERROR(__xludf.DUMMYFUNCTION("""COMPUTED_VALUE"""),495.0)</f>
        <v>495</v>
      </c>
      <c r="H141" s="20" t="str">
        <f>IFERROR(__xludf.DUMMYFUNCTION("""COMPUTED_VALUE"""),"Algorithms")</f>
        <v>Algorithms</v>
      </c>
      <c r="I141" s="20">
        <f>IFERROR(__xludf.DUMMYFUNCTION("""COMPUTED_VALUE"""),0.448)</f>
        <v>0.448</v>
      </c>
      <c r="J141" s="20">
        <f>IFERROR(__xludf.DUMMYFUNCTION("""COMPUTED_VALUE"""),140.0)</f>
        <v>140</v>
      </c>
      <c r="K141" s="20" t="b">
        <f>IFERROR(__xludf.DUMMYFUNCTION("""COMPUTED_VALUE"""),FALSE)</f>
        <v>0</v>
      </c>
      <c r="L141" s="20" t="str">
        <f>IFERROR(__xludf.DUMMYFUNCTION("""COMPUTED_VALUE"""),"Hash Table;String;Dynamic Programming;Backtracking;Trie;Memoization;")</f>
        <v>Hash Table;String;Dynamic Programming;Backtracking;Trie;Memoization;</v>
      </c>
      <c r="M141" s="20" t="b">
        <f>IFERROR(__xludf.DUMMYFUNCTION("""COMPUTED_VALUE"""),TRUE)</f>
        <v>1</v>
      </c>
      <c r="N141" s="20" t="b">
        <f>IFERROR(__xludf.DUMMYFUNCTION("""COMPUTED_VALUE"""),FALSE)</f>
        <v>0</v>
      </c>
      <c r="O141" s="20">
        <f>IFERROR(__xludf.DUMMYFUNCTION("""COMPUTED_VALUE"""),44.7879517443121)</f>
        <v>44.78795174</v>
      </c>
      <c r="P141" s="20">
        <f>IFERROR(__xludf.DUMMYFUNCTION("""COMPUTED_VALUE"""),497442.0)</f>
        <v>497442</v>
      </c>
      <c r="Q141" s="20">
        <f>IFERROR(__xludf.DUMMYFUNCTION("""COMPUTED_VALUE"""),1110664.0)</f>
        <v>1110664</v>
      </c>
    </row>
    <row r="142">
      <c r="A142" s="20">
        <f>IFERROR(__xludf.DUMMYFUNCTION("""COMPUTED_VALUE"""),141.0)</f>
        <v>141</v>
      </c>
      <c r="B142" s="20" t="str">
        <f>IFERROR(__xludf.DUMMYFUNCTION("""COMPUTED_VALUE"""),"Linked List Cycle")</f>
        <v>Linked List Cycle</v>
      </c>
      <c r="C142" s="20" t="str">
        <f>IFERROR(__xludf.DUMMYFUNCTION("""COMPUTED_VALUE"""),"linked-list-cycle")</f>
        <v>linked-list-cycle</v>
      </c>
      <c r="D142" s="20" t="b">
        <f>IFERROR(__xludf.DUMMYFUNCTION("""COMPUTED_VALUE"""),FALSE)</f>
        <v>0</v>
      </c>
      <c r="E142" s="20" t="str">
        <f>IFERROR(__xludf.DUMMYFUNCTION("""COMPUTED_VALUE"""),"Easy")</f>
        <v>Easy</v>
      </c>
      <c r="F142" s="20">
        <f>IFERROR(__xludf.DUMMYFUNCTION("""COMPUTED_VALUE"""),11005.0)</f>
        <v>11005</v>
      </c>
      <c r="G142" s="20">
        <f>IFERROR(__xludf.DUMMYFUNCTION("""COMPUTED_VALUE"""),938.0)</f>
        <v>938</v>
      </c>
      <c r="H142" s="20" t="str">
        <f>IFERROR(__xludf.DUMMYFUNCTION("""COMPUTED_VALUE"""),"Algorithms")</f>
        <v>Algorithms</v>
      </c>
      <c r="I142" s="20">
        <f>IFERROR(__xludf.DUMMYFUNCTION("""COMPUTED_VALUE"""),0.471)</f>
        <v>0.471</v>
      </c>
      <c r="J142" s="20">
        <f>IFERROR(__xludf.DUMMYFUNCTION("""COMPUTED_VALUE"""),141.0)</f>
        <v>141</v>
      </c>
      <c r="K142" s="20" t="b">
        <f>IFERROR(__xludf.DUMMYFUNCTION("""COMPUTED_VALUE"""),FALSE)</f>
        <v>0</v>
      </c>
      <c r="L142" s="20" t="str">
        <f>IFERROR(__xludf.DUMMYFUNCTION("""COMPUTED_VALUE"""),"Hash Table;Linked List;Two Pointers;")</f>
        <v>Hash Table;Linked List;Two Pointers;</v>
      </c>
      <c r="M142" s="20" t="b">
        <f>IFERROR(__xludf.DUMMYFUNCTION("""COMPUTED_VALUE"""),TRUE)</f>
        <v>1</v>
      </c>
      <c r="N142" s="20" t="b">
        <f>IFERROR(__xludf.DUMMYFUNCTION("""COMPUTED_VALUE"""),TRUE)</f>
        <v>1</v>
      </c>
      <c r="O142" s="20">
        <f>IFERROR(__xludf.DUMMYFUNCTION("""COMPUTED_VALUE"""),47.0949321479466)</f>
        <v>47.09493215</v>
      </c>
      <c r="P142" s="20">
        <f>IFERROR(__xludf.DUMMYFUNCTION("""COMPUTED_VALUE"""),1861225.0)</f>
        <v>1861225</v>
      </c>
      <c r="Q142" s="20">
        <f>IFERROR(__xludf.DUMMYFUNCTION("""COMPUTED_VALUE"""),3952088.0)</f>
        <v>3952088</v>
      </c>
    </row>
    <row r="143">
      <c r="A143" s="20">
        <f>IFERROR(__xludf.DUMMYFUNCTION("""COMPUTED_VALUE"""),142.0)</f>
        <v>142</v>
      </c>
      <c r="B143" s="20" t="str">
        <f>IFERROR(__xludf.DUMMYFUNCTION("""COMPUTED_VALUE"""),"Linked List Cycle II")</f>
        <v>Linked List Cycle II</v>
      </c>
      <c r="C143" s="20" t="str">
        <f>IFERROR(__xludf.DUMMYFUNCTION("""COMPUTED_VALUE"""),"linked-list-cycle-ii")</f>
        <v>linked-list-cycle-ii</v>
      </c>
      <c r="D143" s="20" t="b">
        <f>IFERROR(__xludf.DUMMYFUNCTION("""COMPUTED_VALUE"""),FALSE)</f>
        <v>0</v>
      </c>
      <c r="E143" s="20" t="str">
        <f>IFERROR(__xludf.DUMMYFUNCTION("""COMPUTED_VALUE"""),"Medium")</f>
        <v>Medium</v>
      </c>
      <c r="F143" s="20">
        <f>IFERROR(__xludf.DUMMYFUNCTION("""COMPUTED_VALUE"""),9796.0)</f>
        <v>9796</v>
      </c>
      <c r="G143" s="20">
        <f>IFERROR(__xludf.DUMMYFUNCTION("""COMPUTED_VALUE"""),697.0)</f>
        <v>697</v>
      </c>
      <c r="H143" s="20" t="str">
        <f>IFERROR(__xludf.DUMMYFUNCTION("""COMPUTED_VALUE"""),"Algorithms")</f>
        <v>Algorithms</v>
      </c>
      <c r="I143" s="20">
        <f>IFERROR(__xludf.DUMMYFUNCTION("""COMPUTED_VALUE"""),0.468)</f>
        <v>0.468</v>
      </c>
      <c r="J143" s="20">
        <f>IFERROR(__xludf.DUMMYFUNCTION("""COMPUTED_VALUE"""),142.0)</f>
        <v>142</v>
      </c>
      <c r="K143" s="20" t="b">
        <f>IFERROR(__xludf.DUMMYFUNCTION("""COMPUTED_VALUE"""),FALSE)</f>
        <v>0</v>
      </c>
      <c r="L143" s="20" t="str">
        <f>IFERROR(__xludf.DUMMYFUNCTION("""COMPUTED_VALUE"""),"Hash Table;Linked List;Two Pointers;")</f>
        <v>Hash Table;Linked List;Two Pointers;</v>
      </c>
      <c r="M143" s="20" t="b">
        <f>IFERROR(__xludf.DUMMYFUNCTION("""COMPUTED_VALUE"""),TRUE)</f>
        <v>1</v>
      </c>
      <c r="N143" s="20" t="b">
        <f>IFERROR(__xludf.DUMMYFUNCTION("""COMPUTED_VALUE"""),FALSE)</f>
        <v>0</v>
      </c>
      <c r="O143" s="20">
        <f>IFERROR(__xludf.DUMMYFUNCTION("""COMPUTED_VALUE"""),46.8234258017793)</f>
        <v>46.8234258</v>
      </c>
      <c r="P143" s="20">
        <f>IFERROR(__xludf.DUMMYFUNCTION("""COMPUTED_VALUE"""),900638.0)</f>
        <v>900638</v>
      </c>
      <c r="Q143" s="20">
        <f>IFERROR(__xludf.DUMMYFUNCTION("""COMPUTED_VALUE"""),1923480.0)</f>
        <v>1923480</v>
      </c>
    </row>
    <row r="144">
      <c r="A144" s="20">
        <f>IFERROR(__xludf.DUMMYFUNCTION("""COMPUTED_VALUE"""),143.0)</f>
        <v>143</v>
      </c>
      <c r="B144" s="20" t="str">
        <f>IFERROR(__xludf.DUMMYFUNCTION("""COMPUTED_VALUE"""),"Reorder List")</f>
        <v>Reorder List</v>
      </c>
      <c r="C144" s="20" t="str">
        <f>IFERROR(__xludf.DUMMYFUNCTION("""COMPUTED_VALUE"""),"reorder-list")</f>
        <v>reorder-list</v>
      </c>
      <c r="D144" s="20" t="b">
        <f>IFERROR(__xludf.DUMMYFUNCTION("""COMPUTED_VALUE"""),FALSE)</f>
        <v>0</v>
      </c>
      <c r="E144" s="20" t="str">
        <f>IFERROR(__xludf.DUMMYFUNCTION("""COMPUTED_VALUE"""),"Medium")</f>
        <v>Medium</v>
      </c>
      <c r="F144" s="20">
        <f>IFERROR(__xludf.DUMMYFUNCTION("""COMPUTED_VALUE"""),7869.0)</f>
        <v>7869</v>
      </c>
      <c r="G144" s="20">
        <f>IFERROR(__xludf.DUMMYFUNCTION("""COMPUTED_VALUE"""),273.0)</f>
        <v>273</v>
      </c>
      <c r="H144" s="20" t="str">
        <f>IFERROR(__xludf.DUMMYFUNCTION("""COMPUTED_VALUE"""),"Algorithms")</f>
        <v>Algorithms</v>
      </c>
      <c r="I144" s="20">
        <f>IFERROR(__xludf.DUMMYFUNCTION("""COMPUTED_VALUE"""),0.516)</f>
        <v>0.516</v>
      </c>
      <c r="J144" s="20">
        <f>IFERROR(__xludf.DUMMYFUNCTION("""COMPUTED_VALUE"""),143.0)</f>
        <v>143</v>
      </c>
      <c r="K144" s="20" t="b">
        <f>IFERROR(__xludf.DUMMYFUNCTION("""COMPUTED_VALUE"""),FALSE)</f>
        <v>0</v>
      </c>
      <c r="L144" s="20" t="str">
        <f>IFERROR(__xludf.DUMMYFUNCTION("""COMPUTED_VALUE"""),"Linked List;Two Pointers;Stack;Recursion;")</f>
        <v>Linked List;Two Pointers;Stack;Recursion;</v>
      </c>
      <c r="M144" s="20" t="b">
        <f>IFERROR(__xludf.DUMMYFUNCTION("""COMPUTED_VALUE"""),TRUE)</f>
        <v>1</v>
      </c>
      <c r="N144" s="20" t="b">
        <f>IFERROR(__xludf.DUMMYFUNCTION("""COMPUTED_VALUE"""),FALSE)</f>
        <v>0</v>
      </c>
      <c r="O144" s="20">
        <f>IFERROR(__xludf.DUMMYFUNCTION("""COMPUTED_VALUE"""),51.6125235800679)</f>
        <v>51.61252358</v>
      </c>
      <c r="P144" s="20">
        <f>IFERROR(__xludf.DUMMYFUNCTION("""COMPUTED_VALUE"""),613955.0)</f>
        <v>613955</v>
      </c>
      <c r="Q144" s="20">
        <f>IFERROR(__xludf.DUMMYFUNCTION("""COMPUTED_VALUE"""),1189555.0)</f>
        <v>1189555</v>
      </c>
    </row>
    <row r="145">
      <c r="A145" s="20">
        <f>IFERROR(__xludf.DUMMYFUNCTION("""COMPUTED_VALUE"""),144.0)</f>
        <v>144</v>
      </c>
      <c r="B145" s="20" t="str">
        <f>IFERROR(__xludf.DUMMYFUNCTION("""COMPUTED_VALUE"""),"Binary Tree Preorder Traversal")</f>
        <v>Binary Tree Preorder Traversal</v>
      </c>
      <c r="C145" s="20" t="str">
        <f>IFERROR(__xludf.DUMMYFUNCTION("""COMPUTED_VALUE"""),"binary-tree-preorder-traversal")</f>
        <v>binary-tree-preorder-traversal</v>
      </c>
      <c r="D145" s="20" t="b">
        <f>IFERROR(__xludf.DUMMYFUNCTION("""COMPUTED_VALUE"""),FALSE)</f>
        <v>0</v>
      </c>
      <c r="E145" s="20" t="str">
        <f>IFERROR(__xludf.DUMMYFUNCTION("""COMPUTED_VALUE"""),"Easy")</f>
        <v>Easy</v>
      </c>
      <c r="F145" s="20">
        <f>IFERROR(__xludf.DUMMYFUNCTION("""COMPUTED_VALUE"""),5534.0)</f>
        <v>5534</v>
      </c>
      <c r="G145" s="20">
        <f>IFERROR(__xludf.DUMMYFUNCTION("""COMPUTED_VALUE"""),150.0)</f>
        <v>150</v>
      </c>
      <c r="H145" s="20" t="str">
        <f>IFERROR(__xludf.DUMMYFUNCTION("""COMPUTED_VALUE"""),"Algorithms")</f>
        <v>Algorithms</v>
      </c>
      <c r="I145" s="20">
        <f>IFERROR(__xludf.DUMMYFUNCTION("""COMPUTED_VALUE"""),0.651)</f>
        <v>0.651</v>
      </c>
      <c r="J145" s="20">
        <f>IFERROR(__xludf.DUMMYFUNCTION("""COMPUTED_VALUE"""),144.0)</f>
        <v>144</v>
      </c>
      <c r="K145" s="20" t="b">
        <f>IFERROR(__xludf.DUMMYFUNCTION("""COMPUTED_VALUE"""),FALSE)</f>
        <v>0</v>
      </c>
      <c r="L145" s="20" t="str">
        <f>IFERROR(__xludf.DUMMYFUNCTION("""COMPUTED_VALUE"""),"Stack;Tree;Depth-First Search;Binary Tree;")</f>
        <v>Stack;Tree;Depth-First Search;Binary Tree;</v>
      </c>
      <c r="M145" s="20" t="b">
        <f>IFERROR(__xludf.DUMMYFUNCTION("""COMPUTED_VALUE"""),TRUE)</f>
        <v>1</v>
      </c>
      <c r="N145" s="20" t="b">
        <f>IFERROR(__xludf.DUMMYFUNCTION("""COMPUTED_VALUE"""),FALSE)</f>
        <v>0</v>
      </c>
      <c r="O145" s="20">
        <f>IFERROR(__xludf.DUMMYFUNCTION("""COMPUTED_VALUE"""),65.0957396463722)</f>
        <v>65.09573965</v>
      </c>
      <c r="P145" s="20">
        <f>IFERROR(__xludf.DUMMYFUNCTION("""COMPUTED_VALUE"""),1154056.0)</f>
        <v>1154056</v>
      </c>
      <c r="Q145" s="20">
        <f>IFERROR(__xludf.DUMMYFUNCTION("""COMPUTED_VALUE"""),1772863.0)</f>
        <v>1772863</v>
      </c>
    </row>
    <row r="146">
      <c r="A146" s="20">
        <f>IFERROR(__xludf.DUMMYFUNCTION("""COMPUTED_VALUE"""),145.0)</f>
        <v>145</v>
      </c>
      <c r="B146" s="20" t="str">
        <f>IFERROR(__xludf.DUMMYFUNCTION("""COMPUTED_VALUE"""),"Binary Tree Postorder Traversal")</f>
        <v>Binary Tree Postorder Traversal</v>
      </c>
      <c r="C146" s="20" t="str">
        <f>IFERROR(__xludf.DUMMYFUNCTION("""COMPUTED_VALUE"""),"binary-tree-postorder-traversal")</f>
        <v>binary-tree-postorder-traversal</v>
      </c>
      <c r="D146" s="20" t="b">
        <f>IFERROR(__xludf.DUMMYFUNCTION("""COMPUTED_VALUE"""),FALSE)</f>
        <v>0</v>
      </c>
      <c r="E146" s="20" t="str">
        <f>IFERROR(__xludf.DUMMYFUNCTION("""COMPUTED_VALUE"""),"Easy")</f>
        <v>Easy</v>
      </c>
      <c r="F146" s="20">
        <f>IFERROR(__xludf.DUMMYFUNCTION("""COMPUTED_VALUE"""),5401.0)</f>
        <v>5401</v>
      </c>
      <c r="G146" s="20">
        <f>IFERROR(__xludf.DUMMYFUNCTION("""COMPUTED_VALUE"""),161.0)</f>
        <v>161</v>
      </c>
      <c r="H146" s="20" t="str">
        <f>IFERROR(__xludf.DUMMYFUNCTION("""COMPUTED_VALUE"""),"Algorithms")</f>
        <v>Algorithms</v>
      </c>
      <c r="I146" s="20">
        <f>IFERROR(__xludf.DUMMYFUNCTION("""COMPUTED_VALUE"""),0.671)</f>
        <v>0.671</v>
      </c>
      <c r="J146" s="20">
        <f>IFERROR(__xludf.DUMMYFUNCTION("""COMPUTED_VALUE"""),145.0)</f>
        <v>145</v>
      </c>
      <c r="K146" s="20" t="b">
        <f>IFERROR(__xludf.DUMMYFUNCTION("""COMPUTED_VALUE"""),FALSE)</f>
        <v>0</v>
      </c>
      <c r="L146" s="20" t="str">
        <f>IFERROR(__xludf.DUMMYFUNCTION("""COMPUTED_VALUE"""),"Stack;Tree;Depth-First Search;Binary Tree;")</f>
        <v>Stack;Tree;Depth-First Search;Binary Tree;</v>
      </c>
      <c r="M146" s="20" t="b">
        <f>IFERROR(__xludf.DUMMYFUNCTION("""COMPUTED_VALUE"""),FALSE)</f>
        <v>0</v>
      </c>
      <c r="N146" s="20" t="b">
        <f>IFERROR(__xludf.DUMMYFUNCTION("""COMPUTED_VALUE"""),FALSE)</f>
        <v>0</v>
      </c>
      <c r="O146" s="20">
        <f>IFERROR(__xludf.DUMMYFUNCTION("""COMPUTED_VALUE"""),67.0825801566607)</f>
        <v>67.08258016</v>
      </c>
      <c r="P146" s="20">
        <f>IFERROR(__xludf.DUMMYFUNCTION("""COMPUTED_VALUE"""),880629.0)</f>
        <v>880629</v>
      </c>
      <c r="Q146" s="20">
        <f>IFERROR(__xludf.DUMMYFUNCTION("""COMPUTED_VALUE"""),1312757.0)</f>
        <v>1312757</v>
      </c>
    </row>
    <row r="147">
      <c r="A147" s="20">
        <f>IFERROR(__xludf.DUMMYFUNCTION("""COMPUTED_VALUE"""),146.0)</f>
        <v>146</v>
      </c>
      <c r="B147" s="20" t="str">
        <f>IFERROR(__xludf.DUMMYFUNCTION("""COMPUTED_VALUE"""),"LRU Cache")</f>
        <v>LRU Cache</v>
      </c>
      <c r="C147" s="20" t="str">
        <f>IFERROR(__xludf.DUMMYFUNCTION("""COMPUTED_VALUE"""),"lru-cache")</f>
        <v>lru-cache</v>
      </c>
      <c r="D147" s="20" t="b">
        <f>IFERROR(__xludf.DUMMYFUNCTION("""COMPUTED_VALUE"""),FALSE)</f>
        <v>0</v>
      </c>
      <c r="E147" s="20" t="str">
        <f>IFERROR(__xludf.DUMMYFUNCTION("""COMPUTED_VALUE"""),"Medium")</f>
        <v>Medium</v>
      </c>
      <c r="F147" s="20">
        <f>IFERROR(__xludf.DUMMYFUNCTION("""COMPUTED_VALUE"""),16130.0)</f>
        <v>16130</v>
      </c>
      <c r="G147" s="20">
        <f>IFERROR(__xludf.DUMMYFUNCTION("""COMPUTED_VALUE"""),698.0)</f>
        <v>698</v>
      </c>
      <c r="H147" s="20" t="str">
        <f>IFERROR(__xludf.DUMMYFUNCTION("""COMPUTED_VALUE"""),"Algorithms")</f>
        <v>Algorithms</v>
      </c>
      <c r="I147" s="20">
        <f>IFERROR(__xludf.DUMMYFUNCTION("""COMPUTED_VALUE"""),0.405)</f>
        <v>0.405</v>
      </c>
      <c r="J147" s="20">
        <f>IFERROR(__xludf.DUMMYFUNCTION("""COMPUTED_VALUE"""),146.0)</f>
        <v>146</v>
      </c>
      <c r="K147" s="20" t="b">
        <f>IFERROR(__xludf.DUMMYFUNCTION("""COMPUTED_VALUE"""),FALSE)</f>
        <v>0</v>
      </c>
      <c r="L147" s="20" t="str">
        <f>IFERROR(__xludf.DUMMYFUNCTION("""COMPUTED_VALUE"""),"Hash Table;Linked List;Design;Doubly-Linked List;")</f>
        <v>Hash Table;Linked List;Design;Doubly-Linked List;</v>
      </c>
      <c r="M147" s="20" t="b">
        <f>IFERROR(__xludf.DUMMYFUNCTION("""COMPUTED_VALUE"""),TRUE)</f>
        <v>1</v>
      </c>
      <c r="N147" s="20" t="b">
        <f>IFERROR(__xludf.DUMMYFUNCTION("""COMPUTED_VALUE"""),FALSE)</f>
        <v>0</v>
      </c>
      <c r="O147" s="20">
        <f>IFERROR(__xludf.DUMMYFUNCTION("""COMPUTED_VALUE"""),40.4939700147937)</f>
        <v>40.49397001</v>
      </c>
      <c r="P147" s="20">
        <f>IFERROR(__xludf.DUMMYFUNCTION("""COMPUTED_VALUE"""),1240235.0)</f>
        <v>1240235</v>
      </c>
      <c r="Q147" s="20">
        <f>IFERROR(__xludf.DUMMYFUNCTION("""COMPUTED_VALUE"""),3062761.0)</f>
        <v>3062761</v>
      </c>
    </row>
    <row r="148">
      <c r="A148" s="20">
        <f>IFERROR(__xludf.DUMMYFUNCTION("""COMPUTED_VALUE"""),147.0)</f>
        <v>147</v>
      </c>
      <c r="B148" s="20" t="str">
        <f>IFERROR(__xludf.DUMMYFUNCTION("""COMPUTED_VALUE"""),"Insertion Sort List")</f>
        <v>Insertion Sort List</v>
      </c>
      <c r="C148" s="20" t="str">
        <f>IFERROR(__xludf.DUMMYFUNCTION("""COMPUTED_VALUE"""),"insertion-sort-list")</f>
        <v>insertion-sort-list</v>
      </c>
      <c r="D148" s="20" t="b">
        <f>IFERROR(__xludf.DUMMYFUNCTION("""COMPUTED_VALUE"""),FALSE)</f>
        <v>0</v>
      </c>
      <c r="E148" s="20" t="str">
        <f>IFERROR(__xludf.DUMMYFUNCTION("""COMPUTED_VALUE"""),"Medium")</f>
        <v>Medium</v>
      </c>
      <c r="F148" s="20">
        <f>IFERROR(__xludf.DUMMYFUNCTION("""COMPUTED_VALUE"""),2444.0)</f>
        <v>2444</v>
      </c>
      <c r="G148" s="20">
        <f>IFERROR(__xludf.DUMMYFUNCTION("""COMPUTED_VALUE"""),823.0)</f>
        <v>823</v>
      </c>
      <c r="H148" s="20" t="str">
        <f>IFERROR(__xludf.DUMMYFUNCTION("""COMPUTED_VALUE"""),"Algorithms")</f>
        <v>Algorithms</v>
      </c>
      <c r="I148" s="20">
        <f>IFERROR(__xludf.DUMMYFUNCTION("""COMPUTED_VALUE"""),0.505)</f>
        <v>0.505</v>
      </c>
      <c r="J148" s="20">
        <f>IFERROR(__xludf.DUMMYFUNCTION("""COMPUTED_VALUE"""),147.0)</f>
        <v>147</v>
      </c>
      <c r="K148" s="20" t="b">
        <f>IFERROR(__xludf.DUMMYFUNCTION("""COMPUTED_VALUE"""),FALSE)</f>
        <v>0</v>
      </c>
      <c r="L148" s="20" t="str">
        <f>IFERROR(__xludf.DUMMYFUNCTION("""COMPUTED_VALUE"""),"Linked List;Sorting;")</f>
        <v>Linked List;Sorting;</v>
      </c>
      <c r="M148" s="20" t="b">
        <f>IFERROR(__xludf.DUMMYFUNCTION("""COMPUTED_VALUE"""),TRUE)</f>
        <v>1</v>
      </c>
      <c r="N148" s="20" t="b">
        <f>IFERROR(__xludf.DUMMYFUNCTION("""COMPUTED_VALUE"""),TRUE)</f>
        <v>1</v>
      </c>
      <c r="O148" s="20">
        <f>IFERROR(__xludf.DUMMYFUNCTION("""COMPUTED_VALUE"""),50.4672714698344)</f>
        <v>50.46727147</v>
      </c>
      <c r="P148" s="20">
        <f>IFERROR(__xludf.DUMMYFUNCTION("""COMPUTED_VALUE"""),310133.0)</f>
        <v>310133</v>
      </c>
      <c r="Q148" s="20">
        <f>IFERROR(__xludf.DUMMYFUNCTION("""COMPUTED_VALUE"""),614524.0)</f>
        <v>614524</v>
      </c>
    </row>
    <row r="149">
      <c r="A149" s="20">
        <f>IFERROR(__xludf.DUMMYFUNCTION("""COMPUTED_VALUE"""),148.0)</f>
        <v>148</v>
      </c>
      <c r="B149" s="20" t="str">
        <f>IFERROR(__xludf.DUMMYFUNCTION("""COMPUTED_VALUE"""),"Sort List")</f>
        <v>Sort List</v>
      </c>
      <c r="C149" s="20" t="str">
        <f>IFERROR(__xludf.DUMMYFUNCTION("""COMPUTED_VALUE"""),"sort-list")</f>
        <v>sort-list</v>
      </c>
      <c r="D149" s="20" t="b">
        <f>IFERROR(__xludf.DUMMYFUNCTION("""COMPUTED_VALUE"""),FALSE)</f>
        <v>0</v>
      </c>
      <c r="E149" s="20" t="str">
        <f>IFERROR(__xludf.DUMMYFUNCTION("""COMPUTED_VALUE"""),"Medium")</f>
        <v>Medium</v>
      </c>
      <c r="F149" s="20">
        <f>IFERROR(__xludf.DUMMYFUNCTION("""COMPUTED_VALUE"""),8918.0)</f>
        <v>8918</v>
      </c>
      <c r="G149" s="20">
        <f>IFERROR(__xludf.DUMMYFUNCTION("""COMPUTED_VALUE"""),273.0)</f>
        <v>273</v>
      </c>
      <c r="H149" s="20" t="str">
        <f>IFERROR(__xludf.DUMMYFUNCTION("""COMPUTED_VALUE"""),"Algorithms")</f>
        <v>Algorithms</v>
      </c>
      <c r="I149" s="20">
        <f>IFERROR(__xludf.DUMMYFUNCTION("""COMPUTED_VALUE"""),0.545)</f>
        <v>0.545</v>
      </c>
      <c r="J149" s="20">
        <f>IFERROR(__xludf.DUMMYFUNCTION("""COMPUTED_VALUE"""),148.0)</f>
        <v>148</v>
      </c>
      <c r="K149" s="20" t="b">
        <f>IFERROR(__xludf.DUMMYFUNCTION("""COMPUTED_VALUE"""),FALSE)</f>
        <v>0</v>
      </c>
      <c r="L149" s="20" t="str">
        <f>IFERROR(__xludf.DUMMYFUNCTION("""COMPUTED_VALUE"""),"Linked List;Two Pointers;Divide and Conquer;Sorting;Merge Sort;")</f>
        <v>Linked List;Two Pointers;Divide and Conquer;Sorting;Merge Sort;</v>
      </c>
      <c r="M149" s="20" t="b">
        <f>IFERROR(__xludf.DUMMYFUNCTION("""COMPUTED_VALUE"""),TRUE)</f>
        <v>1</v>
      </c>
      <c r="N149" s="20" t="b">
        <f>IFERROR(__xludf.DUMMYFUNCTION("""COMPUTED_VALUE"""),FALSE)</f>
        <v>0</v>
      </c>
      <c r="O149" s="20">
        <f>IFERROR(__xludf.DUMMYFUNCTION("""COMPUTED_VALUE"""),54.4954034539228)</f>
        <v>54.49540345</v>
      </c>
      <c r="P149" s="20">
        <f>IFERROR(__xludf.DUMMYFUNCTION("""COMPUTED_VALUE"""),585666.0)</f>
        <v>585666</v>
      </c>
      <c r="Q149" s="20">
        <f>IFERROR(__xludf.DUMMYFUNCTION("""COMPUTED_VALUE"""),1074711.0)</f>
        <v>1074711</v>
      </c>
    </row>
    <row r="150">
      <c r="A150" s="20">
        <f>IFERROR(__xludf.DUMMYFUNCTION("""COMPUTED_VALUE"""),149.0)</f>
        <v>149</v>
      </c>
      <c r="B150" s="20" t="str">
        <f>IFERROR(__xludf.DUMMYFUNCTION("""COMPUTED_VALUE"""),"Max Points on a Line")</f>
        <v>Max Points on a Line</v>
      </c>
      <c r="C150" s="20" t="str">
        <f>IFERROR(__xludf.DUMMYFUNCTION("""COMPUTED_VALUE"""),"max-points-on-a-line")</f>
        <v>max-points-on-a-line</v>
      </c>
      <c r="D150" s="20" t="b">
        <f>IFERROR(__xludf.DUMMYFUNCTION("""COMPUTED_VALUE"""),FALSE)</f>
        <v>0</v>
      </c>
      <c r="E150" s="20" t="str">
        <f>IFERROR(__xludf.DUMMYFUNCTION("""COMPUTED_VALUE"""),"Hard")</f>
        <v>Hard</v>
      </c>
      <c r="F150" s="20">
        <f>IFERROR(__xludf.DUMMYFUNCTION("""COMPUTED_VALUE"""),1717.0)</f>
        <v>1717</v>
      </c>
      <c r="G150" s="20">
        <f>IFERROR(__xludf.DUMMYFUNCTION("""COMPUTED_VALUE"""),257.0)</f>
        <v>257</v>
      </c>
      <c r="H150" s="20" t="str">
        <f>IFERROR(__xludf.DUMMYFUNCTION("""COMPUTED_VALUE"""),"Algorithms")</f>
        <v>Algorithms</v>
      </c>
      <c r="I150" s="20">
        <f>IFERROR(__xludf.DUMMYFUNCTION("""COMPUTED_VALUE"""),0.219)</f>
        <v>0.219</v>
      </c>
      <c r="J150" s="20">
        <f>IFERROR(__xludf.DUMMYFUNCTION("""COMPUTED_VALUE"""),149.0)</f>
        <v>149</v>
      </c>
      <c r="K150" s="20" t="b">
        <f>IFERROR(__xludf.DUMMYFUNCTION("""COMPUTED_VALUE"""),FALSE)</f>
        <v>0</v>
      </c>
      <c r="L150" s="20" t="str">
        <f>IFERROR(__xludf.DUMMYFUNCTION("""COMPUTED_VALUE"""),"Array;Hash Table;Math;Geometry;")</f>
        <v>Array;Hash Table;Math;Geometry;</v>
      </c>
      <c r="M150" s="20" t="b">
        <f>IFERROR(__xludf.DUMMYFUNCTION("""COMPUTED_VALUE"""),TRUE)</f>
        <v>1</v>
      </c>
      <c r="N150" s="20" t="b">
        <f>IFERROR(__xludf.DUMMYFUNCTION("""COMPUTED_VALUE"""),FALSE)</f>
        <v>0</v>
      </c>
      <c r="O150" s="20">
        <f>IFERROR(__xludf.DUMMYFUNCTION("""COMPUTED_VALUE"""),21.9387878995948)</f>
        <v>21.9387879</v>
      </c>
      <c r="P150" s="20">
        <f>IFERROR(__xludf.DUMMYFUNCTION("""COMPUTED_VALUE"""),262001.0)</f>
        <v>262001</v>
      </c>
      <c r="Q150" s="20">
        <f>IFERROR(__xludf.DUMMYFUNCTION("""COMPUTED_VALUE"""),1194238.0)</f>
        <v>1194238</v>
      </c>
    </row>
    <row r="151">
      <c r="A151" s="20">
        <f>IFERROR(__xludf.DUMMYFUNCTION("""COMPUTED_VALUE"""),150.0)</f>
        <v>150</v>
      </c>
      <c r="B151" s="20" t="str">
        <f>IFERROR(__xludf.DUMMYFUNCTION("""COMPUTED_VALUE"""),"Evaluate Reverse Polish Notation")</f>
        <v>Evaluate Reverse Polish Notation</v>
      </c>
      <c r="C151" s="20" t="str">
        <f>IFERROR(__xludf.DUMMYFUNCTION("""COMPUTED_VALUE"""),"evaluate-reverse-polish-notation")</f>
        <v>evaluate-reverse-polish-notation</v>
      </c>
      <c r="D151" s="20" t="b">
        <f>IFERROR(__xludf.DUMMYFUNCTION("""COMPUTED_VALUE"""),FALSE)</f>
        <v>0</v>
      </c>
      <c r="E151" s="20" t="str">
        <f>IFERROR(__xludf.DUMMYFUNCTION("""COMPUTED_VALUE"""),"Medium")</f>
        <v>Medium</v>
      </c>
      <c r="F151" s="20">
        <f>IFERROR(__xludf.DUMMYFUNCTION("""COMPUTED_VALUE"""),5242.0)</f>
        <v>5242</v>
      </c>
      <c r="G151" s="20">
        <f>IFERROR(__xludf.DUMMYFUNCTION("""COMPUTED_VALUE"""),834.0)</f>
        <v>834</v>
      </c>
      <c r="H151" s="20" t="str">
        <f>IFERROR(__xludf.DUMMYFUNCTION("""COMPUTED_VALUE"""),"Algorithms")</f>
        <v>Algorithms</v>
      </c>
      <c r="I151" s="20">
        <f>IFERROR(__xludf.DUMMYFUNCTION("""COMPUTED_VALUE"""),0.449)</f>
        <v>0.449</v>
      </c>
      <c r="J151" s="20">
        <f>IFERROR(__xludf.DUMMYFUNCTION("""COMPUTED_VALUE"""),150.0)</f>
        <v>150</v>
      </c>
      <c r="K151" s="20" t="b">
        <f>IFERROR(__xludf.DUMMYFUNCTION("""COMPUTED_VALUE"""),FALSE)</f>
        <v>0</v>
      </c>
      <c r="L151" s="20" t="str">
        <f>IFERROR(__xludf.DUMMYFUNCTION("""COMPUTED_VALUE"""),"Array;Math;Stack;")</f>
        <v>Array;Math;Stack;</v>
      </c>
      <c r="M151" s="20" t="b">
        <f>IFERROR(__xludf.DUMMYFUNCTION("""COMPUTED_VALUE"""),TRUE)</f>
        <v>1</v>
      </c>
      <c r="N151" s="20" t="b">
        <f>IFERROR(__xludf.DUMMYFUNCTION("""COMPUTED_VALUE"""),FALSE)</f>
        <v>0</v>
      </c>
      <c r="O151" s="20">
        <f>IFERROR(__xludf.DUMMYFUNCTION("""COMPUTED_VALUE"""),44.9272570626676)</f>
        <v>44.92725706</v>
      </c>
      <c r="P151" s="20">
        <f>IFERROR(__xludf.DUMMYFUNCTION("""COMPUTED_VALUE"""),597049.0)</f>
        <v>597049</v>
      </c>
      <c r="Q151" s="20">
        <f>IFERROR(__xludf.DUMMYFUNCTION("""COMPUTED_VALUE"""),1328949.0)</f>
        <v>1328949</v>
      </c>
    </row>
    <row r="152">
      <c r="A152" s="20">
        <f>IFERROR(__xludf.DUMMYFUNCTION("""COMPUTED_VALUE"""),151.0)</f>
        <v>151</v>
      </c>
      <c r="B152" s="20" t="str">
        <f>IFERROR(__xludf.DUMMYFUNCTION("""COMPUTED_VALUE"""),"Reverse Words in a String")</f>
        <v>Reverse Words in a String</v>
      </c>
      <c r="C152" s="20" t="str">
        <f>IFERROR(__xludf.DUMMYFUNCTION("""COMPUTED_VALUE"""),"reverse-words-in-a-string")</f>
        <v>reverse-words-in-a-string</v>
      </c>
      <c r="D152" s="20" t="b">
        <f>IFERROR(__xludf.DUMMYFUNCTION("""COMPUTED_VALUE"""),FALSE)</f>
        <v>0</v>
      </c>
      <c r="E152" s="20" t="str">
        <f>IFERROR(__xludf.DUMMYFUNCTION("""COMPUTED_VALUE"""),"Medium")</f>
        <v>Medium</v>
      </c>
      <c r="F152" s="20">
        <f>IFERROR(__xludf.DUMMYFUNCTION("""COMPUTED_VALUE"""),5254.0)</f>
        <v>5254</v>
      </c>
      <c r="G152" s="20">
        <f>IFERROR(__xludf.DUMMYFUNCTION("""COMPUTED_VALUE"""),4447.0)</f>
        <v>4447</v>
      </c>
      <c r="H152" s="20" t="str">
        <f>IFERROR(__xludf.DUMMYFUNCTION("""COMPUTED_VALUE"""),"Algorithms")</f>
        <v>Algorithms</v>
      </c>
      <c r="I152" s="20">
        <f>IFERROR(__xludf.DUMMYFUNCTION("""COMPUTED_VALUE"""),0.321)</f>
        <v>0.321</v>
      </c>
      <c r="J152" s="20">
        <f>IFERROR(__xludf.DUMMYFUNCTION("""COMPUTED_VALUE"""),151.0)</f>
        <v>151</v>
      </c>
      <c r="K152" s="20" t="b">
        <f>IFERROR(__xludf.DUMMYFUNCTION("""COMPUTED_VALUE"""),FALSE)</f>
        <v>0</v>
      </c>
      <c r="L152" s="20" t="str">
        <f>IFERROR(__xludf.DUMMYFUNCTION("""COMPUTED_VALUE"""),"Two Pointers;String;")</f>
        <v>Two Pointers;String;</v>
      </c>
      <c r="M152" s="20" t="b">
        <f>IFERROR(__xludf.DUMMYFUNCTION("""COMPUTED_VALUE"""),TRUE)</f>
        <v>1</v>
      </c>
      <c r="N152" s="20" t="b">
        <f>IFERROR(__xludf.DUMMYFUNCTION("""COMPUTED_VALUE"""),FALSE)</f>
        <v>0</v>
      </c>
      <c r="O152" s="20">
        <f>IFERROR(__xludf.DUMMYFUNCTION("""COMPUTED_VALUE"""),32.0813581207768)</f>
        <v>32.08135812</v>
      </c>
      <c r="P152" s="20">
        <f>IFERROR(__xludf.DUMMYFUNCTION("""COMPUTED_VALUE"""),870561.0)</f>
        <v>870561</v>
      </c>
      <c r="Q152" s="20">
        <f>IFERROR(__xludf.DUMMYFUNCTION("""COMPUTED_VALUE"""),2713617.0)</f>
        <v>2713617</v>
      </c>
    </row>
    <row r="153">
      <c r="A153" s="20">
        <f>IFERROR(__xludf.DUMMYFUNCTION("""COMPUTED_VALUE"""),152.0)</f>
        <v>152</v>
      </c>
      <c r="B153" s="20" t="str">
        <f>IFERROR(__xludf.DUMMYFUNCTION("""COMPUTED_VALUE"""),"Maximum Product Subarray")</f>
        <v>Maximum Product Subarray</v>
      </c>
      <c r="C153" s="20" t="str">
        <f>IFERROR(__xludf.DUMMYFUNCTION("""COMPUTED_VALUE"""),"maximum-product-subarray")</f>
        <v>maximum-product-subarray</v>
      </c>
      <c r="D153" s="20" t="b">
        <f>IFERROR(__xludf.DUMMYFUNCTION("""COMPUTED_VALUE"""),FALSE)</f>
        <v>0</v>
      </c>
      <c r="E153" s="20" t="str">
        <f>IFERROR(__xludf.DUMMYFUNCTION("""COMPUTED_VALUE"""),"Medium")</f>
        <v>Medium</v>
      </c>
      <c r="F153" s="20">
        <f>IFERROR(__xludf.DUMMYFUNCTION("""COMPUTED_VALUE"""),14713.0)</f>
        <v>14713</v>
      </c>
      <c r="G153" s="20">
        <f>IFERROR(__xludf.DUMMYFUNCTION("""COMPUTED_VALUE"""),438.0)</f>
        <v>438</v>
      </c>
      <c r="H153" s="20" t="str">
        <f>IFERROR(__xludf.DUMMYFUNCTION("""COMPUTED_VALUE"""),"Algorithms")</f>
        <v>Algorithms</v>
      </c>
      <c r="I153" s="20">
        <f>IFERROR(__xludf.DUMMYFUNCTION("""COMPUTED_VALUE"""),0.349)</f>
        <v>0.349</v>
      </c>
      <c r="J153" s="20">
        <f>IFERROR(__xludf.DUMMYFUNCTION("""COMPUTED_VALUE"""),152.0)</f>
        <v>152</v>
      </c>
      <c r="K153" s="20" t="b">
        <f>IFERROR(__xludf.DUMMYFUNCTION("""COMPUTED_VALUE"""),FALSE)</f>
        <v>0</v>
      </c>
      <c r="L153" s="20" t="str">
        <f>IFERROR(__xludf.DUMMYFUNCTION("""COMPUTED_VALUE"""),"Array;Dynamic Programming;")</f>
        <v>Array;Dynamic Programming;</v>
      </c>
      <c r="M153" s="20" t="b">
        <f>IFERROR(__xludf.DUMMYFUNCTION("""COMPUTED_VALUE"""),TRUE)</f>
        <v>1</v>
      </c>
      <c r="N153" s="20" t="b">
        <f>IFERROR(__xludf.DUMMYFUNCTION("""COMPUTED_VALUE"""),FALSE)</f>
        <v>0</v>
      </c>
      <c r="O153" s="20">
        <f>IFERROR(__xludf.DUMMYFUNCTION("""COMPUTED_VALUE"""),34.9092983809486)</f>
        <v>34.90929838</v>
      </c>
      <c r="P153" s="20">
        <f>IFERROR(__xludf.DUMMYFUNCTION("""COMPUTED_VALUE"""),926340.0)</f>
        <v>926340</v>
      </c>
      <c r="Q153" s="20">
        <f>IFERROR(__xludf.DUMMYFUNCTION("""COMPUTED_VALUE"""),2653538.0)</f>
        <v>2653538</v>
      </c>
    </row>
    <row r="154">
      <c r="A154" s="20">
        <f>IFERROR(__xludf.DUMMYFUNCTION("""COMPUTED_VALUE"""),153.0)</f>
        <v>153</v>
      </c>
      <c r="B154" s="20" t="str">
        <f>IFERROR(__xludf.DUMMYFUNCTION("""COMPUTED_VALUE"""),"Find Minimum in Rotated Sorted Array")</f>
        <v>Find Minimum in Rotated Sorted Array</v>
      </c>
      <c r="C154" s="20" t="str">
        <f>IFERROR(__xludf.DUMMYFUNCTION("""COMPUTED_VALUE"""),"find-minimum-in-rotated-sorted-array")</f>
        <v>find-minimum-in-rotated-sorted-array</v>
      </c>
      <c r="D154" s="20" t="b">
        <f>IFERROR(__xludf.DUMMYFUNCTION("""COMPUTED_VALUE"""),FALSE)</f>
        <v>0</v>
      </c>
      <c r="E154" s="20" t="str">
        <f>IFERROR(__xludf.DUMMYFUNCTION("""COMPUTED_VALUE"""),"Medium")</f>
        <v>Medium</v>
      </c>
      <c r="F154" s="20">
        <f>IFERROR(__xludf.DUMMYFUNCTION("""COMPUTED_VALUE"""),9329.0)</f>
        <v>9329</v>
      </c>
      <c r="G154" s="20">
        <f>IFERROR(__xludf.DUMMYFUNCTION("""COMPUTED_VALUE"""),448.0)</f>
        <v>448</v>
      </c>
      <c r="H154" s="20" t="str">
        <f>IFERROR(__xludf.DUMMYFUNCTION("""COMPUTED_VALUE"""),"Algorithms")</f>
        <v>Algorithms</v>
      </c>
      <c r="I154" s="20">
        <f>IFERROR(__xludf.DUMMYFUNCTION("""COMPUTED_VALUE"""),0.486)</f>
        <v>0.486</v>
      </c>
      <c r="J154" s="20">
        <f>IFERROR(__xludf.DUMMYFUNCTION("""COMPUTED_VALUE"""),153.0)</f>
        <v>153</v>
      </c>
      <c r="K154" s="20" t="b">
        <f>IFERROR(__xludf.DUMMYFUNCTION("""COMPUTED_VALUE"""),FALSE)</f>
        <v>0</v>
      </c>
      <c r="L154" s="20" t="str">
        <f>IFERROR(__xludf.DUMMYFUNCTION("""COMPUTED_VALUE"""),"Array;Binary Search;")</f>
        <v>Array;Binary Search;</v>
      </c>
      <c r="M154" s="20" t="b">
        <f>IFERROR(__xludf.DUMMYFUNCTION("""COMPUTED_VALUE"""),TRUE)</f>
        <v>1</v>
      </c>
      <c r="N154" s="20" t="b">
        <f>IFERROR(__xludf.DUMMYFUNCTION("""COMPUTED_VALUE"""),FALSE)</f>
        <v>0</v>
      </c>
      <c r="O154" s="20">
        <f>IFERROR(__xludf.DUMMYFUNCTION("""COMPUTED_VALUE"""),48.6329326828703)</f>
        <v>48.63293268</v>
      </c>
      <c r="P154" s="20">
        <f>IFERROR(__xludf.DUMMYFUNCTION("""COMPUTED_VALUE"""),1176815.0)</f>
        <v>1176815</v>
      </c>
      <c r="Q154" s="20">
        <f>IFERROR(__xludf.DUMMYFUNCTION("""COMPUTED_VALUE"""),2419800.0)</f>
        <v>2419800</v>
      </c>
    </row>
    <row r="155">
      <c r="A155" s="20">
        <f>IFERROR(__xludf.DUMMYFUNCTION("""COMPUTED_VALUE"""),154.0)</f>
        <v>154</v>
      </c>
      <c r="B155" s="20" t="str">
        <f>IFERROR(__xludf.DUMMYFUNCTION("""COMPUTED_VALUE"""),"Find Minimum in Rotated Sorted Array II")</f>
        <v>Find Minimum in Rotated Sorted Array II</v>
      </c>
      <c r="C155" s="20" t="str">
        <f>IFERROR(__xludf.DUMMYFUNCTION("""COMPUTED_VALUE"""),"find-minimum-in-rotated-sorted-array-ii")</f>
        <v>find-minimum-in-rotated-sorted-array-ii</v>
      </c>
      <c r="D155" s="20" t="b">
        <f>IFERROR(__xludf.DUMMYFUNCTION("""COMPUTED_VALUE"""),FALSE)</f>
        <v>0</v>
      </c>
      <c r="E155" s="20" t="str">
        <f>IFERROR(__xludf.DUMMYFUNCTION("""COMPUTED_VALUE"""),"Hard")</f>
        <v>Hard</v>
      </c>
      <c r="F155" s="20">
        <f>IFERROR(__xludf.DUMMYFUNCTION("""COMPUTED_VALUE"""),3649.0)</f>
        <v>3649</v>
      </c>
      <c r="G155" s="20">
        <f>IFERROR(__xludf.DUMMYFUNCTION("""COMPUTED_VALUE"""),407.0)</f>
        <v>407</v>
      </c>
      <c r="H155" s="20" t="str">
        <f>IFERROR(__xludf.DUMMYFUNCTION("""COMPUTED_VALUE"""),"Algorithms")</f>
        <v>Algorithms</v>
      </c>
      <c r="I155" s="20">
        <f>IFERROR(__xludf.DUMMYFUNCTION("""COMPUTED_VALUE"""),0.435)</f>
        <v>0.435</v>
      </c>
      <c r="J155" s="20">
        <f>IFERROR(__xludf.DUMMYFUNCTION("""COMPUTED_VALUE"""),154.0)</f>
        <v>154</v>
      </c>
      <c r="K155" s="20" t="b">
        <f>IFERROR(__xludf.DUMMYFUNCTION("""COMPUTED_VALUE"""),FALSE)</f>
        <v>0</v>
      </c>
      <c r="L155" s="20" t="str">
        <f>IFERROR(__xludf.DUMMYFUNCTION("""COMPUTED_VALUE"""),"Array;Binary Search;")</f>
        <v>Array;Binary Search;</v>
      </c>
      <c r="M155" s="20" t="b">
        <f>IFERROR(__xludf.DUMMYFUNCTION("""COMPUTED_VALUE"""),TRUE)</f>
        <v>1</v>
      </c>
      <c r="N155" s="20" t="b">
        <f>IFERROR(__xludf.DUMMYFUNCTION("""COMPUTED_VALUE"""),FALSE)</f>
        <v>0</v>
      </c>
      <c r="O155" s="20">
        <f>IFERROR(__xludf.DUMMYFUNCTION("""COMPUTED_VALUE"""),43.4569489052478)</f>
        <v>43.45694891</v>
      </c>
      <c r="P155" s="20">
        <f>IFERROR(__xludf.DUMMYFUNCTION("""COMPUTED_VALUE"""),366945.0)</f>
        <v>366945</v>
      </c>
      <c r="Q155" s="20">
        <f>IFERROR(__xludf.DUMMYFUNCTION("""COMPUTED_VALUE"""),844388.0)</f>
        <v>844388</v>
      </c>
    </row>
    <row r="156">
      <c r="A156" s="20">
        <f>IFERROR(__xludf.DUMMYFUNCTION("""COMPUTED_VALUE"""),155.0)</f>
        <v>155</v>
      </c>
      <c r="B156" s="20" t="str">
        <f>IFERROR(__xludf.DUMMYFUNCTION("""COMPUTED_VALUE"""),"Min Stack")</f>
        <v>Min Stack</v>
      </c>
      <c r="C156" s="20" t="str">
        <f>IFERROR(__xludf.DUMMYFUNCTION("""COMPUTED_VALUE"""),"min-stack")</f>
        <v>min-stack</v>
      </c>
      <c r="D156" s="20" t="b">
        <f>IFERROR(__xludf.DUMMYFUNCTION("""COMPUTED_VALUE"""),FALSE)</f>
        <v>0</v>
      </c>
      <c r="E156" s="20" t="str">
        <f>IFERROR(__xludf.DUMMYFUNCTION("""COMPUTED_VALUE"""),"Medium")</f>
        <v>Medium</v>
      </c>
      <c r="F156" s="20">
        <f>IFERROR(__xludf.DUMMYFUNCTION("""COMPUTED_VALUE"""),10467.0)</f>
        <v>10467</v>
      </c>
      <c r="G156" s="20">
        <f>IFERROR(__xludf.DUMMYFUNCTION("""COMPUTED_VALUE"""),695.0)</f>
        <v>695</v>
      </c>
      <c r="H156" s="20" t="str">
        <f>IFERROR(__xludf.DUMMYFUNCTION("""COMPUTED_VALUE"""),"Algorithms")</f>
        <v>Algorithms</v>
      </c>
      <c r="I156" s="20">
        <f>IFERROR(__xludf.DUMMYFUNCTION("""COMPUTED_VALUE"""),0.52)</f>
        <v>0.52</v>
      </c>
      <c r="J156" s="20">
        <f>IFERROR(__xludf.DUMMYFUNCTION("""COMPUTED_VALUE"""),155.0)</f>
        <v>155</v>
      </c>
      <c r="K156" s="20" t="b">
        <f>IFERROR(__xludf.DUMMYFUNCTION("""COMPUTED_VALUE"""),FALSE)</f>
        <v>0</v>
      </c>
      <c r="L156" s="20" t="str">
        <f>IFERROR(__xludf.DUMMYFUNCTION("""COMPUTED_VALUE"""),"Stack;Design;")</f>
        <v>Stack;Design;</v>
      </c>
      <c r="M156" s="20" t="b">
        <f>IFERROR(__xludf.DUMMYFUNCTION("""COMPUTED_VALUE"""),TRUE)</f>
        <v>1</v>
      </c>
      <c r="N156" s="20" t="b">
        <f>IFERROR(__xludf.DUMMYFUNCTION("""COMPUTED_VALUE"""),FALSE)</f>
        <v>0</v>
      </c>
      <c r="O156" s="20">
        <f>IFERROR(__xludf.DUMMYFUNCTION("""COMPUTED_VALUE"""),52.0198388129638)</f>
        <v>52.01983881</v>
      </c>
      <c r="P156" s="20">
        <f>IFERROR(__xludf.DUMMYFUNCTION("""COMPUTED_VALUE"""),1175441.0)</f>
        <v>1175441</v>
      </c>
      <c r="Q156" s="20">
        <f>IFERROR(__xludf.DUMMYFUNCTION("""COMPUTED_VALUE"""),2259596.0)</f>
        <v>2259596</v>
      </c>
    </row>
    <row r="157">
      <c r="A157" s="20">
        <f>IFERROR(__xludf.DUMMYFUNCTION("""COMPUTED_VALUE"""),156.0)</f>
        <v>156</v>
      </c>
      <c r="B157" s="20" t="str">
        <f>IFERROR(__xludf.DUMMYFUNCTION("""COMPUTED_VALUE"""),"Binary Tree Upside Down")</f>
        <v>Binary Tree Upside Down</v>
      </c>
      <c r="C157" s="20" t="str">
        <f>IFERROR(__xludf.DUMMYFUNCTION("""COMPUTED_VALUE"""),"binary-tree-upside-down")</f>
        <v>binary-tree-upside-down</v>
      </c>
      <c r="D157" s="20" t="b">
        <f>IFERROR(__xludf.DUMMYFUNCTION("""COMPUTED_VALUE"""),TRUE)</f>
        <v>1</v>
      </c>
      <c r="E157" s="20" t="str">
        <f>IFERROR(__xludf.DUMMYFUNCTION("""COMPUTED_VALUE"""),"Medium")</f>
        <v>Medium</v>
      </c>
      <c r="F157" s="20">
        <f>IFERROR(__xludf.DUMMYFUNCTION("""COMPUTED_VALUE"""),203.0)</f>
        <v>203</v>
      </c>
      <c r="G157" s="20">
        <f>IFERROR(__xludf.DUMMYFUNCTION("""COMPUTED_VALUE"""),294.0)</f>
        <v>294</v>
      </c>
      <c r="H157" s="20" t="str">
        <f>IFERROR(__xludf.DUMMYFUNCTION("""COMPUTED_VALUE"""),"Algorithms")</f>
        <v>Algorithms</v>
      </c>
      <c r="I157" s="20">
        <f>IFERROR(__xludf.DUMMYFUNCTION("""COMPUTED_VALUE"""),0.617)</f>
        <v>0.617</v>
      </c>
      <c r="J157" s="20">
        <f>IFERROR(__xludf.DUMMYFUNCTION("""COMPUTED_VALUE"""),156.0)</f>
        <v>156</v>
      </c>
      <c r="K157" s="20" t="b">
        <f>IFERROR(__xludf.DUMMYFUNCTION("""COMPUTED_VALUE"""),TRUE)</f>
        <v>1</v>
      </c>
      <c r="L157" s="20" t="str">
        <f>IFERROR(__xludf.DUMMYFUNCTION("""COMPUTED_VALUE"""),"Tree;Depth-First Search;Binary Tree;")</f>
        <v>Tree;Depth-First Search;Binary Tree;</v>
      </c>
      <c r="M157" s="20" t="b">
        <f>IFERROR(__xludf.DUMMYFUNCTION("""COMPUTED_VALUE"""),FALSE)</f>
        <v>0</v>
      </c>
      <c r="N157" s="20" t="b">
        <f>IFERROR(__xludf.DUMMYFUNCTION("""COMPUTED_VALUE"""),FALSE)</f>
        <v>0</v>
      </c>
      <c r="O157" s="20">
        <f>IFERROR(__xludf.DUMMYFUNCTION("""COMPUTED_VALUE"""),61.7308589497693)</f>
        <v>61.73085895</v>
      </c>
      <c r="P157" s="20">
        <f>IFERROR(__xludf.DUMMYFUNCTION("""COMPUTED_VALUE"""),95268.0)</f>
        <v>95268</v>
      </c>
      <c r="Q157" s="20">
        <f>IFERROR(__xludf.DUMMYFUNCTION("""COMPUTED_VALUE"""),154328.0)</f>
        <v>154328</v>
      </c>
    </row>
    <row r="158">
      <c r="A158" s="20">
        <f>IFERROR(__xludf.DUMMYFUNCTION("""COMPUTED_VALUE"""),157.0)</f>
        <v>157</v>
      </c>
      <c r="B158" s="20" t="str">
        <f>IFERROR(__xludf.DUMMYFUNCTION("""COMPUTED_VALUE"""),"Read N Characters Given Read4")</f>
        <v>Read N Characters Given Read4</v>
      </c>
      <c r="C158" s="20" t="str">
        <f>IFERROR(__xludf.DUMMYFUNCTION("""COMPUTED_VALUE"""),"read-n-characters-given-read4")</f>
        <v>read-n-characters-given-read4</v>
      </c>
      <c r="D158" s="20" t="b">
        <f>IFERROR(__xludf.DUMMYFUNCTION("""COMPUTED_VALUE"""),TRUE)</f>
        <v>1</v>
      </c>
      <c r="E158" s="20" t="str">
        <f>IFERROR(__xludf.DUMMYFUNCTION("""COMPUTED_VALUE"""),"Easy")</f>
        <v>Easy</v>
      </c>
      <c r="F158" s="20">
        <f>IFERROR(__xludf.DUMMYFUNCTION("""COMPUTED_VALUE"""),528.0)</f>
        <v>528</v>
      </c>
      <c r="G158" s="20">
        <f>IFERROR(__xludf.DUMMYFUNCTION("""COMPUTED_VALUE"""),3230.0)</f>
        <v>3230</v>
      </c>
      <c r="H158" s="20" t="str">
        <f>IFERROR(__xludf.DUMMYFUNCTION("""COMPUTED_VALUE"""),"Algorithms")</f>
        <v>Algorithms</v>
      </c>
      <c r="I158" s="20">
        <f>IFERROR(__xludf.DUMMYFUNCTION("""COMPUTED_VALUE"""),0.408)</f>
        <v>0.408</v>
      </c>
      <c r="J158" s="20">
        <f>IFERROR(__xludf.DUMMYFUNCTION("""COMPUTED_VALUE"""),157.0)</f>
        <v>157</v>
      </c>
      <c r="K158" s="20" t="b">
        <f>IFERROR(__xludf.DUMMYFUNCTION("""COMPUTED_VALUE"""),TRUE)</f>
        <v>1</v>
      </c>
      <c r="L158" s="20" t="str">
        <f>IFERROR(__xludf.DUMMYFUNCTION("""COMPUTED_VALUE"""),"String;Simulation;Interactive;")</f>
        <v>String;Simulation;Interactive;</v>
      </c>
      <c r="M158" s="20" t="b">
        <f>IFERROR(__xludf.DUMMYFUNCTION("""COMPUTED_VALUE"""),TRUE)</f>
        <v>1</v>
      </c>
      <c r="N158" s="20" t="b">
        <f>IFERROR(__xludf.DUMMYFUNCTION("""COMPUTED_VALUE"""),FALSE)</f>
        <v>0</v>
      </c>
      <c r="O158" s="20">
        <f>IFERROR(__xludf.DUMMYFUNCTION("""COMPUTED_VALUE"""),40.8335609630688)</f>
        <v>40.83356096</v>
      </c>
      <c r="P158" s="20">
        <f>IFERROR(__xludf.DUMMYFUNCTION("""COMPUTED_VALUE"""),177891.0)</f>
        <v>177891</v>
      </c>
      <c r="Q158" s="20">
        <f>IFERROR(__xludf.DUMMYFUNCTION("""COMPUTED_VALUE"""),435649.0)</f>
        <v>435649</v>
      </c>
    </row>
    <row r="159">
      <c r="A159" s="20">
        <f>IFERROR(__xludf.DUMMYFUNCTION("""COMPUTED_VALUE"""),158.0)</f>
        <v>158</v>
      </c>
      <c r="B159" s="20" t="str">
        <f>IFERROR(__xludf.DUMMYFUNCTION("""COMPUTED_VALUE"""),"Read N Characters Given read4 II - Call Multiple Times")</f>
        <v>Read N Characters Given read4 II - Call Multiple Times</v>
      </c>
      <c r="C159" s="20" t="str">
        <f>IFERROR(__xludf.DUMMYFUNCTION("""COMPUTED_VALUE"""),"read-n-characters-given-read4-ii-call-multiple-times")</f>
        <v>read-n-characters-given-read4-ii-call-multiple-times</v>
      </c>
      <c r="D159" s="20" t="b">
        <f>IFERROR(__xludf.DUMMYFUNCTION("""COMPUTED_VALUE"""),TRUE)</f>
        <v>1</v>
      </c>
      <c r="E159" s="20" t="str">
        <f>IFERROR(__xludf.DUMMYFUNCTION("""COMPUTED_VALUE"""),"Hard")</f>
        <v>Hard</v>
      </c>
      <c r="F159" s="20">
        <f>IFERROR(__xludf.DUMMYFUNCTION("""COMPUTED_VALUE"""),831.0)</f>
        <v>831</v>
      </c>
      <c r="G159" s="20">
        <f>IFERROR(__xludf.DUMMYFUNCTION("""COMPUTED_VALUE"""),1734.0)</f>
        <v>1734</v>
      </c>
      <c r="H159" s="20" t="str">
        <f>IFERROR(__xludf.DUMMYFUNCTION("""COMPUTED_VALUE"""),"Algorithms")</f>
        <v>Algorithms</v>
      </c>
      <c r="I159" s="20">
        <f>IFERROR(__xludf.DUMMYFUNCTION("""COMPUTED_VALUE"""),0.415)</f>
        <v>0.415</v>
      </c>
      <c r="J159" s="20">
        <f>IFERROR(__xludf.DUMMYFUNCTION("""COMPUTED_VALUE"""),158.0)</f>
        <v>158</v>
      </c>
      <c r="K159" s="20" t="b">
        <f>IFERROR(__xludf.DUMMYFUNCTION("""COMPUTED_VALUE"""),TRUE)</f>
        <v>1</v>
      </c>
      <c r="L159" s="20" t="str">
        <f>IFERROR(__xludf.DUMMYFUNCTION("""COMPUTED_VALUE"""),"String;Simulation;Interactive;")</f>
        <v>String;Simulation;Interactive;</v>
      </c>
      <c r="M159" s="20" t="b">
        <f>IFERROR(__xludf.DUMMYFUNCTION("""COMPUTED_VALUE"""),FALSE)</f>
        <v>0</v>
      </c>
      <c r="N159" s="20" t="b">
        <f>IFERROR(__xludf.DUMMYFUNCTION("""COMPUTED_VALUE"""),FALSE)</f>
        <v>0</v>
      </c>
      <c r="O159" s="20">
        <f>IFERROR(__xludf.DUMMYFUNCTION("""COMPUTED_VALUE"""),41.4930924929418)</f>
        <v>41.49309249</v>
      </c>
      <c r="P159" s="20">
        <f>IFERROR(__xludf.DUMMYFUNCTION("""COMPUTED_VALUE"""),173571.0)</f>
        <v>173571</v>
      </c>
      <c r="Q159" s="20">
        <f>IFERROR(__xludf.DUMMYFUNCTION("""COMPUTED_VALUE"""),418313.0)</f>
        <v>418313</v>
      </c>
    </row>
    <row r="160">
      <c r="A160" s="20">
        <f>IFERROR(__xludf.DUMMYFUNCTION("""COMPUTED_VALUE"""),159.0)</f>
        <v>159</v>
      </c>
      <c r="B160" s="20" t="str">
        <f>IFERROR(__xludf.DUMMYFUNCTION("""COMPUTED_VALUE"""),"Longest Substring with At Most Two Distinct Characters")</f>
        <v>Longest Substring with At Most Two Distinct Characters</v>
      </c>
      <c r="C160" s="20" t="str">
        <f>IFERROR(__xludf.DUMMYFUNCTION("""COMPUTED_VALUE"""),"longest-substring-with-at-most-two-distinct-characters")</f>
        <v>longest-substring-with-at-most-two-distinct-characters</v>
      </c>
      <c r="D160" s="20" t="b">
        <f>IFERROR(__xludf.DUMMYFUNCTION("""COMPUTED_VALUE"""),TRUE)</f>
        <v>1</v>
      </c>
      <c r="E160" s="20" t="str">
        <f>IFERROR(__xludf.DUMMYFUNCTION("""COMPUTED_VALUE"""),"Medium")</f>
        <v>Medium</v>
      </c>
      <c r="F160" s="20">
        <f>IFERROR(__xludf.DUMMYFUNCTION("""COMPUTED_VALUE"""),1985.0)</f>
        <v>1985</v>
      </c>
      <c r="G160" s="20">
        <f>IFERROR(__xludf.DUMMYFUNCTION("""COMPUTED_VALUE"""),31.0)</f>
        <v>31</v>
      </c>
      <c r="H160" s="20" t="str">
        <f>IFERROR(__xludf.DUMMYFUNCTION("""COMPUTED_VALUE"""),"Algorithms")</f>
        <v>Algorithms</v>
      </c>
      <c r="I160" s="20">
        <f>IFERROR(__xludf.DUMMYFUNCTION("""COMPUTED_VALUE"""),0.536)</f>
        <v>0.536</v>
      </c>
      <c r="J160" s="20">
        <f>IFERROR(__xludf.DUMMYFUNCTION("""COMPUTED_VALUE"""),159.0)</f>
        <v>159</v>
      </c>
      <c r="K160" s="20" t="b">
        <f>IFERROR(__xludf.DUMMYFUNCTION("""COMPUTED_VALUE"""),TRUE)</f>
        <v>1</v>
      </c>
      <c r="L160" s="20" t="str">
        <f>IFERROR(__xludf.DUMMYFUNCTION("""COMPUTED_VALUE"""),"Hash Table;String;Sliding Window;")</f>
        <v>Hash Table;String;Sliding Window;</v>
      </c>
      <c r="M160" s="20" t="b">
        <f>IFERROR(__xludf.DUMMYFUNCTION("""COMPUTED_VALUE"""),TRUE)</f>
        <v>1</v>
      </c>
      <c r="N160" s="20" t="b">
        <f>IFERROR(__xludf.DUMMYFUNCTION("""COMPUTED_VALUE"""),TRUE)</f>
        <v>1</v>
      </c>
      <c r="O160" s="20">
        <f>IFERROR(__xludf.DUMMYFUNCTION("""COMPUTED_VALUE"""),53.6161336880304)</f>
        <v>53.61613369</v>
      </c>
      <c r="P160" s="20">
        <f>IFERROR(__xludf.DUMMYFUNCTION("""COMPUTED_VALUE"""),220291.0)</f>
        <v>220291</v>
      </c>
      <c r="Q160" s="20">
        <f>IFERROR(__xludf.DUMMYFUNCTION("""COMPUTED_VALUE"""),410867.0)</f>
        <v>410867</v>
      </c>
    </row>
    <row r="161">
      <c r="A161" s="20">
        <f>IFERROR(__xludf.DUMMYFUNCTION("""COMPUTED_VALUE"""),160.0)</f>
        <v>160</v>
      </c>
      <c r="B161" s="20" t="str">
        <f>IFERROR(__xludf.DUMMYFUNCTION("""COMPUTED_VALUE"""),"Intersection of Two Linked Lists")</f>
        <v>Intersection of Two Linked Lists</v>
      </c>
      <c r="C161" s="20" t="str">
        <f>IFERROR(__xludf.DUMMYFUNCTION("""COMPUTED_VALUE"""),"intersection-of-two-linked-lists")</f>
        <v>intersection-of-two-linked-lists</v>
      </c>
      <c r="D161" s="20" t="b">
        <f>IFERROR(__xludf.DUMMYFUNCTION("""COMPUTED_VALUE"""),FALSE)</f>
        <v>0</v>
      </c>
      <c r="E161" s="20" t="str">
        <f>IFERROR(__xludf.DUMMYFUNCTION("""COMPUTED_VALUE"""),"Easy")</f>
        <v>Easy</v>
      </c>
      <c r="F161" s="20">
        <f>IFERROR(__xludf.DUMMYFUNCTION("""COMPUTED_VALUE"""),11967.0)</f>
        <v>11967</v>
      </c>
      <c r="G161" s="20">
        <f>IFERROR(__xludf.DUMMYFUNCTION("""COMPUTED_VALUE"""),1081.0)</f>
        <v>1081</v>
      </c>
      <c r="H161" s="20" t="str">
        <f>IFERROR(__xludf.DUMMYFUNCTION("""COMPUTED_VALUE"""),"Algorithms")</f>
        <v>Algorithms</v>
      </c>
      <c r="I161" s="20">
        <f>IFERROR(__xludf.DUMMYFUNCTION("""COMPUTED_VALUE"""),0.536)</f>
        <v>0.536</v>
      </c>
      <c r="J161" s="20">
        <f>IFERROR(__xludf.DUMMYFUNCTION("""COMPUTED_VALUE"""),160.0)</f>
        <v>160</v>
      </c>
      <c r="K161" s="20" t="b">
        <f>IFERROR(__xludf.DUMMYFUNCTION("""COMPUTED_VALUE"""),FALSE)</f>
        <v>0</v>
      </c>
      <c r="L161" s="20" t="str">
        <f>IFERROR(__xludf.DUMMYFUNCTION("""COMPUTED_VALUE"""),"Hash Table;Linked List;Two Pointers;")</f>
        <v>Hash Table;Linked List;Two Pointers;</v>
      </c>
      <c r="M161" s="20" t="b">
        <f>IFERROR(__xludf.DUMMYFUNCTION("""COMPUTED_VALUE"""),TRUE)</f>
        <v>1</v>
      </c>
      <c r="N161" s="20" t="b">
        <f>IFERROR(__xludf.DUMMYFUNCTION("""COMPUTED_VALUE"""),TRUE)</f>
        <v>1</v>
      </c>
      <c r="O161" s="20">
        <f>IFERROR(__xludf.DUMMYFUNCTION("""COMPUTED_VALUE"""),53.6422271710885)</f>
        <v>53.64222717</v>
      </c>
      <c r="P161" s="20">
        <f>IFERROR(__xludf.DUMMYFUNCTION("""COMPUTED_VALUE"""),1183871.0)</f>
        <v>1183871</v>
      </c>
      <c r="Q161" s="20">
        <f>IFERROR(__xludf.DUMMYFUNCTION("""COMPUTED_VALUE"""),2206977.0)</f>
        <v>2206977</v>
      </c>
    </row>
    <row r="162">
      <c r="A162" s="20">
        <f>IFERROR(__xludf.DUMMYFUNCTION("""COMPUTED_VALUE"""),161.0)</f>
        <v>161</v>
      </c>
      <c r="B162" s="20" t="str">
        <f>IFERROR(__xludf.DUMMYFUNCTION("""COMPUTED_VALUE"""),"One Edit Distance")</f>
        <v>One Edit Distance</v>
      </c>
      <c r="C162" s="20" t="str">
        <f>IFERROR(__xludf.DUMMYFUNCTION("""COMPUTED_VALUE"""),"one-edit-distance")</f>
        <v>one-edit-distance</v>
      </c>
      <c r="D162" s="20" t="b">
        <f>IFERROR(__xludf.DUMMYFUNCTION("""COMPUTED_VALUE"""),TRUE)</f>
        <v>1</v>
      </c>
      <c r="E162" s="20" t="str">
        <f>IFERROR(__xludf.DUMMYFUNCTION("""COMPUTED_VALUE"""),"Medium")</f>
        <v>Medium</v>
      </c>
      <c r="F162" s="20">
        <f>IFERROR(__xludf.DUMMYFUNCTION("""COMPUTED_VALUE"""),1238.0)</f>
        <v>1238</v>
      </c>
      <c r="G162" s="20">
        <f>IFERROR(__xludf.DUMMYFUNCTION("""COMPUTED_VALUE"""),173.0)</f>
        <v>173</v>
      </c>
      <c r="H162" s="20" t="str">
        <f>IFERROR(__xludf.DUMMYFUNCTION("""COMPUTED_VALUE"""),"Algorithms")</f>
        <v>Algorithms</v>
      </c>
      <c r="I162" s="20">
        <f>IFERROR(__xludf.DUMMYFUNCTION("""COMPUTED_VALUE"""),0.341)</f>
        <v>0.341</v>
      </c>
      <c r="J162" s="20">
        <f>IFERROR(__xludf.DUMMYFUNCTION("""COMPUTED_VALUE"""),161.0)</f>
        <v>161</v>
      </c>
      <c r="K162" s="20" t="b">
        <f>IFERROR(__xludf.DUMMYFUNCTION("""COMPUTED_VALUE"""),TRUE)</f>
        <v>1</v>
      </c>
      <c r="L162" s="20" t="str">
        <f>IFERROR(__xludf.DUMMYFUNCTION("""COMPUTED_VALUE"""),"Two Pointers;String;")</f>
        <v>Two Pointers;String;</v>
      </c>
      <c r="M162" s="20" t="b">
        <f>IFERROR(__xludf.DUMMYFUNCTION("""COMPUTED_VALUE"""),TRUE)</f>
        <v>1</v>
      </c>
      <c r="N162" s="20" t="b">
        <f>IFERROR(__xludf.DUMMYFUNCTION("""COMPUTED_VALUE"""),FALSE)</f>
        <v>0</v>
      </c>
      <c r="O162" s="20">
        <f>IFERROR(__xludf.DUMMYFUNCTION("""COMPUTED_VALUE"""),34.1266232686059)</f>
        <v>34.12662327</v>
      </c>
      <c r="P162" s="20">
        <f>IFERROR(__xludf.DUMMYFUNCTION("""COMPUTED_VALUE"""),184635.0)</f>
        <v>184635</v>
      </c>
      <c r="Q162" s="20">
        <f>IFERROR(__xludf.DUMMYFUNCTION("""COMPUTED_VALUE"""),541032.0)</f>
        <v>541032</v>
      </c>
    </row>
    <row r="163">
      <c r="A163" s="20">
        <f>IFERROR(__xludf.DUMMYFUNCTION("""COMPUTED_VALUE"""),162.0)</f>
        <v>162</v>
      </c>
      <c r="B163" s="20" t="str">
        <f>IFERROR(__xludf.DUMMYFUNCTION("""COMPUTED_VALUE"""),"Find Peak Element")</f>
        <v>Find Peak Element</v>
      </c>
      <c r="C163" s="20" t="str">
        <f>IFERROR(__xludf.DUMMYFUNCTION("""COMPUTED_VALUE"""),"find-peak-element")</f>
        <v>find-peak-element</v>
      </c>
      <c r="D163" s="20" t="b">
        <f>IFERROR(__xludf.DUMMYFUNCTION("""COMPUTED_VALUE"""),FALSE)</f>
        <v>0</v>
      </c>
      <c r="E163" s="20" t="str">
        <f>IFERROR(__xludf.DUMMYFUNCTION("""COMPUTED_VALUE"""),"Medium")</f>
        <v>Medium</v>
      </c>
      <c r="F163" s="20">
        <f>IFERROR(__xludf.DUMMYFUNCTION("""COMPUTED_VALUE"""),8165.0)</f>
        <v>8165</v>
      </c>
      <c r="G163" s="20">
        <f>IFERROR(__xludf.DUMMYFUNCTION("""COMPUTED_VALUE"""),4147.0)</f>
        <v>4147</v>
      </c>
      <c r="H163" s="20" t="str">
        <f>IFERROR(__xludf.DUMMYFUNCTION("""COMPUTED_VALUE"""),"Algorithms")</f>
        <v>Algorithms</v>
      </c>
      <c r="I163" s="20">
        <f>IFERROR(__xludf.DUMMYFUNCTION("""COMPUTED_VALUE"""),0.462)</f>
        <v>0.462</v>
      </c>
      <c r="J163" s="20">
        <f>IFERROR(__xludf.DUMMYFUNCTION("""COMPUTED_VALUE"""),162.0)</f>
        <v>162</v>
      </c>
      <c r="K163" s="20" t="b">
        <f>IFERROR(__xludf.DUMMYFUNCTION("""COMPUTED_VALUE"""),FALSE)</f>
        <v>0</v>
      </c>
      <c r="L163" s="20" t="str">
        <f>IFERROR(__xludf.DUMMYFUNCTION("""COMPUTED_VALUE"""),"Array;Binary Search;")</f>
        <v>Array;Binary Search;</v>
      </c>
      <c r="M163" s="20" t="b">
        <f>IFERROR(__xludf.DUMMYFUNCTION("""COMPUTED_VALUE"""),TRUE)</f>
        <v>1</v>
      </c>
      <c r="N163" s="20" t="b">
        <f>IFERROR(__xludf.DUMMYFUNCTION("""COMPUTED_VALUE"""),FALSE)</f>
        <v>0</v>
      </c>
      <c r="O163" s="20">
        <f>IFERROR(__xludf.DUMMYFUNCTION("""COMPUTED_VALUE"""),46.170592231356)</f>
        <v>46.17059223</v>
      </c>
      <c r="P163" s="20">
        <f>IFERROR(__xludf.DUMMYFUNCTION("""COMPUTED_VALUE"""),943341.0)</f>
        <v>943341</v>
      </c>
      <c r="Q163" s="20">
        <f>IFERROR(__xludf.DUMMYFUNCTION("""COMPUTED_VALUE"""),2043170.0)</f>
        <v>2043170</v>
      </c>
    </row>
    <row r="164">
      <c r="A164" s="20">
        <f>IFERROR(__xludf.DUMMYFUNCTION("""COMPUTED_VALUE"""),163.0)</f>
        <v>163</v>
      </c>
      <c r="B164" s="20" t="str">
        <f>IFERROR(__xludf.DUMMYFUNCTION("""COMPUTED_VALUE"""),"Missing Ranges")</f>
        <v>Missing Ranges</v>
      </c>
      <c r="C164" s="20" t="str">
        <f>IFERROR(__xludf.DUMMYFUNCTION("""COMPUTED_VALUE"""),"missing-ranges")</f>
        <v>missing-ranges</v>
      </c>
      <c r="D164" s="20" t="b">
        <f>IFERROR(__xludf.DUMMYFUNCTION("""COMPUTED_VALUE"""),TRUE)</f>
        <v>1</v>
      </c>
      <c r="E164" s="20" t="str">
        <f>IFERROR(__xludf.DUMMYFUNCTION("""COMPUTED_VALUE"""),"Easy")</f>
        <v>Easy</v>
      </c>
      <c r="F164" s="20">
        <f>IFERROR(__xludf.DUMMYFUNCTION("""COMPUTED_VALUE"""),882.0)</f>
        <v>882</v>
      </c>
      <c r="G164" s="20">
        <f>IFERROR(__xludf.DUMMYFUNCTION("""COMPUTED_VALUE"""),2733.0)</f>
        <v>2733</v>
      </c>
      <c r="H164" s="20" t="str">
        <f>IFERROR(__xludf.DUMMYFUNCTION("""COMPUTED_VALUE"""),"Algorithms")</f>
        <v>Algorithms</v>
      </c>
      <c r="I164" s="20">
        <f>IFERROR(__xludf.DUMMYFUNCTION("""COMPUTED_VALUE"""),0.321)</f>
        <v>0.321</v>
      </c>
      <c r="J164" s="20">
        <f>IFERROR(__xludf.DUMMYFUNCTION("""COMPUTED_VALUE"""),163.0)</f>
        <v>163</v>
      </c>
      <c r="K164" s="20" t="b">
        <f>IFERROR(__xludf.DUMMYFUNCTION("""COMPUTED_VALUE"""),TRUE)</f>
        <v>1</v>
      </c>
      <c r="L164" s="20" t="str">
        <f>IFERROR(__xludf.DUMMYFUNCTION("""COMPUTED_VALUE"""),"Array;")</f>
        <v>Array;</v>
      </c>
      <c r="M164" s="20" t="b">
        <f>IFERROR(__xludf.DUMMYFUNCTION("""COMPUTED_VALUE"""),TRUE)</f>
        <v>1</v>
      </c>
      <c r="N164" s="20" t="b">
        <f>IFERROR(__xludf.DUMMYFUNCTION("""COMPUTED_VALUE"""),TRUE)</f>
        <v>1</v>
      </c>
      <c r="O164" s="20">
        <f>IFERROR(__xludf.DUMMYFUNCTION("""COMPUTED_VALUE"""),32.0834217061435)</f>
        <v>32.08342171</v>
      </c>
      <c r="P164" s="20">
        <f>IFERROR(__xludf.DUMMYFUNCTION("""COMPUTED_VALUE"""),192105.0)</f>
        <v>192105</v>
      </c>
      <c r="Q164" s="20">
        <f>IFERROR(__xludf.DUMMYFUNCTION("""COMPUTED_VALUE"""),598778.0)</f>
        <v>598778</v>
      </c>
    </row>
    <row r="165">
      <c r="A165" s="20">
        <f>IFERROR(__xludf.DUMMYFUNCTION("""COMPUTED_VALUE"""),164.0)</f>
        <v>164</v>
      </c>
      <c r="B165" s="20" t="str">
        <f>IFERROR(__xludf.DUMMYFUNCTION("""COMPUTED_VALUE"""),"Maximum Gap")</f>
        <v>Maximum Gap</v>
      </c>
      <c r="C165" s="20" t="str">
        <f>IFERROR(__xludf.DUMMYFUNCTION("""COMPUTED_VALUE"""),"maximum-gap")</f>
        <v>maximum-gap</v>
      </c>
      <c r="D165" s="20" t="b">
        <f>IFERROR(__xludf.DUMMYFUNCTION("""COMPUTED_VALUE"""),FALSE)</f>
        <v>0</v>
      </c>
      <c r="E165" s="20" t="str">
        <f>IFERROR(__xludf.DUMMYFUNCTION("""COMPUTED_VALUE"""),"Hard")</f>
        <v>Hard</v>
      </c>
      <c r="F165" s="20">
        <f>IFERROR(__xludf.DUMMYFUNCTION("""COMPUTED_VALUE"""),2592.0)</f>
        <v>2592</v>
      </c>
      <c r="G165" s="20">
        <f>IFERROR(__xludf.DUMMYFUNCTION("""COMPUTED_VALUE"""),318.0)</f>
        <v>318</v>
      </c>
      <c r="H165" s="20" t="str">
        <f>IFERROR(__xludf.DUMMYFUNCTION("""COMPUTED_VALUE"""),"Algorithms")</f>
        <v>Algorithms</v>
      </c>
      <c r="I165" s="20">
        <f>IFERROR(__xludf.DUMMYFUNCTION("""COMPUTED_VALUE"""),0.429)</f>
        <v>0.429</v>
      </c>
      <c r="J165" s="20">
        <f>IFERROR(__xludf.DUMMYFUNCTION("""COMPUTED_VALUE"""),164.0)</f>
        <v>164</v>
      </c>
      <c r="K165" s="20" t="b">
        <f>IFERROR(__xludf.DUMMYFUNCTION("""COMPUTED_VALUE"""),FALSE)</f>
        <v>0</v>
      </c>
      <c r="L165" s="20" t="str">
        <f>IFERROR(__xludf.DUMMYFUNCTION("""COMPUTED_VALUE"""),"Array;Sorting;Bucket Sort;Radix Sort;")</f>
        <v>Array;Sorting;Bucket Sort;Radix Sort;</v>
      </c>
      <c r="M165" s="20" t="b">
        <f>IFERROR(__xludf.DUMMYFUNCTION("""COMPUTED_VALUE"""),TRUE)</f>
        <v>1</v>
      </c>
      <c r="N165" s="20" t="b">
        <f>IFERROR(__xludf.DUMMYFUNCTION("""COMPUTED_VALUE"""),FALSE)</f>
        <v>0</v>
      </c>
      <c r="O165" s="20">
        <f>IFERROR(__xludf.DUMMYFUNCTION("""COMPUTED_VALUE"""),42.9035864424948)</f>
        <v>42.90358644</v>
      </c>
      <c r="P165" s="20">
        <f>IFERROR(__xludf.DUMMYFUNCTION("""COMPUTED_VALUE"""),158494.0)</f>
        <v>158494</v>
      </c>
      <c r="Q165" s="20">
        <f>IFERROR(__xludf.DUMMYFUNCTION("""COMPUTED_VALUE"""),369418.0)</f>
        <v>369418</v>
      </c>
    </row>
    <row r="166">
      <c r="A166" s="20">
        <f>IFERROR(__xludf.DUMMYFUNCTION("""COMPUTED_VALUE"""),165.0)</f>
        <v>165</v>
      </c>
      <c r="B166" s="20" t="str">
        <f>IFERROR(__xludf.DUMMYFUNCTION("""COMPUTED_VALUE"""),"Compare Version Numbers")</f>
        <v>Compare Version Numbers</v>
      </c>
      <c r="C166" s="20" t="str">
        <f>IFERROR(__xludf.DUMMYFUNCTION("""COMPUTED_VALUE"""),"compare-version-numbers")</f>
        <v>compare-version-numbers</v>
      </c>
      <c r="D166" s="20" t="b">
        <f>IFERROR(__xludf.DUMMYFUNCTION("""COMPUTED_VALUE"""),FALSE)</f>
        <v>0</v>
      </c>
      <c r="E166" s="20" t="str">
        <f>IFERROR(__xludf.DUMMYFUNCTION("""COMPUTED_VALUE"""),"Medium")</f>
        <v>Medium</v>
      </c>
      <c r="F166" s="20">
        <f>IFERROR(__xludf.DUMMYFUNCTION("""COMPUTED_VALUE"""),1833.0)</f>
        <v>1833</v>
      </c>
      <c r="G166" s="20">
        <f>IFERROR(__xludf.DUMMYFUNCTION("""COMPUTED_VALUE"""),2402.0)</f>
        <v>2402</v>
      </c>
      <c r="H166" s="20" t="str">
        <f>IFERROR(__xludf.DUMMYFUNCTION("""COMPUTED_VALUE"""),"Algorithms")</f>
        <v>Algorithms</v>
      </c>
      <c r="I166" s="20">
        <f>IFERROR(__xludf.DUMMYFUNCTION("""COMPUTED_VALUE"""),0.355)</f>
        <v>0.355</v>
      </c>
      <c r="J166" s="20">
        <f>IFERROR(__xludf.DUMMYFUNCTION("""COMPUTED_VALUE"""),165.0)</f>
        <v>165</v>
      </c>
      <c r="K166" s="20" t="b">
        <f>IFERROR(__xludf.DUMMYFUNCTION("""COMPUTED_VALUE"""),FALSE)</f>
        <v>0</v>
      </c>
      <c r="L166" s="20" t="str">
        <f>IFERROR(__xludf.DUMMYFUNCTION("""COMPUTED_VALUE"""),"Two Pointers;String;")</f>
        <v>Two Pointers;String;</v>
      </c>
      <c r="M166" s="20" t="b">
        <f>IFERROR(__xludf.DUMMYFUNCTION("""COMPUTED_VALUE"""),TRUE)</f>
        <v>1</v>
      </c>
      <c r="N166" s="20" t="b">
        <f>IFERROR(__xludf.DUMMYFUNCTION("""COMPUTED_VALUE"""),FALSE)</f>
        <v>0</v>
      </c>
      <c r="O166" s="20">
        <f>IFERROR(__xludf.DUMMYFUNCTION("""COMPUTED_VALUE"""),35.5221384019406)</f>
        <v>35.5221384</v>
      </c>
      <c r="P166" s="20">
        <f>IFERROR(__xludf.DUMMYFUNCTION("""COMPUTED_VALUE"""),341480.0)</f>
        <v>341480</v>
      </c>
      <c r="Q166" s="20">
        <f>IFERROR(__xludf.DUMMYFUNCTION("""COMPUTED_VALUE"""),961316.0)</f>
        <v>961316</v>
      </c>
    </row>
    <row r="167">
      <c r="A167" s="20">
        <f>IFERROR(__xludf.DUMMYFUNCTION("""COMPUTED_VALUE"""),166.0)</f>
        <v>166</v>
      </c>
      <c r="B167" s="20" t="str">
        <f>IFERROR(__xludf.DUMMYFUNCTION("""COMPUTED_VALUE"""),"Fraction to Recurring Decimal")</f>
        <v>Fraction to Recurring Decimal</v>
      </c>
      <c r="C167" s="20" t="str">
        <f>IFERROR(__xludf.DUMMYFUNCTION("""COMPUTED_VALUE"""),"fraction-to-recurring-decimal")</f>
        <v>fraction-to-recurring-decimal</v>
      </c>
      <c r="D167" s="20" t="b">
        <f>IFERROR(__xludf.DUMMYFUNCTION("""COMPUTED_VALUE"""),FALSE)</f>
        <v>0</v>
      </c>
      <c r="E167" s="20" t="str">
        <f>IFERROR(__xludf.DUMMYFUNCTION("""COMPUTED_VALUE"""),"Medium")</f>
        <v>Medium</v>
      </c>
      <c r="F167" s="20">
        <f>IFERROR(__xludf.DUMMYFUNCTION("""COMPUTED_VALUE"""),1815.0)</f>
        <v>1815</v>
      </c>
      <c r="G167" s="20">
        <f>IFERROR(__xludf.DUMMYFUNCTION("""COMPUTED_VALUE"""),3309.0)</f>
        <v>3309</v>
      </c>
      <c r="H167" s="20" t="str">
        <f>IFERROR(__xludf.DUMMYFUNCTION("""COMPUTED_VALUE"""),"Algorithms")</f>
        <v>Algorithms</v>
      </c>
      <c r="I167" s="20">
        <f>IFERROR(__xludf.DUMMYFUNCTION("""COMPUTED_VALUE"""),0.241)</f>
        <v>0.241</v>
      </c>
      <c r="J167" s="20">
        <f>IFERROR(__xludf.DUMMYFUNCTION("""COMPUTED_VALUE"""),166.0)</f>
        <v>166</v>
      </c>
      <c r="K167" s="20" t="b">
        <f>IFERROR(__xludf.DUMMYFUNCTION("""COMPUTED_VALUE"""),FALSE)</f>
        <v>0</v>
      </c>
      <c r="L167" s="20" t="str">
        <f>IFERROR(__xludf.DUMMYFUNCTION("""COMPUTED_VALUE"""),"Hash Table;Math;String;")</f>
        <v>Hash Table;Math;String;</v>
      </c>
      <c r="M167" s="20" t="b">
        <f>IFERROR(__xludf.DUMMYFUNCTION("""COMPUTED_VALUE"""),TRUE)</f>
        <v>1</v>
      </c>
      <c r="N167" s="20" t="b">
        <f>IFERROR(__xludf.DUMMYFUNCTION("""COMPUTED_VALUE"""),FALSE)</f>
        <v>0</v>
      </c>
      <c r="O167" s="20">
        <f>IFERROR(__xludf.DUMMYFUNCTION("""COMPUTED_VALUE"""),24.148407469419)</f>
        <v>24.14840747</v>
      </c>
      <c r="P167" s="20">
        <f>IFERROR(__xludf.DUMMYFUNCTION("""COMPUTED_VALUE"""),199901.0)</f>
        <v>199901</v>
      </c>
      <c r="Q167" s="20">
        <f>IFERROR(__xludf.DUMMYFUNCTION("""COMPUTED_VALUE"""),827802.0)</f>
        <v>827802</v>
      </c>
    </row>
    <row r="168">
      <c r="A168" s="20">
        <f>IFERROR(__xludf.DUMMYFUNCTION("""COMPUTED_VALUE"""),167.0)</f>
        <v>167</v>
      </c>
      <c r="B168" s="20" t="str">
        <f>IFERROR(__xludf.DUMMYFUNCTION("""COMPUTED_VALUE"""),"Two Sum II - Input Array Is Sorted")</f>
        <v>Two Sum II - Input Array Is Sorted</v>
      </c>
      <c r="C168" s="20" t="str">
        <f>IFERROR(__xludf.DUMMYFUNCTION("""COMPUTED_VALUE"""),"two-sum-ii-input-array-is-sorted")</f>
        <v>two-sum-ii-input-array-is-sorted</v>
      </c>
      <c r="D168" s="20" t="b">
        <f>IFERROR(__xludf.DUMMYFUNCTION("""COMPUTED_VALUE"""),FALSE)</f>
        <v>0</v>
      </c>
      <c r="E168" s="20" t="str">
        <f>IFERROR(__xludf.DUMMYFUNCTION("""COMPUTED_VALUE"""),"Medium")</f>
        <v>Medium</v>
      </c>
      <c r="F168" s="20">
        <f>IFERROR(__xludf.DUMMYFUNCTION("""COMPUTED_VALUE"""),8480.0)</f>
        <v>8480</v>
      </c>
      <c r="G168" s="20">
        <f>IFERROR(__xludf.DUMMYFUNCTION("""COMPUTED_VALUE"""),1138.0)</f>
        <v>1138</v>
      </c>
      <c r="H168" s="20" t="str">
        <f>IFERROR(__xludf.DUMMYFUNCTION("""COMPUTED_VALUE"""),"Algorithms")</f>
        <v>Algorithms</v>
      </c>
      <c r="I168" s="20">
        <f>IFERROR(__xludf.DUMMYFUNCTION("""COMPUTED_VALUE"""),0.6)</f>
        <v>0.6</v>
      </c>
      <c r="J168" s="20">
        <f>IFERROR(__xludf.DUMMYFUNCTION("""COMPUTED_VALUE"""),167.0)</f>
        <v>167</v>
      </c>
      <c r="K168" s="20" t="b">
        <f>IFERROR(__xludf.DUMMYFUNCTION("""COMPUTED_VALUE"""),FALSE)</f>
        <v>0</v>
      </c>
      <c r="L168" s="20" t="str">
        <f>IFERROR(__xludf.DUMMYFUNCTION("""COMPUTED_VALUE"""),"Array;Two Pointers;Binary Search;")</f>
        <v>Array;Two Pointers;Binary Search;</v>
      </c>
      <c r="M168" s="20" t="b">
        <f>IFERROR(__xludf.DUMMYFUNCTION("""COMPUTED_VALUE"""),TRUE)</f>
        <v>1</v>
      </c>
      <c r="N168" s="20" t="b">
        <f>IFERROR(__xludf.DUMMYFUNCTION("""COMPUTED_VALUE"""),FALSE)</f>
        <v>0</v>
      </c>
      <c r="O168" s="20">
        <f>IFERROR(__xludf.DUMMYFUNCTION("""COMPUTED_VALUE"""),60.0473497697632)</f>
        <v>60.04734977</v>
      </c>
      <c r="P168" s="20">
        <f>IFERROR(__xludf.DUMMYFUNCTION("""COMPUTED_VALUE"""),1323182.0)</f>
        <v>1323182</v>
      </c>
      <c r="Q168" s="20">
        <f>IFERROR(__xludf.DUMMYFUNCTION("""COMPUTED_VALUE"""),2203573.0)</f>
        <v>2203573</v>
      </c>
    </row>
    <row r="169">
      <c r="A169" s="20">
        <f>IFERROR(__xludf.DUMMYFUNCTION("""COMPUTED_VALUE"""),168.0)</f>
        <v>168</v>
      </c>
      <c r="B169" s="20" t="str">
        <f>IFERROR(__xludf.DUMMYFUNCTION("""COMPUTED_VALUE"""),"Excel Sheet Column Title")</f>
        <v>Excel Sheet Column Title</v>
      </c>
      <c r="C169" s="20" t="str">
        <f>IFERROR(__xludf.DUMMYFUNCTION("""COMPUTED_VALUE"""),"excel-sheet-column-title")</f>
        <v>excel-sheet-column-title</v>
      </c>
      <c r="D169" s="20" t="b">
        <f>IFERROR(__xludf.DUMMYFUNCTION("""COMPUTED_VALUE"""),FALSE)</f>
        <v>0</v>
      </c>
      <c r="E169" s="20" t="str">
        <f>IFERROR(__xludf.DUMMYFUNCTION("""COMPUTED_VALUE"""),"Easy")</f>
        <v>Easy</v>
      </c>
      <c r="F169" s="20">
        <f>IFERROR(__xludf.DUMMYFUNCTION("""COMPUTED_VALUE"""),3460.0)</f>
        <v>3460</v>
      </c>
      <c r="G169" s="20">
        <f>IFERROR(__xludf.DUMMYFUNCTION("""COMPUTED_VALUE"""),502.0)</f>
        <v>502</v>
      </c>
      <c r="H169" s="20" t="str">
        <f>IFERROR(__xludf.DUMMYFUNCTION("""COMPUTED_VALUE"""),"Algorithms")</f>
        <v>Algorithms</v>
      </c>
      <c r="I169" s="20">
        <f>IFERROR(__xludf.DUMMYFUNCTION("""COMPUTED_VALUE"""),0.35)</f>
        <v>0.35</v>
      </c>
      <c r="J169" s="20">
        <f>IFERROR(__xludf.DUMMYFUNCTION("""COMPUTED_VALUE"""),168.0)</f>
        <v>168</v>
      </c>
      <c r="K169" s="20" t="b">
        <f>IFERROR(__xludf.DUMMYFUNCTION("""COMPUTED_VALUE"""),FALSE)</f>
        <v>0</v>
      </c>
      <c r="L169" s="20" t="str">
        <f>IFERROR(__xludf.DUMMYFUNCTION("""COMPUTED_VALUE"""),"Math;String;")</f>
        <v>Math;String;</v>
      </c>
      <c r="M169" s="20" t="b">
        <f>IFERROR(__xludf.DUMMYFUNCTION("""COMPUTED_VALUE"""),FALSE)</f>
        <v>0</v>
      </c>
      <c r="N169" s="20" t="b">
        <f>IFERROR(__xludf.DUMMYFUNCTION("""COMPUTED_VALUE"""),FALSE)</f>
        <v>0</v>
      </c>
      <c r="O169" s="20">
        <f>IFERROR(__xludf.DUMMYFUNCTION("""COMPUTED_VALUE"""),34.9836994397174)</f>
        <v>34.98369944</v>
      </c>
      <c r="P169" s="20">
        <f>IFERROR(__xludf.DUMMYFUNCTION("""COMPUTED_VALUE"""),355403.0)</f>
        <v>355403</v>
      </c>
      <c r="Q169" s="20">
        <f>IFERROR(__xludf.DUMMYFUNCTION("""COMPUTED_VALUE"""),1015913.0)</f>
        <v>1015913</v>
      </c>
    </row>
    <row r="170">
      <c r="A170" s="20">
        <f>IFERROR(__xludf.DUMMYFUNCTION("""COMPUTED_VALUE"""),169.0)</f>
        <v>169</v>
      </c>
      <c r="B170" s="20" t="str">
        <f>IFERROR(__xludf.DUMMYFUNCTION("""COMPUTED_VALUE"""),"Majority Element")</f>
        <v>Majority Element</v>
      </c>
      <c r="C170" s="20" t="str">
        <f>IFERROR(__xludf.DUMMYFUNCTION("""COMPUTED_VALUE"""),"majority-element")</f>
        <v>majority-element</v>
      </c>
      <c r="D170" s="20" t="b">
        <f>IFERROR(__xludf.DUMMYFUNCTION("""COMPUTED_VALUE"""),FALSE)</f>
        <v>0</v>
      </c>
      <c r="E170" s="20" t="str">
        <f>IFERROR(__xludf.DUMMYFUNCTION("""COMPUTED_VALUE"""),"Easy")</f>
        <v>Easy</v>
      </c>
      <c r="F170" s="20">
        <f>IFERROR(__xludf.DUMMYFUNCTION("""COMPUTED_VALUE"""),13193.0)</f>
        <v>13193</v>
      </c>
      <c r="G170" s="20">
        <f>IFERROR(__xludf.DUMMYFUNCTION("""COMPUTED_VALUE"""),421.0)</f>
        <v>421</v>
      </c>
      <c r="H170" s="20" t="str">
        <f>IFERROR(__xludf.DUMMYFUNCTION("""COMPUTED_VALUE"""),"Algorithms")</f>
        <v>Algorithms</v>
      </c>
      <c r="I170" s="20">
        <f>IFERROR(__xludf.DUMMYFUNCTION("""COMPUTED_VALUE"""),0.639)</f>
        <v>0.639</v>
      </c>
      <c r="J170" s="20">
        <f>IFERROR(__xludf.DUMMYFUNCTION("""COMPUTED_VALUE"""),169.0)</f>
        <v>169</v>
      </c>
      <c r="K170" s="20" t="b">
        <f>IFERROR(__xludf.DUMMYFUNCTION("""COMPUTED_VALUE"""),FALSE)</f>
        <v>0</v>
      </c>
      <c r="L170" s="20" t="str">
        <f>IFERROR(__xludf.DUMMYFUNCTION("""COMPUTED_VALUE"""),"Array;Hash Table;Divide and Conquer;Sorting;Counting;")</f>
        <v>Array;Hash Table;Divide and Conquer;Sorting;Counting;</v>
      </c>
      <c r="M170" s="20" t="b">
        <f>IFERROR(__xludf.DUMMYFUNCTION("""COMPUTED_VALUE"""),TRUE)</f>
        <v>1</v>
      </c>
      <c r="N170" s="20" t="b">
        <f>IFERROR(__xludf.DUMMYFUNCTION("""COMPUTED_VALUE"""),FALSE)</f>
        <v>0</v>
      </c>
      <c r="O170" s="20">
        <f>IFERROR(__xludf.DUMMYFUNCTION("""COMPUTED_VALUE"""),63.9145124331768)</f>
        <v>63.91451243</v>
      </c>
      <c r="P170" s="20">
        <f>IFERROR(__xludf.DUMMYFUNCTION("""COMPUTED_VALUE"""),1555557.0)</f>
        <v>1555557</v>
      </c>
      <c r="Q170" s="20">
        <f>IFERROR(__xludf.DUMMYFUNCTION("""COMPUTED_VALUE"""),2433814.0)</f>
        <v>2433814</v>
      </c>
    </row>
    <row r="171">
      <c r="A171" s="20">
        <f>IFERROR(__xludf.DUMMYFUNCTION("""COMPUTED_VALUE"""),170.0)</f>
        <v>170</v>
      </c>
      <c r="B171" s="20" t="str">
        <f>IFERROR(__xludf.DUMMYFUNCTION("""COMPUTED_VALUE"""),"Two Sum III - Data structure design")</f>
        <v>Two Sum III - Data structure design</v>
      </c>
      <c r="C171" s="20" t="str">
        <f>IFERROR(__xludf.DUMMYFUNCTION("""COMPUTED_VALUE"""),"two-sum-iii-data-structure-design")</f>
        <v>two-sum-iii-data-structure-design</v>
      </c>
      <c r="D171" s="20" t="b">
        <f>IFERROR(__xludf.DUMMYFUNCTION("""COMPUTED_VALUE"""),TRUE)</f>
        <v>1</v>
      </c>
      <c r="E171" s="20" t="str">
        <f>IFERROR(__xludf.DUMMYFUNCTION("""COMPUTED_VALUE"""),"Easy")</f>
        <v>Easy</v>
      </c>
      <c r="F171" s="20">
        <f>IFERROR(__xludf.DUMMYFUNCTION("""COMPUTED_VALUE"""),605.0)</f>
        <v>605</v>
      </c>
      <c r="G171" s="20">
        <f>IFERROR(__xludf.DUMMYFUNCTION("""COMPUTED_VALUE"""),407.0)</f>
        <v>407</v>
      </c>
      <c r="H171" s="20" t="str">
        <f>IFERROR(__xludf.DUMMYFUNCTION("""COMPUTED_VALUE"""),"Algorithms")</f>
        <v>Algorithms</v>
      </c>
      <c r="I171" s="20">
        <f>IFERROR(__xludf.DUMMYFUNCTION("""COMPUTED_VALUE"""),0.374)</f>
        <v>0.374</v>
      </c>
      <c r="J171" s="20">
        <f>IFERROR(__xludf.DUMMYFUNCTION("""COMPUTED_VALUE"""),170.0)</f>
        <v>170</v>
      </c>
      <c r="K171" s="20" t="b">
        <f>IFERROR(__xludf.DUMMYFUNCTION("""COMPUTED_VALUE"""),TRUE)</f>
        <v>1</v>
      </c>
      <c r="L171" s="20" t="str">
        <f>IFERROR(__xludf.DUMMYFUNCTION("""COMPUTED_VALUE"""),"Array;Hash Table;Two Pointers;Design;Data Stream;")</f>
        <v>Array;Hash Table;Two Pointers;Design;Data Stream;</v>
      </c>
      <c r="M171" s="20" t="b">
        <f>IFERROR(__xludf.DUMMYFUNCTION("""COMPUTED_VALUE"""),TRUE)</f>
        <v>1</v>
      </c>
      <c r="N171" s="20" t="b">
        <f>IFERROR(__xludf.DUMMYFUNCTION("""COMPUTED_VALUE"""),FALSE)</f>
        <v>0</v>
      </c>
      <c r="O171" s="20">
        <f>IFERROR(__xludf.DUMMYFUNCTION("""COMPUTED_VALUE"""),37.3673874614929)</f>
        <v>37.36738746</v>
      </c>
      <c r="P171" s="20">
        <f>IFERROR(__xludf.DUMMYFUNCTION("""COMPUTED_VALUE"""),137191.0)</f>
        <v>137191</v>
      </c>
      <c r="Q171" s="20">
        <f>IFERROR(__xludf.DUMMYFUNCTION("""COMPUTED_VALUE"""),367141.0)</f>
        <v>367141</v>
      </c>
    </row>
    <row r="172">
      <c r="A172" s="20">
        <f>IFERROR(__xludf.DUMMYFUNCTION("""COMPUTED_VALUE"""),171.0)</f>
        <v>171</v>
      </c>
      <c r="B172" s="20" t="str">
        <f>IFERROR(__xludf.DUMMYFUNCTION("""COMPUTED_VALUE"""),"Excel Sheet Column Number")</f>
        <v>Excel Sheet Column Number</v>
      </c>
      <c r="C172" s="20" t="str">
        <f>IFERROR(__xludf.DUMMYFUNCTION("""COMPUTED_VALUE"""),"excel-sheet-column-number")</f>
        <v>excel-sheet-column-number</v>
      </c>
      <c r="D172" s="20" t="b">
        <f>IFERROR(__xludf.DUMMYFUNCTION("""COMPUTED_VALUE"""),FALSE)</f>
        <v>0</v>
      </c>
      <c r="E172" s="20" t="str">
        <f>IFERROR(__xludf.DUMMYFUNCTION("""COMPUTED_VALUE"""),"Easy")</f>
        <v>Easy</v>
      </c>
      <c r="F172" s="20">
        <f>IFERROR(__xludf.DUMMYFUNCTION("""COMPUTED_VALUE"""),3891.0)</f>
        <v>3891</v>
      </c>
      <c r="G172" s="20">
        <f>IFERROR(__xludf.DUMMYFUNCTION("""COMPUTED_VALUE"""),313.0)</f>
        <v>313</v>
      </c>
      <c r="H172" s="20" t="str">
        <f>IFERROR(__xludf.DUMMYFUNCTION("""COMPUTED_VALUE"""),"Algorithms")</f>
        <v>Algorithms</v>
      </c>
      <c r="I172" s="20">
        <f>IFERROR(__xludf.DUMMYFUNCTION("""COMPUTED_VALUE"""),0.616)</f>
        <v>0.616</v>
      </c>
      <c r="J172" s="20">
        <f>IFERROR(__xludf.DUMMYFUNCTION("""COMPUTED_VALUE"""),171.0)</f>
        <v>171</v>
      </c>
      <c r="K172" s="20" t="b">
        <f>IFERROR(__xludf.DUMMYFUNCTION("""COMPUTED_VALUE"""),FALSE)</f>
        <v>0</v>
      </c>
      <c r="L172" s="20" t="str">
        <f>IFERROR(__xludf.DUMMYFUNCTION("""COMPUTED_VALUE"""),"Math;String;")</f>
        <v>Math;String;</v>
      </c>
      <c r="M172" s="20" t="b">
        <f>IFERROR(__xludf.DUMMYFUNCTION("""COMPUTED_VALUE"""),TRUE)</f>
        <v>1</v>
      </c>
      <c r="N172" s="20" t="b">
        <f>IFERROR(__xludf.DUMMYFUNCTION("""COMPUTED_VALUE"""),FALSE)</f>
        <v>0</v>
      </c>
      <c r="O172" s="20">
        <f>IFERROR(__xludf.DUMMYFUNCTION("""COMPUTED_VALUE"""),61.6076649183589)</f>
        <v>61.60766492</v>
      </c>
      <c r="P172" s="20">
        <f>IFERROR(__xludf.DUMMYFUNCTION("""COMPUTED_VALUE"""),564753.0)</f>
        <v>564753</v>
      </c>
      <c r="Q172" s="20">
        <f>IFERROR(__xludf.DUMMYFUNCTION("""COMPUTED_VALUE"""),916694.0)</f>
        <v>916694</v>
      </c>
    </row>
    <row r="173">
      <c r="A173" s="20">
        <f>IFERROR(__xludf.DUMMYFUNCTION("""COMPUTED_VALUE"""),172.0)</f>
        <v>172</v>
      </c>
      <c r="B173" s="20" t="str">
        <f>IFERROR(__xludf.DUMMYFUNCTION("""COMPUTED_VALUE"""),"Factorial Trailing Zeroes")</f>
        <v>Factorial Trailing Zeroes</v>
      </c>
      <c r="C173" s="20" t="str">
        <f>IFERROR(__xludf.DUMMYFUNCTION("""COMPUTED_VALUE"""),"factorial-trailing-zeroes")</f>
        <v>factorial-trailing-zeroes</v>
      </c>
      <c r="D173" s="20" t="b">
        <f>IFERROR(__xludf.DUMMYFUNCTION("""COMPUTED_VALUE"""),FALSE)</f>
        <v>0</v>
      </c>
      <c r="E173" s="20" t="str">
        <f>IFERROR(__xludf.DUMMYFUNCTION("""COMPUTED_VALUE"""),"Medium")</f>
        <v>Medium</v>
      </c>
      <c r="F173" s="20">
        <f>IFERROR(__xludf.DUMMYFUNCTION("""COMPUTED_VALUE"""),2412.0)</f>
        <v>2412</v>
      </c>
      <c r="G173" s="20">
        <f>IFERROR(__xludf.DUMMYFUNCTION("""COMPUTED_VALUE"""),1786.0)</f>
        <v>1786</v>
      </c>
      <c r="H173" s="20" t="str">
        <f>IFERROR(__xludf.DUMMYFUNCTION("""COMPUTED_VALUE"""),"Algorithms")</f>
        <v>Algorithms</v>
      </c>
      <c r="I173" s="20">
        <f>IFERROR(__xludf.DUMMYFUNCTION("""COMPUTED_VALUE"""),0.419)</f>
        <v>0.419</v>
      </c>
      <c r="J173" s="20">
        <f>IFERROR(__xludf.DUMMYFUNCTION("""COMPUTED_VALUE"""),172.0)</f>
        <v>172</v>
      </c>
      <c r="K173" s="20" t="b">
        <f>IFERROR(__xludf.DUMMYFUNCTION("""COMPUTED_VALUE"""),FALSE)</f>
        <v>0</v>
      </c>
      <c r="L173" s="20" t="str">
        <f>IFERROR(__xludf.DUMMYFUNCTION("""COMPUTED_VALUE"""),"Math;")</f>
        <v>Math;</v>
      </c>
      <c r="M173" s="20" t="b">
        <f>IFERROR(__xludf.DUMMYFUNCTION("""COMPUTED_VALUE"""),TRUE)</f>
        <v>1</v>
      </c>
      <c r="N173" s="20" t="b">
        <f>IFERROR(__xludf.DUMMYFUNCTION("""COMPUTED_VALUE"""),FALSE)</f>
        <v>0</v>
      </c>
      <c r="O173" s="20">
        <f>IFERROR(__xludf.DUMMYFUNCTION("""COMPUTED_VALUE"""),41.8739291901566)</f>
        <v>41.87392919</v>
      </c>
      <c r="P173" s="20">
        <f>IFERROR(__xludf.DUMMYFUNCTION("""COMPUTED_VALUE"""),349987.0)</f>
        <v>349987</v>
      </c>
      <c r="Q173" s="20">
        <f>IFERROR(__xludf.DUMMYFUNCTION("""COMPUTED_VALUE"""),835812.0)</f>
        <v>835812</v>
      </c>
    </row>
    <row r="174">
      <c r="A174" s="20">
        <f>IFERROR(__xludf.DUMMYFUNCTION("""COMPUTED_VALUE"""),173.0)</f>
        <v>173</v>
      </c>
      <c r="B174" s="20" t="str">
        <f>IFERROR(__xludf.DUMMYFUNCTION("""COMPUTED_VALUE"""),"Binary Search Tree Iterator")</f>
        <v>Binary Search Tree Iterator</v>
      </c>
      <c r="C174" s="20" t="str">
        <f>IFERROR(__xludf.DUMMYFUNCTION("""COMPUTED_VALUE"""),"binary-search-tree-iterator")</f>
        <v>binary-search-tree-iterator</v>
      </c>
      <c r="D174" s="20" t="b">
        <f>IFERROR(__xludf.DUMMYFUNCTION("""COMPUTED_VALUE"""),FALSE)</f>
        <v>0</v>
      </c>
      <c r="E174" s="20" t="str">
        <f>IFERROR(__xludf.DUMMYFUNCTION("""COMPUTED_VALUE"""),"Medium")</f>
        <v>Medium</v>
      </c>
      <c r="F174" s="20">
        <f>IFERROR(__xludf.DUMMYFUNCTION("""COMPUTED_VALUE"""),7154.0)</f>
        <v>7154</v>
      </c>
      <c r="G174" s="20">
        <f>IFERROR(__xludf.DUMMYFUNCTION("""COMPUTED_VALUE"""),433.0)</f>
        <v>433</v>
      </c>
      <c r="H174" s="20" t="str">
        <f>IFERROR(__xludf.DUMMYFUNCTION("""COMPUTED_VALUE"""),"Algorithms")</f>
        <v>Algorithms</v>
      </c>
      <c r="I174" s="20">
        <f>IFERROR(__xludf.DUMMYFUNCTION("""COMPUTED_VALUE"""),0.693)</f>
        <v>0.693</v>
      </c>
      <c r="J174" s="20">
        <f>IFERROR(__xludf.DUMMYFUNCTION("""COMPUTED_VALUE"""),173.0)</f>
        <v>173</v>
      </c>
      <c r="K174" s="20" t="b">
        <f>IFERROR(__xludf.DUMMYFUNCTION("""COMPUTED_VALUE"""),FALSE)</f>
        <v>0</v>
      </c>
      <c r="L174" s="20" t="str">
        <f>IFERROR(__xludf.DUMMYFUNCTION("""COMPUTED_VALUE"""),"Stack;Tree;Design;Binary Search Tree;Binary Tree;Iterator;")</f>
        <v>Stack;Tree;Design;Binary Search Tree;Binary Tree;Iterator;</v>
      </c>
      <c r="M174" s="20" t="b">
        <f>IFERROR(__xludf.DUMMYFUNCTION("""COMPUTED_VALUE"""),TRUE)</f>
        <v>1</v>
      </c>
      <c r="N174" s="20" t="b">
        <f>IFERROR(__xludf.DUMMYFUNCTION("""COMPUTED_VALUE"""),FALSE)</f>
        <v>0</v>
      </c>
      <c r="O174" s="20">
        <f>IFERROR(__xludf.DUMMYFUNCTION("""COMPUTED_VALUE"""),69.3331371666732)</f>
        <v>69.33313717</v>
      </c>
      <c r="P174" s="20">
        <f>IFERROR(__xludf.DUMMYFUNCTION("""COMPUTED_VALUE"""),645608.0)</f>
        <v>645608</v>
      </c>
      <c r="Q174" s="20">
        <f>IFERROR(__xludf.DUMMYFUNCTION("""COMPUTED_VALUE"""),931171.0)</f>
        <v>931171</v>
      </c>
    </row>
    <row r="175">
      <c r="A175" s="20">
        <f>IFERROR(__xludf.DUMMYFUNCTION("""COMPUTED_VALUE"""),174.0)</f>
        <v>174</v>
      </c>
      <c r="B175" s="20" t="str">
        <f>IFERROR(__xludf.DUMMYFUNCTION("""COMPUTED_VALUE"""),"Dungeon Game")</f>
        <v>Dungeon Game</v>
      </c>
      <c r="C175" s="20" t="str">
        <f>IFERROR(__xludf.DUMMYFUNCTION("""COMPUTED_VALUE"""),"dungeon-game")</f>
        <v>dungeon-game</v>
      </c>
      <c r="D175" s="20" t="b">
        <f>IFERROR(__xludf.DUMMYFUNCTION("""COMPUTED_VALUE"""),FALSE)</f>
        <v>0</v>
      </c>
      <c r="E175" s="20" t="str">
        <f>IFERROR(__xludf.DUMMYFUNCTION("""COMPUTED_VALUE"""),"Hard")</f>
        <v>Hard</v>
      </c>
      <c r="F175" s="20">
        <f>IFERROR(__xludf.DUMMYFUNCTION("""COMPUTED_VALUE"""),4813.0)</f>
        <v>4813</v>
      </c>
      <c r="G175" s="20">
        <f>IFERROR(__xludf.DUMMYFUNCTION("""COMPUTED_VALUE"""),87.0)</f>
        <v>87</v>
      </c>
      <c r="H175" s="20" t="str">
        <f>IFERROR(__xludf.DUMMYFUNCTION("""COMPUTED_VALUE"""),"Algorithms")</f>
        <v>Algorithms</v>
      </c>
      <c r="I175" s="20">
        <f>IFERROR(__xludf.DUMMYFUNCTION("""COMPUTED_VALUE"""),0.374)</f>
        <v>0.374</v>
      </c>
      <c r="J175" s="20">
        <f>IFERROR(__xludf.DUMMYFUNCTION("""COMPUTED_VALUE"""),174.0)</f>
        <v>174</v>
      </c>
      <c r="K175" s="20" t="b">
        <f>IFERROR(__xludf.DUMMYFUNCTION("""COMPUTED_VALUE"""),FALSE)</f>
        <v>0</v>
      </c>
      <c r="L175" s="20" t="str">
        <f>IFERROR(__xludf.DUMMYFUNCTION("""COMPUTED_VALUE"""),"Array;Dynamic Programming;Matrix;")</f>
        <v>Array;Dynamic Programming;Matrix;</v>
      </c>
      <c r="M175" s="20" t="b">
        <f>IFERROR(__xludf.DUMMYFUNCTION("""COMPUTED_VALUE"""),TRUE)</f>
        <v>1</v>
      </c>
      <c r="N175" s="20" t="b">
        <f>IFERROR(__xludf.DUMMYFUNCTION("""COMPUTED_VALUE"""),FALSE)</f>
        <v>0</v>
      </c>
      <c r="O175" s="20">
        <f>IFERROR(__xludf.DUMMYFUNCTION("""COMPUTED_VALUE"""),37.3604864886003)</f>
        <v>37.36048649</v>
      </c>
      <c r="P175" s="20">
        <f>IFERROR(__xludf.DUMMYFUNCTION("""COMPUTED_VALUE"""),191067.0)</f>
        <v>191067</v>
      </c>
      <c r="Q175" s="20">
        <f>IFERROR(__xludf.DUMMYFUNCTION("""COMPUTED_VALUE"""),511417.0)</f>
        <v>511417</v>
      </c>
    </row>
    <row r="176">
      <c r="A176" s="20">
        <f>IFERROR(__xludf.DUMMYFUNCTION("""COMPUTED_VALUE"""),175.0)</f>
        <v>175</v>
      </c>
      <c r="B176" s="20" t="str">
        <f>IFERROR(__xludf.DUMMYFUNCTION("""COMPUTED_VALUE"""),"Combine Two Tables")</f>
        <v>Combine Two Tables</v>
      </c>
      <c r="C176" s="20" t="str">
        <f>IFERROR(__xludf.DUMMYFUNCTION("""COMPUTED_VALUE"""),"combine-two-tables")</f>
        <v>combine-two-tables</v>
      </c>
      <c r="D176" s="20" t="b">
        <f>IFERROR(__xludf.DUMMYFUNCTION("""COMPUTED_VALUE"""),FALSE)</f>
        <v>0</v>
      </c>
      <c r="E176" s="20" t="str">
        <f>IFERROR(__xludf.DUMMYFUNCTION("""COMPUTED_VALUE"""),"Easy")</f>
        <v>Easy</v>
      </c>
      <c r="F176" s="20">
        <f>IFERROR(__xludf.DUMMYFUNCTION("""COMPUTED_VALUE"""),2584.0)</f>
        <v>2584</v>
      </c>
      <c r="G176" s="20">
        <f>IFERROR(__xludf.DUMMYFUNCTION("""COMPUTED_VALUE"""),204.0)</f>
        <v>204</v>
      </c>
      <c r="H176" s="20" t="str">
        <f>IFERROR(__xludf.DUMMYFUNCTION("""COMPUTED_VALUE"""),"Database")</f>
        <v>Database</v>
      </c>
      <c r="I176" s="20">
        <f>IFERROR(__xludf.DUMMYFUNCTION("""COMPUTED_VALUE"""),0.735)</f>
        <v>0.735</v>
      </c>
      <c r="J176" s="20">
        <f>IFERROR(__xludf.DUMMYFUNCTION("""COMPUTED_VALUE"""),175.0)</f>
        <v>175</v>
      </c>
      <c r="K176" s="20" t="b">
        <f>IFERROR(__xludf.DUMMYFUNCTION("""COMPUTED_VALUE"""),FALSE)</f>
        <v>0</v>
      </c>
      <c r="L176" s="20" t="str">
        <f>IFERROR(__xludf.DUMMYFUNCTION("""COMPUTED_VALUE"""),"Database;")</f>
        <v>Database;</v>
      </c>
      <c r="M176" s="20" t="b">
        <f>IFERROR(__xludf.DUMMYFUNCTION("""COMPUTED_VALUE"""),TRUE)</f>
        <v>1</v>
      </c>
      <c r="N176" s="20" t="b">
        <f>IFERROR(__xludf.DUMMYFUNCTION("""COMPUTED_VALUE"""),FALSE)</f>
        <v>0</v>
      </c>
      <c r="O176" s="20">
        <f>IFERROR(__xludf.DUMMYFUNCTION("""COMPUTED_VALUE"""),73.4558616252321)</f>
        <v>73.45586163</v>
      </c>
      <c r="P176" s="20">
        <f>IFERROR(__xludf.DUMMYFUNCTION("""COMPUTED_VALUE"""),682694.0)</f>
        <v>682694</v>
      </c>
      <c r="Q176" s="20">
        <f>IFERROR(__xludf.DUMMYFUNCTION("""COMPUTED_VALUE"""),929387.0)</f>
        <v>929387</v>
      </c>
    </row>
    <row r="177">
      <c r="A177" s="20">
        <f>IFERROR(__xludf.DUMMYFUNCTION("""COMPUTED_VALUE"""),176.0)</f>
        <v>176</v>
      </c>
      <c r="B177" s="20" t="str">
        <f>IFERROR(__xludf.DUMMYFUNCTION("""COMPUTED_VALUE"""),"Second Highest Salary")</f>
        <v>Second Highest Salary</v>
      </c>
      <c r="C177" s="20" t="str">
        <f>IFERROR(__xludf.DUMMYFUNCTION("""COMPUTED_VALUE"""),"second-highest-salary")</f>
        <v>second-highest-salary</v>
      </c>
      <c r="D177" s="20" t="b">
        <f>IFERROR(__xludf.DUMMYFUNCTION("""COMPUTED_VALUE"""),FALSE)</f>
        <v>0</v>
      </c>
      <c r="E177" s="20" t="str">
        <f>IFERROR(__xludf.DUMMYFUNCTION("""COMPUTED_VALUE"""),"Medium")</f>
        <v>Medium</v>
      </c>
      <c r="F177" s="20">
        <f>IFERROR(__xludf.DUMMYFUNCTION("""COMPUTED_VALUE"""),2568.0)</f>
        <v>2568</v>
      </c>
      <c r="G177" s="20">
        <f>IFERROR(__xludf.DUMMYFUNCTION("""COMPUTED_VALUE"""),802.0)</f>
        <v>802</v>
      </c>
      <c r="H177" s="20" t="str">
        <f>IFERROR(__xludf.DUMMYFUNCTION("""COMPUTED_VALUE"""),"Database")</f>
        <v>Database</v>
      </c>
      <c r="I177" s="20">
        <f>IFERROR(__xludf.DUMMYFUNCTION("""COMPUTED_VALUE"""),0.369)</f>
        <v>0.369</v>
      </c>
      <c r="J177" s="20">
        <f>IFERROR(__xludf.DUMMYFUNCTION("""COMPUTED_VALUE"""),176.0)</f>
        <v>176</v>
      </c>
      <c r="K177" s="20" t="b">
        <f>IFERROR(__xludf.DUMMYFUNCTION("""COMPUTED_VALUE"""),FALSE)</f>
        <v>0</v>
      </c>
      <c r="L177" s="20" t="str">
        <f>IFERROR(__xludf.DUMMYFUNCTION("""COMPUTED_VALUE"""),"Database;")</f>
        <v>Database;</v>
      </c>
      <c r="M177" s="20" t="b">
        <f>IFERROR(__xludf.DUMMYFUNCTION("""COMPUTED_VALUE"""),TRUE)</f>
        <v>1</v>
      </c>
      <c r="N177" s="20" t="b">
        <f>IFERROR(__xludf.DUMMYFUNCTION("""COMPUTED_VALUE"""),FALSE)</f>
        <v>0</v>
      </c>
      <c r="O177" s="20">
        <f>IFERROR(__xludf.DUMMYFUNCTION("""COMPUTED_VALUE"""),36.8894826028794)</f>
        <v>36.8894826</v>
      </c>
      <c r="P177" s="20">
        <f>IFERROR(__xludf.DUMMYFUNCTION("""COMPUTED_VALUE"""),589287.0)</f>
        <v>589287</v>
      </c>
      <c r="Q177" s="20">
        <f>IFERROR(__xludf.DUMMYFUNCTION("""COMPUTED_VALUE"""),1597453.0)</f>
        <v>1597453</v>
      </c>
    </row>
    <row r="178">
      <c r="A178" s="20">
        <f>IFERROR(__xludf.DUMMYFUNCTION("""COMPUTED_VALUE"""),177.0)</f>
        <v>177</v>
      </c>
      <c r="B178" s="20" t="str">
        <f>IFERROR(__xludf.DUMMYFUNCTION("""COMPUTED_VALUE"""),"Nth Highest Salary")</f>
        <v>Nth Highest Salary</v>
      </c>
      <c r="C178" s="20" t="str">
        <f>IFERROR(__xludf.DUMMYFUNCTION("""COMPUTED_VALUE"""),"nth-highest-salary")</f>
        <v>nth-highest-salary</v>
      </c>
      <c r="D178" s="20" t="b">
        <f>IFERROR(__xludf.DUMMYFUNCTION("""COMPUTED_VALUE"""),FALSE)</f>
        <v>0</v>
      </c>
      <c r="E178" s="20" t="str">
        <f>IFERROR(__xludf.DUMMYFUNCTION("""COMPUTED_VALUE"""),"Medium")</f>
        <v>Medium</v>
      </c>
      <c r="F178" s="20">
        <f>IFERROR(__xludf.DUMMYFUNCTION("""COMPUTED_VALUE"""),1446.0)</f>
        <v>1446</v>
      </c>
      <c r="G178" s="20">
        <f>IFERROR(__xludf.DUMMYFUNCTION("""COMPUTED_VALUE"""),782.0)</f>
        <v>782</v>
      </c>
      <c r="H178" s="20" t="str">
        <f>IFERROR(__xludf.DUMMYFUNCTION("""COMPUTED_VALUE"""),"Database")</f>
        <v>Database</v>
      </c>
      <c r="I178" s="20">
        <f>IFERROR(__xludf.DUMMYFUNCTION("""COMPUTED_VALUE"""),0.375)</f>
        <v>0.375</v>
      </c>
      <c r="J178" s="20">
        <f>IFERROR(__xludf.DUMMYFUNCTION("""COMPUTED_VALUE"""),177.0)</f>
        <v>177</v>
      </c>
      <c r="K178" s="20" t="b">
        <f>IFERROR(__xludf.DUMMYFUNCTION("""COMPUTED_VALUE"""),FALSE)</f>
        <v>0</v>
      </c>
      <c r="L178" s="20" t="str">
        <f>IFERROR(__xludf.DUMMYFUNCTION("""COMPUTED_VALUE"""),"Database;")</f>
        <v>Database;</v>
      </c>
      <c r="M178" s="20" t="b">
        <f>IFERROR(__xludf.DUMMYFUNCTION("""COMPUTED_VALUE"""),FALSE)</f>
        <v>0</v>
      </c>
      <c r="N178" s="20" t="b">
        <f>IFERROR(__xludf.DUMMYFUNCTION("""COMPUTED_VALUE"""),FALSE)</f>
        <v>0</v>
      </c>
      <c r="O178" s="20">
        <f>IFERROR(__xludf.DUMMYFUNCTION("""COMPUTED_VALUE"""),37.4815505218661)</f>
        <v>37.48155052</v>
      </c>
      <c r="P178" s="20">
        <f>IFERROR(__xludf.DUMMYFUNCTION("""COMPUTED_VALUE"""),283911.0)</f>
        <v>283911</v>
      </c>
      <c r="Q178" s="20">
        <f>IFERROR(__xludf.DUMMYFUNCTION("""COMPUTED_VALUE"""),757472.0)</f>
        <v>757472</v>
      </c>
    </row>
    <row r="179">
      <c r="A179" s="20">
        <f>IFERROR(__xludf.DUMMYFUNCTION("""COMPUTED_VALUE"""),178.0)</f>
        <v>178</v>
      </c>
      <c r="B179" s="20" t="str">
        <f>IFERROR(__xludf.DUMMYFUNCTION("""COMPUTED_VALUE"""),"Rank Scores")</f>
        <v>Rank Scores</v>
      </c>
      <c r="C179" s="20" t="str">
        <f>IFERROR(__xludf.DUMMYFUNCTION("""COMPUTED_VALUE"""),"rank-scores")</f>
        <v>rank-scores</v>
      </c>
      <c r="D179" s="20" t="b">
        <f>IFERROR(__xludf.DUMMYFUNCTION("""COMPUTED_VALUE"""),FALSE)</f>
        <v>0</v>
      </c>
      <c r="E179" s="20" t="str">
        <f>IFERROR(__xludf.DUMMYFUNCTION("""COMPUTED_VALUE"""),"Medium")</f>
        <v>Medium</v>
      </c>
      <c r="F179" s="20">
        <f>IFERROR(__xludf.DUMMYFUNCTION("""COMPUTED_VALUE"""),1667.0)</f>
        <v>1667</v>
      </c>
      <c r="G179" s="20">
        <f>IFERROR(__xludf.DUMMYFUNCTION("""COMPUTED_VALUE"""),228.0)</f>
        <v>228</v>
      </c>
      <c r="H179" s="20" t="str">
        <f>IFERROR(__xludf.DUMMYFUNCTION("""COMPUTED_VALUE"""),"Database")</f>
        <v>Database</v>
      </c>
      <c r="I179" s="20">
        <f>IFERROR(__xludf.DUMMYFUNCTION("""COMPUTED_VALUE"""),0.602)</f>
        <v>0.602</v>
      </c>
      <c r="J179" s="20">
        <f>IFERROR(__xludf.DUMMYFUNCTION("""COMPUTED_VALUE"""),178.0)</f>
        <v>178</v>
      </c>
      <c r="K179" s="20" t="b">
        <f>IFERROR(__xludf.DUMMYFUNCTION("""COMPUTED_VALUE"""),FALSE)</f>
        <v>0</v>
      </c>
      <c r="L179" s="20" t="str">
        <f>IFERROR(__xludf.DUMMYFUNCTION("""COMPUTED_VALUE"""),"Database;")</f>
        <v>Database;</v>
      </c>
      <c r="M179" s="20" t="b">
        <f>IFERROR(__xludf.DUMMYFUNCTION("""COMPUTED_VALUE"""),TRUE)</f>
        <v>1</v>
      </c>
      <c r="N179" s="20" t="b">
        <f>IFERROR(__xludf.DUMMYFUNCTION("""COMPUTED_VALUE"""),FALSE)</f>
        <v>0</v>
      </c>
      <c r="O179" s="20">
        <f>IFERROR(__xludf.DUMMYFUNCTION("""COMPUTED_VALUE"""),60.1731382908582)</f>
        <v>60.17313829</v>
      </c>
      <c r="P179" s="20">
        <f>IFERROR(__xludf.DUMMYFUNCTION("""COMPUTED_VALUE"""),273790.0)</f>
        <v>273790</v>
      </c>
      <c r="Q179" s="20">
        <f>IFERROR(__xludf.DUMMYFUNCTION("""COMPUTED_VALUE"""),455007.0)</f>
        <v>455007</v>
      </c>
    </row>
    <row r="180">
      <c r="A180" s="20">
        <f>IFERROR(__xludf.DUMMYFUNCTION("""COMPUTED_VALUE"""),179.0)</f>
        <v>179</v>
      </c>
      <c r="B180" s="20" t="str">
        <f>IFERROR(__xludf.DUMMYFUNCTION("""COMPUTED_VALUE"""),"Largest Number")</f>
        <v>Largest Number</v>
      </c>
      <c r="C180" s="20" t="str">
        <f>IFERROR(__xludf.DUMMYFUNCTION("""COMPUTED_VALUE"""),"largest-number")</f>
        <v>largest-number</v>
      </c>
      <c r="D180" s="20" t="b">
        <f>IFERROR(__xludf.DUMMYFUNCTION("""COMPUTED_VALUE"""),FALSE)</f>
        <v>0</v>
      </c>
      <c r="E180" s="20" t="str">
        <f>IFERROR(__xludf.DUMMYFUNCTION("""COMPUTED_VALUE"""),"Medium")</f>
        <v>Medium</v>
      </c>
      <c r="F180" s="20">
        <f>IFERROR(__xludf.DUMMYFUNCTION("""COMPUTED_VALUE"""),6234.0)</f>
        <v>6234</v>
      </c>
      <c r="G180" s="20">
        <f>IFERROR(__xludf.DUMMYFUNCTION("""COMPUTED_VALUE"""),520.0)</f>
        <v>520</v>
      </c>
      <c r="H180" s="20" t="str">
        <f>IFERROR(__xludf.DUMMYFUNCTION("""COMPUTED_VALUE"""),"Algorithms")</f>
        <v>Algorithms</v>
      </c>
      <c r="I180" s="20">
        <f>IFERROR(__xludf.DUMMYFUNCTION("""COMPUTED_VALUE"""),0.342)</f>
        <v>0.342</v>
      </c>
      <c r="J180" s="20">
        <f>IFERROR(__xludf.DUMMYFUNCTION("""COMPUTED_VALUE"""),179.0)</f>
        <v>179</v>
      </c>
      <c r="K180" s="20" t="b">
        <f>IFERROR(__xludf.DUMMYFUNCTION("""COMPUTED_VALUE"""),FALSE)</f>
        <v>0</v>
      </c>
      <c r="L180" s="20" t="str">
        <f>IFERROR(__xludf.DUMMYFUNCTION("""COMPUTED_VALUE"""),"Array;String;Greedy;Sorting;")</f>
        <v>Array;String;Greedy;Sorting;</v>
      </c>
      <c r="M180" s="20" t="b">
        <f>IFERROR(__xludf.DUMMYFUNCTION("""COMPUTED_VALUE"""),TRUE)</f>
        <v>1</v>
      </c>
      <c r="N180" s="20" t="b">
        <f>IFERROR(__xludf.DUMMYFUNCTION("""COMPUTED_VALUE"""),FALSE)</f>
        <v>0</v>
      </c>
      <c r="O180" s="20">
        <f>IFERROR(__xludf.DUMMYFUNCTION("""COMPUTED_VALUE"""),34.1974307026856)</f>
        <v>34.1974307</v>
      </c>
      <c r="P180" s="20">
        <f>IFERROR(__xludf.DUMMYFUNCTION("""COMPUTED_VALUE"""),368819.0)</f>
        <v>368819</v>
      </c>
      <c r="Q180" s="20">
        <f>IFERROR(__xludf.DUMMYFUNCTION("""COMPUTED_VALUE"""),1078499.0)</f>
        <v>1078499</v>
      </c>
    </row>
    <row r="181">
      <c r="A181" s="20">
        <f>IFERROR(__xludf.DUMMYFUNCTION("""COMPUTED_VALUE"""),180.0)</f>
        <v>180</v>
      </c>
      <c r="B181" s="20" t="str">
        <f>IFERROR(__xludf.DUMMYFUNCTION("""COMPUTED_VALUE"""),"Consecutive Numbers")</f>
        <v>Consecutive Numbers</v>
      </c>
      <c r="C181" s="20" t="str">
        <f>IFERROR(__xludf.DUMMYFUNCTION("""COMPUTED_VALUE"""),"consecutive-numbers")</f>
        <v>consecutive-numbers</v>
      </c>
      <c r="D181" s="20" t="b">
        <f>IFERROR(__xludf.DUMMYFUNCTION("""COMPUTED_VALUE"""),FALSE)</f>
        <v>0</v>
      </c>
      <c r="E181" s="20" t="str">
        <f>IFERROR(__xludf.DUMMYFUNCTION("""COMPUTED_VALUE"""),"Medium")</f>
        <v>Medium</v>
      </c>
      <c r="F181" s="20">
        <f>IFERROR(__xludf.DUMMYFUNCTION("""COMPUTED_VALUE"""),1362.0)</f>
        <v>1362</v>
      </c>
      <c r="G181" s="20">
        <f>IFERROR(__xludf.DUMMYFUNCTION("""COMPUTED_VALUE"""),215.0)</f>
        <v>215</v>
      </c>
      <c r="H181" s="20" t="str">
        <f>IFERROR(__xludf.DUMMYFUNCTION("""COMPUTED_VALUE"""),"Database")</f>
        <v>Database</v>
      </c>
      <c r="I181" s="20">
        <f>IFERROR(__xludf.DUMMYFUNCTION("""COMPUTED_VALUE"""),0.468)</f>
        <v>0.468</v>
      </c>
      <c r="J181" s="20">
        <f>IFERROR(__xludf.DUMMYFUNCTION("""COMPUTED_VALUE"""),180.0)</f>
        <v>180</v>
      </c>
      <c r="K181" s="20" t="b">
        <f>IFERROR(__xludf.DUMMYFUNCTION("""COMPUTED_VALUE"""),FALSE)</f>
        <v>0</v>
      </c>
      <c r="L181" s="20" t="str">
        <f>IFERROR(__xludf.DUMMYFUNCTION("""COMPUTED_VALUE"""),"Database;")</f>
        <v>Database;</v>
      </c>
      <c r="M181" s="20" t="b">
        <f>IFERROR(__xludf.DUMMYFUNCTION("""COMPUTED_VALUE"""),TRUE)</f>
        <v>1</v>
      </c>
      <c r="N181" s="20" t="b">
        <f>IFERROR(__xludf.DUMMYFUNCTION("""COMPUTED_VALUE"""),FALSE)</f>
        <v>0</v>
      </c>
      <c r="O181" s="20">
        <f>IFERROR(__xludf.DUMMYFUNCTION("""COMPUTED_VALUE"""),46.7556867744749)</f>
        <v>46.75568677</v>
      </c>
      <c r="P181" s="20">
        <f>IFERROR(__xludf.DUMMYFUNCTION("""COMPUTED_VALUE"""),229943.0)</f>
        <v>229943</v>
      </c>
      <c r="Q181" s="20">
        <f>IFERROR(__xludf.DUMMYFUNCTION("""COMPUTED_VALUE"""),491797.0)</f>
        <v>491797</v>
      </c>
    </row>
    <row r="182">
      <c r="A182" s="20">
        <f>IFERROR(__xludf.DUMMYFUNCTION("""COMPUTED_VALUE"""),181.0)</f>
        <v>181</v>
      </c>
      <c r="B182" s="20" t="str">
        <f>IFERROR(__xludf.DUMMYFUNCTION("""COMPUTED_VALUE"""),"Employees Earning More Than Their Managers")</f>
        <v>Employees Earning More Than Their Managers</v>
      </c>
      <c r="C182" s="20" t="str">
        <f>IFERROR(__xludf.DUMMYFUNCTION("""COMPUTED_VALUE"""),"employees-earning-more-than-their-managers")</f>
        <v>employees-earning-more-than-their-managers</v>
      </c>
      <c r="D182" s="20" t="b">
        <f>IFERROR(__xludf.DUMMYFUNCTION("""COMPUTED_VALUE"""),FALSE)</f>
        <v>0</v>
      </c>
      <c r="E182" s="20" t="str">
        <f>IFERROR(__xludf.DUMMYFUNCTION("""COMPUTED_VALUE"""),"Easy")</f>
        <v>Easy</v>
      </c>
      <c r="F182" s="20">
        <f>IFERROR(__xludf.DUMMYFUNCTION("""COMPUTED_VALUE"""),1878.0)</f>
        <v>1878</v>
      </c>
      <c r="G182" s="20">
        <f>IFERROR(__xludf.DUMMYFUNCTION("""COMPUTED_VALUE"""),190.0)</f>
        <v>190</v>
      </c>
      <c r="H182" s="20" t="str">
        <f>IFERROR(__xludf.DUMMYFUNCTION("""COMPUTED_VALUE"""),"Database")</f>
        <v>Database</v>
      </c>
      <c r="I182" s="20">
        <f>IFERROR(__xludf.DUMMYFUNCTION("""COMPUTED_VALUE"""),0.688)</f>
        <v>0.688</v>
      </c>
      <c r="J182" s="20">
        <f>IFERROR(__xludf.DUMMYFUNCTION("""COMPUTED_VALUE"""),181.0)</f>
        <v>181</v>
      </c>
      <c r="K182" s="20" t="b">
        <f>IFERROR(__xludf.DUMMYFUNCTION("""COMPUTED_VALUE"""),FALSE)</f>
        <v>0</v>
      </c>
      <c r="L182" s="20" t="str">
        <f>IFERROR(__xludf.DUMMYFUNCTION("""COMPUTED_VALUE"""),"Database;")</f>
        <v>Database;</v>
      </c>
      <c r="M182" s="20" t="b">
        <f>IFERROR(__xludf.DUMMYFUNCTION("""COMPUTED_VALUE"""),TRUE)</f>
        <v>1</v>
      </c>
      <c r="N182" s="20" t="b">
        <f>IFERROR(__xludf.DUMMYFUNCTION("""COMPUTED_VALUE"""),FALSE)</f>
        <v>0</v>
      </c>
      <c r="O182" s="20">
        <f>IFERROR(__xludf.DUMMYFUNCTION("""COMPUTED_VALUE"""),68.7868631772239)</f>
        <v>68.78686318</v>
      </c>
      <c r="P182" s="20">
        <f>IFERROR(__xludf.DUMMYFUNCTION("""COMPUTED_VALUE"""),443518.0)</f>
        <v>443518</v>
      </c>
      <c r="Q182" s="20">
        <f>IFERROR(__xludf.DUMMYFUNCTION("""COMPUTED_VALUE"""),644771.0)</f>
        <v>644771</v>
      </c>
    </row>
    <row r="183">
      <c r="A183" s="20">
        <f>IFERROR(__xludf.DUMMYFUNCTION("""COMPUTED_VALUE"""),182.0)</f>
        <v>182</v>
      </c>
      <c r="B183" s="20" t="str">
        <f>IFERROR(__xludf.DUMMYFUNCTION("""COMPUTED_VALUE"""),"Duplicate Emails")</f>
        <v>Duplicate Emails</v>
      </c>
      <c r="C183" s="20" t="str">
        <f>IFERROR(__xludf.DUMMYFUNCTION("""COMPUTED_VALUE"""),"duplicate-emails")</f>
        <v>duplicate-emails</v>
      </c>
      <c r="D183" s="20" t="b">
        <f>IFERROR(__xludf.DUMMYFUNCTION("""COMPUTED_VALUE"""),FALSE)</f>
        <v>0</v>
      </c>
      <c r="E183" s="20" t="str">
        <f>IFERROR(__xludf.DUMMYFUNCTION("""COMPUTED_VALUE"""),"Easy")</f>
        <v>Easy</v>
      </c>
      <c r="F183" s="20">
        <f>IFERROR(__xludf.DUMMYFUNCTION("""COMPUTED_VALUE"""),1506.0)</f>
        <v>1506</v>
      </c>
      <c r="G183" s="20">
        <f>IFERROR(__xludf.DUMMYFUNCTION("""COMPUTED_VALUE"""),53.0)</f>
        <v>53</v>
      </c>
      <c r="H183" s="20" t="str">
        <f>IFERROR(__xludf.DUMMYFUNCTION("""COMPUTED_VALUE"""),"Database")</f>
        <v>Database</v>
      </c>
      <c r="I183" s="20">
        <f>IFERROR(__xludf.DUMMYFUNCTION("""COMPUTED_VALUE"""),0.708)</f>
        <v>0.708</v>
      </c>
      <c r="J183" s="20">
        <f>IFERROR(__xludf.DUMMYFUNCTION("""COMPUTED_VALUE"""),182.0)</f>
        <v>182</v>
      </c>
      <c r="K183" s="20" t="b">
        <f>IFERROR(__xludf.DUMMYFUNCTION("""COMPUTED_VALUE"""),FALSE)</f>
        <v>0</v>
      </c>
      <c r="L183" s="20" t="str">
        <f>IFERROR(__xludf.DUMMYFUNCTION("""COMPUTED_VALUE"""),"Database;")</f>
        <v>Database;</v>
      </c>
      <c r="M183" s="20" t="b">
        <f>IFERROR(__xludf.DUMMYFUNCTION("""COMPUTED_VALUE"""),TRUE)</f>
        <v>1</v>
      </c>
      <c r="N183" s="20" t="b">
        <f>IFERROR(__xludf.DUMMYFUNCTION("""COMPUTED_VALUE"""),FALSE)</f>
        <v>0</v>
      </c>
      <c r="O183" s="20">
        <f>IFERROR(__xludf.DUMMYFUNCTION("""COMPUTED_VALUE"""),70.7611009612814)</f>
        <v>70.76110096</v>
      </c>
      <c r="P183" s="20">
        <f>IFERROR(__xludf.DUMMYFUNCTION("""COMPUTED_VALUE"""),450053.0)</f>
        <v>450053</v>
      </c>
      <c r="Q183" s="20">
        <f>IFERROR(__xludf.DUMMYFUNCTION("""COMPUTED_VALUE"""),636017.0)</f>
        <v>636017</v>
      </c>
    </row>
    <row r="184">
      <c r="A184" s="20">
        <f>IFERROR(__xludf.DUMMYFUNCTION("""COMPUTED_VALUE"""),183.0)</f>
        <v>183</v>
      </c>
      <c r="B184" s="20" t="str">
        <f>IFERROR(__xludf.DUMMYFUNCTION("""COMPUTED_VALUE"""),"Customers Who Never Order")</f>
        <v>Customers Who Never Order</v>
      </c>
      <c r="C184" s="20" t="str">
        <f>IFERROR(__xludf.DUMMYFUNCTION("""COMPUTED_VALUE"""),"customers-who-never-order")</f>
        <v>customers-who-never-order</v>
      </c>
      <c r="D184" s="20" t="b">
        <f>IFERROR(__xludf.DUMMYFUNCTION("""COMPUTED_VALUE"""),FALSE)</f>
        <v>0</v>
      </c>
      <c r="E184" s="20" t="str">
        <f>IFERROR(__xludf.DUMMYFUNCTION("""COMPUTED_VALUE"""),"Easy")</f>
        <v>Easy</v>
      </c>
      <c r="F184" s="20">
        <f>IFERROR(__xludf.DUMMYFUNCTION("""COMPUTED_VALUE"""),1824.0)</f>
        <v>1824</v>
      </c>
      <c r="G184" s="20">
        <f>IFERROR(__xludf.DUMMYFUNCTION("""COMPUTED_VALUE"""),103.0)</f>
        <v>103</v>
      </c>
      <c r="H184" s="20" t="str">
        <f>IFERROR(__xludf.DUMMYFUNCTION("""COMPUTED_VALUE"""),"Database")</f>
        <v>Database</v>
      </c>
      <c r="I184" s="20">
        <f>IFERROR(__xludf.DUMMYFUNCTION("""COMPUTED_VALUE"""),0.683)</f>
        <v>0.683</v>
      </c>
      <c r="J184" s="20">
        <f>IFERROR(__xludf.DUMMYFUNCTION("""COMPUTED_VALUE"""),183.0)</f>
        <v>183</v>
      </c>
      <c r="K184" s="20" t="b">
        <f>IFERROR(__xludf.DUMMYFUNCTION("""COMPUTED_VALUE"""),FALSE)</f>
        <v>0</v>
      </c>
      <c r="L184" s="20" t="str">
        <f>IFERROR(__xludf.DUMMYFUNCTION("""COMPUTED_VALUE"""),"Database;")</f>
        <v>Database;</v>
      </c>
      <c r="M184" s="20" t="b">
        <f>IFERROR(__xludf.DUMMYFUNCTION("""COMPUTED_VALUE"""),TRUE)</f>
        <v>1</v>
      </c>
      <c r="N184" s="20" t="b">
        <f>IFERROR(__xludf.DUMMYFUNCTION("""COMPUTED_VALUE"""),FALSE)</f>
        <v>0</v>
      </c>
      <c r="O184" s="20">
        <f>IFERROR(__xludf.DUMMYFUNCTION("""COMPUTED_VALUE"""),68.290075087696)</f>
        <v>68.29007509</v>
      </c>
      <c r="P184" s="20">
        <f>IFERROR(__xludf.DUMMYFUNCTION("""COMPUTED_VALUE"""),534568.0)</f>
        <v>534568</v>
      </c>
      <c r="Q184" s="20">
        <f>IFERROR(__xludf.DUMMYFUNCTION("""COMPUTED_VALUE"""),782794.0)</f>
        <v>782794</v>
      </c>
    </row>
    <row r="185">
      <c r="A185" s="20">
        <f>IFERROR(__xludf.DUMMYFUNCTION("""COMPUTED_VALUE"""),184.0)</f>
        <v>184</v>
      </c>
      <c r="B185" s="20" t="str">
        <f>IFERROR(__xludf.DUMMYFUNCTION("""COMPUTED_VALUE"""),"Department Highest Salary")</f>
        <v>Department Highest Salary</v>
      </c>
      <c r="C185" s="20" t="str">
        <f>IFERROR(__xludf.DUMMYFUNCTION("""COMPUTED_VALUE"""),"department-highest-salary")</f>
        <v>department-highest-salary</v>
      </c>
      <c r="D185" s="20" t="b">
        <f>IFERROR(__xludf.DUMMYFUNCTION("""COMPUTED_VALUE"""),FALSE)</f>
        <v>0</v>
      </c>
      <c r="E185" s="20" t="str">
        <f>IFERROR(__xludf.DUMMYFUNCTION("""COMPUTED_VALUE"""),"Medium")</f>
        <v>Medium</v>
      </c>
      <c r="F185" s="20">
        <f>IFERROR(__xludf.DUMMYFUNCTION("""COMPUTED_VALUE"""),1509.0)</f>
        <v>1509</v>
      </c>
      <c r="G185" s="20">
        <f>IFERROR(__xludf.DUMMYFUNCTION("""COMPUTED_VALUE"""),167.0)</f>
        <v>167</v>
      </c>
      <c r="H185" s="20" t="str">
        <f>IFERROR(__xludf.DUMMYFUNCTION("""COMPUTED_VALUE"""),"Database")</f>
        <v>Database</v>
      </c>
      <c r="I185" s="20">
        <f>IFERROR(__xludf.DUMMYFUNCTION("""COMPUTED_VALUE"""),0.498)</f>
        <v>0.498</v>
      </c>
      <c r="J185" s="20">
        <f>IFERROR(__xludf.DUMMYFUNCTION("""COMPUTED_VALUE"""),184.0)</f>
        <v>184</v>
      </c>
      <c r="K185" s="20" t="b">
        <f>IFERROR(__xludf.DUMMYFUNCTION("""COMPUTED_VALUE"""),FALSE)</f>
        <v>0</v>
      </c>
      <c r="L185" s="20" t="str">
        <f>IFERROR(__xludf.DUMMYFUNCTION("""COMPUTED_VALUE"""),"Database;")</f>
        <v>Database;</v>
      </c>
      <c r="M185" s="20" t="b">
        <f>IFERROR(__xludf.DUMMYFUNCTION("""COMPUTED_VALUE"""),TRUE)</f>
        <v>1</v>
      </c>
      <c r="N185" s="20" t="b">
        <f>IFERROR(__xludf.DUMMYFUNCTION("""COMPUTED_VALUE"""),FALSE)</f>
        <v>0</v>
      </c>
      <c r="O185" s="20">
        <f>IFERROR(__xludf.DUMMYFUNCTION("""COMPUTED_VALUE"""),49.8148060211785)</f>
        <v>49.81480602</v>
      </c>
      <c r="P185" s="20">
        <f>IFERROR(__xludf.DUMMYFUNCTION("""COMPUTED_VALUE"""),272747.0)</f>
        <v>272747</v>
      </c>
      <c r="Q185" s="20">
        <f>IFERROR(__xludf.DUMMYFUNCTION("""COMPUTED_VALUE"""),547521.0)</f>
        <v>547521</v>
      </c>
    </row>
    <row r="186">
      <c r="A186" s="20">
        <f>IFERROR(__xludf.DUMMYFUNCTION("""COMPUTED_VALUE"""),185.0)</f>
        <v>185</v>
      </c>
      <c r="B186" s="20" t="str">
        <f>IFERROR(__xludf.DUMMYFUNCTION("""COMPUTED_VALUE"""),"Department Top Three Salaries")</f>
        <v>Department Top Three Salaries</v>
      </c>
      <c r="C186" s="20" t="str">
        <f>IFERROR(__xludf.DUMMYFUNCTION("""COMPUTED_VALUE"""),"department-top-three-salaries")</f>
        <v>department-top-three-salaries</v>
      </c>
      <c r="D186" s="20" t="b">
        <f>IFERROR(__xludf.DUMMYFUNCTION("""COMPUTED_VALUE"""),FALSE)</f>
        <v>0</v>
      </c>
      <c r="E186" s="20" t="str">
        <f>IFERROR(__xludf.DUMMYFUNCTION("""COMPUTED_VALUE"""),"Hard")</f>
        <v>Hard</v>
      </c>
      <c r="F186" s="20">
        <f>IFERROR(__xludf.DUMMYFUNCTION("""COMPUTED_VALUE"""),1357.0)</f>
        <v>1357</v>
      </c>
      <c r="G186" s="20">
        <f>IFERROR(__xludf.DUMMYFUNCTION("""COMPUTED_VALUE"""),196.0)</f>
        <v>196</v>
      </c>
      <c r="H186" s="20" t="str">
        <f>IFERROR(__xludf.DUMMYFUNCTION("""COMPUTED_VALUE"""),"Database")</f>
        <v>Database</v>
      </c>
      <c r="I186" s="20">
        <f>IFERROR(__xludf.DUMMYFUNCTION("""COMPUTED_VALUE"""),0.502)</f>
        <v>0.502</v>
      </c>
      <c r="J186" s="20">
        <f>IFERROR(__xludf.DUMMYFUNCTION("""COMPUTED_VALUE"""),185.0)</f>
        <v>185</v>
      </c>
      <c r="K186" s="20" t="b">
        <f>IFERROR(__xludf.DUMMYFUNCTION("""COMPUTED_VALUE"""),FALSE)</f>
        <v>0</v>
      </c>
      <c r="L186" s="20" t="str">
        <f>IFERROR(__xludf.DUMMYFUNCTION("""COMPUTED_VALUE"""),"Database;")</f>
        <v>Database;</v>
      </c>
      <c r="M186" s="20" t="b">
        <f>IFERROR(__xludf.DUMMYFUNCTION("""COMPUTED_VALUE"""),TRUE)</f>
        <v>1</v>
      </c>
      <c r="N186" s="20" t="b">
        <f>IFERROR(__xludf.DUMMYFUNCTION("""COMPUTED_VALUE"""),FALSE)</f>
        <v>0</v>
      </c>
      <c r="O186" s="20">
        <f>IFERROR(__xludf.DUMMYFUNCTION("""COMPUTED_VALUE"""),50.2325174606744)</f>
        <v>50.23251746</v>
      </c>
      <c r="P186" s="20">
        <f>IFERROR(__xludf.DUMMYFUNCTION("""COMPUTED_VALUE"""),201013.0)</f>
        <v>201013</v>
      </c>
      <c r="Q186" s="20">
        <f>IFERROR(__xludf.DUMMYFUNCTION("""COMPUTED_VALUE"""),400175.0)</f>
        <v>400175</v>
      </c>
    </row>
    <row r="187">
      <c r="A187" s="20">
        <f>IFERROR(__xludf.DUMMYFUNCTION("""COMPUTED_VALUE"""),186.0)</f>
        <v>186</v>
      </c>
      <c r="B187" s="20" t="str">
        <f>IFERROR(__xludf.DUMMYFUNCTION("""COMPUTED_VALUE"""),"Reverse Words in a String II")</f>
        <v>Reverse Words in a String II</v>
      </c>
      <c r="C187" s="20" t="str">
        <f>IFERROR(__xludf.DUMMYFUNCTION("""COMPUTED_VALUE"""),"reverse-words-in-a-string-ii")</f>
        <v>reverse-words-in-a-string-ii</v>
      </c>
      <c r="D187" s="20" t="b">
        <f>IFERROR(__xludf.DUMMYFUNCTION("""COMPUTED_VALUE"""),TRUE)</f>
        <v>1</v>
      </c>
      <c r="E187" s="20" t="str">
        <f>IFERROR(__xludf.DUMMYFUNCTION("""COMPUTED_VALUE"""),"Medium")</f>
        <v>Medium</v>
      </c>
      <c r="F187" s="20">
        <f>IFERROR(__xludf.DUMMYFUNCTION("""COMPUTED_VALUE"""),935.0)</f>
        <v>935</v>
      </c>
      <c r="G187" s="20">
        <f>IFERROR(__xludf.DUMMYFUNCTION("""COMPUTED_VALUE"""),135.0)</f>
        <v>135</v>
      </c>
      <c r="H187" s="20" t="str">
        <f>IFERROR(__xludf.DUMMYFUNCTION("""COMPUTED_VALUE"""),"Algorithms")</f>
        <v>Algorithms</v>
      </c>
      <c r="I187" s="20">
        <f>IFERROR(__xludf.DUMMYFUNCTION("""COMPUTED_VALUE"""),0.526)</f>
        <v>0.526</v>
      </c>
      <c r="J187" s="20">
        <f>IFERROR(__xludf.DUMMYFUNCTION("""COMPUTED_VALUE"""),186.0)</f>
        <v>186</v>
      </c>
      <c r="K187" s="20" t="b">
        <f>IFERROR(__xludf.DUMMYFUNCTION("""COMPUTED_VALUE"""),TRUE)</f>
        <v>1</v>
      </c>
      <c r="L187" s="20" t="str">
        <f>IFERROR(__xludf.DUMMYFUNCTION("""COMPUTED_VALUE"""),"Two Pointers;String;")</f>
        <v>Two Pointers;String;</v>
      </c>
      <c r="M187" s="20" t="b">
        <f>IFERROR(__xludf.DUMMYFUNCTION("""COMPUTED_VALUE"""),TRUE)</f>
        <v>1</v>
      </c>
      <c r="N187" s="20" t="b">
        <f>IFERROR(__xludf.DUMMYFUNCTION("""COMPUTED_VALUE"""),FALSE)</f>
        <v>0</v>
      </c>
      <c r="O187" s="20">
        <f>IFERROR(__xludf.DUMMYFUNCTION("""COMPUTED_VALUE"""),52.6070262447914)</f>
        <v>52.60702624</v>
      </c>
      <c r="P187" s="20">
        <f>IFERROR(__xludf.DUMMYFUNCTION("""COMPUTED_VALUE"""),144683.0)</f>
        <v>144683</v>
      </c>
      <c r="Q187" s="20">
        <f>IFERROR(__xludf.DUMMYFUNCTION("""COMPUTED_VALUE"""),275026.0)</f>
        <v>275026</v>
      </c>
    </row>
    <row r="188">
      <c r="A188" s="20">
        <f>IFERROR(__xludf.DUMMYFUNCTION("""COMPUTED_VALUE"""),187.0)</f>
        <v>187</v>
      </c>
      <c r="B188" s="20" t="str">
        <f>IFERROR(__xludf.DUMMYFUNCTION("""COMPUTED_VALUE"""),"Repeated DNA Sequences")</f>
        <v>Repeated DNA Sequences</v>
      </c>
      <c r="C188" s="20" t="str">
        <f>IFERROR(__xludf.DUMMYFUNCTION("""COMPUTED_VALUE"""),"repeated-dna-sequences")</f>
        <v>repeated-dna-sequences</v>
      </c>
      <c r="D188" s="20" t="b">
        <f>IFERROR(__xludf.DUMMYFUNCTION("""COMPUTED_VALUE"""),FALSE)</f>
        <v>0</v>
      </c>
      <c r="E188" s="20" t="str">
        <f>IFERROR(__xludf.DUMMYFUNCTION("""COMPUTED_VALUE"""),"Medium")</f>
        <v>Medium</v>
      </c>
      <c r="F188" s="20">
        <f>IFERROR(__xludf.DUMMYFUNCTION("""COMPUTED_VALUE"""),2604.0)</f>
        <v>2604</v>
      </c>
      <c r="G188" s="20">
        <f>IFERROR(__xludf.DUMMYFUNCTION("""COMPUTED_VALUE"""),461.0)</f>
        <v>461</v>
      </c>
      <c r="H188" s="20" t="str">
        <f>IFERROR(__xludf.DUMMYFUNCTION("""COMPUTED_VALUE"""),"Algorithms")</f>
        <v>Algorithms</v>
      </c>
      <c r="I188" s="20">
        <f>IFERROR(__xludf.DUMMYFUNCTION("""COMPUTED_VALUE"""),0.465)</f>
        <v>0.465</v>
      </c>
      <c r="J188" s="20">
        <f>IFERROR(__xludf.DUMMYFUNCTION("""COMPUTED_VALUE"""),187.0)</f>
        <v>187</v>
      </c>
      <c r="K188" s="20" t="b">
        <f>IFERROR(__xludf.DUMMYFUNCTION("""COMPUTED_VALUE"""),FALSE)</f>
        <v>0</v>
      </c>
      <c r="L188" s="20" t="str">
        <f>IFERROR(__xludf.DUMMYFUNCTION("""COMPUTED_VALUE"""),"Hash Table;String;Bit Manipulation;Sliding Window;Rolling Hash;Hash Function;")</f>
        <v>Hash Table;String;Bit Manipulation;Sliding Window;Rolling Hash;Hash Function;</v>
      </c>
      <c r="M188" s="20" t="b">
        <f>IFERROR(__xludf.DUMMYFUNCTION("""COMPUTED_VALUE"""),TRUE)</f>
        <v>1</v>
      </c>
      <c r="N188" s="20" t="b">
        <f>IFERROR(__xludf.DUMMYFUNCTION("""COMPUTED_VALUE"""),FALSE)</f>
        <v>0</v>
      </c>
      <c r="O188" s="20">
        <f>IFERROR(__xludf.DUMMYFUNCTION("""COMPUTED_VALUE"""),46.497947726129)</f>
        <v>46.49794773</v>
      </c>
      <c r="P188" s="20">
        <f>IFERROR(__xludf.DUMMYFUNCTION("""COMPUTED_VALUE"""),306769.0)</f>
        <v>306769</v>
      </c>
      <c r="Q188" s="20">
        <f>IFERROR(__xludf.DUMMYFUNCTION("""COMPUTED_VALUE"""),659746.0)</f>
        <v>659746</v>
      </c>
    </row>
    <row r="189">
      <c r="A189" s="20">
        <f>IFERROR(__xludf.DUMMYFUNCTION("""COMPUTED_VALUE"""),188.0)</f>
        <v>188</v>
      </c>
      <c r="B189" s="20" t="str">
        <f>IFERROR(__xludf.DUMMYFUNCTION("""COMPUTED_VALUE"""),"Best Time to Buy and Sell Stock IV")</f>
        <v>Best Time to Buy and Sell Stock IV</v>
      </c>
      <c r="C189" s="20" t="str">
        <f>IFERROR(__xludf.DUMMYFUNCTION("""COMPUTED_VALUE"""),"best-time-to-buy-and-sell-stock-iv")</f>
        <v>best-time-to-buy-and-sell-stock-iv</v>
      </c>
      <c r="D189" s="20" t="b">
        <f>IFERROR(__xludf.DUMMYFUNCTION("""COMPUTED_VALUE"""),FALSE)</f>
        <v>0</v>
      </c>
      <c r="E189" s="20" t="str">
        <f>IFERROR(__xludf.DUMMYFUNCTION("""COMPUTED_VALUE"""),"Hard")</f>
        <v>Hard</v>
      </c>
      <c r="F189" s="20">
        <f>IFERROR(__xludf.DUMMYFUNCTION("""COMPUTED_VALUE"""),5986.0)</f>
        <v>5986</v>
      </c>
      <c r="G189" s="20">
        <f>IFERROR(__xludf.DUMMYFUNCTION("""COMPUTED_VALUE"""),194.0)</f>
        <v>194</v>
      </c>
      <c r="H189" s="20" t="str">
        <f>IFERROR(__xludf.DUMMYFUNCTION("""COMPUTED_VALUE"""),"Algorithms")</f>
        <v>Algorithms</v>
      </c>
      <c r="I189" s="20">
        <f>IFERROR(__xludf.DUMMYFUNCTION("""COMPUTED_VALUE"""),0.383)</f>
        <v>0.383</v>
      </c>
      <c r="J189" s="20">
        <f>IFERROR(__xludf.DUMMYFUNCTION("""COMPUTED_VALUE"""),188.0)</f>
        <v>188</v>
      </c>
      <c r="K189" s="20" t="b">
        <f>IFERROR(__xludf.DUMMYFUNCTION("""COMPUTED_VALUE"""),FALSE)</f>
        <v>0</v>
      </c>
      <c r="L189" s="20" t="str">
        <f>IFERROR(__xludf.DUMMYFUNCTION("""COMPUTED_VALUE"""),"Array;Dynamic Programming;")</f>
        <v>Array;Dynamic Programming;</v>
      </c>
      <c r="M189" s="20" t="b">
        <f>IFERROR(__xludf.DUMMYFUNCTION("""COMPUTED_VALUE"""),TRUE)</f>
        <v>1</v>
      </c>
      <c r="N189" s="20" t="b">
        <f>IFERROR(__xludf.DUMMYFUNCTION("""COMPUTED_VALUE"""),FALSE)</f>
        <v>0</v>
      </c>
      <c r="O189" s="20">
        <f>IFERROR(__xludf.DUMMYFUNCTION("""COMPUTED_VALUE"""),38.3487499999999)</f>
        <v>38.34875</v>
      </c>
      <c r="P189" s="20">
        <f>IFERROR(__xludf.DUMMYFUNCTION("""COMPUTED_VALUE"""),337468.0)</f>
        <v>337468</v>
      </c>
      <c r="Q189" s="20">
        <f>IFERROR(__xludf.DUMMYFUNCTION("""COMPUTED_VALUE"""),879998.0)</f>
        <v>879998</v>
      </c>
    </row>
    <row r="190">
      <c r="A190" s="20">
        <f>IFERROR(__xludf.DUMMYFUNCTION("""COMPUTED_VALUE"""),189.0)</f>
        <v>189</v>
      </c>
      <c r="B190" s="20" t="str">
        <f>IFERROR(__xludf.DUMMYFUNCTION("""COMPUTED_VALUE"""),"Rotate Array")</f>
        <v>Rotate Array</v>
      </c>
      <c r="C190" s="20" t="str">
        <f>IFERROR(__xludf.DUMMYFUNCTION("""COMPUTED_VALUE"""),"rotate-array")</f>
        <v>rotate-array</v>
      </c>
      <c r="D190" s="20" t="b">
        <f>IFERROR(__xludf.DUMMYFUNCTION("""COMPUTED_VALUE"""),FALSE)</f>
        <v>0</v>
      </c>
      <c r="E190" s="20" t="str">
        <f>IFERROR(__xludf.DUMMYFUNCTION("""COMPUTED_VALUE"""),"Medium")</f>
        <v>Medium</v>
      </c>
      <c r="F190" s="20">
        <f>IFERROR(__xludf.DUMMYFUNCTION("""COMPUTED_VALUE"""),12562.0)</f>
        <v>12562</v>
      </c>
      <c r="G190" s="20">
        <f>IFERROR(__xludf.DUMMYFUNCTION("""COMPUTED_VALUE"""),1486.0)</f>
        <v>1486</v>
      </c>
      <c r="H190" s="20" t="str">
        <f>IFERROR(__xludf.DUMMYFUNCTION("""COMPUTED_VALUE"""),"Algorithms")</f>
        <v>Algorithms</v>
      </c>
      <c r="I190" s="20">
        <f>IFERROR(__xludf.DUMMYFUNCTION("""COMPUTED_VALUE"""),0.393)</f>
        <v>0.393</v>
      </c>
      <c r="J190" s="20">
        <f>IFERROR(__xludf.DUMMYFUNCTION("""COMPUTED_VALUE"""),189.0)</f>
        <v>189</v>
      </c>
      <c r="K190" s="20" t="b">
        <f>IFERROR(__xludf.DUMMYFUNCTION("""COMPUTED_VALUE"""),FALSE)</f>
        <v>0</v>
      </c>
      <c r="L190" s="20" t="str">
        <f>IFERROR(__xludf.DUMMYFUNCTION("""COMPUTED_VALUE"""),"Array;Math;Two Pointers;")</f>
        <v>Array;Math;Two Pointers;</v>
      </c>
      <c r="M190" s="20" t="b">
        <f>IFERROR(__xludf.DUMMYFUNCTION("""COMPUTED_VALUE"""),TRUE)</f>
        <v>1</v>
      </c>
      <c r="N190" s="20" t="b">
        <f>IFERROR(__xludf.DUMMYFUNCTION("""COMPUTED_VALUE"""),FALSE)</f>
        <v>0</v>
      </c>
      <c r="O190" s="20">
        <f>IFERROR(__xludf.DUMMYFUNCTION("""COMPUTED_VALUE"""),39.2562623463525)</f>
        <v>39.25626235</v>
      </c>
      <c r="P190" s="20">
        <f>IFERROR(__xludf.DUMMYFUNCTION("""COMPUTED_VALUE"""),1363633.0)</f>
        <v>1363633</v>
      </c>
      <c r="Q190" s="20">
        <f>IFERROR(__xludf.DUMMYFUNCTION("""COMPUTED_VALUE"""),3473673.0)</f>
        <v>3473673</v>
      </c>
    </row>
    <row r="191">
      <c r="A191" s="20">
        <f>IFERROR(__xludf.DUMMYFUNCTION("""COMPUTED_VALUE"""),190.0)</f>
        <v>190</v>
      </c>
      <c r="B191" s="20" t="str">
        <f>IFERROR(__xludf.DUMMYFUNCTION("""COMPUTED_VALUE"""),"Reverse Bits")</f>
        <v>Reverse Bits</v>
      </c>
      <c r="C191" s="20" t="str">
        <f>IFERROR(__xludf.DUMMYFUNCTION("""COMPUTED_VALUE"""),"reverse-bits")</f>
        <v>reverse-bits</v>
      </c>
      <c r="D191" s="20" t="b">
        <f>IFERROR(__xludf.DUMMYFUNCTION("""COMPUTED_VALUE"""),FALSE)</f>
        <v>0</v>
      </c>
      <c r="E191" s="20" t="str">
        <f>IFERROR(__xludf.DUMMYFUNCTION("""COMPUTED_VALUE"""),"Easy")</f>
        <v>Easy</v>
      </c>
      <c r="F191" s="20">
        <f>IFERROR(__xludf.DUMMYFUNCTION("""COMPUTED_VALUE"""),3991.0)</f>
        <v>3991</v>
      </c>
      <c r="G191" s="20">
        <f>IFERROR(__xludf.DUMMYFUNCTION("""COMPUTED_VALUE"""),1017.0)</f>
        <v>1017</v>
      </c>
      <c r="H191" s="20" t="str">
        <f>IFERROR(__xludf.DUMMYFUNCTION("""COMPUTED_VALUE"""),"Algorithms")</f>
        <v>Algorithms</v>
      </c>
      <c r="I191" s="20">
        <f>IFERROR(__xludf.DUMMYFUNCTION("""COMPUTED_VALUE"""),0.529)</f>
        <v>0.529</v>
      </c>
      <c r="J191" s="20">
        <f>IFERROR(__xludf.DUMMYFUNCTION("""COMPUTED_VALUE"""),190.0)</f>
        <v>190</v>
      </c>
      <c r="K191" s="20" t="b">
        <f>IFERROR(__xludf.DUMMYFUNCTION("""COMPUTED_VALUE"""),FALSE)</f>
        <v>0</v>
      </c>
      <c r="L191" s="20" t="str">
        <f>IFERROR(__xludf.DUMMYFUNCTION("""COMPUTED_VALUE"""),"Divide and Conquer;Bit Manipulation;")</f>
        <v>Divide and Conquer;Bit Manipulation;</v>
      </c>
      <c r="M191" s="20" t="b">
        <f>IFERROR(__xludf.DUMMYFUNCTION("""COMPUTED_VALUE"""),TRUE)</f>
        <v>1</v>
      </c>
      <c r="N191" s="20" t="b">
        <f>IFERROR(__xludf.DUMMYFUNCTION("""COMPUTED_VALUE"""),FALSE)</f>
        <v>0</v>
      </c>
      <c r="O191" s="20">
        <f>IFERROR(__xludf.DUMMYFUNCTION("""COMPUTED_VALUE"""),52.8920553119532)</f>
        <v>52.89205531</v>
      </c>
      <c r="P191" s="20">
        <f>IFERROR(__xludf.DUMMYFUNCTION("""COMPUTED_VALUE"""),578030.0)</f>
        <v>578030</v>
      </c>
      <c r="Q191" s="20">
        <f>IFERROR(__xludf.DUMMYFUNCTION("""COMPUTED_VALUE"""),1092852.0)</f>
        <v>1092852</v>
      </c>
    </row>
    <row r="192">
      <c r="A192" s="20">
        <f>IFERROR(__xludf.DUMMYFUNCTION("""COMPUTED_VALUE"""),191.0)</f>
        <v>191</v>
      </c>
      <c r="B192" s="20" t="str">
        <f>IFERROR(__xludf.DUMMYFUNCTION("""COMPUTED_VALUE"""),"Number of 1 Bits")</f>
        <v>Number of 1 Bits</v>
      </c>
      <c r="C192" s="20" t="str">
        <f>IFERROR(__xludf.DUMMYFUNCTION("""COMPUTED_VALUE"""),"number-of-1-bits")</f>
        <v>number-of-1-bits</v>
      </c>
      <c r="D192" s="20" t="b">
        <f>IFERROR(__xludf.DUMMYFUNCTION("""COMPUTED_VALUE"""),FALSE)</f>
        <v>0</v>
      </c>
      <c r="E192" s="20" t="str">
        <f>IFERROR(__xludf.DUMMYFUNCTION("""COMPUTED_VALUE"""),"Easy")</f>
        <v>Easy</v>
      </c>
      <c r="F192" s="20">
        <f>IFERROR(__xludf.DUMMYFUNCTION("""COMPUTED_VALUE"""),4781.0)</f>
        <v>4781</v>
      </c>
      <c r="G192" s="20">
        <f>IFERROR(__xludf.DUMMYFUNCTION("""COMPUTED_VALUE"""),1020.0)</f>
        <v>1020</v>
      </c>
      <c r="H192" s="20" t="str">
        <f>IFERROR(__xludf.DUMMYFUNCTION("""COMPUTED_VALUE"""),"Algorithms")</f>
        <v>Algorithms</v>
      </c>
      <c r="I192" s="20">
        <f>IFERROR(__xludf.DUMMYFUNCTION("""COMPUTED_VALUE"""),0.655)</f>
        <v>0.655</v>
      </c>
      <c r="J192" s="20">
        <f>IFERROR(__xludf.DUMMYFUNCTION("""COMPUTED_VALUE"""),191.0)</f>
        <v>191</v>
      </c>
      <c r="K192" s="20" t="b">
        <f>IFERROR(__xludf.DUMMYFUNCTION("""COMPUTED_VALUE"""),FALSE)</f>
        <v>0</v>
      </c>
      <c r="L192" s="20" t="str">
        <f>IFERROR(__xludf.DUMMYFUNCTION("""COMPUTED_VALUE"""),"Divide and Conquer;Bit Manipulation;")</f>
        <v>Divide and Conquer;Bit Manipulation;</v>
      </c>
      <c r="M192" s="20" t="b">
        <f>IFERROR(__xludf.DUMMYFUNCTION("""COMPUTED_VALUE"""),TRUE)</f>
        <v>1</v>
      </c>
      <c r="N192" s="20" t="b">
        <f>IFERROR(__xludf.DUMMYFUNCTION("""COMPUTED_VALUE"""),FALSE)</f>
        <v>0</v>
      </c>
      <c r="O192" s="20">
        <f>IFERROR(__xludf.DUMMYFUNCTION("""COMPUTED_VALUE"""),65.4655300217528)</f>
        <v>65.46553002</v>
      </c>
      <c r="P192" s="20">
        <f>IFERROR(__xludf.DUMMYFUNCTION("""COMPUTED_VALUE"""),998847.0)</f>
        <v>998847</v>
      </c>
      <c r="Q192" s="20">
        <f>IFERROR(__xludf.DUMMYFUNCTION("""COMPUTED_VALUE"""),1525766.0)</f>
        <v>1525766</v>
      </c>
    </row>
    <row r="193">
      <c r="A193" s="20">
        <f>IFERROR(__xludf.DUMMYFUNCTION("""COMPUTED_VALUE"""),192.0)</f>
        <v>192</v>
      </c>
      <c r="B193" s="20" t="str">
        <f>IFERROR(__xludf.DUMMYFUNCTION("""COMPUTED_VALUE"""),"Word Frequency")</f>
        <v>Word Frequency</v>
      </c>
      <c r="C193" s="20" t="str">
        <f>IFERROR(__xludf.DUMMYFUNCTION("""COMPUTED_VALUE"""),"word-frequency")</f>
        <v>word-frequency</v>
      </c>
      <c r="D193" s="20" t="b">
        <f>IFERROR(__xludf.DUMMYFUNCTION("""COMPUTED_VALUE"""),FALSE)</f>
        <v>0</v>
      </c>
      <c r="E193" s="20" t="str">
        <f>IFERROR(__xludf.DUMMYFUNCTION("""COMPUTED_VALUE"""),"Medium")</f>
        <v>Medium</v>
      </c>
      <c r="F193" s="20">
        <f>IFERROR(__xludf.DUMMYFUNCTION("""COMPUTED_VALUE"""),445.0)</f>
        <v>445</v>
      </c>
      <c r="G193" s="20">
        <f>IFERROR(__xludf.DUMMYFUNCTION("""COMPUTED_VALUE"""),276.0)</f>
        <v>276</v>
      </c>
      <c r="H193" s="20" t="str">
        <f>IFERROR(__xludf.DUMMYFUNCTION("""COMPUTED_VALUE"""),"Shell")</f>
        <v>Shell</v>
      </c>
      <c r="I193" s="20">
        <f>IFERROR(__xludf.DUMMYFUNCTION("""COMPUTED_VALUE"""),0.256)</f>
        <v>0.256</v>
      </c>
      <c r="J193" s="20">
        <f>IFERROR(__xludf.DUMMYFUNCTION("""COMPUTED_VALUE"""),192.0)</f>
        <v>192</v>
      </c>
      <c r="K193" s="20" t="b">
        <f>IFERROR(__xludf.DUMMYFUNCTION("""COMPUTED_VALUE"""),FALSE)</f>
        <v>0</v>
      </c>
      <c r="L193" s="20" t="str">
        <f>IFERROR(__xludf.DUMMYFUNCTION("""COMPUTED_VALUE"""),"Shell;")</f>
        <v>Shell;</v>
      </c>
      <c r="M193" s="20" t="b">
        <f>IFERROR(__xludf.DUMMYFUNCTION("""COMPUTED_VALUE"""),FALSE)</f>
        <v>0</v>
      </c>
      <c r="N193" s="20" t="b">
        <f>IFERROR(__xludf.DUMMYFUNCTION("""COMPUTED_VALUE"""),FALSE)</f>
        <v>0</v>
      </c>
      <c r="O193" s="20">
        <f>IFERROR(__xludf.DUMMYFUNCTION("""COMPUTED_VALUE"""),25.6300654003817)</f>
        <v>25.6300654</v>
      </c>
      <c r="P193" s="20">
        <f>IFERROR(__xludf.DUMMYFUNCTION("""COMPUTED_VALUE"""),40953.0)</f>
        <v>40953</v>
      </c>
      <c r="Q193" s="20">
        <f>IFERROR(__xludf.DUMMYFUNCTION("""COMPUTED_VALUE"""),159783.0)</f>
        <v>159783</v>
      </c>
    </row>
    <row r="194">
      <c r="A194" s="20">
        <f>IFERROR(__xludf.DUMMYFUNCTION("""COMPUTED_VALUE"""),193.0)</f>
        <v>193</v>
      </c>
      <c r="B194" s="20" t="str">
        <f>IFERROR(__xludf.DUMMYFUNCTION("""COMPUTED_VALUE"""),"Valid Phone Numbers")</f>
        <v>Valid Phone Numbers</v>
      </c>
      <c r="C194" s="20" t="str">
        <f>IFERROR(__xludf.DUMMYFUNCTION("""COMPUTED_VALUE"""),"valid-phone-numbers")</f>
        <v>valid-phone-numbers</v>
      </c>
      <c r="D194" s="20" t="b">
        <f>IFERROR(__xludf.DUMMYFUNCTION("""COMPUTED_VALUE"""),FALSE)</f>
        <v>0</v>
      </c>
      <c r="E194" s="20" t="str">
        <f>IFERROR(__xludf.DUMMYFUNCTION("""COMPUTED_VALUE"""),"Easy")</f>
        <v>Easy</v>
      </c>
      <c r="F194" s="20">
        <f>IFERROR(__xludf.DUMMYFUNCTION("""COMPUTED_VALUE"""),333.0)</f>
        <v>333</v>
      </c>
      <c r="G194" s="20">
        <f>IFERROR(__xludf.DUMMYFUNCTION("""COMPUTED_VALUE"""),820.0)</f>
        <v>820</v>
      </c>
      <c r="H194" s="20" t="str">
        <f>IFERROR(__xludf.DUMMYFUNCTION("""COMPUTED_VALUE"""),"Shell")</f>
        <v>Shell</v>
      </c>
      <c r="I194" s="20">
        <f>IFERROR(__xludf.DUMMYFUNCTION("""COMPUTED_VALUE"""),0.26)</f>
        <v>0.26</v>
      </c>
      <c r="J194" s="20">
        <f>IFERROR(__xludf.DUMMYFUNCTION("""COMPUTED_VALUE"""),193.0)</f>
        <v>193</v>
      </c>
      <c r="K194" s="20" t="b">
        <f>IFERROR(__xludf.DUMMYFUNCTION("""COMPUTED_VALUE"""),FALSE)</f>
        <v>0</v>
      </c>
      <c r="L194" s="20" t="str">
        <f>IFERROR(__xludf.DUMMYFUNCTION("""COMPUTED_VALUE"""),"Shell;")</f>
        <v>Shell;</v>
      </c>
      <c r="M194" s="20" t="b">
        <f>IFERROR(__xludf.DUMMYFUNCTION("""COMPUTED_VALUE"""),FALSE)</f>
        <v>0</v>
      </c>
      <c r="N194" s="20" t="b">
        <f>IFERROR(__xludf.DUMMYFUNCTION("""COMPUTED_VALUE"""),FALSE)</f>
        <v>0</v>
      </c>
      <c r="O194" s="20">
        <f>IFERROR(__xludf.DUMMYFUNCTION("""COMPUTED_VALUE"""),26.0254953931591)</f>
        <v>26.02549539</v>
      </c>
      <c r="P194" s="20">
        <f>IFERROR(__xludf.DUMMYFUNCTION("""COMPUTED_VALUE"""),63922.0)</f>
        <v>63922</v>
      </c>
      <c r="Q194" s="20">
        <f>IFERROR(__xludf.DUMMYFUNCTION("""COMPUTED_VALUE"""),245613.0)</f>
        <v>245613</v>
      </c>
    </row>
    <row r="195">
      <c r="A195" s="20">
        <f>IFERROR(__xludf.DUMMYFUNCTION("""COMPUTED_VALUE"""),194.0)</f>
        <v>194</v>
      </c>
      <c r="B195" s="20" t="str">
        <f>IFERROR(__xludf.DUMMYFUNCTION("""COMPUTED_VALUE"""),"Transpose File")</f>
        <v>Transpose File</v>
      </c>
      <c r="C195" s="20" t="str">
        <f>IFERROR(__xludf.DUMMYFUNCTION("""COMPUTED_VALUE"""),"transpose-file")</f>
        <v>transpose-file</v>
      </c>
      <c r="D195" s="20" t="b">
        <f>IFERROR(__xludf.DUMMYFUNCTION("""COMPUTED_VALUE"""),FALSE)</f>
        <v>0</v>
      </c>
      <c r="E195" s="20" t="str">
        <f>IFERROR(__xludf.DUMMYFUNCTION("""COMPUTED_VALUE"""),"Medium")</f>
        <v>Medium</v>
      </c>
      <c r="F195" s="20">
        <f>IFERROR(__xludf.DUMMYFUNCTION("""COMPUTED_VALUE"""),125.0)</f>
        <v>125</v>
      </c>
      <c r="G195" s="20">
        <f>IFERROR(__xludf.DUMMYFUNCTION("""COMPUTED_VALUE"""),259.0)</f>
        <v>259</v>
      </c>
      <c r="H195" s="20" t="str">
        <f>IFERROR(__xludf.DUMMYFUNCTION("""COMPUTED_VALUE"""),"Shell")</f>
        <v>Shell</v>
      </c>
      <c r="I195" s="20">
        <f>IFERROR(__xludf.DUMMYFUNCTION("""COMPUTED_VALUE"""),0.253)</f>
        <v>0.253</v>
      </c>
      <c r="J195" s="20">
        <f>IFERROR(__xludf.DUMMYFUNCTION("""COMPUTED_VALUE"""),194.0)</f>
        <v>194</v>
      </c>
      <c r="K195" s="20" t="b">
        <f>IFERROR(__xludf.DUMMYFUNCTION("""COMPUTED_VALUE"""),FALSE)</f>
        <v>0</v>
      </c>
      <c r="L195" s="20" t="str">
        <f>IFERROR(__xludf.DUMMYFUNCTION("""COMPUTED_VALUE"""),"Shell;")</f>
        <v>Shell;</v>
      </c>
      <c r="M195" s="20" t="b">
        <f>IFERROR(__xludf.DUMMYFUNCTION("""COMPUTED_VALUE"""),FALSE)</f>
        <v>0</v>
      </c>
      <c r="N195" s="20" t="b">
        <f>IFERROR(__xludf.DUMMYFUNCTION("""COMPUTED_VALUE"""),FALSE)</f>
        <v>0</v>
      </c>
      <c r="O195" s="20">
        <f>IFERROR(__xludf.DUMMYFUNCTION("""COMPUTED_VALUE"""),25.2527008568235)</f>
        <v>25.25270086</v>
      </c>
      <c r="P195" s="20">
        <f>IFERROR(__xludf.DUMMYFUNCTION("""COMPUTED_VALUE"""),20336.0)</f>
        <v>20336</v>
      </c>
      <c r="Q195" s="20">
        <f>IFERROR(__xludf.DUMMYFUNCTION("""COMPUTED_VALUE"""),80530.0)</f>
        <v>80530</v>
      </c>
    </row>
    <row r="196">
      <c r="A196" s="20">
        <f>IFERROR(__xludf.DUMMYFUNCTION("""COMPUTED_VALUE"""),195.0)</f>
        <v>195</v>
      </c>
      <c r="B196" s="20" t="str">
        <f>IFERROR(__xludf.DUMMYFUNCTION("""COMPUTED_VALUE"""),"Tenth Line")</f>
        <v>Tenth Line</v>
      </c>
      <c r="C196" s="20" t="str">
        <f>IFERROR(__xludf.DUMMYFUNCTION("""COMPUTED_VALUE"""),"tenth-line")</f>
        <v>tenth-line</v>
      </c>
      <c r="D196" s="20" t="b">
        <f>IFERROR(__xludf.DUMMYFUNCTION("""COMPUTED_VALUE"""),FALSE)</f>
        <v>0</v>
      </c>
      <c r="E196" s="20" t="str">
        <f>IFERROR(__xludf.DUMMYFUNCTION("""COMPUTED_VALUE"""),"Easy")</f>
        <v>Easy</v>
      </c>
      <c r="F196" s="20">
        <f>IFERROR(__xludf.DUMMYFUNCTION("""COMPUTED_VALUE"""),307.0)</f>
        <v>307</v>
      </c>
      <c r="G196" s="20">
        <f>IFERROR(__xludf.DUMMYFUNCTION("""COMPUTED_VALUE"""),401.0)</f>
        <v>401</v>
      </c>
      <c r="H196" s="20" t="str">
        <f>IFERROR(__xludf.DUMMYFUNCTION("""COMPUTED_VALUE"""),"Shell")</f>
        <v>Shell</v>
      </c>
      <c r="I196" s="20">
        <f>IFERROR(__xludf.DUMMYFUNCTION("""COMPUTED_VALUE"""),0.329)</f>
        <v>0.329</v>
      </c>
      <c r="J196" s="20">
        <f>IFERROR(__xludf.DUMMYFUNCTION("""COMPUTED_VALUE"""),195.0)</f>
        <v>195</v>
      </c>
      <c r="K196" s="20" t="b">
        <f>IFERROR(__xludf.DUMMYFUNCTION("""COMPUTED_VALUE"""),FALSE)</f>
        <v>0</v>
      </c>
      <c r="L196" s="20" t="str">
        <f>IFERROR(__xludf.DUMMYFUNCTION("""COMPUTED_VALUE"""),"Shell;")</f>
        <v>Shell;</v>
      </c>
      <c r="M196" s="20" t="b">
        <f>IFERROR(__xludf.DUMMYFUNCTION("""COMPUTED_VALUE"""),FALSE)</f>
        <v>0</v>
      </c>
      <c r="N196" s="20" t="b">
        <f>IFERROR(__xludf.DUMMYFUNCTION("""COMPUTED_VALUE"""),FALSE)</f>
        <v>0</v>
      </c>
      <c r="O196" s="20">
        <f>IFERROR(__xludf.DUMMYFUNCTION("""COMPUTED_VALUE"""),32.9409369611036)</f>
        <v>32.94093696</v>
      </c>
      <c r="P196" s="20">
        <f>IFERROR(__xludf.DUMMYFUNCTION("""COMPUTED_VALUE"""),82521.0)</f>
        <v>82521</v>
      </c>
      <c r="Q196" s="20">
        <f>IFERROR(__xludf.DUMMYFUNCTION("""COMPUTED_VALUE"""),250512.0)</f>
        <v>250512</v>
      </c>
    </row>
    <row r="197">
      <c r="A197" s="20">
        <f>IFERROR(__xludf.DUMMYFUNCTION("""COMPUTED_VALUE"""),196.0)</f>
        <v>196</v>
      </c>
      <c r="B197" s="20" t="str">
        <f>IFERROR(__xludf.DUMMYFUNCTION("""COMPUTED_VALUE"""),"Delete Duplicate Emails")</f>
        <v>Delete Duplicate Emails</v>
      </c>
      <c r="C197" s="20" t="str">
        <f>IFERROR(__xludf.DUMMYFUNCTION("""COMPUTED_VALUE"""),"delete-duplicate-emails")</f>
        <v>delete-duplicate-emails</v>
      </c>
      <c r="D197" s="20" t="b">
        <f>IFERROR(__xludf.DUMMYFUNCTION("""COMPUTED_VALUE"""),FALSE)</f>
        <v>0</v>
      </c>
      <c r="E197" s="20" t="str">
        <f>IFERROR(__xludf.DUMMYFUNCTION("""COMPUTED_VALUE"""),"Easy")</f>
        <v>Easy</v>
      </c>
      <c r="F197" s="20">
        <f>IFERROR(__xludf.DUMMYFUNCTION("""COMPUTED_VALUE"""),789.0)</f>
        <v>789</v>
      </c>
      <c r="G197" s="20">
        <f>IFERROR(__xludf.DUMMYFUNCTION("""COMPUTED_VALUE"""),151.0)</f>
        <v>151</v>
      </c>
      <c r="H197" s="20" t="str">
        <f>IFERROR(__xludf.DUMMYFUNCTION("""COMPUTED_VALUE"""),"Database")</f>
        <v>Database</v>
      </c>
      <c r="I197" s="20">
        <f>IFERROR(__xludf.DUMMYFUNCTION("""COMPUTED_VALUE"""),0.595)</f>
        <v>0.595</v>
      </c>
      <c r="J197" s="20">
        <f>IFERROR(__xludf.DUMMYFUNCTION("""COMPUTED_VALUE"""),196.0)</f>
        <v>196</v>
      </c>
      <c r="K197" s="20" t="b">
        <f>IFERROR(__xludf.DUMMYFUNCTION("""COMPUTED_VALUE"""),FALSE)</f>
        <v>0</v>
      </c>
      <c r="L197" s="20" t="str">
        <f>IFERROR(__xludf.DUMMYFUNCTION("""COMPUTED_VALUE"""),"Database;")</f>
        <v>Database;</v>
      </c>
      <c r="M197" s="20" t="b">
        <f>IFERROR(__xludf.DUMMYFUNCTION("""COMPUTED_VALUE"""),TRUE)</f>
        <v>1</v>
      </c>
      <c r="N197" s="20" t="b">
        <f>IFERROR(__xludf.DUMMYFUNCTION("""COMPUTED_VALUE"""),FALSE)</f>
        <v>0</v>
      </c>
      <c r="O197" s="20">
        <f>IFERROR(__xludf.DUMMYFUNCTION("""COMPUTED_VALUE"""),59.5417650316225)</f>
        <v>59.54176503</v>
      </c>
      <c r="P197" s="20">
        <f>IFERROR(__xludf.DUMMYFUNCTION("""COMPUTED_VALUE"""),326864.0)</f>
        <v>326864</v>
      </c>
      <c r="Q197" s="20">
        <f>IFERROR(__xludf.DUMMYFUNCTION("""COMPUTED_VALUE"""),548968.0)</f>
        <v>548968</v>
      </c>
    </row>
    <row r="198">
      <c r="A198" s="20">
        <f>IFERROR(__xludf.DUMMYFUNCTION("""COMPUTED_VALUE"""),197.0)</f>
        <v>197</v>
      </c>
      <c r="B198" s="20" t="str">
        <f>IFERROR(__xludf.DUMMYFUNCTION("""COMPUTED_VALUE"""),"Rising Temperature")</f>
        <v>Rising Temperature</v>
      </c>
      <c r="C198" s="20" t="str">
        <f>IFERROR(__xludf.DUMMYFUNCTION("""COMPUTED_VALUE"""),"rising-temperature")</f>
        <v>rising-temperature</v>
      </c>
      <c r="D198" s="20" t="b">
        <f>IFERROR(__xludf.DUMMYFUNCTION("""COMPUTED_VALUE"""),FALSE)</f>
        <v>0</v>
      </c>
      <c r="E198" s="20" t="str">
        <f>IFERROR(__xludf.DUMMYFUNCTION("""COMPUTED_VALUE"""),"Easy")</f>
        <v>Easy</v>
      </c>
      <c r="F198" s="20">
        <f>IFERROR(__xludf.DUMMYFUNCTION("""COMPUTED_VALUE"""),1348.0)</f>
        <v>1348</v>
      </c>
      <c r="G198" s="20">
        <f>IFERROR(__xludf.DUMMYFUNCTION("""COMPUTED_VALUE"""),439.0)</f>
        <v>439</v>
      </c>
      <c r="H198" s="20" t="str">
        <f>IFERROR(__xludf.DUMMYFUNCTION("""COMPUTED_VALUE"""),"Database")</f>
        <v>Database</v>
      </c>
      <c r="I198" s="20">
        <f>IFERROR(__xludf.DUMMYFUNCTION("""COMPUTED_VALUE"""),0.447)</f>
        <v>0.447</v>
      </c>
      <c r="J198" s="20">
        <f>IFERROR(__xludf.DUMMYFUNCTION("""COMPUTED_VALUE"""),197.0)</f>
        <v>197</v>
      </c>
      <c r="K198" s="20" t="b">
        <f>IFERROR(__xludf.DUMMYFUNCTION("""COMPUTED_VALUE"""),FALSE)</f>
        <v>0</v>
      </c>
      <c r="L198" s="20" t="str">
        <f>IFERROR(__xludf.DUMMYFUNCTION("""COMPUTED_VALUE"""),"Database;")</f>
        <v>Database;</v>
      </c>
      <c r="M198" s="20" t="b">
        <f>IFERROR(__xludf.DUMMYFUNCTION("""COMPUTED_VALUE"""),TRUE)</f>
        <v>1</v>
      </c>
      <c r="N198" s="20" t="b">
        <f>IFERROR(__xludf.DUMMYFUNCTION("""COMPUTED_VALUE"""),FALSE)</f>
        <v>0</v>
      </c>
      <c r="O198" s="20">
        <f>IFERROR(__xludf.DUMMYFUNCTION("""COMPUTED_VALUE"""),44.6709368793555)</f>
        <v>44.67093688</v>
      </c>
      <c r="P198" s="20">
        <f>IFERROR(__xludf.DUMMYFUNCTION("""COMPUTED_VALUE"""),291720.0)</f>
        <v>291720</v>
      </c>
      <c r="Q198" s="20">
        <f>IFERROR(__xludf.DUMMYFUNCTION("""COMPUTED_VALUE"""),653042.0)</f>
        <v>653042</v>
      </c>
    </row>
    <row r="199">
      <c r="A199" s="20">
        <f>IFERROR(__xludf.DUMMYFUNCTION("""COMPUTED_VALUE"""),198.0)</f>
        <v>198</v>
      </c>
      <c r="B199" s="20" t="str">
        <f>IFERROR(__xludf.DUMMYFUNCTION("""COMPUTED_VALUE"""),"House Robber")</f>
        <v>House Robber</v>
      </c>
      <c r="C199" s="20" t="str">
        <f>IFERROR(__xludf.DUMMYFUNCTION("""COMPUTED_VALUE"""),"house-robber")</f>
        <v>house-robber</v>
      </c>
      <c r="D199" s="20" t="b">
        <f>IFERROR(__xludf.DUMMYFUNCTION("""COMPUTED_VALUE"""),FALSE)</f>
        <v>0</v>
      </c>
      <c r="E199" s="20" t="str">
        <f>IFERROR(__xludf.DUMMYFUNCTION("""COMPUTED_VALUE"""),"Medium")</f>
        <v>Medium</v>
      </c>
      <c r="F199" s="20">
        <f>IFERROR(__xludf.DUMMYFUNCTION("""COMPUTED_VALUE"""),16421.0)</f>
        <v>16421</v>
      </c>
      <c r="G199" s="20">
        <f>IFERROR(__xludf.DUMMYFUNCTION("""COMPUTED_VALUE"""),324.0)</f>
        <v>324</v>
      </c>
      <c r="H199" s="20" t="str">
        <f>IFERROR(__xludf.DUMMYFUNCTION("""COMPUTED_VALUE"""),"Algorithms")</f>
        <v>Algorithms</v>
      </c>
      <c r="I199" s="20">
        <f>IFERROR(__xludf.DUMMYFUNCTION("""COMPUTED_VALUE"""),0.492)</f>
        <v>0.492</v>
      </c>
      <c r="J199" s="20">
        <f>IFERROR(__xludf.DUMMYFUNCTION("""COMPUTED_VALUE"""),198.0)</f>
        <v>198</v>
      </c>
      <c r="K199" s="20" t="b">
        <f>IFERROR(__xludf.DUMMYFUNCTION("""COMPUTED_VALUE"""),FALSE)</f>
        <v>0</v>
      </c>
      <c r="L199" s="20" t="str">
        <f>IFERROR(__xludf.DUMMYFUNCTION("""COMPUTED_VALUE"""),"Array;Dynamic Programming;")</f>
        <v>Array;Dynamic Programming;</v>
      </c>
      <c r="M199" s="20" t="b">
        <f>IFERROR(__xludf.DUMMYFUNCTION("""COMPUTED_VALUE"""),TRUE)</f>
        <v>1</v>
      </c>
      <c r="N199" s="20" t="b">
        <f>IFERROR(__xludf.DUMMYFUNCTION("""COMPUTED_VALUE"""),FALSE)</f>
        <v>0</v>
      </c>
      <c r="O199" s="20">
        <f>IFERROR(__xludf.DUMMYFUNCTION("""COMPUTED_VALUE"""),49.1753094946079)</f>
        <v>49.17530949</v>
      </c>
      <c r="P199" s="20">
        <f>IFERROR(__xludf.DUMMYFUNCTION("""COMPUTED_VALUE"""),1486705.0)</f>
        <v>1486705</v>
      </c>
      <c r="Q199" s="20">
        <f>IFERROR(__xludf.DUMMYFUNCTION("""COMPUTED_VALUE"""),3023291.0)</f>
        <v>3023291</v>
      </c>
    </row>
    <row r="200">
      <c r="A200" s="20">
        <f>IFERROR(__xludf.DUMMYFUNCTION("""COMPUTED_VALUE"""),199.0)</f>
        <v>199</v>
      </c>
      <c r="B200" s="20" t="str">
        <f>IFERROR(__xludf.DUMMYFUNCTION("""COMPUTED_VALUE"""),"Binary Tree Right Side View")</f>
        <v>Binary Tree Right Side View</v>
      </c>
      <c r="C200" s="20" t="str">
        <f>IFERROR(__xludf.DUMMYFUNCTION("""COMPUTED_VALUE"""),"binary-tree-right-side-view")</f>
        <v>binary-tree-right-side-view</v>
      </c>
      <c r="D200" s="20" t="b">
        <f>IFERROR(__xludf.DUMMYFUNCTION("""COMPUTED_VALUE"""),FALSE)</f>
        <v>0</v>
      </c>
      <c r="E200" s="20" t="str">
        <f>IFERROR(__xludf.DUMMYFUNCTION("""COMPUTED_VALUE"""),"Medium")</f>
        <v>Medium</v>
      </c>
      <c r="F200" s="20">
        <f>IFERROR(__xludf.DUMMYFUNCTION("""COMPUTED_VALUE"""),9183.0)</f>
        <v>9183</v>
      </c>
      <c r="G200" s="20">
        <f>IFERROR(__xludf.DUMMYFUNCTION("""COMPUTED_VALUE"""),551.0)</f>
        <v>551</v>
      </c>
      <c r="H200" s="20" t="str">
        <f>IFERROR(__xludf.DUMMYFUNCTION("""COMPUTED_VALUE"""),"Algorithms")</f>
        <v>Algorithms</v>
      </c>
      <c r="I200" s="20">
        <f>IFERROR(__xludf.DUMMYFUNCTION("""COMPUTED_VALUE"""),0.613)</f>
        <v>0.613</v>
      </c>
      <c r="J200" s="20">
        <f>IFERROR(__xludf.DUMMYFUNCTION("""COMPUTED_VALUE"""),199.0)</f>
        <v>199</v>
      </c>
      <c r="K200" s="20" t="b">
        <f>IFERROR(__xludf.DUMMYFUNCTION("""COMPUTED_VALUE"""),FALSE)</f>
        <v>0</v>
      </c>
      <c r="L200" s="20" t="str">
        <f>IFERROR(__xludf.DUMMYFUNCTION("""COMPUTED_VALUE"""),"Tree;Depth-First Search;Breadth-First Search;Binary Tree;")</f>
        <v>Tree;Depth-First Search;Breadth-First Search;Binary Tree;</v>
      </c>
      <c r="M200" s="20" t="b">
        <f>IFERROR(__xludf.DUMMYFUNCTION("""COMPUTED_VALUE"""),TRUE)</f>
        <v>1</v>
      </c>
      <c r="N200" s="20" t="b">
        <f>IFERROR(__xludf.DUMMYFUNCTION("""COMPUTED_VALUE"""),TRUE)</f>
        <v>1</v>
      </c>
      <c r="O200" s="20">
        <f>IFERROR(__xludf.DUMMYFUNCTION("""COMPUTED_VALUE"""),61.344701701785)</f>
        <v>61.3447017</v>
      </c>
      <c r="P200" s="20">
        <f>IFERROR(__xludf.DUMMYFUNCTION("""COMPUTED_VALUE"""),883876.0)</f>
        <v>883876</v>
      </c>
      <c r="Q200" s="20">
        <f>IFERROR(__xludf.DUMMYFUNCTION("""COMPUTED_VALUE"""),1440833.0)</f>
        <v>1440833</v>
      </c>
    </row>
    <row r="201">
      <c r="A201" s="20">
        <f>IFERROR(__xludf.DUMMYFUNCTION("""COMPUTED_VALUE"""),200.0)</f>
        <v>200</v>
      </c>
      <c r="B201" s="20" t="str">
        <f>IFERROR(__xludf.DUMMYFUNCTION("""COMPUTED_VALUE"""),"Number of Islands")</f>
        <v>Number of Islands</v>
      </c>
      <c r="C201" s="20" t="str">
        <f>IFERROR(__xludf.DUMMYFUNCTION("""COMPUTED_VALUE"""),"number-of-islands")</f>
        <v>number-of-islands</v>
      </c>
      <c r="D201" s="20" t="b">
        <f>IFERROR(__xludf.DUMMYFUNCTION("""COMPUTED_VALUE"""),FALSE)</f>
        <v>0</v>
      </c>
      <c r="E201" s="20" t="str">
        <f>IFERROR(__xludf.DUMMYFUNCTION("""COMPUTED_VALUE"""),"Medium")</f>
        <v>Medium</v>
      </c>
      <c r="F201" s="20">
        <f>IFERROR(__xludf.DUMMYFUNCTION("""COMPUTED_VALUE"""),18369.0)</f>
        <v>18369</v>
      </c>
      <c r="G201" s="20">
        <f>IFERROR(__xludf.DUMMYFUNCTION("""COMPUTED_VALUE"""),408.0)</f>
        <v>408</v>
      </c>
      <c r="H201" s="20" t="str">
        <f>IFERROR(__xludf.DUMMYFUNCTION("""COMPUTED_VALUE"""),"Algorithms")</f>
        <v>Algorithms</v>
      </c>
      <c r="I201" s="20">
        <f>IFERROR(__xludf.DUMMYFUNCTION("""COMPUTED_VALUE"""),0.566)</f>
        <v>0.566</v>
      </c>
      <c r="J201" s="20">
        <f>IFERROR(__xludf.DUMMYFUNCTION("""COMPUTED_VALUE"""),200.0)</f>
        <v>200</v>
      </c>
      <c r="K201" s="20" t="b">
        <f>IFERROR(__xludf.DUMMYFUNCTION("""COMPUTED_VALUE"""),FALSE)</f>
        <v>0</v>
      </c>
      <c r="L201" s="20" t="str">
        <f>IFERROR(__xludf.DUMMYFUNCTION("""COMPUTED_VALUE"""),"Array;Depth-First Search;Breadth-First Search;Union Find;Matrix;")</f>
        <v>Array;Depth-First Search;Breadth-First Search;Union Find;Matrix;</v>
      </c>
      <c r="M201" s="20" t="b">
        <f>IFERROR(__xludf.DUMMYFUNCTION("""COMPUTED_VALUE"""),TRUE)</f>
        <v>1</v>
      </c>
      <c r="N201" s="20" t="b">
        <f>IFERROR(__xludf.DUMMYFUNCTION("""COMPUTED_VALUE"""),FALSE)</f>
        <v>0</v>
      </c>
      <c r="O201" s="20">
        <f>IFERROR(__xludf.DUMMYFUNCTION("""COMPUTED_VALUE"""),56.5567511632369)</f>
        <v>56.55675116</v>
      </c>
      <c r="P201" s="20">
        <f>IFERROR(__xludf.DUMMYFUNCTION("""COMPUTED_VALUE"""),2010179.0)</f>
        <v>2010179</v>
      </c>
      <c r="Q201" s="20">
        <f>IFERROR(__xludf.DUMMYFUNCTION("""COMPUTED_VALUE"""),3554285.0)</f>
        <v>3554285</v>
      </c>
    </row>
    <row r="202">
      <c r="A202" s="20">
        <f>IFERROR(__xludf.DUMMYFUNCTION("""COMPUTED_VALUE"""),201.0)</f>
        <v>201</v>
      </c>
      <c r="B202" s="20" t="str">
        <f>IFERROR(__xludf.DUMMYFUNCTION("""COMPUTED_VALUE"""),"Bitwise AND of Numbers Range")</f>
        <v>Bitwise AND of Numbers Range</v>
      </c>
      <c r="C202" s="20" t="str">
        <f>IFERROR(__xludf.DUMMYFUNCTION("""COMPUTED_VALUE"""),"bitwise-and-of-numbers-range")</f>
        <v>bitwise-and-of-numbers-range</v>
      </c>
      <c r="D202" s="20" t="b">
        <f>IFERROR(__xludf.DUMMYFUNCTION("""COMPUTED_VALUE"""),FALSE)</f>
        <v>0</v>
      </c>
      <c r="E202" s="20" t="str">
        <f>IFERROR(__xludf.DUMMYFUNCTION("""COMPUTED_VALUE"""),"Medium")</f>
        <v>Medium</v>
      </c>
      <c r="F202" s="20">
        <f>IFERROR(__xludf.DUMMYFUNCTION("""COMPUTED_VALUE"""),2626.0)</f>
        <v>2626</v>
      </c>
      <c r="G202" s="20">
        <f>IFERROR(__xludf.DUMMYFUNCTION("""COMPUTED_VALUE"""),193.0)</f>
        <v>193</v>
      </c>
      <c r="H202" s="20" t="str">
        <f>IFERROR(__xludf.DUMMYFUNCTION("""COMPUTED_VALUE"""),"Algorithms")</f>
        <v>Algorithms</v>
      </c>
      <c r="I202" s="20">
        <f>IFERROR(__xludf.DUMMYFUNCTION("""COMPUTED_VALUE"""),0.424)</f>
        <v>0.424</v>
      </c>
      <c r="J202" s="20">
        <f>IFERROR(__xludf.DUMMYFUNCTION("""COMPUTED_VALUE"""),201.0)</f>
        <v>201</v>
      </c>
      <c r="K202" s="20" t="b">
        <f>IFERROR(__xludf.DUMMYFUNCTION("""COMPUTED_VALUE"""),FALSE)</f>
        <v>0</v>
      </c>
      <c r="L202" s="20" t="str">
        <f>IFERROR(__xludf.DUMMYFUNCTION("""COMPUTED_VALUE"""),"Bit Manipulation;")</f>
        <v>Bit Manipulation;</v>
      </c>
      <c r="M202" s="20" t="b">
        <f>IFERROR(__xludf.DUMMYFUNCTION("""COMPUTED_VALUE"""),TRUE)</f>
        <v>1</v>
      </c>
      <c r="N202" s="20" t="b">
        <f>IFERROR(__xludf.DUMMYFUNCTION("""COMPUTED_VALUE"""),FALSE)</f>
        <v>0</v>
      </c>
      <c r="O202" s="20">
        <f>IFERROR(__xludf.DUMMYFUNCTION("""COMPUTED_VALUE"""),42.3556862773648)</f>
        <v>42.35568628</v>
      </c>
      <c r="P202" s="20">
        <f>IFERROR(__xludf.DUMMYFUNCTION("""COMPUTED_VALUE"""),232714.0)</f>
        <v>232714</v>
      </c>
      <c r="Q202" s="20">
        <f>IFERROR(__xludf.DUMMYFUNCTION("""COMPUTED_VALUE"""),549427.0)</f>
        <v>549427</v>
      </c>
    </row>
    <row r="203">
      <c r="A203" s="20">
        <f>IFERROR(__xludf.DUMMYFUNCTION("""COMPUTED_VALUE"""),202.0)</f>
        <v>202</v>
      </c>
      <c r="B203" s="20" t="str">
        <f>IFERROR(__xludf.DUMMYFUNCTION("""COMPUTED_VALUE"""),"Happy Number")</f>
        <v>Happy Number</v>
      </c>
      <c r="C203" s="20" t="str">
        <f>IFERROR(__xludf.DUMMYFUNCTION("""COMPUTED_VALUE"""),"happy-number")</f>
        <v>happy-number</v>
      </c>
      <c r="D203" s="20" t="b">
        <f>IFERROR(__xludf.DUMMYFUNCTION("""COMPUTED_VALUE"""),FALSE)</f>
        <v>0</v>
      </c>
      <c r="E203" s="20" t="str">
        <f>IFERROR(__xludf.DUMMYFUNCTION("""COMPUTED_VALUE"""),"Easy")</f>
        <v>Easy</v>
      </c>
      <c r="F203" s="20">
        <f>IFERROR(__xludf.DUMMYFUNCTION("""COMPUTED_VALUE"""),7643.0)</f>
        <v>7643</v>
      </c>
      <c r="G203" s="20">
        <f>IFERROR(__xludf.DUMMYFUNCTION("""COMPUTED_VALUE"""),953.0)</f>
        <v>953</v>
      </c>
      <c r="H203" s="20" t="str">
        <f>IFERROR(__xludf.DUMMYFUNCTION("""COMPUTED_VALUE"""),"Algorithms")</f>
        <v>Algorithms</v>
      </c>
      <c r="I203" s="20">
        <f>IFERROR(__xludf.DUMMYFUNCTION("""COMPUTED_VALUE"""),0.546)</f>
        <v>0.546</v>
      </c>
      <c r="J203" s="20">
        <f>IFERROR(__xludf.DUMMYFUNCTION("""COMPUTED_VALUE"""),202.0)</f>
        <v>202</v>
      </c>
      <c r="K203" s="20" t="b">
        <f>IFERROR(__xludf.DUMMYFUNCTION("""COMPUTED_VALUE"""),FALSE)</f>
        <v>0</v>
      </c>
      <c r="L203" s="20" t="str">
        <f>IFERROR(__xludf.DUMMYFUNCTION("""COMPUTED_VALUE"""),"Hash Table;Math;Two Pointers;")</f>
        <v>Hash Table;Math;Two Pointers;</v>
      </c>
      <c r="M203" s="20" t="b">
        <f>IFERROR(__xludf.DUMMYFUNCTION("""COMPUTED_VALUE"""),TRUE)</f>
        <v>1</v>
      </c>
      <c r="N203" s="20" t="b">
        <f>IFERROR(__xludf.DUMMYFUNCTION("""COMPUTED_VALUE"""),FALSE)</f>
        <v>0</v>
      </c>
      <c r="O203" s="20">
        <f>IFERROR(__xludf.DUMMYFUNCTION("""COMPUTED_VALUE"""),54.5630318107903)</f>
        <v>54.56303181</v>
      </c>
      <c r="P203" s="20">
        <f>IFERROR(__xludf.DUMMYFUNCTION("""COMPUTED_VALUE"""),1038480.0)</f>
        <v>1038480</v>
      </c>
      <c r="Q203" s="20">
        <f>IFERROR(__xludf.DUMMYFUNCTION("""COMPUTED_VALUE"""),1903259.0)</f>
        <v>1903259</v>
      </c>
    </row>
    <row r="204">
      <c r="A204" s="20">
        <f>IFERROR(__xludf.DUMMYFUNCTION("""COMPUTED_VALUE"""),203.0)</f>
        <v>203</v>
      </c>
      <c r="B204" s="20" t="str">
        <f>IFERROR(__xludf.DUMMYFUNCTION("""COMPUTED_VALUE"""),"Remove Linked List Elements")</f>
        <v>Remove Linked List Elements</v>
      </c>
      <c r="C204" s="20" t="str">
        <f>IFERROR(__xludf.DUMMYFUNCTION("""COMPUTED_VALUE"""),"remove-linked-list-elements")</f>
        <v>remove-linked-list-elements</v>
      </c>
      <c r="D204" s="20" t="b">
        <f>IFERROR(__xludf.DUMMYFUNCTION("""COMPUTED_VALUE"""),FALSE)</f>
        <v>0</v>
      </c>
      <c r="E204" s="20" t="str">
        <f>IFERROR(__xludf.DUMMYFUNCTION("""COMPUTED_VALUE"""),"Easy")</f>
        <v>Easy</v>
      </c>
      <c r="F204" s="20">
        <f>IFERROR(__xludf.DUMMYFUNCTION("""COMPUTED_VALUE"""),6549.0)</f>
        <v>6549</v>
      </c>
      <c r="G204" s="20">
        <f>IFERROR(__xludf.DUMMYFUNCTION("""COMPUTED_VALUE"""),195.0)</f>
        <v>195</v>
      </c>
      <c r="H204" s="20" t="str">
        <f>IFERROR(__xludf.DUMMYFUNCTION("""COMPUTED_VALUE"""),"Algorithms")</f>
        <v>Algorithms</v>
      </c>
      <c r="I204" s="20">
        <f>IFERROR(__xludf.DUMMYFUNCTION("""COMPUTED_VALUE"""),0.452)</f>
        <v>0.452</v>
      </c>
      <c r="J204" s="20">
        <f>IFERROR(__xludf.DUMMYFUNCTION("""COMPUTED_VALUE"""),203.0)</f>
        <v>203</v>
      </c>
      <c r="K204" s="20" t="b">
        <f>IFERROR(__xludf.DUMMYFUNCTION("""COMPUTED_VALUE"""),FALSE)</f>
        <v>0</v>
      </c>
      <c r="L204" s="20" t="str">
        <f>IFERROR(__xludf.DUMMYFUNCTION("""COMPUTED_VALUE"""),"Linked List;Recursion;")</f>
        <v>Linked List;Recursion;</v>
      </c>
      <c r="M204" s="20" t="b">
        <f>IFERROR(__xludf.DUMMYFUNCTION("""COMPUTED_VALUE"""),TRUE)</f>
        <v>1</v>
      </c>
      <c r="N204" s="20" t="b">
        <f>IFERROR(__xludf.DUMMYFUNCTION("""COMPUTED_VALUE"""),FALSE)</f>
        <v>0</v>
      </c>
      <c r="O204" s="20">
        <f>IFERROR(__xludf.DUMMYFUNCTION("""COMPUTED_VALUE"""),45.1905966932837)</f>
        <v>45.19059669</v>
      </c>
      <c r="P204" s="20">
        <f>IFERROR(__xludf.DUMMYFUNCTION("""COMPUTED_VALUE"""),859129.0)</f>
        <v>859129</v>
      </c>
      <c r="Q204" s="20">
        <f>IFERROR(__xludf.DUMMYFUNCTION("""COMPUTED_VALUE"""),1901142.0)</f>
        <v>1901142</v>
      </c>
    </row>
    <row r="205">
      <c r="A205" s="20">
        <f>IFERROR(__xludf.DUMMYFUNCTION("""COMPUTED_VALUE"""),204.0)</f>
        <v>204</v>
      </c>
      <c r="B205" s="20" t="str">
        <f>IFERROR(__xludf.DUMMYFUNCTION("""COMPUTED_VALUE"""),"Count Primes")</f>
        <v>Count Primes</v>
      </c>
      <c r="C205" s="20" t="str">
        <f>IFERROR(__xludf.DUMMYFUNCTION("""COMPUTED_VALUE"""),"count-primes")</f>
        <v>count-primes</v>
      </c>
      <c r="D205" s="20" t="b">
        <f>IFERROR(__xludf.DUMMYFUNCTION("""COMPUTED_VALUE"""),FALSE)</f>
        <v>0</v>
      </c>
      <c r="E205" s="20" t="str">
        <f>IFERROR(__xludf.DUMMYFUNCTION("""COMPUTED_VALUE"""),"Medium")</f>
        <v>Medium</v>
      </c>
      <c r="F205" s="20">
        <f>IFERROR(__xludf.DUMMYFUNCTION("""COMPUTED_VALUE"""),6183.0)</f>
        <v>6183</v>
      </c>
      <c r="G205" s="20">
        <f>IFERROR(__xludf.DUMMYFUNCTION("""COMPUTED_VALUE"""),1190.0)</f>
        <v>1190</v>
      </c>
      <c r="H205" s="20" t="str">
        <f>IFERROR(__xludf.DUMMYFUNCTION("""COMPUTED_VALUE"""),"Algorithms")</f>
        <v>Algorithms</v>
      </c>
      <c r="I205" s="20">
        <f>IFERROR(__xludf.DUMMYFUNCTION("""COMPUTED_VALUE"""),0.331)</f>
        <v>0.331</v>
      </c>
      <c r="J205" s="20">
        <f>IFERROR(__xludf.DUMMYFUNCTION("""COMPUTED_VALUE"""),204.0)</f>
        <v>204</v>
      </c>
      <c r="K205" s="20" t="b">
        <f>IFERROR(__xludf.DUMMYFUNCTION("""COMPUTED_VALUE"""),FALSE)</f>
        <v>0</v>
      </c>
      <c r="L205" s="20" t="str">
        <f>IFERROR(__xludf.DUMMYFUNCTION("""COMPUTED_VALUE"""),"Array;Math;Enumeration;Number Theory;")</f>
        <v>Array;Math;Enumeration;Number Theory;</v>
      </c>
      <c r="M205" s="20" t="b">
        <f>IFERROR(__xludf.DUMMYFUNCTION("""COMPUTED_VALUE"""),TRUE)</f>
        <v>1</v>
      </c>
      <c r="N205" s="20" t="b">
        <f>IFERROR(__xludf.DUMMYFUNCTION("""COMPUTED_VALUE"""),FALSE)</f>
        <v>0</v>
      </c>
      <c r="O205" s="20">
        <f>IFERROR(__xludf.DUMMYFUNCTION("""COMPUTED_VALUE"""),33.0629300573353)</f>
        <v>33.06293006</v>
      </c>
      <c r="P205" s="20">
        <f>IFERROR(__xludf.DUMMYFUNCTION("""COMPUTED_VALUE"""),690428.0)</f>
        <v>690428</v>
      </c>
      <c r="Q205" s="20">
        <f>IFERROR(__xludf.DUMMYFUNCTION("""COMPUTED_VALUE"""),2088215.0)</f>
        <v>2088215</v>
      </c>
    </row>
    <row r="206">
      <c r="A206" s="20">
        <f>IFERROR(__xludf.DUMMYFUNCTION("""COMPUTED_VALUE"""),205.0)</f>
        <v>205</v>
      </c>
      <c r="B206" s="20" t="str">
        <f>IFERROR(__xludf.DUMMYFUNCTION("""COMPUTED_VALUE"""),"Isomorphic Strings")</f>
        <v>Isomorphic Strings</v>
      </c>
      <c r="C206" s="20" t="str">
        <f>IFERROR(__xludf.DUMMYFUNCTION("""COMPUTED_VALUE"""),"isomorphic-strings")</f>
        <v>isomorphic-strings</v>
      </c>
      <c r="D206" s="20" t="b">
        <f>IFERROR(__xludf.DUMMYFUNCTION("""COMPUTED_VALUE"""),FALSE)</f>
        <v>0</v>
      </c>
      <c r="E206" s="20" t="str">
        <f>IFERROR(__xludf.DUMMYFUNCTION("""COMPUTED_VALUE"""),"Easy")</f>
        <v>Easy</v>
      </c>
      <c r="F206" s="20">
        <f>IFERROR(__xludf.DUMMYFUNCTION("""COMPUTED_VALUE"""),5738.0)</f>
        <v>5738</v>
      </c>
      <c r="G206" s="20">
        <f>IFERROR(__xludf.DUMMYFUNCTION("""COMPUTED_VALUE"""),1125.0)</f>
        <v>1125</v>
      </c>
      <c r="H206" s="20" t="str">
        <f>IFERROR(__xludf.DUMMYFUNCTION("""COMPUTED_VALUE"""),"Algorithms")</f>
        <v>Algorithms</v>
      </c>
      <c r="I206" s="20">
        <f>IFERROR(__xludf.DUMMYFUNCTION("""COMPUTED_VALUE"""),0.427)</f>
        <v>0.427</v>
      </c>
      <c r="J206" s="20">
        <f>IFERROR(__xludf.DUMMYFUNCTION("""COMPUTED_VALUE"""),205.0)</f>
        <v>205</v>
      </c>
      <c r="K206" s="20" t="b">
        <f>IFERROR(__xludf.DUMMYFUNCTION("""COMPUTED_VALUE"""),FALSE)</f>
        <v>0</v>
      </c>
      <c r="L206" s="20" t="str">
        <f>IFERROR(__xludf.DUMMYFUNCTION("""COMPUTED_VALUE"""),"Hash Table;String;")</f>
        <v>Hash Table;String;</v>
      </c>
      <c r="M206" s="20" t="b">
        <f>IFERROR(__xludf.DUMMYFUNCTION("""COMPUTED_VALUE"""),TRUE)</f>
        <v>1</v>
      </c>
      <c r="N206" s="20" t="b">
        <f>IFERROR(__xludf.DUMMYFUNCTION("""COMPUTED_VALUE"""),FALSE)</f>
        <v>0</v>
      </c>
      <c r="O206" s="20">
        <f>IFERROR(__xludf.DUMMYFUNCTION("""COMPUTED_VALUE"""),42.6503209946322)</f>
        <v>42.65032099</v>
      </c>
      <c r="P206" s="20">
        <f>IFERROR(__xludf.DUMMYFUNCTION("""COMPUTED_VALUE"""),751549.0)</f>
        <v>751549</v>
      </c>
      <c r="Q206" s="20">
        <f>IFERROR(__xludf.DUMMYFUNCTION("""COMPUTED_VALUE"""),1762115.0)</f>
        <v>1762115</v>
      </c>
    </row>
    <row r="207">
      <c r="A207" s="20">
        <f>IFERROR(__xludf.DUMMYFUNCTION("""COMPUTED_VALUE"""),206.0)</f>
        <v>206</v>
      </c>
      <c r="B207" s="20" t="str">
        <f>IFERROR(__xludf.DUMMYFUNCTION("""COMPUTED_VALUE"""),"Reverse Linked List")</f>
        <v>Reverse Linked List</v>
      </c>
      <c r="C207" s="20" t="str">
        <f>IFERROR(__xludf.DUMMYFUNCTION("""COMPUTED_VALUE"""),"reverse-linked-list")</f>
        <v>reverse-linked-list</v>
      </c>
      <c r="D207" s="20" t="b">
        <f>IFERROR(__xludf.DUMMYFUNCTION("""COMPUTED_VALUE"""),FALSE)</f>
        <v>0</v>
      </c>
      <c r="E207" s="20" t="str">
        <f>IFERROR(__xludf.DUMMYFUNCTION("""COMPUTED_VALUE"""),"Easy")</f>
        <v>Easy</v>
      </c>
      <c r="F207" s="20">
        <f>IFERROR(__xludf.DUMMYFUNCTION("""COMPUTED_VALUE"""),16084.0)</f>
        <v>16084</v>
      </c>
      <c r="G207" s="20">
        <f>IFERROR(__xludf.DUMMYFUNCTION("""COMPUTED_VALUE"""),272.0)</f>
        <v>272</v>
      </c>
      <c r="H207" s="20" t="str">
        <f>IFERROR(__xludf.DUMMYFUNCTION("""COMPUTED_VALUE"""),"Algorithms")</f>
        <v>Algorithms</v>
      </c>
      <c r="I207" s="20">
        <f>IFERROR(__xludf.DUMMYFUNCTION("""COMPUTED_VALUE"""),0.728)</f>
        <v>0.728</v>
      </c>
      <c r="J207" s="20">
        <f>IFERROR(__xludf.DUMMYFUNCTION("""COMPUTED_VALUE"""),206.0)</f>
        <v>206</v>
      </c>
      <c r="K207" s="20" t="b">
        <f>IFERROR(__xludf.DUMMYFUNCTION("""COMPUTED_VALUE"""),FALSE)</f>
        <v>0</v>
      </c>
      <c r="L207" s="20" t="str">
        <f>IFERROR(__xludf.DUMMYFUNCTION("""COMPUTED_VALUE"""),"Linked List;Recursion;")</f>
        <v>Linked List;Recursion;</v>
      </c>
      <c r="M207" s="20" t="b">
        <f>IFERROR(__xludf.DUMMYFUNCTION("""COMPUTED_VALUE"""),TRUE)</f>
        <v>1</v>
      </c>
      <c r="N207" s="20" t="b">
        <f>IFERROR(__xludf.DUMMYFUNCTION("""COMPUTED_VALUE"""),TRUE)</f>
        <v>1</v>
      </c>
      <c r="O207" s="20">
        <f>IFERROR(__xludf.DUMMYFUNCTION("""COMPUTED_VALUE"""),72.8290553827456)</f>
        <v>72.82905538</v>
      </c>
      <c r="P207" s="20">
        <f>IFERROR(__xludf.DUMMYFUNCTION("""COMPUTED_VALUE"""),2781690.0)</f>
        <v>2781690</v>
      </c>
      <c r="Q207" s="20">
        <f>IFERROR(__xludf.DUMMYFUNCTION("""COMPUTED_VALUE"""),3819494.0)</f>
        <v>3819494</v>
      </c>
    </row>
    <row r="208">
      <c r="A208" s="20">
        <f>IFERROR(__xludf.DUMMYFUNCTION("""COMPUTED_VALUE"""),207.0)</f>
        <v>207</v>
      </c>
      <c r="B208" s="20" t="str">
        <f>IFERROR(__xludf.DUMMYFUNCTION("""COMPUTED_VALUE"""),"Course Schedule")</f>
        <v>Course Schedule</v>
      </c>
      <c r="C208" s="20" t="str">
        <f>IFERROR(__xludf.DUMMYFUNCTION("""COMPUTED_VALUE"""),"course-schedule")</f>
        <v>course-schedule</v>
      </c>
      <c r="D208" s="20" t="b">
        <f>IFERROR(__xludf.DUMMYFUNCTION("""COMPUTED_VALUE"""),FALSE)</f>
        <v>0</v>
      </c>
      <c r="E208" s="20" t="str">
        <f>IFERROR(__xludf.DUMMYFUNCTION("""COMPUTED_VALUE"""),"Medium")</f>
        <v>Medium</v>
      </c>
      <c r="F208" s="20">
        <f>IFERROR(__xludf.DUMMYFUNCTION("""COMPUTED_VALUE"""),12277.0)</f>
        <v>12277</v>
      </c>
      <c r="G208" s="20">
        <f>IFERROR(__xludf.DUMMYFUNCTION("""COMPUTED_VALUE"""),480.0)</f>
        <v>480</v>
      </c>
      <c r="H208" s="20" t="str">
        <f>IFERROR(__xludf.DUMMYFUNCTION("""COMPUTED_VALUE"""),"Algorithms")</f>
        <v>Algorithms</v>
      </c>
      <c r="I208" s="20">
        <f>IFERROR(__xludf.DUMMYFUNCTION("""COMPUTED_VALUE"""),0.454)</f>
        <v>0.454</v>
      </c>
      <c r="J208" s="20">
        <f>IFERROR(__xludf.DUMMYFUNCTION("""COMPUTED_VALUE"""),207.0)</f>
        <v>207</v>
      </c>
      <c r="K208" s="20" t="b">
        <f>IFERROR(__xludf.DUMMYFUNCTION("""COMPUTED_VALUE"""),FALSE)</f>
        <v>0</v>
      </c>
      <c r="L208" s="20" t="str">
        <f>IFERROR(__xludf.DUMMYFUNCTION("""COMPUTED_VALUE"""),"Depth-First Search;Breadth-First Search;Graph;Topological Sort;")</f>
        <v>Depth-First Search;Breadth-First Search;Graph;Topological Sort;</v>
      </c>
      <c r="M208" s="20" t="b">
        <f>IFERROR(__xludf.DUMMYFUNCTION("""COMPUTED_VALUE"""),TRUE)</f>
        <v>1</v>
      </c>
      <c r="N208" s="20" t="b">
        <f>IFERROR(__xludf.DUMMYFUNCTION("""COMPUTED_VALUE"""),FALSE)</f>
        <v>0</v>
      </c>
      <c r="O208" s="20">
        <f>IFERROR(__xludf.DUMMYFUNCTION("""COMPUTED_VALUE"""),45.3640029246145)</f>
        <v>45.36400292</v>
      </c>
      <c r="P208" s="20">
        <f>IFERROR(__xludf.DUMMYFUNCTION("""COMPUTED_VALUE"""),1089488.0)</f>
        <v>1089488</v>
      </c>
      <c r="Q208" s="20">
        <f>IFERROR(__xludf.DUMMYFUNCTION("""COMPUTED_VALUE"""),2401661.0)</f>
        <v>2401661</v>
      </c>
    </row>
    <row r="209">
      <c r="A209" s="20">
        <f>IFERROR(__xludf.DUMMYFUNCTION("""COMPUTED_VALUE"""),208.0)</f>
        <v>208</v>
      </c>
      <c r="B209" s="20" t="str">
        <f>IFERROR(__xludf.DUMMYFUNCTION("""COMPUTED_VALUE"""),"Implement Trie (Prefix Tree)")</f>
        <v>Implement Trie (Prefix Tree)</v>
      </c>
      <c r="C209" s="20" t="str">
        <f>IFERROR(__xludf.DUMMYFUNCTION("""COMPUTED_VALUE"""),"implement-trie-prefix-tree")</f>
        <v>implement-trie-prefix-tree</v>
      </c>
      <c r="D209" s="20" t="b">
        <f>IFERROR(__xludf.DUMMYFUNCTION("""COMPUTED_VALUE"""),FALSE)</f>
        <v>0</v>
      </c>
      <c r="E209" s="20" t="str">
        <f>IFERROR(__xludf.DUMMYFUNCTION("""COMPUTED_VALUE"""),"Medium")</f>
        <v>Medium</v>
      </c>
      <c r="F209" s="20">
        <f>IFERROR(__xludf.DUMMYFUNCTION("""COMPUTED_VALUE"""),8749.0)</f>
        <v>8749</v>
      </c>
      <c r="G209" s="20">
        <f>IFERROR(__xludf.DUMMYFUNCTION("""COMPUTED_VALUE"""),106.0)</f>
        <v>106</v>
      </c>
      <c r="H209" s="20" t="str">
        <f>IFERROR(__xludf.DUMMYFUNCTION("""COMPUTED_VALUE"""),"Algorithms")</f>
        <v>Algorithms</v>
      </c>
      <c r="I209" s="20">
        <f>IFERROR(__xludf.DUMMYFUNCTION("""COMPUTED_VALUE"""),0.612)</f>
        <v>0.612</v>
      </c>
      <c r="J209" s="20">
        <f>IFERROR(__xludf.DUMMYFUNCTION("""COMPUTED_VALUE"""),208.0)</f>
        <v>208</v>
      </c>
      <c r="K209" s="20" t="b">
        <f>IFERROR(__xludf.DUMMYFUNCTION("""COMPUTED_VALUE"""),FALSE)</f>
        <v>0</v>
      </c>
      <c r="L209" s="20" t="str">
        <f>IFERROR(__xludf.DUMMYFUNCTION("""COMPUTED_VALUE"""),"Hash Table;String;Design;Trie;")</f>
        <v>Hash Table;String;Design;Trie;</v>
      </c>
      <c r="M209" s="20" t="b">
        <f>IFERROR(__xludf.DUMMYFUNCTION("""COMPUTED_VALUE"""),TRUE)</f>
        <v>1</v>
      </c>
      <c r="N209" s="20" t="b">
        <f>IFERROR(__xludf.DUMMYFUNCTION("""COMPUTED_VALUE"""),FALSE)</f>
        <v>0</v>
      </c>
      <c r="O209" s="20">
        <f>IFERROR(__xludf.DUMMYFUNCTION("""COMPUTED_VALUE"""),61.2441624827757)</f>
        <v>61.24416248</v>
      </c>
      <c r="P209" s="20">
        <f>IFERROR(__xludf.DUMMYFUNCTION("""COMPUTED_VALUE"""),719581.0)</f>
        <v>719581</v>
      </c>
      <c r="Q209" s="20">
        <f>IFERROR(__xludf.DUMMYFUNCTION("""COMPUTED_VALUE"""),1174934.0)</f>
        <v>1174934</v>
      </c>
    </row>
    <row r="210">
      <c r="A210" s="20">
        <f>IFERROR(__xludf.DUMMYFUNCTION("""COMPUTED_VALUE"""),209.0)</f>
        <v>209</v>
      </c>
      <c r="B210" s="20" t="str">
        <f>IFERROR(__xludf.DUMMYFUNCTION("""COMPUTED_VALUE"""),"Minimum Size Subarray Sum")</f>
        <v>Minimum Size Subarray Sum</v>
      </c>
      <c r="C210" s="20" t="str">
        <f>IFERROR(__xludf.DUMMYFUNCTION("""COMPUTED_VALUE"""),"minimum-size-subarray-sum")</f>
        <v>minimum-size-subarray-sum</v>
      </c>
      <c r="D210" s="20" t="b">
        <f>IFERROR(__xludf.DUMMYFUNCTION("""COMPUTED_VALUE"""),FALSE)</f>
        <v>0</v>
      </c>
      <c r="E210" s="20" t="str">
        <f>IFERROR(__xludf.DUMMYFUNCTION("""COMPUTED_VALUE"""),"Medium")</f>
        <v>Medium</v>
      </c>
      <c r="F210" s="20">
        <f>IFERROR(__xludf.DUMMYFUNCTION("""COMPUTED_VALUE"""),8480.0)</f>
        <v>8480</v>
      </c>
      <c r="G210" s="20">
        <f>IFERROR(__xludf.DUMMYFUNCTION("""COMPUTED_VALUE"""),234.0)</f>
        <v>234</v>
      </c>
      <c r="H210" s="20" t="str">
        <f>IFERROR(__xludf.DUMMYFUNCTION("""COMPUTED_VALUE"""),"Algorithms")</f>
        <v>Algorithms</v>
      </c>
      <c r="I210" s="20">
        <f>IFERROR(__xludf.DUMMYFUNCTION("""COMPUTED_VALUE"""),0.447)</f>
        <v>0.447</v>
      </c>
      <c r="J210" s="20">
        <f>IFERROR(__xludf.DUMMYFUNCTION("""COMPUTED_VALUE"""),209.0)</f>
        <v>209</v>
      </c>
      <c r="K210" s="20" t="b">
        <f>IFERROR(__xludf.DUMMYFUNCTION("""COMPUTED_VALUE"""),FALSE)</f>
        <v>0</v>
      </c>
      <c r="L210" s="20" t="str">
        <f>IFERROR(__xludf.DUMMYFUNCTION("""COMPUTED_VALUE"""),"Array;Binary Search;Sliding Window;Prefix Sum;")</f>
        <v>Array;Binary Search;Sliding Window;Prefix Sum;</v>
      </c>
      <c r="M210" s="20" t="b">
        <f>IFERROR(__xludf.DUMMYFUNCTION("""COMPUTED_VALUE"""),TRUE)</f>
        <v>1</v>
      </c>
      <c r="N210" s="20" t="b">
        <f>IFERROR(__xludf.DUMMYFUNCTION("""COMPUTED_VALUE"""),FALSE)</f>
        <v>0</v>
      </c>
      <c r="O210" s="20">
        <f>IFERROR(__xludf.DUMMYFUNCTION("""COMPUTED_VALUE"""),44.6586702185902)</f>
        <v>44.65867022</v>
      </c>
      <c r="P210" s="20">
        <f>IFERROR(__xludf.DUMMYFUNCTION("""COMPUTED_VALUE"""),644399.0)</f>
        <v>644399</v>
      </c>
      <c r="Q210" s="20">
        <f>IFERROR(__xludf.DUMMYFUNCTION("""COMPUTED_VALUE"""),1442944.0)</f>
        <v>1442944</v>
      </c>
    </row>
    <row r="211">
      <c r="A211" s="20">
        <f>IFERROR(__xludf.DUMMYFUNCTION("""COMPUTED_VALUE"""),210.0)</f>
        <v>210</v>
      </c>
      <c r="B211" s="20" t="str">
        <f>IFERROR(__xludf.DUMMYFUNCTION("""COMPUTED_VALUE"""),"Course Schedule II")</f>
        <v>Course Schedule II</v>
      </c>
      <c r="C211" s="20" t="str">
        <f>IFERROR(__xludf.DUMMYFUNCTION("""COMPUTED_VALUE"""),"course-schedule-ii")</f>
        <v>course-schedule-ii</v>
      </c>
      <c r="D211" s="20" t="b">
        <f>IFERROR(__xludf.DUMMYFUNCTION("""COMPUTED_VALUE"""),FALSE)</f>
        <v>0</v>
      </c>
      <c r="E211" s="20" t="str">
        <f>IFERROR(__xludf.DUMMYFUNCTION("""COMPUTED_VALUE"""),"Medium")</f>
        <v>Medium</v>
      </c>
      <c r="F211" s="20">
        <f>IFERROR(__xludf.DUMMYFUNCTION("""COMPUTED_VALUE"""),8447.0)</f>
        <v>8447</v>
      </c>
      <c r="G211" s="20">
        <f>IFERROR(__xludf.DUMMYFUNCTION("""COMPUTED_VALUE"""),276.0)</f>
        <v>276</v>
      </c>
      <c r="H211" s="20" t="str">
        <f>IFERROR(__xludf.DUMMYFUNCTION("""COMPUTED_VALUE"""),"Algorithms")</f>
        <v>Algorithms</v>
      </c>
      <c r="I211" s="20">
        <f>IFERROR(__xludf.DUMMYFUNCTION("""COMPUTED_VALUE"""),0.482)</f>
        <v>0.482</v>
      </c>
      <c r="J211" s="20">
        <f>IFERROR(__xludf.DUMMYFUNCTION("""COMPUTED_VALUE"""),210.0)</f>
        <v>210</v>
      </c>
      <c r="K211" s="20" t="b">
        <f>IFERROR(__xludf.DUMMYFUNCTION("""COMPUTED_VALUE"""),FALSE)</f>
        <v>0</v>
      </c>
      <c r="L211" s="20" t="str">
        <f>IFERROR(__xludf.DUMMYFUNCTION("""COMPUTED_VALUE"""),"Depth-First Search;Breadth-First Search;Graph;Topological Sort;")</f>
        <v>Depth-First Search;Breadth-First Search;Graph;Topological Sort;</v>
      </c>
      <c r="M211" s="20" t="b">
        <f>IFERROR(__xludf.DUMMYFUNCTION("""COMPUTED_VALUE"""),TRUE)</f>
        <v>1</v>
      </c>
      <c r="N211" s="20" t="b">
        <f>IFERROR(__xludf.DUMMYFUNCTION("""COMPUTED_VALUE"""),FALSE)</f>
        <v>0</v>
      </c>
      <c r="O211" s="20">
        <f>IFERROR(__xludf.DUMMYFUNCTION("""COMPUTED_VALUE"""),48.189757685389)</f>
        <v>48.18975769</v>
      </c>
      <c r="P211" s="20">
        <f>IFERROR(__xludf.DUMMYFUNCTION("""COMPUTED_VALUE"""),765098.0)</f>
        <v>765098</v>
      </c>
      <c r="Q211" s="20">
        <f>IFERROR(__xludf.DUMMYFUNCTION("""COMPUTED_VALUE"""),1587678.0)</f>
        <v>1587678</v>
      </c>
    </row>
    <row r="212">
      <c r="A212" s="20">
        <f>IFERROR(__xludf.DUMMYFUNCTION("""COMPUTED_VALUE"""),211.0)</f>
        <v>211</v>
      </c>
      <c r="B212" s="20" t="str">
        <f>IFERROR(__xludf.DUMMYFUNCTION("""COMPUTED_VALUE"""),"Design Add and Search Words Data Structure")</f>
        <v>Design Add and Search Words Data Structure</v>
      </c>
      <c r="C212" s="20" t="str">
        <f>IFERROR(__xludf.DUMMYFUNCTION("""COMPUTED_VALUE"""),"design-add-and-search-words-data-structure")</f>
        <v>design-add-and-search-words-data-structure</v>
      </c>
      <c r="D212" s="20" t="b">
        <f>IFERROR(__xludf.DUMMYFUNCTION("""COMPUTED_VALUE"""),FALSE)</f>
        <v>0</v>
      </c>
      <c r="E212" s="20" t="str">
        <f>IFERROR(__xludf.DUMMYFUNCTION("""COMPUTED_VALUE"""),"Medium")</f>
        <v>Medium</v>
      </c>
      <c r="F212" s="20">
        <f>IFERROR(__xludf.DUMMYFUNCTION("""COMPUTED_VALUE"""),5721.0)</f>
        <v>5721</v>
      </c>
      <c r="G212" s="20">
        <f>IFERROR(__xludf.DUMMYFUNCTION("""COMPUTED_VALUE"""),335.0)</f>
        <v>335</v>
      </c>
      <c r="H212" s="20" t="str">
        <f>IFERROR(__xludf.DUMMYFUNCTION("""COMPUTED_VALUE"""),"Algorithms")</f>
        <v>Algorithms</v>
      </c>
      <c r="I212" s="20">
        <f>IFERROR(__xludf.DUMMYFUNCTION("""COMPUTED_VALUE"""),0.429)</f>
        <v>0.429</v>
      </c>
      <c r="J212" s="20">
        <f>IFERROR(__xludf.DUMMYFUNCTION("""COMPUTED_VALUE"""),211.0)</f>
        <v>211</v>
      </c>
      <c r="K212" s="20" t="b">
        <f>IFERROR(__xludf.DUMMYFUNCTION("""COMPUTED_VALUE"""),FALSE)</f>
        <v>0</v>
      </c>
      <c r="L212" s="20" t="str">
        <f>IFERROR(__xludf.DUMMYFUNCTION("""COMPUTED_VALUE"""),"String;Depth-First Search;Design;Trie;")</f>
        <v>String;Depth-First Search;Design;Trie;</v>
      </c>
      <c r="M212" s="20" t="b">
        <f>IFERROR(__xludf.DUMMYFUNCTION("""COMPUTED_VALUE"""),TRUE)</f>
        <v>1</v>
      </c>
      <c r="N212" s="20" t="b">
        <f>IFERROR(__xludf.DUMMYFUNCTION("""COMPUTED_VALUE"""),FALSE)</f>
        <v>0</v>
      </c>
      <c r="O212" s="20">
        <f>IFERROR(__xludf.DUMMYFUNCTION("""COMPUTED_VALUE"""),42.9450863100644)</f>
        <v>42.94508631</v>
      </c>
      <c r="P212" s="20">
        <f>IFERROR(__xludf.DUMMYFUNCTION("""COMPUTED_VALUE"""),458604.0)</f>
        <v>458604</v>
      </c>
      <c r="Q212" s="20">
        <f>IFERROR(__xludf.DUMMYFUNCTION("""COMPUTED_VALUE"""),1067890.0)</f>
        <v>1067890</v>
      </c>
    </row>
    <row r="213">
      <c r="A213" s="20">
        <f>IFERROR(__xludf.DUMMYFUNCTION("""COMPUTED_VALUE"""),212.0)</f>
        <v>212</v>
      </c>
      <c r="B213" s="20" t="str">
        <f>IFERROR(__xludf.DUMMYFUNCTION("""COMPUTED_VALUE"""),"Word Search II")</f>
        <v>Word Search II</v>
      </c>
      <c r="C213" s="20" t="str">
        <f>IFERROR(__xludf.DUMMYFUNCTION("""COMPUTED_VALUE"""),"word-search-ii")</f>
        <v>word-search-ii</v>
      </c>
      <c r="D213" s="20" t="b">
        <f>IFERROR(__xludf.DUMMYFUNCTION("""COMPUTED_VALUE"""),FALSE)</f>
        <v>0</v>
      </c>
      <c r="E213" s="20" t="str">
        <f>IFERROR(__xludf.DUMMYFUNCTION("""COMPUTED_VALUE"""),"Hard")</f>
        <v>Hard</v>
      </c>
      <c r="F213" s="20">
        <f>IFERROR(__xludf.DUMMYFUNCTION("""COMPUTED_VALUE"""),8055.0)</f>
        <v>8055</v>
      </c>
      <c r="G213" s="20">
        <f>IFERROR(__xludf.DUMMYFUNCTION("""COMPUTED_VALUE"""),373.0)</f>
        <v>373</v>
      </c>
      <c r="H213" s="20" t="str">
        <f>IFERROR(__xludf.DUMMYFUNCTION("""COMPUTED_VALUE"""),"Algorithms")</f>
        <v>Algorithms</v>
      </c>
      <c r="I213" s="20">
        <f>IFERROR(__xludf.DUMMYFUNCTION("""COMPUTED_VALUE"""),0.367)</f>
        <v>0.367</v>
      </c>
      <c r="J213" s="20">
        <f>IFERROR(__xludf.DUMMYFUNCTION("""COMPUTED_VALUE"""),212.0)</f>
        <v>212</v>
      </c>
      <c r="K213" s="20" t="b">
        <f>IFERROR(__xludf.DUMMYFUNCTION("""COMPUTED_VALUE"""),FALSE)</f>
        <v>0</v>
      </c>
      <c r="L213" s="20" t="str">
        <f>IFERROR(__xludf.DUMMYFUNCTION("""COMPUTED_VALUE"""),"Array;String;Backtracking;Trie;Matrix;")</f>
        <v>Array;String;Backtracking;Trie;Matrix;</v>
      </c>
      <c r="M213" s="20" t="b">
        <f>IFERROR(__xludf.DUMMYFUNCTION("""COMPUTED_VALUE"""),TRUE)</f>
        <v>1</v>
      </c>
      <c r="N213" s="20" t="b">
        <f>IFERROR(__xludf.DUMMYFUNCTION("""COMPUTED_VALUE"""),FALSE)</f>
        <v>0</v>
      </c>
      <c r="O213" s="20">
        <f>IFERROR(__xludf.DUMMYFUNCTION("""COMPUTED_VALUE"""),36.7150734941443)</f>
        <v>36.71507349</v>
      </c>
      <c r="P213" s="20">
        <f>IFERROR(__xludf.DUMMYFUNCTION("""COMPUTED_VALUE"""),535832.0)</f>
        <v>535832</v>
      </c>
      <c r="Q213" s="20">
        <f>IFERROR(__xludf.DUMMYFUNCTION("""COMPUTED_VALUE"""),1459434.0)</f>
        <v>1459434</v>
      </c>
    </row>
    <row r="214">
      <c r="A214" s="20">
        <f>IFERROR(__xludf.DUMMYFUNCTION("""COMPUTED_VALUE"""),213.0)</f>
        <v>213</v>
      </c>
      <c r="B214" s="20" t="str">
        <f>IFERROR(__xludf.DUMMYFUNCTION("""COMPUTED_VALUE"""),"House Robber II")</f>
        <v>House Robber II</v>
      </c>
      <c r="C214" s="20" t="str">
        <f>IFERROR(__xludf.DUMMYFUNCTION("""COMPUTED_VALUE"""),"house-robber-ii")</f>
        <v>house-robber-ii</v>
      </c>
      <c r="D214" s="20" t="b">
        <f>IFERROR(__xludf.DUMMYFUNCTION("""COMPUTED_VALUE"""),FALSE)</f>
        <v>0</v>
      </c>
      <c r="E214" s="20" t="str">
        <f>IFERROR(__xludf.DUMMYFUNCTION("""COMPUTED_VALUE"""),"Medium")</f>
        <v>Medium</v>
      </c>
      <c r="F214" s="20">
        <f>IFERROR(__xludf.DUMMYFUNCTION("""COMPUTED_VALUE"""),7499.0)</f>
        <v>7499</v>
      </c>
      <c r="G214" s="20">
        <f>IFERROR(__xludf.DUMMYFUNCTION("""COMPUTED_VALUE"""),111.0)</f>
        <v>111</v>
      </c>
      <c r="H214" s="20" t="str">
        <f>IFERROR(__xludf.DUMMYFUNCTION("""COMPUTED_VALUE"""),"Algorithms")</f>
        <v>Algorithms</v>
      </c>
      <c r="I214" s="20">
        <f>IFERROR(__xludf.DUMMYFUNCTION("""COMPUTED_VALUE"""),0.408)</f>
        <v>0.408</v>
      </c>
      <c r="J214" s="20">
        <f>IFERROR(__xludf.DUMMYFUNCTION("""COMPUTED_VALUE"""),213.0)</f>
        <v>213</v>
      </c>
      <c r="K214" s="20" t="b">
        <f>IFERROR(__xludf.DUMMYFUNCTION("""COMPUTED_VALUE"""),FALSE)</f>
        <v>0</v>
      </c>
      <c r="L214" s="20" t="str">
        <f>IFERROR(__xludf.DUMMYFUNCTION("""COMPUTED_VALUE"""),"Array;Dynamic Programming;")</f>
        <v>Array;Dynamic Programming;</v>
      </c>
      <c r="M214" s="20" t="b">
        <f>IFERROR(__xludf.DUMMYFUNCTION("""COMPUTED_VALUE"""),TRUE)</f>
        <v>1</v>
      </c>
      <c r="N214" s="20" t="b">
        <f>IFERROR(__xludf.DUMMYFUNCTION("""COMPUTED_VALUE"""),FALSE)</f>
        <v>0</v>
      </c>
      <c r="O214" s="20">
        <f>IFERROR(__xludf.DUMMYFUNCTION("""COMPUTED_VALUE"""),40.8033594468976)</f>
        <v>40.80335945</v>
      </c>
      <c r="P214" s="20">
        <f>IFERROR(__xludf.DUMMYFUNCTION("""COMPUTED_VALUE"""),527610.0)</f>
        <v>527610</v>
      </c>
      <c r="Q214" s="20">
        <f>IFERROR(__xludf.DUMMYFUNCTION("""COMPUTED_VALUE"""),1293053.0)</f>
        <v>1293053</v>
      </c>
    </row>
    <row r="215">
      <c r="A215" s="20">
        <f>IFERROR(__xludf.DUMMYFUNCTION("""COMPUTED_VALUE"""),214.0)</f>
        <v>214</v>
      </c>
      <c r="B215" s="20" t="str">
        <f>IFERROR(__xludf.DUMMYFUNCTION("""COMPUTED_VALUE"""),"Shortest Palindrome")</f>
        <v>Shortest Palindrome</v>
      </c>
      <c r="C215" s="20" t="str">
        <f>IFERROR(__xludf.DUMMYFUNCTION("""COMPUTED_VALUE"""),"shortest-palindrome")</f>
        <v>shortest-palindrome</v>
      </c>
      <c r="D215" s="20" t="b">
        <f>IFERROR(__xludf.DUMMYFUNCTION("""COMPUTED_VALUE"""),FALSE)</f>
        <v>0</v>
      </c>
      <c r="E215" s="20" t="str">
        <f>IFERROR(__xludf.DUMMYFUNCTION("""COMPUTED_VALUE"""),"Hard")</f>
        <v>Hard</v>
      </c>
      <c r="F215" s="20">
        <f>IFERROR(__xludf.DUMMYFUNCTION("""COMPUTED_VALUE"""),2954.0)</f>
        <v>2954</v>
      </c>
      <c r="G215" s="20">
        <f>IFERROR(__xludf.DUMMYFUNCTION("""COMPUTED_VALUE"""),209.0)</f>
        <v>209</v>
      </c>
      <c r="H215" s="20" t="str">
        <f>IFERROR(__xludf.DUMMYFUNCTION("""COMPUTED_VALUE"""),"Algorithms")</f>
        <v>Algorithms</v>
      </c>
      <c r="I215" s="20">
        <f>IFERROR(__xludf.DUMMYFUNCTION("""COMPUTED_VALUE"""),0.322)</f>
        <v>0.322</v>
      </c>
      <c r="J215" s="20">
        <f>IFERROR(__xludf.DUMMYFUNCTION("""COMPUTED_VALUE"""),214.0)</f>
        <v>214</v>
      </c>
      <c r="K215" s="20" t="b">
        <f>IFERROR(__xludf.DUMMYFUNCTION("""COMPUTED_VALUE"""),FALSE)</f>
        <v>0</v>
      </c>
      <c r="L215" s="20" t="str">
        <f>IFERROR(__xludf.DUMMYFUNCTION("""COMPUTED_VALUE"""),"String;Rolling Hash;String Matching;Hash Function;")</f>
        <v>String;Rolling Hash;String Matching;Hash Function;</v>
      </c>
      <c r="M215" s="20" t="b">
        <f>IFERROR(__xludf.DUMMYFUNCTION("""COMPUTED_VALUE"""),TRUE)</f>
        <v>1</v>
      </c>
      <c r="N215" s="20" t="b">
        <f>IFERROR(__xludf.DUMMYFUNCTION("""COMPUTED_VALUE"""),FALSE)</f>
        <v>0</v>
      </c>
      <c r="O215" s="20">
        <f>IFERROR(__xludf.DUMMYFUNCTION("""COMPUTED_VALUE"""),32.2273290642429)</f>
        <v>32.22732906</v>
      </c>
      <c r="P215" s="20">
        <f>IFERROR(__xludf.DUMMYFUNCTION("""COMPUTED_VALUE"""),149767.0)</f>
        <v>149767</v>
      </c>
      <c r="Q215" s="20">
        <f>IFERROR(__xludf.DUMMYFUNCTION("""COMPUTED_VALUE"""),464729.0)</f>
        <v>464729</v>
      </c>
    </row>
    <row r="216">
      <c r="A216" s="20">
        <f>IFERROR(__xludf.DUMMYFUNCTION("""COMPUTED_VALUE"""),215.0)</f>
        <v>215</v>
      </c>
      <c r="B216" s="20" t="str">
        <f>IFERROR(__xludf.DUMMYFUNCTION("""COMPUTED_VALUE"""),"Kth Largest Element in an Array")</f>
        <v>Kth Largest Element in an Array</v>
      </c>
      <c r="C216" s="20" t="str">
        <f>IFERROR(__xludf.DUMMYFUNCTION("""COMPUTED_VALUE"""),"kth-largest-element-in-an-array")</f>
        <v>kth-largest-element-in-an-array</v>
      </c>
      <c r="D216" s="20" t="b">
        <f>IFERROR(__xludf.DUMMYFUNCTION("""COMPUTED_VALUE"""),FALSE)</f>
        <v>0</v>
      </c>
      <c r="E216" s="20" t="str">
        <f>IFERROR(__xludf.DUMMYFUNCTION("""COMPUTED_VALUE"""),"Medium")</f>
        <v>Medium</v>
      </c>
      <c r="F216" s="20">
        <f>IFERROR(__xludf.DUMMYFUNCTION("""COMPUTED_VALUE"""),12817.0)</f>
        <v>12817</v>
      </c>
      <c r="G216" s="20">
        <f>IFERROR(__xludf.DUMMYFUNCTION("""COMPUTED_VALUE"""),644.0)</f>
        <v>644</v>
      </c>
      <c r="H216" s="20" t="str">
        <f>IFERROR(__xludf.DUMMYFUNCTION("""COMPUTED_VALUE"""),"Algorithms")</f>
        <v>Algorithms</v>
      </c>
      <c r="I216" s="20">
        <f>IFERROR(__xludf.DUMMYFUNCTION("""COMPUTED_VALUE"""),0.659)</f>
        <v>0.659</v>
      </c>
      <c r="J216" s="20">
        <f>IFERROR(__xludf.DUMMYFUNCTION("""COMPUTED_VALUE"""),215.0)</f>
        <v>215</v>
      </c>
      <c r="K216" s="20" t="b">
        <f>IFERROR(__xludf.DUMMYFUNCTION("""COMPUTED_VALUE"""),FALSE)</f>
        <v>0</v>
      </c>
      <c r="L216" s="20" t="str">
        <f>IFERROR(__xludf.DUMMYFUNCTION("""COMPUTED_VALUE"""),"Array;Divide and Conquer;Sorting;Heap (Priority Queue);Quickselect;")</f>
        <v>Array;Divide and Conquer;Sorting;Heap (Priority Queue);Quickselect;</v>
      </c>
      <c r="M216" s="20" t="b">
        <f>IFERROR(__xludf.DUMMYFUNCTION("""COMPUTED_VALUE"""),TRUE)</f>
        <v>1</v>
      </c>
      <c r="N216" s="20" t="b">
        <f>IFERROR(__xludf.DUMMYFUNCTION("""COMPUTED_VALUE"""),FALSE)</f>
        <v>0</v>
      </c>
      <c r="O216" s="20">
        <f>IFERROR(__xludf.DUMMYFUNCTION("""COMPUTED_VALUE"""),65.8698260949835)</f>
        <v>65.86982609</v>
      </c>
      <c r="P216" s="20">
        <f>IFERROR(__xludf.DUMMYFUNCTION("""COMPUTED_VALUE"""),1641196.0)</f>
        <v>1641196</v>
      </c>
      <c r="Q216" s="20">
        <f>IFERROR(__xludf.DUMMYFUNCTION("""COMPUTED_VALUE"""),2491580.0)</f>
        <v>2491580</v>
      </c>
    </row>
    <row r="217">
      <c r="A217" s="20">
        <f>IFERROR(__xludf.DUMMYFUNCTION("""COMPUTED_VALUE"""),216.0)</f>
        <v>216</v>
      </c>
      <c r="B217" s="20" t="str">
        <f>IFERROR(__xludf.DUMMYFUNCTION("""COMPUTED_VALUE"""),"Combination Sum III")</f>
        <v>Combination Sum III</v>
      </c>
      <c r="C217" s="20" t="str">
        <f>IFERROR(__xludf.DUMMYFUNCTION("""COMPUTED_VALUE"""),"combination-sum-iii")</f>
        <v>combination-sum-iii</v>
      </c>
      <c r="D217" s="20" t="b">
        <f>IFERROR(__xludf.DUMMYFUNCTION("""COMPUTED_VALUE"""),FALSE)</f>
        <v>0</v>
      </c>
      <c r="E217" s="20" t="str">
        <f>IFERROR(__xludf.DUMMYFUNCTION("""COMPUTED_VALUE"""),"Medium")</f>
        <v>Medium</v>
      </c>
      <c r="F217" s="20">
        <f>IFERROR(__xludf.DUMMYFUNCTION("""COMPUTED_VALUE"""),4517.0)</f>
        <v>4517</v>
      </c>
      <c r="G217" s="20">
        <f>IFERROR(__xludf.DUMMYFUNCTION("""COMPUTED_VALUE"""),93.0)</f>
        <v>93</v>
      </c>
      <c r="H217" s="20" t="str">
        <f>IFERROR(__xludf.DUMMYFUNCTION("""COMPUTED_VALUE"""),"Algorithms")</f>
        <v>Algorithms</v>
      </c>
      <c r="I217" s="20">
        <f>IFERROR(__xludf.DUMMYFUNCTION("""COMPUTED_VALUE"""),0.673)</f>
        <v>0.673</v>
      </c>
      <c r="J217" s="20">
        <f>IFERROR(__xludf.DUMMYFUNCTION("""COMPUTED_VALUE"""),216.0)</f>
        <v>216</v>
      </c>
      <c r="K217" s="20" t="b">
        <f>IFERROR(__xludf.DUMMYFUNCTION("""COMPUTED_VALUE"""),FALSE)</f>
        <v>0</v>
      </c>
      <c r="L217" s="20" t="str">
        <f>IFERROR(__xludf.DUMMYFUNCTION("""COMPUTED_VALUE"""),"Array;Backtracking;")</f>
        <v>Array;Backtracking;</v>
      </c>
      <c r="M217" s="20" t="b">
        <f>IFERROR(__xludf.DUMMYFUNCTION("""COMPUTED_VALUE"""),TRUE)</f>
        <v>1</v>
      </c>
      <c r="N217" s="20" t="b">
        <f>IFERROR(__xludf.DUMMYFUNCTION("""COMPUTED_VALUE"""),FALSE)</f>
        <v>0</v>
      </c>
      <c r="O217" s="20">
        <f>IFERROR(__xludf.DUMMYFUNCTION("""COMPUTED_VALUE"""),67.2973184827301)</f>
        <v>67.29731848</v>
      </c>
      <c r="P217" s="20">
        <f>IFERROR(__xludf.DUMMYFUNCTION("""COMPUTED_VALUE"""),377748.0)</f>
        <v>377748</v>
      </c>
      <c r="Q217" s="20">
        <f>IFERROR(__xludf.DUMMYFUNCTION("""COMPUTED_VALUE"""),561316.0)</f>
        <v>561316</v>
      </c>
    </row>
    <row r="218">
      <c r="A218" s="20">
        <f>IFERROR(__xludf.DUMMYFUNCTION("""COMPUTED_VALUE"""),217.0)</f>
        <v>217</v>
      </c>
      <c r="B218" s="20" t="str">
        <f>IFERROR(__xludf.DUMMYFUNCTION("""COMPUTED_VALUE"""),"Contains Duplicate")</f>
        <v>Contains Duplicate</v>
      </c>
      <c r="C218" s="20" t="str">
        <f>IFERROR(__xludf.DUMMYFUNCTION("""COMPUTED_VALUE"""),"contains-duplicate")</f>
        <v>contains-duplicate</v>
      </c>
      <c r="D218" s="20" t="b">
        <f>IFERROR(__xludf.DUMMYFUNCTION("""COMPUTED_VALUE"""),FALSE)</f>
        <v>0</v>
      </c>
      <c r="E218" s="20" t="str">
        <f>IFERROR(__xludf.DUMMYFUNCTION("""COMPUTED_VALUE"""),"Easy")</f>
        <v>Easy</v>
      </c>
      <c r="F218" s="20">
        <f>IFERROR(__xludf.DUMMYFUNCTION("""COMPUTED_VALUE"""),7774.0)</f>
        <v>7774</v>
      </c>
      <c r="G218" s="20">
        <f>IFERROR(__xludf.DUMMYFUNCTION("""COMPUTED_VALUE"""),1077.0)</f>
        <v>1077</v>
      </c>
      <c r="H218" s="20" t="str">
        <f>IFERROR(__xludf.DUMMYFUNCTION("""COMPUTED_VALUE"""),"Algorithms")</f>
        <v>Algorithms</v>
      </c>
      <c r="I218" s="20">
        <f>IFERROR(__xludf.DUMMYFUNCTION("""COMPUTED_VALUE"""),0.613)</f>
        <v>0.613</v>
      </c>
      <c r="J218" s="20">
        <f>IFERROR(__xludf.DUMMYFUNCTION("""COMPUTED_VALUE"""),217.0)</f>
        <v>217</v>
      </c>
      <c r="K218" s="20" t="b">
        <f>IFERROR(__xludf.DUMMYFUNCTION("""COMPUTED_VALUE"""),FALSE)</f>
        <v>0</v>
      </c>
      <c r="L218" s="20" t="str">
        <f>IFERROR(__xludf.DUMMYFUNCTION("""COMPUTED_VALUE"""),"Array;Hash Table;Sorting;")</f>
        <v>Array;Hash Table;Sorting;</v>
      </c>
      <c r="M218" s="20" t="b">
        <f>IFERROR(__xludf.DUMMYFUNCTION("""COMPUTED_VALUE"""),TRUE)</f>
        <v>1</v>
      </c>
      <c r="N218" s="20" t="b">
        <f>IFERROR(__xludf.DUMMYFUNCTION("""COMPUTED_VALUE"""),FALSE)</f>
        <v>0</v>
      </c>
      <c r="O218" s="20">
        <f>IFERROR(__xludf.DUMMYFUNCTION("""COMPUTED_VALUE"""),61.3342701054675)</f>
        <v>61.33427011</v>
      </c>
      <c r="P218" s="20">
        <f>IFERROR(__xludf.DUMMYFUNCTION("""COMPUTED_VALUE"""),2355263.0)</f>
        <v>2355263</v>
      </c>
      <c r="Q218" s="20">
        <f>IFERROR(__xludf.DUMMYFUNCTION("""COMPUTED_VALUE"""),3840050.0)</f>
        <v>3840050</v>
      </c>
    </row>
    <row r="219">
      <c r="A219" s="20">
        <f>IFERROR(__xludf.DUMMYFUNCTION("""COMPUTED_VALUE"""),218.0)</f>
        <v>218</v>
      </c>
      <c r="B219" s="20" t="str">
        <f>IFERROR(__xludf.DUMMYFUNCTION("""COMPUTED_VALUE"""),"The Skyline Problem")</f>
        <v>The Skyline Problem</v>
      </c>
      <c r="C219" s="20" t="str">
        <f>IFERROR(__xludf.DUMMYFUNCTION("""COMPUTED_VALUE"""),"the-skyline-problem")</f>
        <v>the-skyline-problem</v>
      </c>
      <c r="D219" s="20" t="b">
        <f>IFERROR(__xludf.DUMMYFUNCTION("""COMPUTED_VALUE"""),FALSE)</f>
        <v>0</v>
      </c>
      <c r="E219" s="20" t="str">
        <f>IFERROR(__xludf.DUMMYFUNCTION("""COMPUTED_VALUE"""),"Hard")</f>
        <v>Hard</v>
      </c>
      <c r="F219" s="20">
        <f>IFERROR(__xludf.DUMMYFUNCTION("""COMPUTED_VALUE"""),5247.0)</f>
        <v>5247</v>
      </c>
      <c r="G219" s="20">
        <f>IFERROR(__xludf.DUMMYFUNCTION("""COMPUTED_VALUE"""),241.0)</f>
        <v>241</v>
      </c>
      <c r="H219" s="20" t="str">
        <f>IFERROR(__xludf.DUMMYFUNCTION("""COMPUTED_VALUE"""),"Algorithms")</f>
        <v>Algorithms</v>
      </c>
      <c r="I219" s="20">
        <f>IFERROR(__xludf.DUMMYFUNCTION("""COMPUTED_VALUE"""),0.417)</f>
        <v>0.417</v>
      </c>
      <c r="J219" s="20">
        <f>IFERROR(__xludf.DUMMYFUNCTION("""COMPUTED_VALUE"""),218.0)</f>
        <v>218</v>
      </c>
      <c r="K219" s="20" t="b">
        <f>IFERROR(__xludf.DUMMYFUNCTION("""COMPUTED_VALUE"""),FALSE)</f>
        <v>0</v>
      </c>
      <c r="L219" s="20" t="str">
        <f>IFERROR(__xludf.DUMMYFUNCTION("""COMPUTED_VALUE"""),"Array;Divide and Conquer;Binary Indexed Tree;Segment Tree;Line Sweep;Heap (Priority Queue);Ordered Set;")</f>
        <v>Array;Divide and Conquer;Binary Indexed Tree;Segment Tree;Line Sweep;Heap (Priority Queue);Ordered Set;</v>
      </c>
      <c r="M219" s="20" t="b">
        <f>IFERROR(__xludf.DUMMYFUNCTION("""COMPUTED_VALUE"""),TRUE)</f>
        <v>1</v>
      </c>
      <c r="N219" s="20" t="b">
        <f>IFERROR(__xludf.DUMMYFUNCTION("""COMPUTED_VALUE"""),FALSE)</f>
        <v>0</v>
      </c>
      <c r="O219" s="20">
        <f>IFERROR(__xludf.DUMMYFUNCTION("""COMPUTED_VALUE"""),41.6820308714837)</f>
        <v>41.68203087</v>
      </c>
      <c r="P219" s="20">
        <f>IFERROR(__xludf.DUMMYFUNCTION("""COMPUTED_VALUE"""),256371.0)</f>
        <v>256371</v>
      </c>
      <c r="Q219" s="20">
        <f>IFERROR(__xludf.DUMMYFUNCTION("""COMPUTED_VALUE"""),615065.0)</f>
        <v>615065</v>
      </c>
    </row>
    <row r="220">
      <c r="A220" s="20">
        <f>IFERROR(__xludf.DUMMYFUNCTION("""COMPUTED_VALUE"""),219.0)</f>
        <v>219</v>
      </c>
      <c r="B220" s="20" t="str">
        <f>IFERROR(__xludf.DUMMYFUNCTION("""COMPUTED_VALUE"""),"Contains Duplicate II")</f>
        <v>Contains Duplicate II</v>
      </c>
      <c r="C220" s="20" t="str">
        <f>IFERROR(__xludf.DUMMYFUNCTION("""COMPUTED_VALUE"""),"contains-duplicate-ii")</f>
        <v>contains-duplicate-ii</v>
      </c>
      <c r="D220" s="20" t="b">
        <f>IFERROR(__xludf.DUMMYFUNCTION("""COMPUTED_VALUE"""),FALSE)</f>
        <v>0</v>
      </c>
      <c r="E220" s="20" t="str">
        <f>IFERROR(__xludf.DUMMYFUNCTION("""COMPUTED_VALUE"""),"Easy")</f>
        <v>Easy</v>
      </c>
      <c r="F220" s="20">
        <f>IFERROR(__xludf.DUMMYFUNCTION("""COMPUTED_VALUE"""),4322.0)</f>
        <v>4322</v>
      </c>
      <c r="G220" s="20">
        <f>IFERROR(__xludf.DUMMYFUNCTION("""COMPUTED_VALUE"""),2447.0)</f>
        <v>2447</v>
      </c>
      <c r="H220" s="20" t="str">
        <f>IFERROR(__xludf.DUMMYFUNCTION("""COMPUTED_VALUE"""),"Algorithms")</f>
        <v>Algorithms</v>
      </c>
      <c r="I220" s="20">
        <f>IFERROR(__xludf.DUMMYFUNCTION("""COMPUTED_VALUE"""),0.424)</f>
        <v>0.424</v>
      </c>
      <c r="J220" s="20">
        <f>IFERROR(__xludf.DUMMYFUNCTION("""COMPUTED_VALUE"""),219.0)</f>
        <v>219</v>
      </c>
      <c r="K220" s="20" t="b">
        <f>IFERROR(__xludf.DUMMYFUNCTION("""COMPUTED_VALUE"""),FALSE)</f>
        <v>0</v>
      </c>
      <c r="L220" s="20" t="str">
        <f>IFERROR(__xludf.DUMMYFUNCTION("""COMPUTED_VALUE"""),"Array;Hash Table;Sliding Window;")</f>
        <v>Array;Hash Table;Sliding Window;</v>
      </c>
      <c r="M220" s="20" t="b">
        <f>IFERROR(__xludf.DUMMYFUNCTION("""COMPUTED_VALUE"""),TRUE)</f>
        <v>1</v>
      </c>
      <c r="N220" s="20" t="b">
        <f>IFERROR(__xludf.DUMMYFUNCTION("""COMPUTED_VALUE"""),FALSE)</f>
        <v>0</v>
      </c>
      <c r="O220" s="20">
        <f>IFERROR(__xludf.DUMMYFUNCTION("""COMPUTED_VALUE"""),42.3760528942522)</f>
        <v>42.37605289</v>
      </c>
      <c r="P220" s="20">
        <f>IFERROR(__xludf.DUMMYFUNCTION("""COMPUTED_VALUE"""),623224.0)</f>
        <v>623224</v>
      </c>
      <c r="Q220" s="20">
        <f>IFERROR(__xludf.DUMMYFUNCTION("""COMPUTED_VALUE"""),1470700.0)</f>
        <v>1470700</v>
      </c>
    </row>
    <row r="221">
      <c r="A221" s="20">
        <f>IFERROR(__xludf.DUMMYFUNCTION("""COMPUTED_VALUE"""),220.0)</f>
        <v>220</v>
      </c>
      <c r="B221" s="20" t="str">
        <f>IFERROR(__xludf.DUMMYFUNCTION("""COMPUTED_VALUE"""),"Contains Duplicate III")</f>
        <v>Contains Duplicate III</v>
      </c>
      <c r="C221" s="20" t="str">
        <f>IFERROR(__xludf.DUMMYFUNCTION("""COMPUTED_VALUE"""),"contains-duplicate-iii")</f>
        <v>contains-duplicate-iii</v>
      </c>
      <c r="D221" s="20" t="b">
        <f>IFERROR(__xludf.DUMMYFUNCTION("""COMPUTED_VALUE"""),FALSE)</f>
        <v>0</v>
      </c>
      <c r="E221" s="20" t="str">
        <f>IFERROR(__xludf.DUMMYFUNCTION("""COMPUTED_VALUE"""),"Hard")</f>
        <v>Hard</v>
      </c>
      <c r="F221" s="20">
        <f>IFERROR(__xludf.DUMMYFUNCTION("""COMPUTED_VALUE"""),378.0)</f>
        <v>378</v>
      </c>
      <c r="G221" s="20">
        <f>IFERROR(__xludf.DUMMYFUNCTION("""COMPUTED_VALUE"""),9.0)</f>
        <v>9</v>
      </c>
      <c r="H221" s="20" t="str">
        <f>IFERROR(__xludf.DUMMYFUNCTION("""COMPUTED_VALUE"""),"Algorithms")</f>
        <v>Algorithms</v>
      </c>
      <c r="I221" s="20">
        <f>IFERROR(__xludf.DUMMYFUNCTION("""COMPUTED_VALUE"""),0.22)</f>
        <v>0.22</v>
      </c>
      <c r="J221" s="20">
        <f>IFERROR(__xludf.DUMMYFUNCTION("""COMPUTED_VALUE"""),220.0)</f>
        <v>220</v>
      </c>
      <c r="K221" s="20" t="b">
        <f>IFERROR(__xludf.DUMMYFUNCTION("""COMPUTED_VALUE"""),FALSE)</f>
        <v>0</v>
      </c>
      <c r="L221" s="20" t="str">
        <f>IFERROR(__xludf.DUMMYFUNCTION("""COMPUTED_VALUE"""),"Array;Sliding Window;Sorting;Bucket Sort;Ordered Set;")</f>
        <v>Array;Sliding Window;Sorting;Bucket Sort;Ordered Set;</v>
      </c>
      <c r="M221" s="20" t="b">
        <f>IFERROR(__xludf.DUMMYFUNCTION("""COMPUTED_VALUE"""),TRUE)</f>
        <v>1</v>
      </c>
      <c r="N221" s="20" t="b">
        <f>IFERROR(__xludf.DUMMYFUNCTION("""COMPUTED_VALUE"""),FALSE)</f>
        <v>0</v>
      </c>
      <c r="O221" s="20">
        <f>IFERROR(__xludf.DUMMYFUNCTION("""COMPUTED_VALUE"""),22.0189558010776)</f>
        <v>22.0189558</v>
      </c>
      <c r="P221" s="20">
        <f>IFERROR(__xludf.DUMMYFUNCTION("""COMPUTED_VALUE"""),222905.0)</f>
        <v>222905</v>
      </c>
      <c r="Q221" s="20">
        <f>IFERROR(__xludf.DUMMYFUNCTION("""COMPUTED_VALUE"""),1012350.0)</f>
        <v>1012350</v>
      </c>
    </row>
    <row r="222">
      <c r="A222" s="20">
        <f>IFERROR(__xludf.DUMMYFUNCTION("""COMPUTED_VALUE"""),221.0)</f>
        <v>221</v>
      </c>
      <c r="B222" s="20" t="str">
        <f>IFERROR(__xludf.DUMMYFUNCTION("""COMPUTED_VALUE"""),"Maximal Square")</f>
        <v>Maximal Square</v>
      </c>
      <c r="C222" s="20" t="str">
        <f>IFERROR(__xludf.DUMMYFUNCTION("""COMPUTED_VALUE"""),"maximal-square")</f>
        <v>maximal-square</v>
      </c>
      <c r="D222" s="20" t="b">
        <f>IFERROR(__xludf.DUMMYFUNCTION("""COMPUTED_VALUE"""),FALSE)</f>
        <v>0</v>
      </c>
      <c r="E222" s="20" t="str">
        <f>IFERROR(__xludf.DUMMYFUNCTION("""COMPUTED_VALUE"""),"Medium")</f>
        <v>Medium</v>
      </c>
      <c r="F222" s="20">
        <f>IFERROR(__xludf.DUMMYFUNCTION("""COMPUTED_VALUE"""),8385.0)</f>
        <v>8385</v>
      </c>
      <c r="G222" s="20">
        <f>IFERROR(__xludf.DUMMYFUNCTION("""COMPUTED_VALUE"""),180.0)</f>
        <v>180</v>
      </c>
      <c r="H222" s="20" t="str">
        <f>IFERROR(__xludf.DUMMYFUNCTION("""COMPUTED_VALUE"""),"Algorithms")</f>
        <v>Algorithms</v>
      </c>
      <c r="I222" s="20">
        <f>IFERROR(__xludf.DUMMYFUNCTION("""COMPUTED_VALUE"""),0.447)</f>
        <v>0.447</v>
      </c>
      <c r="J222" s="20">
        <f>IFERROR(__xludf.DUMMYFUNCTION("""COMPUTED_VALUE"""),221.0)</f>
        <v>221</v>
      </c>
      <c r="K222" s="20" t="b">
        <f>IFERROR(__xludf.DUMMYFUNCTION("""COMPUTED_VALUE"""),FALSE)</f>
        <v>0</v>
      </c>
      <c r="L222" s="20" t="str">
        <f>IFERROR(__xludf.DUMMYFUNCTION("""COMPUTED_VALUE"""),"Array;Dynamic Programming;Matrix;")</f>
        <v>Array;Dynamic Programming;Matrix;</v>
      </c>
      <c r="M222" s="20" t="b">
        <f>IFERROR(__xludf.DUMMYFUNCTION("""COMPUTED_VALUE"""),TRUE)</f>
        <v>1</v>
      </c>
      <c r="N222" s="20" t="b">
        <f>IFERROR(__xludf.DUMMYFUNCTION("""COMPUTED_VALUE"""),FALSE)</f>
        <v>0</v>
      </c>
      <c r="O222" s="20">
        <f>IFERROR(__xludf.DUMMYFUNCTION("""COMPUTED_VALUE"""),44.6945930391932)</f>
        <v>44.69459304</v>
      </c>
      <c r="P222" s="20">
        <f>IFERROR(__xludf.DUMMYFUNCTION("""COMPUTED_VALUE"""),557614.0)</f>
        <v>557614</v>
      </c>
      <c r="Q222" s="20">
        <f>IFERROR(__xludf.DUMMYFUNCTION("""COMPUTED_VALUE"""),1247612.0)</f>
        <v>1247612</v>
      </c>
    </row>
    <row r="223">
      <c r="A223" s="20">
        <f>IFERROR(__xludf.DUMMYFUNCTION("""COMPUTED_VALUE"""),222.0)</f>
        <v>222</v>
      </c>
      <c r="B223" s="20" t="str">
        <f>IFERROR(__xludf.DUMMYFUNCTION("""COMPUTED_VALUE"""),"Count Complete Tree Nodes")</f>
        <v>Count Complete Tree Nodes</v>
      </c>
      <c r="C223" s="20" t="str">
        <f>IFERROR(__xludf.DUMMYFUNCTION("""COMPUTED_VALUE"""),"count-complete-tree-nodes")</f>
        <v>count-complete-tree-nodes</v>
      </c>
      <c r="D223" s="20" t="b">
        <f>IFERROR(__xludf.DUMMYFUNCTION("""COMPUTED_VALUE"""),FALSE)</f>
        <v>0</v>
      </c>
      <c r="E223" s="20" t="str">
        <f>IFERROR(__xludf.DUMMYFUNCTION("""COMPUTED_VALUE"""),"Medium")</f>
        <v>Medium</v>
      </c>
      <c r="F223" s="20">
        <f>IFERROR(__xludf.DUMMYFUNCTION("""COMPUTED_VALUE"""),6959.0)</f>
        <v>6959</v>
      </c>
      <c r="G223" s="20">
        <f>IFERROR(__xludf.DUMMYFUNCTION("""COMPUTED_VALUE"""),392.0)</f>
        <v>392</v>
      </c>
      <c r="H223" s="20" t="str">
        <f>IFERROR(__xludf.DUMMYFUNCTION("""COMPUTED_VALUE"""),"Algorithms")</f>
        <v>Algorithms</v>
      </c>
      <c r="I223" s="20">
        <f>IFERROR(__xludf.DUMMYFUNCTION("""COMPUTED_VALUE"""),0.6)</f>
        <v>0.6</v>
      </c>
      <c r="J223" s="20">
        <f>IFERROR(__xludf.DUMMYFUNCTION("""COMPUTED_VALUE"""),222.0)</f>
        <v>222</v>
      </c>
      <c r="K223" s="20" t="b">
        <f>IFERROR(__xludf.DUMMYFUNCTION("""COMPUTED_VALUE"""),FALSE)</f>
        <v>0</v>
      </c>
      <c r="L223" s="20" t="str">
        <f>IFERROR(__xludf.DUMMYFUNCTION("""COMPUTED_VALUE"""),"Binary Search;Tree;Depth-First Search;Binary Tree;")</f>
        <v>Binary Search;Tree;Depth-First Search;Binary Tree;</v>
      </c>
      <c r="M223" s="20" t="b">
        <f>IFERROR(__xludf.DUMMYFUNCTION("""COMPUTED_VALUE"""),TRUE)</f>
        <v>1</v>
      </c>
      <c r="N223" s="20" t="b">
        <f>IFERROR(__xludf.DUMMYFUNCTION("""COMPUTED_VALUE"""),FALSE)</f>
        <v>0</v>
      </c>
      <c r="O223" s="20">
        <f>IFERROR(__xludf.DUMMYFUNCTION("""COMPUTED_VALUE"""),59.9883587439406)</f>
        <v>59.98835874</v>
      </c>
      <c r="P223" s="20">
        <f>IFERROR(__xludf.DUMMYFUNCTION("""COMPUTED_VALUE"""),521488.0)</f>
        <v>521488</v>
      </c>
      <c r="Q223" s="20">
        <f>IFERROR(__xludf.DUMMYFUNCTION("""COMPUTED_VALUE"""),869317.0)</f>
        <v>869317</v>
      </c>
    </row>
    <row r="224">
      <c r="A224" s="20">
        <f>IFERROR(__xludf.DUMMYFUNCTION("""COMPUTED_VALUE"""),223.0)</f>
        <v>223</v>
      </c>
      <c r="B224" s="20" t="str">
        <f>IFERROR(__xludf.DUMMYFUNCTION("""COMPUTED_VALUE"""),"Rectangle Area")</f>
        <v>Rectangle Area</v>
      </c>
      <c r="C224" s="20" t="str">
        <f>IFERROR(__xludf.DUMMYFUNCTION("""COMPUTED_VALUE"""),"rectangle-area")</f>
        <v>rectangle-area</v>
      </c>
      <c r="D224" s="20" t="b">
        <f>IFERROR(__xludf.DUMMYFUNCTION("""COMPUTED_VALUE"""),FALSE)</f>
        <v>0</v>
      </c>
      <c r="E224" s="20" t="str">
        <f>IFERROR(__xludf.DUMMYFUNCTION("""COMPUTED_VALUE"""),"Medium")</f>
        <v>Medium</v>
      </c>
      <c r="F224" s="20">
        <f>IFERROR(__xludf.DUMMYFUNCTION("""COMPUTED_VALUE"""),1711.0)</f>
        <v>1711</v>
      </c>
      <c r="G224" s="20">
        <f>IFERROR(__xludf.DUMMYFUNCTION("""COMPUTED_VALUE"""),1546.0)</f>
        <v>1546</v>
      </c>
      <c r="H224" s="20" t="str">
        <f>IFERROR(__xludf.DUMMYFUNCTION("""COMPUTED_VALUE"""),"Algorithms")</f>
        <v>Algorithms</v>
      </c>
      <c r="I224" s="20">
        <f>IFERROR(__xludf.DUMMYFUNCTION("""COMPUTED_VALUE"""),0.45)</f>
        <v>0.45</v>
      </c>
      <c r="J224" s="20">
        <f>IFERROR(__xludf.DUMMYFUNCTION("""COMPUTED_VALUE"""),223.0)</f>
        <v>223</v>
      </c>
      <c r="K224" s="20" t="b">
        <f>IFERROR(__xludf.DUMMYFUNCTION("""COMPUTED_VALUE"""),FALSE)</f>
        <v>0</v>
      </c>
      <c r="L224" s="20" t="str">
        <f>IFERROR(__xludf.DUMMYFUNCTION("""COMPUTED_VALUE"""),"Math;Geometry;")</f>
        <v>Math;Geometry;</v>
      </c>
      <c r="M224" s="20" t="b">
        <f>IFERROR(__xludf.DUMMYFUNCTION("""COMPUTED_VALUE"""),TRUE)</f>
        <v>1</v>
      </c>
      <c r="N224" s="20" t="b">
        <f>IFERROR(__xludf.DUMMYFUNCTION("""COMPUTED_VALUE"""),FALSE)</f>
        <v>0</v>
      </c>
      <c r="O224" s="20">
        <f>IFERROR(__xludf.DUMMYFUNCTION("""COMPUTED_VALUE"""),44.9791509856527)</f>
        <v>44.97915099</v>
      </c>
      <c r="P224" s="20">
        <f>IFERROR(__xludf.DUMMYFUNCTION("""COMPUTED_VALUE"""),194811.0)</f>
        <v>194811</v>
      </c>
      <c r="Q224" s="20">
        <f>IFERROR(__xludf.DUMMYFUNCTION("""COMPUTED_VALUE"""),433114.0)</f>
        <v>433114</v>
      </c>
    </row>
    <row r="225">
      <c r="A225" s="20">
        <f>IFERROR(__xludf.DUMMYFUNCTION("""COMPUTED_VALUE"""),224.0)</f>
        <v>224</v>
      </c>
      <c r="B225" s="20" t="str">
        <f>IFERROR(__xludf.DUMMYFUNCTION("""COMPUTED_VALUE"""),"Basic Calculator")</f>
        <v>Basic Calculator</v>
      </c>
      <c r="C225" s="20" t="str">
        <f>IFERROR(__xludf.DUMMYFUNCTION("""COMPUTED_VALUE"""),"basic-calculator")</f>
        <v>basic-calculator</v>
      </c>
      <c r="D225" s="20" t="b">
        <f>IFERROR(__xludf.DUMMYFUNCTION("""COMPUTED_VALUE"""),FALSE)</f>
        <v>0</v>
      </c>
      <c r="E225" s="20" t="str">
        <f>IFERROR(__xludf.DUMMYFUNCTION("""COMPUTED_VALUE"""),"Hard")</f>
        <v>Hard</v>
      </c>
      <c r="F225" s="20">
        <f>IFERROR(__xludf.DUMMYFUNCTION("""COMPUTED_VALUE"""),5110.0)</f>
        <v>5110</v>
      </c>
      <c r="G225" s="20">
        <f>IFERROR(__xludf.DUMMYFUNCTION("""COMPUTED_VALUE"""),382.0)</f>
        <v>382</v>
      </c>
      <c r="H225" s="20" t="str">
        <f>IFERROR(__xludf.DUMMYFUNCTION("""COMPUTED_VALUE"""),"Algorithms")</f>
        <v>Algorithms</v>
      </c>
      <c r="I225" s="20">
        <f>IFERROR(__xludf.DUMMYFUNCTION("""COMPUTED_VALUE"""),0.423)</f>
        <v>0.423</v>
      </c>
      <c r="J225" s="20">
        <f>IFERROR(__xludf.DUMMYFUNCTION("""COMPUTED_VALUE"""),224.0)</f>
        <v>224</v>
      </c>
      <c r="K225" s="20" t="b">
        <f>IFERROR(__xludf.DUMMYFUNCTION("""COMPUTED_VALUE"""),FALSE)</f>
        <v>0</v>
      </c>
      <c r="L225" s="20" t="str">
        <f>IFERROR(__xludf.DUMMYFUNCTION("""COMPUTED_VALUE"""),"Math;String;Stack;Recursion;")</f>
        <v>Math;String;Stack;Recursion;</v>
      </c>
      <c r="M225" s="20" t="b">
        <f>IFERROR(__xludf.DUMMYFUNCTION("""COMPUTED_VALUE"""),TRUE)</f>
        <v>1</v>
      </c>
      <c r="N225" s="20" t="b">
        <f>IFERROR(__xludf.DUMMYFUNCTION("""COMPUTED_VALUE"""),FALSE)</f>
        <v>0</v>
      </c>
      <c r="O225" s="20">
        <f>IFERROR(__xludf.DUMMYFUNCTION("""COMPUTED_VALUE"""),42.3177231109886)</f>
        <v>42.31772311</v>
      </c>
      <c r="P225" s="20">
        <f>IFERROR(__xludf.DUMMYFUNCTION("""COMPUTED_VALUE"""),365406.0)</f>
        <v>365406</v>
      </c>
      <c r="Q225" s="20">
        <f>IFERROR(__xludf.DUMMYFUNCTION("""COMPUTED_VALUE"""),863484.0)</f>
        <v>863484</v>
      </c>
    </row>
    <row r="226">
      <c r="A226" s="20">
        <f>IFERROR(__xludf.DUMMYFUNCTION("""COMPUTED_VALUE"""),225.0)</f>
        <v>225</v>
      </c>
      <c r="B226" s="20" t="str">
        <f>IFERROR(__xludf.DUMMYFUNCTION("""COMPUTED_VALUE"""),"Implement Stack using Queues")</f>
        <v>Implement Stack using Queues</v>
      </c>
      <c r="C226" s="20" t="str">
        <f>IFERROR(__xludf.DUMMYFUNCTION("""COMPUTED_VALUE"""),"implement-stack-using-queues")</f>
        <v>implement-stack-using-queues</v>
      </c>
      <c r="D226" s="20" t="b">
        <f>IFERROR(__xludf.DUMMYFUNCTION("""COMPUTED_VALUE"""),FALSE)</f>
        <v>0</v>
      </c>
      <c r="E226" s="20" t="str">
        <f>IFERROR(__xludf.DUMMYFUNCTION("""COMPUTED_VALUE"""),"Easy")</f>
        <v>Easy</v>
      </c>
      <c r="F226" s="20">
        <f>IFERROR(__xludf.DUMMYFUNCTION("""COMPUTED_VALUE"""),3865.0)</f>
        <v>3865</v>
      </c>
      <c r="G226" s="20">
        <f>IFERROR(__xludf.DUMMYFUNCTION("""COMPUTED_VALUE"""),948.0)</f>
        <v>948</v>
      </c>
      <c r="H226" s="20" t="str">
        <f>IFERROR(__xludf.DUMMYFUNCTION("""COMPUTED_VALUE"""),"Algorithms")</f>
        <v>Algorithms</v>
      </c>
      <c r="I226" s="20">
        <f>IFERROR(__xludf.DUMMYFUNCTION("""COMPUTED_VALUE"""),0.58)</f>
        <v>0.58</v>
      </c>
      <c r="J226" s="20">
        <f>IFERROR(__xludf.DUMMYFUNCTION("""COMPUTED_VALUE"""),225.0)</f>
        <v>225</v>
      </c>
      <c r="K226" s="20" t="b">
        <f>IFERROR(__xludf.DUMMYFUNCTION("""COMPUTED_VALUE"""),FALSE)</f>
        <v>0</v>
      </c>
      <c r="L226" s="20" t="str">
        <f>IFERROR(__xludf.DUMMYFUNCTION("""COMPUTED_VALUE"""),"Stack;Design;Queue;")</f>
        <v>Stack;Design;Queue;</v>
      </c>
      <c r="M226" s="20" t="b">
        <f>IFERROR(__xludf.DUMMYFUNCTION("""COMPUTED_VALUE"""),TRUE)</f>
        <v>1</v>
      </c>
      <c r="N226" s="20" t="b">
        <f>IFERROR(__xludf.DUMMYFUNCTION("""COMPUTED_VALUE"""),FALSE)</f>
        <v>0</v>
      </c>
      <c r="O226" s="20">
        <f>IFERROR(__xludf.DUMMYFUNCTION("""COMPUTED_VALUE"""),58.0253706851657)</f>
        <v>58.02537069</v>
      </c>
      <c r="P226" s="20">
        <f>IFERROR(__xludf.DUMMYFUNCTION("""COMPUTED_VALUE"""),413357.0)</f>
        <v>413357</v>
      </c>
      <c r="Q226" s="20">
        <f>IFERROR(__xludf.DUMMYFUNCTION("""COMPUTED_VALUE"""),712381.0)</f>
        <v>712381</v>
      </c>
    </row>
    <row r="227">
      <c r="A227" s="20">
        <f>IFERROR(__xludf.DUMMYFUNCTION("""COMPUTED_VALUE"""),226.0)</f>
        <v>226</v>
      </c>
      <c r="B227" s="20" t="str">
        <f>IFERROR(__xludf.DUMMYFUNCTION("""COMPUTED_VALUE"""),"Invert Binary Tree")</f>
        <v>Invert Binary Tree</v>
      </c>
      <c r="C227" s="20" t="str">
        <f>IFERROR(__xludf.DUMMYFUNCTION("""COMPUTED_VALUE"""),"invert-binary-tree")</f>
        <v>invert-binary-tree</v>
      </c>
      <c r="D227" s="20" t="b">
        <f>IFERROR(__xludf.DUMMYFUNCTION("""COMPUTED_VALUE"""),FALSE)</f>
        <v>0</v>
      </c>
      <c r="E227" s="20" t="str">
        <f>IFERROR(__xludf.DUMMYFUNCTION("""COMPUTED_VALUE"""),"Easy")</f>
        <v>Easy</v>
      </c>
      <c r="F227" s="20">
        <f>IFERROR(__xludf.DUMMYFUNCTION("""COMPUTED_VALUE"""),10627.0)</f>
        <v>10627</v>
      </c>
      <c r="G227" s="20">
        <f>IFERROR(__xludf.DUMMYFUNCTION("""COMPUTED_VALUE"""),152.0)</f>
        <v>152</v>
      </c>
      <c r="H227" s="20" t="str">
        <f>IFERROR(__xludf.DUMMYFUNCTION("""COMPUTED_VALUE"""),"Algorithms")</f>
        <v>Algorithms</v>
      </c>
      <c r="I227" s="20">
        <f>IFERROR(__xludf.DUMMYFUNCTION("""COMPUTED_VALUE"""),0.736)</f>
        <v>0.736</v>
      </c>
      <c r="J227" s="20">
        <f>IFERROR(__xludf.DUMMYFUNCTION("""COMPUTED_VALUE"""),226.0)</f>
        <v>226</v>
      </c>
      <c r="K227" s="20" t="b">
        <f>IFERROR(__xludf.DUMMYFUNCTION("""COMPUTED_VALUE"""),FALSE)</f>
        <v>0</v>
      </c>
      <c r="L227" s="20" t="str">
        <f>IFERROR(__xludf.DUMMYFUNCTION("""COMPUTED_VALUE"""),"Tree;Depth-First Search;Breadth-First Search;Binary Tree;")</f>
        <v>Tree;Depth-First Search;Breadth-First Search;Binary Tree;</v>
      </c>
      <c r="M227" s="20" t="b">
        <f>IFERROR(__xludf.DUMMYFUNCTION("""COMPUTED_VALUE"""),TRUE)</f>
        <v>1</v>
      </c>
      <c r="N227" s="20" t="b">
        <f>IFERROR(__xludf.DUMMYFUNCTION("""COMPUTED_VALUE"""),TRUE)</f>
        <v>1</v>
      </c>
      <c r="O227" s="20">
        <f>IFERROR(__xludf.DUMMYFUNCTION("""COMPUTED_VALUE"""),73.5679540624555)</f>
        <v>73.56795406</v>
      </c>
      <c r="P227" s="20">
        <f>IFERROR(__xludf.DUMMYFUNCTION("""COMPUTED_VALUE"""),1360097.0)</f>
        <v>1360097</v>
      </c>
      <c r="Q227" s="20">
        <f>IFERROR(__xludf.DUMMYFUNCTION("""COMPUTED_VALUE"""),1848765.0)</f>
        <v>1848765</v>
      </c>
    </row>
    <row r="228">
      <c r="A228" s="20">
        <f>IFERROR(__xludf.DUMMYFUNCTION("""COMPUTED_VALUE"""),227.0)</f>
        <v>227</v>
      </c>
      <c r="B228" s="20" t="str">
        <f>IFERROR(__xludf.DUMMYFUNCTION("""COMPUTED_VALUE"""),"Basic Calculator II")</f>
        <v>Basic Calculator II</v>
      </c>
      <c r="C228" s="20" t="str">
        <f>IFERROR(__xludf.DUMMYFUNCTION("""COMPUTED_VALUE"""),"basic-calculator-ii")</f>
        <v>basic-calculator-ii</v>
      </c>
      <c r="D228" s="20" t="b">
        <f>IFERROR(__xludf.DUMMYFUNCTION("""COMPUTED_VALUE"""),FALSE)</f>
        <v>0</v>
      </c>
      <c r="E228" s="20" t="str">
        <f>IFERROR(__xludf.DUMMYFUNCTION("""COMPUTED_VALUE"""),"Medium")</f>
        <v>Medium</v>
      </c>
      <c r="F228" s="20">
        <f>IFERROR(__xludf.DUMMYFUNCTION("""COMPUTED_VALUE"""),5183.0)</f>
        <v>5183</v>
      </c>
      <c r="G228" s="20">
        <f>IFERROR(__xludf.DUMMYFUNCTION("""COMPUTED_VALUE"""),666.0)</f>
        <v>666</v>
      </c>
      <c r="H228" s="20" t="str">
        <f>IFERROR(__xludf.DUMMYFUNCTION("""COMPUTED_VALUE"""),"Algorithms")</f>
        <v>Algorithms</v>
      </c>
      <c r="I228" s="20">
        <f>IFERROR(__xludf.DUMMYFUNCTION("""COMPUTED_VALUE"""),0.423)</f>
        <v>0.423</v>
      </c>
      <c r="J228" s="20">
        <f>IFERROR(__xludf.DUMMYFUNCTION("""COMPUTED_VALUE"""),227.0)</f>
        <v>227</v>
      </c>
      <c r="K228" s="20" t="b">
        <f>IFERROR(__xludf.DUMMYFUNCTION("""COMPUTED_VALUE"""),FALSE)</f>
        <v>0</v>
      </c>
      <c r="L228" s="20" t="str">
        <f>IFERROR(__xludf.DUMMYFUNCTION("""COMPUTED_VALUE"""),"Math;String;Stack;")</f>
        <v>Math;String;Stack;</v>
      </c>
      <c r="M228" s="20" t="b">
        <f>IFERROR(__xludf.DUMMYFUNCTION("""COMPUTED_VALUE"""),TRUE)</f>
        <v>1</v>
      </c>
      <c r="N228" s="20" t="b">
        <f>IFERROR(__xludf.DUMMYFUNCTION("""COMPUTED_VALUE"""),FALSE)</f>
        <v>0</v>
      </c>
      <c r="O228" s="20">
        <f>IFERROR(__xludf.DUMMYFUNCTION("""COMPUTED_VALUE"""),42.3185884500364)</f>
        <v>42.31858845</v>
      </c>
      <c r="P228" s="20">
        <f>IFERROR(__xludf.DUMMYFUNCTION("""COMPUTED_VALUE"""),494286.0)</f>
        <v>494286</v>
      </c>
      <c r="Q228" s="20">
        <f>IFERROR(__xludf.DUMMYFUNCTION("""COMPUTED_VALUE"""),1168016.0)</f>
        <v>1168016</v>
      </c>
    </row>
    <row r="229">
      <c r="A229" s="20">
        <f>IFERROR(__xludf.DUMMYFUNCTION("""COMPUTED_VALUE"""),228.0)</f>
        <v>228</v>
      </c>
      <c r="B229" s="20" t="str">
        <f>IFERROR(__xludf.DUMMYFUNCTION("""COMPUTED_VALUE"""),"Summary Ranges")</f>
        <v>Summary Ranges</v>
      </c>
      <c r="C229" s="20" t="str">
        <f>IFERROR(__xludf.DUMMYFUNCTION("""COMPUTED_VALUE"""),"summary-ranges")</f>
        <v>summary-ranges</v>
      </c>
      <c r="D229" s="20" t="b">
        <f>IFERROR(__xludf.DUMMYFUNCTION("""COMPUTED_VALUE"""),FALSE)</f>
        <v>0</v>
      </c>
      <c r="E229" s="20" t="str">
        <f>IFERROR(__xludf.DUMMYFUNCTION("""COMPUTED_VALUE"""),"Easy")</f>
        <v>Easy</v>
      </c>
      <c r="F229" s="20">
        <f>IFERROR(__xludf.DUMMYFUNCTION("""COMPUTED_VALUE"""),2401.0)</f>
        <v>2401</v>
      </c>
      <c r="G229" s="20">
        <f>IFERROR(__xludf.DUMMYFUNCTION("""COMPUTED_VALUE"""),1303.0)</f>
        <v>1303</v>
      </c>
      <c r="H229" s="20" t="str">
        <f>IFERROR(__xludf.DUMMYFUNCTION("""COMPUTED_VALUE"""),"Algorithms")</f>
        <v>Algorithms</v>
      </c>
      <c r="I229" s="20">
        <f>IFERROR(__xludf.DUMMYFUNCTION("""COMPUTED_VALUE"""),0.47)</f>
        <v>0.47</v>
      </c>
      <c r="J229" s="20">
        <f>IFERROR(__xludf.DUMMYFUNCTION("""COMPUTED_VALUE"""),228.0)</f>
        <v>228</v>
      </c>
      <c r="K229" s="20" t="b">
        <f>IFERROR(__xludf.DUMMYFUNCTION("""COMPUTED_VALUE"""),FALSE)</f>
        <v>0</v>
      </c>
      <c r="L229" s="20" t="str">
        <f>IFERROR(__xludf.DUMMYFUNCTION("""COMPUTED_VALUE"""),"Array;")</f>
        <v>Array;</v>
      </c>
      <c r="M229" s="20" t="b">
        <f>IFERROR(__xludf.DUMMYFUNCTION("""COMPUTED_VALUE"""),TRUE)</f>
        <v>1</v>
      </c>
      <c r="N229" s="20" t="b">
        <f>IFERROR(__xludf.DUMMYFUNCTION("""COMPUTED_VALUE"""),FALSE)</f>
        <v>0</v>
      </c>
      <c r="O229" s="20">
        <f>IFERROR(__xludf.DUMMYFUNCTION("""COMPUTED_VALUE"""),46.9623642811884)</f>
        <v>46.96236428</v>
      </c>
      <c r="P229" s="20">
        <f>IFERROR(__xludf.DUMMYFUNCTION("""COMPUTED_VALUE"""),327598.0)</f>
        <v>327598</v>
      </c>
      <c r="Q229" s="20">
        <f>IFERROR(__xludf.DUMMYFUNCTION("""COMPUTED_VALUE"""),697578.0)</f>
        <v>697578</v>
      </c>
    </row>
    <row r="230">
      <c r="A230" s="20">
        <f>IFERROR(__xludf.DUMMYFUNCTION("""COMPUTED_VALUE"""),229.0)</f>
        <v>229</v>
      </c>
      <c r="B230" s="20" t="str">
        <f>IFERROR(__xludf.DUMMYFUNCTION("""COMPUTED_VALUE"""),"Majority Element II")</f>
        <v>Majority Element II</v>
      </c>
      <c r="C230" s="20" t="str">
        <f>IFERROR(__xludf.DUMMYFUNCTION("""COMPUTED_VALUE"""),"majority-element-ii")</f>
        <v>majority-element-ii</v>
      </c>
      <c r="D230" s="20" t="b">
        <f>IFERROR(__xludf.DUMMYFUNCTION("""COMPUTED_VALUE"""),FALSE)</f>
        <v>0</v>
      </c>
      <c r="E230" s="20" t="str">
        <f>IFERROR(__xludf.DUMMYFUNCTION("""COMPUTED_VALUE"""),"Medium")</f>
        <v>Medium</v>
      </c>
      <c r="F230" s="20">
        <f>IFERROR(__xludf.DUMMYFUNCTION("""COMPUTED_VALUE"""),6560.0)</f>
        <v>6560</v>
      </c>
      <c r="G230" s="20">
        <f>IFERROR(__xludf.DUMMYFUNCTION("""COMPUTED_VALUE"""),324.0)</f>
        <v>324</v>
      </c>
      <c r="H230" s="20" t="str">
        <f>IFERROR(__xludf.DUMMYFUNCTION("""COMPUTED_VALUE"""),"Algorithms")</f>
        <v>Algorithms</v>
      </c>
      <c r="I230" s="20">
        <f>IFERROR(__xludf.DUMMYFUNCTION("""COMPUTED_VALUE"""),0.445)</f>
        <v>0.445</v>
      </c>
      <c r="J230" s="20">
        <f>IFERROR(__xludf.DUMMYFUNCTION("""COMPUTED_VALUE"""),229.0)</f>
        <v>229</v>
      </c>
      <c r="K230" s="20" t="b">
        <f>IFERROR(__xludf.DUMMYFUNCTION("""COMPUTED_VALUE"""),FALSE)</f>
        <v>0</v>
      </c>
      <c r="L230" s="20" t="str">
        <f>IFERROR(__xludf.DUMMYFUNCTION("""COMPUTED_VALUE"""),"Array;Hash Table;Sorting;Counting;")</f>
        <v>Array;Hash Table;Sorting;Counting;</v>
      </c>
      <c r="M230" s="20" t="b">
        <f>IFERROR(__xludf.DUMMYFUNCTION("""COMPUTED_VALUE"""),TRUE)</f>
        <v>1</v>
      </c>
      <c r="N230" s="20" t="b">
        <f>IFERROR(__xludf.DUMMYFUNCTION("""COMPUTED_VALUE"""),FALSE)</f>
        <v>0</v>
      </c>
      <c r="O230" s="20">
        <f>IFERROR(__xludf.DUMMYFUNCTION("""COMPUTED_VALUE"""),44.4642473929822)</f>
        <v>44.46424739</v>
      </c>
      <c r="P230" s="20">
        <f>IFERROR(__xludf.DUMMYFUNCTION("""COMPUTED_VALUE"""),366731.0)</f>
        <v>366731</v>
      </c>
      <c r="Q230" s="20">
        <f>IFERROR(__xludf.DUMMYFUNCTION("""COMPUTED_VALUE"""),824776.0)</f>
        <v>824776</v>
      </c>
    </row>
    <row r="231">
      <c r="A231" s="20">
        <f>IFERROR(__xludf.DUMMYFUNCTION("""COMPUTED_VALUE"""),230.0)</f>
        <v>230</v>
      </c>
      <c r="B231" s="20" t="str">
        <f>IFERROR(__xludf.DUMMYFUNCTION("""COMPUTED_VALUE"""),"Kth Smallest Element in a BST")</f>
        <v>Kth Smallest Element in a BST</v>
      </c>
      <c r="C231" s="20" t="str">
        <f>IFERROR(__xludf.DUMMYFUNCTION("""COMPUTED_VALUE"""),"kth-smallest-element-in-a-bst")</f>
        <v>kth-smallest-element-in-a-bst</v>
      </c>
      <c r="D231" s="20" t="b">
        <f>IFERROR(__xludf.DUMMYFUNCTION("""COMPUTED_VALUE"""),FALSE)</f>
        <v>0</v>
      </c>
      <c r="E231" s="20" t="str">
        <f>IFERROR(__xludf.DUMMYFUNCTION("""COMPUTED_VALUE"""),"Medium")</f>
        <v>Medium</v>
      </c>
      <c r="F231" s="20">
        <f>IFERROR(__xludf.DUMMYFUNCTION("""COMPUTED_VALUE"""),9002.0)</f>
        <v>9002</v>
      </c>
      <c r="G231" s="20">
        <f>IFERROR(__xludf.DUMMYFUNCTION("""COMPUTED_VALUE"""),160.0)</f>
        <v>160</v>
      </c>
      <c r="H231" s="20" t="str">
        <f>IFERROR(__xludf.DUMMYFUNCTION("""COMPUTED_VALUE"""),"Algorithms")</f>
        <v>Algorithms</v>
      </c>
      <c r="I231" s="20">
        <f>IFERROR(__xludf.DUMMYFUNCTION("""COMPUTED_VALUE"""),0.696)</f>
        <v>0.696</v>
      </c>
      <c r="J231" s="20">
        <f>IFERROR(__xludf.DUMMYFUNCTION("""COMPUTED_VALUE"""),230.0)</f>
        <v>230</v>
      </c>
      <c r="K231" s="20" t="b">
        <f>IFERROR(__xludf.DUMMYFUNCTION("""COMPUTED_VALUE"""),FALSE)</f>
        <v>0</v>
      </c>
      <c r="L231" s="20" t="str">
        <f>IFERROR(__xludf.DUMMYFUNCTION("""COMPUTED_VALUE"""),"Tree;Depth-First Search;Binary Search Tree;Binary Tree;")</f>
        <v>Tree;Depth-First Search;Binary Search Tree;Binary Tree;</v>
      </c>
      <c r="M231" s="20" t="b">
        <f>IFERROR(__xludf.DUMMYFUNCTION("""COMPUTED_VALUE"""),TRUE)</f>
        <v>1</v>
      </c>
      <c r="N231" s="20" t="b">
        <f>IFERROR(__xludf.DUMMYFUNCTION("""COMPUTED_VALUE"""),FALSE)</f>
        <v>0</v>
      </c>
      <c r="O231" s="20">
        <f>IFERROR(__xludf.DUMMYFUNCTION("""COMPUTED_VALUE"""),69.6272738307871)</f>
        <v>69.62727383</v>
      </c>
      <c r="P231" s="20">
        <f>IFERROR(__xludf.DUMMYFUNCTION("""COMPUTED_VALUE"""),1003793.0)</f>
        <v>1003793</v>
      </c>
      <c r="Q231" s="20">
        <f>IFERROR(__xludf.DUMMYFUNCTION("""COMPUTED_VALUE"""),1441668.0)</f>
        <v>1441668</v>
      </c>
    </row>
    <row r="232">
      <c r="A232" s="20">
        <f>IFERROR(__xludf.DUMMYFUNCTION("""COMPUTED_VALUE"""),231.0)</f>
        <v>231</v>
      </c>
      <c r="B232" s="20" t="str">
        <f>IFERROR(__xludf.DUMMYFUNCTION("""COMPUTED_VALUE"""),"Power of Two")</f>
        <v>Power of Two</v>
      </c>
      <c r="C232" s="20" t="str">
        <f>IFERROR(__xludf.DUMMYFUNCTION("""COMPUTED_VALUE"""),"power-of-two")</f>
        <v>power-of-two</v>
      </c>
      <c r="D232" s="20" t="b">
        <f>IFERROR(__xludf.DUMMYFUNCTION("""COMPUTED_VALUE"""),FALSE)</f>
        <v>0</v>
      </c>
      <c r="E232" s="20" t="str">
        <f>IFERROR(__xludf.DUMMYFUNCTION("""COMPUTED_VALUE"""),"Easy")</f>
        <v>Easy</v>
      </c>
      <c r="F232" s="20">
        <f>IFERROR(__xludf.DUMMYFUNCTION("""COMPUTED_VALUE"""),4605.0)</f>
        <v>4605</v>
      </c>
      <c r="G232" s="20">
        <f>IFERROR(__xludf.DUMMYFUNCTION("""COMPUTED_VALUE"""),340.0)</f>
        <v>340</v>
      </c>
      <c r="H232" s="20" t="str">
        <f>IFERROR(__xludf.DUMMYFUNCTION("""COMPUTED_VALUE"""),"Algorithms")</f>
        <v>Algorithms</v>
      </c>
      <c r="I232" s="20">
        <f>IFERROR(__xludf.DUMMYFUNCTION("""COMPUTED_VALUE"""),0.458)</f>
        <v>0.458</v>
      </c>
      <c r="J232" s="20">
        <f>IFERROR(__xludf.DUMMYFUNCTION("""COMPUTED_VALUE"""),231.0)</f>
        <v>231</v>
      </c>
      <c r="K232" s="20" t="b">
        <f>IFERROR(__xludf.DUMMYFUNCTION("""COMPUTED_VALUE"""),FALSE)</f>
        <v>0</v>
      </c>
      <c r="L232" s="20" t="str">
        <f>IFERROR(__xludf.DUMMYFUNCTION("""COMPUTED_VALUE"""),"Math;Bit Manipulation;Recursion;")</f>
        <v>Math;Bit Manipulation;Recursion;</v>
      </c>
      <c r="M232" s="20" t="b">
        <f>IFERROR(__xludf.DUMMYFUNCTION("""COMPUTED_VALUE"""),TRUE)</f>
        <v>1</v>
      </c>
      <c r="N232" s="20" t="b">
        <f>IFERROR(__xludf.DUMMYFUNCTION("""COMPUTED_VALUE"""),FALSE)</f>
        <v>0</v>
      </c>
      <c r="O232" s="20">
        <f>IFERROR(__xludf.DUMMYFUNCTION("""COMPUTED_VALUE"""),45.8015127896063)</f>
        <v>45.80151279</v>
      </c>
      <c r="P232" s="20">
        <f>IFERROR(__xludf.DUMMYFUNCTION("""COMPUTED_VALUE"""),803269.0)</f>
        <v>803269</v>
      </c>
      <c r="Q232" s="20">
        <f>IFERROR(__xludf.DUMMYFUNCTION("""COMPUTED_VALUE"""),1753803.0)</f>
        <v>1753803</v>
      </c>
    </row>
    <row r="233">
      <c r="A233" s="20">
        <f>IFERROR(__xludf.DUMMYFUNCTION("""COMPUTED_VALUE"""),232.0)</f>
        <v>232</v>
      </c>
      <c r="B233" s="20" t="str">
        <f>IFERROR(__xludf.DUMMYFUNCTION("""COMPUTED_VALUE"""),"Implement Queue using Stacks")</f>
        <v>Implement Queue using Stacks</v>
      </c>
      <c r="C233" s="20" t="str">
        <f>IFERROR(__xludf.DUMMYFUNCTION("""COMPUTED_VALUE"""),"implement-queue-using-stacks")</f>
        <v>implement-queue-using-stacks</v>
      </c>
      <c r="D233" s="20" t="b">
        <f>IFERROR(__xludf.DUMMYFUNCTION("""COMPUTED_VALUE"""),FALSE)</f>
        <v>0</v>
      </c>
      <c r="E233" s="20" t="str">
        <f>IFERROR(__xludf.DUMMYFUNCTION("""COMPUTED_VALUE"""),"Easy")</f>
        <v>Easy</v>
      </c>
      <c r="F233" s="20">
        <f>IFERROR(__xludf.DUMMYFUNCTION("""COMPUTED_VALUE"""),5436.0)</f>
        <v>5436</v>
      </c>
      <c r="G233" s="20">
        <f>IFERROR(__xludf.DUMMYFUNCTION("""COMPUTED_VALUE"""),319.0)</f>
        <v>319</v>
      </c>
      <c r="H233" s="20" t="str">
        <f>IFERROR(__xludf.DUMMYFUNCTION("""COMPUTED_VALUE"""),"Algorithms")</f>
        <v>Algorithms</v>
      </c>
      <c r="I233" s="20">
        <f>IFERROR(__xludf.DUMMYFUNCTION("""COMPUTED_VALUE"""),0.626)</f>
        <v>0.626</v>
      </c>
      <c r="J233" s="20">
        <f>IFERROR(__xludf.DUMMYFUNCTION("""COMPUTED_VALUE"""),232.0)</f>
        <v>232</v>
      </c>
      <c r="K233" s="20" t="b">
        <f>IFERROR(__xludf.DUMMYFUNCTION("""COMPUTED_VALUE"""),FALSE)</f>
        <v>0</v>
      </c>
      <c r="L233" s="20" t="str">
        <f>IFERROR(__xludf.DUMMYFUNCTION("""COMPUTED_VALUE"""),"Stack;Design;Queue;")</f>
        <v>Stack;Design;Queue;</v>
      </c>
      <c r="M233" s="20" t="b">
        <f>IFERROR(__xludf.DUMMYFUNCTION("""COMPUTED_VALUE"""),TRUE)</f>
        <v>1</v>
      </c>
      <c r="N233" s="20" t="b">
        <f>IFERROR(__xludf.DUMMYFUNCTION("""COMPUTED_VALUE"""),FALSE)</f>
        <v>0</v>
      </c>
      <c r="O233" s="20">
        <f>IFERROR(__xludf.DUMMYFUNCTION("""COMPUTED_VALUE"""),62.6188536009631)</f>
        <v>62.6188536</v>
      </c>
      <c r="P233" s="20">
        <f>IFERROR(__xludf.DUMMYFUNCTION("""COMPUTED_VALUE"""),595538.0)</f>
        <v>595538</v>
      </c>
      <c r="Q233" s="20">
        <f>IFERROR(__xludf.DUMMYFUNCTION("""COMPUTED_VALUE"""),951057.0)</f>
        <v>951057</v>
      </c>
    </row>
    <row r="234">
      <c r="A234" s="20">
        <f>IFERROR(__xludf.DUMMYFUNCTION("""COMPUTED_VALUE"""),233.0)</f>
        <v>233</v>
      </c>
      <c r="B234" s="20" t="str">
        <f>IFERROR(__xludf.DUMMYFUNCTION("""COMPUTED_VALUE"""),"Number of Digit One")</f>
        <v>Number of Digit One</v>
      </c>
      <c r="C234" s="20" t="str">
        <f>IFERROR(__xludf.DUMMYFUNCTION("""COMPUTED_VALUE"""),"number-of-digit-one")</f>
        <v>number-of-digit-one</v>
      </c>
      <c r="D234" s="20" t="b">
        <f>IFERROR(__xludf.DUMMYFUNCTION("""COMPUTED_VALUE"""),FALSE)</f>
        <v>0</v>
      </c>
      <c r="E234" s="20" t="str">
        <f>IFERROR(__xludf.DUMMYFUNCTION("""COMPUTED_VALUE"""),"Hard")</f>
        <v>Hard</v>
      </c>
      <c r="F234" s="20">
        <f>IFERROR(__xludf.DUMMYFUNCTION("""COMPUTED_VALUE"""),1002.0)</f>
        <v>1002</v>
      </c>
      <c r="G234" s="20">
        <f>IFERROR(__xludf.DUMMYFUNCTION("""COMPUTED_VALUE"""),1242.0)</f>
        <v>1242</v>
      </c>
      <c r="H234" s="20" t="str">
        <f>IFERROR(__xludf.DUMMYFUNCTION("""COMPUTED_VALUE"""),"Algorithms")</f>
        <v>Algorithms</v>
      </c>
      <c r="I234" s="20">
        <f>IFERROR(__xludf.DUMMYFUNCTION("""COMPUTED_VALUE"""),0.341)</f>
        <v>0.341</v>
      </c>
      <c r="J234" s="20">
        <f>IFERROR(__xludf.DUMMYFUNCTION("""COMPUTED_VALUE"""),233.0)</f>
        <v>233</v>
      </c>
      <c r="K234" s="20" t="b">
        <f>IFERROR(__xludf.DUMMYFUNCTION("""COMPUTED_VALUE"""),FALSE)</f>
        <v>0</v>
      </c>
      <c r="L234" s="20" t="str">
        <f>IFERROR(__xludf.DUMMYFUNCTION("""COMPUTED_VALUE"""),"Math;Dynamic Programming;Recursion;")</f>
        <v>Math;Dynamic Programming;Recursion;</v>
      </c>
      <c r="M234" s="20" t="b">
        <f>IFERROR(__xludf.DUMMYFUNCTION("""COMPUTED_VALUE"""),TRUE)</f>
        <v>1</v>
      </c>
      <c r="N234" s="20" t="b">
        <f>IFERROR(__xludf.DUMMYFUNCTION("""COMPUTED_VALUE"""),FALSE)</f>
        <v>0</v>
      </c>
      <c r="O234" s="20">
        <f>IFERROR(__xludf.DUMMYFUNCTION("""COMPUTED_VALUE"""),34.0855524265157)</f>
        <v>34.08555243</v>
      </c>
      <c r="P234" s="20">
        <f>IFERROR(__xludf.DUMMYFUNCTION("""COMPUTED_VALUE"""),72742.0)</f>
        <v>72742</v>
      </c>
      <c r="Q234" s="20">
        <f>IFERROR(__xludf.DUMMYFUNCTION("""COMPUTED_VALUE"""),213411.0)</f>
        <v>213411</v>
      </c>
    </row>
    <row r="235">
      <c r="A235" s="20">
        <f>IFERROR(__xludf.DUMMYFUNCTION("""COMPUTED_VALUE"""),234.0)</f>
        <v>234</v>
      </c>
      <c r="B235" s="20" t="str">
        <f>IFERROR(__xludf.DUMMYFUNCTION("""COMPUTED_VALUE"""),"Palindrome Linked List")</f>
        <v>Palindrome Linked List</v>
      </c>
      <c r="C235" s="20" t="str">
        <f>IFERROR(__xludf.DUMMYFUNCTION("""COMPUTED_VALUE"""),"palindrome-linked-list")</f>
        <v>palindrome-linked-list</v>
      </c>
      <c r="D235" s="20" t="b">
        <f>IFERROR(__xludf.DUMMYFUNCTION("""COMPUTED_VALUE"""),FALSE)</f>
        <v>0</v>
      </c>
      <c r="E235" s="20" t="str">
        <f>IFERROR(__xludf.DUMMYFUNCTION("""COMPUTED_VALUE"""),"Easy")</f>
        <v>Easy</v>
      </c>
      <c r="F235" s="20">
        <f>IFERROR(__xludf.DUMMYFUNCTION("""COMPUTED_VALUE"""),12793.0)</f>
        <v>12793</v>
      </c>
      <c r="G235" s="20">
        <f>IFERROR(__xludf.DUMMYFUNCTION("""COMPUTED_VALUE"""),711.0)</f>
        <v>711</v>
      </c>
      <c r="H235" s="20" t="str">
        <f>IFERROR(__xludf.DUMMYFUNCTION("""COMPUTED_VALUE"""),"Algorithms")</f>
        <v>Algorithms</v>
      </c>
      <c r="I235" s="20">
        <f>IFERROR(__xludf.DUMMYFUNCTION("""COMPUTED_VALUE"""),0.498)</f>
        <v>0.498</v>
      </c>
      <c r="J235" s="20">
        <f>IFERROR(__xludf.DUMMYFUNCTION("""COMPUTED_VALUE"""),234.0)</f>
        <v>234</v>
      </c>
      <c r="K235" s="20" t="b">
        <f>IFERROR(__xludf.DUMMYFUNCTION("""COMPUTED_VALUE"""),FALSE)</f>
        <v>0</v>
      </c>
      <c r="L235" s="20" t="str">
        <f>IFERROR(__xludf.DUMMYFUNCTION("""COMPUTED_VALUE"""),"Linked List;Two Pointers;Stack;Recursion;")</f>
        <v>Linked List;Two Pointers;Stack;Recursion;</v>
      </c>
      <c r="M235" s="20" t="b">
        <f>IFERROR(__xludf.DUMMYFUNCTION("""COMPUTED_VALUE"""),TRUE)</f>
        <v>1</v>
      </c>
      <c r="N235" s="20" t="b">
        <f>IFERROR(__xludf.DUMMYFUNCTION("""COMPUTED_VALUE"""),TRUE)</f>
        <v>1</v>
      </c>
      <c r="O235" s="20">
        <f>IFERROR(__xludf.DUMMYFUNCTION("""COMPUTED_VALUE"""),49.7748822478357)</f>
        <v>49.77488225</v>
      </c>
      <c r="P235" s="20">
        <f>IFERROR(__xludf.DUMMYFUNCTION("""COMPUTED_VALUE"""),1322631.0)</f>
        <v>1322631</v>
      </c>
      <c r="Q235" s="20">
        <f>IFERROR(__xludf.DUMMYFUNCTION("""COMPUTED_VALUE"""),2657238.0)</f>
        <v>2657238</v>
      </c>
    </row>
    <row r="236">
      <c r="A236" s="20">
        <f>IFERROR(__xludf.DUMMYFUNCTION("""COMPUTED_VALUE"""),235.0)</f>
        <v>235</v>
      </c>
      <c r="B236" s="20" t="str">
        <f>IFERROR(__xludf.DUMMYFUNCTION("""COMPUTED_VALUE"""),"Lowest Common Ancestor of a Binary Search Tree")</f>
        <v>Lowest Common Ancestor of a Binary Search Tree</v>
      </c>
      <c r="C236" s="20" t="str">
        <f>IFERROR(__xludf.DUMMYFUNCTION("""COMPUTED_VALUE"""),"lowest-common-ancestor-of-a-binary-search-tree")</f>
        <v>lowest-common-ancestor-of-a-binary-search-tree</v>
      </c>
      <c r="D236" s="20" t="b">
        <f>IFERROR(__xludf.DUMMYFUNCTION("""COMPUTED_VALUE"""),FALSE)</f>
        <v>0</v>
      </c>
      <c r="E236" s="20" t="str">
        <f>IFERROR(__xludf.DUMMYFUNCTION("""COMPUTED_VALUE"""),"Medium")</f>
        <v>Medium</v>
      </c>
      <c r="F236" s="20">
        <f>IFERROR(__xludf.DUMMYFUNCTION("""COMPUTED_VALUE"""),8548.0)</f>
        <v>8548</v>
      </c>
      <c r="G236" s="20">
        <f>IFERROR(__xludf.DUMMYFUNCTION("""COMPUTED_VALUE"""),245.0)</f>
        <v>245</v>
      </c>
      <c r="H236" s="20" t="str">
        <f>IFERROR(__xludf.DUMMYFUNCTION("""COMPUTED_VALUE"""),"Algorithms")</f>
        <v>Algorithms</v>
      </c>
      <c r="I236" s="20">
        <f>IFERROR(__xludf.DUMMYFUNCTION("""COMPUTED_VALUE"""),0.607)</f>
        <v>0.607</v>
      </c>
      <c r="J236" s="20">
        <f>IFERROR(__xludf.DUMMYFUNCTION("""COMPUTED_VALUE"""),235.0)</f>
        <v>235</v>
      </c>
      <c r="K236" s="20" t="b">
        <f>IFERROR(__xludf.DUMMYFUNCTION("""COMPUTED_VALUE"""),FALSE)</f>
        <v>0</v>
      </c>
      <c r="L236" s="20" t="str">
        <f>IFERROR(__xludf.DUMMYFUNCTION("""COMPUTED_VALUE"""),"Tree;Depth-First Search;Binary Search Tree;Binary Tree;")</f>
        <v>Tree;Depth-First Search;Binary Search Tree;Binary Tree;</v>
      </c>
      <c r="M236" s="20" t="b">
        <f>IFERROR(__xludf.DUMMYFUNCTION("""COMPUTED_VALUE"""),TRUE)</f>
        <v>1</v>
      </c>
      <c r="N236" s="20" t="b">
        <f>IFERROR(__xludf.DUMMYFUNCTION("""COMPUTED_VALUE"""),FALSE)</f>
        <v>0</v>
      </c>
      <c r="O236" s="20">
        <f>IFERROR(__xludf.DUMMYFUNCTION("""COMPUTED_VALUE"""),60.6579928039789)</f>
        <v>60.6579928</v>
      </c>
      <c r="P236" s="20">
        <f>IFERROR(__xludf.DUMMYFUNCTION("""COMPUTED_VALUE"""),1075920.0)</f>
        <v>1075920</v>
      </c>
      <c r="Q236" s="20">
        <f>IFERROR(__xludf.DUMMYFUNCTION("""COMPUTED_VALUE"""),1773750.0)</f>
        <v>1773750</v>
      </c>
    </row>
    <row r="237">
      <c r="A237" s="20">
        <f>IFERROR(__xludf.DUMMYFUNCTION("""COMPUTED_VALUE"""),236.0)</f>
        <v>236</v>
      </c>
      <c r="B237" s="20" t="str">
        <f>IFERROR(__xludf.DUMMYFUNCTION("""COMPUTED_VALUE"""),"Lowest Common Ancestor of a Binary Tree")</f>
        <v>Lowest Common Ancestor of a Binary Tree</v>
      </c>
      <c r="C237" s="20" t="str">
        <f>IFERROR(__xludf.DUMMYFUNCTION("""COMPUTED_VALUE"""),"lowest-common-ancestor-of-a-binary-tree")</f>
        <v>lowest-common-ancestor-of-a-binary-tree</v>
      </c>
      <c r="D237" s="20" t="b">
        <f>IFERROR(__xludf.DUMMYFUNCTION("""COMPUTED_VALUE"""),FALSE)</f>
        <v>0</v>
      </c>
      <c r="E237" s="20" t="str">
        <f>IFERROR(__xludf.DUMMYFUNCTION("""COMPUTED_VALUE"""),"Medium")</f>
        <v>Medium</v>
      </c>
      <c r="F237" s="20">
        <f>IFERROR(__xludf.DUMMYFUNCTION("""COMPUTED_VALUE"""),13192.0)</f>
        <v>13192</v>
      </c>
      <c r="G237" s="20">
        <f>IFERROR(__xludf.DUMMYFUNCTION("""COMPUTED_VALUE"""),316.0)</f>
        <v>316</v>
      </c>
      <c r="H237" s="20" t="str">
        <f>IFERROR(__xludf.DUMMYFUNCTION("""COMPUTED_VALUE"""),"Algorithms")</f>
        <v>Algorithms</v>
      </c>
      <c r="I237" s="20">
        <f>IFERROR(__xludf.DUMMYFUNCTION("""COMPUTED_VALUE"""),0.583)</f>
        <v>0.583</v>
      </c>
      <c r="J237" s="20">
        <f>IFERROR(__xludf.DUMMYFUNCTION("""COMPUTED_VALUE"""),236.0)</f>
        <v>236</v>
      </c>
      <c r="K237" s="20" t="b">
        <f>IFERROR(__xludf.DUMMYFUNCTION("""COMPUTED_VALUE"""),FALSE)</f>
        <v>0</v>
      </c>
      <c r="L237" s="20" t="str">
        <f>IFERROR(__xludf.DUMMYFUNCTION("""COMPUTED_VALUE"""),"Tree;Depth-First Search;Binary Tree;")</f>
        <v>Tree;Depth-First Search;Binary Tree;</v>
      </c>
      <c r="M237" s="20" t="b">
        <f>IFERROR(__xludf.DUMMYFUNCTION("""COMPUTED_VALUE"""),TRUE)</f>
        <v>1</v>
      </c>
      <c r="N237" s="20" t="b">
        <f>IFERROR(__xludf.DUMMYFUNCTION("""COMPUTED_VALUE"""),FALSE)</f>
        <v>0</v>
      </c>
      <c r="O237" s="20">
        <f>IFERROR(__xludf.DUMMYFUNCTION("""COMPUTED_VALUE"""),58.2817871042887)</f>
        <v>58.2817871</v>
      </c>
      <c r="P237" s="20">
        <f>IFERROR(__xludf.DUMMYFUNCTION("""COMPUTED_VALUE"""),1230912.0)</f>
        <v>1230912</v>
      </c>
      <c r="Q237" s="20">
        <f>IFERROR(__xludf.DUMMYFUNCTION("""COMPUTED_VALUE"""),2112008.0)</f>
        <v>2112008</v>
      </c>
    </row>
    <row r="238">
      <c r="A238" s="20">
        <f>IFERROR(__xludf.DUMMYFUNCTION("""COMPUTED_VALUE"""),237.0)</f>
        <v>237</v>
      </c>
      <c r="B238" s="20" t="str">
        <f>IFERROR(__xludf.DUMMYFUNCTION("""COMPUTED_VALUE"""),"Delete Node in a Linked List")</f>
        <v>Delete Node in a Linked List</v>
      </c>
      <c r="C238" s="20" t="str">
        <f>IFERROR(__xludf.DUMMYFUNCTION("""COMPUTED_VALUE"""),"delete-node-in-a-linked-list")</f>
        <v>delete-node-in-a-linked-list</v>
      </c>
      <c r="D238" s="20" t="b">
        <f>IFERROR(__xludf.DUMMYFUNCTION("""COMPUTED_VALUE"""),FALSE)</f>
        <v>0</v>
      </c>
      <c r="E238" s="20" t="str">
        <f>IFERROR(__xludf.DUMMYFUNCTION("""COMPUTED_VALUE"""),"Medium")</f>
        <v>Medium</v>
      </c>
      <c r="F238" s="20">
        <f>IFERROR(__xludf.DUMMYFUNCTION("""COMPUTED_VALUE"""),2031.0)</f>
        <v>2031</v>
      </c>
      <c r="G238" s="20">
        <f>IFERROR(__xludf.DUMMYFUNCTION("""COMPUTED_VALUE"""),633.0)</f>
        <v>633</v>
      </c>
      <c r="H238" s="20" t="str">
        <f>IFERROR(__xludf.DUMMYFUNCTION("""COMPUTED_VALUE"""),"Algorithms")</f>
        <v>Algorithms</v>
      </c>
      <c r="I238" s="20">
        <f>IFERROR(__xludf.DUMMYFUNCTION("""COMPUTED_VALUE"""),0.755)</f>
        <v>0.755</v>
      </c>
      <c r="J238" s="20">
        <f>IFERROR(__xludf.DUMMYFUNCTION("""COMPUTED_VALUE"""),237.0)</f>
        <v>237</v>
      </c>
      <c r="K238" s="20" t="b">
        <f>IFERROR(__xludf.DUMMYFUNCTION("""COMPUTED_VALUE"""),FALSE)</f>
        <v>0</v>
      </c>
      <c r="L238" s="20" t="str">
        <f>IFERROR(__xludf.DUMMYFUNCTION("""COMPUTED_VALUE"""),"Linked List;")</f>
        <v>Linked List;</v>
      </c>
      <c r="M238" s="20" t="b">
        <f>IFERROR(__xludf.DUMMYFUNCTION("""COMPUTED_VALUE"""),TRUE)</f>
        <v>1</v>
      </c>
      <c r="N238" s="20" t="b">
        <f>IFERROR(__xludf.DUMMYFUNCTION("""COMPUTED_VALUE"""),FALSE)</f>
        <v>0</v>
      </c>
      <c r="O238" s="20">
        <f>IFERROR(__xludf.DUMMYFUNCTION("""COMPUTED_VALUE"""),75.4999174682252)</f>
        <v>75.49991747</v>
      </c>
      <c r="P238" s="20">
        <f>IFERROR(__xludf.DUMMYFUNCTION("""COMPUTED_VALUE"""),1006267.0)</f>
        <v>1006267</v>
      </c>
      <c r="Q238" s="20">
        <f>IFERROR(__xludf.DUMMYFUNCTION("""COMPUTED_VALUE"""),1332804.0)</f>
        <v>1332804</v>
      </c>
    </row>
    <row r="239">
      <c r="A239" s="20">
        <f>IFERROR(__xludf.DUMMYFUNCTION("""COMPUTED_VALUE"""),238.0)</f>
        <v>238</v>
      </c>
      <c r="B239" s="20" t="str">
        <f>IFERROR(__xludf.DUMMYFUNCTION("""COMPUTED_VALUE"""),"Product of Array Except Self")</f>
        <v>Product of Array Except Self</v>
      </c>
      <c r="C239" s="20" t="str">
        <f>IFERROR(__xludf.DUMMYFUNCTION("""COMPUTED_VALUE"""),"product-of-array-except-self")</f>
        <v>product-of-array-except-self</v>
      </c>
      <c r="D239" s="20" t="b">
        <f>IFERROR(__xludf.DUMMYFUNCTION("""COMPUTED_VALUE"""),FALSE)</f>
        <v>0</v>
      </c>
      <c r="E239" s="20" t="str">
        <f>IFERROR(__xludf.DUMMYFUNCTION("""COMPUTED_VALUE"""),"Medium")</f>
        <v>Medium</v>
      </c>
      <c r="F239" s="20">
        <f>IFERROR(__xludf.DUMMYFUNCTION("""COMPUTED_VALUE"""),15858.0)</f>
        <v>15858</v>
      </c>
      <c r="G239" s="20">
        <f>IFERROR(__xludf.DUMMYFUNCTION("""COMPUTED_VALUE"""),882.0)</f>
        <v>882</v>
      </c>
      <c r="H239" s="20" t="str">
        <f>IFERROR(__xludf.DUMMYFUNCTION("""COMPUTED_VALUE"""),"Algorithms")</f>
        <v>Algorithms</v>
      </c>
      <c r="I239" s="20">
        <f>IFERROR(__xludf.DUMMYFUNCTION("""COMPUTED_VALUE"""),0.649)</f>
        <v>0.649</v>
      </c>
      <c r="J239" s="20">
        <f>IFERROR(__xludf.DUMMYFUNCTION("""COMPUTED_VALUE"""),238.0)</f>
        <v>238</v>
      </c>
      <c r="K239" s="20" t="b">
        <f>IFERROR(__xludf.DUMMYFUNCTION("""COMPUTED_VALUE"""),FALSE)</f>
        <v>0</v>
      </c>
      <c r="L239" s="20" t="str">
        <f>IFERROR(__xludf.DUMMYFUNCTION("""COMPUTED_VALUE"""),"Array;Prefix Sum;")</f>
        <v>Array;Prefix Sum;</v>
      </c>
      <c r="M239" s="20" t="b">
        <f>IFERROR(__xludf.DUMMYFUNCTION("""COMPUTED_VALUE"""),TRUE)</f>
        <v>1</v>
      </c>
      <c r="N239" s="20" t="b">
        <f>IFERROR(__xludf.DUMMYFUNCTION("""COMPUTED_VALUE"""),TRUE)</f>
        <v>1</v>
      </c>
      <c r="O239" s="20">
        <f>IFERROR(__xludf.DUMMYFUNCTION("""COMPUTED_VALUE"""),64.8536160050703)</f>
        <v>64.85361601</v>
      </c>
      <c r="P239" s="20">
        <f>IFERROR(__xludf.DUMMYFUNCTION("""COMPUTED_VALUE"""),1481667.0)</f>
        <v>1481667</v>
      </c>
      <c r="Q239" s="20">
        <f>IFERROR(__xludf.DUMMYFUNCTION("""COMPUTED_VALUE"""),2284643.0)</f>
        <v>2284643</v>
      </c>
    </row>
    <row r="240">
      <c r="A240" s="20">
        <f>IFERROR(__xludf.DUMMYFUNCTION("""COMPUTED_VALUE"""),239.0)</f>
        <v>239</v>
      </c>
      <c r="B240" s="20" t="str">
        <f>IFERROR(__xludf.DUMMYFUNCTION("""COMPUTED_VALUE"""),"Sliding Window Maximum")</f>
        <v>Sliding Window Maximum</v>
      </c>
      <c r="C240" s="20" t="str">
        <f>IFERROR(__xludf.DUMMYFUNCTION("""COMPUTED_VALUE"""),"sliding-window-maximum")</f>
        <v>sliding-window-maximum</v>
      </c>
      <c r="D240" s="20" t="b">
        <f>IFERROR(__xludf.DUMMYFUNCTION("""COMPUTED_VALUE"""),FALSE)</f>
        <v>0</v>
      </c>
      <c r="E240" s="20" t="str">
        <f>IFERROR(__xludf.DUMMYFUNCTION("""COMPUTED_VALUE"""),"Hard")</f>
        <v>Hard</v>
      </c>
      <c r="F240" s="20">
        <f>IFERROR(__xludf.DUMMYFUNCTION("""COMPUTED_VALUE"""),13201.0)</f>
        <v>13201</v>
      </c>
      <c r="G240" s="20">
        <f>IFERROR(__xludf.DUMMYFUNCTION("""COMPUTED_VALUE"""),427.0)</f>
        <v>427</v>
      </c>
      <c r="H240" s="20" t="str">
        <f>IFERROR(__xludf.DUMMYFUNCTION("""COMPUTED_VALUE"""),"Algorithms")</f>
        <v>Algorithms</v>
      </c>
      <c r="I240" s="20">
        <f>IFERROR(__xludf.DUMMYFUNCTION("""COMPUTED_VALUE"""),0.465)</f>
        <v>0.465</v>
      </c>
      <c r="J240" s="20">
        <f>IFERROR(__xludf.DUMMYFUNCTION("""COMPUTED_VALUE"""),239.0)</f>
        <v>239</v>
      </c>
      <c r="K240" s="20" t="b">
        <f>IFERROR(__xludf.DUMMYFUNCTION("""COMPUTED_VALUE"""),FALSE)</f>
        <v>0</v>
      </c>
      <c r="L240" s="20" t="str">
        <f>IFERROR(__xludf.DUMMYFUNCTION("""COMPUTED_VALUE"""),"Array;Queue;Sliding Window;Heap (Priority Queue);Monotonic Queue;")</f>
        <v>Array;Queue;Sliding Window;Heap (Priority Queue);Monotonic Queue;</v>
      </c>
      <c r="M240" s="20" t="b">
        <f>IFERROR(__xludf.DUMMYFUNCTION("""COMPUTED_VALUE"""),TRUE)</f>
        <v>1</v>
      </c>
      <c r="N240" s="20" t="b">
        <f>IFERROR(__xludf.DUMMYFUNCTION("""COMPUTED_VALUE"""),FALSE)</f>
        <v>0</v>
      </c>
      <c r="O240" s="20">
        <f>IFERROR(__xludf.DUMMYFUNCTION("""COMPUTED_VALUE"""),46.5259760158532)</f>
        <v>46.52597602</v>
      </c>
      <c r="P240" s="20">
        <f>IFERROR(__xludf.DUMMYFUNCTION("""COMPUTED_VALUE"""),705987.0)</f>
        <v>705987</v>
      </c>
      <c r="Q240" s="20">
        <f>IFERROR(__xludf.DUMMYFUNCTION("""COMPUTED_VALUE"""),1517397.0)</f>
        <v>1517397</v>
      </c>
    </row>
    <row r="241">
      <c r="A241" s="20">
        <f>IFERROR(__xludf.DUMMYFUNCTION("""COMPUTED_VALUE"""),240.0)</f>
        <v>240</v>
      </c>
      <c r="B241" s="20" t="str">
        <f>IFERROR(__xludf.DUMMYFUNCTION("""COMPUTED_VALUE"""),"Search a 2D Matrix II")</f>
        <v>Search a 2D Matrix II</v>
      </c>
      <c r="C241" s="20" t="str">
        <f>IFERROR(__xludf.DUMMYFUNCTION("""COMPUTED_VALUE"""),"search-a-2d-matrix-ii")</f>
        <v>search-a-2d-matrix-ii</v>
      </c>
      <c r="D241" s="20" t="b">
        <f>IFERROR(__xludf.DUMMYFUNCTION("""COMPUTED_VALUE"""),FALSE)</f>
        <v>0</v>
      </c>
      <c r="E241" s="20" t="str">
        <f>IFERROR(__xludf.DUMMYFUNCTION("""COMPUTED_VALUE"""),"Medium")</f>
        <v>Medium</v>
      </c>
      <c r="F241" s="20">
        <f>IFERROR(__xludf.DUMMYFUNCTION("""COMPUTED_VALUE"""),9763.0)</f>
        <v>9763</v>
      </c>
      <c r="G241" s="20">
        <f>IFERROR(__xludf.DUMMYFUNCTION("""COMPUTED_VALUE"""),158.0)</f>
        <v>158</v>
      </c>
      <c r="H241" s="20" t="str">
        <f>IFERROR(__xludf.DUMMYFUNCTION("""COMPUTED_VALUE"""),"Algorithms")</f>
        <v>Algorithms</v>
      </c>
      <c r="I241" s="20">
        <f>IFERROR(__xludf.DUMMYFUNCTION("""COMPUTED_VALUE"""),0.508)</f>
        <v>0.508</v>
      </c>
      <c r="J241" s="20">
        <f>IFERROR(__xludf.DUMMYFUNCTION("""COMPUTED_VALUE"""),240.0)</f>
        <v>240</v>
      </c>
      <c r="K241" s="20" t="b">
        <f>IFERROR(__xludf.DUMMYFUNCTION("""COMPUTED_VALUE"""),FALSE)</f>
        <v>0</v>
      </c>
      <c r="L241" s="20" t="str">
        <f>IFERROR(__xludf.DUMMYFUNCTION("""COMPUTED_VALUE"""),"Array;Binary Search;Divide and Conquer;Matrix;")</f>
        <v>Array;Binary Search;Divide and Conquer;Matrix;</v>
      </c>
      <c r="M241" s="20" t="b">
        <f>IFERROR(__xludf.DUMMYFUNCTION("""COMPUTED_VALUE"""),TRUE)</f>
        <v>1</v>
      </c>
      <c r="N241" s="20" t="b">
        <f>IFERROR(__xludf.DUMMYFUNCTION("""COMPUTED_VALUE"""),FALSE)</f>
        <v>0</v>
      </c>
      <c r="O241" s="20">
        <f>IFERROR(__xludf.DUMMYFUNCTION("""COMPUTED_VALUE"""),50.7536696631682)</f>
        <v>50.75366966</v>
      </c>
      <c r="P241" s="20">
        <f>IFERROR(__xludf.DUMMYFUNCTION("""COMPUTED_VALUE"""),748302.0)</f>
        <v>748302</v>
      </c>
      <c r="Q241" s="20">
        <f>IFERROR(__xludf.DUMMYFUNCTION("""COMPUTED_VALUE"""),1474383.0)</f>
        <v>1474383</v>
      </c>
    </row>
    <row r="242">
      <c r="A242" s="20">
        <f>IFERROR(__xludf.DUMMYFUNCTION("""COMPUTED_VALUE"""),241.0)</f>
        <v>241</v>
      </c>
      <c r="B242" s="20" t="str">
        <f>IFERROR(__xludf.DUMMYFUNCTION("""COMPUTED_VALUE"""),"Different Ways to Add Parentheses")</f>
        <v>Different Ways to Add Parentheses</v>
      </c>
      <c r="C242" s="20" t="str">
        <f>IFERROR(__xludf.DUMMYFUNCTION("""COMPUTED_VALUE"""),"different-ways-to-add-parentheses")</f>
        <v>different-ways-to-add-parentheses</v>
      </c>
      <c r="D242" s="20" t="b">
        <f>IFERROR(__xludf.DUMMYFUNCTION("""COMPUTED_VALUE"""),FALSE)</f>
        <v>0</v>
      </c>
      <c r="E242" s="20" t="str">
        <f>IFERROR(__xludf.DUMMYFUNCTION("""COMPUTED_VALUE"""),"Medium")</f>
        <v>Medium</v>
      </c>
      <c r="F242" s="20">
        <f>IFERROR(__xludf.DUMMYFUNCTION("""COMPUTED_VALUE"""),4450.0)</f>
        <v>4450</v>
      </c>
      <c r="G242" s="20">
        <f>IFERROR(__xludf.DUMMYFUNCTION("""COMPUTED_VALUE"""),224.0)</f>
        <v>224</v>
      </c>
      <c r="H242" s="20" t="str">
        <f>IFERROR(__xludf.DUMMYFUNCTION("""COMPUTED_VALUE"""),"Algorithms")</f>
        <v>Algorithms</v>
      </c>
      <c r="I242" s="20">
        <f>IFERROR(__xludf.DUMMYFUNCTION("""COMPUTED_VALUE"""),0.635)</f>
        <v>0.635</v>
      </c>
      <c r="J242" s="20">
        <f>IFERROR(__xludf.DUMMYFUNCTION("""COMPUTED_VALUE"""),241.0)</f>
        <v>241</v>
      </c>
      <c r="K242" s="20" t="b">
        <f>IFERROR(__xludf.DUMMYFUNCTION("""COMPUTED_VALUE"""),FALSE)</f>
        <v>0</v>
      </c>
      <c r="L242" s="20" t="str">
        <f>IFERROR(__xludf.DUMMYFUNCTION("""COMPUTED_VALUE"""),"Math;String;Dynamic Programming;Recursion;Memoization;")</f>
        <v>Math;String;Dynamic Programming;Recursion;Memoization;</v>
      </c>
      <c r="M242" s="20" t="b">
        <f>IFERROR(__xludf.DUMMYFUNCTION("""COMPUTED_VALUE"""),FALSE)</f>
        <v>0</v>
      </c>
      <c r="N242" s="20" t="b">
        <f>IFERROR(__xludf.DUMMYFUNCTION("""COMPUTED_VALUE"""),FALSE)</f>
        <v>0</v>
      </c>
      <c r="O242" s="20">
        <f>IFERROR(__xludf.DUMMYFUNCTION("""COMPUTED_VALUE"""),63.4938471049117)</f>
        <v>63.4938471</v>
      </c>
      <c r="P242" s="20">
        <f>IFERROR(__xludf.DUMMYFUNCTION("""COMPUTED_VALUE"""),185898.0)</f>
        <v>185898</v>
      </c>
      <c r="Q242" s="20">
        <f>IFERROR(__xludf.DUMMYFUNCTION("""COMPUTED_VALUE"""),292783.0)</f>
        <v>292783</v>
      </c>
    </row>
    <row r="243">
      <c r="A243" s="20">
        <f>IFERROR(__xludf.DUMMYFUNCTION("""COMPUTED_VALUE"""),242.0)</f>
        <v>242</v>
      </c>
      <c r="B243" s="20" t="str">
        <f>IFERROR(__xludf.DUMMYFUNCTION("""COMPUTED_VALUE"""),"Valid Anagram")</f>
        <v>Valid Anagram</v>
      </c>
      <c r="C243" s="20" t="str">
        <f>IFERROR(__xludf.DUMMYFUNCTION("""COMPUTED_VALUE"""),"valid-anagram")</f>
        <v>valid-anagram</v>
      </c>
      <c r="D243" s="20" t="b">
        <f>IFERROR(__xludf.DUMMYFUNCTION("""COMPUTED_VALUE"""),FALSE)</f>
        <v>0</v>
      </c>
      <c r="E243" s="20" t="str">
        <f>IFERROR(__xludf.DUMMYFUNCTION("""COMPUTED_VALUE"""),"Easy")</f>
        <v>Easy</v>
      </c>
      <c r="F243" s="20">
        <f>IFERROR(__xludf.DUMMYFUNCTION("""COMPUTED_VALUE"""),7856.0)</f>
        <v>7856</v>
      </c>
      <c r="G243" s="20">
        <f>IFERROR(__xludf.DUMMYFUNCTION("""COMPUTED_VALUE"""),252.0)</f>
        <v>252</v>
      </c>
      <c r="H243" s="20" t="str">
        <f>IFERROR(__xludf.DUMMYFUNCTION("""COMPUTED_VALUE"""),"Algorithms")</f>
        <v>Algorithms</v>
      </c>
      <c r="I243" s="20">
        <f>IFERROR(__xludf.DUMMYFUNCTION("""COMPUTED_VALUE"""),0.628)</f>
        <v>0.628</v>
      </c>
      <c r="J243" s="20">
        <f>IFERROR(__xludf.DUMMYFUNCTION("""COMPUTED_VALUE"""),242.0)</f>
        <v>242</v>
      </c>
      <c r="K243" s="20" t="b">
        <f>IFERROR(__xludf.DUMMYFUNCTION("""COMPUTED_VALUE"""),FALSE)</f>
        <v>0</v>
      </c>
      <c r="L243" s="20" t="str">
        <f>IFERROR(__xludf.DUMMYFUNCTION("""COMPUTED_VALUE"""),"Hash Table;String;Sorting;")</f>
        <v>Hash Table;String;Sorting;</v>
      </c>
      <c r="M243" s="20" t="b">
        <f>IFERROR(__xludf.DUMMYFUNCTION("""COMPUTED_VALUE"""),TRUE)</f>
        <v>1</v>
      </c>
      <c r="N243" s="20" t="b">
        <f>IFERROR(__xludf.DUMMYFUNCTION("""COMPUTED_VALUE"""),TRUE)</f>
        <v>1</v>
      </c>
      <c r="O243" s="20">
        <f>IFERROR(__xludf.DUMMYFUNCTION("""COMPUTED_VALUE"""),62.8462185741348)</f>
        <v>62.84621857</v>
      </c>
      <c r="P243" s="20">
        <f>IFERROR(__xludf.DUMMYFUNCTION("""COMPUTED_VALUE"""),1881320.0)</f>
        <v>1881320</v>
      </c>
      <c r="Q243" s="20">
        <f>IFERROR(__xludf.DUMMYFUNCTION("""COMPUTED_VALUE"""),2993531.0)</f>
        <v>2993531</v>
      </c>
    </row>
    <row r="244">
      <c r="A244" s="20">
        <f>IFERROR(__xludf.DUMMYFUNCTION("""COMPUTED_VALUE"""),243.0)</f>
        <v>243</v>
      </c>
      <c r="B244" s="20" t="str">
        <f>IFERROR(__xludf.DUMMYFUNCTION("""COMPUTED_VALUE"""),"Shortest Word Distance")</f>
        <v>Shortest Word Distance</v>
      </c>
      <c r="C244" s="20" t="str">
        <f>IFERROR(__xludf.DUMMYFUNCTION("""COMPUTED_VALUE"""),"shortest-word-distance")</f>
        <v>shortest-word-distance</v>
      </c>
      <c r="D244" s="20" t="b">
        <f>IFERROR(__xludf.DUMMYFUNCTION("""COMPUTED_VALUE"""),TRUE)</f>
        <v>1</v>
      </c>
      <c r="E244" s="20" t="str">
        <f>IFERROR(__xludf.DUMMYFUNCTION("""COMPUTED_VALUE"""),"Easy")</f>
        <v>Easy</v>
      </c>
      <c r="F244" s="20">
        <f>IFERROR(__xludf.DUMMYFUNCTION("""COMPUTED_VALUE"""),1163.0)</f>
        <v>1163</v>
      </c>
      <c r="G244" s="20">
        <f>IFERROR(__xludf.DUMMYFUNCTION("""COMPUTED_VALUE"""),100.0)</f>
        <v>100</v>
      </c>
      <c r="H244" s="20" t="str">
        <f>IFERROR(__xludf.DUMMYFUNCTION("""COMPUTED_VALUE"""),"Algorithms")</f>
        <v>Algorithms</v>
      </c>
      <c r="I244" s="20">
        <f>IFERROR(__xludf.DUMMYFUNCTION("""COMPUTED_VALUE"""),0.65)</f>
        <v>0.65</v>
      </c>
      <c r="J244" s="20">
        <f>IFERROR(__xludf.DUMMYFUNCTION("""COMPUTED_VALUE"""),243.0)</f>
        <v>243</v>
      </c>
      <c r="K244" s="20" t="b">
        <f>IFERROR(__xludf.DUMMYFUNCTION("""COMPUTED_VALUE"""),TRUE)</f>
        <v>1</v>
      </c>
      <c r="L244" s="20" t="str">
        <f>IFERROR(__xludf.DUMMYFUNCTION("""COMPUTED_VALUE"""),"Array;String;")</f>
        <v>Array;String;</v>
      </c>
      <c r="M244" s="20" t="b">
        <f>IFERROR(__xludf.DUMMYFUNCTION("""COMPUTED_VALUE"""),TRUE)</f>
        <v>1</v>
      </c>
      <c r="N244" s="20" t="b">
        <f>IFERROR(__xludf.DUMMYFUNCTION("""COMPUTED_VALUE"""),FALSE)</f>
        <v>0</v>
      </c>
      <c r="O244" s="20">
        <f>IFERROR(__xludf.DUMMYFUNCTION("""COMPUTED_VALUE"""),64.9532323208895)</f>
        <v>64.95323232</v>
      </c>
      <c r="P244" s="20">
        <f>IFERROR(__xludf.DUMMYFUNCTION("""COMPUTED_VALUE"""),196036.0)</f>
        <v>196036</v>
      </c>
      <c r="Q244" s="20">
        <f>IFERROR(__xludf.DUMMYFUNCTION("""COMPUTED_VALUE"""),301811.0)</f>
        <v>301811</v>
      </c>
    </row>
    <row r="245">
      <c r="A245" s="20">
        <f>IFERROR(__xludf.DUMMYFUNCTION("""COMPUTED_VALUE"""),244.0)</f>
        <v>244</v>
      </c>
      <c r="B245" s="20" t="str">
        <f>IFERROR(__xludf.DUMMYFUNCTION("""COMPUTED_VALUE"""),"Shortest Word Distance II")</f>
        <v>Shortest Word Distance II</v>
      </c>
      <c r="C245" s="20" t="str">
        <f>IFERROR(__xludf.DUMMYFUNCTION("""COMPUTED_VALUE"""),"shortest-word-distance-ii")</f>
        <v>shortest-word-distance-ii</v>
      </c>
      <c r="D245" s="20" t="b">
        <f>IFERROR(__xludf.DUMMYFUNCTION("""COMPUTED_VALUE"""),TRUE)</f>
        <v>1</v>
      </c>
      <c r="E245" s="20" t="str">
        <f>IFERROR(__xludf.DUMMYFUNCTION("""COMPUTED_VALUE"""),"Medium")</f>
        <v>Medium</v>
      </c>
      <c r="F245" s="20">
        <f>IFERROR(__xludf.DUMMYFUNCTION("""COMPUTED_VALUE"""),980.0)</f>
        <v>980</v>
      </c>
      <c r="G245" s="20">
        <f>IFERROR(__xludf.DUMMYFUNCTION("""COMPUTED_VALUE"""),298.0)</f>
        <v>298</v>
      </c>
      <c r="H245" s="20" t="str">
        <f>IFERROR(__xludf.DUMMYFUNCTION("""COMPUTED_VALUE"""),"Algorithms")</f>
        <v>Algorithms</v>
      </c>
      <c r="I245" s="20">
        <f>IFERROR(__xludf.DUMMYFUNCTION("""COMPUTED_VALUE"""),0.608)</f>
        <v>0.608</v>
      </c>
      <c r="J245" s="20">
        <f>IFERROR(__xludf.DUMMYFUNCTION("""COMPUTED_VALUE"""),244.0)</f>
        <v>244</v>
      </c>
      <c r="K245" s="20" t="b">
        <f>IFERROR(__xludf.DUMMYFUNCTION("""COMPUTED_VALUE"""),TRUE)</f>
        <v>1</v>
      </c>
      <c r="L245" s="20" t="str">
        <f>IFERROR(__xludf.DUMMYFUNCTION("""COMPUTED_VALUE"""),"Array;Hash Table;Two Pointers;String;Design;")</f>
        <v>Array;Hash Table;Two Pointers;String;Design;</v>
      </c>
      <c r="M245" s="20" t="b">
        <f>IFERROR(__xludf.DUMMYFUNCTION("""COMPUTED_VALUE"""),TRUE)</f>
        <v>1</v>
      </c>
      <c r="N245" s="20" t="b">
        <f>IFERROR(__xludf.DUMMYFUNCTION("""COMPUTED_VALUE"""),FALSE)</f>
        <v>0</v>
      </c>
      <c r="O245" s="20">
        <f>IFERROR(__xludf.DUMMYFUNCTION("""COMPUTED_VALUE"""),60.7863305275089)</f>
        <v>60.78633053</v>
      </c>
      <c r="P245" s="20">
        <f>IFERROR(__xludf.DUMMYFUNCTION("""COMPUTED_VALUE"""),144790.0)</f>
        <v>144790</v>
      </c>
      <c r="Q245" s="20">
        <f>IFERROR(__xludf.DUMMYFUNCTION("""COMPUTED_VALUE"""),238195.0)</f>
        <v>238195</v>
      </c>
    </row>
    <row r="246">
      <c r="A246" s="20">
        <f>IFERROR(__xludf.DUMMYFUNCTION("""COMPUTED_VALUE"""),245.0)</f>
        <v>245</v>
      </c>
      <c r="B246" s="20" t="str">
        <f>IFERROR(__xludf.DUMMYFUNCTION("""COMPUTED_VALUE"""),"Shortest Word Distance III")</f>
        <v>Shortest Word Distance III</v>
      </c>
      <c r="C246" s="20" t="str">
        <f>IFERROR(__xludf.DUMMYFUNCTION("""COMPUTED_VALUE"""),"shortest-word-distance-iii")</f>
        <v>shortest-word-distance-iii</v>
      </c>
      <c r="D246" s="20" t="b">
        <f>IFERROR(__xludf.DUMMYFUNCTION("""COMPUTED_VALUE"""),TRUE)</f>
        <v>1</v>
      </c>
      <c r="E246" s="20" t="str">
        <f>IFERROR(__xludf.DUMMYFUNCTION("""COMPUTED_VALUE"""),"Medium")</f>
        <v>Medium</v>
      </c>
      <c r="F246" s="20">
        <f>IFERROR(__xludf.DUMMYFUNCTION("""COMPUTED_VALUE"""),398.0)</f>
        <v>398</v>
      </c>
      <c r="G246" s="20">
        <f>IFERROR(__xludf.DUMMYFUNCTION("""COMPUTED_VALUE"""),91.0)</f>
        <v>91</v>
      </c>
      <c r="H246" s="20" t="str">
        <f>IFERROR(__xludf.DUMMYFUNCTION("""COMPUTED_VALUE"""),"Algorithms")</f>
        <v>Algorithms</v>
      </c>
      <c r="I246" s="20">
        <f>IFERROR(__xludf.DUMMYFUNCTION("""COMPUTED_VALUE"""),0.575)</f>
        <v>0.575</v>
      </c>
      <c r="J246" s="20">
        <f>IFERROR(__xludf.DUMMYFUNCTION("""COMPUTED_VALUE"""),245.0)</f>
        <v>245</v>
      </c>
      <c r="K246" s="20" t="b">
        <f>IFERROR(__xludf.DUMMYFUNCTION("""COMPUTED_VALUE"""),TRUE)</f>
        <v>1</v>
      </c>
      <c r="L246" s="20" t="str">
        <f>IFERROR(__xludf.DUMMYFUNCTION("""COMPUTED_VALUE"""),"Array;String;")</f>
        <v>Array;String;</v>
      </c>
      <c r="M246" s="20" t="b">
        <f>IFERROR(__xludf.DUMMYFUNCTION("""COMPUTED_VALUE"""),FALSE)</f>
        <v>0</v>
      </c>
      <c r="N246" s="20" t="b">
        <f>IFERROR(__xludf.DUMMYFUNCTION("""COMPUTED_VALUE"""),FALSE)</f>
        <v>0</v>
      </c>
      <c r="O246" s="20">
        <f>IFERROR(__xludf.DUMMYFUNCTION("""COMPUTED_VALUE"""),57.5241076625399)</f>
        <v>57.52410766</v>
      </c>
      <c r="P246" s="20">
        <f>IFERROR(__xludf.DUMMYFUNCTION("""COMPUTED_VALUE"""),73135.0)</f>
        <v>73135</v>
      </c>
      <c r="Q246" s="20">
        <f>IFERROR(__xludf.DUMMYFUNCTION("""COMPUTED_VALUE"""),127138.0)</f>
        <v>127138</v>
      </c>
    </row>
    <row r="247">
      <c r="A247" s="20">
        <f>IFERROR(__xludf.DUMMYFUNCTION("""COMPUTED_VALUE"""),246.0)</f>
        <v>246</v>
      </c>
      <c r="B247" s="20" t="str">
        <f>IFERROR(__xludf.DUMMYFUNCTION("""COMPUTED_VALUE"""),"Strobogrammatic Number")</f>
        <v>Strobogrammatic Number</v>
      </c>
      <c r="C247" s="20" t="str">
        <f>IFERROR(__xludf.DUMMYFUNCTION("""COMPUTED_VALUE"""),"strobogrammatic-number")</f>
        <v>strobogrammatic-number</v>
      </c>
      <c r="D247" s="20" t="b">
        <f>IFERROR(__xludf.DUMMYFUNCTION("""COMPUTED_VALUE"""),TRUE)</f>
        <v>1</v>
      </c>
      <c r="E247" s="20" t="str">
        <f>IFERROR(__xludf.DUMMYFUNCTION("""COMPUTED_VALUE"""),"Easy")</f>
        <v>Easy</v>
      </c>
      <c r="F247" s="20">
        <f>IFERROR(__xludf.DUMMYFUNCTION("""COMPUTED_VALUE"""),525.0)</f>
        <v>525</v>
      </c>
      <c r="G247" s="20">
        <f>IFERROR(__xludf.DUMMYFUNCTION("""COMPUTED_VALUE"""),925.0)</f>
        <v>925</v>
      </c>
      <c r="H247" s="20" t="str">
        <f>IFERROR(__xludf.DUMMYFUNCTION("""COMPUTED_VALUE"""),"Algorithms")</f>
        <v>Algorithms</v>
      </c>
      <c r="I247" s="20">
        <f>IFERROR(__xludf.DUMMYFUNCTION("""COMPUTED_VALUE"""),0.478)</f>
        <v>0.478</v>
      </c>
      <c r="J247" s="20">
        <f>IFERROR(__xludf.DUMMYFUNCTION("""COMPUTED_VALUE"""),246.0)</f>
        <v>246</v>
      </c>
      <c r="K247" s="20" t="b">
        <f>IFERROR(__xludf.DUMMYFUNCTION("""COMPUTED_VALUE"""),TRUE)</f>
        <v>1</v>
      </c>
      <c r="L247" s="20" t="str">
        <f>IFERROR(__xludf.DUMMYFUNCTION("""COMPUTED_VALUE"""),"Hash Table;Two Pointers;String;")</f>
        <v>Hash Table;Two Pointers;String;</v>
      </c>
      <c r="M247" s="20" t="b">
        <f>IFERROR(__xludf.DUMMYFUNCTION("""COMPUTED_VALUE"""),TRUE)</f>
        <v>1</v>
      </c>
      <c r="N247" s="20" t="b">
        <f>IFERROR(__xludf.DUMMYFUNCTION("""COMPUTED_VALUE"""),TRUE)</f>
        <v>1</v>
      </c>
      <c r="O247" s="20">
        <f>IFERROR(__xludf.DUMMYFUNCTION("""COMPUTED_VALUE"""),47.7776352597696)</f>
        <v>47.77763526</v>
      </c>
      <c r="P247" s="20">
        <f>IFERROR(__xludf.DUMMYFUNCTION("""COMPUTED_VALUE"""),156445.0)</f>
        <v>156445</v>
      </c>
      <c r="Q247" s="20">
        <f>IFERROR(__xludf.DUMMYFUNCTION("""COMPUTED_VALUE"""),327444.0)</f>
        <v>327444</v>
      </c>
    </row>
    <row r="248">
      <c r="A248" s="20">
        <f>IFERROR(__xludf.DUMMYFUNCTION("""COMPUTED_VALUE"""),247.0)</f>
        <v>247</v>
      </c>
      <c r="B248" s="20" t="str">
        <f>IFERROR(__xludf.DUMMYFUNCTION("""COMPUTED_VALUE"""),"Strobogrammatic Number II")</f>
        <v>Strobogrammatic Number II</v>
      </c>
      <c r="C248" s="20" t="str">
        <f>IFERROR(__xludf.DUMMYFUNCTION("""COMPUTED_VALUE"""),"strobogrammatic-number-ii")</f>
        <v>strobogrammatic-number-ii</v>
      </c>
      <c r="D248" s="20" t="b">
        <f>IFERROR(__xludf.DUMMYFUNCTION("""COMPUTED_VALUE"""),TRUE)</f>
        <v>1</v>
      </c>
      <c r="E248" s="20" t="str">
        <f>IFERROR(__xludf.DUMMYFUNCTION("""COMPUTED_VALUE"""),"Medium")</f>
        <v>Medium</v>
      </c>
      <c r="F248" s="20">
        <f>IFERROR(__xludf.DUMMYFUNCTION("""COMPUTED_VALUE"""),838.0)</f>
        <v>838</v>
      </c>
      <c r="G248" s="20">
        <f>IFERROR(__xludf.DUMMYFUNCTION("""COMPUTED_VALUE"""),217.0)</f>
        <v>217</v>
      </c>
      <c r="H248" s="20" t="str">
        <f>IFERROR(__xludf.DUMMYFUNCTION("""COMPUTED_VALUE"""),"Algorithms")</f>
        <v>Algorithms</v>
      </c>
      <c r="I248" s="20">
        <f>IFERROR(__xludf.DUMMYFUNCTION("""COMPUTED_VALUE"""),0.515)</f>
        <v>0.515</v>
      </c>
      <c r="J248" s="20">
        <f>IFERROR(__xludf.DUMMYFUNCTION("""COMPUTED_VALUE"""),247.0)</f>
        <v>247</v>
      </c>
      <c r="K248" s="20" t="b">
        <f>IFERROR(__xludf.DUMMYFUNCTION("""COMPUTED_VALUE"""),TRUE)</f>
        <v>1</v>
      </c>
      <c r="L248" s="20" t="str">
        <f>IFERROR(__xludf.DUMMYFUNCTION("""COMPUTED_VALUE"""),"Array;String;Recursion;")</f>
        <v>Array;String;Recursion;</v>
      </c>
      <c r="M248" s="20" t="b">
        <f>IFERROR(__xludf.DUMMYFUNCTION("""COMPUTED_VALUE"""),TRUE)</f>
        <v>1</v>
      </c>
      <c r="N248" s="20" t="b">
        <f>IFERROR(__xludf.DUMMYFUNCTION("""COMPUTED_VALUE"""),FALSE)</f>
        <v>0</v>
      </c>
      <c r="O248" s="20">
        <f>IFERROR(__xludf.DUMMYFUNCTION("""COMPUTED_VALUE"""),51.4976925850745)</f>
        <v>51.49769259</v>
      </c>
      <c r="P248" s="20">
        <f>IFERROR(__xludf.DUMMYFUNCTION("""COMPUTED_VALUE"""),127103.0)</f>
        <v>127103</v>
      </c>
      <c r="Q248" s="20">
        <f>IFERROR(__xludf.DUMMYFUNCTION("""COMPUTED_VALUE"""),246813.0)</f>
        <v>246813</v>
      </c>
    </row>
    <row r="249">
      <c r="A249" s="20">
        <f>IFERROR(__xludf.DUMMYFUNCTION("""COMPUTED_VALUE"""),248.0)</f>
        <v>248</v>
      </c>
      <c r="B249" s="20" t="str">
        <f>IFERROR(__xludf.DUMMYFUNCTION("""COMPUTED_VALUE"""),"Strobogrammatic Number III")</f>
        <v>Strobogrammatic Number III</v>
      </c>
      <c r="C249" s="20" t="str">
        <f>IFERROR(__xludf.DUMMYFUNCTION("""COMPUTED_VALUE"""),"strobogrammatic-number-iii")</f>
        <v>strobogrammatic-number-iii</v>
      </c>
      <c r="D249" s="20" t="b">
        <f>IFERROR(__xludf.DUMMYFUNCTION("""COMPUTED_VALUE"""),TRUE)</f>
        <v>1</v>
      </c>
      <c r="E249" s="20" t="str">
        <f>IFERROR(__xludf.DUMMYFUNCTION("""COMPUTED_VALUE"""),"Hard")</f>
        <v>Hard</v>
      </c>
      <c r="F249" s="20">
        <f>IFERROR(__xludf.DUMMYFUNCTION("""COMPUTED_VALUE"""),287.0)</f>
        <v>287</v>
      </c>
      <c r="G249" s="20">
        <f>IFERROR(__xludf.DUMMYFUNCTION("""COMPUTED_VALUE"""),180.0)</f>
        <v>180</v>
      </c>
      <c r="H249" s="20" t="str">
        <f>IFERROR(__xludf.DUMMYFUNCTION("""COMPUTED_VALUE"""),"Algorithms")</f>
        <v>Algorithms</v>
      </c>
      <c r="I249" s="20">
        <f>IFERROR(__xludf.DUMMYFUNCTION("""COMPUTED_VALUE"""),0.418)</f>
        <v>0.418</v>
      </c>
      <c r="J249" s="20">
        <f>IFERROR(__xludf.DUMMYFUNCTION("""COMPUTED_VALUE"""),248.0)</f>
        <v>248</v>
      </c>
      <c r="K249" s="20" t="b">
        <f>IFERROR(__xludf.DUMMYFUNCTION("""COMPUTED_VALUE"""),TRUE)</f>
        <v>1</v>
      </c>
      <c r="L249" s="20" t="str">
        <f>IFERROR(__xludf.DUMMYFUNCTION("""COMPUTED_VALUE"""),"Array;String;Recursion;")</f>
        <v>Array;String;Recursion;</v>
      </c>
      <c r="M249" s="20" t="b">
        <f>IFERROR(__xludf.DUMMYFUNCTION("""COMPUTED_VALUE"""),FALSE)</f>
        <v>0</v>
      </c>
      <c r="N249" s="20" t="b">
        <f>IFERROR(__xludf.DUMMYFUNCTION("""COMPUTED_VALUE"""),FALSE)</f>
        <v>0</v>
      </c>
      <c r="O249" s="20">
        <f>IFERROR(__xludf.DUMMYFUNCTION("""COMPUTED_VALUE"""),41.818529450426)</f>
        <v>41.81852945</v>
      </c>
      <c r="P249" s="20">
        <f>IFERROR(__xludf.DUMMYFUNCTION("""COMPUTED_VALUE"""),34995.0)</f>
        <v>34995</v>
      </c>
      <c r="Q249" s="20">
        <f>IFERROR(__xludf.DUMMYFUNCTION("""COMPUTED_VALUE"""),83683.0)</f>
        <v>83683</v>
      </c>
    </row>
    <row r="250">
      <c r="A250" s="20">
        <f>IFERROR(__xludf.DUMMYFUNCTION("""COMPUTED_VALUE"""),249.0)</f>
        <v>249</v>
      </c>
      <c r="B250" s="20" t="str">
        <f>IFERROR(__xludf.DUMMYFUNCTION("""COMPUTED_VALUE"""),"Group Shifted Strings")</f>
        <v>Group Shifted Strings</v>
      </c>
      <c r="C250" s="20" t="str">
        <f>IFERROR(__xludf.DUMMYFUNCTION("""COMPUTED_VALUE"""),"group-shifted-strings")</f>
        <v>group-shifted-strings</v>
      </c>
      <c r="D250" s="20" t="b">
        <f>IFERROR(__xludf.DUMMYFUNCTION("""COMPUTED_VALUE"""),TRUE)</f>
        <v>1</v>
      </c>
      <c r="E250" s="20" t="str">
        <f>IFERROR(__xludf.DUMMYFUNCTION("""COMPUTED_VALUE"""),"Medium")</f>
        <v>Medium</v>
      </c>
      <c r="F250" s="20">
        <f>IFERROR(__xludf.DUMMYFUNCTION("""COMPUTED_VALUE"""),1454.0)</f>
        <v>1454</v>
      </c>
      <c r="G250" s="20">
        <f>IFERROR(__xludf.DUMMYFUNCTION("""COMPUTED_VALUE"""),282.0)</f>
        <v>282</v>
      </c>
      <c r="H250" s="20" t="str">
        <f>IFERROR(__xludf.DUMMYFUNCTION("""COMPUTED_VALUE"""),"Algorithms")</f>
        <v>Algorithms</v>
      </c>
      <c r="I250" s="20">
        <f>IFERROR(__xludf.DUMMYFUNCTION("""COMPUTED_VALUE"""),0.643)</f>
        <v>0.643</v>
      </c>
      <c r="J250" s="20">
        <f>IFERROR(__xludf.DUMMYFUNCTION("""COMPUTED_VALUE"""),249.0)</f>
        <v>249</v>
      </c>
      <c r="K250" s="20" t="b">
        <f>IFERROR(__xludf.DUMMYFUNCTION("""COMPUTED_VALUE"""),TRUE)</f>
        <v>1</v>
      </c>
      <c r="L250" s="20" t="str">
        <f>IFERROR(__xludf.DUMMYFUNCTION("""COMPUTED_VALUE"""),"Array;Hash Table;String;")</f>
        <v>Array;Hash Table;String;</v>
      </c>
      <c r="M250" s="20" t="b">
        <f>IFERROR(__xludf.DUMMYFUNCTION("""COMPUTED_VALUE"""),TRUE)</f>
        <v>1</v>
      </c>
      <c r="N250" s="20" t="b">
        <f>IFERROR(__xludf.DUMMYFUNCTION("""COMPUTED_VALUE"""),FALSE)</f>
        <v>0</v>
      </c>
      <c r="O250" s="20">
        <f>IFERROR(__xludf.DUMMYFUNCTION("""COMPUTED_VALUE"""),64.2982977276707)</f>
        <v>64.29829773</v>
      </c>
      <c r="P250" s="20">
        <f>IFERROR(__xludf.DUMMYFUNCTION("""COMPUTED_VALUE"""),187236.0)</f>
        <v>187236</v>
      </c>
      <c r="Q250" s="20">
        <f>IFERROR(__xludf.DUMMYFUNCTION("""COMPUTED_VALUE"""),291199.0)</f>
        <v>291199</v>
      </c>
    </row>
    <row r="251">
      <c r="A251" s="20">
        <f>IFERROR(__xludf.DUMMYFUNCTION("""COMPUTED_VALUE"""),250.0)</f>
        <v>250</v>
      </c>
      <c r="B251" s="20" t="str">
        <f>IFERROR(__xludf.DUMMYFUNCTION("""COMPUTED_VALUE"""),"Count Univalue Subtrees")</f>
        <v>Count Univalue Subtrees</v>
      </c>
      <c r="C251" s="20" t="str">
        <f>IFERROR(__xludf.DUMMYFUNCTION("""COMPUTED_VALUE"""),"count-univalue-subtrees")</f>
        <v>count-univalue-subtrees</v>
      </c>
      <c r="D251" s="20" t="b">
        <f>IFERROR(__xludf.DUMMYFUNCTION("""COMPUTED_VALUE"""),TRUE)</f>
        <v>1</v>
      </c>
      <c r="E251" s="20" t="str">
        <f>IFERROR(__xludf.DUMMYFUNCTION("""COMPUTED_VALUE"""),"Medium")</f>
        <v>Medium</v>
      </c>
      <c r="F251" s="20">
        <f>IFERROR(__xludf.DUMMYFUNCTION("""COMPUTED_VALUE"""),1055.0)</f>
        <v>1055</v>
      </c>
      <c r="G251" s="20">
        <f>IFERROR(__xludf.DUMMYFUNCTION("""COMPUTED_VALUE"""),365.0)</f>
        <v>365</v>
      </c>
      <c r="H251" s="20" t="str">
        <f>IFERROR(__xludf.DUMMYFUNCTION("""COMPUTED_VALUE"""),"Algorithms")</f>
        <v>Algorithms</v>
      </c>
      <c r="I251" s="20">
        <f>IFERROR(__xludf.DUMMYFUNCTION("""COMPUTED_VALUE"""),0.553)</f>
        <v>0.553</v>
      </c>
      <c r="J251" s="20">
        <f>IFERROR(__xludf.DUMMYFUNCTION("""COMPUTED_VALUE"""),250.0)</f>
        <v>250</v>
      </c>
      <c r="K251" s="20" t="b">
        <f>IFERROR(__xludf.DUMMYFUNCTION("""COMPUTED_VALUE"""),TRUE)</f>
        <v>1</v>
      </c>
      <c r="L251" s="20" t="str">
        <f>IFERROR(__xludf.DUMMYFUNCTION("""COMPUTED_VALUE"""),"Tree;Depth-First Search;Binary Tree;")</f>
        <v>Tree;Depth-First Search;Binary Tree;</v>
      </c>
      <c r="M251" s="20" t="b">
        <f>IFERROR(__xludf.DUMMYFUNCTION("""COMPUTED_VALUE"""),TRUE)</f>
        <v>1</v>
      </c>
      <c r="N251" s="20" t="b">
        <f>IFERROR(__xludf.DUMMYFUNCTION("""COMPUTED_VALUE"""),FALSE)</f>
        <v>0</v>
      </c>
      <c r="O251" s="20">
        <f>IFERROR(__xludf.DUMMYFUNCTION("""COMPUTED_VALUE"""),55.3016201734814)</f>
        <v>55.30162017</v>
      </c>
      <c r="P251" s="20">
        <f>IFERROR(__xludf.DUMMYFUNCTION("""COMPUTED_VALUE"""),134587.0)</f>
        <v>134587</v>
      </c>
      <c r="Q251" s="20">
        <f>IFERROR(__xludf.DUMMYFUNCTION("""COMPUTED_VALUE"""),243369.0)</f>
        <v>243369</v>
      </c>
    </row>
    <row r="252">
      <c r="A252" s="20">
        <f>IFERROR(__xludf.DUMMYFUNCTION("""COMPUTED_VALUE"""),251.0)</f>
        <v>251</v>
      </c>
      <c r="B252" s="20" t="str">
        <f>IFERROR(__xludf.DUMMYFUNCTION("""COMPUTED_VALUE"""),"Flatten 2D Vector")</f>
        <v>Flatten 2D Vector</v>
      </c>
      <c r="C252" s="20" t="str">
        <f>IFERROR(__xludf.DUMMYFUNCTION("""COMPUTED_VALUE"""),"flatten-2d-vector")</f>
        <v>flatten-2d-vector</v>
      </c>
      <c r="D252" s="20" t="b">
        <f>IFERROR(__xludf.DUMMYFUNCTION("""COMPUTED_VALUE"""),TRUE)</f>
        <v>1</v>
      </c>
      <c r="E252" s="20" t="str">
        <f>IFERROR(__xludf.DUMMYFUNCTION("""COMPUTED_VALUE"""),"Medium")</f>
        <v>Medium</v>
      </c>
      <c r="F252" s="20">
        <f>IFERROR(__xludf.DUMMYFUNCTION("""COMPUTED_VALUE"""),661.0)</f>
        <v>661</v>
      </c>
      <c r="G252" s="20">
        <f>IFERROR(__xludf.DUMMYFUNCTION("""COMPUTED_VALUE"""),363.0)</f>
        <v>363</v>
      </c>
      <c r="H252" s="20" t="str">
        <f>IFERROR(__xludf.DUMMYFUNCTION("""COMPUTED_VALUE"""),"Algorithms")</f>
        <v>Algorithms</v>
      </c>
      <c r="I252" s="20">
        <f>IFERROR(__xludf.DUMMYFUNCTION("""COMPUTED_VALUE"""),0.49)</f>
        <v>0.49</v>
      </c>
      <c r="J252" s="20">
        <f>IFERROR(__xludf.DUMMYFUNCTION("""COMPUTED_VALUE"""),251.0)</f>
        <v>251</v>
      </c>
      <c r="K252" s="20" t="b">
        <f>IFERROR(__xludf.DUMMYFUNCTION("""COMPUTED_VALUE"""),TRUE)</f>
        <v>1</v>
      </c>
      <c r="L252" s="20" t="str">
        <f>IFERROR(__xludf.DUMMYFUNCTION("""COMPUTED_VALUE"""),"Array;Two Pointers;Design;Iterator;")</f>
        <v>Array;Two Pointers;Design;Iterator;</v>
      </c>
      <c r="M252" s="20" t="b">
        <f>IFERROR(__xludf.DUMMYFUNCTION("""COMPUTED_VALUE"""),TRUE)</f>
        <v>1</v>
      </c>
      <c r="N252" s="20" t="b">
        <f>IFERROR(__xludf.DUMMYFUNCTION("""COMPUTED_VALUE"""),FALSE)</f>
        <v>0</v>
      </c>
      <c r="O252" s="20">
        <f>IFERROR(__xludf.DUMMYFUNCTION("""COMPUTED_VALUE"""),49.0311646261256)</f>
        <v>49.03116463</v>
      </c>
      <c r="P252" s="20">
        <f>IFERROR(__xludf.DUMMYFUNCTION("""COMPUTED_VALUE"""),116298.0)</f>
        <v>116298</v>
      </c>
      <c r="Q252" s="20">
        <f>IFERROR(__xludf.DUMMYFUNCTION("""COMPUTED_VALUE"""),237192.0)</f>
        <v>237192</v>
      </c>
    </row>
    <row r="253">
      <c r="A253" s="20">
        <f>IFERROR(__xludf.DUMMYFUNCTION("""COMPUTED_VALUE"""),252.0)</f>
        <v>252</v>
      </c>
      <c r="B253" s="20" t="str">
        <f>IFERROR(__xludf.DUMMYFUNCTION("""COMPUTED_VALUE"""),"Meeting Rooms")</f>
        <v>Meeting Rooms</v>
      </c>
      <c r="C253" s="20" t="str">
        <f>IFERROR(__xludf.DUMMYFUNCTION("""COMPUTED_VALUE"""),"meeting-rooms")</f>
        <v>meeting-rooms</v>
      </c>
      <c r="D253" s="20" t="b">
        <f>IFERROR(__xludf.DUMMYFUNCTION("""COMPUTED_VALUE"""),TRUE)</f>
        <v>1</v>
      </c>
      <c r="E253" s="20" t="str">
        <f>IFERROR(__xludf.DUMMYFUNCTION("""COMPUTED_VALUE"""),"Easy")</f>
        <v>Easy</v>
      </c>
      <c r="F253" s="20">
        <f>IFERROR(__xludf.DUMMYFUNCTION("""COMPUTED_VALUE"""),1727.0)</f>
        <v>1727</v>
      </c>
      <c r="G253" s="20">
        <f>IFERROR(__xludf.DUMMYFUNCTION("""COMPUTED_VALUE"""),86.0)</f>
        <v>86</v>
      </c>
      <c r="H253" s="20" t="str">
        <f>IFERROR(__xludf.DUMMYFUNCTION("""COMPUTED_VALUE"""),"Algorithms")</f>
        <v>Algorithms</v>
      </c>
      <c r="I253" s="20">
        <f>IFERROR(__xludf.DUMMYFUNCTION("""COMPUTED_VALUE"""),0.571)</f>
        <v>0.571</v>
      </c>
      <c r="J253" s="20">
        <f>IFERROR(__xludf.DUMMYFUNCTION("""COMPUTED_VALUE"""),252.0)</f>
        <v>252</v>
      </c>
      <c r="K253" s="20" t="b">
        <f>IFERROR(__xludf.DUMMYFUNCTION("""COMPUTED_VALUE"""),TRUE)</f>
        <v>1</v>
      </c>
      <c r="L253" s="20" t="str">
        <f>IFERROR(__xludf.DUMMYFUNCTION("""COMPUTED_VALUE"""),"Array;Sorting;")</f>
        <v>Array;Sorting;</v>
      </c>
      <c r="M253" s="20" t="b">
        <f>IFERROR(__xludf.DUMMYFUNCTION("""COMPUTED_VALUE"""),TRUE)</f>
        <v>1</v>
      </c>
      <c r="N253" s="20" t="b">
        <f>IFERROR(__xludf.DUMMYFUNCTION("""COMPUTED_VALUE"""),TRUE)</f>
        <v>1</v>
      </c>
      <c r="O253" s="20">
        <f>IFERROR(__xludf.DUMMYFUNCTION("""COMPUTED_VALUE"""),57.1144601815841)</f>
        <v>57.11446018</v>
      </c>
      <c r="P253" s="20">
        <f>IFERROR(__xludf.DUMMYFUNCTION("""COMPUTED_VALUE"""),323529.0)</f>
        <v>323529</v>
      </c>
      <c r="Q253" s="20">
        <f>IFERROR(__xludf.DUMMYFUNCTION("""COMPUTED_VALUE"""),566458.0)</f>
        <v>566458</v>
      </c>
    </row>
    <row r="254">
      <c r="A254" s="20">
        <f>IFERROR(__xludf.DUMMYFUNCTION("""COMPUTED_VALUE"""),253.0)</f>
        <v>253</v>
      </c>
      <c r="B254" s="20" t="str">
        <f>IFERROR(__xludf.DUMMYFUNCTION("""COMPUTED_VALUE"""),"Meeting Rooms II")</f>
        <v>Meeting Rooms II</v>
      </c>
      <c r="C254" s="20" t="str">
        <f>IFERROR(__xludf.DUMMYFUNCTION("""COMPUTED_VALUE"""),"meeting-rooms-ii")</f>
        <v>meeting-rooms-ii</v>
      </c>
      <c r="D254" s="20" t="b">
        <f>IFERROR(__xludf.DUMMYFUNCTION("""COMPUTED_VALUE"""),TRUE)</f>
        <v>1</v>
      </c>
      <c r="E254" s="20" t="str">
        <f>IFERROR(__xludf.DUMMYFUNCTION("""COMPUTED_VALUE"""),"Medium")</f>
        <v>Medium</v>
      </c>
      <c r="F254" s="20">
        <f>IFERROR(__xludf.DUMMYFUNCTION("""COMPUTED_VALUE"""),6297.0)</f>
        <v>6297</v>
      </c>
      <c r="G254" s="20">
        <f>IFERROR(__xludf.DUMMYFUNCTION("""COMPUTED_VALUE"""),136.0)</f>
        <v>136</v>
      </c>
      <c r="H254" s="20" t="str">
        <f>IFERROR(__xludf.DUMMYFUNCTION("""COMPUTED_VALUE"""),"Algorithms")</f>
        <v>Algorithms</v>
      </c>
      <c r="I254" s="20">
        <f>IFERROR(__xludf.DUMMYFUNCTION("""COMPUTED_VALUE"""),0.505)</f>
        <v>0.505</v>
      </c>
      <c r="J254" s="20">
        <f>IFERROR(__xludf.DUMMYFUNCTION("""COMPUTED_VALUE"""),253.0)</f>
        <v>253</v>
      </c>
      <c r="K254" s="20" t="b">
        <f>IFERROR(__xludf.DUMMYFUNCTION("""COMPUTED_VALUE"""),TRUE)</f>
        <v>1</v>
      </c>
      <c r="L254" s="20" t="str">
        <f>IFERROR(__xludf.DUMMYFUNCTION("""COMPUTED_VALUE"""),"Array;Two Pointers;Greedy;Sorting;Heap (Priority Queue);Prefix Sum;")</f>
        <v>Array;Two Pointers;Greedy;Sorting;Heap (Priority Queue);Prefix Sum;</v>
      </c>
      <c r="M254" s="20" t="b">
        <f>IFERROR(__xludf.DUMMYFUNCTION("""COMPUTED_VALUE"""),TRUE)</f>
        <v>1</v>
      </c>
      <c r="N254" s="20" t="b">
        <f>IFERROR(__xludf.DUMMYFUNCTION("""COMPUTED_VALUE"""),FALSE)</f>
        <v>0</v>
      </c>
      <c r="O254" s="20">
        <f>IFERROR(__xludf.DUMMYFUNCTION("""COMPUTED_VALUE"""),50.5258442105263)</f>
        <v>50.52584421</v>
      </c>
      <c r="P254" s="20">
        <f>IFERROR(__xludf.DUMMYFUNCTION("""COMPUTED_VALUE"""),749988.0)</f>
        <v>749988</v>
      </c>
      <c r="Q254" s="20">
        <f>IFERROR(__xludf.DUMMYFUNCTION("""COMPUTED_VALUE"""),1484368.0)</f>
        <v>1484368</v>
      </c>
    </row>
    <row r="255">
      <c r="A255" s="20">
        <f>IFERROR(__xludf.DUMMYFUNCTION("""COMPUTED_VALUE"""),254.0)</f>
        <v>254</v>
      </c>
      <c r="B255" s="20" t="str">
        <f>IFERROR(__xludf.DUMMYFUNCTION("""COMPUTED_VALUE"""),"Factor Combinations")</f>
        <v>Factor Combinations</v>
      </c>
      <c r="C255" s="20" t="str">
        <f>IFERROR(__xludf.DUMMYFUNCTION("""COMPUTED_VALUE"""),"factor-combinations")</f>
        <v>factor-combinations</v>
      </c>
      <c r="D255" s="20" t="b">
        <f>IFERROR(__xludf.DUMMYFUNCTION("""COMPUTED_VALUE"""),TRUE)</f>
        <v>1</v>
      </c>
      <c r="E255" s="20" t="str">
        <f>IFERROR(__xludf.DUMMYFUNCTION("""COMPUTED_VALUE"""),"Medium")</f>
        <v>Medium</v>
      </c>
      <c r="F255" s="20">
        <f>IFERROR(__xludf.DUMMYFUNCTION("""COMPUTED_VALUE"""),1019.0)</f>
        <v>1019</v>
      </c>
      <c r="G255" s="20">
        <f>IFERROR(__xludf.DUMMYFUNCTION("""COMPUTED_VALUE"""),60.0)</f>
        <v>60</v>
      </c>
      <c r="H255" s="20" t="str">
        <f>IFERROR(__xludf.DUMMYFUNCTION("""COMPUTED_VALUE"""),"Algorithms")</f>
        <v>Algorithms</v>
      </c>
      <c r="I255" s="20">
        <f>IFERROR(__xludf.DUMMYFUNCTION("""COMPUTED_VALUE"""),0.489)</f>
        <v>0.489</v>
      </c>
      <c r="J255" s="20">
        <f>IFERROR(__xludf.DUMMYFUNCTION("""COMPUTED_VALUE"""),254.0)</f>
        <v>254</v>
      </c>
      <c r="K255" s="20" t="b">
        <f>IFERROR(__xludf.DUMMYFUNCTION("""COMPUTED_VALUE"""),TRUE)</f>
        <v>1</v>
      </c>
      <c r="L255" s="20" t="str">
        <f>IFERROR(__xludf.DUMMYFUNCTION("""COMPUTED_VALUE"""),"Array;Backtracking;")</f>
        <v>Array;Backtracking;</v>
      </c>
      <c r="M255" s="20" t="b">
        <f>IFERROR(__xludf.DUMMYFUNCTION("""COMPUTED_VALUE"""),FALSE)</f>
        <v>0</v>
      </c>
      <c r="N255" s="20" t="b">
        <f>IFERROR(__xludf.DUMMYFUNCTION("""COMPUTED_VALUE"""),FALSE)</f>
        <v>0</v>
      </c>
      <c r="O255" s="20">
        <f>IFERROR(__xludf.DUMMYFUNCTION("""COMPUTED_VALUE"""),48.9259308599214)</f>
        <v>48.92593086</v>
      </c>
      <c r="P255" s="20">
        <f>IFERROR(__xludf.DUMMYFUNCTION("""COMPUTED_VALUE"""),117524.0)</f>
        <v>117524</v>
      </c>
      <c r="Q255" s="20">
        <f>IFERROR(__xludf.DUMMYFUNCTION("""COMPUTED_VALUE"""),240208.0)</f>
        <v>240208</v>
      </c>
    </row>
    <row r="256">
      <c r="A256" s="20">
        <f>IFERROR(__xludf.DUMMYFUNCTION("""COMPUTED_VALUE"""),255.0)</f>
        <v>255</v>
      </c>
      <c r="B256" s="20" t="str">
        <f>IFERROR(__xludf.DUMMYFUNCTION("""COMPUTED_VALUE"""),"Verify Preorder Sequence in Binary Search Tree")</f>
        <v>Verify Preorder Sequence in Binary Search Tree</v>
      </c>
      <c r="C256" s="20" t="str">
        <f>IFERROR(__xludf.DUMMYFUNCTION("""COMPUTED_VALUE"""),"verify-preorder-sequence-in-binary-search-tree")</f>
        <v>verify-preorder-sequence-in-binary-search-tree</v>
      </c>
      <c r="D256" s="20" t="b">
        <f>IFERROR(__xludf.DUMMYFUNCTION("""COMPUTED_VALUE"""),TRUE)</f>
        <v>1</v>
      </c>
      <c r="E256" s="20" t="str">
        <f>IFERROR(__xludf.DUMMYFUNCTION("""COMPUTED_VALUE"""),"Medium")</f>
        <v>Medium</v>
      </c>
      <c r="F256" s="20">
        <f>IFERROR(__xludf.DUMMYFUNCTION("""COMPUTED_VALUE"""),1039.0)</f>
        <v>1039</v>
      </c>
      <c r="G256" s="20">
        <f>IFERROR(__xludf.DUMMYFUNCTION("""COMPUTED_VALUE"""),76.0)</f>
        <v>76</v>
      </c>
      <c r="H256" s="20" t="str">
        <f>IFERROR(__xludf.DUMMYFUNCTION("""COMPUTED_VALUE"""),"Algorithms")</f>
        <v>Algorithms</v>
      </c>
      <c r="I256" s="20">
        <f>IFERROR(__xludf.DUMMYFUNCTION("""COMPUTED_VALUE"""),0.481)</f>
        <v>0.481</v>
      </c>
      <c r="J256" s="20">
        <f>IFERROR(__xludf.DUMMYFUNCTION("""COMPUTED_VALUE"""),255.0)</f>
        <v>255</v>
      </c>
      <c r="K256" s="20" t="b">
        <f>IFERROR(__xludf.DUMMYFUNCTION("""COMPUTED_VALUE"""),TRUE)</f>
        <v>1</v>
      </c>
      <c r="L256" s="20" t="str">
        <f>IFERROR(__xludf.DUMMYFUNCTION("""COMPUTED_VALUE"""),"Stack;Tree;Binary Search Tree;Recursion;Monotonic Stack;Binary Tree;")</f>
        <v>Stack;Tree;Binary Search Tree;Recursion;Monotonic Stack;Binary Tree;</v>
      </c>
      <c r="M256" s="20" t="b">
        <f>IFERROR(__xludf.DUMMYFUNCTION("""COMPUTED_VALUE"""),FALSE)</f>
        <v>0</v>
      </c>
      <c r="N256" s="20" t="b">
        <f>IFERROR(__xludf.DUMMYFUNCTION("""COMPUTED_VALUE"""),FALSE)</f>
        <v>0</v>
      </c>
      <c r="O256" s="20">
        <f>IFERROR(__xludf.DUMMYFUNCTION("""COMPUTED_VALUE"""),48.1086614392557)</f>
        <v>48.10866144</v>
      </c>
      <c r="P256" s="20">
        <f>IFERROR(__xludf.DUMMYFUNCTION("""COMPUTED_VALUE"""),69085.0)</f>
        <v>69085</v>
      </c>
      <c r="Q256" s="20">
        <f>IFERROR(__xludf.DUMMYFUNCTION("""COMPUTED_VALUE"""),143602.0)</f>
        <v>143602</v>
      </c>
    </row>
    <row r="257">
      <c r="A257" s="20">
        <f>IFERROR(__xludf.DUMMYFUNCTION("""COMPUTED_VALUE"""),256.0)</f>
        <v>256</v>
      </c>
      <c r="B257" s="20" t="str">
        <f>IFERROR(__xludf.DUMMYFUNCTION("""COMPUTED_VALUE"""),"Paint House")</f>
        <v>Paint House</v>
      </c>
      <c r="C257" s="20" t="str">
        <f>IFERROR(__xludf.DUMMYFUNCTION("""COMPUTED_VALUE"""),"paint-house")</f>
        <v>paint-house</v>
      </c>
      <c r="D257" s="20" t="b">
        <f>IFERROR(__xludf.DUMMYFUNCTION("""COMPUTED_VALUE"""),TRUE)</f>
        <v>1</v>
      </c>
      <c r="E257" s="20" t="str">
        <f>IFERROR(__xludf.DUMMYFUNCTION("""COMPUTED_VALUE"""),"Medium")</f>
        <v>Medium</v>
      </c>
      <c r="F257" s="20">
        <f>IFERROR(__xludf.DUMMYFUNCTION("""COMPUTED_VALUE"""),2092.0)</f>
        <v>2092</v>
      </c>
      <c r="G257" s="20">
        <f>IFERROR(__xludf.DUMMYFUNCTION("""COMPUTED_VALUE"""),127.0)</f>
        <v>127</v>
      </c>
      <c r="H257" s="20" t="str">
        <f>IFERROR(__xludf.DUMMYFUNCTION("""COMPUTED_VALUE"""),"Algorithms")</f>
        <v>Algorithms</v>
      </c>
      <c r="I257" s="20">
        <f>IFERROR(__xludf.DUMMYFUNCTION("""COMPUTED_VALUE"""),0.608)</f>
        <v>0.608</v>
      </c>
      <c r="J257" s="20">
        <f>IFERROR(__xludf.DUMMYFUNCTION("""COMPUTED_VALUE"""),256.0)</f>
        <v>256</v>
      </c>
      <c r="K257" s="20" t="b">
        <f>IFERROR(__xludf.DUMMYFUNCTION("""COMPUTED_VALUE"""),TRUE)</f>
        <v>1</v>
      </c>
      <c r="L257" s="20" t="str">
        <f>IFERROR(__xludf.DUMMYFUNCTION("""COMPUTED_VALUE"""),"Array;Dynamic Programming;")</f>
        <v>Array;Dynamic Programming;</v>
      </c>
      <c r="M257" s="20" t="b">
        <f>IFERROR(__xludf.DUMMYFUNCTION("""COMPUTED_VALUE"""),TRUE)</f>
        <v>1</v>
      </c>
      <c r="N257" s="20" t="b">
        <f>IFERROR(__xludf.DUMMYFUNCTION("""COMPUTED_VALUE"""),FALSE)</f>
        <v>0</v>
      </c>
      <c r="O257" s="20">
        <f>IFERROR(__xludf.DUMMYFUNCTION("""COMPUTED_VALUE"""),60.8088312055686)</f>
        <v>60.80883121</v>
      </c>
      <c r="P257" s="20">
        <f>IFERROR(__xludf.DUMMYFUNCTION("""COMPUTED_VALUE"""),180568.0)</f>
        <v>180568</v>
      </c>
      <c r="Q257" s="20">
        <f>IFERROR(__xludf.DUMMYFUNCTION("""COMPUTED_VALUE"""),296944.0)</f>
        <v>296944</v>
      </c>
    </row>
    <row r="258">
      <c r="A258" s="20">
        <f>IFERROR(__xludf.DUMMYFUNCTION("""COMPUTED_VALUE"""),257.0)</f>
        <v>257</v>
      </c>
      <c r="B258" s="20" t="str">
        <f>IFERROR(__xludf.DUMMYFUNCTION("""COMPUTED_VALUE"""),"Binary Tree Paths")</f>
        <v>Binary Tree Paths</v>
      </c>
      <c r="C258" s="20" t="str">
        <f>IFERROR(__xludf.DUMMYFUNCTION("""COMPUTED_VALUE"""),"binary-tree-paths")</f>
        <v>binary-tree-paths</v>
      </c>
      <c r="D258" s="20" t="b">
        <f>IFERROR(__xludf.DUMMYFUNCTION("""COMPUTED_VALUE"""),FALSE)</f>
        <v>0</v>
      </c>
      <c r="E258" s="20" t="str">
        <f>IFERROR(__xludf.DUMMYFUNCTION("""COMPUTED_VALUE"""),"Easy")</f>
        <v>Easy</v>
      </c>
      <c r="F258" s="20">
        <f>IFERROR(__xludf.DUMMYFUNCTION("""COMPUTED_VALUE"""),5287.0)</f>
        <v>5287</v>
      </c>
      <c r="G258" s="20">
        <f>IFERROR(__xludf.DUMMYFUNCTION("""COMPUTED_VALUE"""),225.0)</f>
        <v>225</v>
      </c>
      <c r="H258" s="20" t="str">
        <f>IFERROR(__xludf.DUMMYFUNCTION("""COMPUTED_VALUE"""),"Algorithms")</f>
        <v>Algorithms</v>
      </c>
      <c r="I258" s="20">
        <f>IFERROR(__xludf.DUMMYFUNCTION("""COMPUTED_VALUE"""),0.609)</f>
        <v>0.609</v>
      </c>
      <c r="J258" s="20">
        <f>IFERROR(__xludf.DUMMYFUNCTION("""COMPUTED_VALUE"""),257.0)</f>
        <v>257</v>
      </c>
      <c r="K258" s="20" t="b">
        <f>IFERROR(__xludf.DUMMYFUNCTION("""COMPUTED_VALUE"""),FALSE)</f>
        <v>0</v>
      </c>
      <c r="L258" s="20" t="str">
        <f>IFERROR(__xludf.DUMMYFUNCTION("""COMPUTED_VALUE"""),"String;Backtracking;Tree;Depth-First Search;Binary Tree;")</f>
        <v>String;Backtracking;Tree;Depth-First Search;Binary Tree;</v>
      </c>
      <c r="M258" s="20" t="b">
        <f>IFERROR(__xludf.DUMMYFUNCTION("""COMPUTED_VALUE"""),TRUE)</f>
        <v>1</v>
      </c>
      <c r="N258" s="20" t="b">
        <f>IFERROR(__xludf.DUMMYFUNCTION("""COMPUTED_VALUE"""),FALSE)</f>
        <v>0</v>
      </c>
      <c r="O258" s="20">
        <f>IFERROR(__xludf.DUMMYFUNCTION("""COMPUTED_VALUE"""),60.9017523912069)</f>
        <v>60.90175239</v>
      </c>
      <c r="P258" s="20">
        <f>IFERROR(__xludf.DUMMYFUNCTION("""COMPUTED_VALUE"""),585972.0)</f>
        <v>585972</v>
      </c>
      <c r="Q258" s="20">
        <f>IFERROR(__xludf.DUMMYFUNCTION("""COMPUTED_VALUE"""),962163.0)</f>
        <v>962163</v>
      </c>
    </row>
    <row r="259">
      <c r="A259" s="20">
        <f>IFERROR(__xludf.DUMMYFUNCTION("""COMPUTED_VALUE"""),258.0)</f>
        <v>258</v>
      </c>
      <c r="B259" s="20" t="str">
        <f>IFERROR(__xludf.DUMMYFUNCTION("""COMPUTED_VALUE"""),"Add Digits")</f>
        <v>Add Digits</v>
      </c>
      <c r="C259" s="20" t="str">
        <f>IFERROR(__xludf.DUMMYFUNCTION("""COMPUTED_VALUE"""),"add-digits")</f>
        <v>add-digits</v>
      </c>
      <c r="D259" s="20" t="b">
        <f>IFERROR(__xludf.DUMMYFUNCTION("""COMPUTED_VALUE"""),FALSE)</f>
        <v>0</v>
      </c>
      <c r="E259" s="20" t="str">
        <f>IFERROR(__xludf.DUMMYFUNCTION("""COMPUTED_VALUE"""),"Easy")</f>
        <v>Easy</v>
      </c>
      <c r="F259" s="20">
        <f>IFERROR(__xludf.DUMMYFUNCTION("""COMPUTED_VALUE"""),3000.0)</f>
        <v>3000</v>
      </c>
      <c r="G259" s="20">
        <f>IFERROR(__xludf.DUMMYFUNCTION("""COMPUTED_VALUE"""),1729.0)</f>
        <v>1729</v>
      </c>
      <c r="H259" s="20" t="str">
        <f>IFERROR(__xludf.DUMMYFUNCTION("""COMPUTED_VALUE"""),"Algorithms")</f>
        <v>Algorithms</v>
      </c>
      <c r="I259" s="20">
        <f>IFERROR(__xludf.DUMMYFUNCTION("""COMPUTED_VALUE"""),0.636)</f>
        <v>0.636</v>
      </c>
      <c r="J259" s="20">
        <f>IFERROR(__xludf.DUMMYFUNCTION("""COMPUTED_VALUE"""),258.0)</f>
        <v>258</v>
      </c>
      <c r="K259" s="20" t="b">
        <f>IFERROR(__xludf.DUMMYFUNCTION("""COMPUTED_VALUE"""),FALSE)</f>
        <v>0</v>
      </c>
      <c r="L259" s="20" t="str">
        <f>IFERROR(__xludf.DUMMYFUNCTION("""COMPUTED_VALUE"""),"Math;Simulation;Number Theory;")</f>
        <v>Math;Simulation;Number Theory;</v>
      </c>
      <c r="M259" s="20" t="b">
        <f>IFERROR(__xludf.DUMMYFUNCTION("""COMPUTED_VALUE"""),TRUE)</f>
        <v>1</v>
      </c>
      <c r="N259" s="20" t="b">
        <f>IFERROR(__xludf.DUMMYFUNCTION("""COMPUTED_VALUE"""),FALSE)</f>
        <v>0</v>
      </c>
      <c r="O259" s="20">
        <f>IFERROR(__xludf.DUMMYFUNCTION("""COMPUTED_VALUE"""),63.6343831844091)</f>
        <v>63.63438318</v>
      </c>
      <c r="P259" s="20">
        <f>IFERROR(__xludf.DUMMYFUNCTION("""COMPUTED_VALUE"""),528701.0)</f>
        <v>528701</v>
      </c>
      <c r="Q259" s="20">
        <f>IFERROR(__xludf.DUMMYFUNCTION("""COMPUTED_VALUE"""),830840.0)</f>
        <v>830840</v>
      </c>
    </row>
    <row r="260">
      <c r="A260" s="20">
        <f>IFERROR(__xludf.DUMMYFUNCTION("""COMPUTED_VALUE"""),259.0)</f>
        <v>259</v>
      </c>
      <c r="B260" s="20" t="str">
        <f>IFERROR(__xludf.DUMMYFUNCTION("""COMPUTED_VALUE"""),"3Sum Smaller")</f>
        <v>3Sum Smaller</v>
      </c>
      <c r="C260" s="20" t="str">
        <f>IFERROR(__xludf.DUMMYFUNCTION("""COMPUTED_VALUE"""),"3sum-smaller")</f>
        <v>3sum-smaller</v>
      </c>
      <c r="D260" s="20" t="b">
        <f>IFERROR(__xludf.DUMMYFUNCTION("""COMPUTED_VALUE"""),TRUE)</f>
        <v>1</v>
      </c>
      <c r="E260" s="20" t="str">
        <f>IFERROR(__xludf.DUMMYFUNCTION("""COMPUTED_VALUE"""),"Medium")</f>
        <v>Medium</v>
      </c>
      <c r="F260" s="20">
        <f>IFERROR(__xludf.DUMMYFUNCTION("""COMPUTED_VALUE"""),1396.0)</f>
        <v>1396</v>
      </c>
      <c r="G260" s="20">
        <f>IFERROR(__xludf.DUMMYFUNCTION("""COMPUTED_VALUE"""),130.0)</f>
        <v>130</v>
      </c>
      <c r="H260" s="20" t="str">
        <f>IFERROR(__xludf.DUMMYFUNCTION("""COMPUTED_VALUE"""),"Algorithms")</f>
        <v>Algorithms</v>
      </c>
      <c r="I260" s="20">
        <f>IFERROR(__xludf.DUMMYFUNCTION("""COMPUTED_VALUE"""),0.507)</f>
        <v>0.507</v>
      </c>
      <c r="J260" s="20">
        <f>IFERROR(__xludf.DUMMYFUNCTION("""COMPUTED_VALUE"""),259.0)</f>
        <v>259</v>
      </c>
      <c r="K260" s="20" t="b">
        <f>IFERROR(__xludf.DUMMYFUNCTION("""COMPUTED_VALUE"""),TRUE)</f>
        <v>1</v>
      </c>
      <c r="L260" s="20" t="str">
        <f>IFERROR(__xludf.DUMMYFUNCTION("""COMPUTED_VALUE"""),"Array;Two Pointers;Binary Search;Sorting;")</f>
        <v>Array;Two Pointers;Binary Search;Sorting;</v>
      </c>
      <c r="M260" s="20" t="b">
        <f>IFERROR(__xludf.DUMMYFUNCTION("""COMPUTED_VALUE"""),TRUE)</f>
        <v>1</v>
      </c>
      <c r="N260" s="20" t="b">
        <f>IFERROR(__xludf.DUMMYFUNCTION("""COMPUTED_VALUE"""),FALSE)</f>
        <v>0</v>
      </c>
      <c r="O260" s="20">
        <f>IFERROR(__xludf.DUMMYFUNCTION("""COMPUTED_VALUE"""),50.6828592817274)</f>
        <v>50.68285928</v>
      </c>
      <c r="P260" s="20">
        <f>IFERROR(__xludf.DUMMYFUNCTION("""COMPUTED_VALUE"""),130667.0)</f>
        <v>130667</v>
      </c>
      <c r="Q260" s="20">
        <f>IFERROR(__xludf.DUMMYFUNCTION("""COMPUTED_VALUE"""),257813.0)</f>
        <v>257813</v>
      </c>
    </row>
    <row r="261">
      <c r="A261" s="20">
        <f>IFERROR(__xludf.DUMMYFUNCTION("""COMPUTED_VALUE"""),260.0)</f>
        <v>260</v>
      </c>
      <c r="B261" s="20" t="str">
        <f>IFERROR(__xludf.DUMMYFUNCTION("""COMPUTED_VALUE"""),"Single Number III")</f>
        <v>Single Number III</v>
      </c>
      <c r="C261" s="20" t="str">
        <f>IFERROR(__xludf.DUMMYFUNCTION("""COMPUTED_VALUE"""),"single-number-iii")</f>
        <v>single-number-iii</v>
      </c>
      <c r="D261" s="20" t="b">
        <f>IFERROR(__xludf.DUMMYFUNCTION("""COMPUTED_VALUE"""),FALSE)</f>
        <v>0</v>
      </c>
      <c r="E261" s="20" t="str">
        <f>IFERROR(__xludf.DUMMYFUNCTION("""COMPUTED_VALUE"""),"Medium")</f>
        <v>Medium</v>
      </c>
      <c r="F261" s="20">
        <f>IFERROR(__xludf.DUMMYFUNCTION("""COMPUTED_VALUE"""),4603.0)</f>
        <v>4603</v>
      </c>
      <c r="G261" s="20">
        <f>IFERROR(__xludf.DUMMYFUNCTION("""COMPUTED_VALUE"""),204.0)</f>
        <v>204</v>
      </c>
      <c r="H261" s="20" t="str">
        <f>IFERROR(__xludf.DUMMYFUNCTION("""COMPUTED_VALUE"""),"Algorithms")</f>
        <v>Algorithms</v>
      </c>
      <c r="I261" s="20">
        <f>IFERROR(__xludf.DUMMYFUNCTION("""COMPUTED_VALUE"""),0.675)</f>
        <v>0.675</v>
      </c>
      <c r="J261" s="20">
        <f>IFERROR(__xludf.DUMMYFUNCTION("""COMPUTED_VALUE"""),260.0)</f>
        <v>260</v>
      </c>
      <c r="K261" s="20" t="b">
        <f>IFERROR(__xludf.DUMMYFUNCTION("""COMPUTED_VALUE"""),FALSE)</f>
        <v>0</v>
      </c>
      <c r="L261" s="20" t="str">
        <f>IFERROR(__xludf.DUMMYFUNCTION("""COMPUTED_VALUE"""),"Array;Bit Manipulation;")</f>
        <v>Array;Bit Manipulation;</v>
      </c>
      <c r="M261" s="20" t="b">
        <f>IFERROR(__xludf.DUMMYFUNCTION("""COMPUTED_VALUE"""),TRUE)</f>
        <v>1</v>
      </c>
      <c r="N261" s="20" t="b">
        <f>IFERROR(__xludf.DUMMYFUNCTION("""COMPUTED_VALUE"""),FALSE)</f>
        <v>0</v>
      </c>
      <c r="O261" s="20">
        <f>IFERROR(__xludf.DUMMYFUNCTION("""COMPUTED_VALUE"""),67.5265220300105)</f>
        <v>67.52652203</v>
      </c>
      <c r="P261" s="20">
        <f>IFERROR(__xludf.DUMMYFUNCTION("""COMPUTED_VALUE"""),282611.0)</f>
        <v>282611</v>
      </c>
      <c r="Q261" s="20">
        <f>IFERROR(__xludf.DUMMYFUNCTION("""COMPUTED_VALUE"""),418519.0)</f>
        <v>418519</v>
      </c>
    </row>
    <row r="262">
      <c r="A262" s="20">
        <f>IFERROR(__xludf.DUMMYFUNCTION("""COMPUTED_VALUE"""),261.0)</f>
        <v>261</v>
      </c>
      <c r="B262" s="20" t="str">
        <f>IFERROR(__xludf.DUMMYFUNCTION("""COMPUTED_VALUE"""),"Graph Valid Tree")</f>
        <v>Graph Valid Tree</v>
      </c>
      <c r="C262" s="20" t="str">
        <f>IFERROR(__xludf.DUMMYFUNCTION("""COMPUTED_VALUE"""),"graph-valid-tree")</f>
        <v>graph-valid-tree</v>
      </c>
      <c r="D262" s="20" t="b">
        <f>IFERROR(__xludf.DUMMYFUNCTION("""COMPUTED_VALUE"""),TRUE)</f>
        <v>1</v>
      </c>
      <c r="E262" s="20" t="str">
        <f>IFERROR(__xludf.DUMMYFUNCTION("""COMPUTED_VALUE"""),"Medium")</f>
        <v>Medium</v>
      </c>
      <c r="F262" s="20">
        <f>IFERROR(__xludf.DUMMYFUNCTION("""COMPUTED_VALUE"""),2890.0)</f>
        <v>2890</v>
      </c>
      <c r="G262" s="20">
        <f>IFERROR(__xludf.DUMMYFUNCTION("""COMPUTED_VALUE"""),79.0)</f>
        <v>79</v>
      </c>
      <c r="H262" s="20" t="str">
        <f>IFERROR(__xludf.DUMMYFUNCTION("""COMPUTED_VALUE"""),"Algorithms")</f>
        <v>Algorithms</v>
      </c>
      <c r="I262" s="20">
        <f>IFERROR(__xludf.DUMMYFUNCTION("""COMPUTED_VALUE"""),0.47)</f>
        <v>0.47</v>
      </c>
      <c r="J262" s="20">
        <f>IFERROR(__xludf.DUMMYFUNCTION("""COMPUTED_VALUE"""),261.0)</f>
        <v>261</v>
      </c>
      <c r="K262" s="20" t="b">
        <f>IFERROR(__xludf.DUMMYFUNCTION("""COMPUTED_VALUE"""),TRUE)</f>
        <v>1</v>
      </c>
      <c r="L262" s="20" t="str">
        <f>IFERROR(__xludf.DUMMYFUNCTION("""COMPUTED_VALUE"""),"Depth-First Search;Breadth-First Search;Union Find;Graph;")</f>
        <v>Depth-First Search;Breadth-First Search;Union Find;Graph;</v>
      </c>
      <c r="M262" s="20" t="b">
        <f>IFERROR(__xludf.DUMMYFUNCTION("""COMPUTED_VALUE"""),TRUE)</f>
        <v>1</v>
      </c>
      <c r="N262" s="20" t="b">
        <f>IFERROR(__xludf.DUMMYFUNCTION("""COMPUTED_VALUE"""),FALSE)</f>
        <v>0</v>
      </c>
      <c r="O262" s="20">
        <f>IFERROR(__xludf.DUMMYFUNCTION("""COMPUTED_VALUE"""),46.9610273830923)</f>
        <v>46.96102738</v>
      </c>
      <c r="P262" s="20">
        <f>IFERROR(__xludf.DUMMYFUNCTION("""COMPUTED_VALUE"""),322377.0)</f>
        <v>322377</v>
      </c>
      <c r="Q262" s="20">
        <f>IFERROR(__xludf.DUMMYFUNCTION("""COMPUTED_VALUE"""),686480.0)</f>
        <v>686480</v>
      </c>
    </row>
    <row r="263">
      <c r="A263" s="20">
        <f>IFERROR(__xludf.DUMMYFUNCTION("""COMPUTED_VALUE"""),262.0)</f>
        <v>262</v>
      </c>
      <c r="B263" s="20" t="str">
        <f>IFERROR(__xludf.DUMMYFUNCTION("""COMPUTED_VALUE"""),"Trips and Users")</f>
        <v>Trips and Users</v>
      </c>
      <c r="C263" s="20" t="str">
        <f>IFERROR(__xludf.DUMMYFUNCTION("""COMPUTED_VALUE"""),"trips-and-users")</f>
        <v>trips-and-users</v>
      </c>
      <c r="D263" s="20" t="b">
        <f>IFERROR(__xludf.DUMMYFUNCTION("""COMPUTED_VALUE"""),FALSE)</f>
        <v>0</v>
      </c>
      <c r="E263" s="20" t="str">
        <f>IFERROR(__xludf.DUMMYFUNCTION("""COMPUTED_VALUE"""),"Hard")</f>
        <v>Hard</v>
      </c>
      <c r="F263" s="20">
        <f>IFERROR(__xludf.DUMMYFUNCTION("""COMPUTED_VALUE"""),944.0)</f>
        <v>944</v>
      </c>
      <c r="G263" s="20">
        <f>IFERROR(__xludf.DUMMYFUNCTION("""COMPUTED_VALUE"""),552.0)</f>
        <v>552</v>
      </c>
      <c r="H263" s="20" t="str">
        <f>IFERROR(__xludf.DUMMYFUNCTION("""COMPUTED_VALUE"""),"Database")</f>
        <v>Database</v>
      </c>
      <c r="I263" s="20">
        <f>IFERROR(__xludf.DUMMYFUNCTION("""COMPUTED_VALUE"""),0.381)</f>
        <v>0.381</v>
      </c>
      <c r="J263" s="20">
        <f>IFERROR(__xludf.DUMMYFUNCTION("""COMPUTED_VALUE"""),262.0)</f>
        <v>262</v>
      </c>
      <c r="K263" s="20" t="b">
        <f>IFERROR(__xludf.DUMMYFUNCTION("""COMPUTED_VALUE"""),FALSE)</f>
        <v>0</v>
      </c>
      <c r="L263" s="20" t="str">
        <f>IFERROR(__xludf.DUMMYFUNCTION("""COMPUTED_VALUE"""),"Database;")</f>
        <v>Database;</v>
      </c>
      <c r="M263" s="20" t="b">
        <f>IFERROR(__xludf.DUMMYFUNCTION("""COMPUTED_VALUE"""),FALSE)</f>
        <v>0</v>
      </c>
      <c r="N263" s="20" t="b">
        <f>IFERROR(__xludf.DUMMYFUNCTION("""COMPUTED_VALUE"""),FALSE)</f>
        <v>0</v>
      </c>
      <c r="O263" s="20">
        <f>IFERROR(__xludf.DUMMYFUNCTION("""COMPUTED_VALUE"""),38.1447418796826)</f>
        <v>38.14474188</v>
      </c>
      <c r="P263" s="20">
        <f>IFERROR(__xludf.DUMMYFUNCTION("""COMPUTED_VALUE"""),136492.0)</f>
        <v>136492</v>
      </c>
      <c r="Q263" s="20">
        <f>IFERROR(__xludf.DUMMYFUNCTION("""COMPUTED_VALUE"""),357833.0)</f>
        <v>357833</v>
      </c>
    </row>
    <row r="264">
      <c r="A264" s="20">
        <f>IFERROR(__xludf.DUMMYFUNCTION("""COMPUTED_VALUE"""),263.0)</f>
        <v>263</v>
      </c>
      <c r="B264" s="20" t="str">
        <f>IFERROR(__xludf.DUMMYFUNCTION("""COMPUTED_VALUE"""),"Ugly Number")</f>
        <v>Ugly Number</v>
      </c>
      <c r="C264" s="20" t="str">
        <f>IFERROR(__xludf.DUMMYFUNCTION("""COMPUTED_VALUE"""),"ugly-number")</f>
        <v>ugly-number</v>
      </c>
      <c r="D264" s="20" t="b">
        <f>IFERROR(__xludf.DUMMYFUNCTION("""COMPUTED_VALUE"""),FALSE)</f>
        <v>0</v>
      </c>
      <c r="E264" s="20" t="str">
        <f>IFERROR(__xludf.DUMMYFUNCTION("""COMPUTED_VALUE"""),"Easy")</f>
        <v>Easy</v>
      </c>
      <c r="F264" s="20">
        <f>IFERROR(__xludf.DUMMYFUNCTION("""COMPUTED_VALUE"""),2593.0)</f>
        <v>2593</v>
      </c>
      <c r="G264" s="20">
        <f>IFERROR(__xludf.DUMMYFUNCTION("""COMPUTED_VALUE"""),1443.0)</f>
        <v>1443</v>
      </c>
      <c r="H264" s="20" t="str">
        <f>IFERROR(__xludf.DUMMYFUNCTION("""COMPUTED_VALUE"""),"Algorithms")</f>
        <v>Algorithms</v>
      </c>
      <c r="I264" s="20">
        <f>IFERROR(__xludf.DUMMYFUNCTION("""COMPUTED_VALUE"""),0.425)</f>
        <v>0.425</v>
      </c>
      <c r="J264" s="20">
        <f>IFERROR(__xludf.DUMMYFUNCTION("""COMPUTED_VALUE"""),263.0)</f>
        <v>263</v>
      </c>
      <c r="K264" s="20" t="b">
        <f>IFERROR(__xludf.DUMMYFUNCTION("""COMPUTED_VALUE"""),FALSE)</f>
        <v>0</v>
      </c>
      <c r="L264" s="20" t="str">
        <f>IFERROR(__xludf.DUMMYFUNCTION("""COMPUTED_VALUE"""),"Math;")</f>
        <v>Math;</v>
      </c>
      <c r="M264" s="20" t="b">
        <f>IFERROR(__xludf.DUMMYFUNCTION("""COMPUTED_VALUE"""),TRUE)</f>
        <v>1</v>
      </c>
      <c r="N264" s="20" t="b">
        <f>IFERROR(__xludf.DUMMYFUNCTION("""COMPUTED_VALUE"""),FALSE)</f>
        <v>0</v>
      </c>
      <c r="O264" s="20">
        <f>IFERROR(__xludf.DUMMYFUNCTION("""COMPUTED_VALUE"""),42.5001457146641)</f>
        <v>42.50014571</v>
      </c>
      <c r="P264" s="20">
        <f>IFERROR(__xludf.DUMMYFUNCTION("""COMPUTED_VALUE"""),401041.0)</f>
        <v>401041</v>
      </c>
      <c r="Q264" s="20">
        <f>IFERROR(__xludf.DUMMYFUNCTION("""COMPUTED_VALUE"""),943618.0)</f>
        <v>943618</v>
      </c>
    </row>
    <row r="265">
      <c r="A265" s="20">
        <f>IFERROR(__xludf.DUMMYFUNCTION("""COMPUTED_VALUE"""),264.0)</f>
        <v>264</v>
      </c>
      <c r="B265" s="20" t="str">
        <f>IFERROR(__xludf.DUMMYFUNCTION("""COMPUTED_VALUE"""),"Ugly Number II")</f>
        <v>Ugly Number II</v>
      </c>
      <c r="C265" s="20" t="str">
        <f>IFERROR(__xludf.DUMMYFUNCTION("""COMPUTED_VALUE"""),"ugly-number-ii")</f>
        <v>ugly-number-ii</v>
      </c>
      <c r="D265" s="20" t="b">
        <f>IFERROR(__xludf.DUMMYFUNCTION("""COMPUTED_VALUE"""),FALSE)</f>
        <v>0</v>
      </c>
      <c r="E265" s="20" t="str">
        <f>IFERROR(__xludf.DUMMYFUNCTION("""COMPUTED_VALUE"""),"Medium")</f>
        <v>Medium</v>
      </c>
      <c r="F265" s="20">
        <f>IFERROR(__xludf.DUMMYFUNCTION("""COMPUTED_VALUE"""),5025.0)</f>
        <v>5025</v>
      </c>
      <c r="G265" s="20">
        <f>IFERROR(__xludf.DUMMYFUNCTION("""COMPUTED_VALUE"""),247.0)</f>
        <v>247</v>
      </c>
      <c r="H265" s="20" t="str">
        <f>IFERROR(__xludf.DUMMYFUNCTION("""COMPUTED_VALUE"""),"Algorithms")</f>
        <v>Algorithms</v>
      </c>
      <c r="I265" s="20">
        <f>IFERROR(__xludf.DUMMYFUNCTION("""COMPUTED_VALUE"""),0.462)</f>
        <v>0.462</v>
      </c>
      <c r="J265" s="20">
        <f>IFERROR(__xludf.DUMMYFUNCTION("""COMPUTED_VALUE"""),264.0)</f>
        <v>264</v>
      </c>
      <c r="K265" s="20" t="b">
        <f>IFERROR(__xludf.DUMMYFUNCTION("""COMPUTED_VALUE"""),FALSE)</f>
        <v>0</v>
      </c>
      <c r="L265" s="20" t="str">
        <f>IFERROR(__xludf.DUMMYFUNCTION("""COMPUTED_VALUE"""),"Hash Table;Math;Dynamic Programming;Heap (Priority Queue);")</f>
        <v>Hash Table;Math;Dynamic Programming;Heap (Priority Queue);</v>
      </c>
      <c r="M265" s="20" t="b">
        <f>IFERROR(__xludf.DUMMYFUNCTION("""COMPUTED_VALUE"""),TRUE)</f>
        <v>1</v>
      </c>
      <c r="N265" s="20" t="b">
        <f>IFERROR(__xludf.DUMMYFUNCTION("""COMPUTED_VALUE"""),FALSE)</f>
        <v>0</v>
      </c>
      <c r="O265" s="20">
        <f>IFERROR(__xludf.DUMMYFUNCTION("""COMPUTED_VALUE"""),46.1762654130896)</f>
        <v>46.17626541</v>
      </c>
      <c r="P265" s="20">
        <f>IFERROR(__xludf.DUMMYFUNCTION("""COMPUTED_VALUE"""),293898.0)</f>
        <v>293898</v>
      </c>
      <c r="Q265" s="20">
        <f>IFERROR(__xludf.DUMMYFUNCTION("""COMPUTED_VALUE"""),636470.0)</f>
        <v>636470</v>
      </c>
    </row>
    <row r="266">
      <c r="A266" s="20">
        <f>IFERROR(__xludf.DUMMYFUNCTION("""COMPUTED_VALUE"""),265.0)</f>
        <v>265</v>
      </c>
      <c r="B266" s="20" t="str">
        <f>IFERROR(__xludf.DUMMYFUNCTION("""COMPUTED_VALUE"""),"Paint House II")</f>
        <v>Paint House II</v>
      </c>
      <c r="C266" s="20" t="str">
        <f>IFERROR(__xludf.DUMMYFUNCTION("""COMPUTED_VALUE"""),"paint-house-ii")</f>
        <v>paint-house-ii</v>
      </c>
      <c r="D266" s="20" t="b">
        <f>IFERROR(__xludf.DUMMYFUNCTION("""COMPUTED_VALUE"""),TRUE)</f>
        <v>1</v>
      </c>
      <c r="E266" s="20" t="str">
        <f>IFERROR(__xludf.DUMMYFUNCTION("""COMPUTED_VALUE"""),"Hard")</f>
        <v>Hard</v>
      </c>
      <c r="F266" s="20">
        <f>IFERROR(__xludf.DUMMYFUNCTION("""COMPUTED_VALUE"""),1128.0)</f>
        <v>1128</v>
      </c>
      <c r="G266" s="20">
        <f>IFERROR(__xludf.DUMMYFUNCTION("""COMPUTED_VALUE"""),33.0)</f>
        <v>33</v>
      </c>
      <c r="H266" s="20" t="str">
        <f>IFERROR(__xludf.DUMMYFUNCTION("""COMPUTED_VALUE"""),"Algorithms")</f>
        <v>Algorithms</v>
      </c>
      <c r="I266" s="20">
        <f>IFERROR(__xludf.DUMMYFUNCTION("""COMPUTED_VALUE"""),0.526)</f>
        <v>0.526</v>
      </c>
      <c r="J266" s="20">
        <f>IFERROR(__xludf.DUMMYFUNCTION("""COMPUTED_VALUE"""),265.0)</f>
        <v>265</v>
      </c>
      <c r="K266" s="20" t="b">
        <f>IFERROR(__xludf.DUMMYFUNCTION("""COMPUTED_VALUE"""),TRUE)</f>
        <v>1</v>
      </c>
      <c r="L266" s="20" t="str">
        <f>IFERROR(__xludf.DUMMYFUNCTION("""COMPUTED_VALUE"""),"Array;Dynamic Programming;")</f>
        <v>Array;Dynamic Programming;</v>
      </c>
      <c r="M266" s="20" t="b">
        <f>IFERROR(__xludf.DUMMYFUNCTION("""COMPUTED_VALUE"""),TRUE)</f>
        <v>1</v>
      </c>
      <c r="N266" s="20" t="b">
        <f>IFERROR(__xludf.DUMMYFUNCTION("""COMPUTED_VALUE"""),FALSE)</f>
        <v>0</v>
      </c>
      <c r="O266" s="20">
        <f>IFERROR(__xludf.DUMMYFUNCTION("""COMPUTED_VALUE"""),52.5933882088569)</f>
        <v>52.59338821</v>
      </c>
      <c r="P266" s="20">
        <f>IFERROR(__xludf.DUMMYFUNCTION("""COMPUTED_VALUE"""),106255.0)</f>
        <v>106255</v>
      </c>
      <c r="Q266" s="20">
        <f>IFERROR(__xludf.DUMMYFUNCTION("""COMPUTED_VALUE"""),202032.0)</f>
        <v>202032</v>
      </c>
    </row>
    <row r="267">
      <c r="A267" s="20">
        <f>IFERROR(__xludf.DUMMYFUNCTION("""COMPUTED_VALUE"""),266.0)</f>
        <v>266</v>
      </c>
      <c r="B267" s="20" t="str">
        <f>IFERROR(__xludf.DUMMYFUNCTION("""COMPUTED_VALUE"""),"Palindrome Permutation")</f>
        <v>Palindrome Permutation</v>
      </c>
      <c r="C267" s="20" t="str">
        <f>IFERROR(__xludf.DUMMYFUNCTION("""COMPUTED_VALUE"""),"palindrome-permutation")</f>
        <v>palindrome-permutation</v>
      </c>
      <c r="D267" s="20" t="b">
        <f>IFERROR(__xludf.DUMMYFUNCTION("""COMPUTED_VALUE"""),TRUE)</f>
        <v>1</v>
      </c>
      <c r="E267" s="20" t="str">
        <f>IFERROR(__xludf.DUMMYFUNCTION("""COMPUTED_VALUE"""),"Easy")</f>
        <v>Easy</v>
      </c>
      <c r="F267" s="20">
        <f>IFERROR(__xludf.DUMMYFUNCTION("""COMPUTED_VALUE"""),945.0)</f>
        <v>945</v>
      </c>
      <c r="G267" s="20">
        <f>IFERROR(__xludf.DUMMYFUNCTION("""COMPUTED_VALUE"""),67.0)</f>
        <v>67</v>
      </c>
      <c r="H267" s="20" t="str">
        <f>IFERROR(__xludf.DUMMYFUNCTION("""COMPUTED_VALUE"""),"Algorithms")</f>
        <v>Algorithms</v>
      </c>
      <c r="I267" s="20">
        <f>IFERROR(__xludf.DUMMYFUNCTION("""COMPUTED_VALUE"""),0.659)</f>
        <v>0.659</v>
      </c>
      <c r="J267" s="20">
        <f>IFERROR(__xludf.DUMMYFUNCTION("""COMPUTED_VALUE"""),266.0)</f>
        <v>266</v>
      </c>
      <c r="K267" s="20" t="b">
        <f>IFERROR(__xludf.DUMMYFUNCTION("""COMPUTED_VALUE"""),TRUE)</f>
        <v>1</v>
      </c>
      <c r="L267" s="20" t="str">
        <f>IFERROR(__xludf.DUMMYFUNCTION("""COMPUTED_VALUE"""),"Hash Table;String;Bit Manipulation;")</f>
        <v>Hash Table;String;Bit Manipulation;</v>
      </c>
      <c r="M267" s="20" t="b">
        <f>IFERROR(__xludf.DUMMYFUNCTION("""COMPUTED_VALUE"""),TRUE)</f>
        <v>1</v>
      </c>
      <c r="N267" s="20" t="b">
        <f>IFERROR(__xludf.DUMMYFUNCTION("""COMPUTED_VALUE"""),FALSE)</f>
        <v>0</v>
      </c>
      <c r="O267" s="20">
        <f>IFERROR(__xludf.DUMMYFUNCTION("""COMPUTED_VALUE"""),65.9230832222859)</f>
        <v>65.92308322</v>
      </c>
      <c r="P267" s="20">
        <f>IFERROR(__xludf.DUMMYFUNCTION("""COMPUTED_VALUE"""),177103.0)</f>
        <v>177103</v>
      </c>
      <c r="Q267" s="20">
        <f>IFERROR(__xludf.DUMMYFUNCTION("""COMPUTED_VALUE"""),268649.0)</f>
        <v>268649</v>
      </c>
    </row>
    <row r="268">
      <c r="A268" s="20">
        <f>IFERROR(__xludf.DUMMYFUNCTION("""COMPUTED_VALUE"""),267.0)</f>
        <v>267</v>
      </c>
      <c r="B268" s="20" t="str">
        <f>IFERROR(__xludf.DUMMYFUNCTION("""COMPUTED_VALUE"""),"Palindrome Permutation II")</f>
        <v>Palindrome Permutation II</v>
      </c>
      <c r="C268" s="20" t="str">
        <f>IFERROR(__xludf.DUMMYFUNCTION("""COMPUTED_VALUE"""),"palindrome-permutation-ii")</f>
        <v>palindrome-permutation-ii</v>
      </c>
      <c r="D268" s="20" t="b">
        <f>IFERROR(__xludf.DUMMYFUNCTION("""COMPUTED_VALUE"""),TRUE)</f>
        <v>1</v>
      </c>
      <c r="E268" s="20" t="str">
        <f>IFERROR(__xludf.DUMMYFUNCTION("""COMPUTED_VALUE"""),"Medium")</f>
        <v>Medium</v>
      </c>
      <c r="F268" s="20">
        <f>IFERROR(__xludf.DUMMYFUNCTION("""COMPUTED_VALUE"""),792.0)</f>
        <v>792</v>
      </c>
      <c r="G268" s="20">
        <f>IFERROR(__xludf.DUMMYFUNCTION("""COMPUTED_VALUE"""),90.0)</f>
        <v>90</v>
      </c>
      <c r="H268" s="20" t="str">
        <f>IFERROR(__xludf.DUMMYFUNCTION("""COMPUTED_VALUE"""),"Algorithms")</f>
        <v>Algorithms</v>
      </c>
      <c r="I268" s="20">
        <f>IFERROR(__xludf.DUMMYFUNCTION("""COMPUTED_VALUE"""),0.406)</f>
        <v>0.406</v>
      </c>
      <c r="J268" s="20">
        <f>IFERROR(__xludf.DUMMYFUNCTION("""COMPUTED_VALUE"""),267.0)</f>
        <v>267</v>
      </c>
      <c r="K268" s="20" t="b">
        <f>IFERROR(__xludf.DUMMYFUNCTION("""COMPUTED_VALUE"""),TRUE)</f>
        <v>1</v>
      </c>
      <c r="L268" s="20" t="str">
        <f>IFERROR(__xludf.DUMMYFUNCTION("""COMPUTED_VALUE"""),"Hash Table;String;Backtracking;")</f>
        <v>Hash Table;String;Backtracking;</v>
      </c>
      <c r="M268" s="20" t="b">
        <f>IFERROR(__xludf.DUMMYFUNCTION("""COMPUTED_VALUE"""),TRUE)</f>
        <v>1</v>
      </c>
      <c r="N268" s="20" t="b">
        <f>IFERROR(__xludf.DUMMYFUNCTION("""COMPUTED_VALUE"""),FALSE)</f>
        <v>0</v>
      </c>
      <c r="O268" s="20">
        <f>IFERROR(__xludf.DUMMYFUNCTION("""COMPUTED_VALUE"""),40.5978555917481)</f>
        <v>40.59785559</v>
      </c>
      <c r="P268" s="20">
        <f>IFERROR(__xludf.DUMMYFUNCTION("""COMPUTED_VALUE"""),59825.0)</f>
        <v>59825</v>
      </c>
      <c r="Q268" s="20">
        <f>IFERROR(__xludf.DUMMYFUNCTION("""COMPUTED_VALUE"""),147360.0)</f>
        <v>147360</v>
      </c>
    </row>
    <row r="269">
      <c r="A269" s="20">
        <f>IFERROR(__xludf.DUMMYFUNCTION("""COMPUTED_VALUE"""),268.0)</f>
        <v>268</v>
      </c>
      <c r="B269" s="20" t="str">
        <f>IFERROR(__xludf.DUMMYFUNCTION("""COMPUTED_VALUE"""),"Missing Number")</f>
        <v>Missing Number</v>
      </c>
      <c r="C269" s="20" t="str">
        <f>IFERROR(__xludf.DUMMYFUNCTION("""COMPUTED_VALUE"""),"missing-number")</f>
        <v>missing-number</v>
      </c>
      <c r="D269" s="20" t="b">
        <f>IFERROR(__xludf.DUMMYFUNCTION("""COMPUTED_VALUE"""),FALSE)</f>
        <v>0</v>
      </c>
      <c r="E269" s="20" t="str">
        <f>IFERROR(__xludf.DUMMYFUNCTION("""COMPUTED_VALUE"""),"Easy")</f>
        <v>Easy</v>
      </c>
      <c r="F269" s="20">
        <f>IFERROR(__xludf.DUMMYFUNCTION("""COMPUTED_VALUE"""),8324.0)</f>
        <v>8324</v>
      </c>
      <c r="G269" s="20">
        <f>IFERROR(__xludf.DUMMYFUNCTION("""COMPUTED_VALUE"""),3023.0)</f>
        <v>3023</v>
      </c>
      <c r="H269" s="20" t="str">
        <f>IFERROR(__xludf.DUMMYFUNCTION("""COMPUTED_VALUE"""),"Algorithms")</f>
        <v>Algorithms</v>
      </c>
      <c r="I269" s="20">
        <f>IFERROR(__xludf.DUMMYFUNCTION("""COMPUTED_VALUE"""),0.619)</f>
        <v>0.619</v>
      </c>
      <c r="J269" s="20">
        <f>IFERROR(__xludf.DUMMYFUNCTION("""COMPUTED_VALUE"""),268.0)</f>
        <v>268</v>
      </c>
      <c r="K269" s="20" t="b">
        <f>IFERROR(__xludf.DUMMYFUNCTION("""COMPUTED_VALUE"""),FALSE)</f>
        <v>0</v>
      </c>
      <c r="L269" s="20" t="str">
        <f>IFERROR(__xludf.DUMMYFUNCTION("""COMPUTED_VALUE"""),"Array;Hash Table;Math;Binary Search;Bit Manipulation;Sorting;")</f>
        <v>Array;Hash Table;Math;Binary Search;Bit Manipulation;Sorting;</v>
      </c>
      <c r="M269" s="20" t="b">
        <f>IFERROR(__xludf.DUMMYFUNCTION("""COMPUTED_VALUE"""),TRUE)</f>
        <v>1</v>
      </c>
      <c r="N269" s="20" t="b">
        <f>IFERROR(__xludf.DUMMYFUNCTION("""COMPUTED_VALUE"""),TRUE)</f>
        <v>1</v>
      </c>
      <c r="O269" s="20">
        <f>IFERROR(__xludf.DUMMYFUNCTION("""COMPUTED_VALUE"""),61.9319837529031)</f>
        <v>61.93198375</v>
      </c>
      <c r="P269" s="20">
        <f>IFERROR(__xludf.DUMMYFUNCTION("""COMPUTED_VALUE"""),1349547.0)</f>
        <v>1349547</v>
      </c>
      <c r="Q269" s="20">
        <f>IFERROR(__xludf.DUMMYFUNCTION("""COMPUTED_VALUE"""),2179086.0)</f>
        <v>2179086</v>
      </c>
    </row>
    <row r="270">
      <c r="A270" s="20">
        <f>IFERROR(__xludf.DUMMYFUNCTION("""COMPUTED_VALUE"""),269.0)</f>
        <v>269</v>
      </c>
      <c r="B270" s="20" t="str">
        <f>IFERROR(__xludf.DUMMYFUNCTION("""COMPUTED_VALUE"""),"Alien Dictionary")</f>
        <v>Alien Dictionary</v>
      </c>
      <c r="C270" s="20" t="str">
        <f>IFERROR(__xludf.DUMMYFUNCTION("""COMPUTED_VALUE"""),"alien-dictionary")</f>
        <v>alien-dictionary</v>
      </c>
      <c r="D270" s="20" t="b">
        <f>IFERROR(__xludf.DUMMYFUNCTION("""COMPUTED_VALUE"""),TRUE)</f>
        <v>1</v>
      </c>
      <c r="E270" s="20" t="str">
        <f>IFERROR(__xludf.DUMMYFUNCTION("""COMPUTED_VALUE"""),"Hard")</f>
        <v>Hard</v>
      </c>
      <c r="F270" s="20">
        <f>IFERROR(__xludf.DUMMYFUNCTION("""COMPUTED_VALUE"""),4015.0)</f>
        <v>4015</v>
      </c>
      <c r="G270" s="20">
        <f>IFERROR(__xludf.DUMMYFUNCTION("""COMPUTED_VALUE"""),848.0)</f>
        <v>848</v>
      </c>
      <c r="H270" s="20" t="str">
        <f>IFERROR(__xludf.DUMMYFUNCTION("""COMPUTED_VALUE"""),"Algorithms")</f>
        <v>Algorithms</v>
      </c>
      <c r="I270" s="20">
        <f>IFERROR(__xludf.DUMMYFUNCTION("""COMPUTED_VALUE"""),0.353)</f>
        <v>0.353</v>
      </c>
      <c r="J270" s="20">
        <f>IFERROR(__xludf.DUMMYFUNCTION("""COMPUTED_VALUE"""),269.0)</f>
        <v>269</v>
      </c>
      <c r="K270" s="20" t="b">
        <f>IFERROR(__xludf.DUMMYFUNCTION("""COMPUTED_VALUE"""),TRUE)</f>
        <v>1</v>
      </c>
      <c r="L270" s="20" t="str">
        <f>IFERROR(__xludf.DUMMYFUNCTION("""COMPUTED_VALUE"""),"Array;String;Depth-First Search;Breadth-First Search;Graph;Topological Sort;")</f>
        <v>Array;String;Depth-First Search;Breadth-First Search;Graph;Topological Sort;</v>
      </c>
      <c r="M270" s="20" t="b">
        <f>IFERROR(__xludf.DUMMYFUNCTION("""COMPUTED_VALUE"""),TRUE)</f>
        <v>1</v>
      </c>
      <c r="N270" s="20" t="b">
        <f>IFERROR(__xludf.DUMMYFUNCTION("""COMPUTED_VALUE"""),FALSE)</f>
        <v>0</v>
      </c>
      <c r="O270" s="20">
        <f>IFERROR(__xludf.DUMMYFUNCTION("""COMPUTED_VALUE"""),35.3040214779294)</f>
        <v>35.30402148</v>
      </c>
      <c r="P270" s="20">
        <f>IFERROR(__xludf.DUMMYFUNCTION("""COMPUTED_VALUE"""),325854.0)</f>
        <v>325854</v>
      </c>
      <c r="Q270" s="20">
        <f>IFERROR(__xludf.DUMMYFUNCTION("""COMPUTED_VALUE"""),922994.0)</f>
        <v>922994</v>
      </c>
    </row>
    <row r="271">
      <c r="A271" s="20">
        <f>IFERROR(__xludf.DUMMYFUNCTION("""COMPUTED_VALUE"""),270.0)</f>
        <v>270</v>
      </c>
      <c r="B271" s="20" t="str">
        <f>IFERROR(__xludf.DUMMYFUNCTION("""COMPUTED_VALUE"""),"Closest Binary Search Tree Value")</f>
        <v>Closest Binary Search Tree Value</v>
      </c>
      <c r="C271" s="20" t="str">
        <f>IFERROR(__xludf.DUMMYFUNCTION("""COMPUTED_VALUE"""),"closest-binary-search-tree-value")</f>
        <v>closest-binary-search-tree-value</v>
      </c>
      <c r="D271" s="20" t="b">
        <f>IFERROR(__xludf.DUMMYFUNCTION("""COMPUTED_VALUE"""),TRUE)</f>
        <v>1</v>
      </c>
      <c r="E271" s="20" t="str">
        <f>IFERROR(__xludf.DUMMYFUNCTION("""COMPUTED_VALUE"""),"Easy")</f>
        <v>Easy</v>
      </c>
      <c r="F271" s="20">
        <f>IFERROR(__xludf.DUMMYFUNCTION("""COMPUTED_VALUE"""),1600.0)</f>
        <v>1600</v>
      </c>
      <c r="G271" s="20">
        <f>IFERROR(__xludf.DUMMYFUNCTION("""COMPUTED_VALUE"""),91.0)</f>
        <v>91</v>
      </c>
      <c r="H271" s="20" t="str">
        <f>IFERROR(__xludf.DUMMYFUNCTION("""COMPUTED_VALUE"""),"Algorithms")</f>
        <v>Algorithms</v>
      </c>
      <c r="I271" s="20">
        <f>IFERROR(__xludf.DUMMYFUNCTION("""COMPUTED_VALUE"""),0.547)</f>
        <v>0.547</v>
      </c>
      <c r="J271" s="20">
        <f>IFERROR(__xludf.DUMMYFUNCTION("""COMPUTED_VALUE"""),270.0)</f>
        <v>270</v>
      </c>
      <c r="K271" s="20" t="b">
        <f>IFERROR(__xludf.DUMMYFUNCTION("""COMPUTED_VALUE"""),TRUE)</f>
        <v>1</v>
      </c>
      <c r="L271" s="20" t="str">
        <f>IFERROR(__xludf.DUMMYFUNCTION("""COMPUTED_VALUE"""),"Binary Search;Tree;Depth-First Search;Binary Search Tree;Binary Tree;")</f>
        <v>Binary Search;Tree;Depth-First Search;Binary Search Tree;Binary Tree;</v>
      </c>
      <c r="M271" s="20" t="b">
        <f>IFERROR(__xludf.DUMMYFUNCTION("""COMPUTED_VALUE"""),TRUE)</f>
        <v>1</v>
      </c>
      <c r="N271" s="20" t="b">
        <f>IFERROR(__xludf.DUMMYFUNCTION("""COMPUTED_VALUE"""),FALSE)</f>
        <v>0</v>
      </c>
      <c r="O271" s="20">
        <f>IFERROR(__xludf.DUMMYFUNCTION("""COMPUTED_VALUE"""),54.6684725095951)</f>
        <v>54.66847251</v>
      </c>
      <c r="P271" s="20">
        <f>IFERROR(__xludf.DUMMYFUNCTION("""COMPUTED_VALUE"""),276894.0)</f>
        <v>276894</v>
      </c>
      <c r="Q271" s="20">
        <f>IFERROR(__xludf.DUMMYFUNCTION("""COMPUTED_VALUE"""),506495.0)</f>
        <v>506495</v>
      </c>
    </row>
    <row r="272">
      <c r="A272" s="20">
        <f>IFERROR(__xludf.DUMMYFUNCTION("""COMPUTED_VALUE"""),271.0)</f>
        <v>271</v>
      </c>
      <c r="B272" s="20" t="str">
        <f>IFERROR(__xludf.DUMMYFUNCTION("""COMPUTED_VALUE"""),"Encode and Decode Strings")</f>
        <v>Encode and Decode Strings</v>
      </c>
      <c r="C272" s="20" t="str">
        <f>IFERROR(__xludf.DUMMYFUNCTION("""COMPUTED_VALUE"""),"encode-and-decode-strings")</f>
        <v>encode-and-decode-strings</v>
      </c>
      <c r="D272" s="20" t="b">
        <f>IFERROR(__xludf.DUMMYFUNCTION("""COMPUTED_VALUE"""),TRUE)</f>
        <v>1</v>
      </c>
      <c r="E272" s="20" t="str">
        <f>IFERROR(__xludf.DUMMYFUNCTION("""COMPUTED_VALUE"""),"Medium")</f>
        <v>Medium</v>
      </c>
      <c r="F272" s="20">
        <f>IFERROR(__xludf.DUMMYFUNCTION("""COMPUTED_VALUE"""),1099.0)</f>
        <v>1099</v>
      </c>
      <c r="G272" s="20">
        <f>IFERROR(__xludf.DUMMYFUNCTION("""COMPUTED_VALUE"""),307.0)</f>
        <v>307</v>
      </c>
      <c r="H272" s="20" t="str">
        <f>IFERROR(__xludf.DUMMYFUNCTION("""COMPUTED_VALUE"""),"Algorithms")</f>
        <v>Algorithms</v>
      </c>
      <c r="I272" s="20">
        <f>IFERROR(__xludf.DUMMYFUNCTION("""COMPUTED_VALUE"""),0.421)</f>
        <v>0.421</v>
      </c>
      <c r="J272" s="20">
        <f>IFERROR(__xludf.DUMMYFUNCTION("""COMPUTED_VALUE"""),271.0)</f>
        <v>271</v>
      </c>
      <c r="K272" s="20" t="b">
        <f>IFERROR(__xludf.DUMMYFUNCTION("""COMPUTED_VALUE"""),TRUE)</f>
        <v>1</v>
      </c>
      <c r="L272" s="20" t="str">
        <f>IFERROR(__xludf.DUMMYFUNCTION("""COMPUTED_VALUE"""),"Array;String;Design;")</f>
        <v>Array;String;Design;</v>
      </c>
      <c r="M272" s="20" t="b">
        <f>IFERROR(__xludf.DUMMYFUNCTION("""COMPUTED_VALUE"""),TRUE)</f>
        <v>1</v>
      </c>
      <c r="N272" s="20" t="b">
        <f>IFERROR(__xludf.DUMMYFUNCTION("""COMPUTED_VALUE"""),FALSE)</f>
        <v>0</v>
      </c>
      <c r="O272" s="20">
        <f>IFERROR(__xludf.DUMMYFUNCTION("""COMPUTED_VALUE"""),42.1024625585325)</f>
        <v>42.10246256</v>
      </c>
      <c r="P272" s="20">
        <f>IFERROR(__xludf.DUMMYFUNCTION("""COMPUTED_VALUE"""),130551.0)</f>
        <v>130551</v>
      </c>
      <c r="Q272" s="20">
        <f>IFERROR(__xludf.DUMMYFUNCTION("""COMPUTED_VALUE"""),310082.0)</f>
        <v>310082</v>
      </c>
    </row>
    <row r="273">
      <c r="A273" s="20">
        <f>IFERROR(__xludf.DUMMYFUNCTION("""COMPUTED_VALUE"""),272.0)</f>
        <v>272</v>
      </c>
      <c r="B273" s="20" t="str">
        <f>IFERROR(__xludf.DUMMYFUNCTION("""COMPUTED_VALUE"""),"Closest Binary Search Tree Value II")</f>
        <v>Closest Binary Search Tree Value II</v>
      </c>
      <c r="C273" s="20" t="str">
        <f>IFERROR(__xludf.DUMMYFUNCTION("""COMPUTED_VALUE"""),"closest-binary-search-tree-value-ii")</f>
        <v>closest-binary-search-tree-value-ii</v>
      </c>
      <c r="D273" s="20" t="b">
        <f>IFERROR(__xludf.DUMMYFUNCTION("""COMPUTED_VALUE"""),TRUE)</f>
        <v>1</v>
      </c>
      <c r="E273" s="20" t="str">
        <f>IFERROR(__xludf.DUMMYFUNCTION("""COMPUTED_VALUE"""),"Hard")</f>
        <v>Hard</v>
      </c>
      <c r="F273" s="20">
        <f>IFERROR(__xludf.DUMMYFUNCTION("""COMPUTED_VALUE"""),1193.0)</f>
        <v>1193</v>
      </c>
      <c r="G273" s="20">
        <f>IFERROR(__xludf.DUMMYFUNCTION("""COMPUTED_VALUE"""),38.0)</f>
        <v>38</v>
      </c>
      <c r="H273" s="20" t="str">
        <f>IFERROR(__xludf.DUMMYFUNCTION("""COMPUTED_VALUE"""),"Algorithms")</f>
        <v>Algorithms</v>
      </c>
      <c r="I273" s="20">
        <f>IFERROR(__xludf.DUMMYFUNCTION("""COMPUTED_VALUE"""),0.583)</f>
        <v>0.583</v>
      </c>
      <c r="J273" s="20">
        <f>IFERROR(__xludf.DUMMYFUNCTION("""COMPUTED_VALUE"""),272.0)</f>
        <v>272</v>
      </c>
      <c r="K273" s="20" t="b">
        <f>IFERROR(__xludf.DUMMYFUNCTION("""COMPUTED_VALUE"""),TRUE)</f>
        <v>1</v>
      </c>
      <c r="L273" s="20" t="str">
        <f>IFERROR(__xludf.DUMMYFUNCTION("""COMPUTED_VALUE"""),"Two Pointers;Stack;Tree;Depth-First Search;Binary Search Tree;Heap (Priority Queue);Binary Tree;")</f>
        <v>Two Pointers;Stack;Tree;Depth-First Search;Binary Search Tree;Heap (Priority Queue);Binary Tree;</v>
      </c>
      <c r="M273" s="20" t="b">
        <f>IFERROR(__xludf.DUMMYFUNCTION("""COMPUTED_VALUE"""),TRUE)</f>
        <v>1</v>
      </c>
      <c r="N273" s="20" t="b">
        <f>IFERROR(__xludf.DUMMYFUNCTION("""COMPUTED_VALUE"""),FALSE)</f>
        <v>0</v>
      </c>
      <c r="O273" s="20">
        <f>IFERROR(__xludf.DUMMYFUNCTION("""COMPUTED_VALUE"""),58.3287411790512)</f>
        <v>58.32874118</v>
      </c>
      <c r="P273" s="20">
        <f>IFERROR(__xludf.DUMMYFUNCTION("""COMPUTED_VALUE"""),109024.0)</f>
        <v>109024</v>
      </c>
      <c r="Q273" s="20">
        <f>IFERROR(__xludf.DUMMYFUNCTION("""COMPUTED_VALUE"""),186913.0)</f>
        <v>186913</v>
      </c>
    </row>
    <row r="274">
      <c r="A274" s="20">
        <f>IFERROR(__xludf.DUMMYFUNCTION("""COMPUTED_VALUE"""),273.0)</f>
        <v>273</v>
      </c>
      <c r="B274" s="20" t="str">
        <f>IFERROR(__xludf.DUMMYFUNCTION("""COMPUTED_VALUE"""),"Integer to English Words")</f>
        <v>Integer to English Words</v>
      </c>
      <c r="C274" s="20" t="str">
        <f>IFERROR(__xludf.DUMMYFUNCTION("""COMPUTED_VALUE"""),"integer-to-english-words")</f>
        <v>integer-to-english-words</v>
      </c>
      <c r="D274" s="20" t="b">
        <f>IFERROR(__xludf.DUMMYFUNCTION("""COMPUTED_VALUE"""),FALSE)</f>
        <v>0</v>
      </c>
      <c r="E274" s="20" t="str">
        <f>IFERROR(__xludf.DUMMYFUNCTION("""COMPUTED_VALUE"""),"Hard")</f>
        <v>Hard</v>
      </c>
      <c r="F274" s="20">
        <f>IFERROR(__xludf.DUMMYFUNCTION("""COMPUTED_VALUE"""),2509.0)</f>
        <v>2509</v>
      </c>
      <c r="G274" s="20">
        <f>IFERROR(__xludf.DUMMYFUNCTION("""COMPUTED_VALUE"""),5663.0)</f>
        <v>5663</v>
      </c>
      <c r="H274" s="20" t="str">
        <f>IFERROR(__xludf.DUMMYFUNCTION("""COMPUTED_VALUE"""),"Algorithms")</f>
        <v>Algorithms</v>
      </c>
      <c r="I274" s="20">
        <f>IFERROR(__xludf.DUMMYFUNCTION("""COMPUTED_VALUE"""),0.299)</f>
        <v>0.299</v>
      </c>
      <c r="J274" s="20">
        <f>IFERROR(__xludf.DUMMYFUNCTION("""COMPUTED_VALUE"""),273.0)</f>
        <v>273</v>
      </c>
      <c r="K274" s="20" t="b">
        <f>IFERROR(__xludf.DUMMYFUNCTION("""COMPUTED_VALUE"""),FALSE)</f>
        <v>0</v>
      </c>
      <c r="L274" s="20" t="str">
        <f>IFERROR(__xludf.DUMMYFUNCTION("""COMPUTED_VALUE"""),"Math;String;Recursion;")</f>
        <v>Math;String;Recursion;</v>
      </c>
      <c r="M274" s="20" t="b">
        <f>IFERROR(__xludf.DUMMYFUNCTION("""COMPUTED_VALUE"""),TRUE)</f>
        <v>1</v>
      </c>
      <c r="N274" s="20" t="b">
        <f>IFERROR(__xludf.DUMMYFUNCTION("""COMPUTED_VALUE"""),FALSE)</f>
        <v>0</v>
      </c>
      <c r="O274" s="20">
        <f>IFERROR(__xludf.DUMMYFUNCTION("""COMPUTED_VALUE"""),29.922701565101)</f>
        <v>29.92270157</v>
      </c>
      <c r="P274" s="20">
        <f>IFERROR(__xludf.DUMMYFUNCTION("""COMPUTED_VALUE"""),334690.0)</f>
        <v>334690</v>
      </c>
      <c r="Q274" s="20">
        <f>IFERROR(__xludf.DUMMYFUNCTION("""COMPUTED_VALUE"""),1118520.0)</f>
        <v>1118520</v>
      </c>
    </row>
    <row r="275">
      <c r="A275" s="20">
        <f>IFERROR(__xludf.DUMMYFUNCTION("""COMPUTED_VALUE"""),274.0)</f>
        <v>274</v>
      </c>
      <c r="B275" s="20" t="str">
        <f>IFERROR(__xludf.DUMMYFUNCTION("""COMPUTED_VALUE"""),"H-Index")</f>
        <v>H-Index</v>
      </c>
      <c r="C275" s="20" t="str">
        <f>IFERROR(__xludf.DUMMYFUNCTION("""COMPUTED_VALUE"""),"h-index")</f>
        <v>h-index</v>
      </c>
      <c r="D275" s="20" t="b">
        <f>IFERROR(__xludf.DUMMYFUNCTION("""COMPUTED_VALUE"""),FALSE)</f>
        <v>0</v>
      </c>
      <c r="E275" s="20" t="str">
        <f>IFERROR(__xludf.DUMMYFUNCTION("""COMPUTED_VALUE"""),"Medium")</f>
        <v>Medium</v>
      </c>
      <c r="F275" s="20">
        <f>IFERROR(__xludf.DUMMYFUNCTION("""COMPUTED_VALUE"""),1424.0)</f>
        <v>1424</v>
      </c>
      <c r="G275" s="20">
        <f>IFERROR(__xludf.DUMMYFUNCTION("""COMPUTED_VALUE"""),2048.0)</f>
        <v>2048</v>
      </c>
      <c r="H275" s="20" t="str">
        <f>IFERROR(__xludf.DUMMYFUNCTION("""COMPUTED_VALUE"""),"Algorithms")</f>
        <v>Algorithms</v>
      </c>
      <c r="I275" s="20">
        <f>IFERROR(__xludf.DUMMYFUNCTION("""COMPUTED_VALUE"""),0.382)</f>
        <v>0.382</v>
      </c>
      <c r="J275" s="20">
        <f>IFERROR(__xludf.DUMMYFUNCTION("""COMPUTED_VALUE"""),274.0)</f>
        <v>274</v>
      </c>
      <c r="K275" s="20" t="b">
        <f>IFERROR(__xludf.DUMMYFUNCTION("""COMPUTED_VALUE"""),FALSE)</f>
        <v>0</v>
      </c>
      <c r="L275" s="20" t="str">
        <f>IFERROR(__xludf.DUMMYFUNCTION("""COMPUTED_VALUE"""),"Array;Sorting;Counting Sort;")</f>
        <v>Array;Sorting;Counting Sort;</v>
      </c>
      <c r="M275" s="20" t="b">
        <f>IFERROR(__xludf.DUMMYFUNCTION("""COMPUTED_VALUE"""),TRUE)</f>
        <v>1</v>
      </c>
      <c r="N275" s="20" t="b">
        <f>IFERROR(__xludf.DUMMYFUNCTION("""COMPUTED_VALUE"""),FALSE)</f>
        <v>0</v>
      </c>
      <c r="O275" s="20">
        <f>IFERROR(__xludf.DUMMYFUNCTION("""COMPUTED_VALUE"""),38.2190291344128)</f>
        <v>38.21902913</v>
      </c>
      <c r="P275" s="20">
        <f>IFERROR(__xludf.DUMMYFUNCTION("""COMPUTED_VALUE"""),253428.0)</f>
        <v>253428</v>
      </c>
      <c r="Q275" s="20">
        <f>IFERROR(__xludf.DUMMYFUNCTION("""COMPUTED_VALUE"""),663082.0)</f>
        <v>663082</v>
      </c>
    </row>
    <row r="276">
      <c r="A276" s="20">
        <f>IFERROR(__xludf.DUMMYFUNCTION("""COMPUTED_VALUE"""),275.0)</f>
        <v>275</v>
      </c>
      <c r="B276" s="20" t="str">
        <f>IFERROR(__xludf.DUMMYFUNCTION("""COMPUTED_VALUE"""),"H-Index II")</f>
        <v>H-Index II</v>
      </c>
      <c r="C276" s="20" t="str">
        <f>IFERROR(__xludf.DUMMYFUNCTION("""COMPUTED_VALUE"""),"h-index-ii")</f>
        <v>h-index-ii</v>
      </c>
      <c r="D276" s="20" t="b">
        <f>IFERROR(__xludf.DUMMYFUNCTION("""COMPUTED_VALUE"""),FALSE)</f>
        <v>0</v>
      </c>
      <c r="E276" s="20" t="str">
        <f>IFERROR(__xludf.DUMMYFUNCTION("""COMPUTED_VALUE"""),"Medium")</f>
        <v>Medium</v>
      </c>
      <c r="F276" s="20">
        <f>IFERROR(__xludf.DUMMYFUNCTION("""COMPUTED_VALUE"""),835.0)</f>
        <v>835</v>
      </c>
      <c r="G276" s="20">
        <f>IFERROR(__xludf.DUMMYFUNCTION("""COMPUTED_VALUE"""),1201.0)</f>
        <v>1201</v>
      </c>
      <c r="H276" s="20" t="str">
        <f>IFERROR(__xludf.DUMMYFUNCTION("""COMPUTED_VALUE"""),"Algorithms")</f>
        <v>Algorithms</v>
      </c>
      <c r="I276" s="20">
        <f>IFERROR(__xludf.DUMMYFUNCTION("""COMPUTED_VALUE"""),0.375)</f>
        <v>0.375</v>
      </c>
      <c r="J276" s="20">
        <f>IFERROR(__xludf.DUMMYFUNCTION("""COMPUTED_VALUE"""),275.0)</f>
        <v>275</v>
      </c>
      <c r="K276" s="20" t="b">
        <f>IFERROR(__xludf.DUMMYFUNCTION("""COMPUTED_VALUE"""),FALSE)</f>
        <v>0</v>
      </c>
      <c r="L276" s="20" t="str">
        <f>IFERROR(__xludf.DUMMYFUNCTION("""COMPUTED_VALUE"""),"Array;Binary Search;")</f>
        <v>Array;Binary Search;</v>
      </c>
      <c r="M276" s="20" t="b">
        <f>IFERROR(__xludf.DUMMYFUNCTION("""COMPUTED_VALUE"""),TRUE)</f>
        <v>1</v>
      </c>
      <c r="N276" s="20" t="b">
        <f>IFERROR(__xludf.DUMMYFUNCTION("""COMPUTED_VALUE"""),FALSE)</f>
        <v>0</v>
      </c>
      <c r="O276" s="20">
        <f>IFERROR(__xludf.DUMMYFUNCTION("""COMPUTED_VALUE"""),37.4672682858247)</f>
        <v>37.46726829</v>
      </c>
      <c r="P276" s="20">
        <f>IFERROR(__xludf.DUMMYFUNCTION("""COMPUTED_VALUE"""),170556.0)</f>
        <v>170556</v>
      </c>
      <c r="Q276" s="20">
        <f>IFERROR(__xludf.DUMMYFUNCTION("""COMPUTED_VALUE"""),455215.0)</f>
        <v>455215</v>
      </c>
    </row>
    <row r="277">
      <c r="A277" s="20">
        <f>IFERROR(__xludf.DUMMYFUNCTION("""COMPUTED_VALUE"""),276.0)</f>
        <v>276</v>
      </c>
      <c r="B277" s="20" t="str">
        <f>IFERROR(__xludf.DUMMYFUNCTION("""COMPUTED_VALUE"""),"Paint Fence")</f>
        <v>Paint Fence</v>
      </c>
      <c r="C277" s="20" t="str">
        <f>IFERROR(__xludf.DUMMYFUNCTION("""COMPUTED_VALUE"""),"paint-fence")</f>
        <v>paint-fence</v>
      </c>
      <c r="D277" s="20" t="b">
        <f>IFERROR(__xludf.DUMMYFUNCTION("""COMPUTED_VALUE"""),TRUE)</f>
        <v>1</v>
      </c>
      <c r="E277" s="20" t="str">
        <f>IFERROR(__xludf.DUMMYFUNCTION("""COMPUTED_VALUE"""),"Medium")</f>
        <v>Medium</v>
      </c>
      <c r="F277" s="20">
        <f>IFERROR(__xludf.DUMMYFUNCTION("""COMPUTED_VALUE"""),1385.0)</f>
        <v>1385</v>
      </c>
      <c r="G277" s="20">
        <f>IFERROR(__xludf.DUMMYFUNCTION("""COMPUTED_VALUE"""),370.0)</f>
        <v>370</v>
      </c>
      <c r="H277" s="20" t="str">
        <f>IFERROR(__xludf.DUMMYFUNCTION("""COMPUTED_VALUE"""),"Algorithms")</f>
        <v>Algorithms</v>
      </c>
      <c r="I277" s="20">
        <f>IFERROR(__xludf.DUMMYFUNCTION("""COMPUTED_VALUE"""),0.443)</f>
        <v>0.443</v>
      </c>
      <c r="J277" s="20">
        <f>IFERROR(__xludf.DUMMYFUNCTION("""COMPUTED_VALUE"""),276.0)</f>
        <v>276</v>
      </c>
      <c r="K277" s="20" t="b">
        <f>IFERROR(__xludf.DUMMYFUNCTION("""COMPUTED_VALUE"""),TRUE)</f>
        <v>1</v>
      </c>
      <c r="L277" s="20" t="str">
        <f>IFERROR(__xludf.DUMMYFUNCTION("""COMPUTED_VALUE"""),"Dynamic Programming;")</f>
        <v>Dynamic Programming;</v>
      </c>
      <c r="M277" s="20" t="b">
        <f>IFERROR(__xludf.DUMMYFUNCTION("""COMPUTED_VALUE"""),TRUE)</f>
        <v>1</v>
      </c>
      <c r="N277" s="20" t="b">
        <f>IFERROR(__xludf.DUMMYFUNCTION("""COMPUTED_VALUE"""),FALSE)</f>
        <v>0</v>
      </c>
      <c r="O277" s="20">
        <f>IFERROR(__xludf.DUMMYFUNCTION("""COMPUTED_VALUE"""),44.2700748605379)</f>
        <v>44.27007486</v>
      </c>
      <c r="P277" s="20">
        <f>IFERROR(__xludf.DUMMYFUNCTION("""COMPUTED_VALUE"""),95151.0)</f>
        <v>95151</v>
      </c>
      <c r="Q277" s="20">
        <f>IFERROR(__xludf.DUMMYFUNCTION("""COMPUTED_VALUE"""),214933.0)</f>
        <v>214933</v>
      </c>
    </row>
    <row r="278">
      <c r="A278" s="20">
        <f>IFERROR(__xludf.DUMMYFUNCTION("""COMPUTED_VALUE"""),277.0)</f>
        <v>277</v>
      </c>
      <c r="B278" s="20" t="str">
        <f>IFERROR(__xludf.DUMMYFUNCTION("""COMPUTED_VALUE"""),"Find the Celebrity")</f>
        <v>Find the Celebrity</v>
      </c>
      <c r="C278" s="20" t="str">
        <f>IFERROR(__xludf.DUMMYFUNCTION("""COMPUTED_VALUE"""),"find-the-celebrity")</f>
        <v>find-the-celebrity</v>
      </c>
      <c r="D278" s="20" t="b">
        <f>IFERROR(__xludf.DUMMYFUNCTION("""COMPUTED_VALUE"""),TRUE)</f>
        <v>1</v>
      </c>
      <c r="E278" s="20" t="str">
        <f>IFERROR(__xludf.DUMMYFUNCTION("""COMPUTED_VALUE"""),"Medium")</f>
        <v>Medium</v>
      </c>
      <c r="F278" s="20">
        <f>IFERROR(__xludf.DUMMYFUNCTION("""COMPUTED_VALUE"""),2577.0)</f>
        <v>2577</v>
      </c>
      <c r="G278" s="20">
        <f>IFERROR(__xludf.DUMMYFUNCTION("""COMPUTED_VALUE"""),246.0)</f>
        <v>246</v>
      </c>
      <c r="H278" s="20" t="str">
        <f>IFERROR(__xludf.DUMMYFUNCTION("""COMPUTED_VALUE"""),"Algorithms")</f>
        <v>Algorithms</v>
      </c>
      <c r="I278" s="20">
        <f>IFERROR(__xludf.DUMMYFUNCTION("""COMPUTED_VALUE"""),0.465)</f>
        <v>0.465</v>
      </c>
      <c r="J278" s="20">
        <f>IFERROR(__xludf.DUMMYFUNCTION("""COMPUTED_VALUE"""),277.0)</f>
        <v>277</v>
      </c>
      <c r="K278" s="20" t="b">
        <f>IFERROR(__xludf.DUMMYFUNCTION("""COMPUTED_VALUE"""),TRUE)</f>
        <v>1</v>
      </c>
      <c r="L278" s="20" t="str">
        <f>IFERROR(__xludf.DUMMYFUNCTION("""COMPUTED_VALUE"""),"Two Pointers;Greedy;Graph;Interactive;")</f>
        <v>Two Pointers;Greedy;Graph;Interactive;</v>
      </c>
      <c r="M278" s="20" t="b">
        <f>IFERROR(__xludf.DUMMYFUNCTION("""COMPUTED_VALUE"""),TRUE)</f>
        <v>1</v>
      </c>
      <c r="N278" s="20" t="b">
        <f>IFERROR(__xludf.DUMMYFUNCTION("""COMPUTED_VALUE"""),TRUE)</f>
        <v>1</v>
      </c>
      <c r="O278" s="20">
        <f>IFERROR(__xludf.DUMMYFUNCTION("""COMPUTED_VALUE"""),46.5256536208451)</f>
        <v>46.52565362</v>
      </c>
      <c r="P278" s="20">
        <f>IFERROR(__xludf.DUMMYFUNCTION("""COMPUTED_VALUE"""),241998.0)</f>
        <v>241998</v>
      </c>
      <c r="Q278" s="20">
        <f>IFERROR(__xludf.DUMMYFUNCTION("""COMPUTED_VALUE"""),520139.0)</f>
        <v>520139</v>
      </c>
    </row>
    <row r="279">
      <c r="A279" s="20">
        <f>IFERROR(__xludf.DUMMYFUNCTION("""COMPUTED_VALUE"""),278.0)</f>
        <v>278</v>
      </c>
      <c r="B279" s="20" t="str">
        <f>IFERROR(__xludf.DUMMYFUNCTION("""COMPUTED_VALUE"""),"First Bad Version")</f>
        <v>First Bad Version</v>
      </c>
      <c r="C279" s="20" t="str">
        <f>IFERROR(__xludf.DUMMYFUNCTION("""COMPUTED_VALUE"""),"first-bad-version")</f>
        <v>first-bad-version</v>
      </c>
      <c r="D279" s="20" t="b">
        <f>IFERROR(__xludf.DUMMYFUNCTION("""COMPUTED_VALUE"""),FALSE)</f>
        <v>0</v>
      </c>
      <c r="E279" s="20" t="str">
        <f>IFERROR(__xludf.DUMMYFUNCTION("""COMPUTED_VALUE"""),"Easy")</f>
        <v>Easy</v>
      </c>
      <c r="F279" s="20">
        <f>IFERROR(__xludf.DUMMYFUNCTION("""COMPUTED_VALUE"""),6718.0)</f>
        <v>6718</v>
      </c>
      <c r="G279" s="20">
        <f>IFERROR(__xludf.DUMMYFUNCTION("""COMPUTED_VALUE"""),2602.0)</f>
        <v>2602</v>
      </c>
      <c r="H279" s="20" t="str">
        <f>IFERROR(__xludf.DUMMYFUNCTION("""COMPUTED_VALUE"""),"Algorithms")</f>
        <v>Algorithms</v>
      </c>
      <c r="I279" s="20">
        <f>IFERROR(__xludf.DUMMYFUNCTION("""COMPUTED_VALUE"""),0.43)</f>
        <v>0.43</v>
      </c>
      <c r="J279" s="20">
        <f>IFERROR(__xludf.DUMMYFUNCTION("""COMPUTED_VALUE"""),278.0)</f>
        <v>278</v>
      </c>
      <c r="K279" s="20" t="b">
        <f>IFERROR(__xludf.DUMMYFUNCTION("""COMPUTED_VALUE"""),FALSE)</f>
        <v>0</v>
      </c>
      <c r="L279" s="20" t="str">
        <f>IFERROR(__xludf.DUMMYFUNCTION("""COMPUTED_VALUE"""),"Binary Search;Interactive;")</f>
        <v>Binary Search;Interactive;</v>
      </c>
      <c r="M279" s="20" t="b">
        <f>IFERROR(__xludf.DUMMYFUNCTION("""COMPUTED_VALUE"""),TRUE)</f>
        <v>1</v>
      </c>
      <c r="N279" s="20" t="b">
        <f>IFERROR(__xludf.DUMMYFUNCTION("""COMPUTED_VALUE"""),TRUE)</f>
        <v>1</v>
      </c>
      <c r="O279" s="20">
        <f>IFERROR(__xludf.DUMMYFUNCTION("""COMPUTED_VALUE"""),43.048571685171)</f>
        <v>43.04857169</v>
      </c>
      <c r="P279" s="20">
        <f>IFERROR(__xludf.DUMMYFUNCTION("""COMPUTED_VALUE"""),1337310.0)</f>
        <v>1337310</v>
      </c>
      <c r="Q279" s="20">
        <f>IFERROR(__xludf.DUMMYFUNCTION("""COMPUTED_VALUE"""),3106516.0)</f>
        <v>3106516</v>
      </c>
    </row>
    <row r="280">
      <c r="A280" s="20">
        <f>IFERROR(__xludf.DUMMYFUNCTION("""COMPUTED_VALUE"""),279.0)</f>
        <v>279</v>
      </c>
      <c r="B280" s="20" t="str">
        <f>IFERROR(__xludf.DUMMYFUNCTION("""COMPUTED_VALUE"""),"Perfect Squares")</f>
        <v>Perfect Squares</v>
      </c>
      <c r="C280" s="20" t="str">
        <f>IFERROR(__xludf.DUMMYFUNCTION("""COMPUTED_VALUE"""),"perfect-squares")</f>
        <v>perfect-squares</v>
      </c>
      <c r="D280" s="20" t="b">
        <f>IFERROR(__xludf.DUMMYFUNCTION("""COMPUTED_VALUE"""),FALSE)</f>
        <v>0</v>
      </c>
      <c r="E280" s="20" t="str">
        <f>IFERROR(__xludf.DUMMYFUNCTION("""COMPUTED_VALUE"""),"Medium")</f>
        <v>Medium</v>
      </c>
      <c r="F280" s="20">
        <f>IFERROR(__xludf.DUMMYFUNCTION("""COMPUTED_VALUE"""),8898.0)</f>
        <v>8898</v>
      </c>
      <c r="G280" s="20">
        <f>IFERROR(__xludf.DUMMYFUNCTION("""COMPUTED_VALUE"""),388.0)</f>
        <v>388</v>
      </c>
      <c r="H280" s="20" t="str">
        <f>IFERROR(__xludf.DUMMYFUNCTION("""COMPUTED_VALUE"""),"Algorithms")</f>
        <v>Algorithms</v>
      </c>
      <c r="I280" s="20">
        <f>IFERROR(__xludf.DUMMYFUNCTION("""COMPUTED_VALUE"""),0.526)</f>
        <v>0.526</v>
      </c>
      <c r="J280" s="20">
        <f>IFERROR(__xludf.DUMMYFUNCTION("""COMPUTED_VALUE"""),279.0)</f>
        <v>279</v>
      </c>
      <c r="K280" s="20" t="b">
        <f>IFERROR(__xludf.DUMMYFUNCTION("""COMPUTED_VALUE"""),FALSE)</f>
        <v>0</v>
      </c>
      <c r="L280" s="20" t="str">
        <f>IFERROR(__xludf.DUMMYFUNCTION("""COMPUTED_VALUE"""),"Math;Dynamic Programming;Breadth-First Search;")</f>
        <v>Math;Dynamic Programming;Breadth-First Search;</v>
      </c>
      <c r="M280" s="20" t="b">
        <f>IFERROR(__xludf.DUMMYFUNCTION("""COMPUTED_VALUE"""),TRUE)</f>
        <v>1</v>
      </c>
      <c r="N280" s="20" t="b">
        <f>IFERROR(__xludf.DUMMYFUNCTION("""COMPUTED_VALUE"""),FALSE)</f>
        <v>0</v>
      </c>
      <c r="O280" s="20">
        <f>IFERROR(__xludf.DUMMYFUNCTION("""COMPUTED_VALUE"""),52.5818839804524)</f>
        <v>52.58188398</v>
      </c>
      <c r="P280" s="20">
        <f>IFERROR(__xludf.DUMMYFUNCTION("""COMPUTED_VALUE"""),634068.0)</f>
        <v>634068</v>
      </c>
      <c r="Q280" s="20">
        <f>IFERROR(__xludf.DUMMYFUNCTION("""COMPUTED_VALUE"""),1205874.0)</f>
        <v>1205874</v>
      </c>
    </row>
    <row r="281">
      <c r="A281" s="20">
        <f>IFERROR(__xludf.DUMMYFUNCTION("""COMPUTED_VALUE"""),280.0)</f>
        <v>280</v>
      </c>
      <c r="B281" s="20" t="str">
        <f>IFERROR(__xludf.DUMMYFUNCTION("""COMPUTED_VALUE"""),"Wiggle Sort")</f>
        <v>Wiggle Sort</v>
      </c>
      <c r="C281" s="20" t="str">
        <f>IFERROR(__xludf.DUMMYFUNCTION("""COMPUTED_VALUE"""),"wiggle-sort")</f>
        <v>wiggle-sort</v>
      </c>
      <c r="D281" s="20" t="b">
        <f>IFERROR(__xludf.DUMMYFUNCTION("""COMPUTED_VALUE"""),TRUE)</f>
        <v>1</v>
      </c>
      <c r="E281" s="20" t="str">
        <f>IFERROR(__xludf.DUMMYFUNCTION("""COMPUTED_VALUE"""),"Medium")</f>
        <v>Medium</v>
      </c>
      <c r="F281" s="20">
        <f>IFERROR(__xludf.DUMMYFUNCTION("""COMPUTED_VALUE"""),1001.0)</f>
        <v>1001</v>
      </c>
      <c r="G281" s="20">
        <f>IFERROR(__xludf.DUMMYFUNCTION("""COMPUTED_VALUE"""),85.0)</f>
        <v>85</v>
      </c>
      <c r="H281" s="20" t="str">
        <f>IFERROR(__xludf.DUMMYFUNCTION("""COMPUTED_VALUE"""),"Algorithms")</f>
        <v>Algorithms</v>
      </c>
      <c r="I281" s="20">
        <f>IFERROR(__xludf.DUMMYFUNCTION("""COMPUTED_VALUE"""),0.665)</f>
        <v>0.665</v>
      </c>
      <c r="J281" s="20">
        <f>IFERROR(__xludf.DUMMYFUNCTION("""COMPUTED_VALUE"""),280.0)</f>
        <v>280</v>
      </c>
      <c r="K281" s="20" t="b">
        <f>IFERROR(__xludf.DUMMYFUNCTION("""COMPUTED_VALUE"""),TRUE)</f>
        <v>1</v>
      </c>
      <c r="L281" s="20" t="str">
        <f>IFERROR(__xludf.DUMMYFUNCTION("""COMPUTED_VALUE"""),"Array;Greedy;Sorting;")</f>
        <v>Array;Greedy;Sorting;</v>
      </c>
      <c r="M281" s="20" t="b">
        <f>IFERROR(__xludf.DUMMYFUNCTION("""COMPUTED_VALUE"""),TRUE)</f>
        <v>1</v>
      </c>
      <c r="N281" s="20" t="b">
        <f>IFERROR(__xludf.DUMMYFUNCTION("""COMPUTED_VALUE"""),FALSE)</f>
        <v>0</v>
      </c>
      <c r="O281" s="20">
        <f>IFERROR(__xludf.DUMMYFUNCTION("""COMPUTED_VALUE"""),66.5037062123438)</f>
        <v>66.50370621</v>
      </c>
      <c r="P281" s="20">
        <f>IFERROR(__xludf.DUMMYFUNCTION("""COMPUTED_VALUE"""),121749.0)</f>
        <v>121749</v>
      </c>
      <c r="Q281" s="20">
        <f>IFERROR(__xludf.DUMMYFUNCTION("""COMPUTED_VALUE"""),183071.0)</f>
        <v>183071</v>
      </c>
    </row>
    <row r="282">
      <c r="A282" s="20">
        <f>IFERROR(__xludf.DUMMYFUNCTION("""COMPUTED_VALUE"""),281.0)</f>
        <v>281</v>
      </c>
      <c r="B282" s="20" t="str">
        <f>IFERROR(__xludf.DUMMYFUNCTION("""COMPUTED_VALUE"""),"Zigzag Iterator")</f>
        <v>Zigzag Iterator</v>
      </c>
      <c r="C282" s="20" t="str">
        <f>IFERROR(__xludf.DUMMYFUNCTION("""COMPUTED_VALUE"""),"zigzag-iterator")</f>
        <v>zigzag-iterator</v>
      </c>
      <c r="D282" s="20" t="b">
        <f>IFERROR(__xludf.DUMMYFUNCTION("""COMPUTED_VALUE"""),TRUE)</f>
        <v>1</v>
      </c>
      <c r="E282" s="20" t="str">
        <f>IFERROR(__xludf.DUMMYFUNCTION("""COMPUTED_VALUE"""),"Medium")</f>
        <v>Medium</v>
      </c>
      <c r="F282" s="20">
        <f>IFERROR(__xludf.DUMMYFUNCTION("""COMPUTED_VALUE"""),615.0)</f>
        <v>615</v>
      </c>
      <c r="G282" s="20">
        <f>IFERROR(__xludf.DUMMYFUNCTION("""COMPUTED_VALUE"""),35.0)</f>
        <v>35</v>
      </c>
      <c r="H282" s="20" t="str">
        <f>IFERROR(__xludf.DUMMYFUNCTION("""COMPUTED_VALUE"""),"Algorithms")</f>
        <v>Algorithms</v>
      </c>
      <c r="I282" s="20">
        <f>IFERROR(__xludf.DUMMYFUNCTION("""COMPUTED_VALUE"""),0.625)</f>
        <v>0.625</v>
      </c>
      <c r="J282" s="20">
        <f>IFERROR(__xludf.DUMMYFUNCTION("""COMPUTED_VALUE"""),281.0)</f>
        <v>281</v>
      </c>
      <c r="K282" s="20" t="b">
        <f>IFERROR(__xludf.DUMMYFUNCTION("""COMPUTED_VALUE"""),TRUE)</f>
        <v>1</v>
      </c>
      <c r="L282" s="20" t="str">
        <f>IFERROR(__xludf.DUMMYFUNCTION("""COMPUTED_VALUE"""),"Array;Design;Queue;Iterator;")</f>
        <v>Array;Design;Queue;Iterator;</v>
      </c>
      <c r="M282" s="20" t="b">
        <f>IFERROR(__xludf.DUMMYFUNCTION("""COMPUTED_VALUE"""),TRUE)</f>
        <v>1</v>
      </c>
      <c r="N282" s="20" t="b">
        <f>IFERROR(__xludf.DUMMYFUNCTION("""COMPUTED_VALUE"""),FALSE)</f>
        <v>0</v>
      </c>
      <c r="O282" s="20">
        <f>IFERROR(__xludf.DUMMYFUNCTION("""COMPUTED_VALUE"""),62.4847710892891)</f>
        <v>62.48477109</v>
      </c>
      <c r="P282" s="20">
        <f>IFERROR(__xludf.DUMMYFUNCTION("""COMPUTED_VALUE"""),85136.0)</f>
        <v>85136</v>
      </c>
      <c r="Q282" s="20">
        <f>IFERROR(__xludf.DUMMYFUNCTION("""COMPUTED_VALUE"""),136252.0)</f>
        <v>136252</v>
      </c>
    </row>
    <row r="283">
      <c r="A283" s="20">
        <f>IFERROR(__xludf.DUMMYFUNCTION("""COMPUTED_VALUE"""),282.0)</f>
        <v>282</v>
      </c>
      <c r="B283" s="20" t="str">
        <f>IFERROR(__xludf.DUMMYFUNCTION("""COMPUTED_VALUE"""),"Expression Add Operators")</f>
        <v>Expression Add Operators</v>
      </c>
      <c r="C283" s="20" t="str">
        <f>IFERROR(__xludf.DUMMYFUNCTION("""COMPUTED_VALUE"""),"expression-add-operators")</f>
        <v>expression-add-operators</v>
      </c>
      <c r="D283" s="20" t="b">
        <f>IFERROR(__xludf.DUMMYFUNCTION("""COMPUTED_VALUE"""),FALSE)</f>
        <v>0</v>
      </c>
      <c r="E283" s="20" t="str">
        <f>IFERROR(__xludf.DUMMYFUNCTION("""COMPUTED_VALUE"""),"Hard")</f>
        <v>Hard</v>
      </c>
      <c r="F283" s="20">
        <f>IFERROR(__xludf.DUMMYFUNCTION("""COMPUTED_VALUE"""),2826.0)</f>
        <v>2826</v>
      </c>
      <c r="G283" s="20">
        <f>IFERROR(__xludf.DUMMYFUNCTION("""COMPUTED_VALUE"""),506.0)</f>
        <v>506</v>
      </c>
      <c r="H283" s="20" t="str">
        <f>IFERROR(__xludf.DUMMYFUNCTION("""COMPUTED_VALUE"""),"Algorithms")</f>
        <v>Algorithms</v>
      </c>
      <c r="I283" s="20">
        <f>IFERROR(__xludf.DUMMYFUNCTION("""COMPUTED_VALUE"""),0.392)</f>
        <v>0.392</v>
      </c>
      <c r="J283" s="20">
        <f>IFERROR(__xludf.DUMMYFUNCTION("""COMPUTED_VALUE"""),282.0)</f>
        <v>282</v>
      </c>
      <c r="K283" s="20" t="b">
        <f>IFERROR(__xludf.DUMMYFUNCTION("""COMPUTED_VALUE"""),FALSE)</f>
        <v>0</v>
      </c>
      <c r="L283" s="20" t="str">
        <f>IFERROR(__xludf.DUMMYFUNCTION("""COMPUTED_VALUE"""),"Math;String;Backtracking;")</f>
        <v>Math;String;Backtracking;</v>
      </c>
      <c r="M283" s="20" t="b">
        <f>IFERROR(__xludf.DUMMYFUNCTION("""COMPUTED_VALUE"""),TRUE)</f>
        <v>1</v>
      </c>
      <c r="N283" s="20" t="b">
        <f>IFERROR(__xludf.DUMMYFUNCTION("""COMPUTED_VALUE"""),FALSE)</f>
        <v>0</v>
      </c>
      <c r="O283" s="20">
        <f>IFERROR(__xludf.DUMMYFUNCTION("""COMPUTED_VALUE"""),39.1915217207623)</f>
        <v>39.19152172</v>
      </c>
      <c r="P283" s="20">
        <f>IFERROR(__xludf.DUMMYFUNCTION("""COMPUTED_VALUE"""),194813.0)</f>
        <v>194813</v>
      </c>
      <c r="Q283" s="20">
        <f>IFERROR(__xludf.DUMMYFUNCTION("""COMPUTED_VALUE"""),497080.0)</f>
        <v>497080</v>
      </c>
    </row>
    <row r="284">
      <c r="A284" s="20">
        <f>IFERROR(__xludf.DUMMYFUNCTION("""COMPUTED_VALUE"""),283.0)</f>
        <v>283</v>
      </c>
      <c r="B284" s="20" t="str">
        <f>IFERROR(__xludf.DUMMYFUNCTION("""COMPUTED_VALUE"""),"Move Zeroes")</f>
        <v>Move Zeroes</v>
      </c>
      <c r="C284" s="20" t="str">
        <f>IFERROR(__xludf.DUMMYFUNCTION("""COMPUTED_VALUE"""),"move-zeroes")</f>
        <v>move-zeroes</v>
      </c>
      <c r="D284" s="20" t="b">
        <f>IFERROR(__xludf.DUMMYFUNCTION("""COMPUTED_VALUE"""),FALSE)</f>
        <v>0</v>
      </c>
      <c r="E284" s="20" t="str">
        <f>IFERROR(__xludf.DUMMYFUNCTION("""COMPUTED_VALUE"""),"Easy")</f>
        <v>Easy</v>
      </c>
      <c r="F284" s="20">
        <f>IFERROR(__xludf.DUMMYFUNCTION("""COMPUTED_VALUE"""),12201.0)</f>
        <v>12201</v>
      </c>
      <c r="G284" s="20">
        <f>IFERROR(__xludf.DUMMYFUNCTION("""COMPUTED_VALUE"""),303.0)</f>
        <v>303</v>
      </c>
      <c r="H284" s="20" t="str">
        <f>IFERROR(__xludf.DUMMYFUNCTION("""COMPUTED_VALUE"""),"Algorithms")</f>
        <v>Algorithms</v>
      </c>
      <c r="I284" s="20">
        <f>IFERROR(__xludf.DUMMYFUNCTION("""COMPUTED_VALUE"""),0.614)</f>
        <v>0.614</v>
      </c>
      <c r="J284" s="20">
        <f>IFERROR(__xludf.DUMMYFUNCTION("""COMPUTED_VALUE"""),283.0)</f>
        <v>283</v>
      </c>
      <c r="K284" s="20" t="b">
        <f>IFERROR(__xludf.DUMMYFUNCTION("""COMPUTED_VALUE"""),FALSE)</f>
        <v>0</v>
      </c>
      <c r="L284" s="20" t="str">
        <f>IFERROR(__xludf.DUMMYFUNCTION("""COMPUTED_VALUE"""),"Array;Two Pointers;")</f>
        <v>Array;Two Pointers;</v>
      </c>
      <c r="M284" s="20" t="b">
        <f>IFERROR(__xludf.DUMMYFUNCTION("""COMPUTED_VALUE"""),TRUE)</f>
        <v>1</v>
      </c>
      <c r="N284" s="20" t="b">
        <f>IFERROR(__xludf.DUMMYFUNCTION("""COMPUTED_VALUE"""),FALSE)</f>
        <v>0</v>
      </c>
      <c r="O284" s="20">
        <f>IFERROR(__xludf.DUMMYFUNCTION("""COMPUTED_VALUE"""),61.3739945756013)</f>
        <v>61.37399458</v>
      </c>
      <c r="P284" s="20">
        <f>IFERROR(__xludf.DUMMYFUNCTION("""COMPUTED_VALUE"""),2041324.0)</f>
        <v>2041324</v>
      </c>
      <c r="Q284" s="20">
        <f>IFERROR(__xludf.DUMMYFUNCTION("""COMPUTED_VALUE"""),3326037.0)</f>
        <v>3326037</v>
      </c>
    </row>
    <row r="285">
      <c r="A285" s="20">
        <f>IFERROR(__xludf.DUMMYFUNCTION("""COMPUTED_VALUE"""),284.0)</f>
        <v>284</v>
      </c>
      <c r="B285" s="20" t="str">
        <f>IFERROR(__xludf.DUMMYFUNCTION("""COMPUTED_VALUE"""),"Peeking Iterator")</f>
        <v>Peeking Iterator</v>
      </c>
      <c r="C285" s="20" t="str">
        <f>IFERROR(__xludf.DUMMYFUNCTION("""COMPUTED_VALUE"""),"peeking-iterator")</f>
        <v>peeking-iterator</v>
      </c>
      <c r="D285" s="20" t="b">
        <f>IFERROR(__xludf.DUMMYFUNCTION("""COMPUTED_VALUE"""),FALSE)</f>
        <v>0</v>
      </c>
      <c r="E285" s="20" t="str">
        <f>IFERROR(__xludf.DUMMYFUNCTION("""COMPUTED_VALUE"""),"Medium")</f>
        <v>Medium</v>
      </c>
      <c r="F285" s="20">
        <f>IFERROR(__xludf.DUMMYFUNCTION("""COMPUTED_VALUE"""),1681.0)</f>
        <v>1681</v>
      </c>
      <c r="G285" s="20">
        <f>IFERROR(__xludf.DUMMYFUNCTION("""COMPUTED_VALUE"""),975.0)</f>
        <v>975</v>
      </c>
      <c r="H285" s="20" t="str">
        <f>IFERROR(__xludf.DUMMYFUNCTION("""COMPUTED_VALUE"""),"Algorithms")</f>
        <v>Algorithms</v>
      </c>
      <c r="I285" s="20">
        <f>IFERROR(__xludf.DUMMYFUNCTION("""COMPUTED_VALUE"""),0.584)</f>
        <v>0.584</v>
      </c>
      <c r="J285" s="20">
        <f>IFERROR(__xludf.DUMMYFUNCTION("""COMPUTED_VALUE"""),284.0)</f>
        <v>284</v>
      </c>
      <c r="K285" s="20" t="b">
        <f>IFERROR(__xludf.DUMMYFUNCTION("""COMPUTED_VALUE"""),FALSE)</f>
        <v>0</v>
      </c>
      <c r="L285" s="20" t="str">
        <f>IFERROR(__xludf.DUMMYFUNCTION("""COMPUTED_VALUE"""),"Array;Design;Iterator;")</f>
        <v>Array;Design;Iterator;</v>
      </c>
      <c r="M285" s="20" t="b">
        <f>IFERROR(__xludf.DUMMYFUNCTION("""COMPUTED_VALUE"""),TRUE)</f>
        <v>1</v>
      </c>
      <c r="N285" s="20" t="b">
        <f>IFERROR(__xludf.DUMMYFUNCTION("""COMPUTED_VALUE"""),FALSE)</f>
        <v>0</v>
      </c>
      <c r="O285" s="20">
        <f>IFERROR(__xludf.DUMMYFUNCTION("""COMPUTED_VALUE"""),58.4091073260232)</f>
        <v>58.40910733</v>
      </c>
      <c r="P285" s="20">
        <f>IFERROR(__xludf.DUMMYFUNCTION("""COMPUTED_VALUE"""),202148.0)</f>
        <v>202148</v>
      </c>
      <c r="Q285" s="20">
        <f>IFERROR(__xludf.DUMMYFUNCTION("""COMPUTED_VALUE"""),346092.0)</f>
        <v>346092</v>
      </c>
    </row>
    <row r="286">
      <c r="A286" s="20">
        <f>IFERROR(__xludf.DUMMYFUNCTION("""COMPUTED_VALUE"""),285.0)</f>
        <v>285</v>
      </c>
      <c r="B286" s="20" t="str">
        <f>IFERROR(__xludf.DUMMYFUNCTION("""COMPUTED_VALUE"""),"Inorder Successor in BST")</f>
        <v>Inorder Successor in BST</v>
      </c>
      <c r="C286" s="20" t="str">
        <f>IFERROR(__xludf.DUMMYFUNCTION("""COMPUTED_VALUE"""),"inorder-successor-in-bst")</f>
        <v>inorder-successor-in-bst</v>
      </c>
      <c r="D286" s="20" t="b">
        <f>IFERROR(__xludf.DUMMYFUNCTION("""COMPUTED_VALUE"""),TRUE)</f>
        <v>1</v>
      </c>
      <c r="E286" s="20" t="str">
        <f>IFERROR(__xludf.DUMMYFUNCTION("""COMPUTED_VALUE"""),"Medium")</f>
        <v>Medium</v>
      </c>
      <c r="F286" s="20">
        <f>IFERROR(__xludf.DUMMYFUNCTION("""COMPUTED_VALUE"""),2354.0)</f>
        <v>2354</v>
      </c>
      <c r="G286" s="20">
        <f>IFERROR(__xludf.DUMMYFUNCTION("""COMPUTED_VALUE"""),85.0)</f>
        <v>85</v>
      </c>
      <c r="H286" s="20" t="str">
        <f>IFERROR(__xludf.DUMMYFUNCTION("""COMPUTED_VALUE"""),"Algorithms")</f>
        <v>Algorithms</v>
      </c>
      <c r="I286" s="20">
        <f>IFERROR(__xludf.DUMMYFUNCTION("""COMPUTED_VALUE"""),0.485)</f>
        <v>0.485</v>
      </c>
      <c r="J286" s="20">
        <f>IFERROR(__xludf.DUMMYFUNCTION("""COMPUTED_VALUE"""),285.0)</f>
        <v>285</v>
      </c>
      <c r="K286" s="20" t="b">
        <f>IFERROR(__xludf.DUMMYFUNCTION("""COMPUTED_VALUE"""),TRUE)</f>
        <v>1</v>
      </c>
      <c r="L286" s="20" t="str">
        <f>IFERROR(__xludf.DUMMYFUNCTION("""COMPUTED_VALUE"""),"Tree;Depth-First Search;Binary Search Tree;Binary Tree;")</f>
        <v>Tree;Depth-First Search;Binary Search Tree;Binary Tree;</v>
      </c>
      <c r="M286" s="20" t="b">
        <f>IFERROR(__xludf.DUMMYFUNCTION("""COMPUTED_VALUE"""),TRUE)</f>
        <v>1</v>
      </c>
      <c r="N286" s="20" t="b">
        <f>IFERROR(__xludf.DUMMYFUNCTION("""COMPUTED_VALUE"""),FALSE)</f>
        <v>0</v>
      </c>
      <c r="O286" s="20">
        <f>IFERROR(__xludf.DUMMYFUNCTION("""COMPUTED_VALUE"""),48.5154591677225)</f>
        <v>48.51545917</v>
      </c>
      <c r="P286" s="20">
        <f>IFERROR(__xludf.DUMMYFUNCTION("""COMPUTED_VALUE"""),294843.0)</f>
        <v>294843</v>
      </c>
      <c r="Q286" s="20">
        <f>IFERROR(__xludf.DUMMYFUNCTION("""COMPUTED_VALUE"""),607730.0)</f>
        <v>607730</v>
      </c>
    </row>
    <row r="287">
      <c r="A287" s="20">
        <f>IFERROR(__xludf.DUMMYFUNCTION("""COMPUTED_VALUE"""),286.0)</f>
        <v>286</v>
      </c>
      <c r="B287" s="20" t="str">
        <f>IFERROR(__xludf.DUMMYFUNCTION("""COMPUTED_VALUE"""),"Walls and Gates")</f>
        <v>Walls and Gates</v>
      </c>
      <c r="C287" s="20" t="str">
        <f>IFERROR(__xludf.DUMMYFUNCTION("""COMPUTED_VALUE"""),"walls-and-gates")</f>
        <v>walls-and-gates</v>
      </c>
      <c r="D287" s="20" t="b">
        <f>IFERROR(__xludf.DUMMYFUNCTION("""COMPUTED_VALUE"""),TRUE)</f>
        <v>1</v>
      </c>
      <c r="E287" s="20" t="str">
        <f>IFERROR(__xludf.DUMMYFUNCTION("""COMPUTED_VALUE"""),"Medium")</f>
        <v>Medium</v>
      </c>
      <c r="F287" s="20">
        <f>IFERROR(__xludf.DUMMYFUNCTION("""COMPUTED_VALUE"""),2787.0)</f>
        <v>2787</v>
      </c>
      <c r="G287" s="20">
        <f>IFERROR(__xludf.DUMMYFUNCTION("""COMPUTED_VALUE"""),49.0)</f>
        <v>49</v>
      </c>
      <c r="H287" s="20" t="str">
        <f>IFERROR(__xludf.DUMMYFUNCTION("""COMPUTED_VALUE"""),"Algorithms")</f>
        <v>Algorithms</v>
      </c>
      <c r="I287" s="20">
        <f>IFERROR(__xludf.DUMMYFUNCTION("""COMPUTED_VALUE"""),0.603)</f>
        <v>0.603</v>
      </c>
      <c r="J287" s="20">
        <f>IFERROR(__xludf.DUMMYFUNCTION("""COMPUTED_VALUE"""),286.0)</f>
        <v>286</v>
      </c>
      <c r="K287" s="20" t="b">
        <f>IFERROR(__xludf.DUMMYFUNCTION("""COMPUTED_VALUE"""),TRUE)</f>
        <v>1</v>
      </c>
      <c r="L287" s="20" t="str">
        <f>IFERROR(__xludf.DUMMYFUNCTION("""COMPUTED_VALUE"""),"Array;Breadth-First Search;Matrix;")</f>
        <v>Array;Breadth-First Search;Matrix;</v>
      </c>
      <c r="M287" s="20" t="b">
        <f>IFERROR(__xludf.DUMMYFUNCTION("""COMPUTED_VALUE"""),TRUE)</f>
        <v>1</v>
      </c>
      <c r="N287" s="20" t="b">
        <f>IFERROR(__xludf.DUMMYFUNCTION("""COMPUTED_VALUE"""),FALSE)</f>
        <v>0</v>
      </c>
      <c r="O287" s="20">
        <f>IFERROR(__xludf.DUMMYFUNCTION("""COMPUTED_VALUE"""),60.3320213970377)</f>
        <v>60.3320214</v>
      </c>
      <c r="P287" s="20">
        <f>IFERROR(__xludf.DUMMYFUNCTION("""COMPUTED_VALUE"""),259511.0)</f>
        <v>259511</v>
      </c>
      <c r="Q287" s="20">
        <f>IFERROR(__xludf.DUMMYFUNCTION("""COMPUTED_VALUE"""),430143.0)</f>
        <v>430143</v>
      </c>
    </row>
    <row r="288">
      <c r="A288" s="20">
        <f>IFERROR(__xludf.DUMMYFUNCTION("""COMPUTED_VALUE"""),287.0)</f>
        <v>287</v>
      </c>
      <c r="B288" s="20" t="str">
        <f>IFERROR(__xludf.DUMMYFUNCTION("""COMPUTED_VALUE"""),"Find the Duplicate Number")</f>
        <v>Find the Duplicate Number</v>
      </c>
      <c r="C288" s="20" t="str">
        <f>IFERROR(__xludf.DUMMYFUNCTION("""COMPUTED_VALUE"""),"find-the-duplicate-number")</f>
        <v>find-the-duplicate-number</v>
      </c>
      <c r="D288" s="20" t="b">
        <f>IFERROR(__xludf.DUMMYFUNCTION("""COMPUTED_VALUE"""),FALSE)</f>
        <v>0</v>
      </c>
      <c r="E288" s="20" t="str">
        <f>IFERROR(__xludf.DUMMYFUNCTION("""COMPUTED_VALUE"""),"Medium")</f>
        <v>Medium</v>
      </c>
      <c r="F288" s="20">
        <f>IFERROR(__xludf.DUMMYFUNCTION("""COMPUTED_VALUE"""),17623.0)</f>
        <v>17623</v>
      </c>
      <c r="G288" s="20">
        <f>IFERROR(__xludf.DUMMYFUNCTION("""COMPUTED_VALUE"""),2437.0)</f>
        <v>2437</v>
      </c>
      <c r="H288" s="20" t="str">
        <f>IFERROR(__xludf.DUMMYFUNCTION("""COMPUTED_VALUE"""),"Algorithms")</f>
        <v>Algorithms</v>
      </c>
      <c r="I288" s="20">
        <f>IFERROR(__xludf.DUMMYFUNCTION("""COMPUTED_VALUE"""),0.591)</f>
        <v>0.591</v>
      </c>
      <c r="J288" s="20">
        <f>IFERROR(__xludf.DUMMYFUNCTION("""COMPUTED_VALUE"""),287.0)</f>
        <v>287</v>
      </c>
      <c r="K288" s="20" t="b">
        <f>IFERROR(__xludf.DUMMYFUNCTION("""COMPUTED_VALUE"""),FALSE)</f>
        <v>0</v>
      </c>
      <c r="L288" s="20" t="str">
        <f>IFERROR(__xludf.DUMMYFUNCTION("""COMPUTED_VALUE"""),"Array;Two Pointers;Binary Search;Bit Manipulation;")</f>
        <v>Array;Two Pointers;Binary Search;Bit Manipulation;</v>
      </c>
      <c r="M288" s="20" t="b">
        <f>IFERROR(__xludf.DUMMYFUNCTION("""COMPUTED_VALUE"""),TRUE)</f>
        <v>1</v>
      </c>
      <c r="N288" s="20" t="b">
        <f>IFERROR(__xludf.DUMMYFUNCTION("""COMPUTED_VALUE"""),FALSE)</f>
        <v>0</v>
      </c>
      <c r="O288" s="20">
        <f>IFERROR(__xludf.DUMMYFUNCTION("""COMPUTED_VALUE"""),59.123186406168)</f>
        <v>59.12318641</v>
      </c>
      <c r="P288" s="20">
        <f>IFERROR(__xludf.DUMMYFUNCTION("""COMPUTED_VALUE"""),1075538.0)</f>
        <v>1075538</v>
      </c>
      <c r="Q288" s="20">
        <f>IFERROR(__xludf.DUMMYFUNCTION("""COMPUTED_VALUE"""),1819153.0)</f>
        <v>1819153</v>
      </c>
    </row>
    <row r="289">
      <c r="A289" s="20">
        <f>IFERROR(__xludf.DUMMYFUNCTION("""COMPUTED_VALUE"""),288.0)</f>
        <v>288</v>
      </c>
      <c r="B289" s="20" t="str">
        <f>IFERROR(__xludf.DUMMYFUNCTION("""COMPUTED_VALUE"""),"Unique Word Abbreviation")</f>
        <v>Unique Word Abbreviation</v>
      </c>
      <c r="C289" s="20" t="str">
        <f>IFERROR(__xludf.DUMMYFUNCTION("""COMPUTED_VALUE"""),"unique-word-abbreviation")</f>
        <v>unique-word-abbreviation</v>
      </c>
      <c r="D289" s="20" t="b">
        <f>IFERROR(__xludf.DUMMYFUNCTION("""COMPUTED_VALUE"""),TRUE)</f>
        <v>1</v>
      </c>
      <c r="E289" s="20" t="str">
        <f>IFERROR(__xludf.DUMMYFUNCTION("""COMPUTED_VALUE"""),"Medium")</f>
        <v>Medium</v>
      </c>
      <c r="F289" s="20">
        <f>IFERROR(__xludf.DUMMYFUNCTION("""COMPUTED_VALUE"""),177.0)</f>
        <v>177</v>
      </c>
      <c r="G289" s="20">
        <f>IFERROR(__xludf.DUMMYFUNCTION("""COMPUTED_VALUE"""),1734.0)</f>
        <v>1734</v>
      </c>
      <c r="H289" s="20" t="str">
        <f>IFERROR(__xludf.DUMMYFUNCTION("""COMPUTED_VALUE"""),"Algorithms")</f>
        <v>Algorithms</v>
      </c>
      <c r="I289" s="20">
        <f>IFERROR(__xludf.DUMMYFUNCTION("""COMPUTED_VALUE"""),0.254)</f>
        <v>0.254</v>
      </c>
      <c r="J289" s="20">
        <f>IFERROR(__xludf.DUMMYFUNCTION("""COMPUTED_VALUE"""),288.0)</f>
        <v>288</v>
      </c>
      <c r="K289" s="20" t="b">
        <f>IFERROR(__xludf.DUMMYFUNCTION("""COMPUTED_VALUE"""),TRUE)</f>
        <v>1</v>
      </c>
      <c r="L289" s="20" t="str">
        <f>IFERROR(__xludf.DUMMYFUNCTION("""COMPUTED_VALUE"""),"Array;Hash Table;String;Design;")</f>
        <v>Array;Hash Table;String;Design;</v>
      </c>
      <c r="M289" s="20" t="b">
        <f>IFERROR(__xludf.DUMMYFUNCTION("""COMPUTED_VALUE"""),FALSE)</f>
        <v>0</v>
      </c>
      <c r="N289" s="20" t="b">
        <f>IFERROR(__xludf.DUMMYFUNCTION("""COMPUTED_VALUE"""),FALSE)</f>
        <v>0</v>
      </c>
      <c r="O289" s="20">
        <f>IFERROR(__xludf.DUMMYFUNCTION("""COMPUTED_VALUE"""),25.4226938471562)</f>
        <v>25.42269385</v>
      </c>
      <c r="P289" s="20">
        <f>IFERROR(__xludf.DUMMYFUNCTION("""COMPUTED_VALUE"""),68279.0)</f>
        <v>68279</v>
      </c>
      <c r="Q289" s="20">
        <f>IFERROR(__xludf.DUMMYFUNCTION("""COMPUTED_VALUE"""),268575.0)</f>
        <v>268575</v>
      </c>
    </row>
    <row r="290">
      <c r="A290" s="20">
        <f>IFERROR(__xludf.DUMMYFUNCTION("""COMPUTED_VALUE"""),289.0)</f>
        <v>289</v>
      </c>
      <c r="B290" s="20" t="str">
        <f>IFERROR(__xludf.DUMMYFUNCTION("""COMPUTED_VALUE"""),"Game of Life")</f>
        <v>Game of Life</v>
      </c>
      <c r="C290" s="20" t="str">
        <f>IFERROR(__xludf.DUMMYFUNCTION("""COMPUTED_VALUE"""),"game-of-life")</f>
        <v>game-of-life</v>
      </c>
      <c r="D290" s="20" t="b">
        <f>IFERROR(__xludf.DUMMYFUNCTION("""COMPUTED_VALUE"""),FALSE)</f>
        <v>0</v>
      </c>
      <c r="E290" s="20" t="str">
        <f>IFERROR(__xludf.DUMMYFUNCTION("""COMPUTED_VALUE"""),"Medium")</f>
        <v>Medium</v>
      </c>
      <c r="F290" s="20">
        <f>IFERROR(__xludf.DUMMYFUNCTION("""COMPUTED_VALUE"""),5407.0)</f>
        <v>5407</v>
      </c>
      <c r="G290" s="20">
        <f>IFERROR(__xludf.DUMMYFUNCTION("""COMPUTED_VALUE"""),471.0)</f>
        <v>471</v>
      </c>
      <c r="H290" s="20" t="str">
        <f>IFERROR(__xludf.DUMMYFUNCTION("""COMPUTED_VALUE"""),"Algorithms")</f>
        <v>Algorithms</v>
      </c>
      <c r="I290" s="20">
        <f>IFERROR(__xludf.DUMMYFUNCTION("""COMPUTED_VALUE"""),0.669)</f>
        <v>0.669</v>
      </c>
      <c r="J290" s="20">
        <f>IFERROR(__xludf.DUMMYFUNCTION("""COMPUTED_VALUE"""),289.0)</f>
        <v>289</v>
      </c>
      <c r="K290" s="20" t="b">
        <f>IFERROR(__xludf.DUMMYFUNCTION("""COMPUTED_VALUE"""),FALSE)</f>
        <v>0</v>
      </c>
      <c r="L290" s="20" t="str">
        <f>IFERROR(__xludf.DUMMYFUNCTION("""COMPUTED_VALUE"""),"Array;Matrix;Simulation;")</f>
        <v>Array;Matrix;Simulation;</v>
      </c>
      <c r="M290" s="20" t="b">
        <f>IFERROR(__xludf.DUMMYFUNCTION("""COMPUTED_VALUE"""),TRUE)</f>
        <v>1</v>
      </c>
      <c r="N290" s="20" t="b">
        <f>IFERROR(__xludf.DUMMYFUNCTION("""COMPUTED_VALUE"""),TRUE)</f>
        <v>1</v>
      </c>
      <c r="O290" s="20">
        <f>IFERROR(__xludf.DUMMYFUNCTION("""COMPUTED_VALUE"""),66.884535441087)</f>
        <v>66.88453544</v>
      </c>
      <c r="P290" s="20">
        <f>IFERROR(__xludf.DUMMYFUNCTION("""COMPUTED_VALUE"""),378422.0)</f>
        <v>378422</v>
      </c>
      <c r="Q290" s="20">
        <f>IFERROR(__xludf.DUMMYFUNCTION("""COMPUTED_VALUE"""),565784.0)</f>
        <v>565784</v>
      </c>
    </row>
    <row r="291">
      <c r="A291" s="20">
        <f>IFERROR(__xludf.DUMMYFUNCTION("""COMPUTED_VALUE"""),290.0)</f>
        <v>290</v>
      </c>
      <c r="B291" s="20" t="str">
        <f>IFERROR(__xludf.DUMMYFUNCTION("""COMPUTED_VALUE"""),"Word Pattern")</f>
        <v>Word Pattern</v>
      </c>
      <c r="C291" s="20" t="str">
        <f>IFERROR(__xludf.DUMMYFUNCTION("""COMPUTED_VALUE"""),"word-pattern")</f>
        <v>word-pattern</v>
      </c>
      <c r="D291" s="20" t="b">
        <f>IFERROR(__xludf.DUMMYFUNCTION("""COMPUTED_VALUE"""),FALSE)</f>
        <v>0</v>
      </c>
      <c r="E291" s="20" t="str">
        <f>IFERROR(__xludf.DUMMYFUNCTION("""COMPUTED_VALUE"""),"Easy")</f>
        <v>Easy</v>
      </c>
      <c r="F291" s="20">
        <f>IFERROR(__xludf.DUMMYFUNCTION("""COMPUTED_VALUE"""),5596.0)</f>
        <v>5596</v>
      </c>
      <c r="G291" s="20">
        <f>IFERROR(__xludf.DUMMYFUNCTION("""COMPUTED_VALUE"""),646.0)</f>
        <v>646</v>
      </c>
      <c r="H291" s="20" t="str">
        <f>IFERROR(__xludf.DUMMYFUNCTION("""COMPUTED_VALUE"""),"Algorithms")</f>
        <v>Algorithms</v>
      </c>
      <c r="I291" s="20">
        <f>IFERROR(__xludf.DUMMYFUNCTION("""COMPUTED_VALUE"""),0.416)</f>
        <v>0.416</v>
      </c>
      <c r="J291" s="20">
        <f>IFERROR(__xludf.DUMMYFUNCTION("""COMPUTED_VALUE"""),290.0)</f>
        <v>290</v>
      </c>
      <c r="K291" s="20" t="b">
        <f>IFERROR(__xludf.DUMMYFUNCTION("""COMPUTED_VALUE"""),FALSE)</f>
        <v>0</v>
      </c>
      <c r="L291" s="20" t="str">
        <f>IFERROR(__xludf.DUMMYFUNCTION("""COMPUTED_VALUE"""),"Hash Table;String;")</f>
        <v>Hash Table;String;</v>
      </c>
      <c r="M291" s="20" t="b">
        <f>IFERROR(__xludf.DUMMYFUNCTION("""COMPUTED_VALUE"""),TRUE)</f>
        <v>1</v>
      </c>
      <c r="N291" s="20" t="b">
        <f>IFERROR(__xludf.DUMMYFUNCTION("""COMPUTED_VALUE"""),FALSE)</f>
        <v>0</v>
      </c>
      <c r="O291" s="20">
        <f>IFERROR(__xludf.DUMMYFUNCTION("""COMPUTED_VALUE"""),41.5511025638123)</f>
        <v>41.55110256</v>
      </c>
      <c r="P291" s="20">
        <f>IFERROR(__xludf.DUMMYFUNCTION("""COMPUTED_VALUE"""),477153.0)</f>
        <v>477153</v>
      </c>
      <c r="Q291" s="20">
        <f>IFERROR(__xludf.DUMMYFUNCTION("""COMPUTED_VALUE"""),1148370.0)</f>
        <v>1148370</v>
      </c>
    </row>
    <row r="292">
      <c r="A292" s="20">
        <f>IFERROR(__xludf.DUMMYFUNCTION("""COMPUTED_VALUE"""),291.0)</f>
        <v>291</v>
      </c>
      <c r="B292" s="20" t="str">
        <f>IFERROR(__xludf.DUMMYFUNCTION("""COMPUTED_VALUE"""),"Word Pattern II")</f>
        <v>Word Pattern II</v>
      </c>
      <c r="C292" s="20" t="str">
        <f>IFERROR(__xludf.DUMMYFUNCTION("""COMPUTED_VALUE"""),"word-pattern-ii")</f>
        <v>word-pattern-ii</v>
      </c>
      <c r="D292" s="20" t="b">
        <f>IFERROR(__xludf.DUMMYFUNCTION("""COMPUTED_VALUE"""),TRUE)</f>
        <v>1</v>
      </c>
      <c r="E292" s="20" t="str">
        <f>IFERROR(__xludf.DUMMYFUNCTION("""COMPUTED_VALUE"""),"Medium")</f>
        <v>Medium</v>
      </c>
      <c r="F292" s="20">
        <f>IFERROR(__xludf.DUMMYFUNCTION("""COMPUTED_VALUE"""),813.0)</f>
        <v>813</v>
      </c>
      <c r="G292" s="20">
        <f>IFERROR(__xludf.DUMMYFUNCTION("""COMPUTED_VALUE"""),64.0)</f>
        <v>64</v>
      </c>
      <c r="H292" s="20" t="str">
        <f>IFERROR(__xludf.DUMMYFUNCTION("""COMPUTED_VALUE"""),"Algorithms")</f>
        <v>Algorithms</v>
      </c>
      <c r="I292" s="20">
        <f>IFERROR(__xludf.DUMMYFUNCTION("""COMPUTED_VALUE"""),0.47)</f>
        <v>0.47</v>
      </c>
      <c r="J292" s="20">
        <f>IFERROR(__xludf.DUMMYFUNCTION("""COMPUTED_VALUE"""),291.0)</f>
        <v>291</v>
      </c>
      <c r="K292" s="20" t="b">
        <f>IFERROR(__xludf.DUMMYFUNCTION("""COMPUTED_VALUE"""),TRUE)</f>
        <v>1</v>
      </c>
      <c r="L292" s="20" t="str">
        <f>IFERROR(__xludf.DUMMYFUNCTION("""COMPUTED_VALUE"""),"Hash Table;String;Backtracking;")</f>
        <v>Hash Table;String;Backtracking;</v>
      </c>
      <c r="M292" s="20" t="b">
        <f>IFERROR(__xludf.DUMMYFUNCTION("""COMPUTED_VALUE"""),FALSE)</f>
        <v>0</v>
      </c>
      <c r="N292" s="20" t="b">
        <f>IFERROR(__xludf.DUMMYFUNCTION("""COMPUTED_VALUE"""),FALSE)</f>
        <v>0</v>
      </c>
      <c r="O292" s="20">
        <f>IFERROR(__xludf.DUMMYFUNCTION("""COMPUTED_VALUE"""),46.9727591016481)</f>
        <v>46.9727591</v>
      </c>
      <c r="P292" s="20">
        <f>IFERROR(__xludf.DUMMYFUNCTION("""COMPUTED_VALUE"""),66007.0)</f>
        <v>66007</v>
      </c>
      <c r="Q292" s="20">
        <f>IFERROR(__xludf.DUMMYFUNCTION("""COMPUTED_VALUE"""),140523.0)</f>
        <v>140523</v>
      </c>
    </row>
    <row r="293">
      <c r="A293" s="20">
        <f>IFERROR(__xludf.DUMMYFUNCTION("""COMPUTED_VALUE"""),292.0)</f>
        <v>292</v>
      </c>
      <c r="B293" s="20" t="str">
        <f>IFERROR(__xludf.DUMMYFUNCTION("""COMPUTED_VALUE"""),"Nim Game")</f>
        <v>Nim Game</v>
      </c>
      <c r="C293" s="20" t="str">
        <f>IFERROR(__xludf.DUMMYFUNCTION("""COMPUTED_VALUE"""),"nim-game")</f>
        <v>nim-game</v>
      </c>
      <c r="D293" s="20" t="b">
        <f>IFERROR(__xludf.DUMMYFUNCTION("""COMPUTED_VALUE"""),FALSE)</f>
        <v>0</v>
      </c>
      <c r="E293" s="20" t="str">
        <f>IFERROR(__xludf.DUMMYFUNCTION("""COMPUTED_VALUE"""),"Easy")</f>
        <v>Easy</v>
      </c>
      <c r="F293" s="20">
        <f>IFERROR(__xludf.DUMMYFUNCTION("""COMPUTED_VALUE"""),1296.0)</f>
        <v>1296</v>
      </c>
      <c r="G293" s="20">
        <f>IFERROR(__xludf.DUMMYFUNCTION("""COMPUTED_VALUE"""),2437.0)</f>
        <v>2437</v>
      </c>
      <c r="H293" s="20" t="str">
        <f>IFERROR(__xludf.DUMMYFUNCTION("""COMPUTED_VALUE"""),"Algorithms")</f>
        <v>Algorithms</v>
      </c>
      <c r="I293" s="20">
        <f>IFERROR(__xludf.DUMMYFUNCTION("""COMPUTED_VALUE"""),0.56)</f>
        <v>0.56</v>
      </c>
      <c r="J293" s="20">
        <f>IFERROR(__xludf.DUMMYFUNCTION("""COMPUTED_VALUE"""),292.0)</f>
        <v>292</v>
      </c>
      <c r="K293" s="20" t="b">
        <f>IFERROR(__xludf.DUMMYFUNCTION("""COMPUTED_VALUE"""),FALSE)</f>
        <v>0</v>
      </c>
      <c r="L293" s="20" t="str">
        <f>IFERROR(__xludf.DUMMYFUNCTION("""COMPUTED_VALUE"""),"Math;Brainteaser;Game Theory;")</f>
        <v>Math;Brainteaser;Game Theory;</v>
      </c>
      <c r="M293" s="20" t="b">
        <f>IFERROR(__xludf.DUMMYFUNCTION("""COMPUTED_VALUE"""),TRUE)</f>
        <v>1</v>
      </c>
      <c r="N293" s="20" t="b">
        <f>IFERROR(__xludf.DUMMYFUNCTION("""COMPUTED_VALUE"""),FALSE)</f>
        <v>0</v>
      </c>
      <c r="O293" s="20">
        <f>IFERROR(__xludf.DUMMYFUNCTION("""COMPUTED_VALUE"""),55.9593461332612)</f>
        <v>55.95934613</v>
      </c>
      <c r="P293" s="20">
        <f>IFERROR(__xludf.DUMMYFUNCTION("""COMPUTED_VALUE"""),306346.0)</f>
        <v>306346</v>
      </c>
      <c r="Q293" s="20">
        <f>IFERROR(__xludf.DUMMYFUNCTION("""COMPUTED_VALUE"""),547444.0)</f>
        <v>547444</v>
      </c>
    </row>
    <row r="294">
      <c r="A294" s="20">
        <f>IFERROR(__xludf.DUMMYFUNCTION("""COMPUTED_VALUE"""),293.0)</f>
        <v>293</v>
      </c>
      <c r="B294" s="20" t="str">
        <f>IFERROR(__xludf.DUMMYFUNCTION("""COMPUTED_VALUE"""),"Flip Game")</f>
        <v>Flip Game</v>
      </c>
      <c r="C294" s="20" t="str">
        <f>IFERROR(__xludf.DUMMYFUNCTION("""COMPUTED_VALUE"""),"flip-game")</f>
        <v>flip-game</v>
      </c>
      <c r="D294" s="20" t="b">
        <f>IFERROR(__xludf.DUMMYFUNCTION("""COMPUTED_VALUE"""),TRUE)</f>
        <v>1</v>
      </c>
      <c r="E294" s="20" t="str">
        <f>IFERROR(__xludf.DUMMYFUNCTION("""COMPUTED_VALUE"""),"Easy")</f>
        <v>Easy</v>
      </c>
      <c r="F294" s="20">
        <f>IFERROR(__xludf.DUMMYFUNCTION("""COMPUTED_VALUE"""),182.0)</f>
        <v>182</v>
      </c>
      <c r="G294" s="20">
        <f>IFERROR(__xludf.DUMMYFUNCTION("""COMPUTED_VALUE"""),415.0)</f>
        <v>415</v>
      </c>
      <c r="H294" s="20" t="str">
        <f>IFERROR(__xludf.DUMMYFUNCTION("""COMPUTED_VALUE"""),"Algorithms")</f>
        <v>Algorithms</v>
      </c>
      <c r="I294" s="20">
        <f>IFERROR(__xludf.DUMMYFUNCTION("""COMPUTED_VALUE"""),0.631)</f>
        <v>0.631</v>
      </c>
      <c r="J294" s="20">
        <f>IFERROR(__xludf.DUMMYFUNCTION("""COMPUTED_VALUE"""),293.0)</f>
        <v>293</v>
      </c>
      <c r="K294" s="20" t="b">
        <f>IFERROR(__xludf.DUMMYFUNCTION("""COMPUTED_VALUE"""),TRUE)</f>
        <v>1</v>
      </c>
      <c r="L294" s="20" t="str">
        <f>IFERROR(__xludf.DUMMYFUNCTION("""COMPUTED_VALUE"""),"String;")</f>
        <v>String;</v>
      </c>
      <c r="M294" s="20" t="b">
        <f>IFERROR(__xludf.DUMMYFUNCTION("""COMPUTED_VALUE"""),FALSE)</f>
        <v>0</v>
      </c>
      <c r="N294" s="20" t="b">
        <f>IFERROR(__xludf.DUMMYFUNCTION("""COMPUTED_VALUE"""),FALSE)</f>
        <v>0</v>
      </c>
      <c r="O294" s="20">
        <f>IFERROR(__xludf.DUMMYFUNCTION("""COMPUTED_VALUE"""),63.1101707722532)</f>
        <v>63.11017077</v>
      </c>
      <c r="P294" s="20">
        <f>IFERROR(__xludf.DUMMYFUNCTION("""COMPUTED_VALUE"""),62640.0)</f>
        <v>62640</v>
      </c>
      <c r="Q294" s="20">
        <f>IFERROR(__xludf.DUMMYFUNCTION("""COMPUTED_VALUE"""),99255.0)</f>
        <v>99255</v>
      </c>
    </row>
    <row r="295">
      <c r="A295" s="20">
        <f>IFERROR(__xludf.DUMMYFUNCTION("""COMPUTED_VALUE"""),294.0)</f>
        <v>294</v>
      </c>
      <c r="B295" s="20" t="str">
        <f>IFERROR(__xludf.DUMMYFUNCTION("""COMPUTED_VALUE"""),"Flip Game II")</f>
        <v>Flip Game II</v>
      </c>
      <c r="C295" s="20" t="str">
        <f>IFERROR(__xludf.DUMMYFUNCTION("""COMPUTED_VALUE"""),"flip-game-ii")</f>
        <v>flip-game-ii</v>
      </c>
      <c r="D295" s="20" t="b">
        <f>IFERROR(__xludf.DUMMYFUNCTION("""COMPUTED_VALUE"""),TRUE)</f>
        <v>1</v>
      </c>
      <c r="E295" s="20" t="str">
        <f>IFERROR(__xludf.DUMMYFUNCTION("""COMPUTED_VALUE"""),"Medium")</f>
        <v>Medium</v>
      </c>
      <c r="F295" s="20">
        <f>IFERROR(__xludf.DUMMYFUNCTION("""COMPUTED_VALUE"""),563.0)</f>
        <v>563</v>
      </c>
      <c r="G295" s="20">
        <f>IFERROR(__xludf.DUMMYFUNCTION("""COMPUTED_VALUE"""),55.0)</f>
        <v>55</v>
      </c>
      <c r="H295" s="20" t="str">
        <f>IFERROR(__xludf.DUMMYFUNCTION("""COMPUTED_VALUE"""),"Algorithms")</f>
        <v>Algorithms</v>
      </c>
      <c r="I295" s="20">
        <f>IFERROR(__xludf.DUMMYFUNCTION("""COMPUTED_VALUE"""),0.518)</f>
        <v>0.518</v>
      </c>
      <c r="J295" s="20">
        <f>IFERROR(__xludf.DUMMYFUNCTION("""COMPUTED_VALUE"""),294.0)</f>
        <v>294</v>
      </c>
      <c r="K295" s="20" t="b">
        <f>IFERROR(__xludf.DUMMYFUNCTION("""COMPUTED_VALUE"""),TRUE)</f>
        <v>1</v>
      </c>
      <c r="L295" s="20" t="str">
        <f>IFERROR(__xludf.DUMMYFUNCTION("""COMPUTED_VALUE"""),"Math;Dynamic Programming;Backtracking;Memoization;Game Theory;")</f>
        <v>Math;Dynamic Programming;Backtracking;Memoization;Game Theory;</v>
      </c>
      <c r="M295" s="20" t="b">
        <f>IFERROR(__xludf.DUMMYFUNCTION("""COMPUTED_VALUE"""),FALSE)</f>
        <v>0</v>
      </c>
      <c r="N295" s="20" t="b">
        <f>IFERROR(__xludf.DUMMYFUNCTION("""COMPUTED_VALUE"""),FALSE)</f>
        <v>0</v>
      </c>
      <c r="O295" s="20">
        <f>IFERROR(__xludf.DUMMYFUNCTION("""COMPUTED_VALUE"""),51.8402761580445)</f>
        <v>51.84027616</v>
      </c>
      <c r="P295" s="20">
        <f>IFERROR(__xludf.DUMMYFUNCTION("""COMPUTED_VALUE"""),66678.0)</f>
        <v>66678</v>
      </c>
      <c r="Q295" s="20">
        <f>IFERROR(__xludf.DUMMYFUNCTION("""COMPUTED_VALUE"""),128622.0)</f>
        <v>128622</v>
      </c>
    </row>
    <row r="296">
      <c r="A296" s="20">
        <f>IFERROR(__xludf.DUMMYFUNCTION("""COMPUTED_VALUE"""),295.0)</f>
        <v>295</v>
      </c>
      <c r="B296" s="20" t="str">
        <f>IFERROR(__xludf.DUMMYFUNCTION("""COMPUTED_VALUE"""),"Find Median from Data Stream")</f>
        <v>Find Median from Data Stream</v>
      </c>
      <c r="C296" s="20" t="str">
        <f>IFERROR(__xludf.DUMMYFUNCTION("""COMPUTED_VALUE"""),"find-median-from-data-stream")</f>
        <v>find-median-from-data-stream</v>
      </c>
      <c r="D296" s="20" t="b">
        <f>IFERROR(__xludf.DUMMYFUNCTION("""COMPUTED_VALUE"""),FALSE)</f>
        <v>0</v>
      </c>
      <c r="E296" s="20" t="str">
        <f>IFERROR(__xludf.DUMMYFUNCTION("""COMPUTED_VALUE"""),"Hard")</f>
        <v>Hard</v>
      </c>
      <c r="F296" s="20">
        <f>IFERROR(__xludf.DUMMYFUNCTION("""COMPUTED_VALUE"""),9666.0)</f>
        <v>9666</v>
      </c>
      <c r="G296" s="20">
        <f>IFERROR(__xludf.DUMMYFUNCTION("""COMPUTED_VALUE"""),187.0)</f>
        <v>187</v>
      </c>
      <c r="H296" s="20" t="str">
        <f>IFERROR(__xludf.DUMMYFUNCTION("""COMPUTED_VALUE"""),"Algorithms")</f>
        <v>Algorithms</v>
      </c>
      <c r="I296" s="20">
        <f>IFERROR(__xludf.DUMMYFUNCTION("""COMPUTED_VALUE"""),0.515)</f>
        <v>0.515</v>
      </c>
      <c r="J296" s="20">
        <f>IFERROR(__xludf.DUMMYFUNCTION("""COMPUTED_VALUE"""),295.0)</f>
        <v>295</v>
      </c>
      <c r="K296" s="20" t="b">
        <f>IFERROR(__xludf.DUMMYFUNCTION("""COMPUTED_VALUE"""),FALSE)</f>
        <v>0</v>
      </c>
      <c r="L296" s="20" t="str">
        <f>IFERROR(__xludf.DUMMYFUNCTION("""COMPUTED_VALUE"""),"Two Pointers;Design;Sorting;Heap (Priority Queue);Data Stream;")</f>
        <v>Two Pointers;Design;Sorting;Heap (Priority Queue);Data Stream;</v>
      </c>
      <c r="M296" s="20" t="b">
        <f>IFERROR(__xludf.DUMMYFUNCTION("""COMPUTED_VALUE"""),TRUE)</f>
        <v>1</v>
      </c>
      <c r="N296" s="20" t="b">
        <f>IFERROR(__xludf.DUMMYFUNCTION("""COMPUTED_VALUE"""),FALSE)</f>
        <v>0</v>
      </c>
      <c r="O296" s="20">
        <f>IFERROR(__xludf.DUMMYFUNCTION("""COMPUTED_VALUE"""),51.4928761917892)</f>
        <v>51.49287619</v>
      </c>
      <c r="P296" s="20">
        <f>IFERROR(__xludf.DUMMYFUNCTION("""COMPUTED_VALUE"""),597594.0)</f>
        <v>597594</v>
      </c>
      <c r="Q296" s="20">
        <f>IFERROR(__xludf.DUMMYFUNCTION("""COMPUTED_VALUE"""),1160538.0)</f>
        <v>1160538</v>
      </c>
    </row>
    <row r="297">
      <c r="A297" s="20">
        <f>IFERROR(__xludf.DUMMYFUNCTION("""COMPUTED_VALUE"""),296.0)</f>
        <v>296</v>
      </c>
      <c r="B297" s="20" t="str">
        <f>IFERROR(__xludf.DUMMYFUNCTION("""COMPUTED_VALUE"""),"Best Meeting Point")</f>
        <v>Best Meeting Point</v>
      </c>
      <c r="C297" s="20" t="str">
        <f>IFERROR(__xludf.DUMMYFUNCTION("""COMPUTED_VALUE"""),"best-meeting-point")</f>
        <v>best-meeting-point</v>
      </c>
      <c r="D297" s="20" t="b">
        <f>IFERROR(__xludf.DUMMYFUNCTION("""COMPUTED_VALUE"""),TRUE)</f>
        <v>1</v>
      </c>
      <c r="E297" s="20" t="str">
        <f>IFERROR(__xludf.DUMMYFUNCTION("""COMPUTED_VALUE"""),"Hard")</f>
        <v>Hard</v>
      </c>
      <c r="F297" s="20">
        <f>IFERROR(__xludf.DUMMYFUNCTION("""COMPUTED_VALUE"""),1023.0)</f>
        <v>1023</v>
      </c>
      <c r="G297" s="20">
        <f>IFERROR(__xludf.DUMMYFUNCTION("""COMPUTED_VALUE"""),85.0)</f>
        <v>85</v>
      </c>
      <c r="H297" s="20" t="str">
        <f>IFERROR(__xludf.DUMMYFUNCTION("""COMPUTED_VALUE"""),"Algorithms")</f>
        <v>Algorithms</v>
      </c>
      <c r="I297" s="20">
        <f>IFERROR(__xludf.DUMMYFUNCTION("""COMPUTED_VALUE"""),0.601)</f>
        <v>0.601</v>
      </c>
      <c r="J297" s="20">
        <f>IFERROR(__xludf.DUMMYFUNCTION("""COMPUTED_VALUE"""),296.0)</f>
        <v>296</v>
      </c>
      <c r="K297" s="20" t="b">
        <f>IFERROR(__xludf.DUMMYFUNCTION("""COMPUTED_VALUE"""),TRUE)</f>
        <v>1</v>
      </c>
      <c r="L297" s="20" t="str">
        <f>IFERROR(__xludf.DUMMYFUNCTION("""COMPUTED_VALUE"""),"Array;Math;Sorting;Matrix;")</f>
        <v>Array;Math;Sorting;Matrix;</v>
      </c>
      <c r="M297" s="20" t="b">
        <f>IFERROR(__xludf.DUMMYFUNCTION("""COMPUTED_VALUE"""),TRUE)</f>
        <v>1</v>
      </c>
      <c r="N297" s="20" t="b">
        <f>IFERROR(__xludf.DUMMYFUNCTION("""COMPUTED_VALUE"""),FALSE)</f>
        <v>0</v>
      </c>
      <c r="O297" s="20">
        <f>IFERROR(__xludf.DUMMYFUNCTION("""COMPUTED_VALUE"""),60.0828112032248)</f>
        <v>60.0828112</v>
      </c>
      <c r="P297" s="20">
        <f>IFERROR(__xludf.DUMMYFUNCTION("""COMPUTED_VALUE"""),65879.0)</f>
        <v>65879</v>
      </c>
      <c r="Q297" s="20">
        <f>IFERROR(__xludf.DUMMYFUNCTION("""COMPUTED_VALUE"""),109647.0)</f>
        <v>109647</v>
      </c>
    </row>
    <row r="298">
      <c r="A298" s="20">
        <f>IFERROR(__xludf.DUMMYFUNCTION("""COMPUTED_VALUE"""),297.0)</f>
        <v>297</v>
      </c>
      <c r="B298" s="20" t="str">
        <f>IFERROR(__xludf.DUMMYFUNCTION("""COMPUTED_VALUE"""),"Serialize and Deserialize Binary Tree")</f>
        <v>Serialize and Deserialize Binary Tree</v>
      </c>
      <c r="C298" s="20" t="str">
        <f>IFERROR(__xludf.DUMMYFUNCTION("""COMPUTED_VALUE"""),"serialize-and-deserialize-binary-tree")</f>
        <v>serialize-and-deserialize-binary-tree</v>
      </c>
      <c r="D298" s="20" t="b">
        <f>IFERROR(__xludf.DUMMYFUNCTION("""COMPUTED_VALUE"""),FALSE)</f>
        <v>0</v>
      </c>
      <c r="E298" s="20" t="str">
        <f>IFERROR(__xludf.DUMMYFUNCTION("""COMPUTED_VALUE"""),"Hard")</f>
        <v>Hard</v>
      </c>
      <c r="F298" s="20">
        <f>IFERROR(__xludf.DUMMYFUNCTION("""COMPUTED_VALUE"""),8227.0)</f>
        <v>8227</v>
      </c>
      <c r="G298" s="20">
        <f>IFERROR(__xludf.DUMMYFUNCTION("""COMPUTED_VALUE"""),300.0)</f>
        <v>300</v>
      </c>
      <c r="H298" s="20" t="str">
        <f>IFERROR(__xludf.DUMMYFUNCTION("""COMPUTED_VALUE"""),"Algorithms")</f>
        <v>Algorithms</v>
      </c>
      <c r="I298" s="20">
        <f>IFERROR(__xludf.DUMMYFUNCTION("""COMPUTED_VALUE"""),0.551)</f>
        <v>0.551</v>
      </c>
      <c r="J298" s="20">
        <f>IFERROR(__xludf.DUMMYFUNCTION("""COMPUTED_VALUE"""),297.0)</f>
        <v>297</v>
      </c>
      <c r="K298" s="20" t="b">
        <f>IFERROR(__xludf.DUMMYFUNCTION("""COMPUTED_VALUE"""),FALSE)</f>
        <v>0</v>
      </c>
      <c r="L298" s="20" t="str">
        <f>IFERROR(__xludf.DUMMYFUNCTION("""COMPUTED_VALUE"""),"String;Tree;Depth-First Search;Breadth-First Search;Design;Binary Tree;")</f>
        <v>String;Tree;Depth-First Search;Breadth-First Search;Design;Binary Tree;</v>
      </c>
      <c r="M298" s="20" t="b">
        <f>IFERROR(__xludf.DUMMYFUNCTION("""COMPUTED_VALUE"""),TRUE)</f>
        <v>1</v>
      </c>
      <c r="N298" s="20" t="b">
        <f>IFERROR(__xludf.DUMMYFUNCTION("""COMPUTED_VALUE"""),FALSE)</f>
        <v>0</v>
      </c>
      <c r="O298" s="20">
        <f>IFERROR(__xludf.DUMMYFUNCTION("""COMPUTED_VALUE"""),55.148040286373)</f>
        <v>55.14804029</v>
      </c>
      <c r="P298" s="20">
        <f>IFERROR(__xludf.DUMMYFUNCTION("""COMPUTED_VALUE"""),708973.0)</f>
        <v>708973</v>
      </c>
      <c r="Q298" s="20">
        <f>IFERROR(__xludf.DUMMYFUNCTION("""COMPUTED_VALUE"""),1285588.0)</f>
        <v>1285588</v>
      </c>
    </row>
    <row r="299">
      <c r="A299" s="20">
        <f>IFERROR(__xludf.DUMMYFUNCTION("""COMPUTED_VALUE"""),298.0)</f>
        <v>298</v>
      </c>
      <c r="B299" s="20" t="str">
        <f>IFERROR(__xludf.DUMMYFUNCTION("""COMPUTED_VALUE"""),"Binary Tree Longest Consecutive Sequence")</f>
        <v>Binary Tree Longest Consecutive Sequence</v>
      </c>
      <c r="C299" s="20" t="str">
        <f>IFERROR(__xludf.DUMMYFUNCTION("""COMPUTED_VALUE"""),"binary-tree-longest-consecutive-sequence")</f>
        <v>binary-tree-longest-consecutive-sequence</v>
      </c>
      <c r="D299" s="20" t="b">
        <f>IFERROR(__xludf.DUMMYFUNCTION("""COMPUTED_VALUE"""),TRUE)</f>
        <v>1</v>
      </c>
      <c r="E299" s="20" t="str">
        <f>IFERROR(__xludf.DUMMYFUNCTION("""COMPUTED_VALUE"""),"Medium")</f>
        <v>Medium</v>
      </c>
      <c r="F299" s="20">
        <f>IFERROR(__xludf.DUMMYFUNCTION("""COMPUTED_VALUE"""),1042.0)</f>
        <v>1042</v>
      </c>
      <c r="G299" s="20">
        <f>IFERROR(__xludf.DUMMYFUNCTION("""COMPUTED_VALUE"""),230.0)</f>
        <v>230</v>
      </c>
      <c r="H299" s="20" t="str">
        <f>IFERROR(__xludf.DUMMYFUNCTION("""COMPUTED_VALUE"""),"Algorithms")</f>
        <v>Algorithms</v>
      </c>
      <c r="I299" s="20">
        <f>IFERROR(__xludf.DUMMYFUNCTION("""COMPUTED_VALUE"""),0.526)</f>
        <v>0.526</v>
      </c>
      <c r="J299" s="20">
        <f>IFERROR(__xludf.DUMMYFUNCTION("""COMPUTED_VALUE"""),298.0)</f>
        <v>298</v>
      </c>
      <c r="K299" s="20" t="b">
        <f>IFERROR(__xludf.DUMMYFUNCTION("""COMPUTED_VALUE"""),TRUE)</f>
        <v>1</v>
      </c>
      <c r="L299" s="20" t="str">
        <f>IFERROR(__xludf.DUMMYFUNCTION("""COMPUTED_VALUE"""),"Tree;Depth-First Search;Binary Tree;")</f>
        <v>Tree;Depth-First Search;Binary Tree;</v>
      </c>
      <c r="M299" s="20" t="b">
        <f>IFERROR(__xludf.DUMMYFUNCTION("""COMPUTED_VALUE"""),TRUE)</f>
        <v>1</v>
      </c>
      <c r="N299" s="20" t="b">
        <f>IFERROR(__xludf.DUMMYFUNCTION("""COMPUTED_VALUE"""),FALSE)</f>
        <v>0</v>
      </c>
      <c r="O299" s="20">
        <f>IFERROR(__xludf.DUMMYFUNCTION("""COMPUTED_VALUE"""),52.6113274652398)</f>
        <v>52.61132747</v>
      </c>
      <c r="P299" s="20">
        <f>IFERROR(__xludf.DUMMYFUNCTION("""COMPUTED_VALUE"""),135500.0)</f>
        <v>135500</v>
      </c>
      <c r="Q299" s="20">
        <f>IFERROR(__xludf.DUMMYFUNCTION("""COMPUTED_VALUE"""),257550.0)</f>
        <v>257550</v>
      </c>
    </row>
    <row r="300">
      <c r="A300" s="20">
        <f>IFERROR(__xludf.DUMMYFUNCTION("""COMPUTED_VALUE"""),299.0)</f>
        <v>299</v>
      </c>
      <c r="B300" s="20" t="str">
        <f>IFERROR(__xludf.DUMMYFUNCTION("""COMPUTED_VALUE"""),"Bulls and Cows")</f>
        <v>Bulls and Cows</v>
      </c>
      <c r="C300" s="20" t="str">
        <f>IFERROR(__xludf.DUMMYFUNCTION("""COMPUTED_VALUE"""),"bulls-and-cows")</f>
        <v>bulls-and-cows</v>
      </c>
      <c r="D300" s="20" t="b">
        <f>IFERROR(__xludf.DUMMYFUNCTION("""COMPUTED_VALUE"""),FALSE)</f>
        <v>0</v>
      </c>
      <c r="E300" s="20" t="str">
        <f>IFERROR(__xludf.DUMMYFUNCTION("""COMPUTED_VALUE"""),"Medium")</f>
        <v>Medium</v>
      </c>
      <c r="F300" s="20">
        <f>IFERROR(__xludf.DUMMYFUNCTION("""COMPUTED_VALUE"""),1898.0)</f>
        <v>1898</v>
      </c>
      <c r="G300" s="20">
        <f>IFERROR(__xludf.DUMMYFUNCTION("""COMPUTED_VALUE"""),1605.0)</f>
        <v>1605</v>
      </c>
      <c r="H300" s="20" t="str">
        <f>IFERROR(__xludf.DUMMYFUNCTION("""COMPUTED_VALUE"""),"Algorithms")</f>
        <v>Algorithms</v>
      </c>
      <c r="I300" s="20">
        <f>IFERROR(__xludf.DUMMYFUNCTION("""COMPUTED_VALUE"""),0.489)</f>
        <v>0.489</v>
      </c>
      <c r="J300" s="20">
        <f>IFERROR(__xludf.DUMMYFUNCTION("""COMPUTED_VALUE"""),299.0)</f>
        <v>299</v>
      </c>
      <c r="K300" s="20" t="b">
        <f>IFERROR(__xludf.DUMMYFUNCTION("""COMPUTED_VALUE"""),FALSE)</f>
        <v>0</v>
      </c>
      <c r="L300" s="20" t="str">
        <f>IFERROR(__xludf.DUMMYFUNCTION("""COMPUTED_VALUE"""),"Hash Table;String;Counting;")</f>
        <v>Hash Table;String;Counting;</v>
      </c>
      <c r="M300" s="20" t="b">
        <f>IFERROR(__xludf.DUMMYFUNCTION("""COMPUTED_VALUE"""),TRUE)</f>
        <v>1</v>
      </c>
      <c r="N300" s="20" t="b">
        <f>IFERROR(__xludf.DUMMYFUNCTION("""COMPUTED_VALUE"""),FALSE)</f>
        <v>0</v>
      </c>
      <c r="O300" s="20">
        <f>IFERROR(__xludf.DUMMYFUNCTION("""COMPUTED_VALUE"""),48.8812096216581)</f>
        <v>48.88120962</v>
      </c>
      <c r="P300" s="20">
        <f>IFERROR(__xludf.DUMMYFUNCTION("""COMPUTED_VALUE"""),320943.0)</f>
        <v>320943</v>
      </c>
      <c r="Q300" s="20">
        <f>IFERROR(__xludf.DUMMYFUNCTION("""COMPUTED_VALUE"""),656577.0)</f>
        <v>656577</v>
      </c>
    </row>
    <row r="301">
      <c r="A301" s="20">
        <f>IFERROR(__xludf.DUMMYFUNCTION("""COMPUTED_VALUE"""),300.0)</f>
        <v>300</v>
      </c>
      <c r="B301" s="20" t="str">
        <f>IFERROR(__xludf.DUMMYFUNCTION("""COMPUTED_VALUE"""),"Longest Increasing Subsequence")</f>
        <v>Longest Increasing Subsequence</v>
      </c>
      <c r="C301" s="20" t="str">
        <f>IFERROR(__xludf.DUMMYFUNCTION("""COMPUTED_VALUE"""),"longest-increasing-subsequence")</f>
        <v>longest-increasing-subsequence</v>
      </c>
      <c r="D301" s="20" t="b">
        <f>IFERROR(__xludf.DUMMYFUNCTION("""COMPUTED_VALUE"""),FALSE)</f>
        <v>0</v>
      </c>
      <c r="E301" s="20" t="str">
        <f>IFERROR(__xludf.DUMMYFUNCTION("""COMPUTED_VALUE"""),"Medium")</f>
        <v>Medium</v>
      </c>
      <c r="F301" s="20">
        <f>IFERROR(__xludf.DUMMYFUNCTION("""COMPUTED_VALUE"""),15982.0)</f>
        <v>15982</v>
      </c>
      <c r="G301" s="20">
        <f>IFERROR(__xludf.DUMMYFUNCTION("""COMPUTED_VALUE"""),294.0)</f>
        <v>294</v>
      </c>
      <c r="H301" s="20" t="str">
        <f>IFERROR(__xludf.DUMMYFUNCTION("""COMPUTED_VALUE"""),"Algorithms")</f>
        <v>Algorithms</v>
      </c>
      <c r="I301" s="20">
        <f>IFERROR(__xludf.DUMMYFUNCTION("""COMPUTED_VALUE"""),0.517)</f>
        <v>0.517</v>
      </c>
      <c r="J301" s="20">
        <f>IFERROR(__xludf.DUMMYFUNCTION("""COMPUTED_VALUE"""),300.0)</f>
        <v>300</v>
      </c>
      <c r="K301" s="20" t="b">
        <f>IFERROR(__xludf.DUMMYFUNCTION("""COMPUTED_VALUE"""),FALSE)</f>
        <v>0</v>
      </c>
      <c r="L301" s="20" t="str">
        <f>IFERROR(__xludf.DUMMYFUNCTION("""COMPUTED_VALUE"""),"Array;Binary Search;Dynamic Programming;")</f>
        <v>Array;Binary Search;Dynamic Programming;</v>
      </c>
      <c r="M301" s="20" t="b">
        <f>IFERROR(__xludf.DUMMYFUNCTION("""COMPUTED_VALUE"""),TRUE)</f>
        <v>1</v>
      </c>
      <c r="N301" s="20" t="b">
        <f>IFERROR(__xludf.DUMMYFUNCTION("""COMPUTED_VALUE"""),FALSE)</f>
        <v>0</v>
      </c>
      <c r="O301" s="20">
        <f>IFERROR(__xludf.DUMMYFUNCTION("""COMPUTED_VALUE"""),51.7166168585641)</f>
        <v>51.71661686</v>
      </c>
      <c r="P301" s="20">
        <f>IFERROR(__xludf.DUMMYFUNCTION("""COMPUTED_VALUE"""),1122241.0)</f>
        <v>1122241</v>
      </c>
      <c r="Q301" s="20">
        <f>IFERROR(__xludf.DUMMYFUNCTION("""COMPUTED_VALUE"""),2169978.0)</f>
        <v>2169978</v>
      </c>
    </row>
    <row r="302">
      <c r="A302" s="20">
        <f>IFERROR(__xludf.DUMMYFUNCTION("""COMPUTED_VALUE"""),301.0)</f>
        <v>301</v>
      </c>
      <c r="B302" s="20" t="str">
        <f>IFERROR(__xludf.DUMMYFUNCTION("""COMPUTED_VALUE"""),"Remove Invalid Parentheses")</f>
        <v>Remove Invalid Parentheses</v>
      </c>
      <c r="C302" s="20" t="str">
        <f>IFERROR(__xludf.DUMMYFUNCTION("""COMPUTED_VALUE"""),"remove-invalid-parentheses")</f>
        <v>remove-invalid-parentheses</v>
      </c>
      <c r="D302" s="20" t="b">
        <f>IFERROR(__xludf.DUMMYFUNCTION("""COMPUTED_VALUE"""),FALSE)</f>
        <v>0</v>
      </c>
      <c r="E302" s="20" t="str">
        <f>IFERROR(__xludf.DUMMYFUNCTION("""COMPUTED_VALUE"""),"Hard")</f>
        <v>Hard</v>
      </c>
      <c r="F302" s="20">
        <f>IFERROR(__xludf.DUMMYFUNCTION("""COMPUTED_VALUE"""),5262.0)</f>
        <v>5262</v>
      </c>
      <c r="G302" s="20">
        <f>IFERROR(__xludf.DUMMYFUNCTION("""COMPUTED_VALUE"""),259.0)</f>
        <v>259</v>
      </c>
      <c r="H302" s="20" t="str">
        <f>IFERROR(__xludf.DUMMYFUNCTION("""COMPUTED_VALUE"""),"Algorithms")</f>
        <v>Algorithms</v>
      </c>
      <c r="I302" s="20">
        <f>IFERROR(__xludf.DUMMYFUNCTION("""COMPUTED_VALUE"""),0.472)</f>
        <v>0.472</v>
      </c>
      <c r="J302" s="20">
        <f>IFERROR(__xludf.DUMMYFUNCTION("""COMPUTED_VALUE"""),301.0)</f>
        <v>301</v>
      </c>
      <c r="K302" s="20" t="b">
        <f>IFERROR(__xludf.DUMMYFUNCTION("""COMPUTED_VALUE"""),FALSE)</f>
        <v>0</v>
      </c>
      <c r="L302" s="20" t="str">
        <f>IFERROR(__xludf.DUMMYFUNCTION("""COMPUTED_VALUE"""),"String;Backtracking;Breadth-First Search;")</f>
        <v>String;Backtracking;Breadth-First Search;</v>
      </c>
      <c r="M302" s="20" t="b">
        <f>IFERROR(__xludf.DUMMYFUNCTION("""COMPUTED_VALUE"""),TRUE)</f>
        <v>1</v>
      </c>
      <c r="N302" s="20" t="b">
        <f>IFERROR(__xludf.DUMMYFUNCTION("""COMPUTED_VALUE"""),FALSE)</f>
        <v>0</v>
      </c>
      <c r="O302" s="20">
        <f>IFERROR(__xludf.DUMMYFUNCTION("""COMPUTED_VALUE"""),47.1667993791073)</f>
        <v>47.16679938</v>
      </c>
      <c r="P302" s="20">
        <f>IFERROR(__xludf.DUMMYFUNCTION("""COMPUTED_VALUE"""),374357.0)</f>
        <v>374357</v>
      </c>
      <c r="Q302" s="20">
        <f>IFERROR(__xludf.DUMMYFUNCTION("""COMPUTED_VALUE"""),793690.0)</f>
        <v>793690</v>
      </c>
    </row>
    <row r="303">
      <c r="A303" s="20">
        <f>IFERROR(__xludf.DUMMYFUNCTION("""COMPUTED_VALUE"""),302.0)</f>
        <v>302</v>
      </c>
      <c r="B303" s="20" t="str">
        <f>IFERROR(__xludf.DUMMYFUNCTION("""COMPUTED_VALUE"""),"Smallest Rectangle Enclosing Black Pixels")</f>
        <v>Smallest Rectangle Enclosing Black Pixels</v>
      </c>
      <c r="C303" s="20" t="str">
        <f>IFERROR(__xludf.DUMMYFUNCTION("""COMPUTED_VALUE"""),"smallest-rectangle-enclosing-black-pixels")</f>
        <v>smallest-rectangle-enclosing-black-pixels</v>
      </c>
      <c r="D303" s="20" t="b">
        <f>IFERROR(__xludf.DUMMYFUNCTION("""COMPUTED_VALUE"""),TRUE)</f>
        <v>1</v>
      </c>
      <c r="E303" s="20" t="str">
        <f>IFERROR(__xludf.DUMMYFUNCTION("""COMPUTED_VALUE"""),"Hard")</f>
        <v>Hard</v>
      </c>
      <c r="F303" s="20">
        <f>IFERROR(__xludf.DUMMYFUNCTION("""COMPUTED_VALUE"""),486.0)</f>
        <v>486</v>
      </c>
      <c r="G303" s="20">
        <f>IFERROR(__xludf.DUMMYFUNCTION("""COMPUTED_VALUE"""),94.0)</f>
        <v>94</v>
      </c>
      <c r="H303" s="20" t="str">
        <f>IFERROR(__xludf.DUMMYFUNCTION("""COMPUTED_VALUE"""),"Algorithms")</f>
        <v>Algorithms</v>
      </c>
      <c r="I303" s="20">
        <f>IFERROR(__xludf.DUMMYFUNCTION("""COMPUTED_VALUE"""),0.583)</f>
        <v>0.583</v>
      </c>
      <c r="J303" s="20">
        <f>IFERROR(__xludf.DUMMYFUNCTION("""COMPUTED_VALUE"""),302.0)</f>
        <v>302</v>
      </c>
      <c r="K303" s="20" t="b">
        <f>IFERROR(__xludf.DUMMYFUNCTION("""COMPUTED_VALUE"""),TRUE)</f>
        <v>1</v>
      </c>
      <c r="L303" s="20" t="str">
        <f>IFERROR(__xludf.DUMMYFUNCTION("""COMPUTED_VALUE"""),"Array;Binary Search;Depth-First Search;Breadth-First Search;Matrix;")</f>
        <v>Array;Binary Search;Depth-First Search;Breadth-First Search;Matrix;</v>
      </c>
      <c r="M303" s="20" t="b">
        <f>IFERROR(__xludf.DUMMYFUNCTION("""COMPUTED_VALUE"""),TRUE)</f>
        <v>1</v>
      </c>
      <c r="N303" s="20" t="b">
        <f>IFERROR(__xludf.DUMMYFUNCTION("""COMPUTED_VALUE"""),FALSE)</f>
        <v>0</v>
      </c>
      <c r="O303" s="20">
        <f>IFERROR(__xludf.DUMMYFUNCTION("""COMPUTED_VALUE"""),58.3383338333833)</f>
        <v>58.33833383</v>
      </c>
      <c r="P303" s="20">
        <f>IFERROR(__xludf.DUMMYFUNCTION("""COMPUTED_VALUE"""),46666.0)</f>
        <v>46666</v>
      </c>
      <c r="Q303" s="20">
        <f>IFERROR(__xludf.DUMMYFUNCTION("""COMPUTED_VALUE"""),79992.0)</f>
        <v>79992</v>
      </c>
    </row>
    <row r="304">
      <c r="A304" s="20">
        <f>IFERROR(__xludf.DUMMYFUNCTION("""COMPUTED_VALUE"""),303.0)</f>
        <v>303</v>
      </c>
      <c r="B304" s="20" t="str">
        <f>IFERROR(__xludf.DUMMYFUNCTION("""COMPUTED_VALUE"""),"Range Sum Query - Immutable")</f>
        <v>Range Sum Query - Immutable</v>
      </c>
      <c r="C304" s="20" t="str">
        <f>IFERROR(__xludf.DUMMYFUNCTION("""COMPUTED_VALUE"""),"range-sum-query-immutable")</f>
        <v>range-sum-query-immutable</v>
      </c>
      <c r="D304" s="20" t="b">
        <f>IFERROR(__xludf.DUMMYFUNCTION("""COMPUTED_VALUE"""),FALSE)</f>
        <v>0</v>
      </c>
      <c r="E304" s="20" t="str">
        <f>IFERROR(__xludf.DUMMYFUNCTION("""COMPUTED_VALUE"""),"Easy")</f>
        <v>Easy</v>
      </c>
      <c r="F304" s="20">
        <f>IFERROR(__xludf.DUMMYFUNCTION("""COMPUTED_VALUE"""),2518.0)</f>
        <v>2518</v>
      </c>
      <c r="G304" s="20">
        <f>IFERROR(__xludf.DUMMYFUNCTION("""COMPUTED_VALUE"""),1755.0)</f>
        <v>1755</v>
      </c>
      <c r="H304" s="20" t="str">
        <f>IFERROR(__xludf.DUMMYFUNCTION("""COMPUTED_VALUE"""),"Algorithms")</f>
        <v>Algorithms</v>
      </c>
      <c r="I304" s="20">
        <f>IFERROR(__xludf.DUMMYFUNCTION("""COMPUTED_VALUE"""),0.585)</f>
        <v>0.585</v>
      </c>
      <c r="J304" s="20">
        <f>IFERROR(__xludf.DUMMYFUNCTION("""COMPUTED_VALUE"""),303.0)</f>
        <v>303</v>
      </c>
      <c r="K304" s="20" t="b">
        <f>IFERROR(__xludf.DUMMYFUNCTION("""COMPUTED_VALUE"""),FALSE)</f>
        <v>0</v>
      </c>
      <c r="L304" s="20" t="str">
        <f>IFERROR(__xludf.DUMMYFUNCTION("""COMPUTED_VALUE"""),"Array;Design;Prefix Sum;")</f>
        <v>Array;Design;Prefix Sum;</v>
      </c>
      <c r="M304" s="20" t="b">
        <f>IFERROR(__xludf.DUMMYFUNCTION("""COMPUTED_VALUE"""),TRUE)</f>
        <v>1</v>
      </c>
      <c r="N304" s="20" t="b">
        <f>IFERROR(__xludf.DUMMYFUNCTION("""COMPUTED_VALUE"""),TRUE)</f>
        <v>1</v>
      </c>
      <c r="O304" s="20">
        <f>IFERROR(__xludf.DUMMYFUNCTION("""COMPUTED_VALUE"""),58.5436780605283)</f>
        <v>58.54367806</v>
      </c>
      <c r="P304" s="20">
        <f>IFERROR(__xludf.DUMMYFUNCTION("""COMPUTED_VALUE"""),408878.0)</f>
        <v>408878</v>
      </c>
      <c r="Q304" s="20">
        <f>IFERROR(__xludf.DUMMYFUNCTION("""COMPUTED_VALUE"""),698415.0)</f>
        <v>698415</v>
      </c>
    </row>
    <row r="305">
      <c r="A305" s="20">
        <f>IFERROR(__xludf.DUMMYFUNCTION("""COMPUTED_VALUE"""),304.0)</f>
        <v>304</v>
      </c>
      <c r="B305" s="20" t="str">
        <f>IFERROR(__xludf.DUMMYFUNCTION("""COMPUTED_VALUE"""),"Range Sum Query 2D - Immutable")</f>
        <v>Range Sum Query 2D - Immutable</v>
      </c>
      <c r="C305" s="20" t="str">
        <f>IFERROR(__xludf.DUMMYFUNCTION("""COMPUTED_VALUE"""),"range-sum-query-2d-immutable")</f>
        <v>range-sum-query-2d-immutable</v>
      </c>
      <c r="D305" s="20" t="b">
        <f>IFERROR(__xludf.DUMMYFUNCTION("""COMPUTED_VALUE"""),FALSE)</f>
        <v>0</v>
      </c>
      <c r="E305" s="20" t="str">
        <f>IFERROR(__xludf.DUMMYFUNCTION("""COMPUTED_VALUE"""),"Medium")</f>
        <v>Medium</v>
      </c>
      <c r="F305" s="20">
        <f>IFERROR(__xludf.DUMMYFUNCTION("""COMPUTED_VALUE"""),4157.0)</f>
        <v>4157</v>
      </c>
      <c r="G305" s="20">
        <f>IFERROR(__xludf.DUMMYFUNCTION("""COMPUTED_VALUE"""),314.0)</f>
        <v>314</v>
      </c>
      <c r="H305" s="20" t="str">
        <f>IFERROR(__xludf.DUMMYFUNCTION("""COMPUTED_VALUE"""),"Algorithms")</f>
        <v>Algorithms</v>
      </c>
      <c r="I305" s="20">
        <f>IFERROR(__xludf.DUMMYFUNCTION("""COMPUTED_VALUE"""),0.524)</f>
        <v>0.524</v>
      </c>
      <c r="J305" s="20">
        <f>IFERROR(__xludf.DUMMYFUNCTION("""COMPUTED_VALUE"""),304.0)</f>
        <v>304</v>
      </c>
      <c r="K305" s="20" t="b">
        <f>IFERROR(__xludf.DUMMYFUNCTION("""COMPUTED_VALUE"""),FALSE)</f>
        <v>0</v>
      </c>
      <c r="L305" s="20" t="str">
        <f>IFERROR(__xludf.DUMMYFUNCTION("""COMPUTED_VALUE"""),"Array;Design;Matrix;Prefix Sum;")</f>
        <v>Array;Design;Matrix;Prefix Sum;</v>
      </c>
      <c r="M305" s="20" t="b">
        <f>IFERROR(__xludf.DUMMYFUNCTION("""COMPUTED_VALUE"""),TRUE)</f>
        <v>1</v>
      </c>
      <c r="N305" s="20" t="b">
        <f>IFERROR(__xludf.DUMMYFUNCTION("""COMPUTED_VALUE"""),TRUE)</f>
        <v>1</v>
      </c>
      <c r="O305" s="20">
        <f>IFERROR(__xludf.DUMMYFUNCTION("""COMPUTED_VALUE"""),52.4152293534381)</f>
        <v>52.41522935</v>
      </c>
      <c r="P305" s="20">
        <f>IFERROR(__xludf.DUMMYFUNCTION("""COMPUTED_VALUE"""),308816.0)</f>
        <v>308816</v>
      </c>
      <c r="Q305" s="20">
        <f>IFERROR(__xludf.DUMMYFUNCTION("""COMPUTED_VALUE"""),589175.0)</f>
        <v>589175</v>
      </c>
    </row>
    <row r="306">
      <c r="A306" s="20">
        <f>IFERROR(__xludf.DUMMYFUNCTION("""COMPUTED_VALUE"""),305.0)</f>
        <v>305</v>
      </c>
      <c r="B306" s="20" t="str">
        <f>IFERROR(__xludf.DUMMYFUNCTION("""COMPUTED_VALUE"""),"Number of Islands II")</f>
        <v>Number of Islands II</v>
      </c>
      <c r="C306" s="20" t="str">
        <f>IFERROR(__xludf.DUMMYFUNCTION("""COMPUTED_VALUE"""),"number-of-islands-ii")</f>
        <v>number-of-islands-ii</v>
      </c>
      <c r="D306" s="20" t="b">
        <f>IFERROR(__xludf.DUMMYFUNCTION("""COMPUTED_VALUE"""),TRUE)</f>
        <v>1</v>
      </c>
      <c r="E306" s="20" t="str">
        <f>IFERROR(__xludf.DUMMYFUNCTION("""COMPUTED_VALUE"""),"Hard")</f>
        <v>Hard</v>
      </c>
      <c r="F306" s="20">
        <f>IFERROR(__xludf.DUMMYFUNCTION("""COMPUTED_VALUE"""),1575.0)</f>
        <v>1575</v>
      </c>
      <c r="G306" s="20">
        <f>IFERROR(__xludf.DUMMYFUNCTION("""COMPUTED_VALUE"""),54.0)</f>
        <v>54</v>
      </c>
      <c r="H306" s="20" t="str">
        <f>IFERROR(__xludf.DUMMYFUNCTION("""COMPUTED_VALUE"""),"Algorithms")</f>
        <v>Algorithms</v>
      </c>
      <c r="I306" s="20">
        <f>IFERROR(__xludf.DUMMYFUNCTION("""COMPUTED_VALUE"""),0.394)</f>
        <v>0.394</v>
      </c>
      <c r="J306" s="20">
        <f>IFERROR(__xludf.DUMMYFUNCTION("""COMPUTED_VALUE"""),305.0)</f>
        <v>305</v>
      </c>
      <c r="K306" s="20" t="b">
        <f>IFERROR(__xludf.DUMMYFUNCTION("""COMPUTED_VALUE"""),TRUE)</f>
        <v>1</v>
      </c>
      <c r="L306" s="20" t="str">
        <f>IFERROR(__xludf.DUMMYFUNCTION("""COMPUTED_VALUE"""),"Array;Union Find;")</f>
        <v>Array;Union Find;</v>
      </c>
      <c r="M306" s="20" t="b">
        <f>IFERROR(__xludf.DUMMYFUNCTION("""COMPUTED_VALUE"""),TRUE)</f>
        <v>1</v>
      </c>
      <c r="N306" s="20" t="b">
        <f>IFERROR(__xludf.DUMMYFUNCTION("""COMPUTED_VALUE"""),FALSE)</f>
        <v>0</v>
      </c>
      <c r="O306" s="20">
        <f>IFERROR(__xludf.DUMMYFUNCTION("""COMPUTED_VALUE"""),39.4222292690661)</f>
        <v>39.42222927</v>
      </c>
      <c r="P306" s="20">
        <f>IFERROR(__xludf.DUMMYFUNCTION("""COMPUTED_VALUE"""),124318.0)</f>
        <v>124318</v>
      </c>
      <c r="Q306" s="20">
        <f>IFERROR(__xludf.DUMMYFUNCTION("""COMPUTED_VALUE"""),315350.0)</f>
        <v>315350</v>
      </c>
    </row>
    <row r="307">
      <c r="A307" s="20">
        <f>IFERROR(__xludf.DUMMYFUNCTION("""COMPUTED_VALUE"""),306.0)</f>
        <v>306</v>
      </c>
      <c r="B307" s="20" t="str">
        <f>IFERROR(__xludf.DUMMYFUNCTION("""COMPUTED_VALUE"""),"Additive Number")</f>
        <v>Additive Number</v>
      </c>
      <c r="C307" s="20" t="str">
        <f>IFERROR(__xludf.DUMMYFUNCTION("""COMPUTED_VALUE"""),"additive-number")</f>
        <v>additive-number</v>
      </c>
      <c r="D307" s="20" t="b">
        <f>IFERROR(__xludf.DUMMYFUNCTION("""COMPUTED_VALUE"""),FALSE)</f>
        <v>0</v>
      </c>
      <c r="E307" s="20" t="str">
        <f>IFERROR(__xludf.DUMMYFUNCTION("""COMPUTED_VALUE"""),"Medium")</f>
        <v>Medium</v>
      </c>
      <c r="F307" s="20">
        <f>IFERROR(__xludf.DUMMYFUNCTION("""COMPUTED_VALUE"""),891.0)</f>
        <v>891</v>
      </c>
      <c r="G307" s="20">
        <f>IFERROR(__xludf.DUMMYFUNCTION("""COMPUTED_VALUE"""),702.0)</f>
        <v>702</v>
      </c>
      <c r="H307" s="20" t="str">
        <f>IFERROR(__xludf.DUMMYFUNCTION("""COMPUTED_VALUE"""),"Algorithms")</f>
        <v>Algorithms</v>
      </c>
      <c r="I307" s="20">
        <f>IFERROR(__xludf.DUMMYFUNCTION("""COMPUTED_VALUE"""),0.31)</f>
        <v>0.31</v>
      </c>
      <c r="J307" s="20">
        <f>IFERROR(__xludf.DUMMYFUNCTION("""COMPUTED_VALUE"""),306.0)</f>
        <v>306</v>
      </c>
      <c r="K307" s="20" t="b">
        <f>IFERROR(__xludf.DUMMYFUNCTION("""COMPUTED_VALUE"""),FALSE)</f>
        <v>0</v>
      </c>
      <c r="L307" s="20" t="str">
        <f>IFERROR(__xludf.DUMMYFUNCTION("""COMPUTED_VALUE"""),"String;Backtracking;")</f>
        <v>String;Backtracking;</v>
      </c>
      <c r="M307" s="20" t="b">
        <f>IFERROR(__xludf.DUMMYFUNCTION("""COMPUTED_VALUE"""),FALSE)</f>
        <v>0</v>
      </c>
      <c r="N307" s="20" t="b">
        <f>IFERROR(__xludf.DUMMYFUNCTION("""COMPUTED_VALUE"""),FALSE)</f>
        <v>0</v>
      </c>
      <c r="O307" s="20">
        <f>IFERROR(__xludf.DUMMYFUNCTION("""COMPUTED_VALUE"""),30.9820007894747)</f>
        <v>30.98200079</v>
      </c>
      <c r="P307" s="20">
        <f>IFERROR(__xludf.DUMMYFUNCTION("""COMPUTED_VALUE"""),76132.0)</f>
        <v>76132</v>
      </c>
      <c r="Q307" s="20">
        <f>IFERROR(__xludf.DUMMYFUNCTION("""COMPUTED_VALUE"""),245731.0)</f>
        <v>245731</v>
      </c>
    </row>
    <row r="308">
      <c r="A308" s="20">
        <f>IFERROR(__xludf.DUMMYFUNCTION("""COMPUTED_VALUE"""),307.0)</f>
        <v>307</v>
      </c>
      <c r="B308" s="20" t="str">
        <f>IFERROR(__xludf.DUMMYFUNCTION("""COMPUTED_VALUE"""),"Range Sum Query - Mutable")</f>
        <v>Range Sum Query - Mutable</v>
      </c>
      <c r="C308" s="20" t="str">
        <f>IFERROR(__xludf.DUMMYFUNCTION("""COMPUTED_VALUE"""),"range-sum-query-mutable")</f>
        <v>range-sum-query-mutable</v>
      </c>
      <c r="D308" s="20" t="b">
        <f>IFERROR(__xludf.DUMMYFUNCTION("""COMPUTED_VALUE"""),FALSE)</f>
        <v>0</v>
      </c>
      <c r="E308" s="20" t="str">
        <f>IFERROR(__xludf.DUMMYFUNCTION("""COMPUTED_VALUE"""),"Medium")</f>
        <v>Medium</v>
      </c>
      <c r="F308" s="20">
        <f>IFERROR(__xludf.DUMMYFUNCTION("""COMPUTED_VALUE"""),4186.0)</f>
        <v>4186</v>
      </c>
      <c r="G308" s="20">
        <f>IFERROR(__xludf.DUMMYFUNCTION("""COMPUTED_VALUE"""),228.0)</f>
        <v>228</v>
      </c>
      <c r="H308" s="20" t="str">
        <f>IFERROR(__xludf.DUMMYFUNCTION("""COMPUTED_VALUE"""),"Algorithms")</f>
        <v>Algorithms</v>
      </c>
      <c r="I308" s="20">
        <f>IFERROR(__xludf.DUMMYFUNCTION("""COMPUTED_VALUE"""),0.407)</f>
        <v>0.407</v>
      </c>
      <c r="J308" s="20">
        <f>IFERROR(__xludf.DUMMYFUNCTION("""COMPUTED_VALUE"""),307.0)</f>
        <v>307</v>
      </c>
      <c r="K308" s="20" t="b">
        <f>IFERROR(__xludf.DUMMYFUNCTION("""COMPUTED_VALUE"""),FALSE)</f>
        <v>0</v>
      </c>
      <c r="L308" s="20" t="str">
        <f>IFERROR(__xludf.DUMMYFUNCTION("""COMPUTED_VALUE"""),"Array;Design;Binary Indexed Tree;Segment Tree;")</f>
        <v>Array;Design;Binary Indexed Tree;Segment Tree;</v>
      </c>
      <c r="M308" s="20" t="b">
        <f>IFERROR(__xludf.DUMMYFUNCTION("""COMPUTED_VALUE"""),TRUE)</f>
        <v>1</v>
      </c>
      <c r="N308" s="20" t="b">
        <f>IFERROR(__xludf.DUMMYFUNCTION("""COMPUTED_VALUE"""),FALSE)</f>
        <v>0</v>
      </c>
      <c r="O308" s="20">
        <f>IFERROR(__xludf.DUMMYFUNCTION("""COMPUTED_VALUE"""),40.7026761742544)</f>
        <v>40.70267617</v>
      </c>
      <c r="P308" s="20">
        <f>IFERROR(__xludf.DUMMYFUNCTION("""COMPUTED_VALUE"""),239682.0)</f>
        <v>239682</v>
      </c>
      <c r="Q308" s="20">
        <f>IFERROR(__xludf.DUMMYFUNCTION("""COMPUTED_VALUE"""),588860.0)</f>
        <v>588860</v>
      </c>
    </row>
    <row r="309">
      <c r="A309" s="20">
        <f>IFERROR(__xludf.DUMMYFUNCTION("""COMPUTED_VALUE"""),308.0)</f>
        <v>308</v>
      </c>
      <c r="B309" s="20" t="str">
        <f>IFERROR(__xludf.DUMMYFUNCTION("""COMPUTED_VALUE"""),"Range Sum Query 2D - Mutable")</f>
        <v>Range Sum Query 2D - Mutable</v>
      </c>
      <c r="C309" s="20" t="str">
        <f>IFERROR(__xludf.DUMMYFUNCTION("""COMPUTED_VALUE"""),"range-sum-query-2d-mutable")</f>
        <v>range-sum-query-2d-mutable</v>
      </c>
      <c r="D309" s="20" t="b">
        <f>IFERROR(__xludf.DUMMYFUNCTION("""COMPUTED_VALUE"""),TRUE)</f>
        <v>1</v>
      </c>
      <c r="E309" s="20" t="str">
        <f>IFERROR(__xludf.DUMMYFUNCTION("""COMPUTED_VALUE"""),"Hard")</f>
        <v>Hard</v>
      </c>
      <c r="F309" s="20">
        <f>IFERROR(__xludf.DUMMYFUNCTION("""COMPUTED_VALUE"""),730.0)</f>
        <v>730</v>
      </c>
      <c r="G309" s="20">
        <f>IFERROR(__xludf.DUMMYFUNCTION("""COMPUTED_VALUE"""),85.0)</f>
        <v>85</v>
      </c>
      <c r="H309" s="20" t="str">
        <f>IFERROR(__xludf.DUMMYFUNCTION("""COMPUTED_VALUE"""),"Algorithms")</f>
        <v>Algorithms</v>
      </c>
      <c r="I309" s="20">
        <f>IFERROR(__xludf.DUMMYFUNCTION("""COMPUTED_VALUE"""),0.425)</f>
        <v>0.425</v>
      </c>
      <c r="J309" s="20">
        <f>IFERROR(__xludf.DUMMYFUNCTION("""COMPUTED_VALUE"""),308.0)</f>
        <v>308</v>
      </c>
      <c r="K309" s="20" t="b">
        <f>IFERROR(__xludf.DUMMYFUNCTION("""COMPUTED_VALUE"""),TRUE)</f>
        <v>1</v>
      </c>
      <c r="L309" s="20" t="str">
        <f>IFERROR(__xludf.DUMMYFUNCTION("""COMPUTED_VALUE"""),"Array;Design;Binary Indexed Tree;Segment Tree;Matrix;")</f>
        <v>Array;Design;Binary Indexed Tree;Segment Tree;Matrix;</v>
      </c>
      <c r="M309" s="20" t="b">
        <f>IFERROR(__xludf.DUMMYFUNCTION("""COMPUTED_VALUE"""),TRUE)</f>
        <v>1</v>
      </c>
      <c r="N309" s="20" t="b">
        <f>IFERROR(__xludf.DUMMYFUNCTION("""COMPUTED_VALUE"""),FALSE)</f>
        <v>0</v>
      </c>
      <c r="O309" s="20">
        <f>IFERROR(__xludf.DUMMYFUNCTION("""COMPUTED_VALUE"""),42.5470777460512)</f>
        <v>42.54707775</v>
      </c>
      <c r="P309" s="20">
        <f>IFERROR(__xludf.DUMMYFUNCTION("""COMPUTED_VALUE"""),70629.0)</f>
        <v>70629</v>
      </c>
      <c r="Q309" s="20">
        <f>IFERROR(__xludf.DUMMYFUNCTION("""COMPUTED_VALUE"""),166002.0)</f>
        <v>166002</v>
      </c>
    </row>
    <row r="310">
      <c r="A310" s="20">
        <f>IFERROR(__xludf.DUMMYFUNCTION("""COMPUTED_VALUE"""),309.0)</f>
        <v>309</v>
      </c>
      <c r="B310" s="20" t="str">
        <f>IFERROR(__xludf.DUMMYFUNCTION("""COMPUTED_VALUE"""),"Best Time to Buy and Sell Stock with Cooldown")</f>
        <v>Best Time to Buy and Sell Stock with Cooldown</v>
      </c>
      <c r="C310" s="20" t="str">
        <f>IFERROR(__xludf.DUMMYFUNCTION("""COMPUTED_VALUE"""),"best-time-to-buy-and-sell-stock-with-cooldown")</f>
        <v>best-time-to-buy-and-sell-stock-with-cooldown</v>
      </c>
      <c r="D310" s="20" t="b">
        <f>IFERROR(__xludf.DUMMYFUNCTION("""COMPUTED_VALUE"""),FALSE)</f>
        <v>0</v>
      </c>
      <c r="E310" s="20" t="str">
        <f>IFERROR(__xludf.DUMMYFUNCTION("""COMPUTED_VALUE"""),"Medium")</f>
        <v>Medium</v>
      </c>
      <c r="F310" s="20">
        <f>IFERROR(__xludf.DUMMYFUNCTION("""COMPUTED_VALUE"""),7843.0)</f>
        <v>7843</v>
      </c>
      <c r="G310" s="20">
        <f>IFERROR(__xludf.DUMMYFUNCTION("""COMPUTED_VALUE"""),269.0)</f>
        <v>269</v>
      </c>
      <c r="H310" s="20" t="str">
        <f>IFERROR(__xludf.DUMMYFUNCTION("""COMPUTED_VALUE"""),"Algorithms")</f>
        <v>Algorithms</v>
      </c>
      <c r="I310" s="20">
        <f>IFERROR(__xludf.DUMMYFUNCTION("""COMPUTED_VALUE"""),0.559)</f>
        <v>0.559</v>
      </c>
      <c r="J310" s="20">
        <f>IFERROR(__xludf.DUMMYFUNCTION("""COMPUTED_VALUE"""),309.0)</f>
        <v>309</v>
      </c>
      <c r="K310" s="20" t="b">
        <f>IFERROR(__xludf.DUMMYFUNCTION("""COMPUTED_VALUE"""),FALSE)</f>
        <v>0</v>
      </c>
      <c r="L310" s="20" t="str">
        <f>IFERROR(__xludf.DUMMYFUNCTION("""COMPUTED_VALUE"""),"Array;Dynamic Programming;")</f>
        <v>Array;Dynamic Programming;</v>
      </c>
      <c r="M310" s="20" t="b">
        <f>IFERROR(__xludf.DUMMYFUNCTION("""COMPUTED_VALUE"""),TRUE)</f>
        <v>1</v>
      </c>
      <c r="N310" s="20" t="b">
        <f>IFERROR(__xludf.DUMMYFUNCTION("""COMPUTED_VALUE"""),FALSE)</f>
        <v>0</v>
      </c>
      <c r="O310" s="20">
        <f>IFERROR(__xludf.DUMMYFUNCTION("""COMPUTED_VALUE"""),55.8781387368104)</f>
        <v>55.87813874</v>
      </c>
      <c r="P310" s="20">
        <f>IFERROR(__xludf.DUMMYFUNCTION("""COMPUTED_VALUE"""),379063.0)</f>
        <v>379063</v>
      </c>
      <c r="Q310" s="20">
        <f>IFERROR(__xludf.DUMMYFUNCTION("""COMPUTED_VALUE"""),678372.0)</f>
        <v>678372</v>
      </c>
    </row>
    <row r="311">
      <c r="A311" s="20">
        <f>IFERROR(__xludf.DUMMYFUNCTION("""COMPUTED_VALUE"""),310.0)</f>
        <v>310</v>
      </c>
      <c r="B311" s="20" t="str">
        <f>IFERROR(__xludf.DUMMYFUNCTION("""COMPUTED_VALUE"""),"Minimum Height Trees")</f>
        <v>Minimum Height Trees</v>
      </c>
      <c r="C311" s="20" t="str">
        <f>IFERROR(__xludf.DUMMYFUNCTION("""COMPUTED_VALUE"""),"minimum-height-trees")</f>
        <v>minimum-height-trees</v>
      </c>
      <c r="D311" s="20" t="b">
        <f>IFERROR(__xludf.DUMMYFUNCTION("""COMPUTED_VALUE"""),FALSE)</f>
        <v>0</v>
      </c>
      <c r="E311" s="20" t="str">
        <f>IFERROR(__xludf.DUMMYFUNCTION("""COMPUTED_VALUE"""),"Medium")</f>
        <v>Medium</v>
      </c>
      <c r="F311" s="20">
        <f>IFERROR(__xludf.DUMMYFUNCTION("""COMPUTED_VALUE"""),6318.0)</f>
        <v>6318</v>
      </c>
      <c r="G311" s="20">
        <f>IFERROR(__xludf.DUMMYFUNCTION("""COMPUTED_VALUE"""),272.0)</f>
        <v>272</v>
      </c>
      <c r="H311" s="20" t="str">
        <f>IFERROR(__xludf.DUMMYFUNCTION("""COMPUTED_VALUE"""),"Algorithms")</f>
        <v>Algorithms</v>
      </c>
      <c r="I311" s="20">
        <f>IFERROR(__xludf.DUMMYFUNCTION("""COMPUTED_VALUE"""),0.385)</f>
        <v>0.385</v>
      </c>
      <c r="J311" s="20">
        <f>IFERROR(__xludf.DUMMYFUNCTION("""COMPUTED_VALUE"""),310.0)</f>
        <v>310</v>
      </c>
      <c r="K311" s="20" t="b">
        <f>IFERROR(__xludf.DUMMYFUNCTION("""COMPUTED_VALUE"""),FALSE)</f>
        <v>0</v>
      </c>
      <c r="L311" s="20" t="str">
        <f>IFERROR(__xludf.DUMMYFUNCTION("""COMPUTED_VALUE"""),"Depth-First Search;Breadth-First Search;Graph;Topological Sort;")</f>
        <v>Depth-First Search;Breadth-First Search;Graph;Topological Sort;</v>
      </c>
      <c r="M311" s="20" t="b">
        <f>IFERROR(__xludf.DUMMYFUNCTION("""COMPUTED_VALUE"""),TRUE)</f>
        <v>1</v>
      </c>
      <c r="N311" s="20" t="b">
        <f>IFERROR(__xludf.DUMMYFUNCTION("""COMPUTED_VALUE"""),FALSE)</f>
        <v>0</v>
      </c>
      <c r="O311" s="20">
        <f>IFERROR(__xludf.DUMMYFUNCTION("""COMPUTED_VALUE"""),38.523129773374)</f>
        <v>38.52312977</v>
      </c>
      <c r="P311" s="20">
        <f>IFERROR(__xludf.DUMMYFUNCTION("""COMPUTED_VALUE"""),234597.0)</f>
        <v>234597</v>
      </c>
      <c r="Q311" s="20">
        <f>IFERROR(__xludf.DUMMYFUNCTION("""COMPUTED_VALUE"""),608977.0)</f>
        <v>608977</v>
      </c>
    </row>
    <row r="312">
      <c r="A312" s="20">
        <f>IFERROR(__xludf.DUMMYFUNCTION("""COMPUTED_VALUE"""),311.0)</f>
        <v>311</v>
      </c>
      <c r="B312" s="20" t="str">
        <f>IFERROR(__xludf.DUMMYFUNCTION("""COMPUTED_VALUE"""),"Sparse Matrix Multiplication")</f>
        <v>Sparse Matrix Multiplication</v>
      </c>
      <c r="C312" s="20" t="str">
        <f>IFERROR(__xludf.DUMMYFUNCTION("""COMPUTED_VALUE"""),"sparse-matrix-multiplication")</f>
        <v>sparse-matrix-multiplication</v>
      </c>
      <c r="D312" s="20" t="b">
        <f>IFERROR(__xludf.DUMMYFUNCTION("""COMPUTED_VALUE"""),TRUE)</f>
        <v>1</v>
      </c>
      <c r="E312" s="20" t="str">
        <f>IFERROR(__xludf.DUMMYFUNCTION("""COMPUTED_VALUE"""),"Medium")</f>
        <v>Medium</v>
      </c>
      <c r="F312" s="20">
        <f>IFERROR(__xludf.DUMMYFUNCTION("""COMPUTED_VALUE"""),935.0)</f>
        <v>935</v>
      </c>
      <c r="G312" s="20">
        <f>IFERROR(__xludf.DUMMYFUNCTION("""COMPUTED_VALUE"""),330.0)</f>
        <v>330</v>
      </c>
      <c r="H312" s="20" t="str">
        <f>IFERROR(__xludf.DUMMYFUNCTION("""COMPUTED_VALUE"""),"Algorithms")</f>
        <v>Algorithms</v>
      </c>
      <c r="I312" s="20">
        <f>IFERROR(__xludf.DUMMYFUNCTION("""COMPUTED_VALUE"""),0.672)</f>
        <v>0.672</v>
      </c>
      <c r="J312" s="20">
        <f>IFERROR(__xludf.DUMMYFUNCTION("""COMPUTED_VALUE"""),311.0)</f>
        <v>311</v>
      </c>
      <c r="K312" s="20" t="b">
        <f>IFERROR(__xludf.DUMMYFUNCTION("""COMPUTED_VALUE"""),TRUE)</f>
        <v>1</v>
      </c>
      <c r="L312" s="20" t="str">
        <f>IFERROR(__xludf.DUMMYFUNCTION("""COMPUTED_VALUE"""),"Array;Hash Table;Matrix;")</f>
        <v>Array;Hash Table;Matrix;</v>
      </c>
      <c r="M312" s="20" t="b">
        <f>IFERROR(__xludf.DUMMYFUNCTION("""COMPUTED_VALUE"""),TRUE)</f>
        <v>1</v>
      </c>
      <c r="N312" s="20" t="b">
        <f>IFERROR(__xludf.DUMMYFUNCTION("""COMPUTED_VALUE"""),FALSE)</f>
        <v>0</v>
      </c>
      <c r="O312" s="20">
        <f>IFERROR(__xludf.DUMMYFUNCTION("""COMPUTED_VALUE"""),67.2383461726927)</f>
        <v>67.23834617</v>
      </c>
      <c r="P312" s="20">
        <f>IFERROR(__xludf.DUMMYFUNCTION("""COMPUTED_VALUE"""),167406.0)</f>
        <v>167406</v>
      </c>
      <c r="Q312" s="20">
        <f>IFERROR(__xludf.DUMMYFUNCTION("""COMPUTED_VALUE"""),248974.0)</f>
        <v>248974</v>
      </c>
    </row>
    <row r="313">
      <c r="A313" s="20">
        <f>IFERROR(__xludf.DUMMYFUNCTION("""COMPUTED_VALUE"""),312.0)</f>
        <v>312</v>
      </c>
      <c r="B313" s="20" t="str">
        <f>IFERROR(__xludf.DUMMYFUNCTION("""COMPUTED_VALUE"""),"Burst Balloons")</f>
        <v>Burst Balloons</v>
      </c>
      <c r="C313" s="20" t="str">
        <f>IFERROR(__xludf.DUMMYFUNCTION("""COMPUTED_VALUE"""),"burst-balloons")</f>
        <v>burst-balloons</v>
      </c>
      <c r="D313" s="20" t="b">
        <f>IFERROR(__xludf.DUMMYFUNCTION("""COMPUTED_VALUE"""),FALSE)</f>
        <v>0</v>
      </c>
      <c r="E313" s="20" t="str">
        <f>IFERROR(__xludf.DUMMYFUNCTION("""COMPUTED_VALUE"""),"Hard")</f>
        <v>Hard</v>
      </c>
      <c r="F313" s="20">
        <f>IFERROR(__xludf.DUMMYFUNCTION("""COMPUTED_VALUE"""),7255.0)</f>
        <v>7255</v>
      </c>
      <c r="G313" s="20">
        <f>IFERROR(__xludf.DUMMYFUNCTION("""COMPUTED_VALUE"""),186.0)</f>
        <v>186</v>
      </c>
      <c r="H313" s="20" t="str">
        <f>IFERROR(__xludf.DUMMYFUNCTION("""COMPUTED_VALUE"""),"Algorithms")</f>
        <v>Algorithms</v>
      </c>
      <c r="I313" s="20">
        <f>IFERROR(__xludf.DUMMYFUNCTION("""COMPUTED_VALUE"""),0.568)</f>
        <v>0.568</v>
      </c>
      <c r="J313" s="20">
        <f>IFERROR(__xludf.DUMMYFUNCTION("""COMPUTED_VALUE"""),312.0)</f>
        <v>312</v>
      </c>
      <c r="K313" s="20" t="b">
        <f>IFERROR(__xludf.DUMMYFUNCTION("""COMPUTED_VALUE"""),FALSE)</f>
        <v>0</v>
      </c>
      <c r="L313" s="20" t="str">
        <f>IFERROR(__xludf.DUMMYFUNCTION("""COMPUTED_VALUE"""),"Array;Dynamic Programming;")</f>
        <v>Array;Dynamic Programming;</v>
      </c>
      <c r="M313" s="20" t="b">
        <f>IFERROR(__xludf.DUMMYFUNCTION("""COMPUTED_VALUE"""),TRUE)</f>
        <v>1</v>
      </c>
      <c r="N313" s="20" t="b">
        <f>IFERROR(__xludf.DUMMYFUNCTION("""COMPUTED_VALUE"""),FALSE)</f>
        <v>0</v>
      </c>
      <c r="O313" s="20">
        <f>IFERROR(__xludf.DUMMYFUNCTION("""COMPUTED_VALUE"""),56.8272373663738)</f>
        <v>56.82723737</v>
      </c>
      <c r="P313" s="20">
        <f>IFERROR(__xludf.DUMMYFUNCTION("""COMPUTED_VALUE"""),215929.0)</f>
        <v>215929</v>
      </c>
      <c r="Q313" s="20">
        <f>IFERROR(__xludf.DUMMYFUNCTION("""COMPUTED_VALUE"""),379974.0)</f>
        <v>379974</v>
      </c>
    </row>
    <row r="314">
      <c r="A314" s="20">
        <f>IFERROR(__xludf.DUMMYFUNCTION("""COMPUTED_VALUE"""),313.0)</f>
        <v>313</v>
      </c>
      <c r="B314" s="20" t="str">
        <f>IFERROR(__xludf.DUMMYFUNCTION("""COMPUTED_VALUE"""),"Super Ugly Number")</f>
        <v>Super Ugly Number</v>
      </c>
      <c r="C314" s="20" t="str">
        <f>IFERROR(__xludf.DUMMYFUNCTION("""COMPUTED_VALUE"""),"super-ugly-number")</f>
        <v>super-ugly-number</v>
      </c>
      <c r="D314" s="20" t="b">
        <f>IFERROR(__xludf.DUMMYFUNCTION("""COMPUTED_VALUE"""),FALSE)</f>
        <v>0</v>
      </c>
      <c r="E314" s="20" t="str">
        <f>IFERROR(__xludf.DUMMYFUNCTION("""COMPUTED_VALUE"""),"Medium")</f>
        <v>Medium</v>
      </c>
      <c r="F314" s="20">
        <f>IFERROR(__xludf.DUMMYFUNCTION("""COMPUTED_VALUE"""),1802.0)</f>
        <v>1802</v>
      </c>
      <c r="G314" s="20">
        <f>IFERROR(__xludf.DUMMYFUNCTION("""COMPUTED_VALUE"""),328.0)</f>
        <v>328</v>
      </c>
      <c r="H314" s="20" t="str">
        <f>IFERROR(__xludf.DUMMYFUNCTION("""COMPUTED_VALUE"""),"Algorithms")</f>
        <v>Algorithms</v>
      </c>
      <c r="I314" s="20">
        <f>IFERROR(__xludf.DUMMYFUNCTION("""COMPUTED_VALUE"""),0.457)</f>
        <v>0.457</v>
      </c>
      <c r="J314" s="20">
        <f>IFERROR(__xludf.DUMMYFUNCTION("""COMPUTED_VALUE"""),313.0)</f>
        <v>313</v>
      </c>
      <c r="K314" s="20" t="b">
        <f>IFERROR(__xludf.DUMMYFUNCTION("""COMPUTED_VALUE"""),FALSE)</f>
        <v>0</v>
      </c>
      <c r="L314" s="20" t="str">
        <f>IFERROR(__xludf.DUMMYFUNCTION("""COMPUTED_VALUE"""),"Array;Math;Dynamic Programming;")</f>
        <v>Array;Math;Dynamic Programming;</v>
      </c>
      <c r="M314" s="20" t="b">
        <f>IFERROR(__xludf.DUMMYFUNCTION("""COMPUTED_VALUE"""),FALSE)</f>
        <v>0</v>
      </c>
      <c r="N314" s="20" t="b">
        <f>IFERROR(__xludf.DUMMYFUNCTION("""COMPUTED_VALUE"""),FALSE)</f>
        <v>0</v>
      </c>
      <c r="O314" s="20">
        <f>IFERROR(__xludf.DUMMYFUNCTION("""COMPUTED_VALUE"""),45.6736997036258)</f>
        <v>45.6736997</v>
      </c>
      <c r="P314" s="20">
        <f>IFERROR(__xludf.DUMMYFUNCTION("""COMPUTED_VALUE"""),113886.0)</f>
        <v>113886</v>
      </c>
      <c r="Q314" s="20">
        <f>IFERROR(__xludf.DUMMYFUNCTION("""COMPUTED_VALUE"""),249347.0)</f>
        <v>249347</v>
      </c>
    </row>
    <row r="315">
      <c r="A315" s="20">
        <f>IFERROR(__xludf.DUMMYFUNCTION("""COMPUTED_VALUE"""),314.0)</f>
        <v>314</v>
      </c>
      <c r="B315" s="20" t="str">
        <f>IFERROR(__xludf.DUMMYFUNCTION("""COMPUTED_VALUE"""),"Binary Tree Vertical Order Traversal")</f>
        <v>Binary Tree Vertical Order Traversal</v>
      </c>
      <c r="C315" s="20" t="str">
        <f>IFERROR(__xludf.DUMMYFUNCTION("""COMPUTED_VALUE"""),"binary-tree-vertical-order-traversal")</f>
        <v>binary-tree-vertical-order-traversal</v>
      </c>
      <c r="D315" s="20" t="b">
        <f>IFERROR(__xludf.DUMMYFUNCTION("""COMPUTED_VALUE"""),TRUE)</f>
        <v>1</v>
      </c>
      <c r="E315" s="20" t="str">
        <f>IFERROR(__xludf.DUMMYFUNCTION("""COMPUTED_VALUE"""),"Medium")</f>
        <v>Medium</v>
      </c>
      <c r="F315" s="20">
        <f>IFERROR(__xludf.DUMMYFUNCTION("""COMPUTED_VALUE"""),2837.0)</f>
        <v>2837</v>
      </c>
      <c r="G315" s="20">
        <f>IFERROR(__xludf.DUMMYFUNCTION("""COMPUTED_VALUE"""),289.0)</f>
        <v>289</v>
      </c>
      <c r="H315" s="20" t="str">
        <f>IFERROR(__xludf.DUMMYFUNCTION("""COMPUTED_VALUE"""),"Algorithms")</f>
        <v>Algorithms</v>
      </c>
      <c r="I315" s="20">
        <f>IFERROR(__xludf.DUMMYFUNCTION("""COMPUTED_VALUE"""),0.522)</f>
        <v>0.522</v>
      </c>
      <c r="J315" s="20">
        <f>IFERROR(__xludf.DUMMYFUNCTION("""COMPUTED_VALUE"""),314.0)</f>
        <v>314</v>
      </c>
      <c r="K315" s="20" t="b">
        <f>IFERROR(__xludf.DUMMYFUNCTION("""COMPUTED_VALUE"""),TRUE)</f>
        <v>1</v>
      </c>
      <c r="L315" s="20" t="str">
        <f>IFERROR(__xludf.DUMMYFUNCTION("""COMPUTED_VALUE"""),"Hash Table;Tree;Depth-First Search;Breadth-First Search;Binary Tree;")</f>
        <v>Hash Table;Tree;Depth-First Search;Breadth-First Search;Binary Tree;</v>
      </c>
      <c r="M315" s="20" t="b">
        <f>IFERROR(__xludf.DUMMYFUNCTION("""COMPUTED_VALUE"""),TRUE)</f>
        <v>1</v>
      </c>
      <c r="N315" s="20" t="b">
        <f>IFERROR(__xludf.DUMMYFUNCTION("""COMPUTED_VALUE"""),FALSE)</f>
        <v>0</v>
      </c>
      <c r="O315" s="20">
        <f>IFERROR(__xludf.DUMMYFUNCTION("""COMPUTED_VALUE"""),52.1768701826738)</f>
        <v>52.17687018</v>
      </c>
      <c r="P315" s="20">
        <f>IFERROR(__xludf.DUMMYFUNCTION("""COMPUTED_VALUE"""),313762.0)</f>
        <v>313762</v>
      </c>
      <c r="Q315" s="20">
        <f>IFERROR(__xludf.DUMMYFUNCTION("""COMPUTED_VALUE"""),601344.0)</f>
        <v>601344</v>
      </c>
    </row>
    <row r="316">
      <c r="A316" s="20">
        <f>IFERROR(__xludf.DUMMYFUNCTION("""COMPUTED_VALUE"""),315.0)</f>
        <v>315</v>
      </c>
      <c r="B316" s="20" t="str">
        <f>IFERROR(__xludf.DUMMYFUNCTION("""COMPUTED_VALUE"""),"Count of Smaller Numbers After Self")</f>
        <v>Count of Smaller Numbers After Self</v>
      </c>
      <c r="C316" s="20" t="str">
        <f>IFERROR(__xludf.DUMMYFUNCTION("""COMPUTED_VALUE"""),"count-of-smaller-numbers-after-self")</f>
        <v>count-of-smaller-numbers-after-self</v>
      </c>
      <c r="D316" s="20" t="b">
        <f>IFERROR(__xludf.DUMMYFUNCTION("""COMPUTED_VALUE"""),FALSE)</f>
        <v>0</v>
      </c>
      <c r="E316" s="20" t="str">
        <f>IFERROR(__xludf.DUMMYFUNCTION("""COMPUTED_VALUE"""),"Hard")</f>
        <v>Hard</v>
      </c>
      <c r="F316" s="20">
        <f>IFERROR(__xludf.DUMMYFUNCTION("""COMPUTED_VALUE"""),7765.0)</f>
        <v>7765</v>
      </c>
      <c r="G316" s="20">
        <f>IFERROR(__xludf.DUMMYFUNCTION("""COMPUTED_VALUE"""),212.0)</f>
        <v>212</v>
      </c>
      <c r="H316" s="20" t="str">
        <f>IFERROR(__xludf.DUMMYFUNCTION("""COMPUTED_VALUE"""),"Algorithms")</f>
        <v>Algorithms</v>
      </c>
      <c r="I316" s="20">
        <f>IFERROR(__xludf.DUMMYFUNCTION("""COMPUTED_VALUE"""),0.427)</f>
        <v>0.427</v>
      </c>
      <c r="J316" s="20">
        <f>IFERROR(__xludf.DUMMYFUNCTION("""COMPUTED_VALUE"""),315.0)</f>
        <v>315</v>
      </c>
      <c r="K316" s="20" t="b">
        <f>IFERROR(__xludf.DUMMYFUNCTION("""COMPUTED_VALUE"""),FALSE)</f>
        <v>0</v>
      </c>
      <c r="L316" s="20" t="str">
        <f>IFERROR(__xludf.DUMMYFUNCTION("""COMPUTED_VALUE"""),"Array;Binary Search;Divide and Conquer;Binary Indexed Tree;Segment Tree;Merge Sort;Ordered Set;")</f>
        <v>Array;Binary Search;Divide and Conquer;Binary Indexed Tree;Segment Tree;Merge Sort;Ordered Set;</v>
      </c>
      <c r="M316" s="20" t="b">
        <f>IFERROR(__xludf.DUMMYFUNCTION("""COMPUTED_VALUE"""),TRUE)</f>
        <v>1</v>
      </c>
      <c r="N316" s="20" t="b">
        <f>IFERROR(__xludf.DUMMYFUNCTION("""COMPUTED_VALUE"""),FALSE)</f>
        <v>0</v>
      </c>
      <c r="O316" s="20">
        <f>IFERROR(__xludf.DUMMYFUNCTION("""COMPUTED_VALUE"""),42.7307386552336)</f>
        <v>42.73073866</v>
      </c>
      <c r="P316" s="20">
        <f>IFERROR(__xludf.DUMMYFUNCTION("""COMPUTED_VALUE"""),284347.0)</f>
        <v>284347</v>
      </c>
      <c r="Q316" s="20">
        <f>IFERROR(__xludf.DUMMYFUNCTION("""COMPUTED_VALUE"""),665439.0)</f>
        <v>665439</v>
      </c>
    </row>
    <row r="317">
      <c r="A317" s="20">
        <f>IFERROR(__xludf.DUMMYFUNCTION("""COMPUTED_VALUE"""),316.0)</f>
        <v>316</v>
      </c>
      <c r="B317" s="20" t="str">
        <f>IFERROR(__xludf.DUMMYFUNCTION("""COMPUTED_VALUE"""),"Remove Duplicate Letters")</f>
        <v>Remove Duplicate Letters</v>
      </c>
      <c r="C317" s="20" t="str">
        <f>IFERROR(__xludf.DUMMYFUNCTION("""COMPUTED_VALUE"""),"remove-duplicate-letters")</f>
        <v>remove-duplicate-letters</v>
      </c>
      <c r="D317" s="20" t="b">
        <f>IFERROR(__xludf.DUMMYFUNCTION("""COMPUTED_VALUE"""),FALSE)</f>
        <v>0</v>
      </c>
      <c r="E317" s="20" t="str">
        <f>IFERROR(__xludf.DUMMYFUNCTION("""COMPUTED_VALUE"""),"Medium")</f>
        <v>Medium</v>
      </c>
      <c r="F317" s="20">
        <f>IFERROR(__xludf.DUMMYFUNCTION("""COMPUTED_VALUE"""),6360.0)</f>
        <v>6360</v>
      </c>
      <c r="G317" s="20">
        <f>IFERROR(__xludf.DUMMYFUNCTION("""COMPUTED_VALUE"""),408.0)</f>
        <v>408</v>
      </c>
      <c r="H317" s="20" t="str">
        <f>IFERROR(__xludf.DUMMYFUNCTION("""COMPUTED_VALUE"""),"Algorithms")</f>
        <v>Algorithms</v>
      </c>
      <c r="I317" s="20">
        <f>IFERROR(__xludf.DUMMYFUNCTION("""COMPUTED_VALUE"""),0.447)</f>
        <v>0.447</v>
      </c>
      <c r="J317" s="20">
        <f>IFERROR(__xludf.DUMMYFUNCTION("""COMPUTED_VALUE"""),316.0)</f>
        <v>316</v>
      </c>
      <c r="K317" s="20" t="b">
        <f>IFERROR(__xludf.DUMMYFUNCTION("""COMPUTED_VALUE"""),FALSE)</f>
        <v>0</v>
      </c>
      <c r="L317" s="20" t="str">
        <f>IFERROR(__xludf.DUMMYFUNCTION("""COMPUTED_VALUE"""),"String;Stack;Greedy;Monotonic Stack;")</f>
        <v>String;Stack;Greedy;Monotonic Stack;</v>
      </c>
      <c r="M317" s="20" t="b">
        <f>IFERROR(__xludf.DUMMYFUNCTION("""COMPUTED_VALUE"""),TRUE)</f>
        <v>1</v>
      </c>
      <c r="N317" s="20" t="b">
        <f>IFERROR(__xludf.DUMMYFUNCTION("""COMPUTED_VALUE"""),FALSE)</f>
        <v>0</v>
      </c>
      <c r="O317" s="20">
        <f>IFERROR(__xludf.DUMMYFUNCTION("""COMPUTED_VALUE"""),44.7013314141777)</f>
        <v>44.70133141</v>
      </c>
      <c r="P317" s="20">
        <f>IFERROR(__xludf.DUMMYFUNCTION("""COMPUTED_VALUE"""),218635.0)</f>
        <v>218635</v>
      </c>
      <c r="Q317" s="20">
        <f>IFERROR(__xludf.DUMMYFUNCTION("""COMPUTED_VALUE"""),489101.0)</f>
        <v>489101</v>
      </c>
    </row>
    <row r="318">
      <c r="A318" s="20">
        <f>IFERROR(__xludf.DUMMYFUNCTION("""COMPUTED_VALUE"""),317.0)</f>
        <v>317</v>
      </c>
      <c r="B318" s="20" t="str">
        <f>IFERROR(__xludf.DUMMYFUNCTION("""COMPUTED_VALUE"""),"Shortest Distance from All Buildings")</f>
        <v>Shortest Distance from All Buildings</v>
      </c>
      <c r="C318" s="20" t="str">
        <f>IFERROR(__xludf.DUMMYFUNCTION("""COMPUTED_VALUE"""),"shortest-distance-from-all-buildings")</f>
        <v>shortest-distance-from-all-buildings</v>
      </c>
      <c r="D318" s="20" t="b">
        <f>IFERROR(__xludf.DUMMYFUNCTION("""COMPUTED_VALUE"""),TRUE)</f>
        <v>1</v>
      </c>
      <c r="E318" s="20" t="str">
        <f>IFERROR(__xludf.DUMMYFUNCTION("""COMPUTED_VALUE"""),"Hard")</f>
        <v>Hard</v>
      </c>
      <c r="F318" s="20">
        <f>IFERROR(__xludf.DUMMYFUNCTION("""COMPUTED_VALUE"""),1727.0)</f>
        <v>1727</v>
      </c>
      <c r="G318" s="20">
        <f>IFERROR(__xludf.DUMMYFUNCTION("""COMPUTED_VALUE"""),226.0)</f>
        <v>226</v>
      </c>
      <c r="H318" s="20" t="str">
        <f>IFERROR(__xludf.DUMMYFUNCTION("""COMPUTED_VALUE"""),"Algorithms")</f>
        <v>Algorithms</v>
      </c>
      <c r="I318" s="20">
        <f>IFERROR(__xludf.DUMMYFUNCTION("""COMPUTED_VALUE"""),0.427)</f>
        <v>0.427</v>
      </c>
      <c r="J318" s="20">
        <f>IFERROR(__xludf.DUMMYFUNCTION("""COMPUTED_VALUE"""),317.0)</f>
        <v>317</v>
      </c>
      <c r="K318" s="20" t="b">
        <f>IFERROR(__xludf.DUMMYFUNCTION("""COMPUTED_VALUE"""),TRUE)</f>
        <v>1</v>
      </c>
      <c r="L318" s="20" t="str">
        <f>IFERROR(__xludf.DUMMYFUNCTION("""COMPUTED_VALUE"""),"Array;Breadth-First Search;Matrix;")</f>
        <v>Array;Breadth-First Search;Matrix;</v>
      </c>
      <c r="M318" s="20" t="b">
        <f>IFERROR(__xludf.DUMMYFUNCTION("""COMPUTED_VALUE"""),TRUE)</f>
        <v>1</v>
      </c>
      <c r="N318" s="20" t="b">
        <f>IFERROR(__xludf.DUMMYFUNCTION("""COMPUTED_VALUE"""),FALSE)</f>
        <v>0</v>
      </c>
      <c r="O318" s="20">
        <f>IFERROR(__xludf.DUMMYFUNCTION("""COMPUTED_VALUE"""),42.7448801397047)</f>
        <v>42.74488014</v>
      </c>
      <c r="P318" s="20">
        <f>IFERROR(__xludf.DUMMYFUNCTION("""COMPUTED_VALUE"""),150780.0)</f>
        <v>150780</v>
      </c>
      <c r="Q318" s="20">
        <f>IFERROR(__xludf.DUMMYFUNCTION("""COMPUTED_VALUE"""),352744.0)</f>
        <v>352744</v>
      </c>
    </row>
    <row r="319">
      <c r="A319" s="20">
        <f>IFERROR(__xludf.DUMMYFUNCTION("""COMPUTED_VALUE"""),318.0)</f>
        <v>318</v>
      </c>
      <c r="B319" s="20" t="str">
        <f>IFERROR(__xludf.DUMMYFUNCTION("""COMPUTED_VALUE"""),"Maximum Product of Word Lengths")</f>
        <v>Maximum Product of Word Lengths</v>
      </c>
      <c r="C319" s="20" t="str">
        <f>IFERROR(__xludf.DUMMYFUNCTION("""COMPUTED_VALUE"""),"maximum-product-of-word-lengths")</f>
        <v>maximum-product-of-word-lengths</v>
      </c>
      <c r="D319" s="20" t="b">
        <f>IFERROR(__xludf.DUMMYFUNCTION("""COMPUTED_VALUE"""),FALSE)</f>
        <v>0</v>
      </c>
      <c r="E319" s="20" t="str">
        <f>IFERROR(__xludf.DUMMYFUNCTION("""COMPUTED_VALUE"""),"Medium")</f>
        <v>Medium</v>
      </c>
      <c r="F319" s="20">
        <f>IFERROR(__xludf.DUMMYFUNCTION("""COMPUTED_VALUE"""),3139.0)</f>
        <v>3139</v>
      </c>
      <c r="G319" s="20">
        <f>IFERROR(__xludf.DUMMYFUNCTION("""COMPUTED_VALUE"""),124.0)</f>
        <v>124</v>
      </c>
      <c r="H319" s="20" t="str">
        <f>IFERROR(__xludf.DUMMYFUNCTION("""COMPUTED_VALUE"""),"Algorithms")</f>
        <v>Algorithms</v>
      </c>
      <c r="I319" s="20">
        <f>IFERROR(__xludf.DUMMYFUNCTION("""COMPUTED_VALUE"""),0.6)</f>
        <v>0.6</v>
      </c>
      <c r="J319" s="20">
        <f>IFERROR(__xludf.DUMMYFUNCTION("""COMPUTED_VALUE"""),318.0)</f>
        <v>318</v>
      </c>
      <c r="K319" s="20" t="b">
        <f>IFERROR(__xludf.DUMMYFUNCTION("""COMPUTED_VALUE"""),FALSE)</f>
        <v>0</v>
      </c>
      <c r="L319" s="20" t="str">
        <f>IFERROR(__xludf.DUMMYFUNCTION("""COMPUTED_VALUE"""),"Array;String;Bit Manipulation;")</f>
        <v>Array;String;Bit Manipulation;</v>
      </c>
      <c r="M319" s="20" t="b">
        <f>IFERROR(__xludf.DUMMYFUNCTION("""COMPUTED_VALUE"""),TRUE)</f>
        <v>1</v>
      </c>
      <c r="N319" s="20" t="b">
        <f>IFERROR(__xludf.DUMMYFUNCTION("""COMPUTED_VALUE"""),FALSE)</f>
        <v>0</v>
      </c>
      <c r="O319" s="20">
        <f>IFERROR(__xludf.DUMMYFUNCTION("""COMPUTED_VALUE"""),60.0081247328387)</f>
        <v>60.00812473</v>
      </c>
      <c r="P319" s="20">
        <f>IFERROR(__xludf.DUMMYFUNCTION("""COMPUTED_VALUE"""),197940.0)</f>
        <v>197940</v>
      </c>
      <c r="Q319" s="20">
        <f>IFERROR(__xludf.DUMMYFUNCTION("""COMPUTED_VALUE"""),329856.0)</f>
        <v>329856</v>
      </c>
    </row>
    <row r="320">
      <c r="A320" s="20">
        <f>IFERROR(__xludf.DUMMYFUNCTION("""COMPUTED_VALUE"""),319.0)</f>
        <v>319</v>
      </c>
      <c r="B320" s="20" t="str">
        <f>IFERROR(__xludf.DUMMYFUNCTION("""COMPUTED_VALUE"""),"Bulb Switcher")</f>
        <v>Bulb Switcher</v>
      </c>
      <c r="C320" s="20" t="str">
        <f>IFERROR(__xludf.DUMMYFUNCTION("""COMPUTED_VALUE"""),"bulb-switcher")</f>
        <v>bulb-switcher</v>
      </c>
      <c r="D320" s="20" t="b">
        <f>IFERROR(__xludf.DUMMYFUNCTION("""COMPUTED_VALUE"""),FALSE)</f>
        <v>0</v>
      </c>
      <c r="E320" s="20" t="str">
        <f>IFERROR(__xludf.DUMMYFUNCTION("""COMPUTED_VALUE"""),"Medium")</f>
        <v>Medium</v>
      </c>
      <c r="F320" s="20">
        <f>IFERROR(__xludf.DUMMYFUNCTION("""COMPUTED_VALUE"""),1119.0)</f>
        <v>1119</v>
      </c>
      <c r="G320" s="20">
        <f>IFERROR(__xludf.DUMMYFUNCTION("""COMPUTED_VALUE"""),1836.0)</f>
        <v>1836</v>
      </c>
      <c r="H320" s="20" t="str">
        <f>IFERROR(__xludf.DUMMYFUNCTION("""COMPUTED_VALUE"""),"Algorithms")</f>
        <v>Algorithms</v>
      </c>
      <c r="I320" s="20">
        <f>IFERROR(__xludf.DUMMYFUNCTION("""COMPUTED_VALUE"""),0.481)</f>
        <v>0.481</v>
      </c>
      <c r="J320" s="20">
        <f>IFERROR(__xludf.DUMMYFUNCTION("""COMPUTED_VALUE"""),319.0)</f>
        <v>319</v>
      </c>
      <c r="K320" s="20" t="b">
        <f>IFERROR(__xludf.DUMMYFUNCTION("""COMPUTED_VALUE"""),FALSE)</f>
        <v>0</v>
      </c>
      <c r="L320" s="20" t="str">
        <f>IFERROR(__xludf.DUMMYFUNCTION("""COMPUTED_VALUE"""),"Math;Brainteaser;")</f>
        <v>Math;Brainteaser;</v>
      </c>
      <c r="M320" s="20" t="b">
        <f>IFERROR(__xludf.DUMMYFUNCTION("""COMPUTED_VALUE"""),FALSE)</f>
        <v>0</v>
      </c>
      <c r="N320" s="20" t="b">
        <f>IFERROR(__xludf.DUMMYFUNCTION("""COMPUTED_VALUE"""),FALSE)</f>
        <v>0</v>
      </c>
      <c r="O320" s="20">
        <f>IFERROR(__xludf.DUMMYFUNCTION("""COMPUTED_VALUE"""),48.1464287073328)</f>
        <v>48.14642871</v>
      </c>
      <c r="P320" s="20">
        <f>IFERROR(__xludf.DUMMYFUNCTION("""COMPUTED_VALUE"""),126524.0)</f>
        <v>126524</v>
      </c>
      <c r="Q320" s="20">
        <f>IFERROR(__xludf.DUMMYFUNCTION("""COMPUTED_VALUE"""),262790.0)</f>
        <v>262790</v>
      </c>
    </row>
    <row r="321">
      <c r="A321" s="20">
        <f>IFERROR(__xludf.DUMMYFUNCTION("""COMPUTED_VALUE"""),320.0)</f>
        <v>320</v>
      </c>
      <c r="B321" s="20" t="str">
        <f>IFERROR(__xludf.DUMMYFUNCTION("""COMPUTED_VALUE"""),"Generalized Abbreviation")</f>
        <v>Generalized Abbreviation</v>
      </c>
      <c r="C321" s="20" t="str">
        <f>IFERROR(__xludf.DUMMYFUNCTION("""COMPUTED_VALUE"""),"generalized-abbreviation")</f>
        <v>generalized-abbreviation</v>
      </c>
      <c r="D321" s="20" t="b">
        <f>IFERROR(__xludf.DUMMYFUNCTION("""COMPUTED_VALUE"""),TRUE)</f>
        <v>1</v>
      </c>
      <c r="E321" s="20" t="str">
        <f>IFERROR(__xludf.DUMMYFUNCTION("""COMPUTED_VALUE"""),"Medium")</f>
        <v>Medium</v>
      </c>
      <c r="F321" s="20">
        <f>IFERROR(__xludf.DUMMYFUNCTION("""COMPUTED_VALUE"""),650.0)</f>
        <v>650</v>
      </c>
      <c r="G321" s="20">
        <f>IFERROR(__xludf.DUMMYFUNCTION("""COMPUTED_VALUE"""),216.0)</f>
        <v>216</v>
      </c>
      <c r="H321" s="20" t="str">
        <f>IFERROR(__xludf.DUMMYFUNCTION("""COMPUTED_VALUE"""),"Algorithms")</f>
        <v>Algorithms</v>
      </c>
      <c r="I321" s="20">
        <f>IFERROR(__xludf.DUMMYFUNCTION("""COMPUTED_VALUE"""),0.574)</f>
        <v>0.574</v>
      </c>
      <c r="J321" s="20">
        <f>IFERROR(__xludf.DUMMYFUNCTION("""COMPUTED_VALUE"""),320.0)</f>
        <v>320</v>
      </c>
      <c r="K321" s="20" t="b">
        <f>IFERROR(__xludf.DUMMYFUNCTION("""COMPUTED_VALUE"""),TRUE)</f>
        <v>1</v>
      </c>
      <c r="L321" s="20" t="str">
        <f>IFERROR(__xludf.DUMMYFUNCTION("""COMPUTED_VALUE"""),"String;Backtracking;Bit Manipulation;")</f>
        <v>String;Backtracking;Bit Manipulation;</v>
      </c>
      <c r="M321" s="20" t="b">
        <f>IFERROR(__xludf.DUMMYFUNCTION("""COMPUTED_VALUE"""),TRUE)</f>
        <v>1</v>
      </c>
      <c r="N321" s="20" t="b">
        <f>IFERROR(__xludf.DUMMYFUNCTION("""COMPUTED_VALUE"""),FALSE)</f>
        <v>0</v>
      </c>
      <c r="O321" s="20">
        <f>IFERROR(__xludf.DUMMYFUNCTION("""COMPUTED_VALUE"""),57.4472264885523)</f>
        <v>57.44722649</v>
      </c>
      <c r="P321" s="20">
        <f>IFERROR(__xludf.DUMMYFUNCTION("""COMPUTED_VALUE"""),64334.0)</f>
        <v>64334</v>
      </c>
      <c r="Q321" s="20">
        <f>IFERROR(__xludf.DUMMYFUNCTION("""COMPUTED_VALUE"""),111988.0)</f>
        <v>111988</v>
      </c>
    </row>
    <row r="322">
      <c r="A322" s="20">
        <f>IFERROR(__xludf.DUMMYFUNCTION("""COMPUTED_VALUE"""),321.0)</f>
        <v>321</v>
      </c>
      <c r="B322" s="20" t="str">
        <f>IFERROR(__xludf.DUMMYFUNCTION("""COMPUTED_VALUE"""),"Create Maximum Number")</f>
        <v>Create Maximum Number</v>
      </c>
      <c r="C322" s="20" t="str">
        <f>IFERROR(__xludf.DUMMYFUNCTION("""COMPUTED_VALUE"""),"create-maximum-number")</f>
        <v>create-maximum-number</v>
      </c>
      <c r="D322" s="20" t="b">
        <f>IFERROR(__xludf.DUMMYFUNCTION("""COMPUTED_VALUE"""),FALSE)</f>
        <v>0</v>
      </c>
      <c r="E322" s="20" t="str">
        <f>IFERROR(__xludf.DUMMYFUNCTION("""COMPUTED_VALUE"""),"Hard")</f>
        <v>Hard</v>
      </c>
      <c r="F322" s="20">
        <f>IFERROR(__xludf.DUMMYFUNCTION("""COMPUTED_VALUE"""),1598.0)</f>
        <v>1598</v>
      </c>
      <c r="G322" s="20">
        <f>IFERROR(__xludf.DUMMYFUNCTION("""COMPUTED_VALUE"""),331.0)</f>
        <v>331</v>
      </c>
      <c r="H322" s="20" t="str">
        <f>IFERROR(__xludf.DUMMYFUNCTION("""COMPUTED_VALUE"""),"Algorithms")</f>
        <v>Algorithms</v>
      </c>
      <c r="I322" s="20">
        <f>IFERROR(__xludf.DUMMYFUNCTION("""COMPUTED_VALUE"""),0.289)</f>
        <v>0.289</v>
      </c>
      <c r="J322" s="20">
        <f>IFERROR(__xludf.DUMMYFUNCTION("""COMPUTED_VALUE"""),321.0)</f>
        <v>321</v>
      </c>
      <c r="K322" s="20" t="b">
        <f>IFERROR(__xludf.DUMMYFUNCTION("""COMPUTED_VALUE"""),FALSE)</f>
        <v>0</v>
      </c>
      <c r="L322" s="20" t="str">
        <f>IFERROR(__xludf.DUMMYFUNCTION("""COMPUTED_VALUE"""),"Stack;Greedy;Monotonic Stack;")</f>
        <v>Stack;Greedy;Monotonic Stack;</v>
      </c>
      <c r="M322" s="20" t="b">
        <f>IFERROR(__xludf.DUMMYFUNCTION("""COMPUTED_VALUE"""),FALSE)</f>
        <v>0</v>
      </c>
      <c r="N322" s="20" t="b">
        <f>IFERROR(__xludf.DUMMYFUNCTION("""COMPUTED_VALUE"""),FALSE)</f>
        <v>0</v>
      </c>
      <c r="O322" s="20">
        <f>IFERROR(__xludf.DUMMYFUNCTION("""COMPUTED_VALUE"""),28.8641762744371)</f>
        <v>28.86417627</v>
      </c>
      <c r="P322" s="20">
        <f>IFERROR(__xludf.DUMMYFUNCTION("""COMPUTED_VALUE"""),52975.0)</f>
        <v>52975</v>
      </c>
      <c r="Q322" s="20">
        <f>IFERROR(__xludf.DUMMYFUNCTION("""COMPUTED_VALUE"""),183532.0)</f>
        <v>183532</v>
      </c>
    </row>
    <row r="323">
      <c r="A323" s="20">
        <f>IFERROR(__xludf.DUMMYFUNCTION("""COMPUTED_VALUE"""),322.0)</f>
        <v>322</v>
      </c>
      <c r="B323" s="20" t="str">
        <f>IFERROR(__xludf.DUMMYFUNCTION("""COMPUTED_VALUE"""),"Coin Change")</f>
        <v>Coin Change</v>
      </c>
      <c r="C323" s="20" t="str">
        <f>IFERROR(__xludf.DUMMYFUNCTION("""COMPUTED_VALUE"""),"coin-change")</f>
        <v>coin-change</v>
      </c>
      <c r="D323" s="20" t="b">
        <f>IFERROR(__xludf.DUMMYFUNCTION("""COMPUTED_VALUE"""),FALSE)</f>
        <v>0</v>
      </c>
      <c r="E323" s="20" t="str">
        <f>IFERROR(__xludf.DUMMYFUNCTION("""COMPUTED_VALUE"""),"Medium")</f>
        <v>Medium</v>
      </c>
      <c r="F323" s="20">
        <f>IFERROR(__xludf.DUMMYFUNCTION("""COMPUTED_VALUE"""),14917.0)</f>
        <v>14917</v>
      </c>
      <c r="G323" s="20">
        <f>IFERROR(__xludf.DUMMYFUNCTION("""COMPUTED_VALUE"""),345.0)</f>
        <v>345</v>
      </c>
      <c r="H323" s="20" t="str">
        <f>IFERROR(__xludf.DUMMYFUNCTION("""COMPUTED_VALUE"""),"Algorithms")</f>
        <v>Algorithms</v>
      </c>
      <c r="I323" s="20">
        <f>IFERROR(__xludf.DUMMYFUNCTION("""COMPUTED_VALUE"""),0.417)</f>
        <v>0.417</v>
      </c>
      <c r="J323" s="20">
        <f>IFERROR(__xludf.DUMMYFUNCTION("""COMPUTED_VALUE"""),322.0)</f>
        <v>322</v>
      </c>
      <c r="K323" s="20" t="b">
        <f>IFERROR(__xludf.DUMMYFUNCTION("""COMPUTED_VALUE"""),FALSE)</f>
        <v>0</v>
      </c>
      <c r="L323" s="20" t="str">
        <f>IFERROR(__xludf.DUMMYFUNCTION("""COMPUTED_VALUE"""),"Array;Dynamic Programming;Breadth-First Search;")</f>
        <v>Array;Dynamic Programming;Breadth-First Search;</v>
      </c>
      <c r="M323" s="20" t="b">
        <f>IFERROR(__xludf.DUMMYFUNCTION("""COMPUTED_VALUE"""),TRUE)</f>
        <v>1</v>
      </c>
      <c r="N323" s="20" t="b">
        <f>IFERROR(__xludf.DUMMYFUNCTION("""COMPUTED_VALUE"""),TRUE)</f>
        <v>1</v>
      </c>
      <c r="O323" s="20">
        <f>IFERROR(__xludf.DUMMYFUNCTION("""COMPUTED_VALUE"""),41.7122765085309)</f>
        <v>41.71227651</v>
      </c>
      <c r="P323" s="20">
        <f>IFERROR(__xludf.DUMMYFUNCTION("""COMPUTED_VALUE"""),1285843.0)</f>
        <v>1285843</v>
      </c>
      <c r="Q323" s="20">
        <f>IFERROR(__xludf.DUMMYFUNCTION("""COMPUTED_VALUE"""),3082646.0)</f>
        <v>3082646</v>
      </c>
    </row>
    <row r="324">
      <c r="A324" s="20">
        <f>IFERROR(__xludf.DUMMYFUNCTION("""COMPUTED_VALUE"""),323.0)</f>
        <v>323</v>
      </c>
      <c r="B324" s="20" t="str">
        <f>IFERROR(__xludf.DUMMYFUNCTION("""COMPUTED_VALUE"""),"Number of Connected Components in an Undirected Graph")</f>
        <v>Number of Connected Components in an Undirected Graph</v>
      </c>
      <c r="C324" s="20" t="str">
        <f>IFERROR(__xludf.DUMMYFUNCTION("""COMPUTED_VALUE"""),"number-of-connected-components-in-an-undirected-graph")</f>
        <v>number-of-connected-components-in-an-undirected-graph</v>
      </c>
      <c r="D324" s="20" t="b">
        <f>IFERROR(__xludf.DUMMYFUNCTION("""COMPUTED_VALUE"""),TRUE)</f>
        <v>1</v>
      </c>
      <c r="E324" s="20" t="str">
        <f>IFERROR(__xludf.DUMMYFUNCTION("""COMPUTED_VALUE"""),"Medium")</f>
        <v>Medium</v>
      </c>
      <c r="F324" s="20">
        <f>IFERROR(__xludf.DUMMYFUNCTION("""COMPUTED_VALUE"""),2376.0)</f>
        <v>2376</v>
      </c>
      <c r="G324" s="20">
        <f>IFERROR(__xludf.DUMMYFUNCTION("""COMPUTED_VALUE"""),80.0)</f>
        <v>80</v>
      </c>
      <c r="H324" s="20" t="str">
        <f>IFERROR(__xludf.DUMMYFUNCTION("""COMPUTED_VALUE"""),"Algorithms")</f>
        <v>Algorithms</v>
      </c>
      <c r="I324" s="20">
        <f>IFERROR(__xludf.DUMMYFUNCTION("""COMPUTED_VALUE"""),0.622)</f>
        <v>0.622</v>
      </c>
      <c r="J324" s="20">
        <f>IFERROR(__xludf.DUMMYFUNCTION("""COMPUTED_VALUE"""),323.0)</f>
        <v>323</v>
      </c>
      <c r="K324" s="20" t="b">
        <f>IFERROR(__xludf.DUMMYFUNCTION("""COMPUTED_VALUE"""),TRUE)</f>
        <v>1</v>
      </c>
      <c r="L324" s="20" t="str">
        <f>IFERROR(__xludf.DUMMYFUNCTION("""COMPUTED_VALUE"""),"Depth-First Search;Breadth-First Search;Union Find;Graph;")</f>
        <v>Depth-First Search;Breadth-First Search;Union Find;Graph;</v>
      </c>
      <c r="M324" s="20" t="b">
        <f>IFERROR(__xludf.DUMMYFUNCTION("""COMPUTED_VALUE"""),TRUE)</f>
        <v>1</v>
      </c>
      <c r="N324" s="20" t="b">
        <f>IFERROR(__xludf.DUMMYFUNCTION("""COMPUTED_VALUE"""),TRUE)</f>
        <v>1</v>
      </c>
      <c r="O324" s="20">
        <f>IFERROR(__xludf.DUMMYFUNCTION("""COMPUTED_VALUE"""),62.1710208626925)</f>
        <v>62.17102086</v>
      </c>
      <c r="P324" s="20">
        <f>IFERROR(__xludf.DUMMYFUNCTION("""COMPUTED_VALUE"""),315431.0)</f>
        <v>315431</v>
      </c>
      <c r="Q324" s="20">
        <f>IFERROR(__xludf.DUMMYFUNCTION("""COMPUTED_VALUE"""),507358.0)</f>
        <v>507358</v>
      </c>
    </row>
    <row r="325">
      <c r="A325" s="20">
        <f>IFERROR(__xludf.DUMMYFUNCTION("""COMPUTED_VALUE"""),324.0)</f>
        <v>324</v>
      </c>
      <c r="B325" s="20" t="str">
        <f>IFERROR(__xludf.DUMMYFUNCTION("""COMPUTED_VALUE"""),"Wiggle Sort II")</f>
        <v>Wiggle Sort II</v>
      </c>
      <c r="C325" s="20" t="str">
        <f>IFERROR(__xludf.DUMMYFUNCTION("""COMPUTED_VALUE"""),"wiggle-sort-ii")</f>
        <v>wiggle-sort-ii</v>
      </c>
      <c r="D325" s="20" t="b">
        <f>IFERROR(__xludf.DUMMYFUNCTION("""COMPUTED_VALUE"""),FALSE)</f>
        <v>0</v>
      </c>
      <c r="E325" s="20" t="str">
        <f>IFERROR(__xludf.DUMMYFUNCTION("""COMPUTED_VALUE"""),"Medium")</f>
        <v>Medium</v>
      </c>
      <c r="F325" s="20">
        <f>IFERROR(__xludf.DUMMYFUNCTION("""COMPUTED_VALUE"""),2545.0)</f>
        <v>2545</v>
      </c>
      <c r="G325" s="20">
        <f>IFERROR(__xludf.DUMMYFUNCTION("""COMPUTED_VALUE"""),878.0)</f>
        <v>878</v>
      </c>
      <c r="H325" s="20" t="str">
        <f>IFERROR(__xludf.DUMMYFUNCTION("""COMPUTED_VALUE"""),"Algorithms")</f>
        <v>Algorithms</v>
      </c>
      <c r="I325" s="20">
        <f>IFERROR(__xludf.DUMMYFUNCTION("""COMPUTED_VALUE"""),0.331)</f>
        <v>0.331</v>
      </c>
      <c r="J325" s="20">
        <f>IFERROR(__xludf.DUMMYFUNCTION("""COMPUTED_VALUE"""),324.0)</f>
        <v>324</v>
      </c>
      <c r="K325" s="20" t="b">
        <f>IFERROR(__xludf.DUMMYFUNCTION("""COMPUTED_VALUE"""),FALSE)</f>
        <v>0</v>
      </c>
      <c r="L325" s="20" t="str">
        <f>IFERROR(__xludf.DUMMYFUNCTION("""COMPUTED_VALUE"""),"Array;Divide and Conquer;Sorting;Quickselect;")</f>
        <v>Array;Divide and Conquer;Sorting;Quickselect;</v>
      </c>
      <c r="M325" s="20" t="b">
        <f>IFERROR(__xludf.DUMMYFUNCTION("""COMPUTED_VALUE"""),FALSE)</f>
        <v>0</v>
      </c>
      <c r="N325" s="20" t="b">
        <f>IFERROR(__xludf.DUMMYFUNCTION("""COMPUTED_VALUE"""),FALSE)</f>
        <v>0</v>
      </c>
      <c r="O325" s="20">
        <f>IFERROR(__xludf.DUMMYFUNCTION("""COMPUTED_VALUE"""),33.0863457777063)</f>
        <v>33.08634578</v>
      </c>
      <c r="P325" s="20">
        <f>IFERROR(__xludf.DUMMYFUNCTION("""COMPUTED_VALUE"""),135835.0)</f>
        <v>135835</v>
      </c>
      <c r="Q325" s="20">
        <f>IFERROR(__xludf.DUMMYFUNCTION("""COMPUTED_VALUE"""),410546.0)</f>
        <v>410546</v>
      </c>
    </row>
    <row r="326">
      <c r="A326" s="20">
        <f>IFERROR(__xludf.DUMMYFUNCTION("""COMPUTED_VALUE"""),325.0)</f>
        <v>325</v>
      </c>
      <c r="B326" s="20" t="str">
        <f>IFERROR(__xludf.DUMMYFUNCTION("""COMPUTED_VALUE"""),"Maximum Size Subarray Sum Equals k")</f>
        <v>Maximum Size Subarray Sum Equals k</v>
      </c>
      <c r="C326" s="20" t="str">
        <f>IFERROR(__xludf.DUMMYFUNCTION("""COMPUTED_VALUE"""),"maximum-size-subarray-sum-equals-k")</f>
        <v>maximum-size-subarray-sum-equals-k</v>
      </c>
      <c r="D326" s="20" t="b">
        <f>IFERROR(__xludf.DUMMYFUNCTION("""COMPUTED_VALUE"""),TRUE)</f>
        <v>1</v>
      </c>
      <c r="E326" s="20" t="str">
        <f>IFERROR(__xludf.DUMMYFUNCTION("""COMPUTED_VALUE"""),"Medium")</f>
        <v>Medium</v>
      </c>
      <c r="F326" s="20">
        <f>IFERROR(__xludf.DUMMYFUNCTION("""COMPUTED_VALUE"""),1851.0)</f>
        <v>1851</v>
      </c>
      <c r="G326" s="20">
        <f>IFERROR(__xludf.DUMMYFUNCTION("""COMPUTED_VALUE"""),56.0)</f>
        <v>56</v>
      </c>
      <c r="H326" s="20" t="str">
        <f>IFERROR(__xludf.DUMMYFUNCTION("""COMPUTED_VALUE"""),"Algorithms")</f>
        <v>Algorithms</v>
      </c>
      <c r="I326" s="20">
        <f>IFERROR(__xludf.DUMMYFUNCTION("""COMPUTED_VALUE"""),0.492)</f>
        <v>0.492</v>
      </c>
      <c r="J326" s="20">
        <f>IFERROR(__xludf.DUMMYFUNCTION("""COMPUTED_VALUE"""),325.0)</f>
        <v>325</v>
      </c>
      <c r="K326" s="20" t="b">
        <f>IFERROR(__xludf.DUMMYFUNCTION("""COMPUTED_VALUE"""),TRUE)</f>
        <v>1</v>
      </c>
      <c r="L326" s="20" t="str">
        <f>IFERROR(__xludf.DUMMYFUNCTION("""COMPUTED_VALUE"""),"Array;Hash Table;Prefix Sum;")</f>
        <v>Array;Hash Table;Prefix Sum;</v>
      </c>
      <c r="M326" s="20" t="b">
        <f>IFERROR(__xludf.DUMMYFUNCTION("""COMPUTED_VALUE"""),TRUE)</f>
        <v>1</v>
      </c>
      <c r="N326" s="20" t="b">
        <f>IFERROR(__xludf.DUMMYFUNCTION("""COMPUTED_VALUE"""),FALSE)</f>
        <v>0</v>
      </c>
      <c r="O326" s="20">
        <f>IFERROR(__xludf.DUMMYFUNCTION("""COMPUTED_VALUE"""),49.2461827886424)</f>
        <v>49.24618279</v>
      </c>
      <c r="P326" s="20">
        <f>IFERROR(__xludf.DUMMYFUNCTION("""COMPUTED_VALUE"""),168843.0)</f>
        <v>168843</v>
      </c>
      <c r="Q326" s="20">
        <f>IFERROR(__xludf.DUMMYFUNCTION("""COMPUTED_VALUE"""),342855.0)</f>
        <v>342855</v>
      </c>
    </row>
    <row r="327">
      <c r="A327" s="20">
        <f>IFERROR(__xludf.DUMMYFUNCTION("""COMPUTED_VALUE"""),326.0)</f>
        <v>326</v>
      </c>
      <c r="B327" s="20" t="str">
        <f>IFERROR(__xludf.DUMMYFUNCTION("""COMPUTED_VALUE"""),"Power of Three")</f>
        <v>Power of Three</v>
      </c>
      <c r="C327" s="20" t="str">
        <f>IFERROR(__xludf.DUMMYFUNCTION("""COMPUTED_VALUE"""),"power-of-three")</f>
        <v>power-of-three</v>
      </c>
      <c r="D327" s="20" t="b">
        <f>IFERROR(__xludf.DUMMYFUNCTION("""COMPUTED_VALUE"""),FALSE)</f>
        <v>0</v>
      </c>
      <c r="E327" s="20" t="str">
        <f>IFERROR(__xludf.DUMMYFUNCTION("""COMPUTED_VALUE"""),"Easy")</f>
        <v>Easy</v>
      </c>
      <c r="F327" s="20">
        <f>IFERROR(__xludf.DUMMYFUNCTION("""COMPUTED_VALUE"""),2309.0)</f>
        <v>2309</v>
      </c>
      <c r="G327" s="20">
        <f>IFERROR(__xludf.DUMMYFUNCTION("""COMPUTED_VALUE"""),224.0)</f>
        <v>224</v>
      </c>
      <c r="H327" s="20" t="str">
        <f>IFERROR(__xludf.DUMMYFUNCTION("""COMPUTED_VALUE"""),"Algorithms")</f>
        <v>Algorithms</v>
      </c>
      <c r="I327" s="20">
        <f>IFERROR(__xludf.DUMMYFUNCTION("""COMPUTED_VALUE"""),0.453)</f>
        <v>0.453</v>
      </c>
      <c r="J327" s="20">
        <f>IFERROR(__xludf.DUMMYFUNCTION("""COMPUTED_VALUE"""),326.0)</f>
        <v>326</v>
      </c>
      <c r="K327" s="20" t="b">
        <f>IFERROR(__xludf.DUMMYFUNCTION("""COMPUTED_VALUE"""),FALSE)</f>
        <v>0</v>
      </c>
      <c r="L327" s="20" t="str">
        <f>IFERROR(__xludf.DUMMYFUNCTION("""COMPUTED_VALUE"""),"Math;Recursion;")</f>
        <v>Math;Recursion;</v>
      </c>
      <c r="M327" s="20" t="b">
        <f>IFERROR(__xludf.DUMMYFUNCTION("""COMPUTED_VALUE"""),TRUE)</f>
        <v>1</v>
      </c>
      <c r="N327" s="20" t="b">
        <f>IFERROR(__xludf.DUMMYFUNCTION("""COMPUTED_VALUE"""),FALSE)</f>
        <v>0</v>
      </c>
      <c r="O327" s="20">
        <f>IFERROR(__xludf.DUMMYFUNCTION("""COMPUTED_VALUE"""),45.3125919208644)</f>
        <v>45.31259192</v>
      </c>
      <c r="P327" s="20">
        <f>IFERROR(__xludf.DUMMYFUNCTION("""COMPUTED_VALUE"""),631587.0)</f>
        <v>631587</v>
      </c>
      <c r="Q327" s="20">
        <f>IFERROR(__xludf.DUMMYFUNCTION("""COMPUTED_VALUE"""),1393847.0)</f>
        <v>1393847</v>
      </c>
    </row>
    <row r="328">
      <c r="A328" s="20">
        <f>IFERROR(__xludf.DUMMYFUNCTION("""COMPUTED_VALUE"""),327.0)</f>
        <v>327</v>
      </c>
      <c r="B328" s="20" t="str">
        <f>IFERROR(__xludf.DUMMYFUNCTION("""COMPUTED_VALUE"""),"Count of Range Sum")</f>
        <v>Count of Range Sum</v>
      </c>
      <c r="C328" s="20" t="str">
        <f>IFERROR(__xludf.DUMMYFUNCTION("""COMPUTED_VALUE"""),"count-of-range-sum")</f>
        <v>count-of-range-sum</v>
      </c>
      <c r="D328" s="20" t="b">
        <f>IFERROR(__xludf.DUMMYFUNCTION("""COMPUTED_VALUE"""),FALSE)</f>
        <v>0</v>
      </c>
      <c r="E328" s="20" t="str">
        <f>IFERROR(__xludf.DUMMYFUNCTION("""COMPUTED_VALUE"""),"Hard")</f>
        <v>Hard</v>
      </c>
      <c r="F328" s="20">
        <f>IFERROR(__xludf.DUMMYFUNCTION("""COMPUTED_VALUE"""),1894.0)</f>
        <v>1894</v>
      </c>
      <c r="G328" s="20">
        <f>IFERROR(__xludf.DUMMYFUNCTION("""COMPUTED_VALUE"""),199.0)</f>
        <v>199</v>
      </c>
      <c r="H328" s="20" t="str">
        <f>IFERROR(__xludf.DUMMYFUNCTION("""COMPUTED_VALUE"""),"Algorithms")</f>
        <v>Algorithms</v>
      </c>
      <c r="I328" s="20">
        <f>IFERROR(__xludf.DUMMYFUNCTION("""COMPUTED_VALUE"""),0.36)</f>
        <v>0.36</v>
      </c>
      <c r="J328" s="20">
        <f>IFERROR(__xludf.DUMMYFUNCTION("""COMPUTED_VALUE"""),327.0)</f>
        <v>327</v>
      </c>
      <c r="K328" s="20" t="b">
        <f>IFERROR(__xludf.DUMMYFUNCTION("""COMPUTED_VALUE"""),FALSE)</f>
        <v>0</v>
      </c>
      <c r="L328" s="20" t="str">
        <f>IFERROR(__xludf.DUMMYFUNCTION("""COMPUTED_VALUE"""),"Array;Binary Search;Divide and Conquer;Binary Indexed Tree;Segment Tree;Merge Sort;Ordered Set;")</f>
        <v>Array;Binary Search;Divide and Conquer;Binary Indexed Tree;Segment Tree;Merge Sort;Ordered Set;</v>
      </c>
      <c r="M328" s="20" t="b">
        <f>IFERROR(__xludf.DUMMYFUNCTION("""COMPUTED_VALUE"""),FALSE)</f>
        <v>0</v>
      </c>
      <c r="N328" s="20" t="b">
        <f>IFERROR(__xludf.DUMMYFUNCTION("""COMPUTED_VALUE"""),FALSE)</f>
        <v>0</v>
      </c>
      <c r="O328" s="20">
        <f>IFERROR(__xludf.DUMMYFUNCTION("""COMPUTED_VALUE"""),36.0237482210561)</f>
        <v>36.02374822</v>
      </c>
      <c r="P328" s="20">
        <f>IFERROR(__xludf.DUMMYFUNCTION("""COMPUTED_VALUE"""),66318.0)</f>
        <v>66318</v>
      </c>
      <c r="Q328" s="20">
        <f>IFERROR(__xludf.DUMMYFUNCTION("""COMPUTED_VALUE"""),184097.0)</f>
        <v>184097</v>
      </c>
    </row>
    <row r="329">
      <c r="A329" s="20">
        <f>IFERROR(__xludf.DUMMYFUNCTION("""COMPUTED_VALUE"""),328.0)</f>
        <v>328</v>
      </c>
      <c r="B329" s="20" t="str">
        <f>IFERROR(__xludf.DUMMYFUNCTION("""COMPUTED_VALUE"""),"Odd Even Linked List")</f>
        <v>Odd Even Linked List</v>
      </c>
      <c r="C329" s="20" t="str">
        <f>IFERROR(__xludf.DUMMYFUNCTION("""COMPUTED_VALUE"""),"odd-even-linked-list")</f>
        <v>odd-even-linked-list</v>
      </c>
      <c r="D329" s="20" t="b">
        <f>IFERROR(__xludf.DUMMYFUNCTION("""COMPUTED_VALUE"""),FALSE)</f>
        <v>0</v>
      </c>
      <c r="E329" s="20" t="str">
        <f>IFERROR(__xludf.DUMMYFUNCTION("""COMPUTED_VALUE"""),"Medium")</f>
        <v>Medium</v>
      </c>
      <c r="F329" s="20">
        <f>IFERROR(__xludf.DUMMYFUNCTION("""COMPUTED_VALUE"""),7673.0)</f>
        <v>7673</v>
      </c>
      <c r="G329" s="20">
        <f>IFERROR(__xludf.DUMMYFUNCTION("""COMPUTED_VALUE"""),436.0)</f>
        <v>436</v>
      </c>
      <c r="H329" s="20" t="str">
        <f>IFERROR(__xludf.DUMMYFUNCTION("""COMPUTED_VALUE"""),"Algorithms")</f>
        <v>Algorithms</v>
      </c>
      <c r="I329" s="20">
        <f>IFERROR(__xludf.DUMMYFUNCTION("""COMPUTED_VALUE"""),0.612)</f>
        <v>0.612</v>
      </c>
      <c r="J329" s="20">
        <f>IFERROR(__xludf.DUMMYFUNCTION("""COMPUTED_VALUE"""),328.0)</f>
        <v>328</v>
      </c>
      <c r="K329" s="20" t="b">
        <f>IFERROR(__xludf.DUMMYFUNCTION("""COMPUTED_VALUE"""),FALSE)</f>
        <v>0</v>
      </c>
      <c r="L329" s="20" t="str">
        <f>IFERROR(__xludf.DUMMYFUNCTION("""COMPUTED_VALUE"""),"Linked List;")</f>
        <v>Linked List;</v>
      </c>
      <c r="M329" s="20" t="b">
        <f>IFERROR(__xludf.DUMMYFUNCTION("""COMPUTED_VALUE"""),TRUE)</f>
        <v>1</v>
      </c>
      <c r="N329" s="20" t="b">
        <f>IFERROR(__xludf.DUMMYFUNCTION("""COMPUTED_VALUE"""),FALSE)</f>
        <v>0</v>
      </c>
      <c r="O329" s="20">
        <f>IFERROR(__xludf.DUMMYFUNCTION("""COMPUTED_VALUE"""),61.1693740686215)</f>
        <v>61.16937407</v>
      </c>
      <c r="P329" s="20">
        <f>IFERROR(__xludf.DUMMYFUNCTION("""COMPUTED_VALUE"""),678508.0)</f>
        <v>678508</v>
      </c>
      <c r="Q329" s="20">
        <f>IFERROR(__xludf.DUMMYFUNCTION("""COMPUTED_VALUE"""),1109233.0)</f>
        <v>1109233</v>
      </c>
    </row>
    <row r="330">
      <c r="A330" s="20">
        <f>IFERROR(__xludf.DUMMYFUNCTION("""COMPUTED_VALUE"""),329.0)</f>
        <v>329</v>
      </c>
      <c r="B330" s="20" t="str">
        <f>IFERROR(__xludf.DUMMYFUNCTION("""COMPUTED_VALUE"""),"Longest Increasing Path in a Matrix")</f>
        <v>Longest Increasing Path in a Matrix</v>
      </c>
      <c r="C330" s="20" t="str">
        <f>IFERROR(__xludf.DUMMYFUNCTION("""COMPUTED_VALUE"""),"longest-increasing-path-in-a-matrix")</f>
        <v>longest-increasing-path-in-a-matrix</v>
      </c>
      <c r="D330" s="20" t="b">
        <f>IFERROR(__xludf.DUMMYFUNCTION("""COMPUTED_VALUE"""),FALSE)</f>
        <v>0</v>
      </c>
      <c r="E330" s="20" t="str">
        <f>IFERROR(__xludf.DUMMYFUNCTION("""COMPUTED_VALUE"""),"Hard")</f>
        <v>Hard</v>
      </c>
      <c r="F330" s="20">
        <f>IFERROR(__xludf.DUMMYFUNCTION("""COMPUTED_VALUE"""),7589.0)</f>
        <v>7589</v>
      </c>
      <c r="G330" s="20">
        <f>IFERROR(__xludf.DUMMYFUNCTION("""COMPUTED_VALUE"""),112.0)</f>
        <v>112</v>
      </c>
      <c r="H330" s="20" t="str">
        <f>IFERROR(__xludf.DUMMYFUNCTION("""COMPUTED_VALUE"""),"Algorithms")</f>
        <v>Algorithms</v>
      </c>
      <c r="I330" s="20">
        <f>IFERROR(__xludf.DUMMYFUNCTION("""COMPUTED_VALUE"""),0.523)</f>
        <v>0.523</v>
      </c>
      <c r="J330" s="20">
        <f>IFERROR(__xludf.DUMMYFUNCTION("""COMPUTED_VALUE"""),329.0)</f>
        <v>329</v>
      </c>
      <c r="K330" s="20" t="b">
        <f>IFERROR(__xludf.DUMMYFUNCTION("""COMPUTED_VALUE"""),FALSE)</f>
        <v>0</v>
      </c>
      <c r="L330" s="20" t="str">
        <f>IFERROR(__xludf.DUMMYFUNCTION("""COMPUTED_VALUE"""),"Array;Dynamic Programming;Depth-First Search;Breadth-First Search;Graph;Topological Sort;Memoization;Matrix;")</f>
        <v>Array;Dynamic Programming;Depth-First Search;Breadth-First Search;Graph;Topological Sort;Memoization;Matrix;</v>
      </c>
      <c r="M330" s="20" t="b">
        <f>IFERROR(__xludf.DUMMYFUNCTION("""COMPUTED_VALUE"""),TRUE)</f>
        <v>1</v>
      </c>
      <c r="N330" s="20" t="b">
        <f>IFERROR(__xludf.DUMMYFUNCTION("""COMPUTED_VALUE"""),FALSE)</f>
        <v>0</v>
      </c>
      <c r="O330" s="20">
        <f>IFERROR(__xludf.DUMMYFUNCTION("""COMPUTED_VALUE"""),52.3077169423905)</f>
        <v>52.30771694</v>
      </c>
      <c r="P330" s="20">
        <f>IFERROR(__xludf.DUMMYFUNCTION("""COMPUTED_VALUE"""),424666.0)</f>
        <v>424666</v>
      </c>
      <c r="Q330" s="20">
        <f>IFERROR(__xludf.DUMMYFUNCTION("""COMPUTED_VALUE"""),811862.0)</f>
        <v>811862</v>
      </c>
    </row>
    <row r="331">
      <c r="A331" s="20">
        <f>IFERROR(__xludf.DUMMYFUNCTION("""COMPUTED_VALUE"""),330.0)</f>
        <v>330</v>
      </c>
      <c r="B331" s="20" t="str">
        <f>IFERROR(__xludf.DUMMYFUNCTION("""COMPUTED_VALUE"""),"Patching Array")</f>
        <v>Patching Array</v>
      </c>
      <c r="C331" s="20" t="str">
        <f>IFERROR(__xludf.DUMMYFUNCTION("""COMPUTED_VALUE"""),"patching-array")</f>
        <v>patching-array</v>
      </c>
      <c r="D331" s="20" t="b">
        <f>IFERROR(__xludf.DUMMYFUNCTION("""COMPUTED_VALUE"""),FALSE)</f>
        <v>0</v>
      </c>
      <c r="E331" s="20" t="str">
        <f>IFERROR(__xludf.DUMMYFUNCTION("""COMPUTED_VALUE"""),"Hard")</f>
        <v>Hard</v>
      </c>
      <c r="F331" s="20">
        <f>IFERROR(__xludf.DUMMYFUNCTION("""COMPUTED_VALUE"""),1247.0)</f>
        <v>1247</v>
      </c>
      <c r="G331" s="20">
        <f>IFERROR(__xludf.DUMMYFUNCTION("""COMPUTED_VALUE"""),122.0)</f>
        <v>122</v>
      </c>
      <c r="H331" s="20" t="str">
        <f>IFERROR(__xludf.DUMMYFUNCTION("""COMPUTED_VALUE"""),"Algorithms")</f>
        <v>Algorithms</v>
      </c>
      <c r="I331" s="20">
        <f>IFERROR(__xludf.DUMMYFUNCTION("""COMPUTED_VALUE"""),0.401)</f>
        <v>0.401</v>
      </c>
      <c r="J331" s="20">
        <f>IFERROR(__xludf.DUMMYFUNCTION("""COMPUTED_VALUE"""),330.0)</f>
        <v>330</v>
      </c>
      <c r="K331" s="20" t="b">
        <f>IFERROR(__xludf.DUMMYFUNCTION("""COMPUTED_VALUE"""),FALSE)</f>
        <v>0</v>
      </c>
      <c r="L331" s="20" t="str">
        <f>IFERROR(__xludf.DUMMYFUNCTION("""COMPUTED_VALUE"""),"Array;Greedy;")</f>
        <v>Array;Greedy;</v>
      </c>
      <c r="M331" s="20" t="b">
        <f>IFERROR(__xludf.DUMMYFUNCTION("""COMPUTED_VALUE"""),TRUE)</f>
        <v>1</v>
      </c>
      <c r="N331" s="20" t="b">
        <f>IFERROR(__xludf.DUMMYFUNCTION("""COMPUTED_VALUE"""),FALSE)</f>
        <v>0</v>
      </c>
      <c r="O331" s="20">
        <f>IFERROR(__xludf.DUMMYFUNCTION("""COMPUTED_VALUE"""),40.1081797551228)</f>
        <v>40.10817976</v>
      </c>
      <c r="P331" s="20">
        <f>IFERROR(__xludf.DUMMYFUNCTION("""COMPUTED_VALUE"""),59914.0)</f>
        <v>59914</v>
      </c>
      <c r="Q331" s="20">
        <f>IFERROR(__xludf.DUMMYFUNCTION("""COMPUTED_VALUE"""),149381.0)</f>
        <v>149381</v>
      </c>
    </row>
    <row r="332">
      <c r="A332" s="20">
        <f>IFERROR(__xludf.DUMMYFUNCTION("""COMPUTED_VALUE"""),331.0)</f>
        <v>331</v>
      </c>
      <c r="B332" s="20" t="str">
        <f>IFERROR(__xludf.DUMMYFUNCTION("""COMPUTED_VALUE"""),"Verify Preorder Serialization of a Binary Tree")</f>
        <v>Verify Preorder Serialization of a Binary Tree</v>
      </c>
      <c r="C332" s="20" t="str">
        <f>IFERROR(__xludf.DUMMYFUNCTION("""COMPUTED_VALUE"""),"verify-preorder-serialization-of-a-binary-tree")</f>
        <v>verify-preorder-serialization-of-a-binary-tree</v>
      </c>
      <c r="D332" s="20" t="b">
        <f>IFERROR(__xludf.DUMMYFUNCTION("""COMPUTED_VALUE"""),FALSE)</f>
        <v>0</v>
      </c>
      <c r="E332" s="20" t="str">
        <f>IFERROR(__xludf.DUMMYFUNCTION("""COMPUTED_VALUE"""),"Medium")</f>
        <v>Medium</v>
      </c>
      <c r="F332" s="20">
        <f>IFERROR(__xludf.DUMMYFUNCTION("""COMPUTED_VALUE"""),1980.0)</f>
        <v>1980</v>
      </c>
      <c r="G332" s="20">
        <f>IFERROR(__xludf.DUMMYFUNCTION("""COMPUTED_VALUE"""),104.0)</f>
        <v>104</v>
      </c>
      <c r="H332" s="20" t="str">
        <f>IFERROR(__xludf.DUMMYFUNCTION("""COMPUTED_VALUE"""),"Algorithms")</f>
        <v>Algorithms</v>
      </c>
      <c r="I332" s="20">
        <f>IFERROR(__xludf.DUMMYFUNCTION("""COMPUTED_VALUE"""),0.445)</f>
        <v>0.445</v>
      </c>
      <c r="J332" s="20">
        <f>IFERROR(__xludf.DUMMYFUNCTION("""COMPUTED_VALUE"""),331.0)</f>
        <v>331</v>
      </c>
      <c r="K332" s="20" t="b">
        <f>IFERROR(__xludf.DUMMYFUNCTION("""COMPUTED_VALUE"""),FALSE)</f>
        <v>0</v>
      </c>
      <c r="L332" s="20" t="str">
        <f>IFERROR(__xludf.DUMMYFUNCTION("""COMPUTED_VALUE"""),"String;Stack;Tree;Binary Tree;")</f>
        <v>String;Stack;Tree;Binary Tree;</v>
      </c>
      <c r="M332" s="20" t="b">
        <f>IFERROR(__xludf.DUMMYFUNCTION("""COMPUTED_VALUE"""),TRUE)</f>
        <v>1</v>
      </c>
      <c r="N332" s="20" t="b">
        <f>IFERROR(__xludf.DUMMYFUNCTION("""COMPUTED_VALUE"""),FALSE)</f>
        <v>0</v>
      </c>
      <c r="O332" s="20">
        <f>IFERROR(__xludf.DUMMYFUNCTION("""COMPUTED_VALUE"""),44.4503557418796)</f>
        <v>44.45035574</v>
      </c>
      <c r="P332" s="20">
        <f>IFERROR(__xludf.DUMMYFUNCTION("""COMPUTED_VALUE"""),125326.0)</f>
        <v>125326</v>
      </c>
      <c r="Q332" s="20">
        <f>IFERROR(__xludf.DUMMYFUNCTION("""COMPUTED_VALUE"""),281946.0)</f>
        <v>281946</v>
      </c>
    </row>
    <row r="333">
      <c r="A333" s="20">
        <f>IFERROR(__xludf.DUMMYFUNCTION("""COMPUTED_VALUE"""),332.0)</f>
        <v>332</v>
      </c>
      <c r="B333" s="20" t="str">
        <f>IFERROR(__xludf.DUMMYFUNCTION("""COMPUTED_VALUE"""),"Reconstruct Itinerary")</f>
        <v>Reconstruct Itinerary</v>
      </c>
      <c r="C333" s="20" t="str">
        <f>IFERROR(__xludf.DUMMYFUNCTION("""COMPUTED_VALUE"""),"reconstruct-itinerary")</f>
        <v>reconstruct-itinerary</v>
      </c>
      <c r="D333" s="20" t="b">
        <f>IFERROR(__xludf.DUMMYFUNCTION("""COMPUTED_VALUE"""),FALSE)</f>
        <v>0</v>
      </c>
      <c r="E333" s="20" t="str">
        <f>IFERROR(__xludf.DUMMYFUNCTION("""COMPUTED_VALUE"""),"Hard")</f>
        <v>Hard</v>
      </c>
      <c r="F333" s="20">
        <f>IFERROR(__xludf.DUMMYFUNCTION("""COMPUTED_VALUE"""),4443.0)</f>
        <v>4443</v>
      </c>
      <c r="G333" s="20">
        <f>IFERROR(__xludf.DUMMYFUNCTION("""COMPUTED_VALUE"""),1636.0)</f>
        <v>1636</v>
      </c>
      <c r="H333" s="20" t="str">
        <f>IFERROR(__xludf.DUMMYFUNCTION("""COMPUTED_VALUE"""),"Algorithms")</f>
        <v>Algorithms</v>
      </c>
      <c r="I333" s="20">
        <f>IFERROR(__xludf.DUMMYFUNCTION("""COMPUTED_VALUE"""),0.411)</f>
        <v>0.411</v>
      </c>
      <c r="J333" s="20">
        <f>IFERROR(__xludf.DUMMYFUNCTION("""COMPUTED_VALUE"""),332.0)</f>
        <v>332</v>
      </c>
      <c r="K333" s="20" t="b">
        <f>IFERROR(__xludf.DUMMYFUNCTION("""COMPUTED_VALUE"""),FALSE)</f>
        <v>0</v>
      </c>
      <c r="L333" s="20" t="str">
        <f>IFERROR(__xludf.DUMMYFUNCTION("""COMPUTED_VALUE"""),"Depth-First Search;Graph;Eulerian Circuit;")</f>
        <v>Depth-First Search;Graph;Eulerian Circuit;</v>
      </c>
      <c r="M333" s="20" t="b">
        <f>IFERROR(__xludf.DUMMYFUNCTION("""COMPUTED_VALUE"""),TRUE)</f>
        <v>1</v>
      </c>
      <c r="N333" s="20" t="b">
        <f>IFERROR(__xludf.DUMMYFUNCTION("""COMPUTED_VALUE"""),FALSE)</f>
        <v>0</v>
      </c>
      <c r="O333" s="20">
        <f>IFERROR(__xludf.DUMMYFUNCTION("""COMPUTED_VALUE"""),41.0776211478844)</f>
        <v>41.07762115</v>
      </c>
      <c r="P333" s="20">
        <f>IFERROR(__xludf.DUMMYFUNCTION("""COMPUTED_VALUE"""),317216.0)</f>
        <v>317216</v>
      </c>
      <c r="Q333" s="20">
        <f>IFERROR(__xludf.DUMMYFUNCTION("""COMPUTED_VALUE"""),772236.0)</f>
        <v>772236</v>
      </c>
    </row>
    <row r="334">
      <c r="A334" s="20">
        <f>IFERROR(__xludf.DUMMYFUNCTION("""COMPUTED_VALUE"""),333.0)</f>
        <v>333</v>
      </c>
      <c r="B334" s="20" t="str">
        <f>IFERROR(__xludf.DUMMYFUNCTION("""COMPUTED_VALUE"""),"Largest BST Subtree")</f>
        <v>Largest BST Subtree</v>
      </c>
      <c r="C334" s="20" t="str">
        <f>IFERROR(__xludf.DUMMYFUNCTION("""COMPUTED_VALUE"""),"largest-bst-subtree")</f>
        <v>largest-bst-subtree</v>
      </c>
      <c r="D334" s="20" t="b">
        <f>IFERROR(__xludf.DUMMYFUNCTION("""COMPUTED_VALUE"""),TRUE)</f>
        <v>1</v>
      </c>
      <c r="E334" s="20" t="str">
        <f>IFERROR(__xludf.DUMMYFUNCTION("""COMPUTED_VALUE"""),"Medium")</f>
        <v>Medium</v>
      </c>
      <c r="F334" s="20">
        <f>IFERROR(__xludf.DUMMYFUNCTION("""COMPUTED_VALUE"""),1355.0)</f>
        <v>1355</v>
      </c>
      <c r="G334" s="20">
        <f>IFERROR(__xludf.DUMMYFUNCTION("""COMPUTED_VALUE"""),108.0)</f>
        <v>108</v>
      </c>
      <c r="H334" s="20" t="str">
        <f>IFERROR(__xludf.DUMMYFUNCTION("""COMPUTED_VALUE"""),"Algorithms")</f>
        <v>Algorithms</v>
      </c>
      <c r="I334" s="20">
        <f>IFERROR(__xludf.DUMMYFUNCTION("""COMPUTED_VALUE"""),0.426)</f>
        <v>0.426</v>
      </c>
      <c r="J334" s="20">
        <f>IFERROR(__xludf.DUMMYFUNCTION("""COMPUTED_VALUE"""),333.0)</f>
        <v>333</v>
      </c>
      <c r="K334" s="20" t="b">
        <f>IFERROR(__xludf.DUMMYFUNCTION("""COMPUTED_VALUE"""),TRUE)</f>
        <v>1</v>
      </c>
      <c r="L334" s="20" t="str">
        <f>IFERROR(__xludf.DUMMYFUNCTION("""COMPUTED_VALUE"""),"Dynamic Programming;Tree;Depth-First Search;Binary Search Tree;Binary Tree;")</f>
        <v>Dynamic Programming;Tree;Depth-First Search;Binary Search Tree;Binary Tree;</v>
      </c>
      <c r="M334" s="20" t="b">
        <f>IFERROR(__xludf.DUMMYFUNCTION("""COMPUTED_VALUE"""),TRUE)</f>
        <v>1</v>
      </c>
      <c r="N334" s="20" t="b">
        <f>IFERROR(__xludf.DUMMYFUNCTION("""COMPUTED_VALUE"""),FALSE)</f>
        <v>0</v>
      </c>
      <c r="O334" s="20">
        <f>IFERROR(__xludf.DUMMYFUNCTION("""COMPUTED_VALUE"""),42.6149140136376)</f>
        <v>42.61491401</v>
      </c>
      <c r="P334" s="20">
        <f>IFERROR(__xludf.DUMMYFUNCTION("""COMPUTED_VALUE"""),93619.0)</f>
        <v>93619</v>
      </c>
      <c r="Q334" s="20">
        <f>IFERROR(__xludf.DUMMYFUNCTION("""COMPUTED_VALUE"""),219686.0)</f>
        <v>219686</v>
      </c>
    </row>
    <row r="335">
      <c r="A335" s="20">
        <f>IFERROR(__xludf.DUMMYFUNCTION("""COMPUTED_VALUE"""),334.0)</f>
        <v>334</v>
      </c>
      <c r="B335" s="20" t="str">
        <f>IFERROR(__xludf.DUMMYFUNCTION("""COMPUTED_VALUE"""),"Increasing Triplet Subsequence")</f>
        <v>Increasing Triplet Subsequence</v>
      </c>
      <c r="C335" s="20" t="str">
        <f>IFERROR(__xludf.DUMMYFUNCTION("""COMPUTED_VALUE"""),"increasing-triplet-subsequence")</f>
        <v>increasing-triplet-subsequence</v>
      </c>
      <c r="D335" s="20" t="b">
        <f>IFERROR(__xludf.DUMMYFUNCTION("""COMPUTED_VALUE"""),FALSE)</f>
        <v>0</v>
      </c>
      <c r="E335" s="20" t="str">
        <f>IFERROR(__xludf.DUMMYFUNCTION("""COMPUTED_VALUE"""),"Medium")</f>
        <v>Medium</v>
      </c>
      <c r="F335" s="20">
        <f>IFERROR(__xludf.DUMMYFUNCTION("""COMPUTED_VALUE"""),6102.0)</f>
        <v>6102</v>
      </c>
      <c r="G335" s="20">
        <f>IFERROR(__xludf.DUMMYFUNCTION("""COMPUTED_VALUE"""),268.0)</f>
        <v>268</v>
      </c>
      <c r="H335" s="20" t="str">
        <f>IFERROR(__xludf.DUMMYFUNCTION("""COMPUTED_VALUE"""),"Algorithms")</f>
        <v>Algorithms</v>
      </c>
      <c r="I335" s="20">
        <f>IFERROR(__xludf.DUMMYFUNCTION("""COMPUTED_VALUE"""),0.427)</f>
        <v>0.427</v>
      </c>
      <c r="J335" s="20">
        <f>IFERROR(__xludf.DUMMYFUNCTION("""COMPUTED_VALUE"""),334.0)</f>
        <v>334</v>
      </c>
      <c r="K335" s="20" t="b">
        <f>IFERROR(__xludf.DUMMYFUNCTION("""COMPUTED_VALUE"""),FALSE)</f>
        <v>0</v>
      </c>
      <c r="L335" s="20" t="str">
        <f>IFERROR(__xludf.DUMMYFUNCTION("""COMPUTED_VALUE"""),"Array;Greedy;")</f>
        <v>Array;Greedy;</v>
      </c>
      <c r="M335" s="20" t="b">
        <f>IFERROR(__xludf.DUMMYFUNCTION("""COMPUTED_VALUE"""),TRUE)</f>
        <v>1</v>
      </c>
      <c r="N335" s="20" t="b">
        <f>IFERROR(__xludf.DUMMYFUNCTION("""COMPUTED_VALUE"""),FALSE)</f>
        <v>0</v>
      </c>
      <c r="O335" s="20">
        <f>IFERROR(__xludf.DUMMYFUNCTION("""COMPUTED_VALUE"""),42.7377162308704)</f>
        <v>42.73771623</v>
      </c>
      <c r="P335" s="20">
        <f>IFERROR(__xludf.DUMMYFUNCTION("""COMPUTED_VALUE"""),368488.0)</f>
        <v>368488</v>
      </c>
      <c r="Q335" s="20">
        <f>IFERROR(__xludf.DUMMYFUNCTION("""COMPUTED_VALUE"""),862212.0)</f>
        <v>862212</v>
      </c>
    </row>
    <row r="336">
      <c r="A336" s="20">
        <f>IFERROR(__xludf.DUMMYFUNCTION("""COMPUTED_VALUE"""),335.0)</f>
        <v>335</v>
      </c>
      <c r="B336" s="20" t="str">
        <f>IFERROR(__xludf.DUMMYFUNCTION("""COMPUTED_VALUE"""),"Self Crossing")</f>
        <v>Self Crossing</v>
      </c>
      <c r="C336" s="20" t="str">
        <f>IFERROR(__xludf.DUMMYFUNCTION("""COMPUTED_VALUE"""),"self-crossing")</f>
        <v>self-crossing</v>
      </c>
      <c r="D336" s="20" t="b">
        <f>IFERROR(__xludf.DUMMYFUNCTION("""COMPUTED_VALUE"""),FALSE)</f>
        <v>0</v>
      </c>
      <c r="E336" s="20" t="str">
        <f>IFERROR(__xludf.DUMMYFUNCTION("""COMPUTED_VALUE"""),"Hard")</f>
        <v>Hard</v>
      </c>
      <c r="F336" s="20">
        <f>IFERROR(__xludf.DUMMYFUNCTION("""COMPUTED_VALUE"""),298.0)</f>
        <v>298</v>
      </c>
      <c r="G336" s="20">
        <f>IFERROR(__xludf.DUMMYFUNCTION("""COMPUTED_VALUE"""),477.0)</f>
        <v>477</v>
      </c>
      <c r="H336" s="20" t="str">
        <f>IFERROR(__xludf.DUMMYFUNCTION("""COMPUTED_VALUE"""),"Algorithms")</f>
        <v>Algorithms</v>
      </c>
      <c r="I336" s="20">
        <f>IFERROR(__xludf.DUMMYFUNCTION("""COMPUTED_VALUE"""),0.293)</f>
        <v>0.293</v>
      </c>
      <c r="J336" s="20">
        <f>IFERROR(__xludf.DUMMYFUNCTION("""COMPUTED_VALUE"""),335.0)</f>
        <v>335</v>
      </c>
      <c r="K336" s="20" t="b">
        <f>IFERROR(__xludf.DUMMYFUNCTION("""COMPUTED_VALUE"""),FALSE)</f>
        <v>0</v>
      </c>
      <c r="L336" s="20" t="str">
        <f>IFERROR(__xludf.DUMMYFUNCTION("""COMPUTED_VALUE"""),"Array;Math;Geometry;")</f>
        <v>Array;Math;Geometry;</v>
      </c>
      <c r="M336" s="20" t="b">
        <f>IFERROR(__xludf.DUMMYFUNCTION("""COMPUTED_VALUE"""),FALSE)</f>
        <v>0</v>
      </c>
      <c r="N336" s="20" t="b">
        <f>IFERROR(__xludf.DUMMYFUNCTION("""COMPUTED_VALUE"""),FALSE)</f>
        <v>0</v>
      </c>
      <c r="O336" s="20">
        <f>IFERROR(__xludf.DUMMYFUNCTION("""COMPUTED_VALUE"""),29.3411982373596)</f>
        <v>29.34119824</v>
      </c>
      <c r="P336" s="20">
        <f>IFERROR(__xludf.DUMMYFUNCTION("""COMPUTED_VALUE"""),29497.0)</f>
        <v>29497</v>
      </c>
      <c r="Q336" s="20">
        <f>IFERROR(__xludf.DUMMYFUNCTION("""COMPUTED_VALUE"""),100531.0)</f>
        <v>100531</v>
      </c>
    </row>
    <row r="337">
      <c r="A337" s="20">
        <f>IFERROR(__xludf.DUMMYFUNCTION("""COMPUTED_VALUE"""),336.0)</f>
        <v>336</v>
      </c>
      <c r="B337" s="20" t="str">
        <f>IFERROR(__xludf.DUMMYFUNCTION("""COMPUTED_VALUE"""),"Palindrome Pairs")</f>
        <v>Palindrome Pairs</v>
      </c>
      <c r="C337" s="20" t="str">
        <f>IFERROR(__xludf.DUMMYFUNCTION("""COMPUTED_VALUE"""),"palindrome-pairs")</f>
        <v>palindrome-pairs</v>
      </c>
      <c r="D337" s="20" t="b">
        <f>IFERROR(__xludf.DUMMYFUNCTION("""COMPUTED_VALUE"""),FALSE)</f>
        <v>0</v>
      </c>
      <c r="E337" s="20" t="str">
        <f>IFERROR(__xludf.DUMMYFUNCTION("""COMPUTED_VALUE"""),"Hard")</f>
        <v>Hard</v>
      </c>
      <c r="F337" s="20">
        <f>IFERROR(__xludf.DUMMYFUNCTION("""COMPUTED_VALUE"""),4092.0)</f>
        <v>4092</v>
      </c>
      <c r="G337" s="20">
        <f>IFERROR(__xludf.DUMMYFUNCTION("""COMPUTED_VALUE"""),426.0)</f>
        <v>426</v>
      </c>
      <c r="H337" s="20" t="str">
        <f>IFERROR(__xludf.DUMMYFUNCTION("""COMPUTED_VALUE"""),"Algorithms")</f>
        <v>Algorithms</v>
      </c>
      <c r="I337" s="20">
        <f>IFERROR(__xludf.DUMMYFUNCTION("""COMPUTED_VALUE"""),0.351)</f>
        <v>0.351</v>
      </c>
      <c r="J337" s="20">
        <f>IFERROR(__xludf.DUMMYFUNCTION("""COMPUTED_VALUE"""),336.0)</f>
        <v>336</v>
      </c>
      <c r="K337" s="20" t="b">
        <f>IFERROR(__xludf.DUMMYFUNCTION("""COMPUTED_VALUE"""),FALSE)</f>
        <v>0</v>
      </c>
      <c r="L337" s="20" t="str">
        <f>IFERROR(__xludf.DUMMYFUNCTION("""COMPUTED_VALUE"""),"Array;Hash Table;String;Trie;")</f>
        <v>Array;Hash Table;String;Trie;</v>
      </c>
      <c r="M337" s="20" t="b">
        <f>IFERROR(__xludf.DUMMYFUNCTION("""COMPUTED_VALUE"""),TRUE)</f>
        <v>1</v>
      </c>
      <c r="N337" s="20" t="b">
        <f>IFERROR(__xludf.DUMMYFUNCTION("""COMPUTED_VALUE"""),FALSE)</f>
        <v>0</v>
      </c>
      <c r="O337" s="20">
        <f>IFERROR(__xludf.DUMMYFUNCTION("""COMPUTED_VALUE"""),35.0668973707539)</f>
        <v>35.06689737</v>
      </c>
      <c r="P337" s="20">
        <f>IFERROR(__xludf.DUMMYFUNCTION("""COMPUTED_VALUE"""),188682.0)</f>
        <v>188682</v>
      </c>
      <c r="Q337" s="20">
        <f>IFERROR(__xludf.DUMMYFUNCTION("""COMPUTED_VALUE"""),538056.0)</f>
        <v>538056</v>
      </c>
    </row>
    <row r="338">
      <c r="A338" s="20">
        <f>IFERROR(__xludf.DUMMYFUNCTION("""COMPUTED_VALUE"""),337.0)</f>
        <v>337</v>
      </c>
      <c r="B338" s="20" t="str">
        <f>IFERROR(__xludf.DUMMYFUNCTION("""COMPUTED_VALUE"""),"House Robber III")</f>
        <v>House Robber III</v>
      </c>
      <c r="C338" s="20" t="str">
        <f>IFERROR(__xludf.DUMMYFUNCTION("""COMPUTED_VALUE"""),"house-robber-iii")</f>
        <v>house-robber-iii</v>
      </c>
      <c r="D338" s="20" t="b">
        <f>IFERROR(__xludf.DUMMYFUNCTION("""COMPUTED_VALUE"""),FALSE)</f>
        <v>0</v>
      </c>
      <c r="E338" s="20" t="str">
        <f>IFERROR(__xludf.DUMMYFUNCTION("""COMPUTED_VALUE"""),"Medium")</f>
        <v>Medium</v>
      </c>
      <c r="F338" s="20">
        <f>IFERROR(__xludf.DUMMYFUNCTION("""COMPUTED_VALUE"""),7298.0)</f>
        <v>7298</v>
      </c>
      <c r="G338" s="20">
        <f>IFERROR(__xludf.DUMMYFUNCTION("""COMPUTED_VALUE"""),111.0)</f>
        <v>111</v>
      </c>
      <c r="H338" s="20" t="str">
        <f>IFERROR(__xludf.DUMMYFUNCTION("""COMPUTED_VALUE"""),"Algorithms")</f>
        <v>Algorithms</v>
      </c>
      <c r="I338" s="20">
        <f>IFERROR(__xludf.DUMMYFUNCTION("""COMPUTED_VALUE"""),0.539)</f>
        <v>0.539</v>
      </c>
      <c r="J338" s="20">
        <f>IFERROR(__xludf.DUMMYFUNCTION("""COMPUTED_VALUE"""),337.0)</f>
        <v>337</v>
      </c>
      <c r="K338" s="20" t="b">
        <f>IFERROR(__xludf.DUMMYFUNCTION("""COMPUTED_VALUE"""),FALSE)</f>
        <v>0</v>
      </c>
      <c r="L338" s="20" t="str">
        <f>IFERROR(__xludf.DUMMYFUNCTION("""COMPUTED_VALUE"""),"Dynamic Programming;Tree;Depth-First Search;Binary Tree;")</f>
        <v>Dynamic Programming;Tree;Depth-First Search;Binary Tree;</v>
      </c>
      <c r="M338" s="20" t="b">
        <f>IFERROR(__xludf.DUMMYFUNCTION("""COMPUTED_VALUE"""),TRUE)</f>
        <v>1</v>
      </c>
      <c r="N338" s="20" t="b">
        <f>IFERROR(__xludf.DUMMYFUNCTION("""COMPUTED_VALUE"""),FALSE)</f>
        <v>0</v>
      </c>
      <c r="O338" s="20">
        <f>IFERROR(__xludf.DUMMYFUNCTION("""COMPUTED_VALUE"""),53.9018711158014)</f>
        <v>53.90187112</v>
      </c>
      <c r="P338" s="20">
        <f>IFERROR(__xludf.DUMMYFUNCTION("""COMPUTED_VALUE"""),321777.0)</f>
        <v>321777</v>
      </c>
      <c r="Q338" s="20">
        <f>IFERROR(__xludf.DUMMYFUNCTION("""COMPUTED_VALUE"""),596967.0)</f>
        <v>596967</v>
      </c>
    </row>
    <row r="339">
      <c r="A339" s="20">
        <f>IFERROR(__xludf.DUMMYFUNCTION("""COMPUTED_VALUE"""),338.0)</f>
        <v>338</v>
      </c>
      <c r="B339" s="20" t="str">
        <f>IFERROR(__xludf.DUMMYFUNCTION("""COMPUTED_VALUE"""),"Counting Bits")</f>
        <v>Counting Bits</v>
      </c>
      <c r="C339" s="20" t="str">
        <f>IFERROR(__xludf.DUMMYFUNCTION("""COMPUTED_VALUE"""),"counting-bits")</f>
        <v>counting-bits</v>
      </c>
      <c r="D339" s="20" t="b">
        <f>IFERROR(__xludf.DUMMYFUNCTION("""COMPUTED_VALUE"""),FALSE)</f>
        <v>0</v>
      </c>
      <c r="E339" s="20" t="str">
        <f>IFERROR(__xludf.DUMMYFUNCTION("""COMPUTED_VALUE"""),"Easy")</f>
        <v>Easy</v>
      </c>
      <c r="F339" s="20">
        <f>IFERROR(__xludf.DUMMYFUNCTION("""COMPUTED_VALUE"""),8229.0)</f>
        <v>8229</v>
      </c>
      <c r="G339" s="20">
        <f>IFERROR(__xludf.DUMMYFUNCTION("""COMPUTED_VALUE"""),388.0)</f>
        <v>388</v>
      </c>
      <c r="H339" s="20" t="str">
        <f>IFERROR(__xludf.DUMMYFUNCTION("""COMPUTED_VALUE"""),"Algorithms")</f>
        <v>Algorithms</v>
      </c>
      <c r="I339" s="20">
        <f>IFERROR(__xludf.DUMMYFUNCTION("""COMPUTED_VALUE"""),0.754)</f>
        <v>0.754</v>
      </c>
      <c r="J339" s="20">
        <f>IFERROR(__xludf.DUMMYFUNCTION("""COMPUTED_VALUE"""),338.0)</f>
        <v>338</v>
      </c>
      <c r="K339" s="20" t="b">
        <f>IFERROR(__xludf.DUMMYFUNCTION("""COMPUTED_VALUE"""),FALSE)</f>
        <v>0</v>
      </c>
      <c r="L339" s="20" t="str">
        <f>IFERROR(__xludf.DUMMYFUNCTION("""COMPUTED_VALUE"""),"Dynamic Programming;Bit Manipulation;")</f>
        <v>Dynamic Programming;Bit Manipulation;</v>
      </c>
      <c r="M339" s="20" t="b">
        <f>IFERROR(__xludf.DUMMYFUNCTION("""COMPUTED_VALUE"""),TRUE)</f>
        <v>1</v>
      </c>
      <c r="N339" s="20" t="b">
        <f>IFERROR(__xludf.DUMMYFUNCTION("""COMPUTED_VALUE"""),FALSE)</f>
        <v>0</v>
      </c>
      <c r="O339" s="20">
        <f>IFERROR(__xludf.DUMMYFUNCTION("""COMPUTED_VALUE"""),75.4148046335614)</f>
        <v>75.41480463</v>
      </c>
      <c r="P339" s="20">
        <f>IFERROR(__xludf.DUMMYFUNCTION("""COMPUTED_VALUE"""),711634.0)</f>
        <v>711634</v>
      </c>
      <c r="Q339" s="20">
        <f>IFERROR(__xludf.DUMMYFUNCTION("""COMPUTED_VALUE"""),943628.0)</f>
        <v>943628</v>
      </c>
    </row>
    <row r="340">
      <c r="A340" s="20">
        <f>IFERROR(__xludf.DUMMYFUNCTION("""COMPUTED_VALUE"""),339.0)</f>
        <v>339</v>
      </c>
      <c r="B340" s="20" t="str">
        <f>IFERROR(__xludf.DUMMYFUNCTION("""COMPUTED_VALUE"""),"Nested List Weight Sum")</f>
        <v>Nested List Weight Sum</v>
      </c>
      <c r="C340" s="20" t="str">
        <f>IFERROR(__xludf.DUMMYFUNCTION("""COMPUTED_VALUE"""),"nested-list-weight-sum")</f>
        <v>nested-list-weight-sum</v>
      </c>
      <c r="D340" s="20" t="b">
        <f>IFERROR(__xludf.DUMMYFUNCTION("""COMPUTED_VALUE"""),TRUE)</f>
        <v>1</v>
      </c>
      <c r="E340" s="20" t="str">
        <f>IFERROR(__xludf.DUMMYFUNCTION("""COMPUTED_VALUE"""),"Medium")</f>
        <v>Medium</v>
      </c>
      <c r="F340" s="20">
        <f>IFERROR(__xludf.DUMMYFUNCTION("""COMPUTED_VALUE"""),1554.0)</f>
        <v>1554</v>
      </c>
      <c r="G340" s="20">
        <f>IFERROR(__xludf.DUMMYFUNCTION("""COMPUTED_VALUE"""),355.0)</f>
        <v>355</v>
      </c>
      <c r="H340" s="20" t="str">
        <f>IFERROR(__xludf.DUMMYFUNCTION("""COMPUTED_VALUE"""),"Algorithms")</f>
        <v>Algorithms</v>
      </c>
      <c r="I340" s="20">
        <f>IFERROR(__xludf.DUMMYFUNCTION("""COMPUTED_VALUE"""),0.822)</f>
        <v>0.822</v>
      </c>
      <c r="J340" s="20">
        <f>IFERROR(__xludf.DUMMYFUNCTION("""COMPUTED_VALUE"""),339.0)</f>
        <v>339</v>
      </c>
      <c r="K340" s="20" t="b">
        <f>IFERROR(__xludf.DUMMYFUNCTION("""COMPUTED_VALUE"""),TRUE)</f>
        <v>1</v>
      </c>
      <c r="L340" s="20" t="str">
        <f>IFERROR(__xludf.DUMMYFUNCTION("""COMPUTED_VALUE"""),"Depth-First Search;Breadth-First Search;")</f>
        <v>Depth-First Search;Breadth-First Search;</v>
      </c>
      <c r="M340" s="20" t="b">
        <f>IFERROR(__xludf.DUMMYFUNCTION("""COMPUTED_VALUE"""),TRUE)</f>
        <v>1</v>
      </c>
      <c r="N340" s="20" t="b">
        <f>IFERROR(__xludf.DUMMYFUNCTION("""COMPUTED_VALUE"""),TRUE)</f>
        <v>1</v>
      </c>
      <c r="O340" s="20">
        <f>IFERROR(__xludf.DUMMYFUNCTION("""COMPUTED_VALUE"""),82.2378483231991)</f>
        <v>82.23784832</v>
      </c>
      <c r="P340" s="20">
        <f>IFERROR(__xludf.DUMMYFUNCTION("""COMPUTED_VALUE"""),220453.0)</f>
        <v>220453</v>
      </c>
      <c r="Q340" s="20">
        <f>IFERROR(__xludf.DUMMYFUNCTION("""COMPUTED_VALUE"""),268068.0)</f>
        <v>268068</v>
      </c>
    </row>
    <row r="341">
      <c r="A341" s="20">
        <f>IFERROR(__xludf.DUMMYFUNCTION("""COMPUTED_VALUE"""),340.0)</f>
        <v>340</v>
      </c>
      <c r="B341" s="20" t="str">
        <f>IFERROR(__xludf.DUMMYFUNCTION("""COMPUTED_VALUE"""),"Longest Substring with At Most K Distinct Characters")</f>
        <v>Longest Substring with At Most K Distinct Characters</v>
      </c>
      <c r="C341" s="20" t="str">
        <f>IFERROR(__xludf.DUMMYFUNCTION("""COMPUTED_VALUE"""),"longest-substring-with-at-most-k-distinct-characters")</f>
        <v>longest-substring-with-at-most-k-distinct-characters</v>
      </c>
      <c r="D341" s="20" t="b">
        <f>IFERROR(__xludf.DUMMYFUNCTION("""COMPUTED_VALUE"""),TRUE)</f>
        <v>1</v>
      </c>
      <c r="E341" s="20" t="str">
        <f>IFERROR(__xludf.DUMMYFUNCTION("""COMPUTED_VALUE"""),"Medium")</f>
        <v>Medium</v>
      </c>
      <c r="F341" s="20">
        <f>IFERROR(__xludf.DUMMYFUNCTION("""COMPUTED_VALUE"""),2547.0)</f>
        <v>2547</v>
      </c>
      <c r="G341" s="20">
        <f>IFERROR(__xludf.DUMMYFUNCTION("""COMPUTED_VALUE"""),76.0)</f>
        <v>76</v>
      </c>
      <c r="H341" s="20" t="str">
        <f>IFERROR(__xludf.DUMMYFUNCTION("""COMPUTED_VALUE"""),"Algorithms")</f>
        <v>Algorithms</v>
      </c>
      <c r="I341" s="20">
        <f>IFERROR(__xludf.DUMMYFUNCTION("""COMPUTED_VALUE"""),0.479)</f>
        <v>0.479</v>
      </c>
      <c r="J341" s="20">
        <f>IFERROR(__xludf.DUMMYFUNCTION("""COMPUTED_VALUE"""),340.0)</f>
        <v>340</v>
      </c>
      <c r="K341" s="20" t="b">
        <f>IFERROR(__xludf.DUMMYFUNCTION("""COMPUTED_VALUE"""),TRUE)</f>
        <v>1</v>
      </c>
      <c r="L341" s="20" t="str">
        <f>IFERROR(__xludf.DUMMYFUNCTION("""COMPUTED_VALUE"""),"Hash Table;String;Sliding Window;")</f>
        <v>Hash Table;String;Sliding Window;</v>
      </c>
      <c r="M341" s="20" t="b">
        <f>IFERROR(__xludf.DUMMYFUNCTION("""COMPUTED_VALUE"""),TRUE)</f>
        <v>1</v>
      </c>
      <c r="N341" s="20" t="b">
        <f>IFERROR(__xludf.DUMMYFUNCTION("""COMPUTED_VALUE"""),TRUE)</f>
        <v>1</v>
      </c>
      <c r="O341" s="20">
        <f>IFERROR(__xludf.DUMMYFUNCTION("""COMPUTED_VALUE"""),47.8936281419769)</f>
        <v>47.89362814</v>
      </c>
      <c r="P341" s="20">
        <f>IFERROR(__xludf.DUMMYFUNCTION("""COMPUTED_VALUE"""),302386.0)</f>
        <v>302386</v>
      </c>
      <c r="Q341" s="20">
        <f>IFERROR(__xludf.DUMMYFUNCTION("""COMPUTED_VALUE"""),631370.0)</f>
        <v>631370</v>
      </c>
    </row>
    <row r="342">
      <c r="A342" s="20">
        <f>IFERROR(__xludf.DUMMYFUNCTION("""COMPUTED_VALUE"""),341.0)</f>
        <v>341</v>
      </c>
      <c r="B342" s="20" t="str">
        <f>IFERROR(__xludf.DUMMYFUNCTION("""COMPUTED_VALUE"""),"Flatten Nested List Iterator")</f>
        <v>Flatten Nested List Iterator</v>
      </c>
      <c r="C342" s="20" t="str">
        <f>IFERROR(__xludf.DUMMYFUNCTION("""COMPUTED_VALUE"""),"flatten-nested-list-iterator")</f>
        <v>flatten-nested-list-iterator</v>
      </c>
      <c r="D342" s="20" t="b">
        <f>IFERROR(__xludf.DUMMYFUNCTION("""COMPUTED_VALUE"""),FALSE)</f>
        <v>0</v>
      </c>
      <c r="E342" s="20" t="str">
        <f>IFERROR(__xludf.DUMMYFUNCTION("""COMPUTED_VALUE"""),"Medium")</f>
        <v>Medium</v>
      </c>
      <c r="F342" s="20">
        <f>IFERROR(__xludf.DUMMYFUNCTION("""COMPUTED_VALUE"""),4072.0)</f>
        <v>4072</v>
      </c>
      <c r="G342" s="20">
        <f>IFERROR(__xludf.DUMMYFUNCTION("""COMPUTED_VALUE"""),1407.0)</f>
        <v>1407</v>
      </c>
      <c r="H342" s="20" t="str">
        <f>IFERROR(__xludf.DUMMYFUNCTION("""COMPUTED_VALUE"""),"Algorithms")</f>
        <v>Algorithms</v>
      </c>
      <c r="I342" s="20">
        <f>IFERROR(__xludf.DUMMYFUNCTION("""COMPUTED_VALUE"""),0.616)</f>
        <v>0.616</v>
      </c>
      <c r="J342" s="20">
        <f>IFERROR(__xludf.DUMMYFUNCTION("""COMPUTED_VALUE"""),341.0)</f>
        <v>341</v>
      </c>
      <c r="K342" s="20" t="b">
        <f>IFERROR(__xludf.DUMMYFUNCTION("""COMPUTED_VALUE"""),FALSE)</f>
        <v>0</v>
      </c>
      <c r="L342" s="20" t="str">
        <f>IFERROR(__xludf.DUMMYFUNCTION("""COMPUTED_VALUE"""),"Stack;Tree;Depth-First Search;Design;Queue;Iterator;")</f>
        <v>Stack;Tree;Depth-First Search;Design;Queue;Iterator;</v>
      </c>
      <c r="M342" s="20" t="b">
        <f>IFERROR(__xludf.DUMMYFUNCTION("""COMPUTED_VALUE"""),TRUE)</f>
        <v>1</v>
      </c>
      <c r="N342" s="20" t="b">
        <f>IFERROR(__xludf.DUMMYFUNCTION("""COMPUTED_VALUE"""),FALSE)</f>
        <v>0</v>
      </c>
      <c r="O342" s="20">
        <f>IFERROR(__xludf.DUMMYFUNCTION("""COMPUTED_VALUE"""),61.6486446322893)</f>
        <v>61.64864463</v>
      </c>
      <c r="P342" s="20">
        <f>IFERROR(__xludf.DUMMYFUNCTION("""COMPUTED_VALUE"""),352620.0)</f>
        <v>352620</v>
      </c>
      <c r="Q342" s="20">
        <f>IFERROR(__xludf.DUMMYFUNCTION("""COMPUTED_VALUE"""),571984.0)</f>
        <v>571984</v>
      </c>
    </row>
    <row r="343">
      <c r="A343" s="20">
        <f>IFERROR(__xludf.DUMMYFUNCTION("""COMPUTED_VALUE"""),342.0)</f>
        <v>342</v>
      </c>
      <c r="B343" s="20" t="str">
        <f>IFERROR(__xludf.DUMMYFUNCTION("""COMPUTED_VALUE"""),"Power of Four")</f>
        <v>Power of Four</v>
      </c>
      <c r="C343" s="20" t="str">
        <f>IFERROR(__xludf.DUMMYFUNCTION("""COMPUTED_VALUE"""),"power-of-four")</f>
        <v>power-of-four</v>
      </c>
      <c r="D343" s="20" t="b">
        <f>IFERROR(__xludf.DUMMYFUNCTION("""COMPUTED_VALUE"""),FALSE)</f>
        <v>0</v>
      </c>
      <c r="E343" s="20" t="str">
        <f>IFERROR(__xludf.DUMMYFUNCTION("""COMPUTED_VALUE"""),"Easy")</f>
        <v>Easy</v>
      </c>
      <c r="F343" s="20">
        <f>IFERROR(__xludf.DUMMYFUNCTION("""COMPUTED_VALUE"""),2811.0)</f>
        <v>2811</v>
      </c>
      <c r="G343" s="20">
        <f>IFERROR(__xludf.DUMMYFUNCTION("""COMPUTED_VALUE"""),328.0)</f>
        <v>328</v>
      </c>
      <c r="H343" s="20" t="str">
        <f>IFERROR(__xludf.DUMMYFUNCTION("""COMPUTED_VALUE"""),"Algorithms")</f>
        <v>Algorithms</v>
      </c>
      <c r="I343" s="20">
        <f>IFERROR(__xludf.DUMMYFUNCTION("""COMPUTED_VALUE"""),0.458)</f>
        <v>0.458</v>
      </c>
      <c r="J343" s="20">
        <f>IFERROR(__xludf.DUMMYFUNCTION("""COMPUTED_VALUE"""),342.0)</f>
        <v>342</v>
      </c>
      <c r="K343" s="20" t="b">
        <f>IFERROR(__xludf.DUMMYFUNCTION("""COMPUTED_VALUE"""),FALSE)</f>
        <v>0</v>
      </c>
      <c r="L343" s="20" t="str">
        <f>IFERROR(__xludf.DUMMYFUNCTION("""COMPUTED_VALUE"""),"Math;Bit Manipulation;Recursion;")</f>
        <v>Math;Bit Manipulation;Recursion;</v>
      </c>
      <c r="M343" s="20" t="b">
        <f>IFERROR(__xludf.DUMMYFUNCTION("""COMPUTED_VALUE"""),TRUE)</f>
        <v>1</v>
      </c>
      <c r="N343" s="20" t="b">
        <f>IFERROR(__xludf.DUMMYFUNCTION("""COMPUTED_VALUE"""),FALSE)</f>
        <v>0</v>
      </c>
      <c r="O343" s="20">
        <f>IFERROR(__xludf.DUMMYFUNCTION("""COMPUTED_VALUE"""),45.8466111554153)</f>
        <v>45.84661116</v>
      </c>
      <c r="P343" s="20">
        <f>IFERROR(__xludf.DUMMYFUNCTION("""COMPUTED_VALUE"""),425996.0)</f>
        <v>425996</v>
      </c>
      <c r="Q343" s="20">
        <f>IFERROR(__xludf.DUMMYFUNCTION("""COMPUTED_VALUE"""),929177.0)</f>
        <v>929177</v>
      </c>
    </row>
    <row r="344">
      <c r="A344" s="20">
        <f>IFERROR(__xludf.DUMMYFUNCTION("""COMPUTED_VALUE"""),343.0)</f>
        <v>343</v>
      </c>
      <c r="B344" s="20" t="str">
        <f>IFERROR(__xludf.DUMMYFUNCTION("""COMPUTED_VALUE"""),"Integer Break")</f>
        <v>Integer Break</v>
      </c>
      <c r="C344" s="20" t="str">
        <f>IFERROR(__xludf.DUMMYFUNCTION("""COMPUTED_VALUE"""),"integer-break")</f>
        <v>integer-break</v>
      </c>
      <c r="D344" s="20" t="b">
        <f>IFERROR(__xludf.DUMMYFUNCTION("""COMPUTED_VALUE"""),FALSE)</f>
        <v>0</v>
      </c>
      <c r="E344" s="20" t="str">
        <f>IFERROR(__xludf.DUMMYFUNCTION("""COMPUTED_VALUE"""),"Medium")</f>
        <v>Medium</v>
      </c>
      <c r="F344" s="20">
        <f>IFERROR(__xludf.DUMMYFUNCTION("""COMPUTED_VALUE"""),3399.0)</f>
        <v>3399</v>
      </c>
      <c r="G344" s="20">
        <f>IFERROR(__xludf.DUMMYFUNCTION("""COMPUTED_VALUE"""),353.0)</f>
        <v>353</v>
      </c>
      <c r="H344" s="20" t="str">
        <f>IFERROR(__xludf.DUMMYFUNCTION("""COMPUTED_VALUE"""),"Algorithms")</f>
        <v>Algorithms</v>
      </c>
      <c r="I344" s="20">
        <f>IFERROR(__xludf.DUMMYFUNCTION("""COMPUTED_VALUE"""),0.556)</f>
        <v>0.556</v>
      </c>
      <c r="J344" s="20">
        <f>IFERROR(__xludf.DUMMYFUNCTION("""COMPUTED_VALUE"""),343.0)</f>
        <v>343</v>
      </c>
      <c r="K344" s="20" t="b">
        <f>IFERROR(__xludf.DUMMYFUNCTION("""COMPUTED_VALUE"""),FALSE)</f>
        <v>0</v>
      </c>
      <c r="L344" s="20" t="str">
        <f>IFERROR(__xludf.DUMMYFUNCTION("""COMPUTED_VALUE"""),"Math;Dynamic Programming;")</f>
        <v>Math;Dynamic Programming;</v>
      </c>
      <c r="M344" s="20" t="b">
        <f>IFERROR(__xludf.DUMMYFUNCTION("""COMPUTED_VALUE"""),FALSE)</f>
        <v>0</v>
      </c>
      <c r="N344" s="20" t="b">
        <f>IFERROR(__xludf.DUMMYFUNCTION("""COMPUTED_VALUE"""),FALSE)</f>
        <v>0</v>
      </c>
      <c r="O344" s="20">
        <f>IFERROR(__xludf.DUMMYFUNCTION("""COMPUTED_VALUE"""),55.5931288418543)</f>
        <v>55.59312884</v>
      </c>
      <c r="P344" s="20">
        <f>IFERROR(__xludf.DUMMYFUNCTION("""COMPUTED_VALUE"""),218320.0)</f>
        <v>218320</v>
      </c>
      <c r="Q344" s="20">
        <f>IFERROR(__xludf.DUMMYFUNCTION("""COMPUTED_VALUE"""),392712.0)</f>
        <v>392712</v>
      </c>
    </row>
    <row r="345">
      <c r="A345" s="20">
        <f>IFERROR(__xludf.DUMMYFUNCTION("""COMPUTED_VALUE"""),344.0)</f>
        <v>344</v>
      </c>
      <c r="B345" s="20" t="str">
        <f>IFERROR(__xludf.DUMMYFUNCTION("""COMPUTED_VALUE"""),"Reverse String")</f>
        <v>Reverse String</v>
      </c>
      <c r="C345" s="20" t="str">
        <f>IFERROR(__xludf.DUMMYFUNCTION("""COMPUTED_VALUE"""),"reverse-string")</f>
        <v>reverse-string</v>
      </c>
      <c r="D345" s="20" t="b">
        <f>IFERROR(__xludf.DUMMYFUNCTION("""COMPUTED_VALUE"""),FALSE)</f>
        <v>0</v>
      </c>
      <c r="E345" s="20" t="str">
        <f>IFERROR(__xludf.DUMMYFUNCTION("""COMPUTED_VALUE"""),"Easy")</f>
        <v>Easy</v>
      </c>
      <c r="F345" s="20">
        <f>IFERROR(__xludf.DUMMYFUNCTION("""COMPUTED_VALUE"""),6656.0)</f>
        <v>6656</v>
      </c>
      <c r="G345" s="20">
        <f>IFERROR(__xludf.DUMMYFUNCTION("""COMPUTED_VALUE"""),1035.0)</f>
        <v>1035</v>
      </c>
      <c r="H345" s="20" t="str">
        <f>IFERROR(__xludf.DUMMYFUNCTION("""COMPUTED_VALUE"""),"Algorithms")</f>
        <v>Algorithms</v>
      </c>
      <c r="I345" s="20">
        <f>IFERROR(__xludf.DUMMYFUNCTION("""COMPUTED_VALUE"""),0.764)</f>
        <v>0.764</v>
      </c>
      <c r="J345" s="20">
        <f>IFERROR(__xludf.DUMMYFUNCTION("""COMPUTED_VALUE"""),344.0)</f>
        <v>344</v>
      </c>
      <c r="K345" s="20" t="b">
        <f>IFERROR(__xludf.DUMMYFUNCTION("""COMPUTED_VALUE"""),FALSE)</f>
        <v>0</v>
      </c>
      <c r="L345" s="20" t="str">
        <f>IFERROR(__xludf.DUMMYFUNCTION("""COMPUTED_VALUE"""),"Two Pointers;String;")</f>
        <v>Two Pointers;String;</v>
      </c>
      <c r="M345" s="20" t="b">
        <f>IFERROR(__xludf.DUMMYFUNCTION("""COMPUTED_VALUE"""),TRUE)</f>
        <v>1</v>
      </c>
      <c r="N345" s="20" t="b">
        <f>IFERROR(__xludf.DUMMYFUNCTION("""COMPUTED_VALUE"""),TRUE)</f>
        <v>1</v>
      </c>
      <c r="O345" s="20">
        <f>IFERROR(__xludf.DUMMYFUNCTION("""COMPUTED_VALUE"""),76.3764156946253)</f>
        <v>76.37641569</v>
      </c>
      <c r="P345" s="20">
        <f>IFERROR(__xludf.DUMMYFUNCTION("""COMPUTED_VALUE"""),1928889.0)</f>
        <v>1928889</v>
      </c>
      <c r="Q345" s="20">
        <f>IFERROR(__xludf.DUMMYFUNCTION("""COMPUTED_VALUE"""),2525505.0)</f>
        <v>2525505</v>
      </c>
    </row>
    <row r="346">
      <c r="A346" s="20">
        <f>IFERROR(__xludf.DUMMYFUNCTION("""COMPUTED_VALUE"""),345.0)</f>
        <v>345</v>
      </c>
      <c r="B346" s="20" t="str">
        <f>IFERROR(__xludf.DUMMYFUNCTION("""COMPUTED_VALUE"""),"Reverse Vowels of a String")</f>
        <v>Reverse Vowels of a String</v>
      </c>
      <c r="C346" s="20" t="str">
        <f>IFERROR(__xludf.DUMMYFUNCTION("""COMPUTED_VALUE"""),"reverse-vowels-of-a-string")</f>
        <v>reverse-vowels-of-a-string</v>
      </c>
      <c r="D346" s="20" t="b">
        <f>IFERROR(__xludf.DUMMYFUNCTION("""COMPUTED_VALUE"""),FALSE)</f>
        <v>0</v>
      </c>
      <c r="E346" s="20" t="str">
        <f>IFERROR(__xludf.DUMMYFUNCTION("""COMPUTED_VALUE"""),"Easy")</f>
        <v>Easy</v>
      </c>
      <c r="F346" s="20">
        <f>IFERROR(__xludf.DUMMYFUNCTION("""COMPUTED_VALUE"""),3053.0)</f>
        <v>3053</v>
      </c>
      <c r="G346" s="20">
        <f>IFERROR(__xludf.DUMMYFUNCTION("""COMPUTED_VALUE"""),2332.0)</f>
        <v>2332</v>
      </c>
      <c r="H346" s="20" t="str">
        <f>IFERROR(__xludf.DUMMYFUNCTION("""COMPUTED_VALUE"""),"Algorithms")</f>
        <v>Algorithms</v>
      </c>
      <c r="I346" s="20">
        <f>IFERROR(__xludf.DUMMYFUNCTION("""COMPUTED_VALUE"""),0.498)</f>
        <v>0.498</v>
      </c>
      <c r="J346" s="20">
        <f>IFERROR(__xludf.DUMMYFUNCTION("""COMPUTED_VALUE"""),345.0)</f>
        <v>345</v>
      </c>
      <c r="K346" s="20" t="b">
        <f>IFERROR(__xludf.DUMMYFUNCTION("""COMPUTED_VALUE"""),FALSE)</f>
        <v>0</v>
      </c>
      <c r="L346" s="20" t="str">
        <f>IFERROR(__xludf.DUMMYFUNCTION("""COMPUTED_VALUE"""),"Two Pointers;String;")</f>
        <v>Two Pointers;String;</v>
      </c>
      <c r="M346" s="20" t="b">
        <f>IFERROR(__xludf.DUMMYFUNCTION("""COMPUTED_VALUE"""),TRUE)</f>
        <v>1</v>
      </c>
      <c r="N346" s="20" t="b">
        <f>IFERROR(__xludf.DUMMYFUNCTION("""COMPUTED_VALUE"""),TRUE)</f>
        <v>1</v>
      </c>
      <c r="O346" s="20">
        <f>IFERROR(__xludf.DUMMYFUNCTION("""COMPUTED_VALUE"""),49.8478494606536)</f>
        <v>49.84784946</v>
      </c>
      <c r="P346" s="20">
        <f>IFERROR(__xludf.DUMMYFUNCTION("""COMPUTED_VALUE"""),469644.0)</f>
        <v>469644</v>
      </c>
      <c r="Q346" s="20">
        <f>IFERROR(__xludf.DUMMYFUNCTION("""COMPUTED_VALUE"""),942147.0)</f>
        <v>942147</v>
      </c>
    </row>
    <row r="347">
      <c r="A347" s="20">
        <f>IFERROR(__xludf.DUMMYFUNCTION("""COMPUTED_VALUE"""),346.0)</f>
        <v>346</v>
      </c>
      <c r="B347" s="20" t="str">
        <f>IFERROR(__xludf.DUMMYFUNCTION("""COMPUTED_VALUE"""),"Moving Average from Data Stream")</f>
        <v>Moving Average from Data Stream</v>
      </c>
      <c r="C347" s="20" t="str">
        <f>IFERROR(__xludf.DUMMYFUNCTION("""COMPUTED_VALUE"""),"moving-average-from-data-stream")</f>
        <v>moving-average-from-data-stream</v>
      </c>
      <c r="D347" s="20" t="b">
        <f>IFERROR(__xludf.DUMMYFUNCTION("""COMPUTED_VALUE"""),TRUE)</f>
        <v>1</v>
      </c>
      <c r="E347" s="20" t="str">
        <f>IFERROR(__xludf.DUMMYFUNCTION("""COMPUTED_VALUE"""),"Easy")</f>
        <v>Easy</v>
      </c>
      <c r="F347" s="20">
        <f>IFERROR(__xludf.DUMMYFUNCTION("""COMPUTED_VALUE"""),1462.0)</f>
        <v>1462</v>
      </c>
      <c r="G347" s="20">
        <f>IFERROR(__xludf.DUMMYFUNCTION("""COMPUTED_VALUE"""),145.0)</f>
        <v>145</v>
      </c>
      <c r="H347" s="20" t="str">
        <f>IFERROR(__xludf.DUMMYFUNCTION("""COMPUTED_VALUE"""),"Algorithms")</f>
        <v>Algorithms</v>
      </c>
      <c r="I347" s="20">
        <f>IFERROR(__xludf.DUMMYFUNCTION("""COMPUTED_VALUE"""),0.771)</f>
        <v>0.771</v>
      </c>
      <c r="J347" s="20">
        <f>IFERROR(__xludf.DUMMYFUNCTION("""COMPUTED_VALUE"""),346.0)</f>
        <v>346</v>
      </c>
      <c r="K347" s="20" t="b">
        <f>IFERROR(__xludf.DUMMYFUNCTION("""COMPUTED_VALUE"""),TRUE)</f>
        <v>1</v>
      </c>
      <c r="L347" s="20" t="str">
        <f>IFERROR(__xludf.DUMMYFUNCTION("""COMPUTED_VALUE"""),"Array;Design;Queue;Data Stream;")</f>
        <v>Array;Design;Queue;Data Stream;</v>
      </c>
      <c r="M347" s="20" t="b">
        <f>IFERROR(__xludf.DUMMYFUNCTION("""COMPUTED_VALUE"""),TRUE)</f>
        <v>1</v>
      </c>
      <c r="N347" s="20" t="b">
        <f>IFERROR(__xludf.DUMMYFUNCTION("""COMPUTED_VALUE"""),TRUE)</f>
        <v>1</v>
      </c>
      <c r="O347" s="20">
        <f>IFERROR(__xludf.DUMMYFUNCTION("""COMPUTED_VALUE"""),77.0860639527218)</f>
        <v>77.08606395</v>
      </c>
      <c r="P347" s="20">
        <f>IFERROR(__xludf.DUMMYFUNCTION("""COMPUTED_VALUE"""),298176.0)</f>
        <v>298176</v>
      </c>
      <c r="Q347" s="20">
        <f>IFERROR(__xludf.DUMMYFUNCTION("""COMPUTED_VALUE"""),386810.0)</f>
        <v>386810</v>
      </c>
    </row>
    <row r="348">
      <c r="A348" s="20">
        <f>IFERROR(__xludf.DUMMYFUNCTION("""COMPUTED_VALUE"""),347.0)</f>
        <v>347</v>
      </c>
      <c r="B348" s="20" t="str">
        <f>IFERROR(__xludf.DUMMYFUNCTION("""COMPUTED_VALUE"""),"Top K Frequent Elements")</f>
        <v>Top K Frequent Elements</v>
      </c>
      <c r="C348" s="20" t="str">
        <f>IFERROR(__xludf.DUMMYFUNCTION("""COMPUTED_VALUE"""),"top-k-frequent-elements")</f>
        <v>top-k-frequent-elements</v>
      </c>
      <c r="D348" s="20" t="b">
        <f>IFERROR(__xludf.DUMMYFUNCTION("""COMPUTED_VALUE"""),FALSE)</f>
        <v>0</v>
      </c>
      <c r="E348" s="20" t="str">
        <f>IFERROR(__xludf.DUMMYFUNCTION("""COMPUTED_VALUE"""),"Medium")</f>
        <v>Medium</v>
      </c>
      <c r="F348" s="20">
        <f>IFERROR(__xludf.DUMMYFUNCTION("""COMPUTED_VALUE"""),12243.0)</f>
        <v>12243</v>
      </c>
      <c r="G348" s="20">
        <f>IFERROR(__xludf.DUMMYFUNCTION("""COMPUTED_VALUE"""),449.0)</f>
        <v>449</v>
      </c>
      <c r="H348" s="20" t="str">
        <f>IFERROR(__xludf.DUMMYFUNCTION("""COMPUTED_VALUE"""),"Algorithms")</f>
        <v>Algorithms</v>
      </c>
      <c r="I348" s="20">
        <f>IFERROR(__xludf.DUMMYFUNCTION("""COMPUTED_VALUE"""),0.646)</f>
        <v>0.646</v>
      </c>
      <c r="J348" s="20">
        <f>IFERROR(__xludf.DUMMYFUNCTION("""COMPUTED_VALUE"""),347.0)</f>
        <v>347</v>
      </c>
      <c r="K348" s="20" t="b">
        <f>IFERROR(__xludf.DUMMYFUNCTION("""COMPUTED_VALUE"""),FALSE)</f>
        <v>0</v>
      </c>
      <c r="L348" s="20" t="str">
        <f>IFERROR(__xludf.DUMMYFUNCTION("""COMPUTED_VALUE"""),"Array;Hash Table;Divide and Conquer;Sorting;Heap (Priority Queue);Bucket Sort;Counting;Quickselect;")</f>
        <v>Array;Hash Table;Divide and Conquer;Sorting;Heap (Priority Queue);Bucket Sort;Counting;Quickselect;</v>
      </c>
      <c r="M348" s="20" t="b">
        <f>IFERROR(__xludf.DUMMYFUNCTION("""COMPUTED_VALUE"""),TRUE)</f>
        <v>1</v>
      </c>
      <c r="N348" s="20" t="b">
        <f>IFERROR(__xludf.DUMMYFUNCTION("""COMPUTED_VALUE"""),TRUE)</f>
        <v>1</v>
      </c>
      <c r="O348" s="20">
        <f>IFERROR(__xludf.DUMMYFUNCTION("""COMPUTED_VALUE"""),64.6160750722298)</f>
        <v>64.61607507</v>
      </c>
      <c r="P348" s="20">
        <f>IFERROR(__xludf.DUMMYFUNCTION("""COMPUTED_VALUE"""),1269857.0)</f>
        <v>1269857</v>
      </c>
      <c r="Q348" s="20">
        <f>IFERROR(__xludf.DUMMYFUNCTION("""COMPUTED_VALUE"""),1965227.0)</f>
        <v>1965227</v>
      </c>
    </row>
    <row r="349">
      <c r="A349" s="20">
        <f>IFERROR(__xludf.DUMMYFUNCTION("""COMPUTED_VALUE"""),348.0)</f>
        <v>348</v>
      </c>
      <c r="B349" s="20" t="str">
        <f>IFERROR(__xludf.DUMMYFUNCTION("""COMPUTED_VALUE"""),"Design Tic-Tac-Toe")</f>
        <v>Design Tic-Tac-Toe</v>
      </c>
      <c r="C349" s="20" t="str">
        <f>IFERROR(__xludf.DUMMYFUNCTION("""COMPUTED_VALUE"""),"design-tic-tac-toe")</f>
        <v>design-tic-tac-toe</v>
      </c>
      <c r="D349" s="20" t="b">
        <f>IFERROR(__xludf.DUMMYFUNCTION("""COMPUTED_VALUE"""),TRUE)</f>
        <v>1</v>
      </c>
      <c r="E349" s="20" t="str">
        <f>IFERROR(__xludf.DUMMYFUNCTION("""COMPUTED_VALUE"""),"Medium")</f>
        <v>Medium</v>
      </c>
      <c r="F349" s="20">
        <f>IFERROR(__xludf.DUMMYFUNCTION("""COMPUTED_VALUE"""),1872.0)</f>
        <v>1872</v>
      </c>
      <c r="G349" s="20">
        <f>IFERROR(__xludf.DUMMYFUNCTION("""COMPUTED_VALUE"""),110.0)</f>
        <v>110</v>
      </c>
      <c r="H349" s="20" t="str">
        <f>IFERROR(__xludf.DUMMYFUNCTION("""COMPUTED_VALUE"""),"Algorithms")</f>
        <v>Algorithms</v>
      </c>
      <c r="I349" s="20">
        <f>IFERROR(__xludf.DUMMYFUNCTION("""COMPUTED_VALUE"""),0.576)</f>
        <v>0.576</v>
      </c>
      <c r="J349" s="20">
        <f>IFERROR(__xludf.DUMMYFUNCTION("""COMPUTED_VALUE"""),348.0)</f>
        <v>348</v>
      </c>
      <c r="K349" s="20" t="b">
        <f>IFERROR(__xludf.DUMMYFUNCTION("""COMPUTED_VALUE"""),TRUE)</f>
        <v>1</v>
      </c>
      <c r="L349" s="20" t="str">
        <f>IFERROR(__xludf.DUMMYFUNCTION("""COMPUTED_VALUE"""),"Array;Hash Table;Design;Matrix;")</f>
        <v>Array;Hash Table;Design;Matrix;</v>
      </c>
      <c r="M349" s="20" t="b">
        <f>IFERROR(__xludf.DUMMYFUNCTION("""COMPUTED_VALUE"""),TRUE)</f>
        <v>1</v>
      </c>
      <c r="N349" s="20" t="b">
        <f>IFERROR(__xludf.DUMMYFUNCTION("""COMPUTED_VALUE"""),FALSE)</f>
        <v>0</v>
      </c>
      <c r="O349" s="20">
        <f>IFERROR(__xludf.DUMMYFUNCTION("""COMPUTED_VALUE"""),57.5729842479232)</f>
        <v>57.57298425</v>
      </c>
      <c r="P349" s="20">
        <f>IFERROR(__xludf.DUMMYFUNCTION("""COMPUTED_VALUE"""),205079.0)</f>
        <v>205079</v>
      </c>
      <c r="Q349" s="20">
        <f>IFERROR(__xludf.DUMMYFUNCTION("""COMPUTED_VALUE"""),356207.0)</f>
        <v>356207</v>
      </c>
    </row>
    <row r="350">
      <c r="A350" s="20">
        <f>IFERROR(__xludf.DUMMYFUNCTION("""COMPUTED_VALUE"""),349.0)</f>
        <v>349</v>
      </c>
      <c r="B350" s="20" t="str">
        <f>IFERROR(__xludf.DUMMYFUNCTION("""COMPUTED_VALUE"""),"Intersection of Two Arrays")</f>
        <v>Intersection of Two Arrays</v>
      </c>
      <c r="C350" s="20" t="str">
        <f>IFERROR(__xludf.DUMMYFUNCTION("""COMPUTED_VALUE"""),"intersection-of-two-arrays")</f>
        <v>intersection-of-two-arrays</v>
      </c>
      <c r="D350" s="20" t="b">
        <f>IFERROR(__xludf.DUMMYFUNCTION("""COMPUTED_VALUE"""),FALSE)</f>
        <v>0</v>
      </c>
      <c r="E350" s="20" t="str">
        <f>IFERROR(__xludf.DUMMYFUNCTION("""COMPUTED_VALUE"""),"Easy")</f>
        <v>Easy</v>
      </c>
      <c r="F350" s="20">
        <f>IFERROR(__xludf.DUMMYFUNCTION("""COMPUTED_VALUE"""),4098.0)</f>
        <v>4098</v>
      </c>
      <c r="G350" s="20">
        <f>IFERROR(__xludf.DUMMYFUNCTION("""COMPUTED_VALUE"""),2055.0)</f>
        <v>2055</v>
      </c>
      <c r="H350" s="20" t="str">
        <f>IFERROR(__xludf.DUMMYFUNCTION("""COMPUTED_VALUE"""),"Algorithms")</f>
        <v>Algorithms</v>
      </c>
      <c r="I350" s="20">
        <f>IFERROR(__xludf.DUMMYFUNCTION("""COMPUTED_VALUE"""),0.705)</f>
        <v>0.705</v>
      </c>
      <c r="J350" s="20">
        <f>IFERROR(__xludf.DUMMYFUNCTION("""COMPUTED_VALUE"""),349.0)</f>
        <v>349</v>
      </c>
      <c r="K350" s="20" t="b">
        <f>IFERROR(__xludf.DUMMYFUNCTION("""COMPUTED_VALUE"""),FALSE)</f>
        <v>0</v>
      </c>
      <c r="L350" s="20" t="str">
        <f>IFERROR(__xludf.DUMMYFUNCTION("""COMPUTED_VALUE"""),"Array;Hash Table;Two Pointers;Binary Search;Sorting;")</f>
        <v>Array;Hash Table;Two Pointers;Binary Search;Sorting;</v>
      </c>
      <c r="M350" s="20" t="b">
        <f>IFERROR(__xludf.DUMMYFUNCTION("""COMPUTED_VALUE"""),TRUE)</f>
        <v>1</v>
      </c>
      <c r="N350" s="20" t="b">
        <f>IFERROR(__xludf.DUMMYFUNCTION("""COMPUTED_VALUE"""),FALSE)</f>
        <v>0</v>
      </c>
      <c r="O350" s="20">
        <f>IFERROR(__xludf.DUMMYFUNCTION("""COMPUTED_VALUE"""),70.5143821275021)</f>
        <v>70.51438213</v>
      </c>
      <c r="P350" s="20">
        <f>IFERROR(__xludf.DUMMYFUNCTION("""COMPUTED_VALUE"""),789044.0)</f>
        <v>789044</v>
      </c>
      <c r="Q350" s="20">
        <f>IFERROR(__xludf.DUMMYFUNCTION("""COMPUTED_VALUE"""),1118986.0)</f>
        <v>1118986</v>
      </c>
    </row>
    <row r="351">
      <c r="A351" s="20">
        <f>IFERROR(__xludf.DUMMYFUNCTION("""COMPUTED_VALUE"""),350.0)</f>
        <v>350</v>
      </c>
      <c r="B351" s="20" t="str">
        <f>IFERROR(__xludf.DUMMYFUNCTION("""COMPUTED_VALUE"""),"Intersection of Two Arrays II")</f>
        <v>Intersection of Two Arrays II</v>
      </c>
      <c r="C351" s="20" t="str">
        <f>IFERROR(__xludf.DUMMYFUNCTION("""COMPUTED_VALUE"""),"intersection-of-two-arrays-ii")</f>
        <v>intersection-of-two-arrays-ii</v>
      </c>
      <c r="D351" s="20" t="b">
        <f>IFERROR(__xludf.DUMMYFUNCTION("""COMPUTED_VALUE"""),FALSE)</f>
        <v>0</v>
      </c>
      <c r="E351" s="20" t="str">
        <f>IFERROR(__xludf.DUMMYFUNCTION("""COMPUTED_VALUE"""),"Easy")</f>
        <v>Easy</v>
      </c>
      <c r="F351" s="20">
        <f>IFERROR(__xludf.DUMMYFUNCTION("""COMPUTED_VALUE"""),5844.0)</f>
        <v>5844</v>
      </c>
      <c r="G351" s="20">
        <f>IFERROR(__xludf.DUMMYFUNCTION("""COMPUTED_VALUE"""),813.0)</f>
        <v>813</v>
      </c>
      <c r="H351" s="20" t="str">
        <f>IFERROR(__xludf.DUMMYFUNCTION("""COMPUTED_VALUE"""),"Algorithms")</f>
        <v>Algorithms</v>
      </c>
      <c r="I351" s="20">
        <f>IFERROR(__xludf.DUMMYFUNCTION("""COMPUTED_VALUE"""),0.557)</f>
        <v>0.557</v>
      </c>
      <c r="J351" s="20">
        <f>IFERROR(__xludf.DUMMYFUNCTION("""COMPUTED_VALUE"""),350.0)</f>
        <v>350</v>
      </c>
      <c r="K351" s="20" t="b">
        <f>IFERROR(__xludf.DUMMYFUNCTION("""COMPUTED_VALUE"""),FALSE)</f>
        <v>0</v>
      </c>
      <c r="L351" s="20" t="str">
        <f>IFERROR(__xludf.DUMMYFUNCTION("""COMPUTED_VALUE"""),"Array;Hash Table;Two Pointers;Binary Search;Sorting;")</f>
        <v>Array;Hash Table;Two Pointers;Binary Search;Sorting;</v>
      </c>
      <c r="M351" s="20" t="b">
        <f>IFERROR(__xludf.DUMMYFUNCTION("""COMPUTED_VALUE"""),TRUE)</f>
        <v>1</v>
      </c>
      <c r="N351" s="20" t="b">
        <f>IFERROR(__xludf.DUMMYFUNCTION("""COMPUTED_VALUE"""),FALSE)</f>
        <v>0</v>
      </c>
      <c r="O351" s="20">
        <f>IFERROR(__xludf.DUMMYFUNCTION("""COMPUTED_VALUE"""),55.7170835533827)</f>
        <v>55.71708355</v>
      </c>
      <c r="P351" s="20">
        <f>IFERROR(__xludf.DUMMYFUNCTION("""COMPUTED_VALUE"""),976935.0)</f>
        <v>976935</v>
      </c>
      <c r="Q351" s="20">
        <f>IFERROR(__xludf.DUMMYFUNCTION("""COMPUTED_VALUE"""),1753381.0)</f>
        <v>1753381</v>
      </c>
    </row>
    <row r="352">
      <c r="A352" s="20">
        <f>IFERROR(__xludf.DUMMYFUNCTION("""COMPUTED_VALUE"""),351.0)</f>
        <v>351</v>
      </c>
      <c r="B352" s="20" t="str">
        <f>IFERROR(__xludf.DUMMYFUNCTION("""COMPUTED_VALUE"""),"Android Unlock Patterns")</f>
        <v>Android Unlock Patterns</v>
      </c>
      <c r="C352" s="20" t="str">
        <f>IFERROR(__xludf.DUMMYFUNCTION("""COMPUTED_VALUE"""),"android-unlock-patterns")</f>
        <v>android-unlock-patterns</v>
      </c>
      <c r="D352" s="20" t="b">
        <f>IFERROR(__xludf.DUMMYFUNCTION("""COMPUTED_VALUE"""),TRUE)</f>
        <v>1</v>
      </c>
      <c r="E352" s="20" t="str">
        <f>IFERROR(__xludf.DUMMYFUNCTION("""COMPUTED_VALUE"""),"Medium")</f>
        <v>Medium</v>
      </c>
      <c r="F352" s="20">
        <f>IFERROR(__xludf.DUMMYFUNCTION("""COMPUTED_VALUE"""),130.0)</f>
        <v>130</v>
      </c>
      <c r="G352" s="20">
        <f>IFERROR(__xludf.DUMMYFUNCTION("""COMPUTED_VALUE"""),143.0)</f>
        <v>143</v>
      </c>
      <c r="H352" s="20" t="str">
        <f>IFERROR(__xludf.DUMMYFUNCTION("""COMPUTED_VALUE"""),"Algorithms")</f>
        <v>Algorithms</v>
      </c>
      <c r="I352" s="20">
        <f>IFERROR(__xludf.DUMMYFUNCTION("""COMPUTED_VALUE"""),0.514)</f>
        <v>0.514</v>
      </c>
      <c r="J352" s="20">
        <f>IFERROR(__xludf.DUMMYFUNCTION("""COMPUTED_VALUE"""),351.0)</f>
        <v>351</v>
      </c>
      <c r="K352" s="20" t="b">
        <f>IFERROR(__xludf.DUMMYFUNCTION("""COMPUTED_VALUE"""),TRUE)</f>
        <v>1</v>
      </c>
      <c r="L352" s="20" t="str">
        <f>IFERROR(__xludf.DUMMYFUNCTION("""COMPUTED_VALUE"""),"Dynamic Programming;Backtracking;")</f>
        <v>Dynamic Programming;Backtracking;</v>
      </c>
      <c r="M352" s="20" t="b">
        <f>IFERROR(__xludf.DUMMYFUNCTION("""COMPUTED_VALUE"""),FALSE)</f>
        <v>0</v>
      </c>
      <c r="N352" s="20" t="b">
        <f>IFERROR(__xludf.DUMMYFUNCTION("""COMPUTED_VALUE"""),FALSE)</f>
        <v>0</v>
      </c>
      <c r="O352" s="20">
        <f>IFERROR(__xludf.DUMMYFUNCTION("""COMPUTED_VALUE"""),51.401163799935)</f>
        <v>51.4011638</v>
      </c>
      <c r="P352" s="20">
        <f>IFERROR(__xludf.DUMMYFUNCTION("""COMPUTED_VALUE"""),68105.0)</f>
        <v>68105</v>
      </c>
      <c r="Q352" s="20">
        <f>IFERROR(__xludf.DUMMYFUNCTION("""COMPUTED_VALUE"""),132497.0)</f>
        <v>132497</v>
      </c>
    </row>
    <row r="353">
      <c r="A353" s="20">
        <f>IFERROR(__xludf.DUMMYFUNCTION("""COMPUTED_VALUE"""),352.0)</f>
        <v>352</v>
      </c>
      <c r="B353" s="20" t="str">
        <f>IFERROR(__xludf.DUMMYFUNCTION("""COMPUTED_VALUE"""),"Data Stream as Disjoint Intervals")</f>
        <v>Data Stream as Disjoint Intervals</v>
      </c>
      <c r="C353" s="20" t="str">
        <f>IFERROR(__xludf.DUMMYFUNCTION("""COMPUTED_VALUE"""),"data-stream-as-disjoint-intervals")</f>
        <v>data-stream-as-disjoint-intervals</v>
      </c>
      <c r="D353" s="20" t="b">
        <f>IFERROR(__xludf.DUMMYFUNCTION("""COMPUTED_VALUE"""),FALSE)</f>
        <v>0</v>
      </c>
      <c r="E353" s="20" t="str">
        <f>IFERROR(__xludf.DUMMYFUNCTION("""COMPUTED_VALUE"""),"Hard")</f>
        <v>Hard</v>
      </c>
      <c r="F353" s="20">
        <f>IFERROR(__xludf.DUMMYFUNCTION("""COMPUTED_VALUE"""),738.0)</f>
        <v>738</v>
      </c>
      <c r="G353" s="20">
        <f>IFERROR(__xludf.DUMMYFUNCTION("""COMPUTED_VALUE"""),167.0)</f>
        <v>167</v>
      </c>
      <c r="H353" s="20" t="str">
        <f>IFERROR(__xludf.DUMMYFUNCTION("""COMPUTED_VALUE"""),"Algorithms")</f>
        <v>Algorithms</v>
      </c>
      <c r="I353" s="20">
        <f>IFERROR(__xludf.DUMMYFUNCTION("""COMPUTED_VALUE"""),0.517)</f>
        <v>0.517</v>
      </c>
      <c r="J353" s="20">
        <f>IFERROR(__xludf.DUMMYFUNCTION("""COMPUTED_VALUE"""),352.0)</f>
        <v>352</v>
      </c>
      <c r="K353" s="20" t="b">
        <f>IFERROR(__xludf.DUMMYFUNCTION("""COMPUTED_VALUE"""),FALSE)</f>
        <v>0</v>
      </c>
      <c r="L353" s="20" t="str">
        <f>IFERROR(__xludf.DUMMYFUNCTION("""COMPUTED_VALUE"""),"Binary Search;Design;Ordered Set;")</f>
        <v>Binary Search;Design;Ordered Set;</v>
      </c>
      <c r="M353" s="20" t="b">
        <f>IFERROR(__xludf.DUMMYFUNCTION("""COMPUTED_VALUE"""),TRUE)</f>
        <v>1</v>
      </c>
      <c r="N353" s="20" t="b">
        <f>IFERROR(__xludf.DUMMYFUNCTION("""COMPUTED_VALUE"""),FALSE)</f>
        <v>0</v>
      </c>
      <c r="O353" s="20">
        <f>IFERROR(__xludf.DUMMYFUNCTION("""COMPUTED_VALUE"""),51.6911466213972)</f>
        <v>51.69114662</v>
      </c>
      <c r="P353" s="20">
        <f>IFERROR(__xludf.DUMMYFUNCTION("""COMPUTED_VALUE"""),56027.0)</f>
        <v>56027</v>
      </c>
      <c r="Q353" s="20">
        <f>IFERROR(__xludf.DUMMYFUNCTION("""COMPUTED_VALUE"""),108388.0)</f>
        <v>108388</v>
      </c>
    </row>
    <row r="354">
      <c r="A354" s="20">
        <f>IFERROR(__xludf.DUMMYFUNCTION("""COMPUTED_VALUE"""),353.0)</f>
        <v>353</v>
      </c>
      <c r="B354" s="20" t="str">
        <f>IFERROR(__xludf.DUMMYFUNCTION("""COMPUTED_VALUE"""),"Design Snake Game")</f>
        <v>Design Snake Game</v>
      </c>
      <c r="C354" s="20" t="str">
        <f>IFERROR(__xludf.DUMMYFUNCTION("""COMPUTED_VALUE"""),"design-snake-game")</f>
        <v>design-snake-game</v>
      </c>
      <c r="D354" s="20" t="b">
        <f>IFERROR(__xludf.DUMMYFUNCTION("""COMPUTED_VALUE"""),TRUE)</f>
        <v>1</v>
      </c>
      <c r="E354" s="20" t="str">
        <f>IFERROR(__xludf.DUMMYFUNCTION("""COMPUTED_VALUE"""),"Medium")</f>
        <v>Medium</v>
      </c>
      <c r="F354" s="20">
        <f>IFERROR(__xludf.DUMMYFUNCTION("""COMPUTED_VALUE"""),828.0)</f>
        <v>828</v>
      </c>
      <c r="G354" s="20">
        <f>IFERROR(__xludf.DUMMYFUNCTION("""COMPUTED_VALUE"""),288.0)</f>
        <v>288</v>
      </c>
      <c r="H354" s="20" t="str">
        <f>IFERROR(__xludf.DUMMYFUNCTION("""COMPUTED_VALUE"""),"Algorithms")</f>
        <v>Algorithms</v>
      </c>
      <c r="I354" s="20">
        <f>IFERROR(__xludf.DUMMYFUNCTION("""COMPUTED_VALUE"""),0.392)</f>
        <v>0.392</v>
      </c>
      <c r="J354" s="20">
        <f>IFERROR(__xludf.DUMMYFUNCTION("""COMPUTED_VALUE"""),353.0)</f>
        <v>353</v>
      </c>
      <c r="K354" s="20" t="b">
        <f>IFERROR(__xludf.DUMMYFUNCTION("""COMPUTED_VALUE"""),TRUE)</f>
        <v>1</v>
      </c>
      <c r="L354" s="20" t="str">
        <f>IFERROR(__xludf.DUMMYFUNCTION("""COMPUTED_VALUE"""),"Array;Design;Queue;Matrix;")</f>
        <v>Array;Design;Queue;Matrix;</v>
      </c>
      <c r="M354" s="20" t="b">
        <f>IFERROR(__xludf.DUMMYFUNCTION("""COMPUTED_VALUE"""),TRUE)</f>
        <v>1</v>
      </c>
      <c r="N354" s="20" t="b">
        <f>IFERROR(__xludf.DUMMYFUNCTION("""COMPUTED_VALUE"""),FALSE)</f>
        <v>0</v>
      </c>
      <c r="O354" s="20">
        <f>IFERROR(__xludf.DUMMYFUNCTION("""COMPUTED_VALUE"""),39.1501638609562)</f>
        <v>39.15016386</v>
      </c>
      <c r="P354" s="20">
        <f>IFERROR(__xludf.DUMMYFUNCTION("""COMPUTED_VALUE"""),69885.0)</f>
        <v>69885</v>
      </c>
      <c r="Q354" s="20">
        <f>IFERROR(__xludf.DUMMYFUNCTION("""COMPUTED_VALUE"""),178505.0)</f>
        <v>178505</v>
      </c>
    </row>
    <row r="355">
      <c r="A355" s="20">
        <f>IFERROR(__xludf.DUMMYFUNCTION("""COMPUTED_VALUE"""),354.0)</f>
        <v>354</v>
      </c>
      <c r="B355" s="20" t="str">
        <f>IFERROR(__xludf.DUMMYFUNCTION("""COMPUTED_VALUE"""),"Russian Doll Envelopes")</f>
        <v>Russian Doll Envelopes</v>
      </c>
      <c r="C355" s="20" t="str">
        <f>IFERROR(__xludf.DUMMYFUNCTION("""COMPUTED_VALUE"""),"russian-doll-envelopes")</f>
        <v>russian-doll-envelopes</v>
      </c>
      <c r="D355" s="20" t="b">
        <f>IFERROR(__xludf.DUMMYFUNCTION("""COMPUTED_VALUE"""),FALSE)</f>
        <v>0</v>
      </c>
      <c r="E355" s="20" t="str">
        <f>IFERROR(__xludf.DUMMYFUNCTION("""COMPUTED_VALUE"""),"Hard")</f>
        <v>Hard</v>
      </c>
      <c r="F355" s="20">
        <f>IFERROR(__xludf.DUMMYFUNCTION("""COMPUTED_VALUE"""),4820.0)</f>
        <v>4820</v>
      </c>
      <c r="G355" s="20">
        <f>IFERROR(__xludf.DUMMYFUNCTION("""COMPUTED_VALUE"""),118.0)</f>
        <v>118</v>
      </c>
      <c r="H355" s="20" t="str">
        <f>IFERROR(__xludf.DUMMYFUNCTION("""COMPUTED_VALUE"""),"Algorithms")</f>
        <v>Algorithms</v>
      </c>
      <c r="I355" s="20">
        <f>IFERROR(__xludf.DUMMYFUNCTION("""COMPUTED_VALUE"""),0.382)</f>
        <v>0.382</v>
      </c>
      <c r="J355" s="20">
        <f>IFERROR(__xludf.DUMMYFUNCTION("""COMPUTED_VALUE"""),354.0)</f>
        <v>354</v>
      </c>
      <c r="K355" s="20" t="b">
        <f>IFERROR(__xludf.DUMMYFUNCTION("""COMPUTED_VALUE"""),FALSE)</f>
        <v>0</v>
      </c>
      <c r="L355" s="20" t="str">
        <f>IFERROR(__xludf.DUMMYFUNCTION("""COMPUTED_VALUE"""),"Array;Binary Search;Dynamic Programming;Sorting;")</f>
        <v>Array;Binary Search;Dynamic Programming;Sorting;</v>
      </c>
      <c r="M355" s="20" t="b">
        <f>IFERROR(__xludf.DUMMYFUNCTION("""COMPUTED_VALUE"""),TRUE)</f>
        <v>1</v>
      </c>
      <c r="N355" s="20" t="b">
        <f>IFERROR(__xludf.DUMMYFUNCTION("""COMPUTED_VALUE"""),FALSE)</f>
        <v>0</v>
      </c>
      <c r="O355" s="20">
        <f>IFERROR(__xludf.DUMMYFUNCTION("""COMPUTED_VALUE"""),38.154594687311)</f>
        <v>38.15459469</v>
      </c>
      <c r="P355" s="20">
        <f>IFERROR(__xludf.DUMMYFUNCTION("""COMPUTED_VALUE"""),182402.0)</f>
        <v>182402</v>
      </c>
      <c r="Q355" s="20">
        <f>IFERROR(__xludf.DUMMYFUNCTION("""COMPUTED_VALUE"""),478057.0)</f>
        <v>478057</v>
      </c>
    </row>
    <row r="356">
      <c r="A356" s="20">
        <f>IFERROR(__xludf.DUMMYFUNCTION("""COMPUTED_VALUE"""),355.0)</f>
        <v>355</v>
      </c>
      <c r="B356" s="20" t="str">
        <f>IFERROR(__xludf.DUMMYFUNCTION("""COMPUTED_VALUE"""),"Design Twitter")</f>
        <v>Design Twitter</v>
      </c>
      <c r="C356" s="20" t="str">
        <f>IFERROR(__xludf.DUMMYFUNCTION("""COMPUTED_VALUE"""),"design-twitter")</f>
        <v>design-twitter</v>
      </c>
      <c r="D356" s="20" t="b">
        <f>IFERROR(__xludf.DUMMYFUNCTION("""COMPUTED_VALUE"""),FALSE)</f>
        <v>0</v>
      </c>
      <c r="E356" s="20" t="str">
        <f>IFERROR(__xludf.DUMMYFUNCTION("""COMPUTED_VALUE"""),"Medium")</f>
        <v>Medium</v>
      </c>
      <c r="F356" s="20">
        <f>IFERROR(__xludf.DUMMYFUNCTION("""COMPUTED_VALUE"""),2743.0)</f>
        <v>2743</v>
      </c>
      <c r="G356" s="20">
        <f>IFERROR(__xludf.DUMMYFUNCTION("""COMPUTED_VALUE"""),352.0)</f>
        <v>352</v>
      </c>
      <c r="H356" s="20" t="str">
        <f>IFERROR(__xludf.DUMMYFUNCTION("""COMPUTED_VALUE"""),"Algorithms")</f>
        <v>Algorithms</v>
      </c>
      <c r="I356" s="20">
        <f>IFERROR(__xludf.DUMMYFUNCTION("""COMPUTED_VALUE"""),0.369)</f>
        <v>0.369</v>
      </c>
      <c r="J356" s="20">
        <f>IFERROR(__xludf.DUMMYFUNCTION("""COMPUTED_VALUE"""),355.0)</f>
        <v>355</v>
      </c>
      <c r="K356" s="20" t="b">
        <f>IFERROR(__xludf.DUMMYFUNCTION("""COMPUTED_VALUE"""),FALSE)</f>
        <v>0</v>
      </c>
      <c r="L356" s="20" t="str">
        <f>IFERROR(__xludf.DUMMYFUNCTION("""COMPUTED_VALUE"""),"Hash Table;Linked List;Design;Heap (Priority Queue);")</f>
        <v>Hash Table;Linked List;Design;Heap (Priority Queue);</v>
      </c>
      <c r="M356" s="20" t="b">
        <f>IFERROR(__xludf.DUMMYFUNCTION("""COMPUTED_VALUE"""),FALSE)</f>
        <v>0</v>
      </c>
      <c r="N356" s="20" t="b">
        <f>IFERROR(__xludf.DUMMYFUNCTION("""COMPUTED_VALUE"""),FALSE)</f>
        <v>0</v>
      </c>
      <c r="O356" s="20">
        <f>IFERROR(__xludf.DUMMYFUNCTION("""COMPUTED_VALUE"""),36.9454410654945)</f>
        <v>36.94544107</v>
      </c>
      <c r="P356" s="20">
        <f>IFERROR(__xludf.DUMMYFUNCTION("""COMPUTED_VALUE"""),111619.0)</f>
        <v>111619</v>
      </c>
      <c r="Q356" s="20">
        <f>IFERROR(__xludf.DUMMYFUNCTION("""COMPUTED_VALUE"""),302123.0)</f>
        <v>302123</v>
      </c>
    </row>
    <row r="357">
      <c r="A357" s="20">
        <f>IFERROR(__xludf.DUMMYFUNCTION("""COMPUTED_VALUE"""),356.0)</f>
        <v>356</v>
      </c>
      <c r="B357" s="20" t="str">
        <f>IFERROR(__xludf.DUMMYFUNCTION("""COMPUTED_VALUE"""),"Line Reflection")</f>
        <v>Line Reflection</v>
      </c>
      <c r="C357" s="20" t="str">
        <f>IFERROR(__xludf.DUMMYFUNCTION("""COMPUTED_VALUE"""),"line-reflection")</f>
        <v>line-reflection</v>
      </c>
      <c r="D357" s="20" t="b">
        <f>IFERROR(__xludf.DUMMYFUNCTION("""COMPUTED_VALUE"""),TRUE)</f>
        <v>1</v>
      </c>
      <c r="E357" s="20" t="str">
        <f>IFERROR(__xludf.DUMMYFUNCTION("""COMPUTED_VALUE"""),"Medium")</f>
        <v>Medium</v>
      </c>
      <c r="F357" s="20">
        <f>IFERROR(__xludf.DUMMYFUNCTION("""COMPUTED_VALUE"""),242.0)</f>
        <v>242</v>
      </c>
      <c r="G357" s="20">
        <f>IFERROR(__xludf.DUMMYFUNCTION("""COMPUTED_VALUE"""),512.0)</f>
        <v>512</v>
      </c>
      <c r="H357" s="20" t="str">
        <f>IFERROR(__xludf.DUMMYFUNCTION("""COMPUTED_VALUE"""),"Algorithms")</f>
        <v>Algorithms</v>
      </c>
      <c r="I357" s="20">
        <f>IFERROR(__xludf.DUMMYFUNCTION("""COMPUTED_VALUE"""),0.347)</f>
        <v>0.347</v>
      </c>
      <c r="J357" s="20">
        <f>IFERROR(__xludf.DUMMYFUNCTION("""COMPUTED_VALUE"""),356.0)</f>
        <v>356</v>
      </c>
      <c r="K357" s="20" t="b">
        <f>IFERROR(__xludf.DUMMYFUNCTION("""COMPUTED_VALUE"""),TRUE)</f>
        <v>1</v>
      </c>
      <c r="L357" s="20" t="str">
        <f>IFERROR(__xludf.DUMMYFUNCTION("""COMPUTED_VALUE"""),"Array;Hash Table;Math;")</f>
        <v>Array;Hash Table;Math;</v>
      </c>
      <c r="M357" s="20" t="b">
        <f>IFERROR(__xludf.DUMMYFUNCTION("""COMPUTED_VALUE"""),FALSE)</f>
        <v>0</v>
      </c>
      <c r="N357" s="20" t="b">
        <f>IFERROR(__xludf.DUMMYFUNCTION("""COMPUTED_VALUE"""),FALSE)</f>
        <v>0</v>
      </c>
      <c r="O357" s="20">
        <f>IFERROR(__xludf.DUMMYFUNCTION("""COMPUTED_VALUE"""),34.7072768501339)</f>
        <v>34.70727685</v>
      </c>
      <c r="P357" s="20">
        <f>IFERROR(__xludf.DUMMYFUNCTION("""COMPUTED_VALUE"""),33673.0)</f>
        <v>33673</v>
      </c>
      <c r="Q357" s="20">
        <f>IFERROR(__xludf.DUMMYFUNCTION("""COMPUTED_VALUE"""),97020.0)</f>
        <v>97020</v>
      </c>
    </row>
    <row r="358">
      <c r="A358" s="20">
        <f>IFERROR(__xludf.DUMMYFUNCTION("""COMPUTED_VALUE"""),357.0)</f>
        <v>357</v>
      </c>
      <c r="B358" s="20" t="str">
        <f>IFERROR(__xludf.DUMMYFUNCTION("""COMPUTED_VALUE"""),"Count Numbers with Unique Digits")</f>
        <v>Count Numbers with Unique Digits</v>
      </c>
      <c r="C358" s="20" t="str">
        <f>IFERROR(__xludf.DUMMYFUNCTION("""COMPUTED_VALUE"""),"count-numbers-with-unique-digits")</f>
        <v>count-numbers-with-unique-digits</v>
      </c>
      <c r="D358" s="20" t="b">
        <f>IFERROR(__xludf.DUMMYFUNCTION("""COMPUTED_VALUE"""),FALSE)</f>
        <v>0</v>
      </c>
      <c r="E358" s="20" t="str">
        <f>IFERROR(__xludf.DUMMYFUNCTION("""COMPUTED_VALUE"""),"Medium")</f>
        <v>Medium</v>
      </c>
      <c r="F358" s="20">
        <f>IFERROR(__xludf.DUMMYFUNCTION("""COMPUTED_VALUE"""),1160.0)</f>
        <v>1160</v>
      </c>
      <c r="G358" s="20">
        <f>IFERROR(__xludf.DUMMYFUNCTION("""COMPUTED_VALUE"""),1352.0)</f>
        <v>1352</v>
      </c>
      <c r="H358" s="20" t="str">
        <f>IFERROR(__xludf.DUMMYFUNCTION("""COMPUTED_VALUE"""),"Algorithms")</f>
        <v>Algorithms</v>
      </c>
      <c r="I358" s="20">
        <f>IFERROR(__xludf.DUMMYFUNCTION("""COMPUTED_VALUE"""),0.516)</f>
        <v>0.516</v>
      </c>
      <c r="J358" s="20">
        <f>IFERROR(__xludf.DUMMYFUNCTION("""COMPUTED_VALUE"""),357.0)</f>
        <v>357</v>
      </c>
      <c r="K358" s="20" t="b">
        <f>IFERROR(__xludf.DUMMYFUNCTION("""COMPUTED_VALUE"""),FALSE)</f>
        <v>0</v>
      </c>
      <c r="L358" s="20" t="str">
        <f>IFERROR(__xludf.DUMMYFUNCTION("""COMPUTED_VALUE"""),"Math;Dynamic Programming;Backtracking;")</f>
        <v>Math;Dynamic Programming;Backtracking;</v>
      </c>
      <c r="M358" s="20" t="b">
        <f>IFERROR(__xludf.DUMMYFUNCTION("""COMPUTED_VALUE"""),FALSE)</f>
        <v>0</v>
      </c>
      <c r="N358" s="20" t="b">
        <f>IFERROR(__xludf.DUMMYFUNCTION("""COMPUTED_VALUE"""),FALSE)</f>
        <v>0</v>
      </c>
      <c r="O358" s="20">
        <f>IFERROR(__xludf.DUMMYFUNCTION("""COMPUTED_VALUE"""),51.6485373227023)</f>
        <v>51.64853732</v>
      </c>
      <c r="P358" s="20">
        <f>IFERROR(__xludf.DUMMYFUNCTION("""COMPUTED_VALUE"""),113100.0)</f>
        <v>113100</v>
      </c>
      <c r="Q358" s="20">
        <f>IFERROR(__xludf.DUMMYFUNCTION("""COMPUTED_VALUE"""),218981.0)</f>
        <v>218981</v>
      </c>
    </row>
    <row r="359">
      <c r="A359" s="20">
        <f>IFERROR(__xludf.DUMMYFUNCTION("""COMPUTED_VALUE"""),358.0)</f>
        <v>358</v>
      </c>
      <c r="B359" s="20" t="str">
        <f>IFERROR(__xludf.DUMMYFUNCTION("""COMPUTED_VALUE"""),"Rearrange String k Distance Apart")</f>
        <v>Rearrange String k Distance Apart</v>
      </c>
      <c r="C359" s="20" t="str">
        <f>IFERROR(__xludf.DUMMYFUNCTION("""COMPUTED_VALUE"""),"rearrange-string-k-distance-apart")</f>
        <v>rearrange-string-k-distance-apart</v>
      </c>
      <c r="D359" s="20" t="b">
        <f>IFERROR(__xludf.DUMMYFUNCTION("""COMPUTED_VALUE"""),TRUE)</f>
        <v>1</v>
      </c>
      <c r="E359" s="20" t="str">
        <f>IFERROR(__xludf.DUMMYFUNCTION("""COMPUTED_VALUE"""),"Hard")</f>
        <v>Hard</v>
      </c>
      <c r="F359" s="20">
        <f>IFERROR(__xludf.DUMMYFUNCTION("""COMPUTED_VALUE"""),830.0)</f>
        <v>830</v>
      </c>
      <c r="G359" s="20">
        <f>IFERROR(__xludf.DUMMYFUNCTION("""COMPUTED_VALUE"""),36.0)</f>
        <v>36</v>
      </c>
      <c r="H359" s="20" t="str">
        <f>IFERROR(__xludf.DUMMYFUNCTION("""COMPUTED_VALUE"""),"Algorithms")</f>
        <v>Algorithms</v>
      </c>
      <c r="I359" s="20">
        <f>IFERROR(__xludf.DUMMYFUNCTION("""COMPUTED_VALUE"""),0.376)</f>
        <v>0.376</v>
      </c>
      <c r="J359" s="20">
        <f>IFERROR(__xludf.DUMMYFUNCTION("""COMPUTED_VALUE"""),358.0)</f>
        <v>358</v>
      </c>
      <c r="K359" s="20" t="b">
        <f>IFERROR(__xludf.DUMMYFUNCTION("""COMPUTED_VALUE"""),TRUE)</f>
        <v>1</v>
      </c>
      <c r="L359" s="20" t="str">
        <f>IFERROR(__xludf.DUMMYFUNCTION("""COMPUTED_VALUE"""),"Hash Table;String;Greedy;Sorting;Heap (Priority Queue);Counting;")</f>
        <v>Hash Table;String;Greedy;Sorting;Heap (Priority Queue);Counting;</v>
      </c>
      <c r="M359" s="20" t="b">
        <f>IFERROR(__xludf.DUMMYFUNCTION("""COMPUTED_VALUE"""),FALSE)</f>
        <v>0</v>
      </c>
      <c r="N359" s="20" t="b">
        <f>IFERROR(__xludf.DUMMYFUNCTION("""COMPUTED_VALUE"""),FALSE)</f>
        <v>0</v>
      </c>
      <c r="O359" s="20">
        <f>IFERROR(__xludf.DUMMYFUNCTION("""COMPUTED_VALUE"""),37.6068830702535)</f>
        <v>37.60688307</v>
      </c>
      <c r="P359" s="20">
        <f>IFERROR(__xludf.DUMMYFUNCTION("""COMPUTED_VALUE"""),56560.0)</f>
        <v>56560</v>
      </c>
      <c r="Q359" s="20">
        <f>IFERROR(__xludf.DUMMYFUNCTION("""COMPUTED_VALUE"""),150398.0)</f>
        <v>150398</v>
      </c>
    </row>
    <row r="360">
      <c r="A360" s="20">
        <f>IFERROR(__xludf.DUMMYFUNCTION("""COMPUTED_VALUE"""),359.0)</f>
        <v>359</v>
      </c>
      <c r="B360" s="20" t="str">
        <f>IFERROR(__xludf.DUMMYFUNCTION("""COMPUTED_VALUE"""),"Logger Rate Limiter")</f>
        <v>Logger Rate Limiter</v>
      </c>
      <c r="C360" s="20" t="str">
        <f>IFERROR(__xludf.DUMMYFUNCTION("""COMPUTED_VALUE"""),"logger-rate-limiter")</f>
        <v>logger-rate-limiter</v>
      </c>
      <c r="D360" s="20" t="b">
        <f>IFERROR(__xludf.DUMMYFUNCTION("""COMPUTED_VALUE"""),TRUE)</f>
        <v>1</v>
      </c>
      <c r="E360" s="20" t="str">
        <f>IFERROR(__xludf.DUMMYFUNCTION("""COMPUTED_VALUE"""),"Easy")</f>
        <v>Easy</v>
      </c>
      <c r="F360" s="20">
        <f>IFERROR(__xludf.DUMMYFUNCTION("""COMPUTED_VALUE"""),1508.0)</f>
        <v>1508</v>
      </c>
      <c r="G360" s="20">
        <f>IFERROR(__xludf.DUMMYFUNCTION("""COMPUTED_VALUE"""),180.0)</f>
        <v>180</v>
      </c>
      <c r="H360" s="20" t="str">
        <f>IFERROR(__xludf.DUMMYFUNCTION("""COMPUTED_VALUE"""),"Algorithms")</f>
        <v>Algorithms</v>
      </c>
      <c r="I360" s="20">
        <f>IFERROR(__xludf.DUMMYFUNCTION("""COMPUTED_VALUE"""),0.756)</f>
        <v>0.756</v>
      </c>
      <c r="J360" s="20">
        <f>IFERROR(__xludf.DUMMYFUNCTION("""COMPUTED_VALUE"""),359.0)</f>
        <v>359</v>
      </c>
      <c r="K360" s="20" t="b">
        <f>IFERROR(__xludf.DUMMYFUNCTION("""COMPUTED_VALUE"""),TRUE)</f>
        <v>1</v>
      </c>
      <c r="L360" s="20" t="str">
        <f>IFERROR(__xludf.DUMMYFUNCTION("""COMPUTED_VALUE"""),"Hash Table;Design;")</f>
        <v>Hash Table;Design;</v>
      </c>
      <c r="M360" s="20" t="b">
        <f>IFERROR(__xludf.DUMMYFUNCTION("""COMPUTED_VALUE"""),TRUE)</f>
        <v>1</v>
      </c>
      <c r="N360" s="20" t="b">
        <f>IFERROR(__xludf.DUMMYFUNCTION("""COMPUTED_VALUE"""),FALSE)</f>
        <v>0</v>
      </c>
      <c r="O360" s="20">
        <f>IFERROR(__xludf.DUMMYFUNCTION("""COMPUTED_VALUE"""),75.575490284886)</f>
        <v>75.57549028</v>
      </c>
      <c r="P360" s="20">
        <f>IFERROR(__xludf.DUMMYFUNCTION("""COMPUTED_VALUE"""),266979.0)</f>
        <v>266979</v>
      </c>
      <c r="Q360" s="20">
        <f>IFERROR(__xludf.DUMMYFUNCTION("""COMPUTED_VALUE"""),353262.0)</f>
        <v>353262</v>
      </c>
    </row>
    <row r="361">
      <c r="A361" s="20">
        <f>IFERROR(__xludf.DUMMYFUNCTION("""COMPUTED_VALUE"""),360.0)</f>
        <v>360</v>
      </c>
      <c r="B361" s="20" t="str">
        <f>IFERROR(__xludf.DUMMYFUNCTION("""COMPUTED_VALUE"""),"Sort Transformed Array")</f>
        <v>Sort Transformed Array</v>
      </c>
      <c r="C361" s="20" t="str">
        <f>IFERROR(__xludf.DUMMYFUNCTION("""COMPUTED_VALUE"""),"sort-transformed-array")</f>
        <v>sort-transformed-array</v>
      </c>
      <c r="D361" s="20" t="b">
        <f>IFERROR(__xludf.DUMMYFUNCTION("""COMPUTED_VALUE"""),TRUE)</f>
        <v>1</v>
      </c>
      <c r="E361" s="20" t="str">
        <f>IFERROR(__xludf.DUMMYFUNCTION("""COMPUTED_VALUE"""),"Medium")</f>
        <v>Medium</v>
      </c>
      <c r="F361" s="20">
        <f>IFERROR(__xludf.DUMMYFUNCTION("""COMPUTED_VALUE"""),633.0)</f>
        <v>633</v>
      </c>
      <c r="G361" s="20">
        <f>IFERROR(__xludf.DUMMYFUNCTION("""COMPUTED_VALUE"""),193.0)</f>
        <v>193</v>
      </c>
      <c r="H361" s="20" t="str">
        <f>IFERROR(__xludf.DUMMYFUNCTION("""COMPUTED_VALUE"""),"Algorithms")</f>
        <v>Algorithms</v>
      </c>
      <c r="I361" s="20">
        <f>IFERROR(__xludf.DUMMYFUNCTION("""COMPUTED_VALUE"""),0.548)</f>
        <v>0.548</v>
      </c>
      <c r="J361" s="20">
        <f>IFERROR(__xludf.DUMMYFUNCTION("""COMPUTED_VALUE"""),360.0)</f>
        <v>360</v>
      </c>
      <c r="K361" s="20" t="b">
        <f>IFERROR(__xludf.DUMMYFUNCTION("""COMPUTED_VALUE"""),TRUE)</f>
        <v>1</v>
      </c>
      <c r="L361" s="20" t="str">
        <f>IFERROR(__xludf.DUMMYFUNCTION("""COMPUTED_VALUE"""),"Array;Math;Two Pointers;Sorting;")</f>
        <v>Array;Math;Two Pointers;Sorting;</v>
      </c>
      <c r="M361" s="20" t="b">
        <f>IFERROR(__xludf.DUMMYFUNCTION("""COMPUTED_VALUE"""),TRUE)</f>
        <v>1</v>
      </c>
      <c r="N361" s="20" t="b">
        <f>IFERROR(__xludf.DUMMYFUNCTION("""COMPUTED_VALUE"""),FALSE)</f>
        <v>0</v>
      </c>
      <c r="O361" s="20">
        <f>IFERROR(__xludf.DUMMYFUNCTION("""COMPUTED_VALUE"""),54.786543592702)</f>
        <v>54.78654359</v>
      </c>
      <c r="P361" s="20">
        <f>IFERROR(__xludf.DUMMYFUNCTION("""COMPUTED_VALUE"""),60778.0)</f>
        <v>60778</v>
      </c>
      <c r="Q361" s="20">
        <f>IFERROR(__xludf.DUMMYFUNCTION("""COMPUTED_VALUE"""),110936.0)</f>
        <v>110936</v>
      </c>
    </row>
    <row r="362">
      <c r="A362" s="20">
        <f>IFERROR(__xludf.DUMMYFUNCTION("""COMPUTED_VALUE"""),361.0)</f>
        <v>361</v>
      </c>
      <c r="B362" s="20" t="str">
        <f>IFERROR(__xludf.DUMMYFUNCTION("""COMPUTED_VALUE"""),"Bomb Enemy")</f>
        <v>Bomb Enemy</v>
      </c>
      <c r="C362" s="20" t="str">
        <f>IFERROR(__xludf.DUMMYFUNCTION("""COMPUTED_VALUE"""),"bomb-enemy")</f>
        <v>bomb-enemy</v>
      </c>
      <c r="D362" s="20" t="b">
        <f>IFERROR(__xludf.DUMMYFUNCTION("""COMPUTED_VALUE"""),TRUE)</f>
        <v>1</v>
      </c>
      <c r="E362" s="20" t="str">
        <f>IFERROR(__xludf.DUMMYFUNCTION("""COMPUTED_VALUE"""),"Medium")</f>
        <v>Medium</v>
      </c>
      <c r="F362" s="20">
        <f>IFERROR(__xludf.DUMMYFUNCTION("""COMPUTED_VALUE"""),872.0)</f>
        <v>872</v>
      </c>
      <c r="G362" s="20">
        <f>IFERROR(__xludf.DUMMYFUNCTION("""COMPUTED_VALUE"""),102.0)</f>
        <v>102</v>
      </c>
      <c r="H362" s="20" t="str">
        <f>IFERROR(__xludf.DUMMYFUNCTION("""COMPUTED_VALUE"""),"Algorithms")</f>
        <v>Algorithms</v>
      </c>
      <c r="I362" s="20">
        <f>IFERROR(__xludf.DUMMYFUNCTION("""COMPUTED_VALUE"""),0.51)</f>
        <v>0.51</v>
      </c>
      <c r="J362" s="20">
        <f>IFERROR(__xludf.DUMMYFUNCTION("""COMPUTED_VALUE"""),361.0)</f>
        <v>361</v>
      </c>
      <c r="K362" s="20" t="b">
        <f>IFERROR(__xludf.DUMMYFUNCTION("""COMPUTED_VALUE"""),TRUE)</f>
        <v>1</v>
      </c>
      <c r="L362" s="20" t="str">
        <f>IFERROR(__xludf.DUMMYFUNCTION("""COMPUTED_VALUE"""),"Array;Dynamic Programming;Matrix;")</f>
        <v>Array;Dynamic Programming;Matrix;</v>
      </c>
      <c r="M362" s="20" t="b">
        <f>IFERROR(__xludf.DUMMYFUNCTION("""COMPUTED_VALUE"""),TRUE)</f>
        <v>1</v>
      </c>
      <c r="N362" s="20" t="b">
        <f>IFERROR(__xludf.DUMMYFUNCTION("""COMPUTED_VALUE"""),FALSE)</f>
        <v>0</v>
      </c>
      <c r="O362" s="20">
        <f>IFERROR(__xludf.DUMMYFUNCTION("""COMPUTED_VALUE"""),51.0419913297254)</f>
        <v>51.04199133</v>
      </c>
      <c r="P362" s="20">
        <f>IFERROR(__xludf.DUMMYFUNCTION("""COMPUTED_VALUE"""),72057.0)</f>
        <v>72057</v>
      </c>
      <c r="Q362" s="20">
        <f>IFERROR(__xludf.DUMMYFUNCTION("""COMPUTED_VALUE"""),141172.0)</f>
        <v>141172</v>
      </c>
    </row>
    <row r="363">
      <c r="A363" s="20">
        <f>IFERROR(__xludf.DUMMYFUNCTION("""COMPUTED_VALUE"""),362.0)</f>
        <v>362</v>
      </c>
      <c r="B363" s="20" t="str">
        <f>IFERROR(__xludf.DUMMYFUNCTION("""COMPUTED_VALUE"""),"Design Hit Counter")</f>
        <v>Design Hit Counter</v>
      </c>
      <c r="C363" s="20" t="str">
        <f>IFERROR(__xludf.DUMMYFUNCTION("""COMPUTED_VALUE"""),"design-hit-counter")</f>
        <v>design-hit-counter</v>
      </c>
      <c r="D363" s="20" t="b">
        <f>IFERROR(__xludf.DUMMYFUNCTION("""COMPUTED_VALUE"""),TRUE)</f>
        <v>1</v>
      </c>
      <c r="E363" s="20" t="str">
        <f>IFERROR(__xludf.DUMMYFUNCTION("""COMPUTED_VALUE"""),"Medium")</f>
        <v>Medium</v>
      </c>
      <c r="F363" s="20">
        <f>IFERROR(__xludf.DUMMYFUNCTION("""COMPUTED_VALUE"""),1796.0)</f>
        <v>1796</v>
      </c>
      <c r="G363" s="20">
        <f>IFERROR(__xludf.DUMMYFUNCTION("""COMPUTED_VALUE"""),186.0)</f>
        <v>186</v>
      </c>
      <c r="H363" s="20" t="str">
        <f>IFERROR(__xludf.DUMMYFUNCTION("""COMPUTED_VALUE"""),"Algorithms")</f>
        <v>Algorithms</v>
      </c>
      <c r="I363" s="20">
        <f>IFERROR(__xludf.DUMMYFUNCTION("""COMPUTED_VALUE"""),0.684)</f>
        <v>0.684</v>
      </c>
      <c r="J363" s="20">
        <f>IFERROR(__xludf.DUMMYFUNCTION("""COMPUTED_VALUE"""),362.0)</f>
        <v>362</v>
      </c>
      <c r="K363" s="20" t="b">
        <f>IFERROR(__xludf.DUMMYFUNCTION("""COMPUTED_VALUE"""),TRUE)</f>
        <v>1</v>
      </c>
      <c r="L363" s="20" t="str">
        <f>IFERROR(__xludf.DUMMYFUNCTION("""COMPUTED_VALUE"""),"Array;Hash Table;Binary Search;Design;Queue;")</f>
        <v>Array;Hash Table;Binary Search;Design;Queue;</v>
      </c>
      <c r="M363" s="20" t="b">
        <f>IFERROR(__xludf.DUMMYFUNCTION("""COMPUTED_VALUE"""),TRUE)</f>
        <v>1</v>
      </c>
      <c r="N363" s="20" t="b">
        <f>IFERROR(__xludf.DUMMYFUNCTION("""COMPUTED_VALUE"""),FALSE)</f>
        <v>0</v>
      </c>
      <c r="O363" s="20">
        <f>IFERROR(__xludf.DUMMYFUNCTION("""COMPUTED_VALUE"""),68.4016129934026)</f>
        <v>68.40161299</v>
      </c>
      <c r="P363" s="20">
        <f>IFERROR(__xludf.DUMMYFUNCTION("""COMPUTED_VALUE"""),195749.0)</f>
        <v>195749</v>
      </c>
      <c r="Q363" s="20">
        <f>IFERROR(__xludf.DUMMYFUNCTION("""COMPUTED_VALUE"""),286176.0)</f>
        <v>286176</v>
      </c>
    </row>
    <row r="364">
      <c r="A364" s="20">
        <f>IFERROR(__xludf.DUMMYFUNCTION("""COMPUTED_VALUE"""),363.0)</f>
        <v>363</v>
      </c>
      <c r="B364" s="20" t="str">
        <f>IFERROR(__xludf.DUMMYFUNCTION("""COMPUTED_VALUE"""),"Max Sum of Rectangle No Larger Than K")</f>
        <v>Max Sum of Rectangle No Larger Than K</v>
      </c>
      <c r="C364" s="20" t="str">
        <f>IFERROR(__xludf.DUMMYFUNCTION("""COMPUTED_VALUE"""),"max-sum-of-rectangle-no-larger-than-k")</f>
        <v>max-sum-of-rectangle-no-larger-than-k</v>
      </c>
      <c r="D364" s="20" t="b">
        <f>IFERROR(__xludf.DUMMYFUNCTION("""COMPUTED_VALUE"""),FALSE)</f>
        <v>0</v>
      </c>
      <c r="E364" s="20" t="str">
        <f>IFERROR(__xludf.DUMMYFUNCTION("""COMPUTED_VALUE"""),"Hard")</f>
        <v>Hard</v>
      </c>
      <c r="F364" s="20">
        <f>IFERROR(__xludf.DUMMYFUNCTION("""COMPUTED_VALUE"""),3163.0)</f>
        <v>3163</v>
      </c>
      <c r="G364" s="20">
        <f>IFERROR(__xludf.DUMMYFUNCTION("""COMPUTED_VALUE"""),161.0)</f>
        <v>161</v>
      </c>
      <c r="H364" s="20" t="str">
        <f>IFERROR(__xludf.DUMMYFUNCTION("""COMPUTED_VALUE"""),"Algorithms")</f>
        <v>Algorithms</v>
      </c>
      <c r="I364" s="20">
        <f>IFERROR(__xludf.DUMMYFUNCTION("""COMPUTED_VALUE"""),0.441)</f>
        <v>0.441</v>
      </c>
      <c r="J364" s="20">
        <f>IFERROR(__xludf.DUMMYFUNCTION("""COMPUTED_VALUE"""),363.0)</f>
        <v>363</v>
      </c>
      <c r="K364" s="20" t="b">
        <f>IFERROR(__xludf.DUMMYFUNCTION("""COMPUTED_VALUE"""),FALSE)</f>
        <v>0</v>
      </c>
      <c r="L364" s="20" t="str">
        <f>IFERROR(__xludf.DUMMYFUNCTION("""COMPUTED_VALUE"""),"Array;Binary Search;Matrix;Prefix Sum;Ordered Set;")</f>
        <v>Array;Binary Search;Matrix;Prefix Sum;Ordered Set;</v>
      </c>
      <c r="M364" s="20" t="b">
        <f>IFERROR(__xludf.DUMMYFUNCTION("""COMPUTED_VALUE"""),TRUE)</f>
        <v>1</v>
      </c>
      <c r="N364" s="20" t="b">
        <f>IFERROR(__xludf.DUMMYFUNCTION("""COMPUTED_VALUE"""),FALSE)</f>
        <v>0</v>
      </c>
      <c r="O364" s="20">
        <f>IFERROR(__xludf.DUMMYFUNCTION("""COMPUTED_VALUE"""),44.0532553300563)</f>
        <v>44.05325533</v>
      </c>
      <c r="P364" s="20">
        <f>IFERROR(__xludf.DUMMYFUNCTION("""COMPUTED_VALUE"""),116868.0)</f>
        <v>116868</v>
      </c>
      <c r="Q364" s="20">
        <f>IFERROR(__xludf.DUMMYFUNCTION("""COMPUTED_VALUE"""),265288.0)</f>
        <v>265288</v>
      </c>
    </row>
    <row r="365">
      <c r="A365" s="20">
        <f>IFERROR(__xludf.DUMMYFUNCTION("""COMPUTED_VALUE"""),364.0)</f>
        <v>364</v>
      </c>
      <c r="B365" s="20" t="str">
        <f>IFERROR(__xludf.DUMMYFUNCTION("""COMPUTED_VALUE"""),"Nested List Weight Sum II")</f>
        <v>Nested List Weight Sum II</v>
      </c>
      <c r="C365" s="20" t="str">
        <f>IFERROR(__xludf.DUMMYFUNCTION("""COMPUTED_VALUE"""),"nested-list-weight-sum-ii")</f>
        <v>nested-list-weight-sum-ii</v>
      </c>
      <c r="D365" s="20" t="b">
        <f>IFERROR(__xludf.DUMMYFUNCTION("""COMPUTED_VALUE"""),TRUE)</f>
        <v>1</v>
      </c>
      <c r="E365" s="20" t="str">
        <f>IFERROR(__xludf.DUMMYFUNCTION("""COMPUTED_VALUE"""),"Medium")</f>
        <v>Medium</v>
      </c>
      <c r="F365" s="20">
        <f>IFERROR(__xludf.DUMMYFUNCTION("""COMPUTED_VALUE"""),1080.0)</f>
        <v>1080</v>
      </c>
      <c r="G365" s="20">
        <f>IFERROR(__xludf.DUMMYFUNCTION("""COMPUTED_VALUE"""),387.0)</f>
        <v>387</v>
      </c>
      <c r="H365" s="20" t="str">
        <f>IFERROR(__xludf.DUMMYFUNCTION("""COMPUTED_VALUE"""),"Algorithms")</f>
        <v>Algorithms</v>
      </c>
      <c r="I365" s="20">
        <f>IFERROR(__xludf.DUMMYFUNCTION("""COMPUTED_VALUE"""),0.668)</f>
        <v>0.668</v>
      </c>
      <c r="J365" s="20">
        <f>IFERROR(__xludf.DUMMYFUNCTION("""COMPUTED_VALUE"""),364.0)</f>
        <v>364</v>
      </c>
      <c r="K365" s="20" t="b">
        <f>IFERROR(__xludf.DUMMYFUNCTION("""COMPUTED_VALUE"""),TRUE)</f>
        <v>1</v>
      </c>
      <c r="L365" s="20" t="str">
        <f>IFERROR(__xludf.DUMMYFUNCTION("""COMPUTED_VALUE"""),"Stack;Depth-First Search;Breadth-First Search;")</f>
        <v>Stack;Depth-First Search;Breadth-First Search;</v>
      </c>
      <c r="M365" s="20" t="b">
        <f>IFERROR(__xludf.DUMMYFUNCTION("""COMPUTED_VALUE"""),TRUE)</f>
        <v>1</v>
      </c>
      <c r="N365" s="20" t="b">
        <f>IFERROR(__xludf.DUMMYFUNCTION("""COMPUTED_VALUE"""),FALSE)</f>
        <v>0</v>
      </c>
      <c r="O365" s="20">
        <f>IFERROR(__xludf.DUMMYFUNCTION("""COMPUTED_VALUE"""),66.8309054183129)</f>
        <v>66.83090542</v>
      </c>
      <c r="P365" s="20">
        <f>IFERROR(__xludf.DUMMYFUNCTION("""COMPUTED_VALUE"""),128042.0)</f>
        <v>128042</v>
      </c>
      <c r="Q365" s="20">
        <f>IFERROR(__xludf.DUMMYFUNCTION("""COMPUTED_VALUE"""),191591.0)</f>
        <v>191591</v>
      </c>
    </row>
    <row r="366">
      <c r="A366" s="20">
        <f>IFERROR(__xludf.DUMMYFUNCTION("""COMPUTED_VALUE"""),365.0)</f>
        <v>365</v>
      </c>
      <c r="B366" s="20" t="str">
        <f>IFERROR(__xludf.DUMMYFUNCTION("""COMPUTED_VALUE"""),"Water and Jug Problem")</f>
        <v>Water and Jug Problem</v>
      </c>
      <c r="C366" s="20" t="str">
        <f>IFERROR(__xludf.DUMMYFUNCTION("""COMPUTED_VALUE"""),"water-and-jug-problem")</f>
        <v>water-and-jug-problem</v>
      </c>
      <c r="D366" s="20" t="b">
        <f>IFERROR(__xludf.DUMMYFUNCTION("""COMPUTED_VALUE"""),FALSE)</f>
        <v>0</v>
      </c>
      <c r="E366" s="20" t="str">
        <f>IFERROR(__xludf.DUMMYFUNCTION("""COMPUTED_VALUE"""),"Medium")</f>
        <v>Medium</v>
      </c>
      <c r="F366" s="20">
        <f>IFERROR(__xludf.DUMMYFUNCTION("""COMPUTED_VALUE"""),1070.0)</f>
        <v>1070</v>
      </c>
      <c r="G366" s="20">
        <f>IFERROR(__xludf.DUMMYFUNCTION("""COMPUTED_VALUE"""),1288.0)</f>
        <v>1288</v>
      </c>
      <c r="H366" s="20" t="str">
        <f>IFERROR(__xludf.DUMMYFUNCTION("""COMPUTED_VALUE"""),"Algorithms")</f>
        <v>Algorithms</v>
      </c>
      <c r="I366" s="20">
        <f>IFERROR(__xludf.DUMMYFUNCTION("""COMPUTED_VALUE"""),0.369)</f>
        <v>0.369</v>
      </c>
      <c r="J366" s="20">
        <f>IFERROR(__xludf.DUMMYFUNCTION("""COMPUTED_VALUE"""),365.0)</f>
        <v>365</v>
      </c>
      <c r="K366" s="20" t="b">
        <f>IFERROR(__xludf.DUMMYFUNCTION("""COMPUTED_VALUE"""),FALSE)</f>
        <v>0</v>
      </c>
      <c r="L366" s="20" t="str">
        <f>IFERROR(__xludf.DUMMYFUNCTION("""COMPUTED_VALUE"""),"Math;Depth-First Search;Breadth-First Search;")</f>
        <v>Math;Depth-First Search;Breadth-First Search;</v>
      </c>
      <c r="M366" s="20" t="b">
        <f>IFERROR(__xludf.DUMMYFUNCTION("""COMPUTED_VALUE"""),FALSE)</f>
        <v>0</v>
      </c>
      <c r="N366" s="20" t="b">
        <f>IFERROR(__xludf.DUMMYFUNCTION("""COMPUTED_VALUE"""),FALSE)</f>
        <v>0</v>
      </c>
      <c r="O366" s="20">
        <f>IFERROR(__xludf.DUMMYFUNCTION("""COMPUTED_VALUE"""),36.9181772443741)</f>
        <v>36.91817724</v>
      </c>
      <c r="P366" s="20">
        <f>IFERROR(__xludf.DUMMYFUNCTION("""COMPUTED_VALUE"""),75580.0)</f>
        <v>75580</v>
      </c>
      <c r="Q366" s="20">
        <f>IFERROR(__xludf.DUMMYFUNCTION("""COMPUTED_VALUE"""),204723.0)</f>
        <v>204723</v>
      </c>
    </row>
    <row r="367">
      <c r="A367" s="20">
        <f>IFERROR(__xludf.DUMMYFUNCTION("""COMPUTED_VALUE"""),366.0)</f>
        <v>366</v>
      </c>
      <c r="B367" s="20" t="str">
        <f>IFERROR(__xludf.DUMMYFUNCTION("""COMPUTED_VALUE"""),"Find Leaves of Binary Tree")</f>
        <v>Find Leaves of Binary Tree</v>
      </c>
      <c r="C367" s="20" t="str">
        <f>IFERROR(__xludf.DUMMYFUNCTION("""COMPUTED_VALUE"""),"find-leaves-of-binary-tree")</f>
        <v>find-leaves-of-binary-tree</v>
      </c>
      <c r="D367" s="20" t="b">
        <f>IFERROR(__xludf.DUMMYFUNCTION("""COMPUTED_VALUE"""),TRUE)</f>
        <v>1</v>
      </c>
      <c r="E367" s="20" t="str">
        <f>IFERROR(__xludf.DUMMYFUNCTION("""COMPUTED_VALUE"""),"Medium")</f>
        <v>Medium</v>
      </c>
      <c r="F367" s="20">
        <f>IFERROR(__xludf.DUMMYFUNCTION("""COMPUTED_VALUE"""),2983.0)</f>
        <v>2983</v>
      </c>
      <c r="G367" s="20">
        <f>IFERROR(__xludf.DUMMYFUNCTION("""COMPUTED_VALUE"""),50.0)</f>
        <v>50</v>
      </c>
      <c r="H367" s="20" t="str">
        <f>IFERROR(__xludf.DUMMYFUNCTION("""COMPUTED_VALUE"""),"Algorithms")</f>
        <v>Algorithms</v>
      </c>
      <c r="I367" s="20">
        <f>IFERROR(__xludf.DUMMYFUNCTION("""COMPUTED_VALUE"""),0.802)</f>
        <v>0.802</v>
      </c>
      <c r="J367" s="20">
        <f>IFERROR(__xludf.DUMMYFUNCTION("""COMPUTED_VALUE"""),366.0)</f>
        <v>366</v>
      </c>
      <c r="K367" s="20" t="b">
        <f>IFERROR(__xludf.DUMMYFUNCTION("""COMPUTED_VALUE"""),TRUE)</f>
        <v>1</v>
      </c>
      <c r="L367" s="20" t="str">
        <f>IFERROR(__xludf.DUMMYFUNCTION("""COMPUTED_VALUE"""),"Tree;Depth-First Search;Binary Tree;")</f>
        <v>Tree;Depth-First Search;Binary Tree;</v>
      </c>
      <c r="M367" s="20" t="b">
        <f>IFERROR(__xludf.DUMMYFUNCTION("""COMPUTED_VALUE"""),TRUE)</f>
        <v>1</v>
      </c>
      <c r="N367" s="20" t="b">
        <f>IFERROR(__xludf.DUMMYFUNCTION("""COMPUTED_VALUE"""),FALSE)</f>
        <v>0</v>
      </c>
      <c r="O367" s="20">
        <f>IFERROR(__xludf.DUMMYFUNCTION("""COMPUTED_VALUE"""),80.2387152323883)</f>
        <v>80.23871523</v>
      </c>
      <c r="P367" s="20">
        <f>IFERROR(__xludf.DUMMYFUNCTION("""COMPUTED_VALUE"""),230179.0)</f>
        <v>230179</v>
      </c>
      <c r="Q367" s="20">
        <f>IFERROR(__xludf.DUMMYFUNCTION("""COMPUTED_VALUE"""),286868.0)</f>
        <v>286868</v>
      </c>
    </row>
    <row r="368">
      <c r="A368" s="20">
        <f>IFERROR(__xludf.DUMMYFUNCTION("""COMPUTED_VALUE"""),367.0)</f>
        <v>367</v>
      </c>
      <c r="B368" s="20" t="str">
        <f>IFERROR(__xludf.DUMMYFUNCTION("""COMPUTED_VALUE"""),"Valid Perfect Square")</f>
        <v>Valid Perfect Square</v>
      </c>
      <c r="C368" s="20" t="str">
        <f>IFERROR(__xludf.DUMMYFUNCTION("""COMPUTED_VALUE"""),"valid-perfect-square")</f>
        <v>valid-perfect-square</v>
      </c>
      <c r="D368" s="20" t="b">
        <f>IFERROR(__xludf.DUMMYFUNCTION("""COMPUTED_VALUE"""),FALSE)</f>
        <v>0</v>
      </c>
      <c r="E368" s="20" t="str">
        <f>IFERROR(__xludf.DUMMYFUNCTION("""COMPUTED_VALUE"""),"Easy")</f>
        <v>Easy</v>
      </c>
      <c r="F368" s="20">
        <f>IFERROR(__xludf.DUMMYFUNCTION("""COMPUTED_VALUE"""),3154.0)</f>
        <v>3154</v>
      </c>
      <c r="G368" s="20">
        <f>IFERROR(__xludf.DUMMYFUNCTION("""COMPUTED_VALUE"""),269.0)</f>
        <v>269</v>
      </c>
      <c r="H368" s="20" t="str">
        <f>IFERROR(__xludf.DUMMYFUNCTION("""COMPUTED_VALUE"""),"Algorithms")</f>
        <v>Algorithms</v>
      </c>
      <c r="I368" s="20">
        <f>IFERROR(__xludf.DUMMYFUNCTION("""COMPUTED_VALUE"""),0.433)</f>
        <v>0.433</v>
      </c>
      <c r="J368" s="20">
        <f>IFERROR(__xludf.DUMMYFUNCTION("""COMPUTED_VALUE"""),367.0)</f>
        <v>367</v>
      </c>
      <c r="K368" s="20" t="b">
        <f>IFERROR(__xludf.DUMMYFUNCTION("""COMPUTED_VALUE"""),FALSE)</f>
        <v>0</v>
      </c>
      <c r="L368" s="20" t="str">
        <f>IFERROR(__xludf.DUMMYFUNCTION("""COMPUTED_VALUE"""),"Math;Binary Search;")</f>
        <v>Math;Binary Search;</v>
      </c>
      <c r="M368" s="20" t="b">
        <f>IFERROR(__xludf.DUMMYFUNCTION("""COMPUTED_VALUE"""),TRUE)</f>
        <v>1</v>
      </c>
      <c r="N368" s="20" t="b">
        <f>IFERROR(__xludf.DUMMYFUNCTION("""COMPUTED_VALUE"""),FALSE)</f>
        <v>0</v>
      </c>
      <c r="O368" s="20">
        <f>IFERROR(__xludf.DUMMYFUNCTION("""COMPUTED_VALUE"""),43.284424489065)</f>
        <v>43.28442449</v>
      </c>
      <c r="P368" s="20">
        <f>IFERROR(__xludf.DUMMYFUNCTION("""COMPUTED_VALUE"""),444798.0)</f>
        <v>444798</v>
      </c>
      <c r="Q368" s="20">
        <f>IFERROR(__xludf.DUMMYFUNCTION("""COMPUTED_VALUE"""),1027607.0)</f>
        <v>1027607</v>
      </c>
    </row>
    <row r="369">
      <c r="A369" s="20">
        <f>IFERROR(__xludf.DUMMYFUNCTION("""COMPUTED_VALUE"""),368.0)</f>
        <v>368</v>
      </c>
      <c r="B369" s="20" t="str">
        <f>IFERROR(__xludf.DUMMYFUNCTION("""COMPUTED_VALUE"""),"Largest Divisible Subset")</f>
        <v>Largest Divisible Subset</v>
      </c>
      <c r="C369" s="20" t="str">
        <f>IFERROR(__xludf.DUMMYFUNCTION("""COMPUTED_VALUE"""),"largest-divisible-subset")</f>
        <v>largest-divisible-subset</v>
      </c>
      <c r="D369" s="20" t="b">
        <f>IFERROR(__xludf.DUMMYFUNCTION("""COMPUTED_VALUE"""),FALSE)</f>
        <v>0</v>
      </c>
      <c r="E369" s="20" t="str">
        <f>IFERROR(__xludf.DUMMYFUNCTION("""COMPUTED_VALUE"""),"Medium")</f>
        <v>Medium</v>
      </c>
      <c r="F369" s="20">
        <f>IFERROR(__xludf.DUMMYFUNCTION("""COMPUTED_VALUE"""),4034.0)</f>
        <v>4034</v>
      </c>
      <c r="G369" s="20">
        <f>IFERROR(__xludf.DUMMYFUNCTION("""COMPUTED_VALUE"""),165.0)</f>
        <v>165</v>
      </c>
      <c r="H369" s="20" t="str">
        <f>IFERROR(__xludf.DUMMYFUNCTION("""COMPUTED_VALUE"""),"Algorithms")</f>
        <v>Algorithms</v>
      </c>
      <c r="I369" s="20">
        <f>IFERROR(__xludf.DUMMYFUNCTION("""COMPUTED_VALUE"""),0.413)</f>
        <v>0.413</v>
      </c>
      <c r="J369" s="20">
        <f>IFERROR(__xludf.DUMMYFUNCTION("""COMPUTED_VALUE"""),368.0)</f>
        <v>368</v>
      </c>
      <c r="K369" s="20" t="b">
        <f>IFERROR(__xludf.DUMMYFUNCTION("""COMPUTED_VALUE"""),FALSE)</f>
        <v>0</v>
      </c>
      <c r="L369" s="20" t="str">
        <f>IFERROR(__xludf.DUMMYFUNCTION("""COMPUTED_VALUE"""),"Array;Math;Dynamic Programming;Sorting;")</f>
        <v>Array;Math;Dynamic Programming;Sorting;</v>
      </c>
      <c r="M369" s="20" t="b">
        <f>IFERROR(__xludf.DUMMYFUNCTION("""COMPUTED_VALUE"""),TRUE)</f>
        <v>1</v>
      </c>
      <c r="N369" s="20" t="b">
        <f>IFERROR(__xludf.DUMMYFUNCTION("""COMPUTED_VALUE"""),FALSE)</f>
        <v>0</v>
      </c>
      <c r="O369" s="20">
        <f>IFERROR(__xludf.DUMMYFUNCTION("""COMPUTED_VALUE"""),41.3374563250995)</f>
        <v>41.33745633</v>
      </c>
      <c r="P369" s="20">
        <f>IFERROR(__xludf.DUMMYFUNCTION("""COMPUTED_VALUE"""),169772.0)</f>
        <v>169772</v>
      </c>
      <c r="Q369" s="20">
        <f>IFERROR(__xludf.DUMMYFUNCTION("""COMPUTED_VALUE"""),410698.0)</f>
        <v>410698</v>
      </c>
    </row>
    <row r="370">
      <c r="A370" s="20">
        <f>IFERROR(__xludf.DUMMYFUNCTION("""COMPUTED_VALUE"""),369.0)</f>
        <v>369</v>
      </c>
      <c r="B370" s="20" t="str">
        <f>IFERROR(__xludf.DUMMYFUNCTION("""COMPUTED_VALUE"""),"Plus One Linked List")</f>
        <v>Plus One Linked List</v>
      </c>
      <c r="C370" s="20" t="str">
        <f>IFERROR(__xludf.DUMMYFUNCTION("""COMPUTED_VALUE"""),"plus-one-linked-list")</f>
        <v>plus-one-linked-list</v>
      </c>
      <c r="D370" s="20" t="b">
        <f>IFERROR(__xludf.DUMMYFUNCTION("""COMPUTED_VALUE"""),TRUE)</f>
        <v>1</v>
      </c>
      <c r="E370" s="20" t="str">
        <f>IFERROR(__xludf.DUMMYFUNCTION("""COMPUTED_VALUE"""),"Medium")</f>
        <v>Medium</v>
      </c>
      <c r="F370" s="20">
        <f>IFERROR(__xludf.DUMMYFUNCTION("""COMPUTED_VALUE"""),844.0)</f>
        <v>844</v>
      </c>
      <c r="G370" s="20">
        <f>IFERROR(__xludf.DUMMYFUNCTION("""COMPUTED_VALUE"""),42.0)</f>
        <v>42</v>
      </c>
      <c r="H370" s="20" t="str">
        <f>IFERROR(__xludf.DUMMYFUNCTION("""COMPUTED_VALUE"""),"Algorithms")</f>
        <v>Algorithms</v>
      </c>
      <c r="I370" s="20">
        <f>IFERROR(__xludf.DUMMYFUNCTION("""COMPUTED_VALUE"""),0.61)</f>
        <v>0.61</v>
      </c>
      <c r="J370" s="20">
        <f>IFERROR(__xludf.DUMMYFUNCTION("""COMPUTED_VALUE"""),369.0)</f>
        <v>369</v>
      </c>
      <c r="K370" s="20" t="b">
        <f>IFERROR(__xludf.DUMMYFUNCTION("""COMPUTED_VALUE"""),TRUE)</f>
        <v>1</v>
      </c>
      <c r="L370" s="20" t="str">
        <f>IFERROR(__xludf.DUMMYFUNCTION("""COMPUTED_VALUE"""),"Linked List;Math;")</f>
        <v>Linked List;Math;</v>
      </c>
      <c r="M370" s="20" t="b">
        <f>IFERROR(__xludf.DUMMYFUNCTION("""COMPUTED_VALUE"""),TRUE)</f>
        <v>1</v>
      </c>
      <c r="N370" s="20" t="b">
        <f>IFERROR(__xludf.DUMMYFUNCTION("""COMPUTED_VALUE"""),TRUE)</f>
        <v>1</v>
      </c>
      <c r="O370" s="20">
        <f>IFERROR(__xludf.DUMMYFUNCTION("""COMPUTED_VALUE"""),60.9669594312003)</f>
        <v>60.96695943</v>
      </c>
      <c r="P370" s="20">
        <f>IFERROR(__xludf.DUMMYFUNCTION("""COMPUTED_VALUE"""),72886.0)</f>
        <v>72886</v>
      </c>
      <c r="Q370" s="20">
        <f>IFERROR(__xludf.DUMMYFUNCTION("""COMPUTED_VALUE"""),119550.0)</f>
        <v>119550</v>
      </c>
    </row>
    <row r="371">
      <c r="A371" s="20">
        <f>IFERROR(__xludf.DUMMYFUNCTION("""COMPUTED_VALUE"""),370.0)</f>
        <v>370</v>
      </c>
      <c r="B371" s="20" t="str">
        <f>IFERROR(__xludf.DUMMYFUNCTION("""COMPUTED_VALUE"""),"Range Addition")</f>
        <v>Range Addition</v>
      </c>
      <c r="C371" s="20" t="str">
        <f>IFERROR(__xludf.DUMMYFUNCTION("""COMPUTED_VALUE"""),"range-addition")</f>
        <v>range-addition</v>
      </c>
      <c r="D371" s="20" t="b">
        <f>IFERROR(__xludf.DUMMYFUNCTION("""COMPUTED_VALUE"""),TRUE)</f>
        <v>1</v>
      </c>
      <c r="E371" s="20" t="str">
        <f>IFERROR(__xludf.DUMMYFUNCTION("""COMPUTED_VALUE"""),"Medium")</f>
        <v>Medium</v>
      </c>
      <c r="F371" s="20">
        <f>IFERROR(__xludf.DUMMYFUNCTION("""COMPUTED_VALUE"""),1472.0)</f>
        <v>1472</v>
      </c>
      <c r="G371" s="20">
        <f>IFERROR(__xludf.DUMMYFUNCTION("""COMPUTED_VALUE"""),74.0)</f>
        <v>74</v>
      </c>
      <c r="H371" s="20" t="str">
        <f>IFERROR(__xludf.DUMMYFUNCTION("""COMPUTED_VALUE"""),"Algorithms")</f>
        <v>Algorithms</v>
      </c>
      <c r="I371" s="20">
        <f>IFERROR(__xludf.DUMMYFUNCTION("""COMPUTED_VALUE"""),0.71)</f>
        <v>0.71</v>
      </c>
      <c r="J371" s="20">
        <f>IFERROR(__xludf.DUMMYFUNCTION("""COMPUTED_VALUE"""),370.0)</f>
        <v>370</v>
      </c>
      <c r="K371" s="20" t="b">
        <f>IFERROR(__xludf.DUMMYFUNCTION("""COMPUTED_VALUE"""),TRUE)</f>
        <v>1</v>
      </c>
      <c r="L371" s="20" t="str">
        <f>IFERROR(__xludf.DUMMYFUNCTION("""COMPUTED_VALUE"""),"Array;Prefix Sum;")</f>
        <v>Array;Prefix Sum;</v>
      </c>
      <c r="M371" s="20" t="b">
        <f>IFERROR(__xludf.DUMMYFUNCTION("""COMPUTED_VALUE"""),TRUE)</f>
        <v>1</v>
      </c>
      <c r="N371" s="20" t="b">
        <f>IFERROR(__xludf.DUMMYFUNCTION("""COMPUTED_VALUE"""),FALSE)</f>
        <v>0</v>
      </c>
      <c r="O371" s="20">
        <f>IFERROR(__xludf.DUMMYFUNCTION("""COMPUTED_VALUE"""),71.0018261349641)</f>
        <v>71.00182613</v>
      </c>
      <c r="P371" s="20">
        <f>IFERROR(__xludf.DUMMYFUNCTION("""COMPUTED_VALUE"""),83593.0)</f>
        <v>83593</v>
      </c>
      <c r="Q371" s="20">
        <f>IFERROR(__xludf.DUMMYFUNCTION("""COMPUTED_VALUE"""),117734.0)</f>
        <v>117734</v>
      </c>
    </row>
    <row r="372">
      <c r="A372" s="20">
        <f>IFERROR(__xludf.DUMMYFUNCTION("""COMPUTED_VALUE"""),371.0)</f>
        <v>371</v>
      </c>
      <c r="B372" s="20" t="str">
        <f>IFERROR(__xludf.DUMMYFUNCTION("""COMPUTED_VALUE"""),"Sum of Two Integers")</f>
        <v>Sum of Two Integers</v>
      </c>
      <c r="C372" s="20" t="str">
        <f>IFERROR(__xludf.DUMMYFUNCTION("""COMPUTED_VALUE"""),"sum-of-two-integers")</f>
        <v>sum-of-two-integers</v>
      </c>
      <c r="D372" s="20" t="b">
        <f>IFERROR(__xludf.DUMMYFUNCTION("""COMPUTED_VALUE"""),FALSE)</f>
        <v>0</v>
      </c>
      <c r="E372" s="20" t="str">
        <f>IFERROR(__xludf.DUMMYFUNCTION("""COMPUTED_VALUE"""),"Medium")</f>
        <v>Medium</v>
      </c>
      <c r="F372" s="20">
        <f>IFERROR(__xludf.DUMMYFUNCTION("""COMPUTED_VALUE"""),3235.0)</f>
        <v>3235</v>
      </c>
      <c r="G372" s="20">
        <f>IFERROR(__xludf.DUMMYFUNCTION("""COMPUTED_VALUE"""),4552.0)</f>
        <v>4552</v>
      </c>
      <c r="H372" s="20" t="str">
        <f>IFERROR(__xludf.DUMMYFUNCTION("""COMPUTED_VALUE"""),"Algorithms")</f>
        <v>Algorithms</v>
      </c>
      <c r="I372" s="20">
        <f>IFERROR(__xludf.DUMMYFUNCTION("""COMPUTED_VALUE"""),0.507)</f>
        <v>0.507</v>
      </c>
      <c r="J372" s="20">
        <f>IFERROR(__xludf.DUMMYFUNCTION("""COMPUTED_VALUE"""),371.0)</f>
        <v>371</v>
      </c>
      <c r="K372" s="20" t="b">
        <f>IFERROR(__xludf.DUMMYFUNCTION("""COMPUTED_VALUE"""),FALSE)</f>
        <v>0</v>
      </c>
      <c r="L372" s="20" t="str">
        <f>IFERROR(__xludf.DUMMYFUNCTION("""COMPUTED_VALUE"""),"Math;Bit Manipulation;")</f>
        <v>Math;Bit Manipulation;</v>
      </c>
      <c r="M372" s="20" t="b">
        <f>IFERROR(__xludf.DUMMYFUNCTION("""COMPUTED_VALUE"""),TRUE)</f>
        <v>1</v>
      </c>
      <c r="N372" s="20" t="b">
        <f>IFERROR(__xludf.DUMMYFUNCTION("""COMPUTED_VALUE"""),FALSE)</f>
        <v>0</v>
      </c>
      <c r="O372" s="20">
        <f>IFERROR(__xludf.DUMMYFUNCTION("""COMPUTED_VALUE"""),50.6554699131007)</f>
        <v>50.65546991</v>
      </c>
      <c r="P372" s="20">
        <f>IFERROR(__xludf.DUMMYFUNCTION("""COMPUTED_VALUE"""),356921.0)</f>
        <v>356921</v>
      </c>
      <c r="Q372" s="20">
        <f>IFERROR(__xludf.DUMMYFUNCTION("""COMPUTED_VALUE"""),704607.0)</f>
        <v>704607</v>
      </c>
    </row>
    <row r="373">
      <c r="A373" s="20">
        <f>IFERROR(__xludf.DUMMYFUNCTION("""COMPUTED_VALUE"""),372.0)</f>
        <v>372</v>
      </c>
      <c r="B373" s="20" t="str">
        <f>IFERROR(__xludf.DUMMYFUNCTION("""COMPUTED_VALUE"""),"Super Pow")</f>
        <v>Super Pow</v>
      </c>
      <c r="C373" s="20" t="str">
        <f>IFERROR(__xludf.DUMMYFUNCTION("""COMPUTED_VALUE"""),"super-pow")</f>
        <v>super-pow</v>
      </c>
      <c r="D373" s="20" t="b">
        <f>IFERROR(__xludf.DUMMYFUNCTION("""COMPUTED_VALUE"""),FALSE)</f>
        <v>0</v>
      </c>
      <c r="E373" s="20" t="str">
        <f>IFERROR(__xludf.DUMMYFUNCTION("""COMPUTED_VALUE"""),"Medium")</f>
        <v>Medium</v>
      </c>
      <c r="F373" s="20">
        <f>IFERROR(__xludf.DUMMYFUNCTION("""COMPUTED_VALUE"""),644.0)</f>
        <v>644</v>
      </c>
      <c r="G373" s="20">
        <f>IFERROR(__xludf.DUMMYFUNCTION("""COMPUTED_VALUE"""),1248.0)</f>
        <v>1248</v>
      </c>
      <c r="H373" s="20" t="str">
        <f>IFERROR(__xludf.DUMMYFUNCTION("""COMPUTED_VALUE"""),"Algorithms")</f>
        <v>Algorithms</v>
      </c>
      <c r="I373" s="20">
        <f>IFERROR(__xludf.DUMMYFUNCTION("""COMPUTED_VALUE"""),0.369)</f>
        <v>0.369</v>
      </c>
      <c r="J373" s="20">
        <f>IFERROR(__xludf.DUMMYFUNCTION("""COMPUTED_VALUE"""),372.0)</f>
        <v>372</v>
      </c>
      <c r="K373" s="20" t="b">
        <f>IFERROR(__xludf.DUMMYFUNCTION("""COMPUTED_VALUE"""),FALSE)</f>
        <v>0</v>
      </c>
      <c r="L373" s="20" t="str">
        <f>IFERROR(__xludf.DUMMYFUNCTION("""COMPUTED_VALUE"""),"Math;Divide and Conquer;")</f>
        <v>Math;Divide and Conquer;</v>
      </c>
      <c r="M373" s="20" t="b">
        <f>IFERROR(__xludf.DUMMYFUNCTION("""COMPUTED_VALUE"""),FALSE)</f>
        <v>0</v>
      </c>
      <c r="N373" s="20" t="b">
        <f>IFERROR(__xludf.DUMMYFUNCTION("""COMPUTED_VALUE"""),FALSE)</f>
        <v>0</v>
      </c>
      <c r="O373" s="20">
        <f>IFERROR(__xludf.DUMMYFUNCTION("""COMPUTED_VALUE"""),36.9007007801137)</f>
        <v>36.90070078</v>
      </c>
      <c r="P373" s="20">
        <f>IFERROR(__xludf.DUMMYFUNCTION("""COMPUTED_VALUE"""),55815.0)</f>
        <v>55815</v>
      </c>
      <c r="Q373" s="20">
        <f>IFERROR(__xludf.DUMMYFUNCTION("""COMPUTED_VALUE"""),151258.0)</f>
        <v>151258</v>
      </c>
    </row>
    <row r="374">
      <c r="A374" s="20">
        <f>IFERROR(__xludf.DUMMYFUNCTION("""COMPUTED_VALUE"""),373.0)</f>
        <v>373</v>
      </c>
      <c r="B374" s="20" t="str">
        <f>IFERROR(__xludf.DUMMYFUNCTION("""COMPUTED_VALUE"""),"Find K Pairs with Smallest Sums")</f>
        <v>Find K Pairs with Smallest Sums</v>
      </c>
      <c r="C374" s="20" t="str">
        <f>IFERROR(__xludf.DUMMYFUNCTION("""COMPUTED_VALUE"""),"find-k-pairs-with-smallest-sums")</f>
        <v>find-k-pairs-with-smallest-sums</v>
      </c>
      <c r="D374" s="20" t="b">
        <f>IFERROR(__xludf.DUMMYFUNCTION("""COMPUTED_VALUE"""),FALSE)</f>
        <v>0</v>
      </c>
      <c r="E374" s="20" t="str">
        <f>IFERROR(__xludf.DUMMYFUNCTION("""COMPUTED_VALUE"""),"Medium")</f>
        <v>Medium</v>
      </c>
      <c r="F374" s="20">
        <f>IFERROR(__xludf.DUMMYFUNCTION("""COMPUTED_VALUE"""),3780.0)</f>
        <v>3780</v>
      </c>
      <c r="G374" s="20">
        <f>IFERROR(__xludf.DUMMYFUNCTION("""COMPUTED_VALUE"""),225.0)</f>
        <v>225</v>
      </c>
      <c r="H374" s="20" t="str">
        <f>IFERROR(__xludf.DUMMYFUNCTION("""COMPUTED_VALUE"""),"Algorithms")</f>
        <v>Algorithms</v>
      </c>
      <c r="I374" s="20">
        <f>IFERROR(__xludf.DUMMYFUNCTION("""COMPUTED_VALUE"""),0.383)</f>
        <v>0.383</v>
      </c>
      <c r="J374" s="20">
        <f>IFERROR(__xludf.DUMMYFUNCTION("""COMPUTED_VALUE"""),373.0)</f>
        <v>373</v>
      </c>
      <c r="K374" s="20" t="b">
        <f>IFERROR(__xludf.DUMMYFUNCTION("""COMPUTED_VALUE"""),FALSE)</f>
        <v>0</v>
      </c>
      <c r="L374" s="20" t="str">
        <f>IFERROR(__xludf.DUMMYFUNCTION("""COMPUTED_VALUE"""),"Array;Heap (Priority Queue);")</f>
        <v>Array;Heap (Priority Queue);</v>
      </c>
      <c r="M374" s="20" t="b">
        <f>IFERROR(__xludf.DUMMYFUNCTION("""COMPUTED_VALUE"""),FALSE)</f>
        <v>0</v>
      </c>
      <c r="N374" s="20" t="b">
        <f>IFERROR(__xludf.DUMMYFUNCTION("""COMPUTED_VALUE"""),FALSE)</f>
        <v>0</v>
      </c>
      <c r="O374" s="20">
        <f>IFERROR(__xludf.DUMMYFUNCTION("""COMPUTED_VALUE"""),38.2898965727845)</f>
        <v>38.28989657</v>
      </c>
      <c r="P374" s="20">
        <f>IFERROR(__xludf.DUMMYFUNCTION("""COMPUTED_VALUE"""),191214.0)</f>
        <v>191214</v>
      </c>
      <c r="Q374" s="20">
        <f>IFERROR(__xludf.DUMMYFUNCTION("""COMPUTED_VALUE"""),499384.0)</f>
        <v>499384</v>
      </c>
    </row>
    <row r="375">
      <c r="A375" s="20">
        <f>IFERROR(__xludf.DUMMYFUNCTION("""COMPUTED_VALUE"""),374.0)</f>
        <v>374</v>
      </c>
      <c r="B375" s="20" t="str">
        <f>IFERROR(__xludf.DUMMYFUNCTION("""COMPUTED_VALUE"""),"Guess Number Higher or Lower")</f>
        <v>Guess Number Higher or Lower</v>
      </c>
      <c r="C375" s="20" t="str">
        <f>IFERROR(__xludf.DUMMYFUNCTION("""COMPUTED_VALUE"""),"guess-number-higher-or-lower")</f>
        <v>guess-number-higher-or-lower</v>
      </c>
      <c r="D375" s="20" t="b">
        <f>IFERROR(__xludf.DUMMYFUNCTION("""COMPUTED_VALUE"""),FALSE)</f>
        <v>0</v>
      </c>
      <c r="E375" s="20" t="str">
        <f>IFERROR(__xludf.DUMMYFUNCTION("""COMPUTED_VALUE"""),"Easy")</f>
        <v>Easy</v>
      </c>
      <c r="F375" s="20">
        <f>IFERROR(__xludf.DUMMYFUNCTION("""COMPUTED_VALUE"""),2609.0)</f>
        <v>2609</v>
      </c>
      <c r="G375" s="20">
        <f>IFERROR(__xludf.DUMMYFUNCTION("""COMPUTED_VALUE"""),310.0)</f>
        <v>310</v>
      </c>
      <c r="H375" s="20" t="str">
        <f>IFERROR(__xludf.DUMMYFUNCTION("""COMPUTED_VALUE"""),"Algorithms")</f>
        <v>Algorithms</v>
      </c>
      <c r="I375" s="20">
        <f>IFERROR(__xludf.DUMMYFUNCTION("""COMPUTED_VALUE"""),0.515)</f>
        <v>0.515</v>
      </c>
      <c r="J375" s="20">
        <f>IFERROR(__xludf.DUMMYFUNCTION("""COMPUTED_VALUE"""),374.0)</f>
        <v>374</v>
      </c>
      <c r="K375" s="20" t="b">
        <f>IFERROR(__xludf.DUMMYFUNCTION("""COMPUTED_VALUE"""),FALSE)</f>
        <v>0</v>
      </c>
      <c r="L375" s="20" t="str">
        <f>IFERROR(__xludf.DUMMYFUNCTION("""COMPUTED_VALUE"""),"Binary Search;Interactive;")</f>
        <v>Binary Search;Interactive;</v>
      </c>
      <c r="M375" s="20" t="b">
        <f>IFERROR(__xludf.DUMMYFUNCTION("""COMPUTED_VALUE"""),TRUE)</f>
        <v>1</v>
      </c>
      <c r="N375" s="20" t="b">
        <f>IFERROR(__xludf.DUMMYFUNCTION("""COMPUTED_VALUE"""),TRUE)</f>
        <v>1</v>
      </c>
      <c r="O375" s="20">
        <f>IFERROR(__xludf.DUMMYFUNCTION("""COMPUTED_VALUE"""),51.4753947014364)</f>
        <v>51.4753947</v>
      </c>
      <c r="P375" s="20">
        <f>IFERROR(__xludf.DUMMYFUNCTION("""COMPUTED_VALUE"""),457204.0)</f>
        <v>457204</v>
      </c>
      <c r="Q375" s="20">
        <f>IFERROR(__xludf.DUMMYFUNCTION("""COMPUTED_VALUE"""),888201.0)</f>
        <v>888201</v>
      </c>
    </row>
    <row r="376">
      <c r="A376" s="20">
        <f>IFERROR(__xludf.DUMMYFUNCTION("""COMPUTED_VALUE"""),375.0)</f>
        <v>375</v>
      </c>
      <c r="B376" s="20" t="str">
        <f>IFERROR(__xludf.DUMMYFUNCTION("""COMPUTED_VALUE"""),"Guess Number Higher or Lower II")</f>
        <v>Guess Number Higher or Lower II</v>
      </c>
      <c r="C376" s="20" t="str">
        <f>IFERROR(__xludf.DUMMYFUNCTION("""COMPUTED_VALUE"""),"guess-number-higher-or-lower-ii")</f>
        <v>guess-number-higher-or-lower-ii</v>
      </c>
      <c r="D376" s="20" t="b">
        <f>IFERROR(__xludf.DUMMYFUNCTION("""COMPUTED_VALUE"""),FALSE)</f>
        <v>0</v>
      </c>
      <c r="E376" s="20" t="str">
        <f>IFERROR(__xludf.DUMMYFUNCTION("""COMPUTED_VALUE"""),"Medium")</f>
        <v>Medium</v>
      </c>
      <c r="F376" s="20">
        <f>IFERROR(__xludf.DUMMYFUNCTION("""COMPUTED_VALUE"""),1756.0)</f>
        <v>1756</v>
      </c>
      <c r="G376" s="20">
        <f>IFERROR(__xludf.DUMMYFUNCTION("""COMPUTED_VALUE"""),1938.0)</f>
        <v>1938</v>
      </c>
      <c r="H376" s="20" t="str">
        <f>IFERROR(__xludf.DUMMYFUNCTION("""COMPUTED_VALUE"""),"Algorithms")</f>
        <v>Algorithms</v>
      </c>
      <c r="I376" s="20">
        <f>IFERROR(__xludf.DUMMYFUNCTION("""COMPUTED_VALUE"""),0.465)</f>
        <v>0.465</v>
      </c>
      <c r="J376" s="20">
        <f>IFERROR(__xludf.DUMMYFUNCTION("""COMPUTED_VALUE"""),375.0)</f>
        <v>375</v>
      </c>
      <c r="K376" s="20" t="b">
        <f>IFERROR(__xludf.DUMMYFUNCTION("""COMPUTED_VALUE"""),FALSE)</f>
        <v>0</v>
      </c>
      <c r="L376" s="20" t="str">
        <f>IFERROR(__xludf.DUMMYFUNCTION("""COMPUTED_VALUE"""),"Math;Dynamic Programming;Game Theory;")</f>
        <v>Math;Dynamic Programming;Game Theory;</v>
      </c>
      <c r="M376" s="20" t="b">
        <f>IFERROR(__xludf.DUMMYFUNCTION("""COMPUTED_VALUE"""),FALSE)</f>
        <v>0</v>
      </c>
      <c r="N376" s="20" t="b">
        <f>IFERROR(__xludf.DUMMYFUNCTION("""COMPUTED_VALUE"""),FALSE)</f>
        <v>0</v>
      </c>
      <c r="O376" s="20">
        <f>IFERROR(__xludf.DUMMYFUNCTION("""COMPUTED_VALUE"""),46.5498996533479)</f>
        <v>46.54989965</v>
      </c>
      <c r="P376" s="20">
        <f>IFERROR(__xludf.DUMMYFUNCTION("""COMPUTED_VALUE"""),102056.0)</f>
        <v>102056</v>
      </c>
      <c r="Q376" s="20">
        <f>IFERROR(__xludf.DUMMYFUNCTION("""COMPUTED_VALUE"""),219240.0)</f>
        <v>219240</v>
      </c>
    </row>
    <row r="377">
      <c r="A377" s="20">
        <f>IFERROR(__xludf.DUMMYFUNCTION("""COMPUTED_VALUE"""),376.0)</f>
        <v>376</v>
      </c>
      <c r="B377" s="20" t="str">
        <f>IFERROR(__xludf.DUMMYFUNCTION("""COMPUTED_VALUE"""),"Wiggle Subsequence")</f>
        <v>Wiggle Subsequence</v>
      </c>
      <c r="C377" s="20" t="str">
        <f>IFERROR(__xludf.DUMMYFUNCTION("""COMPUTED_VALUE"""),"wiggle-subsequence")</f>
        <v>wiggle-subsequence</v>
      </c>
      <c r="D377" s="20" t="b">
        <f>IFERROR(__xludf.DUMMYFUNCTION("""COMPUTED_VALUE"""),FALSE)</f>
        <v>0</v>
      </c>
      <c r="E377" s="20" t="str">
        <f>IFERROR(__xludf.DUMMYFUNCTION("""COMPUTED_VALUE"""),"Medium")</f>
        <v>Medium</v>
      </c>
      <c r="F377" s="20">
        <f>IFERROR(__xludf.DUMMYFUNCTION("""COMPUTED_VALUE"""),4494.0)</f>
        <v>4494</v>
      </c>
      <c r="G377" s="20">
        <f>IFERROR(__xludf.DUMMYFUNCTION("""COMPUTED_VALUE"""),145.0)</f>
        <v>145</v>
      </c>
      <c r="H377" s="20" t="str">
        <f>IFERROR(__xludf.DUMMYFUNCTION("""COMPUTED_VALUE"""),"Algorithms")</f>
        <v>Algorithms</v>
      </c>
      <c r="I377" s="20">
        <f>IFERROR(__xludf.DUMMYFUNCTION("""COMPUTED_VALUE"""),0.483)</f>
        <v>0.483</v>
      </c>
      <c r="J377" s="20">
        <f>IFERROR(__xludf.DUMMYFUNCTION("""COMPUTED_VALUE"""),376.0)</f>
        <v>376</v>
      </c>
      <c r="K377" s="20" t="b">
        <f>IFERROR(__xludf.DUMMYFUNCTION("""COMPUTED_VALUE"""),FALSE)</f>
        <v>0</v>
      </c>
      <c r="L377" s="20" t="str">
        <f>IFERROR(__xludf.DUMMYFUNCTION("""COMPUTED_VALUE"""),"Array;Dynamic Programming;Greedy;")</f>
        <v>Array;Dynamic Programming;Greedy;</v>
      </c>
      <c r="M377" s="20" t="b">
        <f>IFERROR(__xludf.DUMMYFUNCTION("""COMPUTED_VALUE"""),TRUE)</f>
        <v>1</v>
      </c>
      <c r="N377" s="20" t="b">
        <f>IFERROR(__xludf.DUMMYFUNCTION("""COMPUTED_VALUE"""),FALSE)</f>
        <v>0</v>
      </c>
      <c r="O377" s="20">
        <f>IFERROR(__xludf.DUMMYFUNCTION("""COMPUTED_VALUE"""),48.2727918606028)</f>
        <v>48.27279186</v>
      </c>
      <c r="P377" s="20">
        <f>IFERROR(__xludf.DUMMYFUNCTION("""COMPUTED_VALUE"""),211986.0)</f>
        <v>211986</v>
      </c>
      <c r="Q377" s="20">
        <f>IFERROR(__xludf.DUMMYFUNCTION("""COMPUTED_VALUE"""),439143.0)</f>
        <v>439143</v>
      </c>
    </row>
    <row r="378">
      <c r="A378" s="20">
        <f>IFERROR(__xludf.DUMMYFUNCTION("""COMPUTED_VALUE"""),377.0)</f>
        <v>377</v>
      </c>
      <c r="B378" s="20" t="str">
        <f>IFERROR(__xludf.DUMMYFUNCTION("""COMPUTED_VALUE"""),"Combination Sum IV")</f>
        <v>Combination Sum IV</v>
      </c>
      <c r="C378" s="20" t="str">
        <f>IFERROR(__xludf.DUMMYFUNCTION("""COMPUTED_VALUE"""),"combination-sum-iv")</f>
        <v>combination-sum-iv</v>
      </c>
      <c r="D378" s="20" t="b">
        <f>IFERROR(__xludf.DUMMYFUNCTION("""COMPUTED_VALUE"""),FALSE)</f>
        <v>0</v>
      </c>
      <c r="E378" s="20" t="str">
        <f>IFERROR(__xludf.DUMMYFUNCTION("""COMPUTED_VALUE"""),"Medium")</f>
        <v>Medium</v>
      </c>
      <c r="F378" s="20">
        <f>IFERROR(__xludf.DUMMYFUNCTION("""COMPUTED_VALUE"""),5400.0)</f>
        <v>5400</v>
      </c>
      <c r="G378" s="20">
        <f>IFERROR(__xludf.DUMMYFUNCTION("""COMPUTED_VALUE"""),556.0)</f>
        <v>556</v>
      </c>
      <c r="H378" s="20" t="str">
        <f>IFERROR(__xludf.DUMMYFUNCTION("""COMPUTED_VALUE"""),"Algorithms")</f>
        <v>Algorithms</v>
      </c>
      <c r="I378" s="20">
        <f>IFERROR(__xludf.DUMMYFUNCTION("""COMPUTED_VALUE"""),0.522)</f>
        <v>0.522</v>
      </c>
      <c r="J378" s="20">
        <f>IFERROR(__xludf.DUMMYFUNCTION("""COMPUTED_VALUE"""),377.0)</f>
        <v>377</v>
      </c>
      <c r="K378" s="20" t="b">
        <f>IFERROR(__xludf.DUMMYFUNCTION("""COMPUTED_VALUE"""),FALSE)</f>
        <v>0</v>
      </c>
      <c r="L378" s="20" t="str">
        <f>IFERROR(__xludf.DUMMYFUNCTION("""COMPUTED_VALUE"""),"Array;Dynamic Programming;")</f>
        <v>Array;Dynamic Programming;</v>
      </c>
      <c r="M378" s="20" t="b">
        <f>IFERROR(__xludf.DUMMYFUNCTION("""COMPUTED_VALUE"""),TRUE)</f>
        <v>1</v>
      </c>
      <c r="N378" s="20" t="b">
        <f>IFERROR(__xludf.DUMMYFUNCTION("""COMPUTED_VALUE"""),FALSE)</f>
        <v>0</v>
      </c>
      <c r="O378" s="20">
        <f>IFERROR(__xludf.DUMMYFUNCTION("""COMPUTED_VALUE"""),52.1561484840798)</f>
        <v>52.15614848</v>
      </c>
      <c r="P378" s="20">
        <f>IFERROR(__xludf.DUMMYFUNCTION("""COMPUTED_VALUE"""),341337.0)</f>
        <v>341337</v>
      </c>
      <c r="Q378" s="20">
        <f>IFERROR(__xludf.DUMMYFUNCTION("""COMPUTED_VALUE"""),654452.0)</f>
        <v>654452</v>
      </c>
    </row>
    <row r="379">
      <c r="A379" s="20">
        <f>IFERROR(__xludf.DUMMYFUNCTION("""COMPUTED_VALUE"""),378.0)</f>
        <v>378</v>
      </c>
      <c r="B379" s="20" t="str">
        <f>IFERROR(__xludf.DUMMYFUNCTION("""COMPUTED_VALUE"""),"Kth Smallest Element in a Sorted Matrix")</f>
        <v>Kth Smallest Element in a Sorted Matrix</v>
      </c>
      <c r="C379" s="20" t="str">
        <f>IFERROR(__xludf.DUMMYFUNCTION("""COMPUTED_VALUE"""),"kth-smallest-element-in-a-sorted-matrix")</f>
        <v>kth-smallest-element-in-a-sorted-matrix</v>
      </c>
      <c r="D379" s="20" t="b">
        <f>IFERROR(__xludf.DUMMYFUNCTION("""COMPUTED_VALUE"""),FALSE)</f>
        <v>0</v>
      </c>
      <c r="E379" s="20" t="str">
        <f>IFERROR(__xludf.DUMMYFUNCTION("""COMPUTED_VALUE"""),"Medium")</f>
        <v>Medium</v>
      </c>
      <c r="F379" s="20">
        <f>IFERROR(__xludf.DUMMYFUNCTION("""COMPUTED_VALUE"""),8522.0)</f>
        <v>8522</v>
      </c>
      <c r="G379" s="20">
        <f>IFERROR(__xludf.DUMMYFUNCTION("""COMPUTED_VALUE"""),300.0)</f>
        <v>300</v>
      </c>
      <c r="H379" s="20" t="str">
        <f>IFERROR(__xludf.DUMMYFUNCTION("""COMPUTED_VALUE"""),"Algorithms")</f>
        <v>Algorithms</v>
      </c>
      <c r="I379" s="20">
        <f>IFERROR(__xludf.DUMMYFUNCTION("""COMPUTED_VALUE"""),0.617)</f>
        <v>0.617</v>
      </c>
      <c r="J379" s="20">
        <f>IFERROR(__xludf.DUMMYFUNCTION("""COMPUTED_VALUE"""),378.0)</f>
        <v>378</v>
      </c>
      <c r="K379" s="20" t="b">
        <f>IFERROR(__xludf.DUMMYFUNCTION("""COMPUTED_VALUE"""),FALSE)</f>
        <v>0</v>
      </c>
      <c r="L379" s="20" t="str">
        <f>IFERROR(__xludf.DUMMYFUNCTION("""COMPUTED_VALUE"""),"Array;Binary Search;Sorting;Heap (Priority Queue);Matrix;")</f>
        <v>Array;Binary Search;Sorting;Heap (Priority Queue);Matrix;</v>
      </c>
      <c r="M379" s="20" t="b">
        <f>IFERROR(__xludf.DUMMYFUNCTION("""COMPUTED_VALUE"""),TRUE)</f>
        <v>1</v>
      </c>
      <c r="N379" s="20" t="b">
        <f>IFERROR(__xludf.DUMMYFUNCTION("""COMPUTED_VALUE"""),FALSE)</f>
        <v>0</v>
      </c>
      <c r="O379" s="20">
        <f>IFERROR(__xludf.DUMMYFUNCTION("""COMPUTED_VALUE"""),61.6906888361617)</f>
        <v>61.69068884</v>
      </c>
      <c r="P379" s="20">
        <f>IFERROR(__xludf.DUMMYFUNCTION("""COMPUTED_VALUE"""),512457.0)</f>
        <v>512457</v>
      </c>
      <c r="Q379" s="20">
        <f>IFERROR(__xludf.DUMMYFUNCTION("""COMPUTED_VALUE"""),830684.0)</f>
        <v>830684</v>
      </c>
    </row>
    <row r="380">
      <c r="A380" s="20">
        <f>IFERROR(__xludf.DUMMYFUNCTION("""COMPUTED_VALUE"""),379.0)</f>
        <v>379</v>
      </c>
      <c r="B380" s="20" t="str">
        <f>IFERROR(__xludf.DUMMYFUNCTION("""COMPUTED_VALUE"""),"Design Phone Directory")</f>
        <v>Design Phone Directory</v>
      </c>
      <c r="C380" s="20" t="str">
        <f>IFERROR(__xludf.DUMMYFUNCTION("""COMPUTED_VALUE"""),"design-phone-directory")</f>
        <v>design-phone-directory</v>
      </c>
      <c r="D380" s="20" t="b">
        <f>IFERROR(__xludf.DUMMYFUNCTION("""COMPUTED_VALUE"""),TRUE)</f>
        <v>1</v>
      </c>
      <c r="E380" s="20" t="str">
        <f>IFERROR(__xludf.DUMMYFUNCTION("""COMPUTED_VALUE"""),"Medium")</f>
        <v>Medium</v>
      </c>
      <c r="F380" s="20">
        <f>IFERROR(__xludf.DUMMYFUNCTION("""COMPUTED_VALUE"""),306.0)</f>
        <v>306</v>
      </c>
      <c r="G380" s="20">
        <f>IFERROR(__xludf.DUMMYFUNCTION("""COMPUTED_VALUE"""),435.0)</f>
        <v>435</v>
      </c>
      <c r="H380" s="20" t="str">
        <f>IFERROR(__xludf.DUMMYFUNCTION("""COMPUTED_VALUE"""),"Algorithms")</f>
        <v>Algorithms</v>
      </c>
      <c r="I380" s="20">
        <f>IFERROR(__xludf.DUMMYFUNCTION("""COMPUTED_VALUE"""),0.51)</f>
        <v>0.51</v>
      </c>
      <c r="J380" s="20">
        <f>IFERROR(__xludf.DUMMYFUNCTION("""COMPUTED_VALUE"""),379.0)</f>
        <v>379</v>
      </c>
      <c r="K380" s="20" t="b">
        <f>IFERROR(__xludf.DUMMYFUNCTION("""COMPUTED_VALUE"""),TRUE)</f>
        <v>1</v>
      </c>
      <c r="L380" s="20" t="str">
        <f>IFERROR(__xludf.DUMMYFUNCTION("""COMPUTED_VALUE"""),"Array;Hash Table;Linked List;Design;Queue;")</f>
        <v>Array;Hash Table;Linked List;Design;Queue;</v>
      </c>
      <c r="M380" s="20" t="b">
        <f>IFERROR(__xludf.DUMMYFUNCTION("""COMPUTED_VALUE"""),FALSE)</f>
        <v>0</v>
      </c>
      <c r="N380" s="20" t="b">
        <f>IFERROR(__xludf.DUMMYFUNCTION("""COMPUTED_VALUE"""),FALSE)</f>
        <v>0</v>
      </c>
      <c r="O380" s="20">
        <f>IFERROR(__xludf.DUMMYFUNCTION("""COMPUTED_VALUE"""),51.0178582053396)</f>
        <v>51.01785821</v>
      </c>
      <c r="P380" s="20">
        <f>IFERROR(__xludf.DUMMYFUNCTION("""COMPUTED_VALUE"""),60022.0)</f>
        <v>60022</v>
      </c>
      <c r="Q380" s="20">
        <f>IFERROR(__xludf.DUMMYFUNCTION("""COMPUTED_VALUE"""),117649.0)</f>
        <v>117649</v>
      </c>
    </row>
    <row r="381">
      <c r="A381" s="20">
        <f>IFERROR(__xludf.DUMMYFUNCTION("""COMPUTED_VALUE"""),380.0)</f>
        <v>380</v>
      </c>
      <c r="B381" s="20" t="str">
        <f>IFERROR(__xludf.DUMMYFUNCTION("""COMPUTED_VALUE"""),"Insert Delete GetRandom O(1)")</f>
        <v>Insert Delete GetRandom O(1)</v>
      </c>
      <c r="C381" s="20" t="str">
        <f>IFERROR(__xludf.DUMMYFUNCTION("""COMPUTED_VALUE"""),"insert-delete-getrandom-o1")</f>
        <v>insert-delete-getrandom-o1</v>
      </c>
      <c r="D381" s="20" t="b">
        <f>IFERROR(__xludf.DUMMYFUNCTION("""COMPUTED_VALUE"""),FALSE)</f>
        <v>0</v>
      </c>
      <c r="E381" s="20" t="str">
        <f>IFERROR(__xludf.DUMMYFUNCTION("""COMPUTED_VALUE"""),"Medium")</f>
        <v>Medium</v>
      </c>
      <c r="F381" s="20">
        <f>IFERROR(__xludf.DUMMYFUNCTION("""COMPUTED_VALUE"""),7142.0)</f>
        <v>7142</v>
      </c>
      <c r="G381" s="20">
        <f>IFERROR(__xludf.DUMMYFUNCTION("""COMPUTED_VALUE"""),363.0)</f>
        <v>363</v>
      </c>
      <c r="H381" s="20" t="str">
        <f>IFERROR(__xludf.DUMMYFUNCTION("""COMPUTED_VALUE"""),"Algorithms")</f>
        <v>Algorithms</v>
      </c>
      <c r="I381" s="20">
        <f>IFERROR(__xludf.DUMMYFUNCTION("""COMPUTED_VALUE"""),0.528)</f>
        <v>0.528</v>
      </c>
      <c r="J381" s="20">
        <f>IFERROR(__xludf.DUMMYFUNCTION("""COMPUTED_VALUE"""),380.0)</f>
        <v>380</v>
      </c>
      <c r="K381" s="20" t="b">
        <f>IFERROR(__xludf.DUMMYFUNCTION("""COMPUTED_VALUE"""),FALSE)</f>
        <v>0</v>
      </c>
      <c r="L381" s="20" t="str">
        <f>IFERROR(__xludf.DUMMYFUNCTION("""COMPUTED_VALUE"""),"Array;Hash Table;Math;Design;Randomized;")</f>
        <v>Array;Hash Table;Math;Design;Randomized;</v>
      </c>
      <c r="M381" s="20" t="b">
        <f>IFERROR(__xludf.DUMMYFUNCTION("""COMPUTED_VALUE"""),TRUE)</f>
        <v>1</v>
      </c>
      <c r="N381" s="20" t="b">
        <f>IFERROR(__xludf.DUMMYFUNCTION("""COMPUTED_VALUE"""),FALSE)</f>
        <v>0</v>
      </c>
      <c r="O381" s="20">
        <f>IFERROR(__xludf.DUMMYFUNCTION("""COMPUTED_VALUE"""),52.8469643610777)</f>
        <v>52.84696436</v>
      </c>
      <c r="P381" s="20">
        <f>IFERROR(__xludf.DUMMYFUNCTION("""COMPUTED_VALUE"""),596044.0)</f>
        <v>596044</v>
      </c>
      <c r="Q381" s="20">
        <f>IFERROR(__xludf.DUMMYFUNCTION("""COMPUTED_VALUE"""),1127868.0)</f>
        <v>1127868</v>
      </c>
    </row>
    <row r="382">
      <c r="A382" s="20">
        <f>IFERROR(__xludf.DUMMYFUNCTION("""COMPUTED_VALUE"""),381.0)</f>
        <v>381</v>
      </c>
      <c r="B382" s="20" t="str">
        <f>IFERROR(__xludf.DUMMYFUNCTION("""COMPUTED_VALUE"""),"Insert Delete GetRandom O(1) - Duplicates allowed")</f>
        <v>Insert Delete GetRandom O(1) - Duplicates allowed</v>
      </c>
      <c r="C382" s="20" t="str">
        <f>IFERROR(__xludf.DUMMYFUNCTION("""COMPUTED_VALUE"""),"insert-delete-getrandom-o1-duplicates-allowed")</f>
        <v>insert-delete-getrandom-o1-duplicates-allowed</v>
      </c>
      <c r="D382" s="20" t="b">
        <f>IFERROR(__xludf.DUMMYFUNCTION("""COMPUTED_VALUE"""),FALSE)</f>
        <v>0</v>
      </c>
      <c r="E382" s="20" t="str">
        <f>IFERROR(__xludf.DUMMYFUNCTION("""COMPUTED_VALUE"""),"Hard")</f>
        <v>Hard</v>
      </c>
      <c r="F382" s="20">
        <f>IFERROR(__xludf.DUMMYFUNCTION("""COMPUTED_VALUE"""),1966.0)</f>
        <v>1966</v>
      </c>
      <c r="G382" s="20">
        <f>IFERROR(__xludf.DUMMYFUNCTION("""COMPUTED_VALUE"""),132.0)</f>
        <v>132</v>
      </c>
      <c r="H382" s="20" t="str">
        <f>IFERROR(__xludf.DUMMYFUNCTION("""COMPUTED_VALUE"""),"Algorithms")</f>
        <v>Algorithms</v>
      </c>
      <c r="I382" s="20">
        <f>IFERROR(__xludf.DUMMYFUNCTION("""COMPUTED_VALUE"""),0.356)</f>
        <v>0.356</v>
      </c>
      <c r="J382" s="20">
        <f>IFERROR(__xludf.DUMMYFUNCTION("""COMPUTED_VALUE"""),381.0)</f>
        <v>381</v>
      </c>
      <c r="K382" s="20" t="b">
        <f>IFERROR(__xludf.DUMMYFUNCTION("""COMPUTED_VALUE"""),FALSE)</f>
        <v>0</v>
      </c>
      <c r="L382" s="20" t="str">
        <f>IFERROR(__xludf.DUMMYFUNCTION("""COMPUTED_VALUE"""),"Array;Hash Table;Math;Design;Randomized;")</f>
        <v>Array;Hash Table;Math;Design;Randomized;</v>
      </c>
      <c r="M382" s="20" t="b">
        <f>IFERROR(__xludf.DUMMYFUNCTION("""COMPUTED_VALUE"""),TRUE)</f>
        <v>1</v>
      </c>
      <c r="N382" s="20" t="b">
        <f>IFERROR(__xludf.DUMMYFUNCTION("""COMPUTED_VALUE"""),FALSE)</f>
        <v>0</v>
      </c>
      <c r="O382" s="20">
        <f>IFERROR(__xludf.DUMMYFUNCTION("""COMPUTED_VALUE"""),35.6010407632263)</f>
        <v>35.60104076</v>
      </c>
      <c r="P382" s="20">
        <f>IFERROR(__xludf.DUMMYFUNCTION("""COMPUTED_VALUE"""),123144.0)</f>
        <v>123144</v>
      </c>
      <c r="Q382" s="20">
        <f>IFERROR(__xludf.DUMMYFUNCTION("""COMPUTED_VALUE"""),345900.0)</f>
        <v>345900</v>
      </c>
    </row>
    <row r="383">
      <c r="A383" s="20">
        <f>IFERROR(__xludf.DUMMYFUNCTION("""COMPUTED_VALUE"""),382.0)</f>
        <v>382</v>
      </c>
      <c r="B383" s="20" t="str">
        <f>IFERROR(__xludf.DUMMYFUNCTION("""COMPUTED_VALUE"""),"Linked List Random Node")</f>
        <v>Linked List Random Node</v>
      </c>
      <c r="C383" s="20" t="str">
        <f>IFERROR(__xludf.DUMMYFUNCTION("""COMPUTED_VALUE"""),"linked-list-random-node")</f>
        <v>linked-list-random-node</v>
      </c>
      <c r="D383" s="20" t="b">
        <f>IFERROR(__xludf.DUMMYFUNCTION("""COMPUTED_VALUE"""),FALSE)</f>
        <v>0</v>
      </c>
      <c r="E383" s="20" t="str">
        <f>IFERROR(__xludf.DUMMYFUNCTION("""COMPUTED_VALUE"""),"Medium")</f>
        <v>Medium</v>
      </c>
      <c r="F383" s="20">
        <f>IFERROR(__xludf.DUMMYFUNCTION("""COMPUTED_VALUE"""),1923.0)</f>
        <v>1923</v>
      </c>
      <c r="G383" s="20">
        <f>IFERROR(__xludf.DUMMYFUNCTION("""COMPUTED_VALUE"""),467.0)</f>
        <v>467</v>
      </c>
      <c r="H383" s="20" t="str">
        <f>IFERROR(__xludf.DUMMYFUNCTION("""COMPUTED_VALUE"""),"Algorithms")</f>
        <v>Algorithms</v>
      </c>
      <c r="I383" s="20">
        <f>IFERROR(__xludf.DUMMYFUNCTION("""COMPUTED_VALUE"""),0.596)</f>
        <v>0.596</v>
      </c>
      <c r="J383" s="20">
        <f>IFERROR(__xludf.DUMMYFUNCTION("""COMPUTED_VALUE"""),382.0)</f>
        <v>382</v>
      </c>
      <c r="K383" s="20" t="b">
        <f>IFERROR(__xludf.DUMMYFUNCTION("""COMPUTED_VALUE"""),FALSE)</f>
        <v>0</v>
      </c>
      <c r="L383" s="20" t="str">
        <f>IFERROR(__xludf.DUMMYFUNCTION("""COMPUTED_VALUE"""),"Linked List;Math;Reservoir Sampling;Randomized;")</f>
        <v>Linked List;Math;Reservoir Sampling;Randomized;</v>
      </c>
      <c r="M383" s="20" t="b">
        <f>IFERROR(__xludf.DUMMYFUNCTION("""COMPUTED_VALUE"""),TRUE)</f>
        <v>1</v>
      </c>
      <c r="N383" s="20" t="b">
        <f>IFERROR(__xludf.DUMMYFUNCTION("""COMPUTED_VALUE"""),FALSE)</f>
        <v>0</v>
      </c>
      <c r="O383" s="20">
        <f>IFERROR(__xludf.DUMMYFUNCTION("""COMPUTED_VALUE"""),59.6093031436769)</f>
        <v>59.60930314</v>
      </c>
      <c r="P383" s="20">
        <f>IFERROR(__xludf.DUMMYFUNCTION("""COMPUTED_VALUE"""),162672.0)</f>
        <v>162672</v>
      </c>
      <c r="Q383" s="20">
        <f>IFERROR(__xludf.DUMMYFUNCTION("""COMPUTED_VALUE"""),272897.0)</f>
        <v>272897</v>
      </c>
    </row>
    <row r="384">
      <c r="A384" s="20">
        <f>IFERROR(__xludf.DUMMYFUNCTION("""COMPUTED_VALUE"""),383.0)</f>
        <v>383</v>
      </c>
      <c r="B384" s="20" t="str">
        <f>IFERROR(__xludf.DUMMYFUNCTION("""COMPUTED_VALUE"""),"Ransom Note")</f>
        <v>Ransom Note</v>
      </c>
      <c r="C384" s="20" t="str">
        <f>IFERROR(__xludf.DUMMYFUNCTION("""COMPUTED_VALUE"""),"ransom-note")</f>
        <v>ransom-note</v>
      </c>
      <c r="D384" s="20" t="b">
        <f>IFERROR(__xludf.DUMMYFUNCTION("""COMPUTED_VALUE"""),FALSE)</f>
        <v>0</v>
      </c>
      <c r="E384" s="20" t="str">
        <f>IFERROR(__xludf.DUMMYFUNCTION("""COMPUTED_VALUE"""),"Easy")</f>
        <v>Easy</v>
      </c>
      <c r="F384" s="20">
        <f>IFERROR(__xludf.DUMMYFUNCTION("""COMPUTED_VALUE"""),3474.0)</f>
        <v>3474</v>
      </c>
      <c r="G384" s="20">
        <f>IFERROR(__xludf.DUMMYFUNCTION("""COMPUTED_VALUE"""),391.0)</f>
        <v>391</v>
      </c>
      <c r="H384" s="20" t="str">
        <f>IFERROR(__xludf.DUMMYFUNCTION("""COMPUTED_VALUE"""),"Algorithms")</f>
        <v>Algorithms</v>
      </c>
      <c r="I384" s="20">
        <f>IFERROR(__xludf.DUMMYFUNCTION("""COMPUTED_VALUE"""),0.578)</f>
        <v>0.578</v>
      </c>
      <c r="J384" s="20">
        <f>IFERROR(__xludf.DUMMYFUNCTION("""COMPUTED_VALUE"""),383.0)</f>
        <v>383</v>
      </c>
      <c r="K384" s="20" t="b">
        <f>IFERROR(__xludf.DUMMYFUNCTION("""COMPUTED_VALUE"""),FALSE)</f>
        <v>0</v>
      </c>
      <c r="L384" s="20" t="str">
        <f>IFERROR(__xludf.DUMMYFUNCTION("""COMPUTED_VALUE"""),"Hash Table;String;Counting;")</f>
        <v>Hash Table;String;Counting;</v>
      </c>
      <c r="M384" s="20" t="b">
        <f>IFERROR(__xludf.DUMMYFUNCTION("""COMPUTED_VALUE"""),TRUE)</f>
        <v>1</v>
      </c>
      <c r="N384" s="20" t="b">
        <f>IFERROR(__xludf.DUMMYFUNCTION("""COMPUTED_VALUE"""),TRUE)</f>
        <v>1</v>
      </c>
      <c r="O384" s="20">
        <f>IFERROR(__xludf.DUMMYFUNCTION("""COMPUTED_VALUE"""),57.7568468790445)</f>
        <v>57.75684688</v>
      </c>
      <c r="P384" s="20">
        <f>IFERROR(__xludf.DUMMYFUNCTION("""COMPUTED_VALUE"""),665801.0)</f>
        <v>665801</v>
      </c>
      <c r="Q384" s="20">
        <f>IFERROR(__xludf.DUMMYFUNCTION("""COMPUTED_VALUE"""),1152760.0)</f>
        <v>1152760</v>
      </c>
    </row>
    <row r="385">
      <c r="A385" s="20">
        <f>IFERROR(__xludf.DUMMYFUNCTION("""COMPUTED_VALUE"""),384.0)</f>
        <v>384</v>
      </c>
      <c r="B385" s="20" t="str">
        <f>IFERROR(__xludf.DUMMYFUNCTION("""COMPUTED_VALUE"""),"Shuffle an Array")</f>
        <v>Shuffle an Array</v>
      </c>
      <c r="C385" s="20" t="str">
        <f>IFERROR(__xludf.DUMMYFUNCTION("""COMPUTED_VALUE"""),"shuffle-an-array")</f>
        <v>shuffle-an-array</v>
      </c>
      <c r="D385" s="20" t="b">
        <f>IFERROR(__xludf.DUMMYFUNCTION("""COMPUTED_VALUE"""),FALSE)</f>
        <v>0</v>
      </c>
      <c r="E385" s="20" t="str">
        <f>IFERROR(__xludf.DUMMYFUNCTION("""COMPUTED_VALUE"""),"Medium")</f>
        <v>Medium</v>
      </c>
      <c r="F385" s="20">
        <f>IFERROR(__xludf.DUMMYFUNCTION("""COMPUTED_VALUE"""),1051.0)</f>
        <v>1051</v>
      </c>
      <c r="G385" s="20">
        <f>IFERROR(__xludf.DUMMYFUNCTION("""COMPUTED_VALUE"""),805.0)</f>
        <v>805</v>
      </c>
      <c r="H385" s="20" t="str">
        <f>IFERROR(__xludf.DUMMYFUNCTION("""COMPUTED_VALUE"""),"Algorithms")</f>
        <v>Algorithms</v>
      </c>
      <c r="I385" s="20">
        <f>IFERROR(__xludf.DUMMYFUNCTION("""COMPUTED_VALUE"""),0.578)</f>
        <v>0.578</v>
      </c>
      <c r="J385" s="20">
        <f>IFERROR(__xludf.DUMMYFUNCTION("""COMPUTED_VALUE"""),384.0)</f>
        <v>384</v>
      </c>
      <c r="K385" s="20" t="b">
        <f>IFERROR(__xludf.DUMMYFUNCTION("""COMPUTED_VALUE"""),FALSE)</f>
        <v>0</v>
      </c>
      <c r="L385" s="20" t="str">
        <f>IFERROR(__xludf.DUMMYFUNCTION("""COMPUTED_VALUE"""),"Array;Math;Randomized;")</f>
        <v>Array;Math;Randomized;</v>
      </c>
      <c r="M385" s="20" t="b">
        <f>IFERROR(__xludf.DUMMYFUNCTION("""COMPUTED_VALUE"""),TRUE)</f>
        <v>1</v>
      </c>
      <c r="N385" s="20" t="b">
        <f>IFERROR(__xludf.DUMMYFUNCTION("""COMPUTED_VALUE"""),FALSE)</f>
        <v>0</v>
      </c>
      <c r="O385" s="20">
        <f>IFERROR(__xludf.DUMMYFUNCTION("""COMPUTED_VALUE"""),57.7767011410152)</f>
        <v>57.77670114</v>
      </c>
      <c r="P385" s="20">
        <f>IFERROR(__xludf.DUMMYFUNCTION("""COMPUTED_VALUE"""),292171.0)</f>
        <v>292171</v>
      </c>
      <c r="Q385" s="20">
        <f>IFERROR(__xludf.DUMMYFUNCTION("""COMPUTED_VALUE"""),505690.0)</f>
        <v>505690</v>
      </c>
    </row>
    <row r="386">
      <c r="A386" s="20">
        <f>IFERROR(__xludf.DUMMYFUNCTION("""COMPUTED_VALUE"""),385.0)</f>
        <v>385</v>
      </c>
      <c r="B386" s="20" t="str">
        <f>IFERROR(__xludf.DUMMYFUNCTION("""COMPUTED_VALUE"""),"Mini Parser")</f>
        <v>Mini Parser</v>
      </c>
      <c r="C386" s="20" t="str">
        <f>IFERROR(__xludf.DUMMYFUNCTION("""COMPUTED_VALUE"""),"mini-parser")</f>
        <v>mini-parser</v>
      </c>
      <c r="D386" s="20" t="b">
        <f>IFERROR(__xludf.DUMMYFUNCTION("""COMPUTED_VALUE"""),FALSE)</f>
        <v>0</v>
      </c>
      <c r="E386" s="20" t="str">
        <f>IFERROR(__xludf.DUMMYFUNCTION("""COMPUTED_VALUE"""),"Medium")</f>
        <v>Medium</v>
      </c>
      <c r="F386" s="20">
        <f>IFERROR(__xludf.DUMMYFUNCTION("""COMPUTED_VALUE"""),408.0)</f>
        <v>408</v>
      </c>
      <c r="G386" s="20">
        <f>IFERROR(__xludf.DUMMYFUNCTION("""COMPUTED_VALUE"""),1228.0)</f>
        <v>1228</v>
      </c>
      <c r="H386" s="20" t="str">
        <f>IFERROR(__xludf.DUMMYFUNCTION("""COMPUTED_VALUE"""),"Algorithms")</f>
        <v>Algorithms</v>
      </c>
      <c r="I386" s="20">
        <f>IFERROR(__xludf.DUMMYFUNCTION("""COMPUTED_VALUE"""),0.366)</f>
        <v>0.366</v>
      </c>
      <c r="J386" s="20">
        <f>IFERROR(__xludf.DUMMYFUNCTION("""COMPUTED_VALUE"""),385.0)</f>
        <v>385</v>
      </c>
      <c r="K386" s="20" t="b">
        <f>IFERROR(__xludf.DUMMYFUNCTION("""COMPUTED_VALUE"""),FALSE)</f>
        <v>0</v>
      </c>
      <c r="L386" s="20" t="str">
        <f>IFERROR(__xludf.DUMMYFUNCTION("""COMPUTED_VALUE"""),"String;Stack;Depth-First Search;")</f>
        <v>String;Stack;Depth-First Search;</v>
      </c>
      <c r="M386" s="20" t="b">
        <f>IFERROR(__xludf.DUMMYFUNCTION("""COMPUTED_VALUE"""),FALSE)</f>
        <v>0</v>
      </c>
      <c r="N386" s="20" t="b">
        <f>IFERROR(__xludf.DUMMYFUNCTION("""COMPUTED_VALUE"""),FALSE)</f>
        <v>0</v>
      </c>
      <c r="O386" s="20">
        <f>IFERROR(__xludf.DUMMYFUNCTION("""COMPUTED_VALUE"""),36.639873690254)</f>
        <v>36.63987369</v>
      </c>
      <c r="P386" s="20">
        <f>IFERROR(__xludf.DUMMYFUNCTION("""COMPUTED_VALUE"""),51054.0)</f>
        <v>51054</v>
      </c>
      <c r="Q386" s="20">
        <f>IFERROR(__xludf.DUMMYFUNCTION("""COMPUTED_VALUE"""),139340.0)</f>
        <v>139340</v>
      </c>
    </row>
    <row r="387">
      <c r="A387" s="20">
        <f>IFERROR(__xludf.DUMMYFUNCTION("""COMPUTED_VALUE"""),386.0)</f>
        <v>386</v>
      </c>
      <c r="B387" s="20" t="str">
        <f>IFERROR(__xludf.DUMMYFUNCTION("""COMPUTED_VALUE"""),"Lexicographical Numbers")</f>
        <v>Lexicographical Numbers</v>
      </c>
      <c r="C387" s="20" t="str">
        <f>IFERROR(__xludf.DUMMYFUNCTION("""COMPUTED_VALUE"""),"lexicographical-numbers")</f>
        <v>lexicographical-numbers</v>
      </c>
      <c r="D387" s="20" t="b">
        <f>IFERROR(__xludf.DUMMYFUNCTION("""COMPUTED_VALUE"""),FALSE)</f>
        <v>0</v>
      </c>
      <c r="E387" s="20" t="str">
        <f>IFERROR(__xludf.DUMMYFUNCTION("""COMPUTED_VALUE"""),"Medium")</f>
        <v>Medium</v>
      </c>
      <c r="F387" s="20">
        <f>IFERROR(__xludf.DUMMYFUNCTION("""COMPUTED_VALUE"""),1559.0)</f>
        <v>1559</v>
      </c>
      <c r="G387" s="20">
        <f>IFERROR(__xludf.DUMMYFUNCTION("""COMPUTED_VALUE"""),125.0)</f>
        <v>125</v>
      </c>
      <c r="H387" s="20" t="str">
        <f>IFERROR(__xludf.DUMMYFUNCTION("""COMPUTED_VALUE"""),"Algorithms")</f>
        <v>Algorithms</v>
      </c>
      <c r="I387" s="20">
        <f>IFERROR(__xludf.DUMMYFUNCTION("""COMPUTED_VALUE"""),0.61)</f>
        <v>0.61</v>
      </c>
      <c r="J387" s="20">
        <f>IFERROR(__xludf.DUMMYFUNCTION("""COMPUTED_VALUE"""),386.0)</f>
        <v>386</v>
      </c>
      <c r="K387" s="20" t="b">
        <f>IFERROR(__xludf.DUMMYFUNCTION("""COMPUTED_VALUE"""),FALSE)</f>
        <v>0</v>
      </c>
      <c r="L387" s="20" t="str">
        <f>IFERROR(__xludf.DUMMYFUNCTION("""COMPUTED_VALUE"""),"Depth-First Search;Trie;")</f>
        <v>Depth-First Search;Trie;</v>
      </c>
      <c r="M387" s="20" t="b">
        <f>IFERROR(__xludf.DUMMYFUNCTION("""COMPUTED_VALUE"""),FALSE)</f>
        <v>0</v>
      </c>
      <c r="N387" s="20" t="b">
        <f>IFERROR(__xludf.DUMMYFUNCTION("""COMPUTED_VALUE"""),FALSE)</f>
        <v>0</v>
      </c>
      <c r="O387" s="20">
        <f>IFERROR(__xludf.DUMMYFUNCTION("""COMPUTED_VALUE"""),61.0372458633344)</f>
        <v>61.03724586</v>
      </c>
      <c r="P387" s="20">
        <f>IFERROR(__xludf.DUMMYFUNCTION("""COMPUTED_VALUE"""),96128.0)</f>
        <v>96128</v>
      </c>
      <c r="Q387" s="20">
        <f>IFERROR(__xludf.DUMMYFUNCTION("""COMPUTED_VALUE"""),157492.0)</f>
        <v>157492</v>
      </c>
    </row>
    <row r="388">
      <c r="A388" s="20">
        <f>IFERROR(__xludf.DUMMYFUNCTION("""COMPUTED_VALUE"""),387.0)</f>
        <v>387</v>
      </c>
      <c r="B388" s="20" t="str">
        <f>IFERROR(__xludf.DUMMYFUNCTION("""COMPUTED_VALUE"""),"First Unique Character in a String")</f>
        <v>First Unique Character in a String</v>
      </c>
      <c r="C388" s="20" t="str">
        <f>IFERROR(__xludf.DUMMYFUNCTION("""COMPUTED_VALUE"""),"first-unique-character-in-a-string")</f>
        <v>first-unique-character-in-a-string</v>
      </c>
      <c r="D388" s="20" t="b">
        <f>IFERROR(__xludf.DUMMYFUNCTION("""COMPUTED_VALUE"""),FALSE)</f>
        <v>0</v>
      </c>
      <c r="E388" s="20" t="str">
        <f>IFERROR(__xludf.DUMMYFUNCTION("""COMPUTED_VALUE"""),"Easy")</f>
        <v>Easy</v>
      </c>
      <c r="F388" s="20">
        <f>IFERROR(__xludf.DUMMYFUNCTION("""COMPUTED_VALUE"""),7148.0)</f>
        <v>7148</v>
      </c>
      <c r="G388" s="20">
        <f>IFERROR(__xludf.DUMMYFUNCTION("""COMPUTED_VALUE"""),242.0)</f>
        <v>242</v>
      </c>
      <c r="H388" s="20" t="str">
        <f>IFERROR(__xludf.DUMMYFUNCTION("""COMPUTED_VALUE"""),"Algorithms")</f>
        <v>Algorithms</v>
      </c>
      <c r="I388" s="20">
        <f>IFERROR(__xludf.DUMMYFUNCTION("""COMPUTED_VALUE"""),0.591)</f>
        <v>0.591</v>
      </c>
      <c r="J388" s="20">
        <f>IFERROR(__xludf.DUMMYFUNCTION("""COMPUTED_VALUE"""),387.0)</f>
        <v>387</v>
      </c>
      <c r="K388" s="20" t="b">
        <f>IFERROR(__xludf.DUMMYFUNCTION("""COMPUTED_VALUE"""),FALSE)</f>
        <v>0</v>
      </c>
      <c r="L388" s="20" t="str">
        <f>IFERROR(__xludf.DUMMYFUNCTION("""COMPUTED_VALUE"""),"Hash Table;String;Queue;Counting;")</f>
        <v>Hash Table;String;Queue;Counting;</v>
      </c>
      <c r="M388" s="20" t="b">
        <f>IFERROR(__xludf.DUMMYFUNCTION("""COMPUTED_VALUE"""),TRUE)</f>
        <v>1</v>
      </c>
      <c r="N388" s="20" t="b">
        <f>IFERROR(__xludf.DUMMYFUNCTION("""COMPUTED_VALUE"""),TRUE)</f>
        <v>1</v>
      </c>
      <c r="O388" s="20">
        <f>IFERROR(__xludf.DUMMYFUNCTION("""COMPUTED_VALUE"""),59.1445932877219)</f>
        <v>59.14459329</v>
      </c>
      <c r="P388" s="20">
        <f>IFERROR(__xludf.DUMMYFUNCTION("""COMPUTED_VALUE"""),1312429.0)</f>
        <v>1312429</v>
      </c>
      <c r="Q388" s="20">
        <f>IFERROR(__xludf.DUMMYFUNCTION("""COMPUTED_VALUE"""),2219026.0)</f>
        <v>2219026</v>
      </c>
    </row>
    <row r="389">
      <c r="A389" s="20">
        <f>IFERROR(__xludf.DUMMYFUNCTION("""COMPUTED_VALUE"""),388.0)</f>
        <v>388</v>
      </c>
      <c r="B389" s="20" t="str">
        <f>IFERROR(__xludf.DUMMYFUNCTION("""COMPUTED_VALUE"""),"Longest Absolute File Path")</f>
        <v>Longest Absolute File Path</v>
      </c>
      <c r="C389" s="20" t="str">
        <f>IFERROR(__xludf.DUMMYFUNCTION("""COMPUTED_VALUE"""),"longest-absolute-file-path")</f>
        <v>longest-absolute-file-path</v>
      </c>
      <c r="D389" s="20" t="b">
        <f>IFERROR(__xludf.DUMMYFUNCTION("""COMPUTED_VALUE"""),FALSE)</f>
        <v>0</v>
      </c>
      <c r="E389" s="20" t="str">
        <f>IFERROR(__xludf.DUMMYFUNCTION("""COMPUTED_VALUE"""),"Medium")</f>
        <v>Medium</v>
      </c>
      <c r="F389" s="20">
        <f>IFERROR(__xludf.DUMMYFUNCTION("""COMPUTED_VALUE"""),1122.0)</f>
        <v>1122</v>
      </c>
      <c r="G389" s="20">
        <f>IFERROR(__xludf.DUMMYFUNCTION("""COMPUTED_VALUE"""),2295.0)</f>
        <v>2295</v>
      </c>
      <c r="H389" s="20" t="str">
        <f>IFERROR(__xludf.DUMMYFUNCTION("""COMPUTED_VALUE"""),"Algorithms")</f>
        <v>Algorithms</v>
      </c>
      <c r="I389" s="20">
        <f>IFERROR(__xludf.DUMMYFUNCTION("""COMPUTED_VALUE"""),0.466)</f>
        <v>0.466</v>
      </c>
      <c r="J389" s="20">
        <f>IFERROR(__xludf.DUMMYFUNCTION("""COMPUTED_VALUE"""),388.0)</f>
        <v>388</v>
      </c>
      <c r="K389" s="20" t="b">
        <f>IFERROR(__xludf.DUMMYFUNCTION("""COMPUTED_VALUE"""),FALSE)</f>
        <v>0</v>
      </c>
      <c r="L389" s="20" t="str">
        <f>IFERROR(__xludf.DUMMYFUNCTION("""COMPUTED_VALUE"""),"String;Stack;Depth-First Search;")</f>
        <v>String;Stack;Depth-First Search;</v>
      </c>
      <c r="M389" s="20" t="b">
        <f>IFERROR(__xludf.DUMMYFUNCTION("""COMPUTED_VALUE"""),FALSE)</f>
        <v>0</v>
      </c>
      <c r="N389" s="20" t="b">
        <f>IFERROR(__xludf.DUMMYFUNCTION("""COMPUTED_VALUE"""),FALSE)</f>
        <v>0</v>
      </c>
      <c r="O389" s="20">
        <f>IFERROR(__xludf.DUMMYFUNCTION("""COMPUTED_VALUE"""),46.5817506248412)</f>
        <v>46.58175062</v>
      </c>
      <c r="P389" s="20">
        <f>IFERROR(__xludf.DUMMYFUNCTION("""COMPUTED_VALUE"""),139407.0)</f>
        <v>139407</v>
      </c>
      <c r="Q389" s="20">
        <f>IFERROR(__xludf.DUMMYFUNCTION("""COMPUTED_VALUE"""),299275.0)</f>
        <v>299275</v>
      </c>
    </row>
    <row r="390">
      <c r="A390" s="20">
        <f>IFERROR(__xludf.DUMMYFUNCTION("""COMPUTED_VALUE"""),389.0)</f>
        <v>389</v>
      </c>
      <c r="B390" s="20" t="str">
        <f>IFERROR(__xludf.DUMMYFUNCTION("""COMPUTED_VALUE"""),"Find the Difference")</f>
        <v>Find the Difference</v>
      </c>
      <c r="C390" s="20" t="str">
        <f>IFERROR(__xludf.DUMMYFUNCTION("""COMPUTED_VALUE"""),"find-the-difference")</f>
        <v>find-the-difference</v>
      </c>
      <c r="D390" s="20" t="b">
        <f>IFERROR(__xludf.DUMMYFUNCTION("""COMPUTED_VALUE"""),FALSE)</f>
        <v>0</v>
      </c>
      <c r="E390" s="20" t="str">
        <f>IFERROR(__xludf.DUMMYFUNCTION("""COMPUTED_VALUE"""),"Easy")</f>
        <v>Easy</v>
      </c>
      <c r="F390" s="20">
        <f>IFERROR(__xludf.DUMMYFUNCTION("""COMPUTED_VALUE"""),3475.0)</f>
        <v>3475</v>
      </c>
      <c r="G390" s="20">
        <f>IFERROR(__xludf.DUMMYFUNCTION("""COMPUTED_VALUE"""),405.0)</f>
        <v>405</v>
      </c>
      <c r="H390" s="20" t="str">
        <f>IFERROR(__xludf.DUMMYFUNCTION("""COMPUTED_VALUE"""),"Algorithms")</f>
        <v>Algorithms</v>
      </c>
      <c r="I390" s="20">
        <f>IFERROR(__xludf.DUMMYFUNCTION("""COMPUTED_VALUE"""),0.602)</f>
        <v>0.602</v>
      </c>
      <c r="J390" s="20">
        <f>IFERROR(__xludf.DUMMYFUNCTION("""COMPUTED_VALUE"""),389.0)</f>
        <v>389</v>
      </c>
      <c r="K390" s="20" t="b">
        <f>IFERROR(__xludf.DUMMYFUNCTION("""COMPUTED_VALUE"""),FALSE)</f>
        <v>0</v>
      </c>
      <c r="L390" s="20" t="str">
        <f>IFERROR(__xludf.DUMMYFUNCTION("""COMPUTED_VALUE"""),"Hash Table;String;Bit Manipulation;Sorting;")</f>
        <v>Hash Table;String;Bit Manipulation;Sorting;</v>
      </c>
      <c r="M390" s="20" t="b">
        <f>IFERROR(__xludf.DUMMYFUNCTION("""COMPUTED_VALUE"""),TRUE)</f>
        <v>1</v>
      </c>
      <c r="N390" s="20" t="b">
        <f>IFERROR(__xludf.DUMMYFUNCTION("""COMPUTED_VALUE"""),FALSE)</f>
        <v>0</v>
      </c>
      <c r="O390" s="20">
        <f>IFERROR(__xludf.DUMMYFUNCTION("""COMPUTED_VALUE"""),60.2323415710641)</f>
        <v>60.23234157</v>
      </c>
      <c r="P390" s="20">
        <f>IFERROR(__xludf.DUMMYFUNCTION("""COMPUTED_VALUE"""),461808.0)</f>
        <v>461808</v>
      </c>
      <c r="Q390" s="20">
        <f>IFERROR(__xludf.DUMMYFUNCTION("""COMPUTED_VALUE"""),766712.0)</f>
        <v>766712</v>
      </c>
    </row>
    <row r="391">
      <c r="A391" s="20">
        <f>IFERROR(__xludf.DUMMYFUNCTION("""COMPUTED_VALUE"""),390.0)</f>
        <v>390</v>
      </c>
      <c r="B391" s="20" t="str">
        <f>IFERROR(__xludf.DUMMYFUNCTION("""COMPUTED_VALUE"""),"Elimination Game")</f>
        <v>Elimination Game</v>
      </c>
      <c r="C391" s="20" t="str">
        <f>IFERROR(__xludf.DUMMYFUNCTION("""COMPUTED_VALUE"""),"elimination-game")</f>
        <v>elimination-game</v>
      </c>
      <c r="D391" s="20" t="b">
        <f>IFERROR(__xludf.DUMMYFUNCTION("""COMPUTED_VALUE"""),FALSE)</f>
        <v>0</v>
      </c>
      <c r="E391" s="20" t="str">
        <f>IFERROR(__xludf.DUMMYFUNCTION("""COMPUTED_VALUE"""),"Medium")</f>
        <v>Medium</v>
      </c>
      <c r="F391" s="20">
        <f>IFERROR(__xludf.DUMMYFUNCTION("""COMPUTED_VALUE"""),1104.0)</f>
        <v>1104</v>
      </c>
      <c r="G391" s="20">
        <f>IFERROR(__xludf.DUMMYFUNCTION("""COMPUTED_VALUE"""),603.0)</f>
        <v>603</v>
      </c>
      <c r="H391" s="20" t="str">
        <f>IFERROR(__xludf.DUMMYFUNCTION("""COMPUTED_VALUE"""),"Algorithms")</f>
        <v>Algorithms</v>
      </c>
      <c r="I391" s="20">
        <f>IFERROR(__xludf.DUMMYFUNCTION("""COMPUTED_VALUE"""),0.464)</f>
        <v>0.464</v>
      </c>
      <c r="J391" s="20">
        <f>IFERROR(__xludf.DUMMYFUNCTION("""COMPUTED_VALUE"""),390.0)</f>
        <v>390</v>
      </c>
      <c r="K391" s="20" t="b">
        <f>IFERROR(__xludf.DUMMYFUNCTION("""COMPUTED_VALUE"""),FALSE)</f>
        <v>0</v>
      </c>
      <c r="L391" s="20" t="str">
        <f>IFERROR(__xludf.DUMMYFUNCTION("""COMPUTED_VALUE"""),"Math;Recursion;")</f>
        <v>Math;Recursion;</v>
      </c>
      <c r="M391" s="20" t="b">
        <f>IFERROR(__xludf.DUMMYFUNCTION("""COMPUTED_VALUE"""),FALSE)</f>
        <v>0</v>
      </c>
      <c r="N391" s="20" t="b">
        <f>IFERROR(__xludf.DUMMYFUNCTION("""COMPUTED_VALUE"""),FALSE)</f>
        <v>0</v>
      </c>
      <c r="O391" s="20">
        <f>IFERROR(__xludf.DUMMYFUNCTION("""COMPUTED_VALUE"""),46.4495516850458)</f>
        <v>46.44955169</v>
      </c>
      <c r="P391" s="20">
        <f>IFERROR(__xludf.DUMMYFUNCTION("""COMPUTED_VALUE"""),54082.0)</f>
        <v>54082</v>
      </c>
      <c r="Q391" s="20">
        <f>IFERROR(__xludf.DUMMYFUNCTION("""COMPUTED_VALUE"""),116434.0)</f>
        <v>116434</v>
      </c>
    </row>
    <row r="392">
      <c r="A392" s="20">
        <f>IFERROR(__xludf.DUMMYFUNCTION("""COMPUTED_VALUE"""),391.0)</f>
        <v>391</v>
      </c>
      <c r="B392" s="20" t="str">
        <f>IFERROR(__xludf.DUMMYFUNCTION("""COMPUTED_VALUE"""),"Perfect Rectangle")</f>
        <v>Perfect Rectangle</v>
      </c>
      <c r="C392" s="20" t="str">
        <f>IFERROR(__xludf.DUMMYFUNCTION("""COMPUTED_VALUE"""),"perfect-rectangle")</f>
        <v>perfect-rectangle</v>
      </c>
      <c r="D392" s="20" t="b">
        <f>IFERROR(__xludf.DUMMYFUNCTION("""COMPUTED_VALUE"""),FALSE)</f>
        <v>0</v>
      </c>
      <c r="E392" s="20" t="str">
        <f>IFERROR(__xludf.DUMMYFUNCTION("""COMPUTED_VALUE"""),"Hard")</f>
        <v>Hard</v>
      </c>
      <c r="F392" s="20">
        <f>IFERROR(__xludf.DUMMYFUNCTION("""COMPUTED_VALUE"""),693.0)</f>
        <v>693</v>
      </c>
      <c r="G392" s="20">
        <f>IFERROR(__xludf.DUMMYFUNCTION("""COMPUTED_VALUE"""),105.0)</f>
        <v>105</v>
      </c>
      <c r="H392" s="20" t="str">
        <f>IFERROR(__xludf.DUMMYFUNCTION("""COMPUTED_VALUE"""),"Algorithms")</f>
        <v>Algorithms</v>
      </c>
      <c r="I392" s="20">
        <f>IFERROR(__xludf.DUMMYFUNCTION("""COMPUTED_VALUE"""),0.325)</f>
        <v>0.325</v>
      </c>
      <c r="J392" s="20">
        <f>IFERROR(__xludf.DUMMYFUNCTION("""COMPUTED_VALUE"""),391.0)</f>
        <v>391</v>
      </c>
      <c r="K392" s="20" t="b">
        <f>IFERROR(__xludf.DUMMYFUNCTION("""COMPUTED_VALUE"""),FALSE)</f>
        <v>0</v>
      </c>
      <c r="L392" s="20" t="str">
        <f>IFERROR(__xludf.DUMMYFUNCTION("""COMPUTED_VALUE"""),"Array;Line Sweep;")</f>
        <v>Array;Line Sweep;</v>
      </c>
      <c r="M392" s="20" t="b">
        <f>IFERROR(__xludf.DUMMYFUNCTION("""COMPUTED_VALUE"""),FALSE)</f>
        <v>0</v>
      </c>
      <c r="N392" s="20" t="b">
        <f>IFERROR(__xludf.DUMMYFUNCTION("""COMPUTED_VALUE"""),FALSE)</f>
        <v>0</v>
      </c>
      <c r="O392" s="20">
        <f>IFERROR(__xludf.DUMMYFUNCTION("""COMPUTED_VALUE"""),32.5257244855102)</f>
        <v>32.52572449</v>
      </c>
      <c r="P392" s="20">
        <f>IFERROR(__xludf.DUMMYFUNCTION("""COMPUTED_VALUE"""),37170.0)</f>
        <v>37170</v>
      </c>
      <c r="Q392" s="20">
        <f>IFERROR(__xludf.DUMMYFUNCTION("""COMPUTED_VALUE"""),114279.0)</f>
        <v>114279</v>
      </c>
    </row>
    <row r="393">
      <c r="A393" s="20">
        <f>IFERROR(__xludf.DUMMYFUNCTION("""COMPUTED_VALUE"""),392.0)</f>
        <v>392</v>
      </c>
      <c r="B393" s="20" t="str">
        <f>IFERROR(__xludf.DUMMYFUNCTION("""COMPUTED_VALUE"""),"Is Subsequence")</f>
        <v>Is Subsequence</v>
      </c>
      <c r="C393" s="20" t="str">
        <f>IFERROR(__xludf.DUMMYFUNCTION("""COMPUTED_VALUE"""),"is-subsequence")</f>
        <v>is-subsequence</v>
      </c>
      <c r="D393" s="20" t="b">
        <f>IFERROR(__xludf.DUMMYFUNCTION("""COMPUTED_VALUE"""),FALSE)</f>
        <v>0</v>
      </c>
      <c r="E393" s="20" t="str">
        <f>IFERROR(__xludf.DUMMYFUNCTION("""COMPUTED_VALUE"""),"Easy")</f>
        <v>Easy</v>
      </c>
      <c r="F393" s="20">
        <f>IFERROR(__xludf.DUMMYFUNCTION("""COMPUTED_VALUE"""),6525.0)</f>
        <v>6525</v>
      </c>
      <c r="G393" s="20">
        <f>IFERROR(__xludf.DUMMYFUNCTION("""COMPUTED_VALUE"""),366.0)</f>
        <v>366</v>
      </c>
      <c r="H393" s="20" t="str">
        <f>IFERROR(__xludf.DUMMYFUNCTION("""COMPUTED_VALUE"""),"Algorithms")</f>
        <v>Algorithms</v>
      </c>
      <c r="I393" s="20">
        <f>IFERROR(__xludf.DUMMYFUNCTION("""COMPUTED_VALUE"""),0.486)</f>
        <v>0.486</v>
      </c>
      <c r="J393" s="20">
        <f>IFERROR(__xludf.DUMMYFUNCTION("""COMPUTED_VALUE"""),392.0)</f>
        <v>392</v>
      </c>
      <c r="K393" s="20" t="b">
        <f>IFERROR(__xludf.DUMMYFUNCTION("""COMPUTED_VALUE"""),FALSE)</f>
        <v>0</v>
      </c>
      <c r="L393" s="20" t="str">
        <f>IFERROR(__xludf.DUMMYFUNCTION("""COMPUTED_VALUE"""),"Two Pointers;String;Dynamic Programming;")</f>
        <v>Two Pointers;String;Dynamic Programming;</v>
      </c>
      <c r="M393" s="20" t="b">
        <f>IFERROR(__xludf.DUMMYFUNCTION("""COMPUTED_VALUE"""),TRUE)</f>
        <v>1</v>
      </c>
      <c r="N393" s="20" t="b">
        <f>IFERROR(__xludf.DUMMYFUNCTION("""COMPUTED_VALUE"""),FALSE)</f>
        <v>0</v>
      </c>
      <c r="O393" s="20">
        <f>IFERROR(__xludf.DUMMYFUNCTION("""COMPUTED_VALUE"""),48.5586658522186)</f>
        <v>48.55866585</v>
      </c>
      <c r="P393" s="20">
        <f>IFERROR(__xludf.DUMMYFUNCTION("""COMPUTED_VALUE"""),711465.0)</f>
        <v>711465</v>
      </c>
      <c r="Q393" s="20">
        <f>IFERROR(__xludf.DUMMYFUNCTION("""COMPUTED_VALUE"""),1465164.0)</f>
        <v>1465164</v>
      </c>
    </row>
    <row r="394">
      <c r="A394" s="20">
        <f>IFERROR(__xludf.DUMMYFUNCTION("""COMPUTED_VALUE"""),393.0)</f>
        <v>393</v>
      </c>
      <c r="B394" s="20" t="str">
        <f>IFERROR(__xludf.DUMMYFUNCTION("""COMPUTED_VALUE"""),"UTF-8 Validation")</f>
        <v>UTF-8 Validation</v>
      </c>
      <c r="C394" s="20" t="str">
        <f>IFERROR(__xludf.DUMMYFUNCTION("""COMPUTED_VALUE"""),"utf-8-validation")</f>
        <v>utf-8-validation</v>
      </c>
      <c r="D394" s="20" t="b">
        <f>IFERROR(__xludf.DUMMYFUNCTION("""COMPUTED_VALUE"""),FALSE)</f>
        <v>0</v>
      </c>
      <c r="E394" s="20" t="str">
        <f>IFERROR(__xludf.DUMMYFUNCTION("""COMPUTED_VALUE"""),"Medium")</f>
        <v>Medium</v>
      </c>
      <c r="F394" s="20">
        <f>IFERROR(__xludf.DUMMYFUNCTION("""COMPUTED_VALUE"""),839.0)</f>
        <v>839</v>
      </c>
      <c r="G394" s="20">
        <f>IFERROR(__xludf.DUMMYFUNCTION("""COMPUTED_VALUE"""),2777.0)</f>
        <v>2777</v>
      </c>
      <c r="H394" s="20" t="str">
        <f>IFERROR(__xludf.DUMMYFUNCTION("""COMPUTED_VALUE"""),"Algorithms")</f>
        <v>Algorithms</v>
      </c>
      <c r="I394" s="20">
        <f>IFERROR(__xludf.DUMMYFUNCTION("""COMPUTED_VALUE"""),0.451)</f>
        <v>0.451</v>
      </c>
      <c r="J394" s="20">
        <f>IFERROR(__xludf.DUMMYFUNCTION("""COMPUTED_VALUE"""),393.0)</f>
        <v>393</v>
      </c>
      <c r="K394" s="20" t="b">
        <f>IFERROR(__xludf.DUMMYFUNCTION("""COMPUTED_VALUE"""),FALSE)</f>
        <v>0</v>
      </c>
      <c r="L394" s="20" t="str">
        <f>IFERROR(__xludf.DUMMYFUNCTION("""COMPUTED_VALUE"""),"Array;Bit Manipulation;")</f>
        <v>Array;Bit Manipulation;</v>
      </c>
      <c r="M394" s="20" t="b">
        <f>IFERROR(__xludf.DUMMYFUNCTION("""COMPUTED_VALUE"""),TRUE)</f>
        <v>1</v>
      </c>
      <c r="N394" s="20" t="b">
        <f>IFERROR(__xludf.DUMMYFUNCTION("""COMPUTED_VALUE"""),FALSE)</f>
        <v>0</v>
      </c>
      <c r="O394" s="20">
        <f>IFERROR(__xludf.DUMMYFUNCTION("""COMPUTED_VALUE"""),45.1375721817232)</f>
        <v>45.13757218</v>
      </c>
      <c r="P394" s="20">
        <f>IFERROR(__xludf.DUMMYFUNCTION("""COMPUTED_VALUE"""),114983.0)</f>
        <v>114983</v>
      </c>
      <c r="Q394" s="20">
        <f>IFERROR(__xludf.DUMMYFUNCTION("""COMPUTED_VALUE"""),254739.0)</f>
        <v>254739</v>
      </c>
    </row>
    <row r="395">
      <c r="A395" s="20">
        <f>IFERROR(__xludf.DUMMYFUNCTION("""COMPUTED_VALUE"""),394.0)</f>
        <v>394</v>
      </c>
      <c r="B395" s="20" t="str">
        <f>IFERROR(__xludf.DUMMYFUNCTION("""COMPUTED_VALUE"""),"Decode String")</f>
        <v>Decode String</v>
      </c>
      <c r="C395" s="20" t="str">
        <f>IFERROR(__xludf.DUMMYFUNCTION("""COMPUTED_VALUE"""),"decode-string")</f>
        <v>decode-string</v>
      </c>
      <c r="D395" s="20" t="b">
        <f>IFERROR(__xludf.DUMMYFUNCTION("""COMPUTED_VALUE"""),FALSE)</f>
        <v>0</v>
      </c>
      <c r="E395" s="20" t="str">
        <f>IFERROR(__xludf.DUMMYFUNCTION("""COMPUTED_VALUE"""),"Medium")</f>
        <v>Medium</v>
      </c>
      <c r="F395" s="20">
        <f>IFERROR(__xludf.DUMMYFUNCTION("""COMPUTED_VALUE"""),10060.0)</f>
        <v>10060</v>
      </c>
      <c r="G395" s="20">
        <f>IFERROR(__xludf.DUMMYFUNCTION("""COMPUTED_VALUE"""),442.0)</f>
        <v>442</v>
      </c>
      <c r="H395" s="20" t="str">
        <f>IFERROR(__xludf.DUMMYFUNCTION("""COMPUTED_VALUE"""),"Algorithms")</f>
        <v>Algorithms</v>
      </c>
      <c r="I395" s="20">
        <f>IFERROR(__xludf.DUMMYFUNCTION("""COMPUTED_VALUE"""),0.578)</f>
        <v>0.578</v>
      </c>
      <c r="J395" s="20">
        <f>IFERROR(__xludf.DUMMYFUNCTION("""COMPUTED_VALUE"""),394.0)</f>
        <v>394</v>
      </c>
      <c r="K395" s="20" t="b">
        <f>IFERROR(__xludf.DUMMYFUNCTION("""COMPUTED_VALUE"""),FALSE)</f>
        <v>0</v>
      </c>
      <c r="L395" s="20" t="str">
        <f>IFERROR(__xludf.DUMMYFUNCTION("""COMPUTED_VALUE"""),"String;Stack;Recursion;")</f>
        <v>String;Stack;Recursion;</v>
      </c>
      <c r="M395" s="20" t="b">
        <f>IFERROR(__xludf.DUMMYFUNCTION("""COMPUTED_VALUE"""),TRUE)</f>
        <v>1</v>
      </c>
      <c r="N395" s="20" t="b">
        <f>IFERROR(__xludf.DUMMYFUNCTION("""COMPUTED_VALUE"""),FALSE)</f>
        <v>0</v>
      </c>
      <c r="O395" s="20">
        <f>IFERROR(__xludf.DUMMYFUNCTION("""COMPUTED_VALUE"""),57.7746369379441)</f>
        <v>57.77463694</v>
      </c>
      <c r="P395" s="20">
        <f>IFERROR(__xludf.DUMMYFUNCTION("""COMPUTED_VALUE"""),600478.0)</f>
        <v>600478</v>
      </c>
      <c r="Q395" s="20">
        <f>IFERROR(__xludf.DUMMYFUNCTION("""COMPUTED_VALUE"""),1039345.0)</f>
        <v>1039345</v>
      </c>
    </row>
    <row r="396">
      <c r="A396" s="20">
        <f>IFERROR(__xludf.DUMMYFUNCTION("""COMPUTED_VALUE"""),395.0)</f>
        <v>395</v>
      </c>
      <c r="B396" s="20" t="str">
        <f>IFERROR(__xludf.DUMMYFUNCTION("""COMPUTED_VALUE"""),"Longest Substring with At Least K Repeating Characters")</f>
        <v>Longest Substring with At Least K Repeating Characters</v>
      </c>
      <c r="C396" s="20" t="str">
        <f>IFERROR(__xludf.DUMMYFUNCTION("""COMPUTED_VALUE"""),"longest-substring-with-at-least-k-repeating-characters")</f>
        <v>longest-substring-with-at-least-k-repeating-characters</v>
      </c>
      <c r="D396" s="20" t="b">
        <f>IFERROR(__xludf.DUMMYFUNCTION("""COMPUTED_VALUE"""),FALSE)</f>
        <v>0</v>
      </c>
      <c r="E396" s="20" t="str">
        <f>IFERROR(__xludf.DUMMYFUNCTION("""COMPUTED_VALUE"""),"Medium")</f>
        <v>Medium</v>
      </c>
      <c r="F396" s="20">
        <f>IFERROR(__xludf.DUMMYFUNCTION("""COMPUTED_VALUE"""),4939.0)</f>
        <v>4939</v>
      </c>
      <c r="G396" s="20">
        <f>IFERROR(__xludf.DUMMYFUNCTION("""COMPUTED_VALUE"""),398.0)</f>
        <v>398</v>
      </c>
      <c r="H396" s="20" t="str">
        <f>IFERROR(__xludf.DUMMYFUNCTION("""COMPUTED_VALUE"""),"Algorithms")</f>
        <v>Algorithms</v>
      </c>
      <c r="I396" s="20">
        <f>IFERROR(__xludf.DUMMYFUNCTION("""COMPUTED_VALUE"""),0.448)</f>
        <v>0.448</v>
      </c>
      <c r="J396" s="20">
        <f>IFERROR(__xludf.DUMMYFUNCTION("""COMPUTED_VALUE"""),395.0)</f>
        <v>395</v>
      </c>
      <c r="K396" s="20" t="b">
        <f>IFERROR(__xludf.DUMMYFUNCTION("""COMPUTED_VALUE"""),FALSE)</f>
        <v>0</v>
      </c>
      <c r="L396" s="20" t="str">
        <f>IFERROR(__xludf.DUMMYFUNCTION("""COMPUTED_VALUE"""),"Hash Table;String;Divide and Conquer;Sliding Window;")</f>
        <v>Hash Table;String;Divide and Conquer;Sliding Window;</v>
      </c>
      <c r="M396" s="20" t="b">
        <f>IFERROR(__xludf.DUMMYFUNCTION("""COMPUTED_VALUE"""),TRUE)</f>
        <v>1</v>
      </c>
      <c r="N396" s="20" t="b">
        <f>IFERROR(__xludf.DUMMYFUNCTION("""COMPUTED_VALUE"""),FALSE)</f>
        <v>0</v>
      </c>
      <c r="O396" s="20">
        <f>IFERROR(__xludf.DUMMYFUNCTION("""COMPUTED_VALUE"""),44.8133518469319)</f>
        <v>44.81335185</v>
      </c>
      <c r="P396" s="20">
        <f>IFERROR(__xludf.DUMMYFUNCTION("""COMPUTED_VALUE"""),178798.0)</f>
        <v>178798</v>
      </c>
      <c r="Q396" s="20">
        <f>IFERROR(__xludf.DUMMYFUNCTION("""COMPUTED_VALUE"""),398982.0)</f>
        <v>398982</v>
      </c>
    </row>
    <row r="397">
      <c r="A397" s="20">
        <f>IFERROR(__xludf.DUMMYFUNCTION("""COMPUTED_VALUE"""),396.0)</f>
        <v>396</v>
      </c>
      <c r="B397" s="20" t="str">
        <f>IFERROR(__xludf.DUMMYFUNCTION("""COMPUTED_VALUE"""),"Rotate Function")</f>
        <v>Rotate Function</v>
      </c>
      <c r="C397" s="20" t="str">
        <f>IFERROR(__xludf.DUMMYFUNCTION("""COMPUTED_VALUE"""),"rotate-function")</f>
        <v>rotate-function</v>
      </c>
      <c r="D397" s="20" t="b">
        <f>IFERROR(__xludf.DUMMYFUNCTION("""COMPUTED_VALUE"""),FALSE)</f>
        <v>0</v>
      </c>
      <c r="E397" s="20" t="str">
        <f>IFERROR(__xludf.DUMMYFUNCTION("""COMPUTED_VALUE"""),"Medium")</f>
        <v>Medium</v>
      </c>
      <c r="F397" s="20">
        <f>IFERROR(__xludf.DUMMYFUNCTION("""COMPUTED_VALUE"""),1116.0)</f>
        <v>1116</v>
      </c>
      <c r="G397" s="20">
        <f>IFERROR(__xludf.DUMMYFUNCTION("""COMPUTED_VALUE"""),234.0)</f>
        <v>234</v>
      </c>
      <c r="H397" s="20" t="str">
        <f>IFERROR(__xludf.DUMMYFUNCTION("""COMPUTED_VALUE"""),"Algorithms")</f>
        <v>Algorithms</v>
      </c>
      <c r="I397" s="20">
        <f>IFERROR(__xludf.DUMMYFUNCTION("""COMPUTED_VALUE"""),0.406)</f>
        <v>0.406</v>
      </c>
      <c r="J397" s="20">
        <f>IFERROR(__xludf.DUMMYFUNCTION("""COMPUTED_VALUE"""),396.0)</f>
        <v>396</v>
      </c>
      <c r="K397" s="20" t="b">
        <f>IFERROR(__xludf.DUMMYFUNCTION("""COMPUTED_VALUE"""),FALSE)</f>
        <v>0</v>
      </c>
      <c r="L397" s="20" t="str">
        <f>IFERROR(__xludf.DUMMYFUNCTION("""COMPUTED_VALUE"""),"Array;Math;Dynamic Programming;")</f>
        <v>Array;Math;Dynamic Programming;</v>
      </c>
      <c r="M397" s="20" t="b">
        <f>IFERROR(__xludf.DUMMYFUNCTION("""COMPUTED_VALUE"""),FALSE)</f>
        <v>0</v>
      </c>
      <c r="N397" s="20" t="b">
        <f>IFERROR(__xludf.DUMMYFUNCTION("""COMPUTED_VALUE"""),FALSE)</f>
        <v>0</v>
      </c>
      <c r="O397" s="20">
        <f>IFERROR(__xludf.DUMMYFUNCTION("""COMPUTED_VALUE"""),40.6280638340597)</f>
        <v>40.62806383</v>
      </c>
      <c r="P397" s="20">
        <f>IFERROR(__xludf.DUMMYFUNCTION("""COMPUTED_VALUE"""),68780.0)</f>
        <v>68780</v>
      </c>
      <c r="Q397" s="20">
        <f>IFERROR(__xludf.DUMMYFUNCTION("""COMPUTED_VALUE"""),169294.0)</f>
        <v>169294</v>
      </c>
    </row>
    <row r="398">
      <c r="A398" s="20">
        <f>IFERROR(__xludf.DUMMYFUNCTION("""COMPUTED_VALUE"""),397.0)</f>
        <v>397</v>
      </c>
      <c r="B398" s="20" t="str">
        <f>IFERROR(__xludf.DUMMYFUNCTION("""COMPUTED_VALUE"""),"Integer Replacement")</f>
        <v>Integer Replacement</v>
      </c>
      <c r="C398" s="20" t="str">
        <f>IFERROR(__xludf.DUMMYFUNCTION("""COMPUTED_VALUE"""),"integer-replacement")</f>
        <v>integer-replacement</v>
      </c>
      <c r="D398" s="20" t="b">
        <f>IFERROR(__xludf.DUMMYFUNCTION("""COMPUTED_VALUE"""),FALSE)</f>
        <v>0</v>
      </c>
      <c r="E398" s="20" t="str">
        <f>IFERROR(__xludf.DUMMYFUNCTION("""COMPUTED_VALUE"""),"Medium")</f>
        <v>Medium</v>
      </c>
      <c r="F398" s="20">
        <f>IFERROR(__xludf.DUMMYFUNCTION("""COMPUTED_VALUE"""),1038.0)</f>
        <v>1038</v>
      </c>
      <c r="G398" s="20">
        <f>IFERROR(__xludf.DUMMYFUNCTION("""COMPUTED_VALUE"""),456.0)</f>
        <v>456</v>
      </c>
      <c r="H398" s="20" t="str">
        <f>IFERROR(__xludf.DUMMYFUNCTION("""COMPUTED_VALUE"""),"Algorithms")</f>
        <v>Algorithms</v>
      </c>
      <c r="I398" s="20">
        <f>IFERROR(__xludf.DUMMYFUNCTION("""COMPUTED_VALUE"""),0.352)</f>
        <v>0.352</v>
      </c>
      <c r="J398" s="20">
        <f>IFERROR(__xludf.DUMMYFUNCTION("""COMPUTED_VALUE"""),397.0)</f>
        <v>397</v>
      </c>
      <c r="K398" s="20" t="b">
        <f>IFERROR(__xludf.DUMMYFUNCTION("""COMPUTED_VALUE"""),FALSE)</f>
        <v>0</v>
      </c>
      <c r="L398" s="20" t="str">
        <f>IFERROR(__xludf.DUMMYFUNCTION("""COMPUTED_VALUE"""),"Dynamic Programming;Greedy;Bit Manipulation;Memoization;")</f>
        <v>Dynamic Programming;Greedy;Bit Manipulation;Memoization;</v>
      </c>
      <c r="M398" s="20" t="b">
        <f>IFERROR(__xludf.DUMMYFUNCTION("""COMPUTED_VALUE"""),FALSE)</f>
        <v>0</v>
      </c>
      <c r="N398" s="20" t="b">
        <f>IFERROR(__xludf.DUMMYFUNCTION("""COMPUTED_VALUE"""),FALSE)</f>
        <v>0</v>
      </c>
      <c r="O398" s="20">
        <f>IFERROR(__xludf.DUMMYFUNCTION("""COMPUTED_VALUE"""),35.1907291525983)</f>
        <v>35.19072915</v>
      </c>
      <c r="P398" s="20">
        <f>IFERROR(__xludf.DUMMYFUNCTION("""COMPUTED_VALUE"""),93803.0)</f>
        <v>93803</v>
      </c>
      <c r="Q398" s="20">
        <f>IFERROR(__xludf.DUMMYFUNCTION("""COMPUTED_VALUE"""),266556.0)</f>
        <v>266556</v>
      </c>
    </row>
    <row r="399">
      <c r="A399" s="20">
        <f>IFERROR(__xludf.DUMMYFUNCTION("""COMPUTED_VALUE"""),398.0)</f>
        <v>398</v>
      </c>
      <c r="B399" s="20" t="str">
        <f>IFERROR(__xludf.DUMMYFUNCTION("""COMPUTED_VALUE"""),"Random Pick Index")</f>
        <v>Random Pick Index</v>
      </c>
      <c r="C399" s="20" t="str">
        <f>IFERROR(__xludf.DUMMYFUNCTION("""COMPUTED_VALUE"""),"random-pick-index")</f>
        <v>random-pick-index</v>
      </c>
      <c r="D399" s="20" t="b">
        <f>IFERROR(__xludf.DUMMYFUNCTION("""COMPUTED_VALUE"""),FALSE)</f>
        <v>0</v>
      </c>
      <c r="E399" s="20" t="str">
        <f>IFERROR(__xludf.DUMMYFUNCTION("""COMPUTED_VALUE"""),"Medium")</f>
        <v>Medium</v>
      </c>
      <c r="F399" s="20">
        <f>IFERROR(__xludf.DUMMYFUNCTION("""COMPUTED_VALUE"""),1068.0)</f>
        <v>1068</v>
      </c>
      <c r="G399" s="20">
        <f>IFERROR(__xludf.DUMMYFUNCTION("""COMPUTED_VALUE"""),1170.0)</f>
        <v>1170</v>
      </c>
      <c r="H399" s="20" t="str">
        <f>IFERROR(__xludf.DUMMYFUNCTION("""COMPUTED_VALUE"""),"Algorithms")</f>
        <v>Algorithms</v>
      </c>
      <c r="I399" s="20">
        <f>IFERROR(__xludf.DUMMYFUNCTION("""COMPUTED_VALUE"""),0.627)</f>
        <v>0.627</v>
      </c>
      <c r="J399" s="20">
        <f>IFERROR(__xludf.DUMMYFUNCTION("""COMPUTED_VALUE"""),398.0)</f>
        <v>398</v>
      </c>
      <c r="K399" s="20" t="b">
        <f>IFERROR(__xludf.DUMMYFUNCTION("""COMPUTED_VALUE"""),FALSE)</f>
        <v>0</v>
      </c>
      <c r="L399" s="20" t="str">
        <f>IFERROR(__xludf.DUMMYFUNCTION("""COMPUTED_VALUE"""),"Hash Table;Math;Reservoir Sampling;Randomized;")</f>
        <v>Hash Table;Math;Reservoir Sampling;Randomized;</v>
      </c>
      <c r="M399" s="20" t="b">
        <f>IFERROR(__xludf.DUMMYFUNCTION("""COMPUTED_VALUE"""),TRUE)</f>
        <v>1</v>
      </c>
      <c r="N399" s="20" t="b">
        <f>IFERROR(__xludf.DUMMYFUNCTION("""COMPUTED_VALUE"""),FALSE)</f>
        <v>0</v>
      </c>
      <c r="O399" s="20">
        <f>IFERROR(__xludf.DUMMYFUNCTION("""COMPUTED_VALUE"""),62.6710952137625)</f>
        <v>62.67109521</v>
      </c>
      <c r="P399" s="20">
        <f>IFERROR(__xludf.DUMMYFUNCTION("""COMPUTED_VALUE"""),183971.0)</f>
        <v>183971</v>
      </c>
      <c r="Q399" s="20">
        <f>IFERROR(__xludf.DUMMYFUNCTION("""COMPUTED_VALUE"""),293550.0)</f>
        <v>293550</v>
      </c>
    </row>
    <row r="400">
      <c r="A400" s="20">
        <f>IFERROR(__xludf.DUMMYFUNCTION("""COMPUTED_VALUE"""),399.0)</f>
        <v>399</v>
      </c>
      <c r="B400" s="20" t="str">
        <f>IFERROR(__xludf.DUMMYFUNCTION("""COMPUTED_VALUE"""),"Evaluate Division")</f>
        <v>Evaluate Division</v>
      </c>
      <c r="C400" s="20" t="str">
        <f>IFERROR(__xludf.DUMMYFUNCTION("""COMPUTED_VALUE"""),"evaluate-division")</f>
        <v>evaluate-division</v>
      </c>
      <c r="D400" s="20" t="b">
        <f>IFERROR(__xludf.DUMMYFUNCTION("""COMPUTED_VALUE"""),FALSE)</f>
        <v>0</v>
      </c>
      <c r="E400" s="20" t="str">
        <f>IFERROR(__xludf.DUMMYFUNCTION("""COMPUTED_VALUE"""),"Medium")</f>
        <v>Medium</v>
      </c>
      <c r="F400" s="20">
        <f>IFERROR(__xludf.DUMMYFUNCTION("""COMPUTED_VALUE"""),6725.0)</f>
        <v>6725</v>
      </c>
      <c r="G400" s="20">
        <f>IFERROR(__xludf.DUMMYFUNCTION("""COMPUTED_VALUE"""),585.0)</f>
        <v>585</v>
      </c>
      <c r="H400" s="20" t="str">
        <f>IFERROR(__xludf.DUMMYFUNCTION("""COMPUTED_VALUE"""),"Algorithms")</f>
        <v>Algorithms</v>
      </c>
      <c r="I400" s="20">
        <f>IFERROR(__xludf.DUMMYFUNCTION("""COMPUTED_VALUE"""),0.596)</f>
        <v>0.596</v>
      </c>
      <c r="J400" s="20">
        <f>IFERROR(__xludf.DUMMYFUNCTION("""COMPUTED_VALUE"""),399.0)</f>
        <v>399</v>
      </c>
      <c r="K400" s="20" t="b">
        <f>IFERROR(__xludf.DUMMYFUNCTION("""COMPUTED_VALUE"""),FALSE)</f>
        <v>0</v>
      </c>
      <c r="L400" s="20" t="str">
        <f>IFERROR(__xludf.DUMMYFUNCTION("""COMPUTED_VALUE"""),"Array;Depth-First Search;Breadth-First Search;Union Find;Graph;Shortest Path;")</f>
        <v>Array;Depth-First Search;Breadth-First Search;Union Find;Graph;Shortest Path;</v>
      </c>
      <c r="M400" s="20" t="b">
        <f>IFERROR(__xludf.DUMMYFUNCTION("""COMPUTED_VALUE"""),TRUE)</f>
        <v>1</v>
      </c>
      <c r="N400" s="20" t="b">
        <f>IFERROR(__xludf.DUMMYFUNCTION("""COMPUTED_VALUE"""),FALSE)</f>
        <v>0</v>
      </c>
      <c r="O400" s="20">
        <f>IFERROR(__xludf.DUMMYFUNCTION("""COMPUTED_VALUE"""),59.5779485733786)</f>
        <v>59.57794857</v>
      </c>
      <c r="P400" s="20">
        <f>IFERROR(__xludf.DUMMYFUNCTION("""COMPUTED_VALUE"""),321230.0)</f>
        <v>321230</v>
      </c>
      <c r="Q400" s="20">
        <f>IFERROR(__xludf.DUMMYFUNCTION("""COMPUTED_VALUE"""),539176.0)</f>
        <v>539176</v>
      </c>
    </row>
    <row r="401">
      <c r="A401" s="20">
        <f>IFERROR(__xludf.DUMMYFUNCTION("""COMPUTED_VALUE"""),400.0)</f>
        <v>400</v>
      </c>
      <c r="B401" s="20" t="str">
        <f>IFERROR(__xludf.DUMMYFUNCTION("""COMPUTED_VALUE"""),"Nth Digit")</f>
        <v>Nth Digit</v>
      </c>
      <c r="C401" s="20" t="str">
        <f>IFERROR(__xludf.DUMMYFUNCTION("""COMPUTED_VALUE"""),"nth-digit")</f>
        <v>nth-digit</v>
      </c>
      <c r="D401" s="20" t="b">
        <f>IFERROR(__xludf.DUMMYFUNCTION("""COMPUTED_VALUE"""),FALSE)</f>
        <v>0</v>
      </c>
      <c r="E401" s="20" t="str">
        <f>IFERROR(__xludf.DUMMYFUNCTION("""COMPUTED_VALUE"""),"Medium")</f>
        <v>Medium</v>
      </c>
      <c r="F401" s="20">
        <f>IFERROR(__xludf.DUMMYFUNCTION("""COMPUTED_VALUE"""),800.0)</f>
        <v>800</v>
      </c>
      <c r="G401" s="20">
        <f>IFERROR(__xludf.DUMMYFUNCTION("""COMPUTED_VALUE"""),1725.0)</f>
        <v>1725</v>
      </c>
      <c r="H401" s="20" t="str">
        <f>IFERROR(__xludf.DUMMYFUNCTION("""COMPUTED_VALUE"""),"Algorithms")</f>
        <v>Algorithms</v>
      </c>
      <c r="I401" s="20">
        <f>IFERROR(__xludf.DUMMYFUNCTION("""COMPUTED_VALUE"""),0.341)</f>
        <v>0.341</v>
      </c>
      <c r="J401" s="20">
        <f>IFERROR(__xludf.DUMMYFUNCTION("""COMPUTED_VALUE"""),400.0)</f>
        <v>400</v>
      </c>
      <c r="K401" s="20" t="b">
        <f>IFERROR(__xludf.DUMMYFUNCTION("""COMPUTED_VALUE"""),FALSE)</f>
        <v>0</v>
      </c>
      <c r="L401" s="20" t="str">
        <f>IFERROR(__xludf.DUMMYFUNCTION("""COMPUTED_VALUE"""),"Math;Binary Search;")</f>
        <v>Math;Binary Search;</v>
      </c>
      <c r="M401" s="20" t="b">
        <f>IFERROR(__xludf.DUMMYFUNCTION("""COMPUTED_VALUE"""),FALSE)</f>
        <v>0</v>
      </c>
      <c r="N401" s="20" t="b">
        <f>IFERROR(__xludf.DUMMYFUNCTION("""COMPUTED_VALUE"""),FALSE)</f>
        <v>0</v>
      </c>
      <c r="O401" s="20">
        <f>IFERROR(__xludf.DUMMYFUNCTION("""COMPUTED_VALUE"""),34.0986630164631)</f>
        <v>34.09866302</v>
      </c>
      <c r="P401" s="20">
        <f>IFERROR(__xludf.DUMMYFUNCTION("""COMPUTED_VALUE"""),82455.0)</f>
        <v>82455</v>
      </c>
      <c r="Q401" s="20">
        <f>IFERROR(__xludf.DUMMYFUNCTION("""COMPUTED_VALUE"""),241813.0)</f>
        <v>241813</v>
      </c>
    </row>
    <row r="402">
      <c r="A402" s="20">
        <f>IFERROR(__xludf.DUMMYFUNCTION("""COMPUTED_VALUE"""),401.0)</f>
        <v>401</v>
      </c>
      <c r="B402" s="20" t="str">
        <f>IFERROR(__xludf.DUMMYFUNCTION("""COMPUTED_VALUE"""),"Binary Watch")</f>
        <v>Binary Watch</v>
      </c>
      <c r="C402" s="20" t="str">
        <f>IFERROR(__xludf.DUMMYFUNCTION("""COMPUTED_VALUE"""),"binary-watch")</f>
        <v>binary-watch</v>
      </c>
      <c r="D402" s="20" t="b">
        <f>IFERROR(__xludf.DUMMYFUNCTION("""COMPUTED_VALUE"""),FALSE)</f>
        <v>0</v>
      </c>
      <c r="E402" s="20" t="str">
        <f>IFERROR(__xludf.DUMMYFUNCTION("""COMPUTED_VALUE"""),"Easy")</f>
        <v>Easy</v>
      </c>
      <c r="F402" s="20">
        <f>IFERROR(__xludf.DUMMYFUNCTION("""COMPUTED_VALUE"""),1115.0)</f>
        <v>1115</v>
      </c>
      <c r="G402" s="20">
        <f>IFERROR(__xludf.DUMMYFUNCTION("""COMPUTED_VALUE"""),2082.0)</f>
        <v>2082</v>
      </c>
      <c r="H402" s="20" t="str">
        <f>IFERROR(__xludf.DUMMYFUNCTION("""COMPUTED_VALUE"""),"Algorithms")</f>
        <v>Algorithms</v>
      </c>
      <c r="I402" s="20">
        <f>IFERROR(__xludf.DUMMYFUNCTION("""COMPUTED_VALUE"""),0.518)</f>
        <v>0.518</v>
      </c>
      <c r="J402" s="20">
        <f>IFERROR(__xludf.DUMMYFUNCTION("""COMPUTED_VALUE"""),401.0)</f>
        <v>401</v>
      </c>
      <c r="K402" s="20" t="b">
        <f>IFERROR(__xludf.DUMMYFUNCTION("""COMPUTED_VALUE"""),FALSE)</f>
        <v>0</v>
      </c>
      <c r="L402" s="20" t="str">
        <f>IFERROR(__xludf.DUMMYFUNCTION("""COMPUTED_VALUE"""),"Backtracking;Bit Manipulation;")</f>
        <v>Backtracking;Bit Manipulation;</v>
      </c>
      <c r="M402" s="20" t="b">
        <f>IFERROR(__xludf.DUMMYFUNCTION("""COMPUTED_VALUE"""),FALSE)</f>
        <v>0</v>
      </c>
      <c r="N402" s="20" t="b">
        <f>IFERROR(__xludf.DUMMYFUNCTION("""COMPUTED_VALUE"""),FALSE)</f>
        <v>0</v>
      </c>
      <c r="O402" s="20">
        <f>IFERROR(__xludf.DUMMYFUNCTION("""COMPUTED_VALUE"""),51.8202080237741)</f>
        <v>51.82020802</v>
      </c>
      <c r="P402" s="20">
        <f>IFERROR(__xludf.DUMMYFUNCTION("""COMPUTED_VALUE"""),119970.0)</f>
        <v>119970</v>
      </c>
      <c r="Q402" s="20">
        <f>IFERROR(__xludf.DUMMYFUNCTION("""COMPUTED_VALUE"""),231512.0)</f>
        <v>231512</v>
      </c>
    </row>
    <row r="403">
      <c r="A403" s="20">
        <f>IFERROR(__xludf.DUMMYFUNCTION("""COMPUTED_VALUE"""),402.0)</f>
        <v>402</v>
      </c>
      <c r="B403" s="20" t="str">
        <f>IFERROR(__xludf.DUMMYFUNCTION("""COMPUTED_VALUE"""),"Remove K Digits")</f>
        <v>Remove K Digits</v>
      </c>
      <c r="C403" s="20" t="str">
        <f>IFERROR(__xludf.DUMMYFUNCTION("""COMPUTED_VALUE"""),"remove-k-digits")</f>
        <v>remove-k-digits</v>
      </c>
      <c r="D403" s="20" t="b">
        <f>IFERROR(__xludf.DUMMYFUNCTION("""COMPUTED_VALUE"""),FALSE)</f>
        <v>0</v>
      </c>
      <c r="E403" s="20" t="str">
        <f>IFERROR(__xludf.DUMMYFUNCTION("""COMPUTED_VALUE"""),"Medium")</f>
        <v>Medium</v>
      </c>
      <c r="F403" s="20">
        <f>IFERROR(__xludf.DUMMYFUNCTION("""COMPUTED_VALUE"""),7031.0)</f>
        <v>7031</v>
      </c>
      <c r="G403" s="20">
        <f>IFERROR(__xludf.DUMMYFUNCTION("""COMPUTED_VALUE"""),296.0)</f>
        <v>296</v>
      </c>
      <c r="H403" s="20" t="str">
        <f>IFERROR(__xludf.DUMMYFUNCTION("""COMPUTED_VALUE"""),"Algorithms")</f>
        <v>Algorithms</v>
      </c>
      <c r="I403" s="20">
        <f>IFERROR(__xludf.DUMMYFUNCTION("""COMPUTED_VALUE"""),0.305)</f>
        <v>0.305</v>
      </c>
      <c r="J403" s="20">
        <f>IFERROR(__xludf.DUMMYFUNCTION("""COMPUTED_VALUE"""),402.0)</f>
        <v>402</v>
      </c>
      <c r="K403" s="20" t="b">
        <f>IFERROR(__xludf.DUMMYFUNCTION("""COMPUTED_VALUE"""),FALSE)</f>
        <v>0</v>
      </c>
      <c r="L403" s="20" t="str">
        <f>IFERROR(__xludf.DUMMYFUNCTION("""COMPUTED_VALUE"""),"String;Stack;Greedy;Monotonic Stack;")</f>
        <v>String;Stack;Greedy;Monotonic Stack;</v>
      </c>
      <c r="M403" s="20" t="b">
        <f>IFERROR(__xludf.DUMMYFUNCTION("""COMPUTED_VALUE"""),TRUE)</f>
        <v>1</v>
      </c>
      <c r="N403" s="20" t="b">
        <f>IFERROR(__xludf.DUMMYFUNCTION("""COMPUTED_VALUE"""),FALSE)</f>
        <v>0</v>
      </c>
      <c r="O403" s="20">
        <f>IFERROR(__xludf.DUMMYFUNCTION("""COMPUTED_VALUE"""),30.4951892291783)</f>
        <v>30.49518923</v>
      </c>
      <c r="P403" s="20">
        <f>IFERROR(__xludf.DUMMYFUNCTION("""COMPUTED_VALUE"""),294314.0)</f>
        <v>294314</v>
      </c>
      <c r="Q403" s="20">
        <f>IFERROR(__xludf.DUMMYFUNCTION("""COMPUTED_VALUE"""),965119.0)</f>
        <v>965119</v>
      </c>
    </row>
    <row r="404">
      <c r="A404" s="20">
        <f>IFERROR(__xludf.DUMMYFUNCTION("""COMPUTED_VALUE"""),403.0)</f>
        <v>403</v>
      </c>
      <c r="B404" s="20" t="str">
        <f>IFERROR(__xludf.DUMMYFUNCTION("""COMPUTED_VALUE"""),"Frog Jump")</f>
        <v>Frog Jump</v>
      </c>
      <c r="C404" s="20" t="str">
        <f>IFERROR(__xludf.DUMMYFUNCTION("""COMPUTED_VALUE"""),"frog-jump")</f>
        <v>frog-jump</v>
      </c>
      <c r="D404" s="20" t="b">
        <f>IFERROR(__xludf.DUMMYFUNCTION("""COMPUTED_VALUE"""),FALSE)</f>
        <v>0</v>
      </c>
      <c r="E404" s="20" t="str">
        <f>IFERROR(__xludf.DUMMYFUNCTION("""COMPUTED_VALUE"""),"Hard")</f>
        <v>Hard</v>
      </c>
      <c r="F404" s="20">
        <f>IFERROR(__xludf.DUMMYFUNCTION("""COMPUTED_VALUE"""),3446.0)</f>
        <v>3446</v>
      </c>
      <c r="G404" s="20">
        <f>IFERROR(__xludf.DUMMYFUNCTION("""COMPUTED_VALUE"""),182.0)</f>
        <v>182</v>
      </c>
      <c r="H404" s="20" t="str">
        <f>IFERROR(__xludf.DUMMYFUNCTION("""COMPUTED_VALUE"""),"Algorithms")</f>
        <v>Algorithms</v>
      </c>
      <c r="I404" s="20">
        <f>IFERROR(__xludf.DUMMYFUNCTION("""COMPUTED_VALUE"""),0.432)</f>
        <v>0.432</v>
      </c>
      <c r="J404" s="20">
        <f>IFERROR(__xludf.DUMMYFUNCTION("""COMPUTED_VALUE"""),403.0)</f>
        <v>403</v>
      </c>
      <c r="K404" s="20" t="b">
        <f>IFERROR(__xludf.DUMMYFUNCTION("""COMPUTED_VALUE"""),FALSE)</f>
        <v>0</v>
      </c>
      <c r="L404" s="20" t="str">
        <f>IFERROR(__xludf.DUMMYFUNCTION("""COMPUTED_VALUE"""),"Array;Dynamic Programming;")</f>
        <v>Array;Dynamic Programming;</v>
      </c>
      <c r="M404" s="20" t="b">
        <f>IFERROR(__xludf.DUMMYFUNCTION("""COMPUTED_VALUE"""),TRUE)</f>
        <v>1</v>
      </c>
      <c r="N404" s="20" t="b">
        <f>IFERROR(__xludf.DUMMYFUNCTION("""COMPUTED_VALUE"""),FALSE)</f>
        <v>0</v>
      </c>
      <c r="O404" s="20">
        <f>IFERROR(__xludf.DUMMYFUNCTION("""COMPUTED_VALUE"""),43.1613268785351)</f>
        <v>43.16132688</v>
      </c>
      <c r="P404" s="20">
        <f>IFERROR(__xludf.DUMMYFUNCTION("""COMPUTED_VALUE"""),173675.0)</f>
        <v>173675</v>
      </c>
      <c r="Q404" s="20">
        <f>IFERROR(__xludf.DUMMYFUNCTION("""COMPUTED_VALUE"""),402386.0)</f>
        <v>402386</v>
      </c>
    </row>
    <row r="405">
      <c r="A405" s="20">
        <f>IFERROR(__xludf.DUMMYFUNCTION("""COMPUTED_VALUE"""),404.0)</f>
        <v>404</v>
      </c>
      <c r="B405" s="20" t="str">
        <f>IFERROR(__xludf.DUMMYFUNCTION("""COMPUTED_VALUE"""),"Sum of Left Leaves")</f>
        <v>Sum of Left Leaves</v>
      </c>
      <c r="C405" s="20" t="str">
        <f>IFERROR(__xludf.DUMMYFUNCTION("""COMPUTED_VALUE"""),"sum-of-left-leaves")</f>
        <v>sum-of-left-leaves</v>
      </c>
      <c r="D405" s="20" t="b">
        <f>IFERROR(__xludf.DUMMYFUNCTION("""COMPUTED_VALUE"""),FALSE)</f>
        <v>0</v>
      </c>
      <c r="E405" s="20" t="str">
        <f>IFERROR(__xludf.DUMMYFUNCTION("""COMPUTED_VALUE"""),"Easy")</f>
        <v>Easy</v>
      </c>
      <c r="F405" s="20">
        <f>IFERROR(__xludf.DUMMYFUNCTION("""COMPUTED_VALUE"""),4153.0)</f>
        <v>4153</v>
      </c>
      <c r="G405" s="20">
        <f>IFERROR(__xludf.DUMMYFUNCTION("""COMPUTED_VALUE"""),266.0)</f>
        <v>266</v>
      </c>
      <c r="H405" s="20" t="str">
        <f>IFERROR(__xludf.DUMMYFUNCTION("""COMPUTED_VALUE"""),"Algorithms")</f>
        <v>Algorithms</v>
      </c>
      <c r="I405" s="20">
        <f>IFERROR(__xludf.DUMMYFUNCTION("""COMPUTED_VALUE"""),0.564)</f>
        <v>0.564</v>
      </c>
      <c r="J405" s="20">
        <f>IFERROR(__xludf.DUMMYFUNCTION("""COMPUTED_VALUE"""),404.0)</f>
        <v>404</v>
      </c>
      <c r="K405" s="20" t="b">
        <f>IFERROR(__xludf.DUMMYFUNCTION("""COMPUTED_VALUE"""),FALSE)</f>
        <v>0</v>
      </c>
      <c r="L405" s="20" t="str">
        <f>IFERROR(__xludf.DUMMYFUNCTION("""COMPUTED_VALUE"""),"Tree;Depth-First Search;Breadth-First Search;Binary Tree;")</f>
        <v>Tree;Depth-First Search;Breadth-First Search;Binary Tree;</v>
      </c>
      <c r="M405" s="20" t="b">
        <f>IFERROR(__xludf.DUMMYFUNCTION("""COMPUTED_VALUE"""),TRUE)</f>
        <v>1</v>
      </c>
      <c r="N405" s="20" t="b">
        <f>IFERROR(__xludf.DUMMYFUNCTION("""COMPUTED_VALUE"""),FALSE)</f>
        <v>0</v>
      </c>
      <c r="O405" s="20">
        <f>IFERROR(__xludf.DUMMYFUNCTION("""COMPUTED_VALUE"""),56.4137264512007)</f>
        <v>56.41372645</v>
      </c>
      <c r="P405" s="20">
        <f>IFERROR(__xludf.DUMMYFUNCTION("""COMPUTED_VALUE"""),409767.0)</f>
        <v>409767</v>
      </c>
      <c r="Q405" s="20">
        <f>IFERROR(__xludf.DUMMYFUNCTION("""COMPUTED_VALUE"""),726361.0)</f>
        <v>726361</v>
      </c>
    </row>
    <row r="406">
      <c r="A406" s="20">
        <f>IFERROR(__xludf.DUMMYFUNCTION("""COMPUTED_VALUE"""),405.0)</f>
        <v>405</v>
      </c>
      <c r="B406" s="20" t="str">
        <f>IFERROR(__xludf.DUMMYFUNCTION("""COMPUTED_VALUE"""),"Convert a Number to Hexadecimal")</f>
        <v>Convert a Number to Hexadecimal</v>
      </c>
      <c r="C406" s="20" t="str">
        <f>IFERROR(__xludf.DUMMYFUNCTION("""COMPUTED_VALUE"""),"convert-a-number-to-hexadecimal")</f>
        <v>convert-a-number-to-hexadecimal</v>
      </c>
      <c r="D406" s="20" t="b">
        <f>IFERROR(__xludf.DUMMYFUNCTION("""COMPUTED_VALUE"""),FALSE)</f>
        <v>0</v>
      </c>
      <c r="E406" s="20" t="str">
        <f>IFERROR(__xludf.DUMMYFUNCTION("""COMPUTED_VALUE"""),"Easy")</f>
        <v>Easy</v>
      </c>
      <c r="F406" s="20">
        <f>IFERROR(__xludf.DUMMYFUNCTION("""COMPUTED_VALUE"""),1054.0)</f>
        <v>1054</v>
      </c>
      <c r="G406" s="20">
        <f>IFERROR(__xludf.DUMMYFUNCTION("""COMPUTED_VALUE"""),188.0)</f>
        <v>188</v>
      </c>
      <c r="H406" s="20" t="str">
        <f>IFERROR(__xludf.DUMMYFUNCTION("""COMPUTED_VALUE"""),"Algorithms")</f>
        <v>Algorithms</v>
      </c>
      <c r="I406" s="20">
        <f>IFERROR(__xludf.DUMMYFUNCTION("""COMPUTED_VALUE"""),0.463)</f>
        <v>0.463</v>
      </c>
      <c r="J406" s="20">
        <f>IFERROR(__xludf.DUMMYFUNCTION("""COMPUTED_VALUE"""),405.0)</f>
        <v>405</v>
      </c>
      <c r="K406" s="20" t="b">
        <f>IFERROR(__xludf.DUMMYFUNCTION("""COMPUTED_VALUE"""),FALSE)</f>
        <v>0</v>
      </c>
      <c r="L406" s="20" t="str">
        <f>IFERROR(__xludf.DUMMYFUNCTION("""COMPUTED_VALUE"""),"Math;Bit Manipulation;")</f>
        <v>Math;Bit Manipulation;</v>
      </c>
      <c r="M406" s="20" t="b">
        <f>IFERROR(__xludf.DUMMYFUNCTION("""COMPUTED_VALUE"""),FALSE)</f>
        <v>0</v>
      </c>
      <c r="N406" s="20" t="b">
        <f>IFERROR(__xludf.DUMMYFUNCTION("""COMPUTED_VALUE"""),FALSE)</f>
        <v>0</v>
      </c>
      <c r="O406" s="20">
        <f>IFERROR(__xludf.DUMMYFUNCTION("""COMPUTED_VALUE"""),46.3076290355747)</f>
        <v>46.30762904</v>
      </c>
      <c r="P406" s="20">
        <f>IFERROR(__xludf.DUMMYFUNCTION("""COMPUTED_VALUE"""),112596.0)</f>
        <v>112596</v>
      </c>
      <c r="Q406" s="20">
        <f>IFERROR(__xludf.DUMMYFUNCTION("""COMPUTED_VALUE"""),243149.0)</f>
        <v>243149</v>
      </c>
    </row>
    <row r="407">
      <c r="A407" s="20">
        <f>IFERROR(__xludf.DUMMYFUNCTION("""COMPUTED_VALUE"""),406.0)</f>
        <v>406</v>
      </c>
      <c r="B407" s="20" t="str">
        <f>IFERROR(__xludf.DUMMYFUNCTION("""COMPUTED_VALUE"""),"Queue Reconstruction by Height")</f>
        <v>Queue Reconstruction by Height</v>
      </c>
      <c r="C407" s="20" t="str">
        <f>IFERROR(__xludf.DUMMYFUNCTION("""COMPUTED_VALUE"""),"queue-reconstruction-by-height")</f>
        <v>queue-reconstruction-by-height</v>
      </c>
      <c r="D407" s="20" t="b">
        <f>IFERROR(__xludf.DUMMYFUNCTION("""COMPUTED_VALUE"""),FALSE)</f>
        <v>0</v>
      </c>
      <c r="E407" s="20" t="str">
        <f>IFERROR(__xludf.DUMMYFUNCTION("""COMPUTED_VALUE"""),"Medium")</f>
        <v>Medium</v>
      </c>
      <c r="F407" s="20">
        <f>IFERROR(__xludf.DUMMYFUNCTION("""COMPUTED_VALUE"""),6540.0)</f>
        <v>6540</v>
      </c>
      <c r="G407" s="20">
        <f>IFERROR(__xludf.DUMMYFUNCTION("""COMPUTED_VALUE"""),655.0)</f>
        <v>655</v>
      </c>
      <c r="H407" s="20" t="str">
        <f>IFERROR(__xludf.DUMMYFUNCTION("""COMPUTED_VALUE"""),"Algorithms")</f>
        <v>Algorithms</v>
      </c>
      <c r="I407" s="20">
        <f>IFERROR(__xludf.DUMMYFUNCTION("""COMPUTED_VALUE"""),0.729)</f>
        <v>0.729</v>
      </c>
      <c r="J407" s="20">
        <f>IFERROR(__xludf.DUMMYFUNCTION("""COMPUTED_VALUE"""),406.0)</f>
        <v>406</v>
      </c>
      <c r="K407" s="20" t="b">
        <f>IFERROR(__xludf.DUMMYFUNCTION("""COMPUTED_VALUE"""),FALSE)</f>
        <v>0</v>
      </c>
      <c r="L407" s="20" t="str">
        <f>IFERROR(__xludf.DUMMYFUNCTION("""COMPUTED_VALUE"""),"Array;Greedy;Binary Indexed Tree;Segment Tree;Sorting;")</f>
        <v>Array;Greedy;Binary Indexed Tree;Segment Tree;Sorting;</v>
      </c>
      <c r="M407" s="20" t="b">
        <f>IFERROR(__xludf.DUMMYFUNCTION("""COMPUTED_VALUE"""),TRUE)</f>
        <v>1</v>
      </c>
      <c r="N407" s="20" t="b">
        <f>IFERROR(__xludf.DUMMYFUNCTION("""COMPUTED_VALUE"""),FALSE)</f>
        <v>0</v>
      </c>
      <c r="O407" s="20">
        <f>IFERROR(__xludf.DUMMYFUNCTION("""COMPUTED_VALUE"""),72.8532548614986)</f>
        <v>72.85325486</v>
      </c>
      <c r="P407" s="20">
        <f>IFERROR(__xludf.DUMMYFUNCTION("""COMPUTED_VALUE"""),276785.0)</f>
        <v>276785</v>
      </c>
      <c r="Q407" s="20">
        <f>IFERROR(__xludf.DUMMYFUNCTION("""COMPUTED_VALUE"""),379922.0)</f>
        <v>379922</v>
      </c>
    </row>
    <row r="408">
      <c r="A408" s="20">
        <f>IFERROR(__xludf.DUMMYFUNCTION("""COMPUTED_VALUE"""),407.0)</f>
        <v>407</v>
      </c>
      <c r="B408" s="20" t="str">
        <f>IFERROR(__xludf.DUMMYFUNCTION("""COMPUTED_VALUE"""),"Trapping Rain Water II")</f>
        <v>Trapping Rain Water II</v>
      </c>
      <c r="C408" s="20" t="str">
        <f>IFERROR(__xludf.DUMMYFUNCTION("""COMPUTED_VALUE"""),"trapping-rain-water-ii")</f>
        <v>trapping-rain-water-ii</v>
      </c>
      <c r="D408" s="20" t="b">
        <f>IFERROR(__xludf.DUMMYFUNCTION("""COMPUTED_VALUE"""),FALSE)</f>
        <v>0</v>
      </c>
      <c r="E408" s="20" t="str">
        <f>IFERROR(__xludf.DUMMYFUNCTION("""COMPUTED_VALUE"""),"Hard")</f>
        <v>Hard</v>
      </c>
      <c r="F408" s="20">
        <f>IFERROR(__xludf.DUMMYFUNCTION("""COMPUTED_VALUE"""),3230.0)</f>
        <v>3230</v>
      </c>
      <c r="G408" s="20">
        <f>IFERROR(__xludf.DUMMYFUNCTION("""COMPUTED_VALUE"""),75.0)</f>
        <v>75</v>
      </c>
      <c r="H408" s="20" t="str">
        <f>IFERROR(__xludf.DUMMYFUNCTION("""COMPUTED_VALUE"""),"Algorithms")</f>
        <v>Algorithms</v>
      </c>
      <c r="I408" s="20">
        <f>IFERROR(__xludf.DUMMYFUNCTION("""COMPUTED_VALUE"""),0.475)</f>
        <v>0.475</v>
      </c>
      <c r="J408" s="20">
        <f>IFERROR(__xludf.DUMMYFUNCTION("""COMPUTED_VALUE"""),407.0)</f>
        <v>407</v>
      </c>
      <c r="K408" s="20" t="b">
        <f>IFERROR(__xludf.DUMMYFUNCTION("""COMPUTED_VALUE"""),FALSE)</f>
        <v>0</v>
      </c>
      <c r="L408" s="20" t="str">
        <f>IFERROR(__xludf.DUMMYFUNCTION("""COMPUTED_VALUE"""),"Array;Breadth-First Search;Heap (Priority Queue);Matrix;")</f>
        <v>Array;Breadth-First Search;Heap (Priority Queue);Matrix;</v>
      </c>
      <c r="M408" s="20" t="b">
        <f>IFERROR(__xludf.DUMMYFUNCTION("""COMPUTED_VALUE"""),FALSE)</f>
        <v>0</v>
      </c>
      <c r="N408" s="20" t="b">
        <f>IFERROR(__xludf.DUMMYFUNCTION("""COMPUTED_VALUE"""),FALSE)</f>
        <v>0</v>
      </c>
      <c r="O408" s="20">
        <f>IFERROR(__xludf.DUMMYFUNCTION("""COMPUTED_VALUE"""),47.5316156923153)</f>
        <v>47.53161569</v>
      </c>
      <c r="P408" s="20">
        <f>IFERROR(__xludf.DUMMYFUNCTION("""COMPUTED_VALUE"""),76523.0)</f>
        <v>76523</v>
      </c>
      <c r="Q408" s="20">
        <f>IFERROR(__xludf.DUMMYFUNCTION("""COMPUTED_VALUE"""),160995.0)</f>
        <v>160995</v>
      </c>
    </row>
    <row r="409">
      <c r="A409" s="20">
        <f>IFERROR(__xludf.DUMMYFUNCTION("""COMPUTED_VALUE"""),408.0)</f>
        <v>408</v>
      </c>
      <c r="B409" s="20" t="str">
        <f>IFERROR(__xludf.DUMMYFUNCTION("""COMPUTED_VALUE"""),"Valid Word Abbreviation")</f>
        <v>Valid Word Abbreviation</v>
      </c>
      <c r="C409" s="20" t="str">
        <f>IFERROR(__xludf.DUMMYFUNCTION("""COMPUTED_VALUE"""),"valid-word-abbreviation")</f>
        <v>valid-word-abbreviation</v>
      </c>
      <c r="D409" s="20" t="b">
        <f>IFERROR(__xludf.DUMMYFUNCTION("""COMPUTED_VALUE"""),TRUE)</f>
        <v>1</v>
      </c>
      <c r="E409" s="20" t="str">
        <f>IFERROR(__xludf.DUMMYFUNCTION("""COMPUTED_VALUE"""),"Easy")</f>
        <v>Easy</v>
      </c>
      <c r="F409" s="20">
        <f>IFERROR(__xludf.DUMMYFUNCTION("""COMPUTED_VALUE"""),547.0)</f>
        <v>547</v>
      </c>
      <c r="G409" s="20">
        <f>IFERROR(__xludf.DUMMYFUNCTION("""COMPUTED_VALUE"""),1890.0)</f>
        <v>1890</v>
      </c>
      <c r="H409" s="20" t="str">
        <f>IFERROR(__xludf.DUMMYFUNCTION("""COMPUTED_VALUE"""),"Algorithms")</f>
        <v>Algorithms</v>
      </c>
      <c r="I409" s="20">
        <f>IFERROR(__xludf.DUMMYFUNCTION("""COMPUTED_VALUE"""),0.348)</f>
        <v>0.348</v>
      </c>
      <c r="J409" s="20">
        <f>IFERROR(__xludf.DUMMYFUNCTION("""COMPUTED_VALUE"""),408.0)</f>
        <v>408</v>
      </c>
      <c r="K409" s="20" t="b">
        <f>IFERROR(__xludf.DUMMYFUNCTION("""COMPUTED_VALUE"""),TRUE)</f>
        <v>1</v>
      </c>
      <c r="L409" s="20" t="str">
        <f>IFERROR(__xludf.DUMMYFUNCTION("""COMPUTED_VALUE"""),"Two Pointers;String;")</f>
        <v>Two Pointers;String;</v>
      </c>
      <c r="M409" s="20" t="b">
        <f>IFERROR(__xludf.DUMMYFUNCTION("""COMPUTED_VALUE"""),FALSE)</f>
        <v>0</v>
      </c>
      <c r="N409" s="20" t="b">
        <f>IFERROR(__xludf.DUMMYFUNCTION("""COMPUTED_VALUE"""),FALSE)</f>
        <v>0</v>
      </c>
      <c r="O409" s="20">
        <f>IFERROR(__xludf.DUMMYFUNCTION("""COMPUTED_VALUE"""),34.8365035263945)</f>
        <v>34.83650353</v>
      </c>
      <c r="P409" s="20">
        <f>IFERROR(__xludf.DUMMYFUNCTION("""COMPUTED_VALUE"""),115730.0)</f>
        <v>115730</v>
      </c>
      <c r="Q409" s="20">
        <f>IFERROR(__xludf.DUMMYFUNCTION("""COMPUTED_VALUE"""),332209.0)</f>
        <v>332209</v>
      </c>
    </row>
    <row r="410">
      <c r="A410" s="20">
        <f>IFERROR(__xludf.DUMMYFUNCTION("""COMPUTED_VALUE"""),409.0)</f>
        <v>409</v>
      </c>
      <c r="B410" s="20" t="str">
        <f>IFERROR(__xludf.DUMMYFUNCTION("""COMPUTED_VALUE"""),"Longest Palindrome")</f>
        <v>Longest Palindrome</v>
      </c>
      <c r="C410" s="20" t="str">
        <f>IFERROR(__xludf.DUMMYFUNCTION("""COMPUTED_VALUE"""),"longest-palindrome")</f>
        <v>longest-palindrome</v>
      </c>
      <c r="D410" s="20" t="b">
        <f>IFERROR(__xludf.DUMMYFUNCTION("""COMPUTED_VALUE"""),FALSE)</f>
        <v>0</v>
      </c>
      <c r="E410" s="20" t="str">
        <f>IFERROR(__xludf.DUMMYFUNCTION("""COMPUTED_VALUE"""),"Easy")</f>
        <v>Easy</v>
      </c>
      <c r="F410" s="20">
        <f>IFERROR(__xludf.DUMMYFUNCTION("""COMPUTED_VALUE"""),4127.0)</f>
        <v>4127</v>
      </c>
      <c r="G410" s="20">
        <f>IFERROR(__xludf.DUMMYFUNCTION("""COMPUTED_VALUE"""),248.0)</f>
        <v>248</v>
      </c>
      <c r="H410" s="20" t="str">
        <f>IFERROR(__xludf.DUMMYFUNCTION("""COMPUTED_VALUE"""),"Algorithms")</f>
        <v>Algorithms</v>
      </c>
      <c r="I410" s="20">
        <f>IFERROR(__xludf.DUMMYFUNCTION("""COMPUTED_VALUE"""),0.546)</f>
        <v>0.546</v>
      </c>
      <c r="J410" s="20">
        <f>IFERROR(__xludf.DUMMYFUNCTION("""COMPUTED_VALUE"""),409.0)</f>
        <v>409</v>
      </c>
      <c r="K410" s="20" t="b">
        <f>IFERROR(__xludf.DUMMYFUNCTION("""COMPUTED_VALUE"""),FALSE)</f>
        <v>0</v>
      </c>
      <c r="L410" s="20" t="str">
        <f>IFERROR(__xludf.DUMMYFUNCTION("""COMPUTED_VALUE"""),"Hash Table;String;Greedy;")</f>
        <v>Hash Table;String;Greedy;</v>
      </c>
      <c r="M410" s="20" t="b">
        <f>IFERROR(__xludf.DUMMYFUNCTION("""COMPUTED_VALUE"""),TRUE)</f>
        <v>1</v>
      </c>
      <c r="N410" s="20" t="b">
        <f>IFERROR(__xludf.DUMMYFUNCTION("""COMPUTED_VALUE"""),FALSE)</f>
        <v>0</v>
      </c>
      <c r="O410" s="20">
        <f>IFERROR(__xludf.DUMMYFUNCTION("""COMPUTED_VALUE"""),54.5534401223088)</f>
        <v>54.55344012</v>
      </c>
      <c r="P410" s="20">
        <f>IFERROR(__xludf.DUMMYFUNCTION("""COMPUTED_VALUE"""),440305.0)</f>
        <v>440305</v>
      </c>
      <c r="Q410" s="20">
        <f>IFERROR(__xludf.DUMMYFUNCTION("""COMPUTED_VALUE"""),807113.0)</f>
        <v>807113</v>
      </c>
    </row>
    <row r="411">
      <c r="A411" s="20">
        <f>IFERROR(__xludf.DUMMYFUNCTION("""COMPUTED_VALUE"""),410.0)</f>
        <v>410</v>
      </c>
      <c r="B411" s="20" t="str">
        <f>IFERROR(__xludf.DUMMYFUNCTION("""COMPUTED_VALUE"""),"Split Array Largest Sum")</f>
        <v>Split Array Largest Sum</v>
      </c>
      <c r="C411" s="20" t="str">
        <f>IFERROR(__xludf.DUMMYFUNCTION("""COMPUTED_VALUE"""),"split-array-largest-sum")</f>
        <v>split-array-largest-sum</v>
      </c>
      <c r="D411" s="20" t="b">
        <f>IFERROR(__xludf.DUMMYFUNCTION("""COMPUTED_VALUE"""),FALSE)</f>
        <v>0</v>
      </c>
      <c r="E411" s="20" t="str">
        <f>IFERROR(__xludf.DUMMYFUNCTION("""COMPUTED_VALUE"""),"Hard")</f>
        <v>Hard</v>
      </c>
      <c r="F411" s="20">
        <f>IFERROR(__xludf.DUMMYFUNCTION("""COMPUTED_VALUE"""),7356.0)</f>
        <v>7356</v>
      </c>
      <c r="G411" s="20">
        <f>IFERROR(__xludf.DUMMYFUNCTION("""COMPUTED_VALUE"""),167.0)</f>
        <v>167</v>
      </c>
      <c r="H411" s="20" t="str">
        <f>IFERROR(__xludf.DUMMYFUNCTION("""COMPUTED_VALUE"""),"Algorithms")</f>
        <v>Algorithms</v>
      </c>
      <c r="I411" s="20">
        <f>IFERROR(__xludf.DUMMYFUNCTION("""COMPUTED_VALUE"""),0.533)</f>
        <v>0.533</v>
      </c>
      <c r="J411" s="20">
        <f>IFERROR(__xludf.DUMMYFUNCTION("""COMPUTED_VALUE"""),410.0)</f>
        <v>410</v>
      </c>
      <c r="K411" s="20" t="b">
        <f>IFERROR(__xludf.DUMMYFUNCTION("""COMPUTED_VALUE"""),FALSE)</f>
        <v>0</v>
      </c>
      <c r="L411" s="20" t="str">
        <f>IFERROR(__xludf.DUMMYFUNCTION("""COMPUTED_VALUE"""),"Array;Binary Search;Dynamic Programming;Greedy;")</f>
        <v>Array;Binary Search;Dynamic Programming;Greedy;</v>
      </c>
      <c r="M411" s="20" t="b">
        <f>IFERROR(__xludf.DUMMYFUNCTION("""COMPUTED_VALUE"""),TRUE)</f>
        <v>1</v>
      </c>
      <c r="N411" s="20" t="b">
        <f>IFERROR(__xludf.DUMMYFUNCTION("""COMPUTED_VALUE"""),FALSE)</f>
        <v>0</v>
      </c>
      <c r="O411" s="20">
        <f>IFERROR(__xludf.DUMMYFUNCTION("""COMPUTED_VALUE"""),53.3360615095475)</f>
        <v>53.33606151</v>
      </c>
      <c r="P411" s="20">
        <f>IFERROR(__xludf.DUMMYFUNCTION("""COMPUTED_VALUE"""),246331.0)</f>
        <v>246331</v>
      </c>
      <c r="Q411" s="20">
        <f>IFERROR(__xludf.DUMMYFUNCTION("""COMPUTED_VALUE"""),461847.0)</f>
        <v>461847</v>
      </c>
    </row>
    <row r="412">
      <c r="A412" s="20">
        <f>IFERROR(__xludf.DUMMYFUNCTION("""COMPUTED_VALUE"""),411.0)</f>
        <v>411</v>
      </c>
      <c r="B412" s="20" t="str">
        <f>IFERROR(__xludf.DUMMYFUNCTION("""COMPUTED_VALUE"""),"Minimum Unique Word Abbreviation")</f>
        <v>Minimum Unique Word Abbreviation</v>
      </c>
      <c r="C412" s="20" t="str">
        <f>IFERROR(__xludf.DUMMYFUNCTION("""COMPUTED_VALUE"""),"minimum-unique-word-abbreviation")</f>
        <v>minimum-unique-word-abbreviation</v>
      </c>
      <c r="D412" s="20" t="b">
        <f>IFERROR(__xludf.DUMMYFUNCTION("""COMPUTED_VALUE"""),TRUE)</f>
        <v>1</v>
      </c>
      <c r="E412" s="20" t="str">
        <f>IFERROR(__xludf.DUMMYFUNCTION("""COMPUTED_VALUE"""),"Hard")</f>
        <v>Hard</v>
      </c>
      <c r="F412" s="20">
        <f>IFERROR(__xludf.DUMMYFUNCTION("""COMPUTED_VALUE"""),173.0)</f>
        <v>173</v>
      </c>
      <c r="G412" s="20">
        <f>IFERROR(__xludf.DUMMYFUNCTION("""COMPUTED_VALUE"""),140.0)</f>
        <v>140</v>
      </c>
      <c r="H412" s="20" t="str">
        <f>IFERROR(__xludf.DUMMYFUNCTION("""COMPUTED_VALUE"""),"Algorithms")</f>
        <v>Algorithms</v>
      </c>
      <c r="I412" s="20">
        <f>IFERROR(__xludf.DUMMYFUNCTION("""COMPUTED_VALUE"""),0.393)</f>
        <v>0.393</v>
      </c>
      <c r="J412" s="20">
        <f>IFERROR(__xludf.DUMMYFUNCTION("""COMPUTED_VALUE"""),411.0)</f>
        <v>411</v>
      </c>
      <c r="K412" s="20" t="b">
        <f>IFERROR(__xludf.DUMMYFUNCTION("""COMPUTED_VALUE"""),TRUE)</f>
        <v>1</v>
      </c>
      <c r="L412" s="20" t="str">
        <f>IFERROR(__xludf.DUMMYFUNCTION("""COMPUTED_VALUE"""),"String;Backtracking;Bit Manipulation;")</f>
        <v>String;Backtracking;Bit Manipulation;</v>
      </c>
      <c r="M412" s="20" t="b">
        <f>IFERROR(__xludf.DUMMYFUNCTION("""COMPUTED_VALUE"""),FALSE)</f>
        <v>0</v>
      </c>
      <c r="N412" s="20" t="b">
        <f>IFERROR(__xludf.DUMMYFUNCTION("""COMPUTED_VALUE"""),FALSE)</f>
        <v>0</v>
      </c>
      <c r="O412" s="20">
        <f>IFERROR(__xludf.DUMMYFUNCTION("""COMPUTED_VALUE"""),39.3145948357592)</f>
        <v>39.31459484</v>
      </c>
      <c r="P412" s="20">
        <f>IFERROR(__xludf.DUMMYFUNCTION("""COMPUTED_VALUE"""),14099.0)</f>
        <v>14099</v>
      </c>
      <c r="Q412" s="20">
        <f>IFERROR(__xludf.DUMMYFUNCTION("""COMPUTED_VALUE"""),35862.0)</f>
        <v>35862</v>
      </c>
    </row>
    <row r="413">
      <c r="A413" s="20">
        <f>IFERROR(__xludf.DUMMYFUNCTION("""COMPUTED_VALUE"""),412.0)</f>
        <v>412</v>
      </c>
      <c r="B413" s="20" t="str">
        <f>IFERROR(__xludf.DUMMYFUNCTION("""COMPUTED_VALUE"""),"Fizz Buzz")</f>
        <v>Fizz Buzz</v>
      </c>
      <c r="C413" s="20" t="str">
        <f>IFERROR(__xludf.DUMMYFUNCTION("""COMPUTED_VALUE"""),"fizz-buzz")</f>
        <v>fizz-buzz</v>
      </c>
      <c r="D413" s="20" t="b">
        <f>IFERROR(__xludf.DUMMYFUNCTION("""COMPUTED_VALUE"""),FALSE)</f>
        <v>0</v>
      </c>
      <c r="E413" s="20" t="str">
        <f>IFERROR(__xludf.DUMMYFUNCTION("""COMPUTED_VALUE"""),"Easy")</f>
        <v>Easy</v>
      </c>
      <c r="F413" s="20">
        <f>IFERROR(__xludf.DUMMYFUNCTION("""COMPUTED_VALUE"""),1412.0)</f>
        <v>1412</v>
      </c>
      <c r="G413" s="20">
        <f>IFERROR(__xludf.DUMMYFUNCTION("""COMPUTED_VALUE"""),206.0)</f>
        <v>206</v>
      </c>
      <c r="H413" s="20" t="str">
        <f>IFERROR(__xludf.DUMMYFUNCTION("""COMPUTED_VALUE"""),"Algorithms")</f>
        <v>Algorithms</v>
      </c>
      <c r="I413" s="20">
        <f>IFERROR(__xludf.DUMMYFUNCTION("""COMPUTED_VALUE"""),0.692)</f>
        <v>0.692</v>
      </c>
      <c r="J413" s="20">
        <f>IFERROR(__xludf.DUMMYFUNCTION("""COMPUTED_VALUE"""),412.0)</f>
        <v>412</v>
      </c>
      <c r="K413" s="20" t="b">
        <f>IFERROR(__xludf.DUMMYFUNCTION("""COMPUTED_VALUE"""),FALSE)</f>
        <v>0</v>
      </c>
      <c r="L413" s="20" t="str">
        <f>IFERROR(__xludf.DUMMYFUNCTION("""COMPUTED_VALUE"""),"Math;String;Simulation;")</f>
        <v>Math;String;Simulation;</v>
      </c>
      <c r="M413" s="20" t="b">
        <f>IFERROR(__xludf.DUMMYFUNCTION("""COMPUTED_VALUE"""),TRUE)</f>
        <v>1</v>
      </c>
      <c r="N413" s="20" t="b">
        <f>IFERROR(__xludf.DUMMYFUNCTION("""COMPUTED_VALUE"""),TRUE)</f>
        <v>1</v>
      </c>
      <c r="O413" s="20">
        <f>IFERROR(__xludf.DUMMYFUNCTION("""COMPUTED_VALUE"""),69.2227611248907)</f>
        <v>69.22276112</v>
      </c>
      <c r="P413" s="20">
        <f>IFERROR(__xludf.DUMMYFUNCTION("""COMPUTED_VALUE"""),851753.0)</f>
        <v>851753</v>
      </c>
      <c r="Q413" s="20">
        <f>IFERROR(__xludf.DUMMYFUNCTION("""COMPUTED_VALUE"""),1230460.0)</f>
        <v>1230460</v>
      </c>
    </row>
    <row r="414">
      <c r="A414" s="20">
        <f>IFERROR(__xludf.DUMMYFUNCTION("""COMPUTED_VALUE"""),413.0)</f>
        <v>413</v>
      </c>
      <c r="B414" s="20" t="str">
        <f>IFERROR(__xludf.DUMMYFUNCTION("""COMPUTED_VALUE"""),"Arithmetic Slices")</f>
        <v>Arithmetic Slices</v>
      </c>
      <c r="C414" s="20" t="str">
        <f>IFERROR(__xludf.DUMMYFUNCTION("""COMPUTED_VALUE"""),"arithmetic-slices")</f>
        <v>arithmetic-slices</v>
      </c>
      <c r="D414" s="20" t="b">
        <f>IFERROR(__xludf.DUMMYFUNCTION("""COMPUTED_VALUE"""),FALSE)</f>
        <v>0</v>
      </c>
      <c r="E414" s="20" t="str">
        <f>IFERROR(__xludf.DUMMYFUNCTION("""COMPUTED_VALUE"""),"Medium")</f>
        <v>Medium</v>
      </c>
      <c r="F414" s="20">
        <f>IFERROR(__xludf.DUMMYFUNCTION("""COMPUTED_VALUE"""),4543.0)</f>
        <v>4543</v>
      </c>
      <c r="G414" s="20">
        <f>IFERROR(__xludf.DUMMYFUNCTION("""COMPUTED_VALUE"""),270.0)</f>
        <v>270</v>
      </c>
      <c r="H414" s="20" t="str">
        <f>IFERROR(__xludf.DUMMYFUNCTION("""COMPUTED_VALUE"""),"Algorithms")</f>
        <v>Algorithms</v>
      </c>
      <c r="I414" s="20">
        <f>IFERROR(__xludf.DUMMYFUNCTION("""COMPUTED_VALUE"""),0.652)</f>
        <v>0.652</v>
      </c>
      <c r="J414" s="20">
        <f>IFERROR(__xludf.DUMMYFUNCTION("""COMPUTED_VALUE"""),413.0)</f>
        <v>413</v>
      </c>
      <c r="K414" s="20" t="b">
        <f>IFERROR(__xludf.DUMMYFUNCTION("""COMPUTED_VALUE"""),FALSE)</f>
        <v>0</v>
      </c>
      <c r="L414" s="20" t="str">
        <f>IFERROR(__xludf.DUMMYFUNCTION("""COMPUTED_VALUE"""),"Array;Dynamic Programming;")</f>
        <v>Array;Dynamic Programming;</v>
      </c>
      <c r="M414" s="20" t="b">
        <f>IFERROR(__xludf.DUMMYFUNCTION("""COMPUTED_VALUE"""),TRUE)</f>
        <v>1</v>
      </c>
      <c r="N414" s="20" t="b">
        <f>IFERROR(__xludf.DUMMYFUNCTION("""COMPUTED_VALUE"""),FALSE)</f>
        <v>0</v>
      </c>
      <c r="O414" s="20">
        <f>IFERROR(__xludf.DUMMYFUNCTION("""COMPUTED_VALUE"""),65.1555661475749)</f>
        <v>65.15556615</v>
      </c>
      <c r="P414" s="20">
        <f>IFERROR(__xludf.DUMMYFUNCTION("""COMPUTED_VALUE"""),262458.0)</f>
        <v>262458</v>
      </c>
      <c r="Q414" s="20">
        <f>IFERROR(__xludf.DUMMYFUNCTION("""COMPUTED_VALUE"""),402816.0)</f>
        <v>402816</v>
      </c>
    </row>
    <row r="415">
      <c r="A415" s="20">
        <f>IFERROR(__xludf.DUMMYFUNCTION("""COMPUTED_VALUE"""),414.0)</f>
        <v>414</v>
      </c>
      <c r="B415" s="20" t="str">
        <f>IFERROR(__xludf.DUMMYFUNCTION("""COMPUTED_VALUE"""),"Third Maximum Number")</f>
        <v>Third Maximum Number</v>
      </c>
      <c r="C415" s="20" t="str">
        <f>IFERROR(__xludf.DUMMYFUNCTION("""COMPUTED_VALUE"""),"third-maximum-number")</f>
        <v>third-maximum-number</v>
      </c>
      <c r="D415" s="20" t="b">
        <f>IFERROR(__xludf.DUMMYFUNCTION("""COMPUTED_VALUE"""),FALSE)</f>
        <v>0</v>
      </c>
      <c r="E415" s="20" t="str">
        <f>IFERROR(__xludf.DUMMYFUNCTION("""COMPUTED_VALUE"""),"Easy")</f>
        <v>Easy</v>
      </c>
      <c r="F415" s="20">
        <f>IFERROR(__xludf.DUMMYFUNCTION("""COMPUTED_VALUE"""),2193.0)</f>
        <v>2193</v>
      </c>
      <c r="G415" s="20">
        <f>IFERROR(__xludf.DUMMYFUNCTION("""COMPUTED_VALUE"""),2629.0)</f>
        <v>2629</v>
      </c>
      <c r="H415" s="20" t="str">
        <f>IFERROR(__xludf.DUMMYFUNCTION("""COMPUTED_VALUE"""),"Algorithms")</f>
        <v>Algorithms</v>
      </c>
      <c r="I415" s="20">
        <f>IFERROR(__xludf.DUMMYFUNCTION("""COMPUTED_VALUE"""),0.328)</f>
        <v>0.328</v>
      </c>
      <c r="J415" s="20">
        <f>IFERROR(__xludf.DUMMYFUNCTION("""COMPUTED_VALUE"""),414.0)</f>
        <v>414</v>
      </c>
      <c r="K415" s="20" t="b">
        <f>IFERROR(__xludf.DUMMYFUNCTION("""COMPUTED_VALUE"""),FALSE)</f>
        <v>0</v>
      </c>
      <c r="L415" s="20" t="str">
        <f>IFERROR(__xludf.DUMMYFUNCTION("""COMPUTED_VALUE"""),"Array;Sorting;")</f>
        <v>Array;Sorting;</v>
      </c>
      <c r="M415" s="20" t="b">
        <f>IFERROR(__xludf.DUMMYFUNCTION("""COMPUTED_VALUE"""),TRUE)</f>
        <v>1</v>
      </c>
      <c r="N415" s="20" t="b">
        <f>IFERROR(__xludf.DUMMYFUNCTION("""COMPUTED_VALUE"""),FALSE)</f>
        <v>0</v>
      </c>
      <c r="O415" s="20">
        <f>IFERROR(__xludf.DUMMYFUNCTION("""COMPUTED_VALUE"""),32.7830623600927)</f>
        <v>32.78306236</v>
      </c>
      <c r="P415" s="20">
        <f>IFERROR(__xludf.DUMMYFUNCTION("""COMPUTED_VALUE"""),396432.0)</f>
        <v>396432</v>
      </c>
      <c r="Q415" s="20">
        <f>IFERROR(__xludf.DUMMYFUNCTION("""COMPUTED_VALUE"""),1209266.0)</f>
        <v>1209266</v>
      </c>
    </row>
    <row r="416">
      <c r="A416" s="20">
        <f>IFERROR(__xludf.DUMMYFUNCTION("""COMPUTED_VALUE"""),415.0)</f>
        <v>415</v>
      </c>
      <c r="B416" s="20" t="str">
        <f>IFERROR(__xludf.DUMMYFUNCTION("""COMPUTED_VALUE"""),"Add Strings")</f>
        <v>Add Strings</v>
      </c>
      <c r="C416" s="20" t="str">
        <f>IFERROR(__xludf.DUMMYFUNCTION("""COMPUTED_VALUE"""),"add-strings")</f>
        <v>add-strings</v>
      </c>
      <c r="D416" s="20" t="b">
        <f>IFERROR(__xludf.DUMMYFUNCTION("""COMPUTED_VALUE"""),FALSE)</f>
        <v>0</v>
      </c>
      <c r="E416" s="20" t="str">
        <f>IFERROR(__xludf.DUMMYFUNCTION("""COMPUTED_VALUE"""),"Easy")</f>
        <v>Easy</v>
      </c>
      <c r="F416" s="20">
        <f>IFERROR(__xludf.DUMMYFUNCTION("""COMPUTED_VALUE"""),4087.0)</f>
        <v>4087</v>
      </c>
      <c r="G416" s="20">
        <f>IFERROR(__xludf.DUMMYFUNCTION("""COMPUTED_VALUE"""),621.0)</f>
        <v>621</v>
      </c>
      <c r="H416" s="20" t="str">
        <f>IFERROR(__xludf.DUMMYFUNCTION("""COMPUTED_VALUE"""),"Algorithms")</f>
        <v>Algorithms</v>
      </c>
      <c r="I416" s="20">
        <f>IFERROR(__xludf.DUMMYFUNCTION("""COMPUTED_VALUE"""),0.526)</f>
        <v>0.526</v>
      </c>
      <c r="J416" s="20">
        <f>IFERROR(__xludf.DUMMYFUNCTION("""COMPUTED_VALUE"""),415.0)</f>
        <v>415</v>
      </c>
      <c r="K416" s="20" t="b">
        <f>IFERROR(__xludf.DUMMYFUNCTION("""COMPUTED_VALUE"""),FALSE)</f>
        <v>0</v>
      </c>
      <c r="L416" s="20" t="str">
        <f>IFERROR(__xludf.DUMMYFUNCTION("""COMPUTED_VALUE"""),"Math;String;Simulation;")</f>
        <v>Math;String;Simulation;</v>
      </c>
      <c r="M416" s="20" t="b">
        <f>IFERROR(__xludf.DUMMYFUNCTION("""COMPUTED_VALUE"""),TRUE)</f>
        <v>1</v>
      </c>
      <c r="N416" s="20" t="b">
        <f>IFERROR(__xludf.DUMMYFUNCTION("""COMPUTED_VALUE"""),FALSE)</f>
        <v>0</v>
      </c>
      <c r="O416" s="20">
        <f>IFERROR(__xludf.DUMMYFUNCTION("""COMPUTED_VALUE"""),52.5615362274339)</f>
        <v>52.56153623</v>
      </c>
      <c r="P416" s="20">
        <f>IFERROR(__xludf.DUMMYFUNCTION("""COMPUTED_VALUE"""),537495.0)</f>
        <v>537495</v>
      </c>
      <c r="Q416" s="20">
        <f>IFERROR(__xludf.DUMMYFUNCTION("""COMPUTED_VALUE"""),1022599.0)</f>
        <v>1022599</v>
      </c>
    </row>
    <row r="417">
      <c r="A417" s="20">
        <f>IFERROR(__xludf.DUMMYFUNCTION("""COMPUTED_VALUE"""),416.0)</f>
        <v>416</v>
      </c>
      <c r="B417" s="20" t="str">
        <f>IFERROR(__xludf.DUMMYFUNCTION("""COMPUTED_VALUE"""),"Partition Equal Subset Sum")</f>
        <v>Partition Equal Subset Sum</v>
      </c>
      <c r="C417" s="20" t="str">
        <f>IFERROR(__xludf.DUMMYFUNCTION("""COMPUTED_VALUE"""),"partition-equal-subset-sum")</f>
        <v>partition-equal-subset-sum</v>
      </c>
      <c r="D417" s="20" t="b">
        <f>IFERROR(__xludf.DUMMYFUNCTION("""COMPUTED_VALUE"""),FALSE)</f>
        <v>0</v>
      </c>
      <c r="E417" s="20" t="str">
        <f>IFERROR(__xludf.DUMMYFUNCTION("""COMPUTED_VALUE"""),"Medium")</f>
        <v>Medium</v>
      </c>
      <c r="F417" s="20">
        <f>IFERROR(__xludf.DUMMYFUNCTION("""COMPUTED_VALUE"""),9556.0)</f>
        <v>9556</v>
      </c>
      <c r="G417" s="20">
        <f>IFERROR(__xludf.DUMMYFUNCTION("""COMPUTED_VALUE"""),159.0)</f>
        <v>159</v>
      </c>
      <c r="H417" s="20" t="str">
        <f>IFERROR(__xludf.DUMMYFUNCTION("""COMPUTED_VALUE"""),"Algorithms")</f>
        <v>Algorithms</v>
      </c>
      <c r="I417" s="20">
        <f>IFERROR(__xludf.DUMMYFUNCTION("""COMPUTED_VALUE"""),0.465)</f>
        <v>0.465</v>
      </c>
      <c r="J417" s="20">
        <f>IFERROR(__xludf.DUMMYFUNCTION("""COMPUTED_VALUE"""),416.0)</f>
        <v>416</v>
      </c>
      <c r="K417" s="20" t="b">
        <f>IFERROR(__xludf.DUMMYFUNCTION("""COMPUTED_VALUE"""),FALSE)</f>
        <v>0</v>
      </c>
      <c r="L417" s="20" t="str">
        <f>IFERROR(__xludf.DUMMYFUNCTION("""COMPUTED_VALUE"""),"Array;Dynamic Programming;")</f>
        <v>Array;Dynamic Programming;</v>
      </c>
      <c r="M417" s="20" t="b">
        <f>IFERROR(__xludf.DUMMYFUNCTION("""COMPUTED_VALUE"""),TRUE)</f>
        <v>1</v>
      </c>
      <c r="N417" s="20" t="b">
        <f>IFERROR(__xludf.DUMMYFUNCTION("""COMPUTED_VALUE"""),TRUE)</f>
        <v>1</v>
      </c>
      <c r="O417" s="20">
        <f>IFERROR(__xludf.DUMMYFUNCTION("""COMPUTED_VALUE"""),46.4734684471219)</f>
        <v>46.47346845</v>
      </c>
      <c r="P417" s="20">
        <f>IFERROR(__xludf.DUMMYFUNCTION("""COMPUTED_VALUE"""),572706.0)</f>
        <v>572706</v>
      </c>
      <c r="Q417" s="20">
        <f>IFERROR(__xludf.DUMMYFUNCTION("""COMPUTED_VALUE"""),1232318.0)</f>
        <v>1232318</v>
      </c>
    </row>
    <row r="418">
      <c r="A418" s="20">
        <f>IFERROR(__xludf.DUMMYFUNCTION("""COMPUTED_VALUE"""),417.0)</f>
        <v>417</v>
      </c>
      <c r="B418" s="20" t="str">
        <f>IFERROR(__xludf.DUMMYFUNCTION("""COMPUTED_VALUE"""),"Pacific Atlantic Water Flow")</f>
        <v>Pacific Atlantic Water Flow</v>
      </c>
      <c r="C418" s="20" t="str">
        <f>IFERROR(__xludf.DUMMYFUNCTION("""COMPUTED_VALUE"""),"pacific-atlantic-water-flow")</f>
        <v>pacific-atlantic-water-flow</v>
      </c>
      <c r="D418" s="20" t="b">
        <f>IFERROR(__xludf.DUMMYFUNCTION("""COMPUTED_VALUE"""),FALSE)</f>
        <v>0</v>
      </c>
      <c r="E418" s="20" t="str">
        <f>IFERROR(__xludf.DUMMYFUNCTION("""COMPUTED_VALUE"""),"Medium")</f>
        <v>Medium</v>
      </c>
      <c r="F418" s="20">
        <f>IFERROR(__xludf.DUMMYFUNCTION("""COMPUTED_VALUE"""),5954.0)</f>
        <v>5954</v>
      </c>
      <c r="G418" s="20">
        <f>IFERROR(__xludf.DUMMYFUNCTION("""COMPUTED_VALUE"""),1135.0)</f>
        <v>1135</v>
      </c>
      <c r="H418" s="20" t="str">
        <f>IFERROR(__xludf.DUMMYFUNCTION("""COMPUTED_VALUE"""),"Algorithms")</f>
        <v>Algorithms</v>
      </c>
      <c r="I418" s="20">
        <f>IFERROR(__xludf.DUMMYFUNCTION("""COMPUTED_VALUE"""),0.542)</f>
        <v>0.542</v>
      </c>
      <c r="J418" s="20">
        <f>IFERROR(__xludf.DUMMYFUNCTION("""COMPUTED_VALUE"""),417.0)</f>
        <v>417</v>
      </c>
      <c r="K418" s="20" t="b">
        <f>IFERROR(__xludf.DUMMYFUNCTION("""COMPUTED_VALUE"""),FALSE)</f>
        <v>0</v>
      </c>
      <c r="L418" s="20" t="str">
        <f>IFERROR(__xludf.DUMMYFUNCTION("""COMPUTED_VALUE"""),"Array;Depth-First Search;Breadth-First Search;Matrix;")</f>
        <v>Array;Depth-First Search;Breadth-First Search;Matrix;</v>
      </c>
      <c r="M418" s="20" t="b">
        <f>IFERROR(__xludf.DUMMYFUNCTION("""COMPUTED_VALUE"""),TRUE)</f>
        <v>1</v>
      </c>
      <c r="N418" s="20" t="b">
        <f>IFERROR(__xludf.DUMMYFUNCTION("""COMPUTED_VALUE"""),FALSE)</f>
        <v>0</v>
      </c>
      <c r="O418" s="20">
        <f>IFERROR(__xludf.DUMMYFUNCTION("""COMPUTED_VALUE"""),54.1810975650135)</f>
        <v>54.18109757</v>
      </c>
      <c r="P418" s="20">
        <f>IFERROR(__xludf.DUMMYFUNCTION("""COMPUTED_VALUE"""),327268.0)</f>
        <v>327268</v>
      </c>
      <c r="Q418" s="20">
        <f>IFERROR(__xludf.DUMMYFUNCTION("""COMPUTED_VALUE"""),604024.0)</f>
        <v>604024</v>
      </c>
    </row>
    <row r="419">
      <c r="A419" s="20">
        <f>IFERROR(__xludf.DUMMYFUNCTION("""COMPUTED_VALUE"""),418.0)</f>
        <v>418</v>
      </c>
      <c r="B419" s="20" t="str">
        <f>IFERROR(__xludf.DUMMYFUNCTION("""COMPUTED_VALUE"""),"Sentence Screen Fitting")</f>
        <v>Sentence Screen Fitting</v>
      </c>
      <c r="C419" s="20" t="str">
        <f>IFERROR(__xludf.DUMMYFUNCTION("""COMPUTED_VALUE"""),"sentence-screen-fitting")</f>
        <v>sentence-screen-fitting</v>
      </c>
      <c r="D419" s="20" t="b">
        <f>IFERROR(__xludf.DUMMYFUNCTION("""COMPUTED_VALUE"""),TRUE)</f>
        <v>1</v>
      </c>
      <c r="E419" s="20" t="str">
        <f>IFERROR(__xludf.DUMMYFUNCTION("""COMPUTED_VALUE"""),"Medium")</f>
        <v>Medium</v>
      </c>
      <c r="F419" s="20">
        <f>IFERROR(__xludf.DUMMYFUNCTION("""COMPUTED_VALUE"""),1013.0)</f>
        <v>1013</v>
      </c>
      <c r="G419" s="20">
        <f>IFERROR(__xludf.DUMMYFUNCTION("""COMPUTED_VALUE"""),506.0)</f>
        <v>506</v>
      </c>
      <c r="H419" s="20" t="str">
        <f>IFERROR(__xludf.DUMMYFUNCTION("""COMPUTED_VALUE"""),"Algorithms")</f>
        <v>Algorithms</v>
      </c>
      <c r="I419" s="20">
        <f>IFERROR(__xludf.DUMMYFUNCTION("""COMPUTED_VALUE"""),0.356)</f>
        <v>0.356</v>
      </c>
      <c r="J419" s="20">
        <f>IFERROR(__xludf.DUMMYFUNCTION("""COMPUTED_VALUE"""),418.0)</f>
        <v>418</v>
      </c>
      <c r="K419" s="20" t="b">
        <f>IFERROR(__xludf.DUMMYFUNCTION("""COMPUTED_VALUE"""),TRUE)</f>
        <v>1</v>
      </c>
      <c r="L419" s="20" t="str">
        <f>IFERROR(__xludf.DUMMYFUNCTION("""COMPUTED_VALUE"""),"String;Dynamic Programming;Simulation;")</f>
        <v>String;Dynamic Programming;Simulation;</v>
      </c>
      <c r="M419" s="20" t="b">
        <f>IFERROR(__xludf.DUMMYFUNCTION("""COMPUTED_VALUE"""),FALSE)</f>
        <v>0</v>
      </c>
      <c r="N419" s="20" t="b">
        <f>IFERROR(__xludf.DUMMYFUNCTION("""COMPUTED_VALUE"""),FALSE)</f>
        <v>0</v>
      </c>
      <c r="O419" s="20">
        <f>IFERROR(__xludf.DUMMYFUNCTION("""COMPUTED_VALUE"""),35.5514056585015)</f>
        <v>35.55140566</v>
      </c>
      <c r="P419" s="20">
        <f>IFERROR(__xludf.DUMMYFUNCTION("""COMPUTED_VALUE"""),91187.0)</f>
        <v>91187</v>
      </c>
      <c r="Q419" s="20">
        <f>IFERROR(__xludf.DUMMYFUNCTION("""COMPUTED_VALUE"""),256497.0)</f>
        <v>256497</v>
      </c>
    </row>
    <row r="420">
      <c r="A420" s="20">
        <f>IFERROR(__xludf.DUMMYFUNCTION("""COMPUTED_VALUE"""),419.0)</f>
        <v>419</v>
      </c>
      <c r="B420" s="20" t="str">
        <f>IFERROR(__xludf.DUMMYFUNCTION("""COMPUTED_VALUE"""),"Battleships in a Board")</f>
        <v>Battleships in a Board</v>
      </c>
      <c r="C420" s="20" t="str">
        <f>IFERROR(__xludf.DUMMYFUNCTION("""COMPUTED_VALUE"""),"battleships-in-a-board")</f>
        <v>battleships-in-a-board</v>
      </c>
      <c r="D420" s="20" t="b">
        <f>IFERROR(__xludf.DUMMYFUNCTION("""COMPUTED_VALUE"""),FALSE)</f>
        <v>0</v>
      </c>
      <c r="E420" s="20" t="str">
        <f>IFERROR(__xludf.DUMMYFUNCTION("""COMPUTED_VALUE"""),"Medium")</f>
        <v>Medium</v>
      </c>
      <c r="F420" s="20">
        <f>IFERROR(__xludf.DUMMYFUNCTION("""COMPUTED_VALUE"""),1856.0)</f>
        <v>1856</v>
      </c>
      <c r="G420" s="20">
        <f>IFERROR(__xludf.DUMMYFUNCTION("""COMPUTED_VALUE"""),859.0)</f>
        <v>859</v>
      </c>
      <c r="H420" s="20" t="str">
        <f>IFERROR(__xludf.DUMMYFUNCTION("""COMPUTED_VALUE"""),"Algorithms")</f>
        <v>Algorithms</v>
      </c>
      <c r="I420" s="20">
        <f>IFERROR(__xludf.DUMMYFUNCTION("""COMPUTED_VALUE"""),0.747)</f>
        <v>0.747</v>
      </c>
      <c r="J420" s="20">
        <f>IFERROR(__xludf.DUMMYFUNCTION("""COMPUTED_VALUE"""),419.0)</f>
        <v>419</v>
      </c>
      <c r="K420" s="20" t="b">
        <f>IFERROR(__xludf.DUMMYFUNCTION("""COMPUTED_VALUE"""),FALSE)</f>
        <v>0</v>
      </c>
      <c r="L420" s="20" t="str">
        <f>IFERROR(__xludf.DUMMYFUNCTION("""COMPUTED_VALUE"""),"Array;Depth-First Search;Matrix;")</f>
        <v>Array;Depth-First Search;Matrix;</v>
      </c>
      <c r="M420" s="20" t="b">
        <f>IFERROR(__xludf.DUMMYFUNCTION("""COMPUTED_VALUE"""),FALSE)</f>
        <v>0</v>
      </c>
      <c r="N420" s="20" t="b">
        <f>IFERROR(__xludf.DUMMYFUNCTION("""COMPUTED_VALUE"""),FALSE)</f>
        <v>0</v>
      </c>
      <c r="O420" s="20">
        <f>IFERROR(__xludf.DUMMYFUNCTION("""COMPUTED_VALUE"""),74.7499433874392)</f>
        <v>74.74994339</v>
      </c>
      <c r="P420" s="20">
        <f>IFERROR(__xludf.DUMMYFUNCTION("""COMPUTED_VALUE"""),174949.0)</f>
        <v>174949</v>
      </c>
      <c r="Q420" s="20">
        <f>IFERROR(__xludf.DUMMYFUNCTION("""COMPUTED_VALUE"""),234046.0)</f>
        <v>234046</v>
      </c>
    </row>
    <row r="421">
      <c r="A421" s="20">
        <f>IFERROR(__xludf.DUMMYFUNCTION("""COMPUTED_VALUE"""),420.0)</f>
        <v>420</v>
      </c>
      <c r="B421" s="20" t="str">
        <f>IFERROR(__xludf.DUMMYFUNCTION("""COMPUTED_VALUE"""),"Strong Password Checker")</f>
        <v>Strong Password Checker</v>
      </c>
      <c r="C421" s="20" t="str">
        <f>IFERROR(__xludf.DUMMYFUNCTION("""COMPUTED_VALUE"""),"strong-password-checker")</f>
        <v>strong-password-checker</v>
      </c>
      <c r="D421" s="20" t="b">
        <f>IFERROR(__xludf.DUMMYFUNCTION("""COMPUTED_VALUE"""),FALSE)</f>
        <v>0</v>
      </c>
      <c r="E421" s="20" t="str">
        <f>IFERROR(__xludf.DUMMYFUNCTION("""COMPUTED_VALUE"""),"Hard")</f>
        <v>Hard</v>
      </c>
      <c r="F421" s="20">
        <f>IFERROR(__xludf.DUMMYFUNCTION("""COMPUTED_VALUE"""),628.0)</f>
        <v>628</v>
      </c>
      <c r="G421" s="20">
        <f>IFERROR(__xludf.DUMMYFUNCTION("""COMPUTED_VALUE"""),1473.0)</f>
        <v>1473</v>
      </c>
      <c r="H421" s="20" t="str">
        <f>IFERROR(__xludf.DUMMYFUNCTION("""COMPUTED_VALUE"""),"Algorithms")</f>
        <v>Algorithms</v>
      </c>
      <c r="I421" s="20">
        <f>IFERROR(__xludf.DUMMYFUNCTION("""COMPUTED_VALUE"""),0.141)</f>
        <v>0.141</v>
      </c>
      <c r="J421" s="20">
        <f>IFERROR(__xludf.DUMMYFUNCTION("""COMPUTED_VALUE"""),420.0)</f>
        <v>420</v>
      </c>
      <c r="K421" s="20" t="b">
        <f>IFERROR(__xludf.DUMMYFUNCTION("""COMPUTED_VALUE"""),FALSE)</f>
        <v>0</v>
      </c>
      <c r="L421" s="20" t="str">
        <f>IFERROR(__xludf.DUMMYFUNCTION("""COMPUTED_VALUE"""),"String;Greedy;Heap (Priority Queue);")</f>
        <v>String;Greedy;Heap (Priority Queue);</v>
      </c>
      <c r="M421" s="20" t="b">
        <f>IFERROR(__xludf.DUMMYFUNCTION("""COMPUTED_VALUE"""),FALSE)</f>
        <v>0</v>
      </c>
      <c r="N421" s="20" t="b">
        <f>IFERROR(__xludf.DUMMYFUNCTION("""COMPUTED_VALUE"""),FALSE)</f>
        <v>0</v>
      </c>
      <c r="O421" s="20">
        <f>IFERROR(__xludf.DUMMYFUNCTION("""COMPUTED_VALUE"""),14.069024809629)</f>
        <v>14.06902481</v>
      </c>
      <c r="P421" s="20">
        <f>IFERROR(__xludf.DUMMYFUNCTION("""COMPUTED_VALUE"""),29783.0)</f>
        <v>29783</v>
      </c>
      <c r="Q421" s="20">
        <f>IFERROR(__xludf.DUMMYFUNCTION("""COMPUTED_VALUE"""),211685.0)</f>
        <v>211685</v>
      </c>
    </row>
    <row r="422">
      <c r="A422" s="20">
        <f>IFERROR(__xludf.DUMMYFUNCTION("""COMPUTED_VALUE"""),421.0)</f>
        <v>421</v>
      </c>
      <c r="B422" s="20" t="str">
        <f>IFERROR(__xludf.DUMMYFUNCTION("""COMPUTED_VALUE"""),"Maximum XOR of Two Numbers in an Array")</f>
        <v>Maximum XOR of Two Numbers in an Array</v>
      </c>
      <c r="C422" s="20" t="str">
        <f>IFERROR(__xludf.DUMMYFUNCTION("""COMPUTED_VALUE"""),"maximum-xor-of-two-numbers-in-an-array")</f>
        <v>maximum-xor-of-two-numbers-in-an-array</v>
      </c>
      <c r="D422" s="20" t="b">
        <f>IFERROR(__xludf.DUMMYFUNCTION("""COMPUTED_VALUE"""),FALSE)</f>
        <v>0</v>
      </c>
      <c r="E422" s="20" t="str">
        <f>IFERROR(__xludf.DUMMYFUNCTION("""COMPUTED_VALUE"""),"Medium")</f>
        <v>Medium</v>
      </c>
      <c r="F422" s="20">
        <f>IFERROR(__xludf.DUMMYFUNCTION("""COMPUTED_VALUE"""),4616.0)</f>
        <v>4616</v>
      </c>
      <c r="G422" s="20">
        <f>IFERROR(__xludf.DUMMYFUNCTION("""COMPUTED_VALUE"""),347.0)</f>
        <v>347</v>
      </c>
      <c r="H422" s="20" t="str">
        <f>IFERROR(__xludf.DUMMYFUNCTION("""COMPUTED_VALUE"""),"Algorithms")</f>
        <v>Algorithms</v>
      </c>
      <c r="I422" s="20">
        <f>IFERROR(__xludf.DUMMYFUNCTION("""COMPUTED_VALUE"""),0.544)</f>
        <v>0.544</v>
      </c>
      <c r="J422" s="20">
        <f>IFERROR(__xludf.DUMMYFUNCTION("""COMPUTED_VALUE"""),421.0)</f>
        <v>421</v>
      </c>
      <c r="K422" s="20" t="b">
        <f>IFERROR(__xludf.DUMMYFUNCTION("""COMPUTED_VALUE"""),FALSE)</f>
        <v>0</v>
      </c>
      <c r="L422" s="20" t="str">
        <f>IFERROR(__xludf.DUMMYFUNCTION("""COMPUTED_VALUE"""),"Array;Hash Table;Bit Manipulation;Trie;")</f>
        <v>Array;Hash Table;Bit Manipulation;Trie;</v>
      </c>
      <c r="M422" s="20" t="b">
        <f>IFERROR(__xludf.DUMMYFUNCTION("""COMPUTED_VALUE"""),TRUE)</f>
        <v>1</v>
      </c>
      <c r="N422" s="20" t="b">
        <f>IFERROR(__xludf.DUMMYFUNCTION("""COMPUTED_VALUE"""),FALSE)</f>
        <v>0</v>
      </c>
      <c r="O422" s="20">
        <f>IFERROR(__xludf.DUMMYFUNCTION("""COMPUTED_VALUE"""),54.4415858355039)</f>
        <v>54.44158584</v>
      </c>
      <c r="P422" s="20">
        <f>IFERROR(__xludf.DUMMYFUNCTION("""COMPUTED_VALUE"""),136276.0)</f>
        <v>136276</v>
      </c>
      <c r="Q422" s="20">
        <f>IFERROR(__xludf.DUMMYFUNCTION("""COMPUTED_VALUE"""),250316.0)</f>
        <v>250316</v>
      </c>
    </row>
    <row r="423">
      <c r="A423" s="20">
        <f>IFERROR(__xludf.DUMMYFUNCTION("""COMPUTED_VALUE"""),422.0)</f>
        <v>422</v>
      </c>
      <c r="B423" s="20" t="str">
        <f>IFERROR(__xludf.DUMMYFUNCTION("""COMPUTED_VALUE"""),"Valid Word Square")</f>
        <v>Valid Word Square</v>
      </c>
      <c r="C423" s="20" t="str">
        <f>IFERROR(__xludf.DUMMYFUNCTION("""COMPUTED_VALUE"""),"valid-word-square")</f>
        <v>valid-word-square</v>
      </c>
      <c r="D423" s="20" t="b">
        <f>IFERROR(__xludf.DUMMYFUNCTION("""COMPUTED_VALUE"""),TRUE)</f>
        <v>1</v>
      </c>
      <c r="E423" s="20" t="str">
        <f>IFERROR(__xludf.DUMMYFUNCTION("""COMPUTED_VALUE"""),"Easy")</f>
        <v>Easy</v>
      </c>
      <c r="F423" s="20">
        <f>IFERROR(__xludf.DUMMYFUNCTION("""COMPUTED_VALUE"""),319.0)</f>
        <v>319</v>
      </c>
      <c r="G423" s="20">
        <f>IFERROR(__xludf.DUMMYFUNCTION("""COMPUTED_VALUE"""),189.0)</f>
        <v>189</v>
      </c>
      <c r="H423" s="20" t="str">
        <f>IFERROR(__xludf.DUMMYFUNCTION("""COMPUTED_VALUE"""),"Algorithms")</f>
        <v>Algorithms</v>
      </c>
      <c r="I423" s="20">
        <f>IFERROR(__xludf.DUMMYFUNCTION("""COMPUTED_VALUE"""),0.389)</f>
        <v>0.389</v>
      </c>
      <c r="J423" s="20">
        <f>IFERROR(__xludf.DUMMYFUNCTION("""COMPUTED_VALUE"""),422.0)</f>
        <v>422</v>
      </c>
      <c r="K423" s="20" t="b">
        <f>IFERROR(__xludf.DUMMYFUNCTION("""COMPUTED_VALUE"""),TRUE)</f>
        <v>1</v>
      </c>
      <c r="L423" s="20" t="str">
        <f>IFERROR(__xludf.DUMMYFUNCTION("""COMPUTED_VALUE"""),"Array;Matrix;")</f>
        <v>Array;Matrix;</v>
      </c>
      <c r="M423" s="20" t="b">
        <f>IFERROR(__xludf.DUMMYFUNCTION("""COMPUTED_VALUE"""),TRUE)</f>
        <v>1</v>
      </c>
      <c r="N423" s="20" t="b">
        <f>IFERROR(__xludf.DUMMYFUNCTION("""COMPUTED_VALUE"""),FALSE)</f>
        <v>0</v>
      </c>
      <c r="O423" s="20">
        <f>IFERROR(__xludf.DUMMYFUNCTION("""COMPUTED_VALUE"""),38.9240450077323)</f>
        <v>38.92404501</v>
      </c>
      <c r="P423" s="20">
        <f>IFERROR(__xludf.DUMMYFUNCTION("""COMPUTED_VALUE"""),43795.0)</f>
        <v>43795</v>
      </c>
      <c r="Q423" s="20">
        <f>IFERROR(__xludf.DUMMYFUNCTION("""COMPUTED_VALUE"""),112514.0)</f>
        <v>112514</v>
      </c>
    </row>
    <row r="424">
      <c r="A424" s="20">
        <f>IFERROR(__xludf.DUMMYFUNCTION("""COMPUTED_VALUE"""),423.0)</f>
        <v>423</v>
      </c>
      <c r="B424" s="20" t="str">
        <f>IFERROR(__xludf.DUMMYFUNCTION("""COMPUTED_VALUE"""),"Reconstruct Original Digits from English")</f>
        <v>Reconstruct Original Digits from English</v>
      </c>
      <c r="C424" s="20" t="str">
        <f>IFERROR(__xludf.DUMMYFUNCTION("""COMPUTED_VALUE"""),"reconstruct-original-digits-from-english")</f>
        <v>reconstruct-original-digits-from-english</v>
      </c>
      <c r="D424" s="20" t="b">
        <f>IFERROR(__xludf.DUMMYFUNCTION("""COMPUTED_VALUE"""),FALSE)</f>
        <v>0</v>
      </c>
      <c r="E424" s="20" t="str">
        <f>IFERROR(__xludf.DUMMYFUNCTION("""COMPUTED_VALUE"""),"Medium")</f>
        <v>Medium</v>
      </c>
      <c r="F424" s="20">
        <f>IFERROR(__xludf.DUMMYFUNCTION("""COMPUTED_VALUE"""),698.0)</f>
        <v>698</v>
      </c>
      <c r="G424" s="20">
        <f>IFERROR(__xludf.DUMMYFUNCTION("""COMPUTED_VALUE"""),2368.0)</f>
        <v>2368</v>
      </c>
      <c r="H424" s="20" t="str">
        <f>IFERROR(__xludf.DUMMYFUNCTION("""COMPUTED_VALUE"""),"Algorithms")</f>
        <v>Algorithms</v>
      </c>
      <c r="I424" s="20">
        <f>IFERROR(__xludf.DUMMYFUNCTION("""COMPUTED_VALUE"""),0.513)</f>
        <v>0.513</v>
      </c>
      <c r="J424" s="20">
        <f>IFERROR(__xludf.DUMMYFUNCTION("""COMPUTED_VALUE"""),423.0)</f>
        <v>423</v>
      </c>
      <c r="K424" s="20" t="b">
        <f>IFERROR(__xludf.DUMMYFUNCTION("""COMPUTED_VALUE"""),FALSE)</f>
        <v>0</v>
      </c>
      <c r="L424" s="20" t="str">
        <f>IFERROR(__xludf.DUMMYFUNCTION("""COMPUTED_VALUE"""),"Hash Table;Math;String;")</f>
        <v>Hash Table;Math;String;</v>
      </c>
      <c r="M424" s="20" t="b">
        <f>IFERROR(__xludf.DUMMYFUNCTION("""COMPUTED_VALUE"""),TRUE)</f>
        <v>1</v>
      </c>
      <c r="N424" s="20" t="b">
        <f>IFERROR(__xludf.DUMMYFUNCTION("""COMPUTED_VALUE"""),FALSE)</f>
        <v>0</v>
      </c>
      <c r="O424" s="20">
        <f>IFERROR(__xludf.DUMMYFUNCTION("""COMPUTED_VALUE"""),51.3138295140188)</f>
        <v>51.31382951</v>
      </c>
      <c r="P424" s="20">
        <f>IFERROR(__xludf.DUMMYFUNCTION("""COMPUTED_VALUE"""),69929.0)</f>
        <v>69929</v>
      </c>
      <c r="Q424" s="20">
        <f>IFERROR(__xludf.DUMMYFUNCTION("""COMPUTED_VALUE"""),136278.0)</f>
        <v>136278</v>
      </c>
    </row>
    <row r="425">
      <c r="A425" s="20">
        <f>IFERROR(__xludf.DUMMYFUNCTION("""COMPUTED_VALUE"""),424.0)</f>
        <v>424</v>
      </c>
      <c r="B425" s="20" t="str">
        <f>IFERROR(__xludf.DUMMYFUNCTION("""COMPUTED_VALUE"""),"Longest Repeating Character Replacement")</f>
        <v>Longest Repeating Character Replacement</v>
      </c>
      <c r="C425" s="20" t="str">
        <f>IFERROR(__xludf.DUMMYFUNCTION("""COMPUTED_VALUE"""),"longest-repeating-character-replacement")</f>
        <v>longest-repeating-character-replacement</v>
      </c>
      <c r="D425" s="20" t="b">
        <f>IFERROR(__xludf.DUMMYFUNCTION("""COMPUTED_VALUE"""),FALSE)</f>
        <v>0</v>
      </c>
      <c r="E425" s="20" t="str">
        <f>IFERROR(__xludf.DUMMYFUNCTION("""COMPUTED_VALUE"""),"Medium")</f>
        <v>Medium</v>
      </c>
      <c r="F425" s="20">
        <f>IFERROR(__xludf.DUMMYFUNCTION("""COMPUTED_VALUE"""),7004.0)</f>
        <v>7004</v>
      </c>
      <c r="G425" s="20">
        <f>IFERROR(__xludf.DUMMYFUNCTION("""COMPUTED_VALUE"""),271.0)</f>
        <v>271</v>
      </c>
      <c r="H425" s="20" t="str">
        <f>IFERROR(__xludf.DUMMYFUNCTION("""COMPUTED_VALUE"""),"Algorithms")</f>
        <v>Algorithms</v>
      </c>
      <c r="I425" s="20">
        <f>IFERROR(__xludf.DUMMYFUNCTION("""COMPUTED_VALUE"""),0.516)</f>
        <v>0.516</v>
      </c>
      <c r="J425" s="20">
        <f>IFERROR(__xludf.DUMMYFUNCTION("""COMPUTED_VALUE"""),424.0)</f>
        <v>424</v>
      </c>
      <c r="K425" s="20" t="b">
        <f>IFERROR(__xludf.DUMMYFUNCTION("""COMPUTED_VALUE"""),FALSE)</f>
        <v>0</v>
      </c>
      <c r="L425" s="20" t="str">
        <f>IFERROR(__xludf.DUMMYFUNCTION("""COMPUTED_VALUE"""),"Hash Table;String;Sliding Window;")</f>
        <v>Hash Table;String;Sliding Window;</v>
      </c>
      <c r="M425" s="20" t="b">
        <f>IFERROR(__xludf.DUMMYFUNCTION("""COMPUTED_VALUE"""),TRUE)</f>
        <v>1</v>
      </c>
      <c r="N425" s="20" t="b">
        <f>IFERROR(__xludf.DUMMYFUNCTION("""COMPUTED_VALUE"""),FALSE)</f>
        <v>0</v>
      </c>
      <c r="O425" s="20">
        <f>IFERROR(__xludf.DUMMYFUNCTION("""COMPUTED_VALUE"""),51.5861708122031)</f>
        <v>51.58617081</v>
      </c>
      <c r="P425" s="20">
        <f>IFERROR(__xludf.DUMMYFUNCTION("""COMPUTED_VALUE"""),384509.0)</f>
        <v>384509</v>
      </c>
      <c r="Q425" s="20">
        <f>IFERROR(__xludf.DUMMYFUNCTION("""COMPUTED_VALUE"""),745363.0)</f>
        <v>745363</v>
      </c>
    </row>
    <row r="426">
      <c r="A426" s="20">
        <f>IFERROR(__xludf.DUMMYFUNCTION("""COMPUTED_VALUE"""),425.0)</f>
        <v>425</v>
      </c>
      <c r="B426" s="20" t="str">
        <f>IFERROR(__xludf.DUMMYFUNCTION("""COMPUTED_VALUE"""),"Word Squares")</f>
        <v>Word Squares</v>
      </c>
      <c r="C426" s="20" t="str">
        <f>IFERROR(__xludf.DUMMYFUNCTION("""COMPUTED_VALUE"""),"word-squares")</f>
        <v>word-squares</v>
      </c>
      <c r="D426" s="20" t="b">
        <f>IFERROR(__xludf.DUMMYFUNCTION("""COMPUTED_VALUE"""),TRUE)</f>
        <v>1</v>
      </c>
      <c r="E426" s="20" t="str">
        <f>IFERROR(__xludf.DUMMYFUNCTION("""COMPUTED_VALUE"""),"Hard")</f>
        <v>Hard</v>
      </c>
      <c r="F426" s="20">
        <f>IFERROR(__xludf.DUMMYFUNCTION("""COMPUTED_VALUE"""),1011.0)</f>
        <v>1011</v>
      </c>
      <c r="G426" s="20">
        <f>IFERROR(__xludf.DUMMYFUNCTION("""COMPUTED_VALUE"""),66.0)</f>
        <v>66</v>
      </c>
      <c r="H426" s="20" t="str">
        <f>IFERROR(__xludf.DUMMYFUNCTION("""COMPUTED_VALUE"""),"Algorithms")</f>
        <v>Algorithms</v>
      </c>
      <c r="I426" s="20">
        <f>IFERROR(__xludf.DUMMYFUNCTION("""COMPUTED_VALUE"""),0.527)</f>
        <v>0.527</v>
      </c>
      <c r="J426" s="20">
        <f>IFERROR(__xludf.DUMMYFUNCTION("""COMPUTED_VALUE"""),425.0)</f>
        <v>425</v>
      </c>
      <c r="K426" s="20" t="b">
        <f>IFERROR(__xludf.DUMMYFUNCTION("""COMPUTED_VALUE"""),TRUE)</f>
        <v>1</v>
      </c>
      <c r="L426" s="20" t="str">
        <f>IFERROR(__xludf.DUMMYFUNCTION("""COMPUTED_VALUE"""),"Array;String;Backtracking;Trie;")</f>
        <v>Array;String;Backtracking;Trie;</v>
      </c>
      <c r="M426" s="20" t="b">
        <f>IFERROR(__xludf.DUMMYFUNCTION("""COMPUTED_VALUE"""),TRUE)</f>
        <v>1</v>
      </c>
      <c r="N426" s="20" t="b">
        <f>IFERROR(__xludf.DUMMYFUNCTION("""COMPUTED_VALUE"""),FALSE)</f>
        <v>0</v>
      </c>
      <c r="O426" s="20">
        <f>IFERROR(__xludf.DUMMYFUNCTION("""COMPUTED_VALUE"""),52.6645429512445)</f>
        <v>52.66454295</v>
      </c>
      <c r="P426" s="20">
        <f>IFERROR(__xludf.DUMMYFUNCTION("""COMPUTED_VALUE"""),68278.0)</f>
        <v>68278</v>
      </c>
      <c r="Q426" s="20">
        <f>IFERROR(__xludf.DUMMYFUNCTION("""COMPUTED_VALUE"""),129647.0)</f>
        <v>129647</v>
      </c>
    </row>
    <row r="427">
      <c r="A427" s="20">
        <f>IFERROR(__xludf.DUMMYFUNCTION("""COMPUTED_VALUE"""),758.0)</f>
        <v>758</v>
      </c>
      <c r="B427" s="20" t="str">
        <f>IFERROR(__xludf.DUMMYFUNCTION("""COMPUTED_VALUE"""),"Convert Binary Search Tree to Sorted Doubly Linked List")</f>
        <v>Convert Binary Search Tree to Sorted Doubly Linked List</v>
      </c>
      <c r="C427" s="20" t="str">
        <f>IFERROR(__xludf.DUMMYFUNCTION("""COMPUTED_VALUE"""),"convert-binary-search-tree-to-sorted-doubly-linked-list")</f>
        <v>convert-binary-search-tree-to-sorted-doubly-linked-list</v>
      </c>
      <c r="D427" s="20" t="b">
        <f>IFERROR(__xludf.DUMMYFUNCTION("""COMPUTED_VALUE"""),TRUE)</f>
        <v>1</v>
      </c>
      <c r="E427" s="20" t="str">
        <f>IFERROR(__xludf.DUMMYFUNCTION("""COMPUTED_VALUE"""),"Medium")</f>
        <v>Medium</v>
      </c>
      <c r="F427" s="20">
        <f>IFERROR(__xludf.DUMMYFUNCTION("""COMPUTED_VALUE"""),2382.0)</f>
        <v>2382</v>
      </c>
      <c r="G427" s="20">
        <f>IFERROR(__xludf.DUMMYFUNCTION("""COMPUTED_VALUE"""),184.0)</f>
        <v>184</v>
      </c>
      <c r="H427" s="20" t="str">
        <f>IFERROR(__xludf.DUMMYFUNCTION("""COMPUTED_VALUE"""),"Algorithms")</f>
        <v>Algorithms</v>
      </c>
      <c r="I427" s="20">
        <f>IFERROR(__xludf.DUMMYFUNCTION("""COMPUTED_VALUE"""),0.646)</f>
        <v>0.646</v>
      </c>
      <c r="J427" s="20">
        <f>IFERROR(__xludf.DUMMYFUNCTION("""COMPUTED_VALUE"""),426.0)</f>
        <v>426</v>
      </c>
      <c r="K427" s="20" t="b">
        <f>IFERROR(__xludf.DUMMYFUNCTION("""COMPUTED_VALUE"""),TRUE)</f>
        <v>1</v>
      </c>
      <c r="L427" s="20" t="str">
        <f>IFERROR(__xludf.DUMMYFUNCTION("""COMPUTED_VALUE"""),"Linked List;Stack;Tree;Depth-First Search;Binary Search Tree;Binary Tree;Doubly-Linked List;")</f>
        <v>Linked List;Stack;Tree;Depth-First Search;Binary Search Tree;Binary Tree;Doubly-Linked List;</v>
      </c>
      <c r="M427" s="20" t="b">
        <f>IFERROR(__xludf.DUMMYFUNCTION("""COMPUTED_VALUE"""),TRUE)</f>
        <v>1</v>
      </c>
      <c r="N427" s="20" t="b">
        <f>IFERROR(__xludf.DUMMYFUNCTION("""COMPUTED_VALUE"""),FALSE)</f>
        <v>0</v>
      </c>
      <c r="O427" s="20">
        <f>IFERROR(__xludf.DUMMYFUNCTION("""COMPUTED_VALUE"""),64.6466114150632)</f>
        <v>64.64661142</v>
      </c>
      <c r="P427" s="20">
        <f>IFERROR(__xludf.DUMMYFUNCTION("""COMPUTED_VALUE"""),231356.0)</f>
        <v>231356</v>
      </c>
      <c r="Q427" s="20">
        <f>IFERROR(__xludf.DUMMYFUNCTION("""COMPUTED_VALUE"""),357878.0)</f>
        <v>357878</v>
      </c>
    </row>
    <row r="428">
      <c r="A428" s="20">
        <f>IFERROR(__xludf.DUMMYFUNCTION("""COMPUTED_VALUE"""),772.0)</f>
        <v>772</v>
      </c>
      <c r="B428" s="20" t="str">
        <f>IFERROR(__xludf.DUMMYFUNCTION("""COMPUTED_VALUE"""),"Construct Quad Tree")</f>
        <v>Construct Quad Tree</v>
      </c>
      <c r="C428" s="20" t="str">
        <f>IFERROR(__xludf.DUMMYFUNCTION("""COMPUTED_VALUE"""),"construct-quad-tree")</f>
        <v>construct-quad-tree</v>
      </c>
      <c r="D428" s="20" t="b">
        <f>IFERROR(__xludf.DUMMYFUNCTION("""COMPUTED_VALUE"""),FALSE)</f>
        <v>0</v>
      </c>
      <c r="E428" s="20" t="str">
        <f>IFERROR(__xludf.DUMMYFUNCTION("""COMPUTED_VALUE"""),"Medium")</f>
        <v>Medium</v>
      </c>
      <c r="F428" s="20">
        <f>IFERROR(__xludf.DUMMYFUNCTION("""COMPUTED_VALUE"""),574.0)</f>
        <v>574</v>
      </c>
      <c r="G428" s="20">
        <f>IFERROR(__xludf.DUMMYFUNCTION("""COMPUTED_VALUE"""),779.0)</f>
        <v>779</v>
      </c>
      <c r="H428" s="20" t="str">
        <f>IFERROR(__xludf.DUMMYFUNCTION("""COMPUTED_VALUE"""),"Algorithms")</f>
        <v>Algorithms</v>
      </c>
      <c r="I428" s="20">
        <f>IFERROR(__xludf.DUMMYFUNCTION("""COMPUTED_VALUE"""),0.665)</f>
        <v>0.665</v>
      </c>
      <c r="J428" s="20">
        <f>IFERROR(__xludf.DUMMYFUNCTION("""COMPUTED_VALUE"""),427.0)</f>
        <v>427</v>
      </c>
      <c r="K428" s="20" t="b">
        <f>IFERROR(__xludf.DUMMYFUNCTION("""COMPUTED_VALUE"""),FALSE)</f>
        <v>0</v>
      </c>
      <c r="L428" s="20" t="str">
        <f>IFERROR(__xludf.DUMMYFUNCTION("""COMPUTED_VALUE"""),"Array;Divide and Conquer;Tree;Matrix;")</f>
        <v>Array;Divide and Conquer;Tree;Matrix;</v>
      </c>
      <c r="M428" s="20" t="b">
        <f>IFERROR(__xludf.DUMMYFUNCTION("""COMPUTED_VALUE"""),TRUE)</f>
        <v>1</v>
      </c>
      <c r="N428" s="20" t="b">
        <f>IFERROR(__xludf.DUMMYFUNCTION("""COMPUTED_VALUE"""),FALSE)</f>
        <v>0</v>
      </c>
      <c r="O428" s="20">
        <f>IFERROR(__xludf.DUMMYFUNCTION("""COMPUTED_VALUE"""),66.5225576111652)</f>
        <v>66.52255761</v>
      </c>
      <c r="P428" s="20">
        <f>IFERROR(__xludf.DUMMYFUNCTION("""COMPUTED_VALUE"""),51239.0)</f>
        <v>51239</v>
      </c>
      <c r="Q428" s="20">
        <f>IFERROR(__xludf.DUMMYFUNCTION("""COMPUTED_VALUE"""),77025.0)</f>
        <v>77025</v>
      </c>
    </row>
    <row r="429">
      <c r="A429" s="20">
        <f>IFERROR(__xludf.DUMMYFUNCTION("""COMPUTED_VALUE"""),765.0)</f>
        <v>765</v>
      </c>
      <c r="B429" s="20" t="str">
        <f>IFERROR(__xludf.DUMMYFUNCTION("""COMPUTED_VALUE"""),"Serialize and Deserialize N-ary Tree")</f>
        <v>Serialize and Deserialize N-ary Tree</v>
      </c>
      <c r="C429" s="20" t="str">
        <f>IFERROR(__xludf.DUMMYFUNCTION("""COMPUTED_VALUE"""),"serialize-and-deserialize-n-ary-tree")</f>
        <v>serialize-and-deserialize-n-ary-tree</v>
      </c>
      <c r="D429" s="20" t="b">
        <f>IFERROR(__xludf.DUMMYFUNCTION("""COMPUTED_VALUE"""),TRUE)</f>
        <v>1</v>
      </c>
      <c r="E429" s="20" t="str">
        <f>IFERROR(__xludf.DUMMYFUNCTION("""COMPUTED_VALUE"""),"Hard")</f>
        <v>Hard</v>
      </c>
      <c r="F429" s="20">
        <f>IFERROR(__xludf.DUMMYFUNCTION("""COMPUTED_VALUE"""),963.0)</f>
        <v>963</v>
      </c>
      <c r="G429" s="20">
        <f>IFERROR(__xludf.DUMMYFUNCTION("""COMPUTED_VALUE"""),54.0)</f>
        <v>54</v>
      </c>
      <c r="H429" s="20" t="str">
        <f>IFERROR(__xludf.DUMMYFUNCTION("""COMPUTED_VALUE"""),"Algorithms")</f>
        <v>Algorithms</v>
      </c>
      <c r="I429" s="20">
        <f>IFERROR(__xludf.DUMMYFUNCTION("""COMPUTED_VALUE"""),0.657)</f>
        <v>0.657</v>
      </c>
      <c r="J429" s="20">
        <f>IFERROR(__xludf.DUMMYFUNCTION("""COMPUTED_VALUE"""),428.0)</f>
        <v>428</v>
      </c>
      <c r="K429" s="20" t="b">
        <f>IFERROR(__xludf.DUMMYFUNCTION("""COMPUTED_VALUE"""),TRUE)</f>
        <v>1</v>
      </c>
      <c r="L429" s="20" t="str">
        <f>IFERROR(__xludf.DUMMYFUNCTION("""COMPUTED_VALUE"""),"String;Tree;Depth-First Search;Breadth-First Search;")</f>
        <v>String;Tree;Depth-First Search;Breadth-First Search;</v>
      </c>
      <c r="M429" s="20" t="b">
        <f>IFERROR(__xludf.DUMMYFUNCTION("""COMPUTED_VALUE"""),TRUE)</f>
        <v>1</v>
      </c>
      <c r="N429" s="20" t="b">
        <f>IFERROR(__xludf.DUMMYFUNCTION("""COMPUTED_VALUE"""),FALSE)</f>
        <v>0</v>
      </c>
      <c r="O429" s="20">
        <f>IFERROR(__xludf.DUMMYFUNCTION("""COMPUTED_VALUE"""),65.7300180676245)</f>
        <v>65.73001807</v>
      </c>
      <c r="P429" s="20">
        <f>IFERROR(__xludf.DUMMYFUNCTION("""COMPUTED_VALUE"""),76398.0)</f>
        <v>76398</v>
      </c>
      <c r="Q429" s="20">
        <f>IFERROR(__xludf.DUMMYFUNCTION("""COMPUTED_VALUE"""),116230.0)</f>
        <v>116230</v>
      </c>
    </row>
    <row r="430">
      <c r="A430" s="20">
        <f>IFERROR(__xludf.DUMMYFUNCTION("""COMPUTED_VALUE"""),764.0)</f>
        <v>764</v>
      </c>
      <c r="B430" s="20" t="str">
        <f>IFERROR(__xludf.DUMMYFUNCTION("""COMPUTED_VALUE"""),"N-ary Tree Level Order Traversal")</f>
        <v>N-ary Tree Level Order Traversal</v>
      </c>
      <c r="C430" s="20" t="str">
        <f>IFERROR(__xludf.DUMMYFUNCTION("""COMPUTED_VALUE"""),"n-ary-tree-level-order-traversal")</f>
        <v>n-ary-tree-level-order-traversal</v>
      </c>
      <c r="D430" s="20" t="b">
        <f>IFERROR(__xludf.DUMMYFUNCTION("""COMPUTED_VALUE"""),FALSE)</f>
        <v>0</v>
      </c>
      <c r="E430" s="20" t="str">
        <f>IFERROR(__xludf.DUMMYFUNCTION("""COMPUTED_VALUE"""),"Medium")</f>
        <v>Medium</v>
      </c>
      <c r="F430" s="20">
        <f>IFERROR(__xludf.DUMMYFUNCTION("""COMPUTED_VALUE"""),3221.0)</f>
        <v>3221</v>
      </c>
      <c r="G430" s="20">
        <f>IFERROR(__xludf.DUMMYFUNCTION("""COMPUTED_VALUE"""),125.0)</f>
        <v>125</v>
      </c>
      <c r="H430" s="20" t="str">
        <f>IFERROR(__xludf.DUMMYFUNCTION("""COMPUTED_VALUE"""),"Algorithms")</f>
        <v>Algorithms</v>
      </c>
      <c r="I430" s="20">
        <f>IFERROR(__xludf.DUMMYFUNCTION("""COMPUTED_VALUE"""),0.706)</f>
        <v>0.706</v>
      </c>
      <c r="J430" s="20">
        <f>IFERROR(__xludf.DUMMYFUNCTION("""COMPUTED_VALUE"""),429.0)</f>
        <v>429</v>
      </c>
      <c r="K430" s="20" t="b">
        <f>IFERROR(__xludf.DUMMYFUNCTION("""COMPUTED_VALUE"""),FALSE)</f>
        <v>0</v>
      </c>
      <c r="L430" s="20" t="str">
        <f>IFERROR(__xludf.DUMMYFUNCTION("""COMPUTED_VALUE"""),"Tree;Breadth-First Search;")</f>
        <v>Tree;Breadth-First Search;</v>
      </c>
      <c r="M430" s="20" t="b">
        <f>IFERROR(__xludf.DUMMYFUNCTION("""COMPUTED_VALUE"""),TRUE)</f>
        <v>1</v>
      </c>
      <c r="N430" s="20" t="b">
        <f>IFERROR(__xludf.DUMMYFUNCTION("""COMPUTED_VALUE"""),FALSE)</f>
        <v>0</v>
      </c>
      <c r="O430" s="20">
        <f>IFERROR(__xludf.DUMMYFUNCTION("""COMPUTED_VALUE"""),70.6404076282295)</f>
        <v>70.64040763</v>
      </c>
      <c r="P430" s="20">
        <f>IFERROR(__xludf.DUMMYFUNCTION("""COMPUTED_VALUE"""),267292.0)</f>
        <v>267292</v>
      </c>
      <c r="Q430" s="20">
        <f>IFERROR(__xludf.DUMMYFUNCTION("""COMPUTED_VALUE"""),378384.0)</f>
        <v>378384</v>
      </c>
    </row>
    <row r="431">
      <c r="A431" s="20">
        <f>IFERROR(__xludf.DUMMYFUNCTION("""COMPUTED_VALUE"""),766.0)</f>
        <v>766</v>
      </c>
      <c r="B431" s="20" t="str">
        <f>IFERROR(__xludf.DUMMYFUNCTION("""COMPUTED_VALUE"""),"Flatten a Multilevel Doubly Linked List")</f>
        <v>Flatten a Multilevel Doubly Linked List</v>
      </c>
      <c r="C431" s="20" t="str">
        <f>IFERROR(__xludf.DUMMYFUNCTION("""COMPUTED_VALUE"""),"flatten-a-multilevel-doubly-linked-list")</f>
        <v>flatten-a-multilevel-doubly-linked-list</v>
      </c>
      <c r="D431" s="20" t="b">
        <f>IFERROR(__xludf.DUMMYFUNCTION("""COMPUTED_VALUE"""),FALSE)</f>
        <v>0</v>
      </c>
      <c r="E431" s="20" t="str">
        <f>IFERROR(__xludf.DUMMYFUNCTION("""COMPUTED_VALUE"""),"Medium")</f>
        <v>Medium</v>
      </c>
      <c r="F431" s="20">
        <f>IFERROR(__xludf.DUMMYFUNCTION("""COMPUTED_VALUE"""),4345.0)</f>
        <v>4345</v>
      </c>
      <c r="G431" s="20">
        <f>IFERROR(__xludf.DUMMYFUNCTION("""COMPUTED_VALUE"""),289.0)</f>
        <v>289</v>
      </c>
      <c r="H431" s="20" t="str">
        <f>IFERROR(__xludf.DUMMYFUNCTION("""COMPUTED_VALUE"""),"Algorithms")</f>
        <v>Algorithms</v>
      </c>
      <c r="I431" s="20">
        <f>IFERROR(__xludf.DUMMYFUNCTION("""COMPUTED_VALUE"""),0.596)</f>
        <v>0.596</v>
      </c>
      <c r="J431" s="20">
        <f>IFERROR(__xludf.DUMMYFUNCTION("""COMPUTED_VALUE"""),430.0)</f>
        <v>430</v>
      </c>
      <c r="K431" s="20" t="b">
        <f>IFERROR(__xludf.DUMMYFUNCTION("""COMPUTED_VALUE"""),FALSE)</f>
        <v>0</v>
      </c>
      <c r="L431" s="20" t="str">
        <f>IFERROR(__xludf.DUMMYFUNCTION("""COMPUTED_VALUE"""),"Linked List;Depth-First Search;Doubly-Linked List;")</f>
        <v>Linked List;Depth-First Search;Doubly-Linked List;</v>
      </c>
      <c r="M431" s="20" t="b">
        <f>IFERROR(__xludf.DUMMYFUNCTION("""COMPUTED_VALUE"""),TRUE)</f>
        <v>1</v>
      </c>
      <c r="N431" s="20" t="b">
        <f>IFERROR(__xludf.DUMMYFUNCTION("""COMPUTED_VALUE"""),FALSE)</f>
        <v>0</v>
      </c>
      <c r="O431" s="20">
        <f>IFERROR(__xludf.DUMMYFUNCTION("""COMPUTED_VALUE"""),59.5892422861437)</f>
        <v>59.58924229</v>
      </c>
      <c r="P431" s="20">
        <f>IFERROR(__xludf.DUMMYFUNCTION("""COMPUTED_VALUE"""),275896.0)</f>
        <v>275896</v>
      </c>
      <c r="Q431" s="20">
        <f>IFERROR(__xludf.DUMMYFUNCTION("""COMPUTED_VALUE"""),462996.0)</f>
        <v>462996</v>
      </c>
    </row>
    <row r="432">
      <c r="A432" s="20">
        <f>IFERROR(__xludf.DUMMYFUNCTION("""COMPUTED_VALUE"""),771.0)</f>
        <v>771</v>
      </c>
      <c r="B432" s="20" t="str">
        <f>IFERROR(__xludf.DUMMYFUNCTION("""COMPUTED_VALUE"""),"Encode N-ary Tree to Binary Tree")</f>
        <v>Encode N-ary Tree to Binary Tree</v>
      </c>
      <c r="C432" s="20" t="str">
        <f>IFERROR(__xludf.DUMMYFUNCTION("""COMPUTED_VALUE"""),"encode-n-ary-tree-to-binary-tree")</f>
        <v>encode-n-ary-tree-to-binary-tree</v>
      </c>
      <c r="D432" s="20" t="b">
        <f>IFERROR(__xludf.DUMMYFUNCTION("""COMPUTED_VALUE"""),TRUE)</f>
        <v>1</v>
      </c>
      <c r="E432" s="20" t="str">
        <f>IFERROR(__xludf.DUMMYFUNCTION("""COMPUTED_VALUE"""),"Hard")</f>
        <v>Hard</v>
      </c>
      <c r="F432" s="20">
        <f>IFERROR(__xludf.DUMMYFUNCTION("""COMPUTED_VALUE"""),465.0)</f>
        <v>465</v>
      </c>
      <c r="G432" s="20">
        <f>IFERROR(__xludf.DUMMYFUNCTION("""COMPUTED_VALUE"""),24.0)</f>
        <v>24</v>
      </c>
      <c r="H432" s="20" t="str">
        <f>IFERROR(__xludf.DUMMYFUNCTION("""COMPUTED_VALUE"""),"Algorithms")</f>
        <v>Algorithms</v>
      </c>
      <c r="I432" s="20">
        <f>IFERROR(__xludf.DUMMYFUNCTION("""COMPUTED_VALUE"""),0.787)</f>
        <v>0.787</v>
      </c>
      <c r="J432" s="20">
        <f>IFERROR(__xludf.DUMMYFUNCTION("""COMPUTED_VALUE"""),431.0)</f>
        <v>431</v>
      </c>
      <c r="K432" s="20" t="b">
        <f>IFERROR(__xludf.DUMMYFUNCTION("""COMPUTED_VALUE"""),TRUE)</f>
        <v>1</v>
      </c>
      <c r="L432" s="20" t="str">
        <f>IFERROR(__xludf.DUMMYFUNCTION("""COMPUTED_VALUE"""),"Tree;Depth-First Search;Breadth-First Search;Design;Binary Tree;")</f>
        <v>Tree;Depth-First Search;Breadth-First Search;Design;Binary Tree;</v>
      </c>
      <c r="M432" s="20" t="b">
        <f>IFERROR(__xludf.DUMMYFUNCTION("""COMPUTED_VALUE"""),TRUE)</f>
        <v>1</v>
      </c>
      <c r="N432" s="20" t="b">
        <f>IFERROR(__xludf.DUMMYFUNCTION("""COMPUTED_VALUE"""),FALSE)</f>
        <v>0</v>
      </c>
      <c r="O432" s="20">
        <f>IFERROR(__xludf.DUMMYFUNCTION("""COMPUTED_VALUE"""),78.7459351288251)</f>
        <v>78.74593513</v>
      </c>
      <c r="P432" s="20">
        <f>IFERROR(__xludf.DUMMYFUNCTION("""COMPUTED_VALUE"""),18888.0)</f>
        <v>18888</v>
      </c>
      <c r="Q432" s="20">
        <f>IFERROR(__xludf.DUMMYFUNCTION("""COMPUTED_VALUE"""),23986.0)</f>
        <v>23986</v>
      </c>
    </row>
    <row r="433">
      <c r="A433" s="20">
        <f>IFERROR(__xludf.DUMMYFUNCTION("""COMPUTED_VALUE"""),432.0)</f>
        <v>432</v>
      </c>
      <c r="B433" s="20" t="str">
        <f>IFERROR(__xludf.DUMMYFUNCTION("""COMPUTED_VALUE"""),"All O`one Data Structure")</f>
        <v>All O`one Data Structure</v>
      </c>
      <c r="C433" s="20" t="str">
        <f>IFERROR(__xludf.DUMMYFUNCTION("""COMPUTED_VALUE"""),"all-oone-data-structure")</f>
        <v>all-oone-data-structure</v>
      </c>
      <c r="D433" s="20" t="b">
        <f>IFERROR(__xludf.DUMMYFUNCTION("""COMPUTED_VALUE"""),FALSE)</f>
        <v>0</v>
      </c>
      <c r="E433" s="20" t="str">
        <f>IFERROR(__xludf.DUMMYFUNCTION("""COMPUTED_VALUE"""),"Hard")</f>
        <v>Hard</v>
      </c>
      <c r="F433" s="20">
        <f>IFERROR(__xludf.DUMMYFUNCTION("""COMPUTED_VALUE"""),1318.0)</f>
        <v>1318</v>
      </c>
      <c r="G433" s="20">
        <f>IFERROR(__xludf.DUMMYFUNCTION("""COMPUTED_VALUE"""),151.0)</f>
        <v>151</v>
      </c>
      <c r="H433" s="20" t="str">
        <f>IFERROR(__xludf.DUMMYFUNCTION("""COMPUTED_VALUE"""),"Algorithms")</f>
        <v>Algorithms</v>
      </c>
      <c r="I433" s="20">
        <f>IFERROR(__xludf.DUMMYFUNCTION("""COMPUTED_VALUE"""),0.366)</f>
        <v>0.366</v>
      </c>
      <c r="J433" s="20">
        <f>IFERROR(__xludf.DUMMYFUNCTION("""COMPUTED_VALUE"""),432.0)</f>
        <v>432</v>
      </c>
      <c r="K433" s="20" t="b">
        <f>IFERROR(__xludf.DUMMYFUNCTION("""COMPUTED_VALUE"""),FALSE)</f>
        <v>0</v>
      </c>
      <c r="L433" s="20" t="str">
        <f>IFERROR(__xludf.DUMMYFUNCTION("""COMPUTED_VALUE"""),"Hash Table;Linked List;Design;Doubly-Linked List;")</f>
        <v>Hash Table;Linked List;Design;Doubly-Linked List;</v>
      </c>
      <c r="M433" s="20" t="b">
        <f>IFERROR(__xludf.DUMMYFUNCTION("""COMPUTED_VALUE"""),FALSE)</f>
        <v>0</v>
      </c>
      <c r="N433" s="20" t="b">
        <f>IFERROR(__xludf.DUMMYFUNCTION("""COMPUTED_VALUE"""),FALSE)</f>
        <v>0</v>
      </c>
      <c r="O433" s="20">
        <f>IFERROR(__xludf.DUMMYFUNCTION("""COMPUTED_VALUE"""),36.6253577987723)</f>
        <v>36.6253578</v>
      </c>
      <c r="P433" s="20">
        <f>IFERROR(__xludf.DUMMYFUNCTION("""COMPUTED_VALUE"""),66408.0)</f>
        <v>66408</v>
      </c>
      <c r="Q433" s="20">
        <f>IFERROR(__xludf.DUMMYFUNCTION("""COMPUTED_VALUE"""),181317.0)</f>
        <v>181317</v>
      </c>
    </row>
    <row r="434">
      <c r="A434" s="20">
        <f>IFERROR(__xludf.DUMMYFUNCTION("""COMPUTED_VALUE"""),433.0)</f>
        <v>433</v>
      </c>
      <c r="B434" s="20" t="str">
        <f>IFERROR(__xludf.DUMMYFUNCTION("""COMPUTED_VALUE"""),"Minimum Genetic Mutation")</f>
        <v>Minimum Genetic Mutation</v>
      </c>
      <c r="C434" s="20" t="str">
        <f>IFERROR(__xludf.DUMMYFUNCTION("""COMPUTED_VALUE"""),"minimum-genetic-mutation")</f>
        <v>minimum-genetic-mutation</v>
      </c>
      <c r="D434" s="20" t="b">
        <f>IFERROR(__xludf.DUMMYFUNCTION("""COMPUTED_VALUE"""),FALSE)</f>
        <v>0</v>
      </c>
      <c r="E434" s="20" t="str">
        <f>IFERROR(__xludf.DUMMYFUNCTION("""COMPUTED_VALUE"""),"Medium")</f>
        <v>Medium</v>
      </c>
      <c r="F434" s="20">
        <f>IFERROR(__xludf.DUMMYFUNCTION("""COMPUTED_VALUE"""),2331.0)</f>
        <v>2331</v>
      </c>
      <c r="G434" s="20">
        <f>IFERROR(__xludf.DUMMYFUNCTION("""COMPUTED_VALUE"""),251.0)</f>
        <v>251</v>
      </c>
      <c r="H434" s="20" t="str">
        <f>IFERROR(__xludf.DUMMYFUNCTION("""COMPUTED_VALUE"""),"Algorithms")</f>
        <v>Algorithms</v>
      </c>
      <c r="I434" s="20">
        <f>IFERROR(__xludf.DUMMYFUNCTION("""COMPUTED_VALUE"""),0.521)</f>
        <v>0.521</v>
      </c>
      <c r="J434" s="20">
        <f>IFERROR(__xludf.DUMMYFUNCTION("""COMPUTED_VALUE"""),433.0)</f>
        <v>433</v>
      </c>
      <c r="K434" s="20" t="b">
        <f>IFERROR(__xludf.DUMMYFUNCTION("""COMPUTED_VALUE"""),FALSE)</f>
        <v>0</v>
      </c>
      <c r="L434" s="20" t="str">
        <f>IFERROR(__xludf.DUMMYFUNCTION("""COMPUTED_VALUE"""),"Hash Table;String;Breadth-First Search;")</f>
        <v>Hash Table;String;Breadth-First Search;</v>
      </c>
      <c r="M434" s="20" t="b">
        <f>IFERROR(__xludf.DUMMYFUNCTION("""COMPUTED_VALUE"""),TRUE)</f>
        <v>1</v>
      </c>
      <c r="N434" s="20" t="b">
        <f>IFERROR(__xludf.DUMMYFUNCTION("""COMPUTED_VALUE"""),FALSE)</f>
        <v>0</v>
      </c>
      <c r="O434" s="20">
        <f>IFERROR(__xludf.DUMMYFUNCTION("""COMPUTED_VALUE"""),52.1360841439184)</f>
        <v>52.13608414</v>
      </c>
      <c r="P434" s="20">
        <f>IFERROR(__xludf.DUMMYFUNCTION("""COMPUTED_VALUE"""),110736.0)</f>
        <v>110736</v>
      </c>
      <c r="Q434" s="20">
        <f>IFERROR(__xludf.DUMMYFUNCTION("""COMPUTED_VALUE"""),212398.0)</f>
        <v>212398</v>
      </c>
    </row>
    <row r="435">
      <c r="A435" s="20">
        <f>IFERROR(__xludf.DUMMYFUNCTION("""COMPUTED_VALUE"""),434.0)</f>
        <v>434</v>
      </c>
      <c r="B435" s="20" t="str">
        <f>IFERROR(__xludf.DUMMYFUNCTION("""COMPUTED_VALUE"""),"Number of Segments in a String")</f>
        <v>Number of Segments in a String</v>
      </c>
      <c r="C435" s="20" t="str">
        <f>IFERROR(__xludf.DUMMYFUNCTION("""COMPUTED_VALUE"""),"number-of-segments-in-a-string")</f>
        <v>number-of-segments-in-a-string</v>
      </c>
      <c r="D435" s="20" t="b">
        <f>IFERROR(__xludf.DUMMYFUNCTION("""COMPUTED_VALUE"""),FALSE)</f>
        <v>0</v>
      </c>
      <c r="E435" s="20" t="str">
        <f>IFERROR(__xludf.DUMMYFUNCTION("""COMPUTED_VALUE"""),"Easy")</f>
        <v>Easy</v>
      </c>
      <c r="F435" s="20">
        <f>IFERROR(__xludf.DUMMYFUNCTION("""COMPUTED_VALUE"""),581.0)</f>
        <v>581</v>
      </c>
      <c r="G435" s="20">
        <f>IFERROR(__xludf.DUMMYFUNCTION("""COMPUTED_VALUE"""),1098.0)</f>
        <v>1098</v>
      </c>
      <c r="H435" s="20" t="str">
        <f>IFERROR(__xludf.DUMMYFUNCTION("""COMPUTED_VALUE"""),"Algorithms")</f>
        <v>Algorithms</v>
      </c>
      <c r="I435" s="20">
        <f>IFERROR(__xludf.DUMMYFUNCTION("""COMPUTED_VALUE"""),0.376)</f>
        <v>0.376</v>
      </c>
      <c r="J435" s="20">
        <f>IFERROR(__xludf.DUMMYFUNCTION("""COMPUTED_VALUE"""),434.0)</f>
        <v>434</v>
      </c>
      <c r="K435" s="20" t="b">
        <f>IFERROR(__xludf.DUMMYFUNCTION("""COMPUTED_VALUE"""),FALSE)</f>
        <v>0</v>
      </c>
      <c r="L435" s="20" t="str">
        <f>IFERROR(__xludf.DUMMYFUNCTION("""COMPUTED_VALUE"""),"String;")</f>
        <v>String;</v>
      </c>
      <c r="M435" s="20" t="b">
        <f>IFERROR(__xludf.DUMMYFUNCTION("""COMPUTED_VALUE"""),TRUE)</f>
        <v>1</v>
      </c>
      <c r="N435" s="20" t="b">
        <f>IFERROR(__xludf.DUMMYFUNCTION("""COMPUTED_VALUE"""),FALSE)</f>
        <v>0</v>
      </c>
      <c r="O435" s="20">
        <f>IFERROR(__xludf.DUMMYFUNCTION("""COMPUTED_VALUE"""),37.5573517940172)</f>
        <v>37.55735179</v>
      </c>
      <c r="P435" s="20">
        <f>IFERROR(__xludf.DUMMYFUNCTION("""COMPUTED_VALUE"""),134327.0)</f>
        <v>134327</v>
      </c>
      <c r="Q435" s="20">
        <f>IFERROR(__xludf.DUMMYFUNCTION("""COMPUTED_VALUE"""),357656.0)</f>
        <v>357656</v>
      </c>
    </row>
    <row r="436">
      <c r="A436" s="20">
        <f>IFERROR(__xludf.DUMMYFUNCTION("""COMPUTED_VALUE"""),435.0)</f>
        <v>435</v>
      </c>
      <c r="B436" s="20" t="str">
        <f>IFERROR(__xludf.DUMMYFUNCTION("""COMPUTED_VALUE"""),"Non-overlapping Intervals")</f>
        <v>Non-overlapping Intervals</v>
      </c>
      <c r="C436" s="20" t="str">
        <f>IFERROR(__xludf.DUMMYFUNCTION("""COMPUTED_VALUE"""),"non-overlapping-intervals")</f>
        <v>non-overlapping-intervals</v>
      </c>
      <c r="D436" s="20" t="b">
        <f>IFERROR(__xludf.DUMMYFUNCTION("""COMPUTED_VALUE"""),FALSE)</f>
        <v>0</v>
      </c>
      <c r="E436" s="20" t="str">
        <f>IFERROR(__xludf.DUMMYFUNCTION("""COMPUTED_VALUE"""),"Medium")</f>
        <v>Medium</v>
      </c>
      <c r="F436" s="20">
        <f>IFERROR(__xludf.DUMMYFUNCTION("""COMPUTED_VALUE"""),5245.0)</f>
        <v>5245</v>
      </c>
      <c r="G436" s="20">
        <f>IFERROR(__xludf.DUMMYFUNCTION("""COMPUTED_VALUE"""),150.0)</f>
        <v>150</v>
      </c>
      <c r="H436" s="20" t="str">
        <f>IFERROR(__xludf.DUMMYFUNCTION("""COMPUTED_VALUE"""),"Algorithms")</f>
        <v>Algorithms</v>
      </c>
      <c r="I436" s="20">
        <f>IFERROR(__xludf.DUMMYFUNCTION("""COMPUTED_VALUE"""),0.5)</f>
        <v>0.5</v>
      </c>
      <c r="J436" s="20">
        <f>IFERROR(__xludf.DUMMYFUNCTION("""COMPUTED_VALUE"""),435.0)</f>
        <v>435</v>
      </c>
      <c r="K436" s="20" t="b">
        <f>IFERROR(__xludf.DUMMYFUNCTION("""COMPUTED_VALUE"""),FALSE)</f>
        <v>0</v>
      </c>
      <c r="L436" s="20" t="str">
        <f>IFERROR(__xludf.DUMMYFUNCTION("""COMPUTED_VALUE"""),"Array;Dynamic Programming;Greedy;Sorting;")</f>
        <v>Array;Dynamic Programming;Greedy;Sorting;</v>
      </c>
      <c r="M436" s="20" t="b">
        <f>IFERROR(__xludf.DUMMYFUNCTION("""COMPUTED_VALUE"""),TRUE)</f>
        <v>1</v>
      </c>
      <c r="N436" s="20" t="b">
        <f>IFERROR(__xludf.DUMMYFUNCTION("""COMPUTED_VALUE"""),FALSE)</f>
        <v>0</v>
      </c>
      <c r="O436" s="20">
        <f>IFERROR(__xludf.DUMMYFUNCTION("""COMPUTED_VALUE"""),49.988855277822)</f>
        <v>49.98885528</v>
      </c>
      <c r="P436" s="20">
        <f>IFERROR(__xludf.DUMMYFUNCTION("""COMPUTED_VALUE"""),329678.0)</f>
        <v>329678</v>
      </c>
      <c r="Q436" s="20">
        <f>IFERROR(__xludf.DUMMYFUNCTION("""COMPUTED_VALUE"""),659498.0)</f>
        <v>659498</v>
      </c>
    </row>
    <row r="437">
      <c r="A437" s="20">
        <f>IFERROR(__xludf.DUMMYFUNCTION("""COMPUTED_VALUE"""),436.0)</f>
        <v>436</v>
      </c>
      <c r="B437" s="20" t="str">
        <f>IFERROR(__xludf.DUMMYFUNCTION("""COMPUTED_VALUE"""),"Find Right Interval")</f>
        <v>Find Right Interval</v>
      </c>
      <c r="C437" s="20" t="str">
        <f>IFERROR(__xludf.DUMMYFUNCTION("""COMPUTED_VALUE"""),"find-right-interval")</f>
        <v>find-right-interval</v>
      </c>
      <c r="D437" s="20" t="b">
        <f>IFERROR(__xludf.DUMMYFUNCTION("""COMPUTED_VALUE"""),FALSE)</f>
        <v>0</v>
      </c>
      <c r="E437" s="20" t="str">
        <f>IFERROR(__xludf.DUMMYFUNCTION("""COMPUTED_VALUE"""),"Medium")</f>
        <v>Medium</v>
      </c>
      <c r="F437" s="20">
        <f>IFERROR(__xludf.DUMMYFUNCTION("""COMPUTED_VALUE"""),1526.0)</f>
        <v>1526</v>
      </c>
      <c r="G437" s="20">
        <f>IFERROR(__xludf.DUMMYFUNCTION("""COMPUTED_VALUE"""),280.0)</f>
        <v>280</v>
      </c>
      <c r="H437" s="20" t="str">
        <f>IFERROR(__xludf.DUMMYFUNCTION("""COMPUTED_VALUE"""),"Algorithms")</f>
        <v>Algorithms</v>
      </c>
      <c r="I437" s="20">
        <f>IFERROR(__xludf.DUMMYFUNCTION("""COMPUTED_VALUE"""),0.504)</f>
        <v>0.504</v>
      </c>
      <c r="J437" s="20">
        <f>IFERROR(__xludf.DUMMYFUNCTION("""COMPUTED_VALUE"""),436.0)</f>
        <v>436</v>
      </c>
      <c r="K437" s="20" t="b">
        <f>IFERROR(__xludf.DUMMYFUNCTION("""COMPUTED_VALUE"""),FALSE)</f>
        <v>0</v>
      </c>
      <c r="L437" s="20" t="str">
        <f>IFERROR(__xludf.DUMMYFUNCTION("""COMPUTED_VALUE"""),"Array;Binary Search;Sorting;")</f>
        <v>Array;Binary Search;Sorting;</v>
      </c>
      <c r="M437" s="20" t="b">
        <f>IFERROR(__xludf.DUMMYFUNCTION("""COMPUTED_VALUE"""),TRUE)</f>
        <v>1</v>
      </c>
      <c r="N437" s="20" t="b">
        <f>IFERROR(__xludf.DUMMYFUNCTION("""COMPUTED_VALUE"""),FALSE)</f>
        <v>0</v>
      </c>
      <c r="O437" s="20">
        <f>IFERROR(__xludf.DUMMYFUNCTION("""COMPUTED_VALUE"""),50.4249661958707)</f>
        <v>50.4249662</v>
      </c>
      <c r="P437" s="20">
        <f>IFERROR(__xludf.DUMMYFUNCTION("""COMPUTED_VALUE"""),88754.0)</f>
        <v>88754</v>
      </c>
      <c r="Q437" s="20">
        <f>IFERROR(__xludf.DUMMYFUNCTION("""COMPUTED_VALUE"""),176013.0)</f>
        <v>176013</v>
      </c>
    </row>
    <row r="438">
      <c r="A438" s="20">
        <f>IFERROR(__xludf.DUMMYFUNCTION("""COMPUTED_VALUE"""),437.0)</f>
        <v>437</v>
      </c>
      <c r="B438" s="20" t="str">
        <f>IFERROR(__xludf.DUMMYFUNCTION("""COMPUTED_VALUE"""),"Path Sum III")</f>
        <v>Path Sum III</v>
      </c>
      <c r="C438" s="20" t="str">
        <f>IFERROR(__xludf.DUMMYFUNCTION("""COMPUTED_VALUE"""),"path-sum-iii")</f>
        <v>path-sum-iii</v>
      </c>
      <c r="D438" s="20" t="b">
        <f>IFERROR(__xludf.DUMMYFUNCTION("""COMPUTED_VALUE"""),FALSE)</f>
        <v>0</v>
      </c>
      <c r="E438" s="20" t="str">
        <f>IFERROR(__xludf.DUMMYFUNCTION("""COMPUTED_VALUE"""),"Medium")</f>
        <v>Medium</v>
      </c>
      <c r="F438" s="20">
        <f>IFERROR(__xludf.DUMMYFUNCTION("""COMPUTED_VALUE"""),9066.0)</f>
        <v>9066</v>
      </c>
      <c r="G438" s="20">
        <f>IFERROR(__xludf.DUMMYFUNCTION("""COMPUTED_VALUE"""),432.0)</f>
        <v>432</v>
      </c>
      <c r="H438" s="20" t="str">
        <f>IFERROR(__xludf.DUMMYFUNCTION("""COMPUTED_VALUE"""),"Algorithms")</f>
        <v>Algorithms</v>
      </c>
      <c r="I438" s="20">
        <f>IFERROR(__xludf.DUMMYFUNCTION("""COMPUTED_VALUE"""),0.484)</f>
        <v>0.484</v>
      </c>
      <c r="J438" s="20">
        <f>IFERROR(__xludf.DUMMYFUNCTION("""COMPUTED_VALUE"""),437.0)</f>
        <v>437</v>
      </c>
      <c r="K438" s="20" t="b">
        <f>IFERROR(__xludf.DUMMYFUNCTION("""COMPUTED_VALUE"""),FALSE)</f>
        <v>0</v>
      </c>
      <c r="L438" s="20" t="str">
        <f>IFERROR(__xludf.DUMMYFUNCTION("""COMPUTED_VALUE"""),"Tree;Depth-First Search;Binary Tree;")</f>
        <v>Tree;Depth-First Search;Binary Tree;</v>
      </c>
      <c r="M438" s="20" t="b">
        <f>IFERROR(__xludf.DUMMYFUNCTION("""COMPUTED_VALUE"""),TRUE)</f>
        <v>1</v>
      </c>
      <c r="N438" s="20" t="b">
        <f>IFERROR(__xludf.DUMMYFUNCTION("""COMPUTED_VALUE"""),FALSE)</f>
        <v>0</v>
      </c>
      <c r="O438" s="20">
        <f>IFERROR(__xludf.DUMMYFUNCTION("""COMPUTED_VALUE"""),48.4177347046562)</f>
        <v>48.4177347</v>
      </c>
      <c r="P438" s="20">
        <f>IFERROR(__xludf.DUMMYFUNCTION("""COMPUTED_VALUE"""),429949.0)</f>
        <v>429949</v>
      </c>
      <c r="Q438" s="20">
        <f>IFERROR(__xludf.DUMMYFUNCTION("""COMPUTED_VALUE"""),887995.0)</f>
        <v>887995</v>
      </c>
    </row>
    <row r="439">
      <c r="A439" s="20">
        <f>IFERROR(__xludf.DUMMYFUNCTION("""COMPUTED_VALUE"""),438.0)</f>
        <v>438</v>
      </c>
      <c r="B439" s="20" t="str">
        <f>IFERROR(__xludf.DUMMYFUNCTION("""COMPUTED_VALUE"""),"Find All Anagrams in a String")</f>
        <v>Find All Anagrams in a String</v>
      </c>
      <c r="C439" s="20" t="str">
        <f>IFERROR(__xludf.DUMMYFUNCTION("""COMPUTED_VALUE"""),"find-all-anagrams-in-a-string")</f>
        <v>find-all-anagrams-in-a-string</v>
      </c>
      <c r="D439" s="20" t="b">
        <f>IFERROR(__xludf.DUMMYFUNCTION("""COMPUTED_VALUE"""),FALSE)</f>
        <v>0</v>
      </c>
      <c r="E439" s="20" t="str">
        <f>IFERROR(__xludf.DUMMYFUNCTION("""COMPUTED_VALUE"""),"Medium")</f>
        <v>Medium</v>
      </c>
      <c r="F439" s="20">
        <f>IFERROR(__xludf.DUMMYFUNCTION("""COMPUTED_VALUE"""),9375.0)</f>
        <v>9375</v>
      </c>
      <c r="G439" s="20">
        <f>IFERROR(__xludf.DUMMYFUNCTION("""COMPUTED_VALUE"""),289.0)</f>
        <v>289</v>
      </c>
      <c r="H439" s="20" t="str">
        <f>IFERROR(__xludf.DUMMYFUNCTION("""COMPUTED_VALUE"""),"Algorithms")</f>
        <v>Algorithms</v>
      </c>
      <c r="I439" s="20">
        <f>IFERROR(__xludf.DUMMYFUNCTION("""COMPUTED_VALUE"""),0.49)</f>
        <v>0.49</v>
      </c>
      <c r="J439" s="20">
        <f>IFERROR(__xludf.DUMMYFUNCTION("""COMPUTED_VALUE"""),438.0)</f>
        <v>438</v>
      </c>
      <c r="K439" s="20" t="b">
        <f>IFERROR(__xludf.DUMMYFUNCTION("""COMPUTED_VALUE"""),FALSE)</f>
        <v>0</v>
      </c>
      <c r="L439" s="20" t="str">
        <f>IFERROR(__xludf.DUMMYFUNCTION("""COMPUTED_VALUE"""),"Hash Table;String;Sliding Window;")</f>
        <v>Hash Table;String;Sliding Window;</v>
      </c>
      <c r="M439" s="20" t="b">
        <f>IFERROR(__xludf.DUMMYFUNCTION("""COMPUTED_VALUE"""),TRUE)</f>
        <v>1</v>
      </c>
      <c r="N439" s="20" t="b">
        <f>IFERROR(__xludf.DUMMYFUNCTION("""COMPUTED_VALUE"""),FALSE)</f>
        <v>0</v>
      </c>
      <c r="O439" s="20">
        <f>IFERROR(__xludf.DUMMYFUNCTION("""COMPUTED_VALUE"""),49.0431820007552)</f>
        <v>49.043182</v>
      </c>
      <c r="P439" s="20">
        <f>IFERROR(__xludf.DUMMYFUNCTION("""COMPUTED_VALUE"""),653232.0)</f>
        <v>653232</v>
      </c>
      <c r="Q439" s="20">
        <f>IFERROR(__xludf.DUMMYFUNCTION("""COMPUTED_VALUE"""),1331954.0)</f>
        <v>1331954</v>
      </c>
    </row>
    <row r="440">
      <c r="A440" s="20">
        <f>IFERROR(__xludf.DUMMYFUNCTION("""COMPUTED_VALUE"""),439.0)</f>
        <v>439</v>
      </c>
      <c r="B440" s="20" t="str">
        <f>IFERROR(__xludf.DUMMYFUNCTION("""COMPUTED_VALUE"""),"Ternary Expression Parser")</f>
        <v>Ternary Expression Parser</v>
      </c>
      <c r="C440" s="20" t="str">
        <f>IFERROR(__xludf.DUMMYFUNCTION("""COMPUTED_VALUE"""),"ternary-expression-parser")</f>
        <v>ternary-expression-parser</v>
      </c>
      <c r="D440" s="20" t="b">
        <f>IFERROR(__xludf.DUMMYFUNCTION("""COMPUTED_VALUE"""),TRUE)</f>
        <v>1</v>
      </c>
      <c r="E440" s="20" t="str">
        <f>IFERROR(__xludf.DUMMYFUNCTION("""COMPUTED_VALUE"""),"Medium")</f>
        <v>Medium</v>
      </c>
      <c r="F440" s="20">
        <f>IFERROR(__xludf.DUMMYFUNCTION("""COMPUTED_VALUE"""),361.0)</f>
        <v>361</v>
      </c>
      <c r="G440" s="20">
        <f>IFERROR(__xludf.DUMMYFUNCTION("""COMPUTED_VALUE"""),45.0)</f>
        <v>45</v>
      </c>
      <c r="H440" s="20" t="str">
        <f>IFERROR(__xludf.DUMMYFUNCTION("""COMPUTED_VALUE"""),"Algorithms")</f>
        <v>Algorithms</v>
      </c>
      <c r="I440" s="20">
        <f>IFERROR(__xludf.DUMMYFUNCTION("""COMPUTED_VALUE"""),0.583)</f>
        <v>0.583</v>
      </c>
      <c r="J440" s="20">
        <f>IFERROR(__xludf.DUMMYFUNCTION("""COMPUTED_VALUE"""),439.0)</f>
        <v>439</v>
      </c>
      <c r="K440" s="20" t="b">
        <f>IFERROR(__xludf.DUMMYFUNCTION("""COMPUTED_VALUE"""),TRUE)</f>
        <v>1</v>
      </c>
      <c r="L440" s="20" t="str">
        <f>IFERROR(__xludf.DUMMYFUNCTION("""COMPUTED_VALUE"""),"String;Stack;Recursion;")</f>
        <v>String;Stack;Recursion;</v>
      </c>
      <c r="M440" s="20" t="b">
        <f>IFERROR(__xludf.DUMMYFUNCTION("""COMPUTED_VALUE"""),FALSE)</f>
        <v>0</v>
      </c>
      <c r="N440" s="20" t="b">
        <f>IFERROR(__xludf.DUMMYFUNCTION("""COMPUTED_VALUE"""),FALSE)</f>
        <v>0</v>
      </c>
      <c r="O440" s="20">
        <f>IFERROR(__xludf.DUMMYFUNCTION("""COMPUTED_VALUE"""),58.2754512554229)</f>
        <v>58.27545126</v>
      </c>
      <c r="P440" s="20">
        <f>IFERROR(__xludf.DUMMYFUNCTION("""COMPUTED_VALUE"""),25925.0)</f>
        <v>25925</v>
      </c>
      <c r="Q440" s="20">
        <f>IFERROR(__xludf.DUMMYFUNCTION("""COMPUTED_VALUE"""),44487.0)</f>
        <v>44487</v>
      </c>
    </row>
    <row r="441">
      <c r="A441" s="20">
        <f>IFERROR(__xludf.DUMMYFUNCTION("""COMPUTED_VALUE"""),440.0)</f>
        <v>440</v>
      </c>
      <c r="B441" s="20" t="str">
        <f>IFERROR(__xludf.DUMMYFUNCTION("""COMPUTED_VALUE"""),"K-th Smallest in Lexicographical Order")</f>
        <v>K-th Smallest in Lexicographical Order</v>
      </c>
      <c r="C441" s="20" t="str">
        <f>IFERROR(__xludf.DUMMYFUNCTION("""COMPUTED_VALUE"""),"k-th-smallest-in-lexicographical-order")</f>
        <v>k-th-smallest-in-lexicographical-order</v>
      </c>
      <c r="D441" s="20" t="b">
        <f>IFERROR(__xludf.DUMMYFUNCTION("""COMPUTED_VALUE"""),FALSE)</f>
        <v>0</v>
      </c>
      <c r="E441" s="20" t="str">
        <f>IFERROR(__xludf.DUMMYFUNCTION("""COMPUTED_VALUE"""),"Hard")</f>
        <v>Hard</v>
      </c>
      <c r="F441" s="20">
        <f>IFERROR(__xludf.DUMMYFUNCTION("""COMPUTED_VALUE"""),649.0)</f>
        <v>649</v>
      </c>
      <c r="G441" s="20">
        <f>IFERROR(__xludf.DUMMYFUNCTION("""COMPUTED_VALUE"""),76.0)</f>
        <v>76</v>
      </c>
      <c r="H441" s="20" t="str">
        <f>IFERROR(__xludf.DUMMYFUNCTION("""COMPUTED_VALUE"""),"Algorithms")</f>
        <v>Algorithms</v>
      </c>
      <c r="I441" s="20">
        <f>IFERROR(__xludf.DUMMYFUNCTION("""COMPUTED_VALUE"""),0.308)</f>
        <v>0.308</v>
      </c>
      <c r="J441" s="20">
        <f>IFERROR(__xludf.DUMMYFUNCTION("""COMPUTED_VALUE"""),440.0)</f>
        <v>440</v>
      </c>
      <c r="K441" s="20" t="b">
        <f>IFERROR(__xludf.DUMMYFUNCTION("""COMPUTED_VALUE"""),FALSE)</f>
        <v>0</v>
      </c>
      <c r="L441" s="20" t="str">
        <f>IFERROR(__xludf.DUMMYFUNCTION("""COMPUTED_VALUE"""),"Trie;")</f>
        <v>Trie;</v>
      </c>
      <c r="M441" s="20" t="b">
        <f>IFERROR(__xludf.DUMMYFUNCTION("""COMPUTED_VALUE"""),FALSE)</f>
        <v>0</v>
      </c>
      <c r="N441" s="20" t="b">
        <f>IFERROR(__xludf.DUMMYFUNCTION("""COMPUTED_VALUE"""),FALSE)</f>
        <v>0</v>
      </c>
      <c r="O441" s="20">
        <f>IFERROR(__xludf.DUMMYFUNCTION("""COMPUTED_VALUE"""),30.8045939667635)</f>
        <v>30.80459397</v>
      </c>
      <c r="P441" s="20">
        <f>IFERROR(__xludf.DUMMYFUNCTION("""COMPUTED_VALUE"""),18963.0)</f>
        <v>18963</v>
      </c>
      <c r="Q441" s="20">
        <f>IFERROR(__xludf.DUMMYFUNCTION("""COMPUTED_VALUE"""),61559.0)</f>
        <v>61559</v>
      </c>
    </row>
    <row r="442">
      <c r="A442" s="20">
        <f>IFERROR(__xludf.DUMMYFUNCTION("""COMPUTED_VALUE"""),441.0)</f>
        <v>441</v>
      </c>
      <c r="B442" s="20" t="str">
        <f>IFERROR(__xludf.DUMMYFUNCTION("""COMPUTED_VALUE"""),"Arranging Coins")</f>
        <v>Arranging Coins</v>
      </c>
      <c r="C442" s="20" t="str">
        <f>IFERROR(__xludf.DUMMYFUNCTION("""COMPUTED_VALUE"""),"arranging-coins")</f>
        <v>arranging-coins</v>
      </c>
      <c r="D442" s="20" t="b">
        <f>IFERROR(__xludf.DUMMYFUNCTION("""COMPUTED_VALUE"""),FALSE)</f>
        <v>0</v>
      </c>
      <c r="E442" s="20" t="str">
        <f>IFERROR(__xludf.DUMMYFUNCTION("""COMPUTED_VALUE"""),"Easy")</f>
        <v>Easy</v>
      </c>
      <c r="F442" s="20">
        <f>IFERROR(__xludf.DUMMYFUNCTION("""COMPUTED_VALUE"""),2925.0)</f>
        <v>2925</v>
      </c>
      <c r="G442" s="20">
        <f>IFERROR(__xludf.DUMMYFUNCTION("""COMPUTED_VALUE"""),1159.0)</f>
        <v>1159</v>
      </c>
      <c r="H442" s="20" t="str">
        <f>IFERROR(__xludf.DUMMYFUNCTION("""COMPUTED_VALUE"""),"Algorithms")</f>
        <v>Algorithms</v>
      </c>
      <c r="I442" s="20">
        <f>IFERROR(__xludf.DUMMYFUNCTION("""COMPUTED_VALUE"""),0.462)</f>
        <v>0.462</v>
      </c>
      <c r="J442" s="20">
        <f>IFERROR(__xludf.DUMMYFUNCTION("""COMPUTED_VALUE"""),441.0)</f>
        <v>441</v>
      </c>
      <c r="K442" s="20" t="b">
        <f>IFERROR(__xludf.DUMMYFUNCTION("""COMPUTED_VALUE"""),FALSE)</f>
        <v>0</v>
      </c>
      <c r="L442" s="20" t="str">
        <f>IFERROR(__xludf.DUMMYFUNCTION("""COMPUTED_VALUE"""),"Math;Binary Search;")</f>
        <v>Math;Binary Search;</v>
      </c>
      <c r="M442" s="20" t="b">
        <f>IFERROR(__xludf.DUMMYFUNCTION("""COMPUTED_VALUE"""),TRUE)</f>
        <v>1</v>
      </c>
      <c r="N442" s="20" t="b">
        <f>IFERROR(__xludf.DUMMYFUNCTION("""COMPUTED_VALUE"""),FALSE)</f>
        <v>0</v>
      </c>
      <c r="O442" s="20">
        <f>IFERROR(__xludf.DUMMYFUNCTION("""COMPUTED_VALUE"""),46.1894303286361)</f>
        <v>46.18943033</v>
      </c>
      <c r="P442" s="20">
        <f>IFERROR(__xludf.DUMMYFUNCTION("""COMPUTED_VALUE"""),330597.0)</f>
        <v>330597</v>
      </c>
      <c r="Q442" s="20">
        <f>IFERROR(__xludf.DUMMYFUNCTION("""COMPUTED_VALUE"""),715743.0)</f>
        <v>715743</v>
      </c>
    </row>
    <row r="443">
      <c r="A443" s="20">
        <f>IFERROR(__xludf.DUMMYFUNCTION("""COMPUTED_VALUE"""),442.0)</f>
        <v>442</v>
      </c>
      <c r="B443" s="20" t="str">
        <f>IFERROR(__xludf.DUMMYFUNCTION("""COMPUTED_VALUE"""),"Find All Duplicates in an Array")</f>
        <v>Find All Duplicates in an Array</v>
      </c>
      <c r="C443" s="20" t="str">
        <f>IFERROR(__xludf.DUMMYFUNCTION("""COMPUTED_VALUE"""),"find-all-duplicates-in-an-array")</f>
        <v>find-all-duplicates-in-an-array</v>
      </c>
      <c r="D443" s="20" t="b">
        <f>IFERROR(__xludf.DUMMYFUNCTION("""COMPUTED_VALUE"""),FALSE)</f>
        <v>0</v>
      </c>
      <c r="E443" s="20" t="str">
        <f>IFERROR(__xludf.DUMMYFUNCTION("""COMPUTED_VALUE"""),"Medium")</f>
        <v>Medium</v>
      </c>
      <c r="F443" s="20">
        <f>IFERROR(__xludf.DUMMYFUNCTION("""COMPUTED_VALUE"""),7845.0)</f>
        <v>7845</v>
      </c>
      <c r="G443" s="20">
        <f>IFERROR(__xludf.DUMMYFUNCTION("""COMPUTED_VALUE"""),298.0)</f>
        <v>298</v>
      </c>
      <c r="H443" s="20" t="str">
        <f>IFERROR(__xludf.DUMMYFUNCTION("""COMPUTED_VALUE"""),"Algorithms")</f>
        <v>Algorithms</v>
      </c>
      <c r="I443" s="20">
        <f>IFERROR(__xludf.DUMMYFUNCTION("""COMPUTED_VALUE"""),0.734)</f>
        <v>0.734</v>
      </c>
      <c r="J443" s="20">
        <f>IFERROR(__xludf.DUMMYFUNCTION("""COMPUTED_VALUE"""),442.0)</f>
        <v>442</v>
      </c>
      <c r="K443" s="20" t="b">
        <f>IFERROR(__xludf.DUMMYFUNCTION("""COMPUTED_VALUE"""),FALSE)</f>
        <v>0</v>
      </c>
      <c r="L443" s="20" t="str">
        <f>IFERROR(__xludf.DUMMYFUNCTION("""COMPUTED_VALUE"""),"Array;Hash Table;")</f>
        <v>Array;Hash Table;</v>
      </c>
      <c r="M443" s="20" t="b">
        <f>IFERROR(__xludf.DUMMYFUNCTION("""COMPUTED_VALUE"""),TRUE)</f>
        <v>1</v>
      </c>
      <c r="N443" s="20" t="b">
        <f>IFERROR(__xludf.DUMMYFUNCTION("""COMPUTED_VALUE"""),FALSE)</f>
        <v>0</v>
      </c>
      <c r="O443" s="20">
        <f>IFERROR(__xludf.DUMMYFUNCTION("""COMPUTED_VALUE"""),73.4146575678637)</f>
        <v>73.41465757</v>
      </c>
      <c r="P443" s="20">
        <f>IFERROR(__xludf.DUMMYFUNCTION("""COMPUTED_VALUE"""),481634.0)</f>
        <v>481634</v>
      </c>
      <c r="Q443" s="20">
        <f>IFERROR(__xludf.DUMMYFUNCTION("""COMPUTED_VALUE"""),656049.0)</f>
        <v>656049</v>
      </c>
    </row>
    <row r="444">
      <c r="A444" s="20">
        <f>IFERROR(__xludf.DUMMYFUNCTION("""COMPUTED_VALUE"""),443.0)</f>
        <v>443</v>
      </c>
      <c r="B444" s="20" t="str">
        <f>IFERROR(__xludf.DUMMYFUNCTION("""COMPUTED_VALUE"""),"String Compression")</f>
        <v>String Compression</v>
      </c>
      <c r="C444" s="20" t="str">
        <f>IFERROR(__xludf.DUMMYFUNCTION("""COMPUTED_VALUE"""),"string-compression")</f>
        <v>string-compression</v>
      </c>
      <c r="D444" s="20" t="b">
        <f>IFERROR(__xludf.DUMMYFUNCTION("""COMPUTED_VALUE"""),FALSE)</f>
        <v>0</v>
      </c>
      <c r="E444" s="20" t="str">
        <f>IFERROR(__xludf.DUMMYFUNCTION("""COMPUTED_VALUE"""),"Medium")</f>
        <v>Medium</v>
      </c>
      <c r="F444" s="20">
        <f>IFERROR(__xludf.DUMMYFUNCTION("""COMPUTED_VALUE"""),2706.0)</f>
        <v>2706</v>
      </c>
      <c r="G444" s="20">
        <f>IFERROR(__xludf.DUMMYFUNCTION("""COMPUTED_VALUE"""),4762.0)</f>
        <v>4762</v>
      </c>
      <c r="H444" s="20" t="str">
        <f>IFERROR(__xludf.DUMMYFUNCTION("""COMPUTED_VALUE"""),"Algorithms")</f>
        <v>Algorithms</v>
      </c>
      <c r="I444" s="20">
        <f>IFERROR(__xludf.DUMMYFUNCTION("""COMPUTED_VALUE"""),0.49)</f>
        <v>0.49</v>
      </c>
      <c r="J444" s="20">
        <f>IFERROR(__xludf.DUMMYFUNCTION("""COMPUTED_VALUE"""),443.0)</f>
        <v>443</v>
      </c>
      <c r="K444" s="20" t="b">
        <f>IFERROR(__xludf.DUMMYFUNCTION("""COMPUTED_VALUE"""),FALSE)</f>
        <v>0</v>
      </c>
      <c r="L444" s="20" t="str">
        <f>IFERROR(__xludf.DUMMYFUNCTION("""COMPUTED_VALUE"""),"Two Pointers;String;")</f>
        <v>Two Pointers;String;</v>
      </c>
      <c r="M444" s="20" t="b">
        <f>IFERROR(__xludf.DUMMYFUNCTION("""COMPUTED_VALUE"""),FALSE)</f>
        <v>0</v>
      </c>
      <c r="N444" s="20" t="b">
        <f>IFERROR(__xludf.DUMMYFUNCTION("""COMPUTED_VALUE"""),FALSE)</f>
        <v>0</v>
      </c>
      <c r="O444" s="20">
        <f>IFERROR(__xludf.DUMMYFUNCTION("""COMPUTED_VALUE"""),49.0293918650004)</f>
        <v>49.02939187</v>
      </c>
      <c r="P444" s="20">
        <f>IFERROR(__xludf.DUMMYFUNCTION("""COMPUTED_VALUE"""),295657.0)</f>
        <v>295657</v>
      </c>
      <c r="Q444" s="20">
        <f>IFERROR(__xludf.DUMMYFUNCTION("""COMPUTED_VALUE"""),603022.0)</f>
        <v>603022</v>
      </c>
    </row>
    <row r="445">
      <c r="A445" s="20">
        <f>IFERROR(__xludf.DUMMYFUNCTION("""COMPUTED_VALUE"""),444.0)</f>
        <v>444</v>
      </c>
      <c r="B445" s="20" t="str">
        <f>IFERROR(__xludf.DUMMYFUNCTION("""COMPUTED_VALUE"""),"Sequence Reconstruction")</f>
        <v>Sequence Reconstruction</v>
      </c>
      <c r="C445" s="20" t="str">
        <f>IFERROR(__xludf.DUMMYFUNCTION("""COMPUTED_VALUE"""),"sequence-reconstruction")</f>
        <v>sequence-reconstruction</v>
      </c>
      <c r="D445" s="20" t="b">
        <f>IFERROR(__xludf.DUMMYFUNCTION("""COMPUTED_VALUE"""),TRUE)</f>
        <v>1</v>
      </c>
      <c r="E445" s="20" t="str">
        <f>IFERROR(__xludf.DUMMYFUNCTION("""COMPUTED_VALUE"""),"Medium")</f>
        <v>Medium</v>
      </c>
      <c r="F445" s="20">
        <f>IFERROR(__xludf.DUMMYFUNCTION("""COMPUTED_VALUE"""),507.0)</f>
        <v>507</v>
      </c>
      <c r="G445" s="20">
        <f>IFERROR(__xludf.DUMMYFUNCTION("""COMPUTED_VALUE"""),1448.0)</f>
        <v>1448</v>
      </c>
      <c r="H445" s="20" t="str">
        <f>IFERROR(__xludf.DUMMYFUNCTION("""COMPUTED_VALUE"""),"Algorithms")</f>
        <v>Algorithms</v>
      </c>
      <c r="I445" s="20">
        <f>IFERROR(__xludf.DUMMYFUNCTION("""COMPUTED_VALUE"""),0.265)</f>
        <v>0.265</v>
      </c>
      <c r="J445" s="20">
        <f>IFERROR(__xludf.DUMMYFUNCTION("""COMPUTED_VALUE"""),444.0)</f>
        <v>444</v>
      </c>
      <c r="K445" s="20" t="b">
        <f>IFERROR(__xludf.DUMMYFUNCTION("""COMPUTED_VALUE"""),TRUE)</f>
        <v>1</v>
      </c>
      <c r="L445" s="20" t="str">
        <f>IFERROR(__xludf.DUMMYFUNCTION("""COMPUTED_VALUE"""),"Array;Graph;Topological Sort;")</f>
        <v>Array;Graph;Topological Sort;</v>
      </c>
      <c r="M445" s="20" t="b">
        <f>IFERROR(__xludf.DUMMYFUNCTION("""COMPUTED_VALUE"""),FALSE)</f>
        <v>0</v>
      </c>
      <c r="N445" s="20" t="b">
        <f>IFERROR(__xludf.DUMMYFUNCTION("""COMPUTED_VALUE"""),FALSE)</f>
        <v>0</v>
      </c>
      <c r="O445" s="20">
        <f>IFERROR(__xludf.DUMMYFUNCTION("""COMPUTED_VALUE"""),26.503560638757)</f>
        <v>26.50356064</v>
      </c>
      <c r="P445" s="20">
        <f>IFERROR(__xludf.DUMMYFUNCTION("""COMPUTED_VALUE"""),49127.0)</f>
        <v>49127</v>
      </c>
      <c r="Q445" s="20">
        <f>IFERROR(__xludf.DUMMYFUNCTION("""COMPUTED_VALUE"""),185360.0)</f>
        <v>185360</v>
      </c>
    </row>
    <row r="446">
      <c r="A446" s="20">
        <f>IFERROR(__xludf.DUMMYFUNCTION("""COMPUTED_VALUE"""),445.0)</f>
        <v>445</v>
      </c>
      <c r="B446" s="20" t="str">
        <f>IFERROR(__xludf.DUMMYFUNCTION("""COMPUTED_VALUE"""),"Add Two Numbers II")</f>
        <v>Add Two Numbers II</v>
      </c>
      <c r="C446" s="20" t="str">
        <f>IFERROR(__xludf.DUMMYFUNCTION("""COMPUTED_VALUE"""),"add-two-numbers-ii")</f>
        <v>add-two-numbers-ii</v>
      </c>
      <c r="D446" s="20" t="b">
        <f>IFERROR(__xludf.DUMMYFUNCTION("""COMPUTED_VALUE"""),FALSE)</f>
        <v>0</v>
      </c>
      <c r="E446" s="20" t="str">
        <f>IFERROR(__xludf.DUMMYFUNCTION("""COMPUTED_VALUE"""),"Medium")</f>
        <v>Medium</v>
      </c>
      <c r="F446" s="20">
        <f>IFERROR(__xludf.DUMMYFUNCTION("""COMPUTED_VALUE"""),4188.0)</f>
        <v>4188</v>
      </c>
      <c r="G446" s="20">
        <f>IFERROR(__xludf.DUMMYFUNCTION("""COMPUTED_VALUE"""),244.0)</f>
        <v>244</v>
      </c>
      <c r="H446" s="20" t="str">
        <f>IFERROR(__xludf.DUMMYFUNCTION("""COMPUTED_VALUE"""),"Algorithms")</f>
        <v>Algorithms</v>
      </c>
      <c r="I446" s="20">
        <f>IFERROR(__xludf.DUMMYFUNCTION("""COMPUTED_VALUE"""),0.596)</f>
        <v>0.596</v>
      </c>
      <c r="J446" s="20">
        <f>IFERROR(__xludf.DUMMYFUNCTION("""COMPUTED_VALUE"""),445.0)</f>
        <v>445</v>
      </c>
      <c r="K446" s="20" t="b">
        <f>IFERROR(__xludf.DUMMYFUNCTION("""COMPUTED_VALUE"""),FALSE)</f>
        <v>0</v>
      </c>
      <c r="L446" s="20" t="str">
        <f>IFERROR(__xludf.DUMMYFUNCTION("""COMPUTED_VALUE"""),"Linked List;Math;Stack;")</f>
        <v>Linked List;Math;Stack;</v>
      </c>
      <c r="M446" s="20" t="b">
        <f>IFERROR(__xludf.DUMMYFUNCTION("""COMPUTED_VALUE"""),TRUE)</f>
        <v>1</v>
      </c>
      <c r="N446" s="20" t="b">
        <f>IFERROR(__xludf.DUMMYFUNCTION("""COMPUTED_VALUE"""),FALSE)</f>
        <v>0</v>
      </c>
      <c r="O446" s="20">
        <f>IFERROR(__xludf.DUMMYFUNCTION("""COMPUTED_VALUE"""),59.5678840773065)</f>
        <v>59.56788408</v>
      </c>
      <c r="P446" s="20">
        <f>IFERROR(__xludf.DUMMYFUNCTION("""COMPUTED_VALUE"""),353617.0)</f>
        <v>353617</v>
      </c>
      <c r="Q446" s="20">
        <f>IFERROR(__xludf.DUMMYFUNCTION("""COMPUTED_VALUE"""),593637.0)</f>
        <v>593637</v>
      </c>
    </row>
    <row r="447">
      <c r="A447" s="20">
        <f>IFERROR(__xludf.DUMMYFUNCTION("""COMPUTED_VALUE"""),446.0)</f>
        <v>446</v>
      </c>
      <c r="B447" s="20" t="str">
        <f>IFERROR(__xludf.DUMMYFUNCTION("""COMPUTED_VALUE"""),"Arithmetic Slices II - Subsequence")</f>
        <v>Arithmetic Slices II - Subsequence</v>
      </c>
      <c r="C447" s="20" t="str">
        <f>IFERROR(__xludf.DUMMYFUNCTION("""COMPUTED_VALUE"""),"arithmetic-slices-ii-subsequence")</f>
        <v>arithmetic-slices-ii-subsequence</v>
      </c>
      <c r="D447" s="20" t="b">
        <f>IFERROR(__xludf.DUMMYFUNCTION("""COMPUTED_VALUE"""),FALSE)</f>
        <v>0</v>
      </c>
      <c r="E447" s="20" t="str">
        <f>IFERROR(__xludf.DUMMYFUNCTION("""COMPUTED_VALUE"""),"Hard")</f>
        <v>Hard</v>
      </c>
      <c r="F447" s="20">
        <f>IFERROR(__xludf.DUMMYFUNCTION("""COMPUTED_VALUE"""),2186.0)</f>
        <v>2186</v>
      </c>
      <c r="G447" s="20">
        <f>IFERROR(__xludf.DUMMYFUNCTION("""COMPUTED_VALUE"""),113.0)</f>
        <v>113</v>
      </c>
      <c r="H447" s="20" t="str">
        <f>IFERROR(__xludf.DUMMYFUNCTION("""COMPUTED_VALUE"""),"Algorithms")</f>
        <v>Algorithms</v>
      </c>
      <c r="I447" s="20">
        <f>IFERROR(__xludf.DUMMYFUNCTION("""COMPUTED_VALUE"""),0.466)</f>
        <v>0.466</v>
      </c>
      <c r="J447" s="20">
        <f>IFERROR(__xludf.DUMMYFUNCTION("""COMPUTED_VALUE"""),446.0)</f>
        <v>446</v>
      </c>
      <c r="K447" s="20" t="b">
        <f>IFERROR(__xludf.DUMMYFUNCTION("""COMPUTED_VALUE"""),FALSE)</f>
        <v>0</v>
      </c>
      <c r="L447" s="20" t="str">
        <f>IFERROR(__xludf.DUMMYFUNCTION("""COMPUTED_VALUE"""),"Array;Dynamic Programming;")</f>
        <v>Array;Dynamic Programming;</v>
      </c>
      <c r="M447" s="20" t="b">
        <f>IFERROR(__xludf.DUMMYFUNCTION("""COMPUTED_VALUE"""),TRUE)</f>
        <v>1</v>
      </c>
      <c r="N447" s="20" t="b">
        <f>IFERROR(__xludf.DUMMYFUNCTION("""COMPUTED_VALUE"""),FALSE)</f>
        <v>0</v>
      </c>
      <c r="O447" s="20">
        <f>IFERROR(__xludf.DUMMYFUNCTION("""COMPUTED_VALUE"""),46.6365290754875)</f>
        <v>46.63652908</v>
      </c>
      <c r="P447" s="20">
        <f>IFERROR(__xludf.DUMMYFUNCTION("""COMPUTED_VALUE"""),72524.0)</f>
        <v>72524</v>
      </c>
      <c r="Q447" s="20">
        <f>IFERROR(__xludf.DUMMYFUNCTION("""COMPUTED_VALUE"""),155509.0)</f>
        <v>155509</v>
      </c>
    </row>
    <row r="448">
      <c r="A448" s="20">
        <f>IFERROR(__xludf.DUMMYFUNCTION("""COMPUTED_VALUE"""),447.0)</f>
        <v>447</v>
      </c>
      <c r="B448" s="20" t="str">
        <f>IFERROR(__xludf.DUMMYFUNCTION("""COMPUTED_VALUE"""),"Number of Boomerangs")</f>
        <v>Number of Boomerangs</v>
      </c>
      <c r="C448" s="20" t="str">
        <f>IFERROR(__xludf.DUMMYFUNCTION("""COMPUTED_VALUE"""),"number-of-boomerangs")</f>
        <v>number-of-boomerangs</v>
      </c>
      <c r="D448" s="20" t="b">
        <f>IFERROR(__xludf.DUMMYFUNCTION("""COMPUTED_VALUE"""),FALSE)</f>
        <v>0</v>
      </c>
      <c r="E448" s="20" t="str">
        <f>IFERROR(__xludf.DUMMYFUNCTION("""COMPUTED_VALUE"""),"Medium")</f>
        <v>Medium</v>
      </c>
      <c r="F448" s="20">
        <f>IFERROR(__xludf.DUMMYFUNCTION("""COMPUTED_VALUE"""),690.0)</f>
        <v>690</v>
      </c>
      <c r="G448" s="20">
        <f>IFERROR(__xludf.DUMMYFUNCTION("""COMPUTED_VALUE"""),933.0)</f>
        <v>933</v>
      </c>
      <c r="H448" s="20" t="str">
        <f>IFERROR(__xludf.DUMMYFUNCTION("""COMPUTED_VALUE"""),"Algorithms")</f>
        <v>Algorithms</v>
      </c>
      <c r="I448" s="20">
        <f>IFERROR(__xludf.DUMMYFUNCTION("""COMPUTED_VALUE"""),0.547)</f>
        <v>0.547</v>
      </c>
      <c r="J448" s="20">
        <f>IFERROR(__xludf.DUMMYFUNCTION("""COMPUTED_VALUE"""),447.0)</f>
        <v>447</v>
      </c>
      <c r="K448" s="20" t="b">
        <f>IFERROR(__xludf.DUMMYFUNCTION("""COMPUTED_VALUE"""),FALSE)</f>
        <v>0</v>
      </c>
      <c r="L448" s="20" t="str">
        <f>IFERROR(__xludf.DUMMYFUNCTION("""COMPUTED_VALUE"""),"Array;Hash Table;Math;")</f>
        <v>Array;Hash Table;Math;</v>
      </c>
      <c r="M448" s="20" t="b">
        <f>IFERROR(__xludf.DUMMYFUNCTION("""COMPUTED_VALUE"""),FALSE)</f>
        <v>0</v>
      </c>
      <c r="N448" s="20" t="b">
        <f>IFERROR(__xludf.DUMMYFUNCTION("""COMPUTED_VALUE"""),FALSE)</f>
        <v>0</v>
      </c>
      <c r="O448" s="20">
        <f>IFERROR(__xludf.DUMMYFUNCTION("""COMPUTED_VALUE"""),54.7005024455583)</f>
        <v>54.70050245</v>
      </c>
      <c r="P448" s="20">
        <f>IFERROR(__xludf.DUMMYFUNCTION("""COMPUTED_VALUE"""),90252.0)</f>
        <v>90252</v>
      </c>
      <c r="Q448" s="20">
        <f>IFERROR(__xludf.DUMMYFUNCTION("""COMPUTED_VALUE"""),164993.0)</f>
        <v>164993</v>
      </c>
    </row>
    <row r="449">
      <c r="A449" s="20">
        <f>IFERROR(__xludf.DUMMYFUNCTION("""COMPUTED_VALUE"""),448.0)</f>
        <v>448</v>
      </c>
      <c r="B449" s="20" t="str">
        <f>IFERROR(__xludf.DUMMYFUNCTION("""COMPUTED_VALUE"""),"Find All Numbers Disappeared in an Array")</f>
        <v>Find All Numbers Disappeared in an Array</v>
      </c>
      <c r="C449" s="20" t="str">
        <f>IFERROR(__xludf.DUMMYFUNCTION("""COMPUTED_VALUE"""),"find-all-numbers-disappeared-in-an-array")</f>
        <v>find-all-numbers-disappeared-in-an-array</v>
      </c>
      <c r="D449" s="20" t="b">
        <f>IFERROR(__xludf.DUMMYFUNCTION("""COMPUTED_VALUE"""),FALSE)</f>
        <v>0</v>
      </c>
      <c r="E449" s="20" t="str">
        <f>IFERROR(__xludf.DUMMYFUNCTION("""COMPUTED_VALUE"""),"Easy")</f>
        <v>Easy</v>
      </c>
      <c r="F449" s="20">
        <f>IFERROR(__xludf.DUMMYFUNCTION("""COMPUTED_VALUE"""),7842.0)</f>
        <v>7842</v>
      </c>
      <c r="G449" s="20">
        <f>IFERROR(__xludf.DUMMYFUNCTION("""COMPUTED_VALUE"""),421.0)</f>
        <v>421</v>
      </c>
      <c r="H449" s="20" t="str">
        <f>IFERROR(__xludf.DUMMYFUNCTION("""COMPUTED_VALUE"""),"Algorithms")</f>
        <v>Algorithms</v>
      </c>
      <c r="I449" s="20">
        <f>IFERROR(__xludf.DUMMYFUNCTION("""COMPUTED_VALUE"""),0.598)</f>
        <v>0.598</v>
      </c>
      <c r="J449" s="20">
        <f>IFERROR(__xludf.DUMMYFUNCTION("""COMPUTED_VALUE"""),448.0)</f>
        <v>448</v>
      </c>
      <c r="K449" s="20" t="b">
        <f>IFERROR(__xludf.DUMMYFUNCTION("""COMPUTED_VALUE"""),FALSE)</f>
        <v>0</v>
      </c>
      <c r="L449" s="20" t="str">
        <f>IFERROR(__xludf.DUMMYFUNCTION("""COMPUTED_VALUE"""),"Array;Hash Table;")</f>
        <v>Array;Hash Table;</v>
      </c>
      <c r="M449" s="20" t="b">
        <f>IFERROR(__xludf.DUMMYFUNCTION("""COMPUTED_VALUE"""),TRUE)</f>
        <v>1</v>
      </c>
      <c r="N449" s="20" t="b">
        <f>IFERROR(__xludf.DUMMYFUNCTION("""COMPUTED_VALUE"""),FALSE)</f>
        <v>0</v>
      </c>
      <c r="O449" s="20">
        <f>IFERROR(__xludf.DUMMYFUNCTION("""COMPUTED_VALUE"""),59.7871820457238)</f>
        <v>59.78718205</v>
      </c>
      <c r="P449" s="20">
        <f>IFERROR(__xludf.DUMMYFUNCTION("""COMPUTED_VALUE"""),677655.0)</f>
        <v>677655</v>
      </c>
      <c r="Q449" s="20">
        <f>IFERROR(__xludf.DUMMYFUNCTION("""COMPUTED_VALUE"""),1133448.0)</f>
        <v>1133448</v>
      </c>
    </row>
    <row r="450">
      <c r="A450" s="20">
        <f>IFERROR(__xludf.DUMMYFUNCTION("""COMPUTED_VALUE"""),449.0)</f>
        <v>449</v>
      </c>
      <c r="B450" s="20" t="str">
        <f>IFERROR(__xludf.DUMMYFUNCTION("""COMPUTED_VALUE"""),"Serialize and Deserialize BST")</f>
        <v>Serialize and Deserialize BST</v>
      </c>
      <c r="C450" s="20" t="str">
        <f>IFERROR(__xludf.DUMMYFUNCTION("""COMPUTED_VALUE"""),"serialize-and-deserialize-bst")</f>
        <v>serialize-and-deserialize-bst</v>
      </c>
      <c r="D450" s="20" t="b">
        <f>IFERROR(__xludf.DUMMYFUNCTION("""COMPUTED_VALUE"""),FALSE)</f>
        <v>0</v>
      </c>
      <c r="E450" s="20" t="str">
        <f>IFERROR(__xludf.DUMMYFUNCTION("""COMPUTED_VALUE"""),"Medium")</f>
        <v>Medium</v>
      </c>
      <c r="F450" s="20">
        <f>IFERROR(__xludf.DUMMYFUNCTION("""COMPUTED_VALUE"""),3086.0)</f>
        <v>3086</v>
      </c>
      <c r="G450" s="20">
        <f>IFERROR(__xludf.DUMMYFUNCTION("""COMPUTED_VALUE"""),150.0)</f>
        <v>150</v>
      </c>
      <c r="H450" s="20" t="str">
        <f>IFERROR(__xludf.DUMMYFUNCTION("""COMPUTED_VALUE"""),"Algorithms")</f>
        <v>Algorithms</v>
      </c>
      <c r="I450" s="20">
        <f>IFERROR(__xludf.DUMMYFUNCTION("""COMPUTED_VALUE"""),0.568)</f>
        <v>0.568</v>
      </c>
      <c r="J450" s="20">
        <f>IFERROR(__xludf.DUMMYFUNCTION("""COMPUTED_VALUE"""),449.0)</f>
        <v>449</v>
      </c>
      <c r="K450" s="20" t="b">
        <f>IFERROR(__xludf.DUMMYFUNCTION("""COMPUTED_VALUE"""),FALSE)</f>
        <v>0</v>
      </c>
      <c r="L450" s="20" t="str">
        <f>IFERROR(__xludf.DUMMYFUNCTION("""COMPUTED_VALUE"""),"String;Tree;Depth-First Search;Breadth-First Search;Design;Binary Search Tree;Binary Tree;")</f>
        <v>String;Tree;Depth-First Search;Breadth-First Search;Design;Binary Search Tree;Binary Tree;</v>
      </c>
      <c r="M450" s="20" t="b">
        <f>IFERROR(__xludf.DUMMYFUNCTION("""COMPUTED_VALUE"""),TRUE)</f>
        <v>1</v>
      </c>
      <c r="N450" s="20" t="b">
        <f>IFERROR(__xludf.DUMMYFUNCTION("""COMPUTED_VALUE"""),FALSE)</f>
        <v>0</v>
      </c>
      <c r="O450" s="20">
        <f>IFERROR(__xludf.DUMMYFUNCTION("""COMPUTED_VALUE"""),56.8445059519188)</f>
        <v>56.84450595</v>
      </c>
      <c r="P450" s="20">
        <f>IFERROR(__xludf.DUMMYFUNCTION("""COMPUTED_VALUE"""),212358.0)</f>
        <v>212358</v>
      </c>
      <c r="Q450" s="20">
        <f>IFERROR(__xludf.DUMMYFUNCTION("""COMPUTED_VALUE"""),373577.0)</f>
        <v>373577</v>
      </c>
    </row>
    <row r="451">
      <c r="A451" s="20">
        <f>IFERROR(__xludf.DUMMYFUNCTION("""COMPUTED_VALUE"""),450.0)</f>
        <v>450</v>
      </c>
      <c r="B451" s="20" t="str">
        <f>IFERROR(__xludf.DUMMYFUNCTION("""COMPUTED_VALUE"""),"Delete Node in a BST")</f>
        <v>Delete Node in a BST</v>
      </c>
      <c r="C451" s="20" t="str">
        <f>IFERROR(__xludf.DUMMYFUNCTION("""COMPUTED_VALUE"""),"delete-node-in-a-bst")</f>
        <v>delete-node-in-a-bst</v>
      </c>
      <c r="D451" s="20" t="b">
        <f>IFERROR(__xludf.DUMMYFUNCTION("""COMPUTED_VALUE"""),FALSE)</f>
        <v>0</v>
      </c>
      <c r="E451" s="20" t="str">
        <f>IFERROR(__xludf.DUMMYFUNCTION("""COMPUTED_VALUE"""),"Medium")</f>
        <v>Medium</v>
      </c>
      <c r="F451" s="20">
        <f>IFERROR(__xludf.DUMMYFUNCTION("""COMPUTED_VALUE"""),6764.0)</f>
        <v>6764</v>
      </c>
      <c r="G451" s="20">
        <f>IFERROR(__xludf.DUMMYFUNCTION("""COMPUTED_VALUE"""),173.0)</f>
        <v>173</v>
      </c>
      <c r="H451" s="20" t="str">
        <f>IFERROR(__xludf.DUMMYFUNCTION("""COMPUTED_VALUE"""),"Algorithms")</f>
        <v>Algorithms</v>
      </c>
      <c r="I451" s="20">
        <f>IFERROR(__xludf.DUMMYFUNCTION("""COMPUTED_VALUE"""),0.501)</f>
        <v>0.501</v>
      </c>
      <c r="J451" s="20">
        <f>IFERROR(__xludf.DUMMYFUNCTION("""COMPUTED_VALUE"""),450.0)</f>
        <v>450</v>
      </c>
      <c r="K451" s="20" t="b">
        <f>IFERROR(__xludf.DUMMYFUNCTION("""COMPUTED_VALUE"""),FALSE)</f>
        <v>0</v>
      </c>
      <c r="L451" s="20" t="str">
        <f>IFERROR(__xludf.DUMMYFUNCTION("""COMPUTED_VALUE"""),"Tree;Binary Search Tree;Binary Tree;")</f>
        <v>Tree;Binary Search Tree;Binary Tree;</v>
      </c>
      <c r="M451" s="20" t="b">
        <f>IFERROR(__xludf.DUMMYFUNCTION("""COMPUTED_VALUE"""),TRUE)</f>
        <v>1</v>
      </c>
      <c r="N451" s="20" t="b">
        <f>IFERROR(__xludf.DUMMYFUNCTION("""COMPUTED_VALUE"""),FALSE)</f>
        <v>0</v>
      </c>
      <c r="O451" s="20">
        <f>IFERROR(__xludf.DUMMYFUNCTION("""COMPUTED_VALUE"""),50.0591858556347)</f>
        <v>50.05918586</v>
      </c>
      <c r="P451" s="20">
        <f>IFERROR(__xludf.DUMMYFUNCTION("""COMPUTED_VALUE"""),332396.0)</f>
        <v>332396</v>
      </c>
      <c r="Q451" s="20">
        <f>IFERROR(__xludf.DUMMYFUNCTION("""COMPUTED_VALUE"""),664007.0)</f>
        <v>664007</v>
      </c>
    </row>
    <row r="452">
      <c r="A452" s="20">
        <f>IFERROR(__xludf.DUMMYFUNCTION("""COMPUTED_VALUE"""),451.0)</f>
        <v>451</v>
      </c>
      <c r="B452" s="20" t="str">
        <f>IFERROR(__xludf.DUMMYFUNCTION("""COMPUTED_VALUE"""),"Sort Characters By Frequency")</f>
        <v>Sort Characters By Frequency</v>
      </c>
      <c r="C452" s="20" t="str">
        <f>IFERROR(__xludf.DUMMYFUNCTION("""COMPUTED_VALUE"""),"sort-characters-by-frequency")</f>
        <v>sort-characters-by-frequency</v>
      </c>
      <c r="D452" s="20" t="b">
        <f>IFERROR(__xludf.DUMMYFUNCTION("""COMPUTED_VALUE"""),FALSE)</f>
        <v>0</v>
      </c>
      <c r="E452" s="20" t="str">
        <f>IFERROR(__xludf.DUMMYFUNCTION("""COMPUTED_VALUE"""),"Medium")</f>
        <v>Medium</v>
      </c>
      <c r="F452" s="20">
        <f>IFERROR(__xludf.DUMMYFUNCTION("""COMPUTED_VALUE"""),6181.0)</f>
        <v>6181</v>
      </c>
      <c r="G452" s="20">
        <f>IFERROR(__xludf.DUMMYFUNCTION("""COMPUTED_VALUE"""),222.0)</f>
        <v>222</v>
      </c>
      <c r="H452" s="20" t="str">
        <f>IFERROR(__xludf.DUMMYFUNCTION("""COMPUTED_VALUE"""),"Algorithms")</f>
        <v>Algorithms</v>
      </c>
      <c r="I452" s="20">
        <f>IFERROR(__xludf.DUMMYFUNCTION("""COMPUTED_VALUE"""),0.699)</f>
        <v>0.699</v>
      </c>
      <c r="J452" s="20">
        <f>IFERROR(__xludf.DUMMYFUNCTION("""COMPUTED_VALUE"""),451.0)</f>
        <v>451</v>
      </c>
      <c r="K452" s="20" t="b">
        <f>IFERROR(__xludf.DUMMYFUNCTION("""COMPUTED_VALUE"""),FALSE)</f>
        <v>0</v>
      </c>
      <c r="L452" s="20" t="str">
        <f>IFERROR(__xludf.DUMMYFUNCTION("""COMPUTED_VALUE"""),"Hash Table;String;Sorting;Heap (Priority Queue);Bucket Sort;Counting;")</f>
        <v>Hash Table;String;Sorting;Heap (Priority Queue);Bucket Sort;Counting;</v>
      </c>
      <c r="M452" s="20" t="b">
        <f>IFERROR(__xludf.DUMMYFUNCTION("""COMPUTED_VALUE"""),TRUE)</f>
        <v>1</v>
      </c>
      <c r="N452" s="20" t="b">
        <f>IFERROR(__xludf.DUMMYFUNCTION("""COMPUTED_VALUE"""),FALSE)</f>
        <v>0</v>
      </c>
      <c r="O452" s="20">
        <f>IFERROR(__xludf.DUMMYFUNCTION("""COMPUTED_VALUE"""),69.9427546324993)</f>
        <v>69.94275463</v>
      </c>
      <c r="P452" s="20">
        <f>IFERROR(__xludf.DUMMYFUNCTION("""COMPUTED_VALUE"""),479555.0)</f>
        <v>479555</v>
      </c>
      <c r="Q452" s="20">
        <f>IFERROR(__xludf.DUMMYFUNCTION("""COMPUTED_VALUE"""),685641.0)</f>
        <v>685641</v>
      </c>
    </row>
    <row r="453">
      <c r="A453" s="20">
        <f>IFERROR(__xludf.DUMMYFUNCTION("""COMPUTED_VALUE"""),452.0)</f>
        <v>452</v>
      </c>
      <c r="B453" s="20" t="str">
        <f>IFERROR(__xludf.DUMMYFUNCTION("""COMPUTED_VALUE"""),"Minimum Number of Arrows to Burst Balloons")</f>
        <v>Minimum Number of Arrows to Burst Balloons</v>
      </c>
      <c r="C453" s="20" t="str">
        <f>IFERROR(__xludf.DUMMYFUNCTION("""COMPUTED_VALUE"""),"minimum-number-of-arrows-to-burst-balloons")</f>
        <v>minimum-number-of-arrows-to-burst-balloons</v>
      </c>
      <c r="D453" s="20" t="b">
        <f>IFERROR(__xludf.DUMMYFUNCTION("""COMPUTED_VALUE"""),FALSE)</f>
        <v>0</v>
      </c>
      <c r="E453" s="20" t="str">
        <f>IFERROR(__xludf.DUMMYFUNCTION("""COMPUTED_VALUE"""),"Medium")</f>
        <v>Medium</v>
      </c>
      <c r="F453" s="20">
        <f>IFERROR(__xludf.DUMMYFUNCTION("""COMPUTED_VALUE"""),3962.0)</f>
        <v>3962</v>
      </c>
      <c r="G453" s="20">
        <f>IFERROR(__xludf.DUMMYFUNCTION("""COMPUTED_VALUE"""),114.0)</f>
        <v>114</v>
      </c>
      <c r="H453" s="20" t="str">
        <f>IFERROR(__xludf.DUMMYFUNCTION("""COMPUTED_VALUE"""),"Algorithms")</f>
        <v>Algorithms</v>
      </c>
      <c r="I453" s="20">
        <f>IFERROR(__xludf.DUMMYFUNCTION("""COMPUTED_VALUE"""),0.532)</f>
        <v>0.532</v>
      </c>
      <c r="J453" s="20">
        <f>IFERROR(__xludf.DUMMYFUNCTION("""COMPUTED_VALUE"""),452.0)</f>
        <v>452</v>
      </c>
      <c r="K453" s="20" t="b">
        <f>IFERROR(__xludf.DUMMYFUNCTION("""COMPUTED_VALUE"""),FALSE)</f>
        <v>0</v>
      </c>
      <c r="L453" s="20" t="str">
        <f>IFERROR(__xludf.DUMMYFUNCTION("""COMPUTED_VALUE"""),"Array;Greedy;Sorting;")</f>
        <v>Array;Greedy;Sorting;</v>
      </c>
      <c r="M453" s="20" t="b">
        <f>IFERROR(__xludf.DUMMYFUNCTION("""COMPUTED_VALUE"""),TRUE)</f>
        <v>1</v>
      </c>
      <c r="N453" s="20" t="b">
        <f>IFERROR(__xludf.DUMMYFUNCTION("""COMPUTED_VALUE"""),FALSE)</f>
        <v>0</v>
      </c>
      <c r="O453" s="20">
        <f>IFERROR(__xludf.DUMMYFUNCTION("""COMPUTED_VALUE"""),53.1958042830238)</f>
        <v>53.19580428</v>
      </c>
      <c r="P453" s="20">
        <f>IFERROR(__xludf.DUMMYFUNCTION("""COMPUTED_VALUE"""),213253.0)</f>
        <v>213253</v>
      </c>
      <c r="Q453" s="20">
        <f>IFERROR(__xludf.DUMMYFUNCTION("""COMPUTED_VALUE"""),400882.0)</f>
        <v>400882</v>
      </c>
    </row>
    <row r="454">
      <c r="A454" s="20">
        <f>IFERROR(__xludf.DUMMYFUNCTION("""COMPUTED_VALUE"""),453.0)</f>
        <v>453</v>
      </c>
      <c r="B454" s="20" t="str">
        <f>IFERROR(__xludf.DUMMYFUNCTION("""COMPUTED_VALUE"""),"Minimum Moves to Equal Array Elements")</f>
        <v>Minimum Moves to Equal Array Elements</v>
      </c>
      <c r="C454" s="20" t="str">
        <f>IFERROR(__xludf.DUMMYFUNCTION("""COMPUTED_VALUE"""),"minimum-moves-to-equal-array-elements")</f>
        <v>minimum-moves-to-equal-array-elements</v>
      </c>
      <c r="D454" s="20" t="b">
        <f>IFERROR(__xludf.DUMMYFUNCTION("""COMPUTED_VALUE"""),FALSE)</f>
        <v>0</v>
      </c>
      <c r="E454" s="20" t="str">
        <f>IFERROR(__xludf.DUMMYFUNCTION("""COMPUTED_VALUE"""),"Medium")</f>
        <v>Medium</v>
      </c>
      <c r="F454" s="20">
        <f>IFERROR(__xludf.DUMMYFUNCTION("""COMPUTED_VALUE"""),2041.0)</f>
        <v>2041</v>
      </c>
      <c r="G454" s="20">
        <f>IFERROR(__xludf.DUMMYFUNCTION("""COMPUTED_VALUE"""),1787.0)</f>
        <v>1787</v>
      </c>
      <c r="H454" s="20" t="str">
        <f>IFERROR(__xludf.DUMMYFUNCTION("""COMPUTED_VALUE"""),"Algorithms")</f>
        <v>Algorithms</v>
      </c>
      <c r="I454" s="20">
        <f>IFERROR(__xludf.DUMMYFUNCTION("""COMPUTED_VALUE"""),0.558)</f>
        <v>0.558</v>
      </c>
      <c r="J454" s="20">
        <f>IFERROR(__xludf.DUMMYFUNCTION("""COMPUTED_VALUE"""),453.0)</f>
        <v>453</v>
      </c>
      <c r="K454" s="20" t="b">
        <f>IFERROR(__xludf.DUMMYFUNCTION("""COMPUTED_VALUE"""),FALSE)</f>
        <v>0</v>
      </c>
      <c r="L454" s="20" t="str">
        <f>IFERROR(__xludf.DUMMYFUNCTION("""COMPUTED_VALUE"""),"Array;Math;")</f>
        <v>Array;Math;</v>
      </c>
      <c r="M454" s="20" t="b">
        <f>IFERROR(__xludf.DUMMYFUNCTION("""COMPUTED_VALUE"""),TRUE)</f>
        <v>1</v>
      </c>
      <c r="N454" s="20" t="b">
        <f>IFERROR(__xludf.DUMMYFUNCTION("""COMPUTED_VALUE"""),FALSE)</f>
        <v>0</v>
      </c>
      <c r="O454" s="20">
        <f>IFERROR(__xludf.DUMMYFUNCTION("""COMPUTED_VALUE"""),55.8107052572039)</f>
        <v>55.81070526</v>
      </c>
      <c r="P454" s="20">
        <f>IFERROR(__xludf.DUMMYFUNCTION("""COMPUTED_VALUE"""),145047.0)</f>
        <v>145047</v>
      </c>
      <c r="Q454" s="20">
        <f>IFERROR(__xludf.DUMMYFUNCTION("""COMPUTED_VALUE"""),259891.0)</f>
        <v>259891</v>
      </c>
    </row>
    <row r="455">
      <c r="A455" s="20">
        <f>IFERROR(__xludf.DUMMYFUNCTION("""COMPUTED_VALUE"""),454.0)</f>
        <v>454</v>
      </c>
      <c r="B455" s="20" t="str">
        <f>IFERROR(__xludf.DUMMYFUNCTION("""COMPUTED_VALUE"""),"4Sum II")</f>
        <v>4Sum II</v>
      </c>
      <c r="C455" s="20" t="str">
        <f>IFERROR(__xludf.DUMMYFUNCTION("""COMPUTED_VALUE"""),"4sum-ii")</f>
        <v>4sum-ii</v>
      </c>
      <c r="D455" s="20" t="b">
        <f>IFERROR(__xludf.DUMMYFUNCTION("""COMPUTED_VALUE"""),FALSE)</f>
        <v>0</v>
      </c>
      <c r="E455" s="20" t="str">
        <f>IFERROR(__xludf.DUMMYFUNCTION("""COMPUTED_VALUE"""),"Medium")</f>
        <v>Medium</v>
      </c>
      <c r="F455" s="20">
        <f>IFERROR(__xludf.DUMMYFUNCTION("""COMPUTED_VALUE"""),4289.0)</f>
        <v>4289</v>
      </c>
      <c r="G455" s="20">
        <f>IFERROR(__xludf.DUMMYFUNCTION("""COMPUTED_VALUE"""),125.0)</f>
        <v>125</v>
      </c>
      <c r="H455" s="20" t="str">
        <f>IFERROR(__xludf.DUMMYFUNCTION("""COMPUTED_VALUE"""),"Algorithms")</f>
        <v>Algorithms</v>
      </c>
      <c r="I455" s="20">
        <f>IFERROR(__xludf.DUMMYFUNCTION("""COMPUTED_VALUE"""),0.573)</f>
        <v>0.573</v>
      </c>
      <c r="J455" s="20">
        <f>IFERROR(__xludf.DUMMYFUNCTION("""COMPUTED_VALUE"""),454.0)</f>
        <v>454</v>
      </c>
      <c r="K455" s="20" t="b">
        <f>IFERROR(__xludf.DUMMYFUNCTION("""COMPUTED_VALUE"""),FALSE)</f>
        <v>0</v>
      </c>
      <c r="L455" s="20" t="str">
        <f>IFERROR(__xludf.DUMMYFUNCTION("""COMPUTED_VALUE"""),"Array;Hash Table;")</f>
        <v>Array;Hash Table;</v>
      </c>
      <c r="M455" s="20" t="b">
        <f>IFERROR(__xludf.DUMMYFUNCTION("""COMPUTED_VALUE"""),TRUE)</f>
        <v>1</v>
      </c>
      <c r="N455" s="20" t="b">
        <f>IFERROR(__xludf.DUMMYFUNCTION("""COMPUTED_VALUE"""),FALSE)</f>
        <v>0</v>
      </c>
      <c r="O455" s="20">
        <f>IFERROR(__xludf.DUMMYFUNCTION("""COMPUTED_VALUE"""),57.2887809521485)</f>
        <v>57.28878095</v>
      </c>
      <c r="P455" s="20">
        <f>IFERROR(__xludf.DUMMYFUNCTION("""COMPUTED_VALUE"""),281657.0)</f>
        <v>281657</v>
      </c>
      <c r="Q455" s="20">
        <f>IFERROR(__xludf.DUMMYFUNCTION("""COMPUTED_VALUE"""),491645.0)</f>
        <v>491645</v>
      </c>
    </row>
    <row r="456">
      <c r="A456" s="20">
        <f>IFERROR(__xludf.DUMMYFUNCTION("""COMPUTED_VALUE"""),455.0)</f>
        <v>455</v>
      </c>
      <c r="B456" s="20" t="str">
        <f>IFERROR(__xludf.DUMMYFUNCTION("""COMPUTED_VALUE"""),"Assign Cookies")</f>
        <v>Assign Cookies</v>
      </c>
      <c r="C456" s="20" t="str">
        <f>IFERROR(__xludf.DUMMYFUNCTION("""COMPUTED_VALUE"""),"assign-cookies")</f>
        <v>assign-cookies</v>
      </c>
      <c r="D456" s="20" t="b">
        <f>IFERROR(__xludf.DUMMYFUNCTION("""COMPUTED_VALUE"""),FALSE)</f>
        <v>0</v>
      </c>
      <c r="E456" s="20" t="str">
        <f>IFERROR(__xludf.DUMMYFUNCTION("""COMPUTED_VALUE"""),"Easy")</f>
        <v>Easy</v>
      </c>
      <c r="F456" s="20">
        <f>IFERROR(__xludf.DUMMYFUNCTION("""COMPUTED_VALUE"""),1960.0)</f>
        <v>1960</v>
      </c>
      <c r="G456" s="20">
        <f>IFERROR(__xludf.DUMMYFUNCTION("""COMPUTED_VALUE"""),193.0)</f>
        <v>193</v>
      </c>
      <c r="H456" s="20" t="str">
        <f>IFERROR(__xludf.DUMMYFUNCTION("""COMPUTED_VALUE"""),"Algorithms")</f>
        <v>Algorithms</v>
      </c>
      <c r="I456" s="20">
        <f>IFERROR(__xludf.DUMMYFUNCTION("""COMPUTED_VALUE"""),0.503)</f>
        <v>0.503</v>
      </c>
      <c r="J456" s="20">
        <f>IFERROR(__xludf.DUMMYFUNCTION("""COMPUTED_VALUE"""),455.0)</f>
        <v>455</v>
      </c>
      <c r="K456" s="20" t="b">
        <f>IFERROR(__xludf.DUMMYFUNCTION("""COMPUTED_VALUE"""),FALSE)</f>
        <v>0</v>
      </c>
      <c r="L456" s="20" t="str">
        <f>IFERROR(__xludf.DUMMYFUNCTION("""COMPUTED_VALUE"""),"Array;Two Pointers;Greedy;Sorting;")</f>
        <v>Array;Two Pointers;Greedy;Sorting;</v>
      </c>
      <c r="M456" s="20" t="b">
        <f>IFERROR(__xludf.DUMMYFUNCTION("""COMPUTED_VALUE"""),FALSE)</f>
        <v>0</v>
      </c>
      <c r="N456" s="20" t="b">
        <f>IFERROR(__xludf.DUMMYFUNCTION("""COMPUTED_VALUE"""),FALSE)</f>
        <v>0</v>
      </c>
      <c r="O456" s="20">
        <f>IFERROR(__xludf.DUMMYFUNCTION("""COMPUTED_VALUE"""),50.2993609483954)</f>
        <v>50.29936095</v>
      </c>
      <c r="P456" s="20">
        <f>IFERROR(__xludf.DUMMYFUNCTION("""COMPUTED_VALUE"""),202044.0)</f>
        <v>202044</v>
      </c>
      <c r="Q456" s="20">
        <f>IFERROR(__xludf.DUMMYFUNCTION("""COMPUTED_VALUE"""),401685.0)</f>
        <v>401685</v>
      </c>
    </row>
    <row r="457">
      <c r="A457" s="20">
        <f>IFERROR(__xludf.DUMMYFUNCTION("""COMPUTED_VALUE"""),456.0)</f>
        <v>456</v>
      </c>
      <c r="B457" s="20" t="str">
        <f>IFERROR(__xludf.DUMMYFUNCTION("""COMPUTED_VALUE"""),"132 Pattern")</f>
        <v>132 Pattern</v>
      </c>
      <c r="C457" s="20" t="str">
        <f>IFERROR(__xludf.DUMMYFUNCTION("""COMPUTED_VALUE"""),"132-pattern")</f>
        <v>132-pattern</v>
      </c>
      <c r="D457" s="20" t="b">
        <f>IFERROR(__xludf.DUMMYFUNCTION("""COMPUTED_VALUE"""),FALSE)</f>
        <v>0</v>
      </c>
      <c r="E457" s="20" t="str">
        <f>IFERROR(__xludf.DUMMYFUNCTION("""COMPUTED_VALUE"""),"Medium")</f>
        <v>Medium</v>
      </c>
      <c r="F457" s="20">
        <f>IFERROR(__xludf.DUMMYFUNCTION("""COMPUTED_VALUE"""),5294.0)</f>
        <v>5294</v>
      </c>
      <c r="G457" s="20">
        <f>IFERROR(__xludf.DUMMYFUNCTION("""COMPUTED_VALUE"""),303.0)</f>
        <v>303</v>
      </c>
      <c r="H457" s="20" t="str">
        <f>IFERROR(__xludf.DUMMYFUNCTION("""COMPUTED_VALUE"""),"Algorithms")</f>
        <v>Algorithms</v>
      </c>
      <c r="I457" s="20">
        <f>IFERROR(__xludf.DUMMYFUNCTION("""COMPUTED_VALUE"""),0.324)</f>
        <v>0.324</v>
      </c>
      <c r="J457" s="20">
        <f>IFERROR(__xludf.DUMMYFUNCTION("""COMPUTED_VALUE"""),456.0)</f>
        <v>456</v>
      </c>
      <c r="K457" s="20" t="b">
        <f>IFERROR(__xludf.DUMMYFUNCTION("""COMPUTED_VALUE"""),FALSE)</f>
        <v>0</v>
      </c>
      <c r="L457" s="20" t="str">
        <f>IFERROR(__xludf.DUMMYFUNCTION("""COMPUTED_VALUE"""),"Array;Binary Search;Stack;Monotonic Stack;Ordered Set;")</f>
        <v>Array;Binary Search;Stack;Monotonic Stack;Ordered Set;</v>
      </c>
      <c r="M457" s="20" t="b">
        <f>IFERROR(__xludf.DUMMYFUNCTION("""COMPUTED_VALUE"""),TRUE)</f>
        <v>1</v>
      </c>
      <c r="N457" s="20" t="b">
        <f>IFERROR(__xludf.DUMMYFUNCTION("""COMPUTED_VALUE"""),TRUE)</f>
        <v>1</v>
      </c>
      <c r="O457" s="20">
        <f>IFERROR(__xludf.DUMMYFUNCTION("""COMPUTED_VALUE"""),32.4330434852201)</f>
        <v>32.43304349</v>
      </c>
      <c r="P457" s="20">
        <f>IFERROR(__xludf.DUMMYFUNCTION("""COMPUTED_VALUE"""),162097.0)</f>
        <v>162097</v>
      </c>
      <c r="Q457" s="20">
        <f>IFERROR(__xludf.DUMMYFUNCTION("""COMPUTED_VALUE"""),499797.0)</f>
        <v>499797</v>
      </c>
    </row>
    <row r="458">
      <c r="A458" s="20">
        <f>IFERROR(__xludf.DUMMYFUNCTION("""COMPUTED_VALUE"""),457.0)</f>
        <v>457</v>
      </c>
      <c r="B458" s="20" t="str">
        <f>IFERROR(__xludf.DUMMYFUNCTION("""COMPUTED_VALUE"""),"Circular Array Loop")</f>
        <v>Circular Array Loop</v>
      </c>
      <c r="C458" s="20" t="str">
        <f>IFERROR(__xludf.DUMMYFUNCTION("""COMPUTED_VALUE"""),"circular-array-loop")</f>
        <v>circular-array-loop</v>
      </c>
      <c r="D458" s="20" t="b">
        <f>IFERROR(__xludf.DUMMYFUNCTION("""COMPUTED_VALUE"""),FALSE)</f>
        <v>0</v>
      </c>
      <c r="E458" s="20" t="str">
        <f>IFERROR(__xludf.DUMMYFUNCTION("""COMPUTED_VALUE"""),"Medium")</f>
        <v>Medium</v>
      </c>
      <c r="F458" s="20">
        <f>IFERROR(__xludf.DUMMYFUNCTION("""COMPUTED_VALUE"""),482.0)</f>
        <v>482</v>
      </c>
      <c r="G458" s="20">
        <f>IFERROR(__xludf.DUMMYFUNCTION("""COMPUTED_VALUE"""),463.0)</f>
        <v>463</v>
      </c>
      <c r="H458" s="20" t="str">
        <f>IFERROR(__xludf.DUMMYFUNCTION("""COMPUTED_VALUE"""),"Algorithms")</f>
        <v>Algorithms</v>
      </c>
      <c r="I458" s="20">
        <f>IFERROR(__xludf.DUMMYFUNCTION("""COMPUTED_VALUE"""),0.324)</f>
        <v>0.324</v>
      </c>
      <c r="J458" s="20">
        <f>IFERROR(__xludf.DUMMYFUNCTION("""COMPUTED_VALUE"""),457.0)</f>
        <v>457</v>
      </c>
      <c r="K458" s="20" t="b">
        <f>IFERROR(__xludf.DUMMYFUNCTION("""COMPUTED_VALUE"""),FALSE)</f>
        <v>0</v>
      </c>
      <c r="L458" s="20" t="str">
        <f>IFERROR(__xludf.DUMMYFUNCTION("""COMPUTED_VALUE"""),"Array;Hash Table;Two Pointers;")</f>
        <v>Array;Hash Table;Two Pointers;</v>
      </c>
      <c r="M458" s="20" t="b">
        <f>IFERROR(__xludf.DUMMYFUNCTION("""COMPUTED_VALUE"""),FALSE)</f>
        <v>0</v>
      </c>
      <c r="N458" s="20" t="b">
        <f>IFERROR(__xludf.DUMMYFUNCTION("""COMPUTED_VALUE"""),FALSE)</f>
        <v>0</v>
      </c>
      <c r="O458" s="20">
        <f>IFERROR(__xludf.DUMMYFUNCTION("""COMPUTED_VALUE"""),32.3563800763894)</f>
        <v>32.35638008</v>
      </c>
      <c r="P458" s="20">
        <f>IFERROR(__xludf.DUMMYFUNCTION("""COMPUTED_VALUE"""),66415.0)</f>
        <v>66415</v>
      </c>
      <c r="Q458" s="20">
        <f>IFERROR(__xludf.DUMMYFUNCTION("""COMPUTED_VALUE"""),205262.0)</f>
        <v>205262</v>
      </c>
    </row>
    <row r="459">
      <c r="A459" s="20">
        <f>IFERROR(__xludf.DUMMYFUNCTION("""COMPUTED_VALUE"""),458.0)</f>
        <v>458</v>
      </c>
      <c r="B459" s="20" t="str">
        <f>IFERROR(__xludf.DUMMYFUNCTION("""COMPUTED_VALUE"""),"Poor Pigs")</f>
        <v>Poor Pigs</v>
      </c>
      <c r="C459" s="20" t="str">
        <f>IFERROR(__xludf.DUMMYFUNCTION("""COMPUTED_VALUE"""),"poor-pigs")</f>
        <v>poor-pigs</v>
      </c>
      <c r="D459" s="20" t="b">
        <f>IFERROR(__xludf.DUMMYFUNCTION("""COMPUTED_VALUE"""),FALSE)</f>
        <v>0</v>
      </c>
      <c r="E459" s="20" t="str">
        <f>IFERROR(__xludf.DUMMYFUNCTION("""COMPUTED_VALUE"""),"Hard")</f>
        <v>Hard</v>
      </c>
      <c r="F459" s="20">
        <f>IFERROR(__xludf.DUMMYFUNCTION("""COMPUTED_VALUE"""),1348.0)</f>
        <v>1348</v>
      </c>
      <c r="G459" s="20">
        <f>IFERROR(__xludf.DUMMYFUNCTION("""COMPUTED_VALUE"""),2761.0)</f>
        <v>2761</v>
      </c>
      <c r="H459" s="20" t="str">
        <f>IFERROR(__xludf.DUMMYFUNCTION("""COMPUTED_VALUE"""),"Algorithms")</f>
        <v>Algorithms</v>
      </c>
      <c r="I459" s="20">
        <f>IFERROR(__xludf.DUMMYFUNCTION("""COMPUTED_VALUE"""),0.637)</f>
        <v>0.637</v>
      </c>
      <c r="J459" s="20">
        <f>IFERROR(__xludf.DUMMYFUNCTION("""COMPUTED_VALUE"""),458.0)</f>
        <v>458</v>
      </c>
      <c r="K459" s="20" t="b">
        <f>IFERROR(__xludf.DUMMYFUNCTION("""COMPUTED_VALUE"""),FALSE)</f>
        <v>0</v>
      </c>
      <c r="L459" s="20" t="str">
        <f>IFERROR(__xludf.DUMMYFUNCTION("""COMPUTED_VALUE"""),"Math;Dynamic Programming;Combinatorics;")</f>
        <v>Math;Dynamic Programming;Combinatorics;</v>
      </c>
      <c r="M459" s="20" t="b">
        <f>IFERROR(__xludf.DUMMYFUNCTION("""COMPUTED_VALUE"""),TRUE)</f>
        <v>1</v>
      </c>
      <c r="N459" s="20" t="b">
        <f>IFERROR(__xludf.DUMMYFUNCTION("""COMPUTED_VALUE"""),FALSE)</f>
        <v>0</v>
      </c>
      <c r="O459" s="20">
        <f>IFERROR(__xludf.DUMMYFUNCTION("""COMPUTED_VALUE"""),63.7492535216215)</f>
        <v>63.74925352</v>
      </c>
      <c r="P459" s="20">
        <f>IFERROR(__xludf.DUMMYFUNCTION("""COMPUTED_VALUE"""),72589.0)</f>
        <v>72589</v>
      </c>
      <c r="Q459" s="20">
        <f>IFERROR(__xludf.DUMMYFUNCTION("""COMPUTED_VALUE"""),113867.0)</f>
        <v>113867</v>
      </c>
    </row>
    <row r="460">
      <c r="A460" s="20">
        <f>IFERROR(__xludf.DUMMYFUNCTION("""COMPUTED_VALUE"""),459.0)</f>
        <v>459</v>
      </c>
      <c r="B460" s="20" t="str">
        <f>IFERROR(__xludf.DUMMYFUNCTION("""COMPUTED_VALUE"""),"Repeated Substring Pattern")</f>
        <v>Repeated Substring Pattern</v>
      </c>
      <c r="C460" s="20" t="str">
        <f>IFERROR(__xludf.DUMMYFUNCTION("""COMPUTED_VALUE"""),"repeated-substring-pattern")</f>
        <v>repeated-substring-pattern</v>
      </c>
      <c r="D460" s="20" t="b">
        <f>IFERROR(__xludf.DUMMYFUNCTION("""COMPUTED_VALUE"""),FALSE)</f>
        <v>0</v>
      </c>
      <c r="E460" s="20" t="str">
        <f>IFERROR(__xludf.DUMMYFUNCTION("""COMPUTED_VALUE"""),"Easy")</f>
        <v>Easy</v>
      </c>
      <c r="F460" s="20">
        <f>IFERROR(__xludf.DUMMYFUNCTION("""COMPUTED_VALUE"""),4038.0)</f>
        <v>4038</v>
      </c>
      <c r="G460" s="20">
        <f>IFERROR(__xludf.DUMMYFUNCTION("""COMPUTED_VALUE"""),364.0)</f>
        <v>364</v>
      </c>
      <c r="H460" s="20" t="str">
        <f>IFERROR(__xludf.DUMMYFUNCTION("""COMPUTED_VALUE"""),"Algorithms")</f>
        <v>Algorithms</v>
      </c>
      <c r="I460" s="20">
        <f>IFERROR(__xludf.DUMMYFUNCTION("""COMPUTED_VALUE"""),0.437)</f>
        <v>0.437</v>
      </c>
      <c r="J460" s="20">
        <f>IFERROR(__xludf.DUMMYFUNCTION("""COMPUTED_VALUE"""),459.0)</f>
        <v>459</v>
      </c>
      <c r="K460" s="20" t="b">
        <f>IFERROR(__xludf.DUMMYFUNCTION("""COMPUTED_VALUE"""),FALSE)</f>
        <v>0</v>
      </c>
      <c r="L460" s="20" t="str">
        <f>IFERROR(__xludf.DUMMYFUNCTION("""COMPUTED_VALUE"""),"String;String Matching;")</f>
        <v>String;String Matching;</v>
      </c>
      <c r="M460" s="20" t="b">
        <f>IFERROR(__xludf.DUMMYFUNCTION("""COMPUTED_VALUE"""),TRUE)</f>
        <v>1</v>
      </c>
      <c r="N460" s="20" t="b">
        <f>IFERROR(__xludf.DUMMYFUNCTION("""COMPUTED_VALUE"""),FALSE)</f>
        <v>0</v>
      </c>
      <c r="O460" s="20">
        <f>IFERROR(__xludf.DUMMYFUNCTION("""COMPUTED_VALUE"""),43.6936547621105)</f>
        <v>43.69365476</v>
      </c>
      <c r="P460" s="20">
        <f>IFERROR(__xludf.DUMMYFUNCTION("""COMPUTED_VALUE"""),278048.0)</f>
        <v>278048</v>
      </c>
      <c r="Q460" s="20">
        <f>IFERROR(__xludf.DUMMYFUNCTION("""COMPUTED_VALUE"""),636349.0)</f>
        <v>636349</v>
      </c>
    </row>
    <row r="461">
      <c r="A461" s="20">
        <f>IFERROR(__xludf.DUMMYFUNCTION("""COMPUTED_VALUE"""),460.0)</f>
        <v>460</v>
      </c>
      <c r="B461" s="20" t="str">
        <f>IFERROR(__xludf.DUMMYFUNCTION("""COMPUTED_VALUE"""),"LFU Cache")</f>
        <v>LFU Cache</v>
      </c>
      <c r="C461" s="20" t="str">
        <f>IFERROR(__xludf.DUMMYFUNCTION("""COMPUTED_VALUE"""),"lfu-cache")</f>
        <v>lfu-cache</v>
      </c>
      <c r="D461" s="20" t="b">
        <f>IFERROR(__xludf.DUMMYFUNCTION("""COMPUTED_VALUE"""),FALSE)</f>
        <v>0</v>
      </c>
      <c r="E461" s="20" t="str">
        <f>IFERROR(__xludf.DUMMYFUNCTION("""COMPUTED_VALUE"""),"Hard")</f>
        <v>Hard</v>
      </c>
      <c r="F461" s="20">
        <f>IFERROR(__xludf.DUMMYFUNCTION("""COMPUTED_VALUE"""),3945.0)</f>
        <v>3945</v>
      </c>
      <c r="G461" s="20">
        <f>IFERROR(__xludf.DUMMYFUNCTION("""COMPUTED_VALUE"""),242.0)</f>
        <v>242</v>
      </c>
      <c r="H461" s="20" t="str">
        <f>IFERROR(__xludf.DUMMYFUNCTION("""COMPUTED_VALUE"""),"Algorithms")</f>
        <v>Algorithms</v>
      </c>
      <c r="I461" s="20">
        <f>IFERROR(__xludf.DUMMYFUNCTION("""COMPUTED_VALUE"""),0.405)</f>
        <v>0.405</v>
      </c>
      <c r="J461" s="20">
        <f>IFERROR(__xludf.DUMMYFUNCTION("""COMPUTED_VALUE"""),460.0)</f>
        <v>460</v>
      </c>
      <c r="K461" s="20" t="b">
        <f>IFERROR(__xludf.DUMMYFUNCTION("""COMPUTED_VALUE"""),FALSE)</f>
        <v>0</v>
      </c>
      <c r="L461" s="20" t="str">
        <f>IFERROR(__xludf.DUMMYFUNCTION("""COMPUTED_VALUE"""),"Hash Table;Linked List;Design;Doubly-Linked List;")</f>
        <v>Hash Table;Linked List;Design;Doubly-Linked List;</v>
      </c>
      <c r="M461" s="20" t="b">
        <f>IFERROR(__xludf.DUMMYFUNCTION("""COMPUTED_VALUE"""),TRUE)</f>
        <v>1</v>
      </c>
      <c r="N461" s="20" t="b">
        <f>IFERROR(__xludf.DUMMYFUNCTION("""COMPUTED_VALUE"""),FALSE)</f>
        <v>0</v>
      </c>
      <c r="O461" s="20">
        <f>IFERROR(__xludf.DUMMYFUNCTION("""COMPUTED_VALUE"""),40.4655876520466)</f>
        <v>40.46558765</v>
      </c>
      <c r="P461" s="20">
        <f>IFERROR(__xludf.DUMMYFUNCTION("""COMPUTED_VALUE"""),175284.0)</f>
        <v>175284</v>
      </c>
      <c r="Q461" s="20">
        <f>IFERROR(__xludf.DUMMYFUNCTION("""COMPUTED_VALUE"""),433171.0)</f>
        <v>433171</v>
      </c>
    </row>
    <row r="462">
      <c r="A462" s="20">
        <f>IFERROR(__xludf.DUMMYFUNCTION("""COMPUTED_VALUE"""),461.0)</f>
        <v>461</v>
      </c>
      <c r="B462" s="20" t="str">
        <f>IFERROR(__xludf.DUMMYFUNCTION("""COMPUTED_VALUE"""),"Hamming Distance")</f>
        <v>Hamming Distance</v>
      </c>
      <c r="C462" s="20" t="str">
        <f>IFERROR(__xludf.DUMMYFUNCTION("""COMPUTED_VALUE"""),"hamming-distance")</f>
        <v>hamming-distance</v>
      </c>
      <c r="D462" s="20" t="b">
        <f>IFERROR(__xludf.DUMMYFUNCTION("""COMPUTED_VALUE"""),FALSE)</f>
        <v>0</v>
      </c>
      <c r="E462" s="20" t="str">
        <f>IFERROR(__xludf.DUMMYFUNCTION("""COMPUTED_VALUE"""),"Easy")</f>
        <v>Easy</v>
      </c>
      <c r="F462" s="20">
        <f>IFERROR(__xludf.DUMMYFUNCTION("""COMPUTED_VALUE"""),3403.0)</f>
        <v>3403</v>
      </c>
      <c r="G462" s="20">
        <f>IFERROR(__xludf.DUMMYFUNCTION("""COMPUTED_VALUE"""),207.0)</f>
        <v>207</v>
      </c>
      <c r="H462" s="20" t="str">
        <f>IFERROR(__xludf.DUMMYFUNCTION("""COMPUTED_VALUE"""),"Algorithms")</f>
        <v>Algorithms</v>
      </c>
      <c r="I462" s="20">
        <f>IFERROR(__xludf.DUMMYFUNCTION("""COMPUTED_VALUE"""),0.749)</f>
        <v>0.749</v>
      </c>
      <c r="J462" s="20">
        <f>IFERROR(__xludf.DUMMYFUNCTION("""COMPUTED_VALUE"""),461.0)</f>
        <v>461</v>
      </c>
      <c r="K462" s="20" t="b">
        <f>IFERROR(__xludf.DUMMYFUNCTION("""COMPUTED_VALUE"""),FALSE)</f>
        <v>0</v>
      </c>
      <c r="L462" s="20" t="str">
        <f>IFERROR(__xludf.DUMMYFUNCTION("""COMPUTED_VALUE"""),"Bit Manipulation;")</f>
        <v>Bit Manipulation;</v>
      </c>
      <c r="M462" s="20" t="b">
        <f>IFERROR(__xludf.DUMMYFUNCTION("""COMPUTED_VALUE"""),TRUE)</f>
        <v>1</v>
      </c>
      <c r="N462" s="20" t="b">
        <f>IFERROR(__xludf.DUMMYFUNCTION("""COMPUTED_VALUE"""),FALSE)</f>
        <v>0</v>
      </c>
      <c r="O462" s="20">
        <f>IFERROR(__xludf.DUMMYFUNCTION("""COMPUTED_VALUE"""),74.8947226156943)</f>
        <v>74.89472262</v>
      </c>
      <c r="P462" s="20">
        <f>IFERROR(__xludf.DUMMYFUNCTION("""COMPUTED_VALUE"""),507048.0)</f>
        <v>507048</v>
      </c>
      <c r="Q462" s="20">
        <f>IFERROR(__xludf.DUMMYFUNCTION("""COMPUTED_VALUE"""),677016.0)</f>
        <v>677016</v>
      </c>
    </row>
    <row r="463">
      <c r="A463" s="20">
        <f>IFERROR(__xludf.DUMMYFUNCTION("""COMPUTED_VALUE"""),462.0)</f>
        <v>462</v>
      </c>
      <c r="B463" s="20" t="str">
        <f>IFERROR(__xludf.DUMMYFUNCTION("""COMPUTED_VALUE"""),"Minimum Moves to Equal Array Elements II")</f>
        <v>Minimum Moves to Equal Array Elements II</v>
      </c>
      <c r="C463" s="20" t="str">
        <f>IFERROR(__xludf.DUMMYFUNCTION("""COMPUTED_VALUE"""),"minimum-moves-to-equal-array-elements-ii")</f>
        <v>minimum-moves-to-equal-array-elements-ii</v>
      </c>
      <c r="D463" s="20" t="b">
        <f>IFERROR(__xludf.DUMMYFUNCTION("""COMPUTED_VALUE"""),FALSE)</f>
        <v>0</v>
      </c>
      <c r="E463" s="20" t="str">
        <f>IFERROR(__xludf.DUMMYFUNCTION("""COMPUTED_VALUE"""),"Medium")</f>
        <v>Medium</v>
      </c>
      <c r="F463" s="20">
        <f>IFERROR(__xludf.DUMMYFUNCTION("""COMPUTED_VALUE"""),2881.0)</f>
        <v>2881</v>
      </c>
      <c r="G463" s="20">
        <f>IFERROR(__xludf.DUMMYFUNCTION("""COMPUTED_VALUE"""),112.0)</f>
        <v>112</v>
      </c>
      <c r="H463" s="20" t="str">
        <f>IFERROR(__xludf.DUMMYFUNCTION("""COMPUTED_VALUE"""),"Algorithms")</f>
        <v>Algorithms</v>
      </c>
      <c r="I463" s="20">
        <f>IFERROR(__xludf.DUMMYFUNCTION("""COMPUTED_VALUE"""),0.601)</f>
        <v>0.601</v>
      </c>
      <c r="J463" s="20">
        <f>IFERROR(__xludf.DUMMYFUNCTION("""COMPUTED_VALUE"""),462.0)</f>
        <v>462</v>
      </c>
      <c r="K463" s="20" t="b">
        <f>IFERROR(__xludf.DUMMYFUNCTION("""COMPUTED_VALUE"""),FALSE)</f>
        <v>0</v>
      </c>
      <c r="L463" s="20" t="str">
        <f>IFERROR(__xludf.DUMMYFUNCTION("""COMPUTED_VALUE"""),"Array;Math;Sorting;")</f>
        <v>Array;Math;Sorting;</v>
      </c>
      <c r="M463" s="20" t="b">
        <f>IFERROR(__xludf.DUMMYFUNCTION("""COMPUTED_VALUE"""),TRUE)</f>
        <v>1</v>
      </c>
      <c r="N463" s="20" t="b">
        <f>IFERROR(__xludf.DUMMYFUNCTION("""COMPUTED_VALUE"""),FALSE)</f>
        <v>0</v>
      </c>
      <c r="O463" s="20">
        <f>IFERROR(__xludf.DUMMYFUNCTION("""COMPUTED_VALUE"""),60.1315616772569)</f>
        <v>60.13156168</v>
      </c>
      <c r="P463" s="20">
        <f>IFERROR(__xludf.DUMMYFUNCTION("""COMPUTED_VALUE"""),155765.0)</f>
        <v>155765</v>
      </c>
      <c r="Q463" s="20">
        <f>IFERROR(__xludf.DUMMYFUNCTION("""COMPUTED_VALUE"""),259041.0)</f>
        <v>259041</v>
      </c>
    </row>
    <row r="464">
      <c r="A464" s="20">
        <f>IFERROR(__xludf.DUMMYFUNCTION("""COMPUTED_VALUE"""),463.0)</f>
        <v>463</v>
      </c>
      <c r="B464" s="20" t="str">
        <f>IFERROR(__xludf.DUMMYFUNCTION("""COMPUTED_VALUE"""),"Island Perimeter")</f>
        <v>Island Perimeter</v>
      </c>
      <c r="C464" s="20" t="str">
        <f>IFERROR(__xludf.DUMMYFUNCTION("""COMPUTED_VALUE"""),"island-perimeter")</f>
        <v>island-perimeter</v>
      </c>
      <c r="D464" s="20" t="b">
        <f>IFERROR(__xludf.DUMMYFUNCTION("""COMPUTED_VALUE"""),FALSE)</f>
        <v>0</v>
      </c>
      <c r="E464" s="20" t="str">
        <f>IFERROR(__xludf.DUMMYFUNCTION("""COMPUTED_VALUE"""),"Easy")</f>
        <v>Easy</v>
      </c>
      <c r="F464" s="20">
        <f>IFERROR(__xludf.DUMMYFUNCTION("""COMPUTED_VALUE"""),5271.0)</f>
        <v>5271</v>
      </c>
      <c r="G464" s="20">
        <f>IFERROR(__xludf.DUMMYFUNCTION("""COMPUTED_VALUE"""),261.0)</f>
        <v>261</v>
      </c>
      <c r="H464" s="20" t="str">
        <f>IFERROR(__xludf.DUMMYFUNCTION("""COMPUTED_VALUE"""),"Algorithms")</f>
        <v>Algorithms</v>
      </c>
      <c r="I464" s="20">
        <f>IFERROR(__xludf.DUMMYFUNCTION("""COMPUTED_VALUE"""),0.696)</f>
        <v>0.696</v>
      </c>
      <c r="J464" s="20">
        <f>IFERROR(__xludf.DUMMYFUNCTION("""COMPUTED_VALUE"""),463.0)</f>
        <v>463</v>
      </c>
      <c r="K464" s="20" t="b">
        <f>IFERROR(__xludf.DUMMYFUNCTION("""COMPUTED_VALUE"""),FALSE)</f>
        <v>0</v>
      </c>
      <c r="L464" s="20" t="str">
        <f>IFERROR(__xludf.DUMMYFUNCTION("""COMPUTED_VALUE"""),"Array;Depth-First Search;Breadth-First Search;Matrix;")</f>
        <v>Array;Depth-First Search;Breadth-First Search;Matrix;</v>
      </c>
      <c r="M464" s="20" t="b">
        <f>IFERROR(__xludf.DUMMYFUNCTION("""COMPUTED_VALUE"""),TRUE)</f>
        <v>1</v>
      </c>
      <c r="N464" s="20" t="b">
        <f>IFERROR(__xludf.DUMMYFUNCTION("""COMPUTED_VALUE"""),FALSE)</f>
        <v>0</v>
      </c>
      <c r="O464" s="20">
        <f>IFERROR(__xludf.DUMMYFUNCTION("""COMPUTED_VALUE"""),69.5829631415416)</f>
        <v>69.58296314</v>
      </c>
      <c r="P464" s="20">
        <f>IFERROR(__xludf.DUMMYFUNCTION("""COMPUTED_VALUE"""),412737.0)</f>
        <v>412737</v>
      </c>
      <c r="Q464" s="20">
        <f>IFERROR(__xludf.DUMMYFUNCTION("""COMPUTED_VALUE"""),593159.0)</f>
        <v>593159</v>
      </c>
    </row>
    <row r="465">
      <c r="A465" s="20">
        <f>IFERROR(__xludf.DUMMYFUNCTION("""COMPUTED_VALUE"""),464.0)</f>
        <v>464</v>
      </c>
      <c r="B465" s="20" t="str">
        <f>IFERROR(__xludf.DUMMYFUNCTION("""COMPUTED_VALUE"""),"Can I Win")</f>
        <v>Can I Win</v>
      </c>
      <c r="C465" s="20" t="str">
        <f>IFERROR(__xludf.DUMMYFUNCTION("""COMPUTED_VALUE"""),"can-i-win")</f>
        <v>can-i-win</v>
      </c>
      <c r="D465" s="20" t="b">
        <f>IFERROR(__xludf.DUMMYFUNCTION("""COMPUTED_VALUE"""),FALSE)</f>
        <v>0</v>
      </c>
      <c r="E465" s="20" t="str">
        <f>IFERROR(__xludf.DUMMYFUNCTION("""COMPUTED_VALUE"""),"Medium")</f>
        <v>Medium</v>
      </c>
      <c r="F465" s="20">
        <f>IFERROR(__xludf.DUMMYFUNCTION("""COMPUTED_VALUE"""),2176.0)</f>
        <v>2176</v>
      </c>
      <c r="G465" s="20">
        <f>IFERROR(__xludf.DUMMYFUNCTION("""COMPUTED_VALUE"""),336.0)</f>
        <v>336</v>
      </c>
      <c r="H465" s="20" t="str">
        <f>IFERROR(__xludf.DUMMYFUNCTION("""COMPUTED_VALUE"""),"Algorithms")</f>
        <v>Algorithms</v>
      </c>
      <c r="I465" s="20">
        <f>IFERROR(__xludf.DUMMYFUNCTION("""COMPUTED_VALUE"""),0.297)</f>
        <v>0.297</v>
      </c>
      <c r="J465" s="20">
        <f>IFERROR(__xludf.DUMMYFUNCTION("""COMPUTED_VALUE"""),464.0)</f>
        <v>464</v>
      </c>
      <c r="K465" s="20" t="b">
        <f>IFERROR(__xludf.DUMMYFUNCTION("""COMPUTED_VALUE"""),FALSE)</f>
        <v>0</v>
      </c>
      <c r="L465" s="20" t="str">
        <f>IFERROR(__xludf.DUMMYFUNCTION("""COMPUTED_VALUE"""),"Math;Dynamic Programming;Bit Manipulation;Memoization;Game Theory;Bitmask;")</f>
        <v>Math;Dynamic Programming;Bit Manipulation;Memoization;Game Theory;Bitmask;</v>
      </c>
      <c r="M465" s="20" t="b">
        <f>IFERROR(__xludf.DUMMYFUNCTION("""COMPUTED_VALUE"""),FALSE)</f>
        <v>0</v>
      </c>
      <c r="N465" s="20" t="b">
        <f>IFERROR(__xludf.DUMMYFUNCTION("""COMPUTED_VALUE"""),FALSE)</f>
        <v>0</v>
      </c>
      <c r="O465" s="20">
        <f>IFERROR(__xludf.DUMMYFUNCTION("""COMPUTED_VALUE"""),29.7321651521566)</f>
        <v>29.73216515</v>
      </c>
      <c r="P465" s="20">
        <f>IFERROR(__xludf.DUMMYFUNCTION("""COMPUTED_VALUE"""),82158.0)</f>
        <v>82158</v>
      </c>
      <c r="Q465" s="20">
        <f>IFERROR(__xludf.DUMMYFUNCTION("""COMPUTED_VALUE"""),276325.0)</f>
        <v>276325</v>
      </c>
    </row>
    <row r="466">
      <c r="A466" s="20">
        <f>IFERROR(__xludf.DUMMYFUNCTION("""COMPUTED_VALUE"""),465.0)</f>
        <v>465</v>
      </c>
      <c r="B466" s="20" t="str">
        <f>IFERROR(__xludf.DUMMYFUNCTION("""COMPUTED_VALUE"""),"Optimal Account Balancing")</f>
        <v>Optimal Account Balancing</v>
      </c>
      <c r="C466" s="20" t="str">
        <f>IFERROR(__xludf.DUMMYFUNCTION("""COMPUTED_VALUE"""),"optimal-account-balancing")</f>
        <v>optimal-account-balancing</v>
      </c>
      <c r="D466" s="20" t="b">
        <f>IFERROR(__xludf.DUMMYFUNCTION("""COMPUTED_VALUE"""),TRUE)</f>
        <v>1</v>
      </c>
      <c r="E466" s="20" t="str">
        <f>IFERROR(__xludf.DUMMYFUNCTION("""COMPUTED_VALUE"""),"Hard")</f>
        <v>Hard</v>
      </c>
      <c r="F466" s="20">
        <f>IFERROR(__xludf.DUMMYFUNCTION("""COMPUTED_VALUE"""),1255.0)</f>
        <v>1255</v>
      </c>
      <c r="G466" s="20">
        <f>IFERROR(__xludf.DUMMYFUNCTION("""COMPUTED_VALUE"""),120.0)</f>
        <v>120</v>
      </c>
      <c r="H466" s="20" t="str">
        <f>IFERROR(__xludf.DUMMYFUNCTION("""COMPUTED_VALUE"""),"Algorithms")</f>
        <v>Algorithms</v>
      </c>
      <c r="I466" s="20">
        <f>IFERROR(__xludf.DUMMYFUNCTION("""COMPUTED_VALUE"""),0.493)</f>
        <v>0.493</v>
      </c>
      <c r="J466" s="20">
        <f>IFERROR(__xludf.DUMMYFUNCTION("""COMPUTED_VALUE"""),465.0)</f>
        <v>465</v>
      </c>
      <c r="K466" s="20" t="b">
        <f>IFERROR(__xludf.DUMMYFUNCTION("""COMPUTED_VALUE"""),TRUE)</f>
        <v>1</v>
      </c>
      <c r="L466" s="20" t="str">
        <f>IFERROR(__xludf.DUMMYFUNCTION("""COMPUTED_VALUE"""),"Array;Dynamic Programming;Backtracking;Bit Manipulation;Bitmask;")</f>
        <v>Array;Dynamic Programming;Backtracking;Bit Manipulation;Bitmask;</v>
      </c>
      <c r="M466" s="20" t="b">
        <f>IFERROR(__xludf.DUMMYFUNCTION("""COMPUTED_VALUE"""),FALSE)</f>
        <v>0</v>
      </c>
      <c r="N466" s="20" t="b">
        <f>IFERROR(__xludf.DUMMYFUNCTION("""COMPUTED_VALUE"""),FALSE)</f>
        <v>0</v>
      </c>
      <c r="O466" s="20">
        <f>IFERROR(__xludf.DUMMYFUNCTION("""COMPUTED_VALUE"""),49.2640902903376)</f>
        <v>49.26409029</v>
      </c>
      <c r="P466" s="20">
        <f>IFERROR(__xludf.DUMMYFUNCTION("""COMPUTED_VALUE"""),77085.0)</f>
        <v>77085</v>
      </c>
      <c r="Q466" s="20">
        <f>IFERROR(__xludf.DUMMYFUNCTION("""COMPUTED_VALUE"""),156473.0)</f>
        <v>156473</v>
      </c>
    </row>
    <row r="467">
      <c r="A467" s="20">
        <f>IFERROR(__xludf.DUMMYFUNCTION("""COMPUTED_VALUE"""),466.0)</f>
        <v>466</v>
      </c>
      <c r="B467" s="20" t="str">
        <f>IFERROR(__xludf.DUMMYFUNCTION("""COMPUTED_VALUE"""),"Count The Repetitions")</f>
        <v>Count The Repetitions</v>
      </c>
      <c r="C467" s="20" t="str">
        <f>IFERROR(__xludf.DUMMYFUNCTION("""COMPUTED_VALUE"""),"count-the-repetitions")</f>
        <v>count-the-repetitions</v>
      </c>
      <c r="D467" s="20" t="b">
        <f>IFERROR(__xludf.DUMMYFUNCTION("""COMPUTED_VALUE"""),FALSE)</f>
        <v>0</v>
      </c>
      <c r="E467" s="20" t="str">
        <f>IFERROR(__xludf.DUMMYFUNCTION("""COMPUTED_VALUE"""),"Hard")</f>
        <v>Hard</v>
      </c>
      <c r="F467" s="20">
        <f>IFERROR(__xludf.DUMMYFUNCTION("""COMPUTED_VALUE"""),350.0)</f>
        <v>350</v>
      </c>
      <c r="G467" s="20">
        <f>IFERROR(__xludf.DUMMYFUNCTION("""COMPUTED_VALUE"""),296.0)</f>
        <v>296</v>
      </c>
      <c r="H467" s="20" t="str">
        <f>IFERROR(__xludf.DUMMYFUNCTION("""COMPUTED_VALUE"""),"Algorithms")</f>
        <v>Algorithms</v>
      </c>
      <c r="I467" s="20">
        <f>IFERROR(__xludf.DUMMYFUNCTION("""COMPUTED_VALUE"""),0.293)</f>
        <v>0.293</v>
      </c>
      <c r="J467" s="20">
        <f>IFERROR(__xludf.DUMMYFUNCTION("""COMPUTED_VALUE"""),466.0)</f>
        <v>466</v>
      </c>
      <c r="K467" s="20" t="b">
        <f>IFERROR(__xludf.DUMMYFUNCTION("""COMPUTED_VALUE"""),FALSE)</f>
        <v>0</v>
      </c>
      <c r="L467" s="20" t="str">
        <f>IFERROR(__xludf.DUMMYFUNCTION("""COMPUTED_VALUE"""),"String;Dynamic Programming;")</f>
        <v>String;Dynamic Programming;</v>
      </c>
      <c r="M467" s="20" t="b">
        <f>IFERROR(__xludf.DUMMYFUNCTION("""COMPUTED_VALUE"""),TRUE)</f>
        <v>1</v>
      </c>
      <c r="N467" s="20" t="b">
        <f>IFERROR(__xludf.DUMMYFUNCTION("""COMPUTED_VALUE"""),FALSE)</f>
        <v>0</v>
      </c>
      <c r="O467" s="20">
        <f>IFERROR(__xludf.DUMMYFUNCTION("""COMPUTED_VALUE"""),29.3054469886179)</f>
        <v>29.30544699</v>
      </c>
      <c r="P467" s="20">
        <f>IFERROR(__xludf.DUMMYFUNCTION("""COMPUTED_VALUE"""),15371.0)</f>
        <v>15371</v>
      </c>
      <c r="Q467" s="20">
        <f>IFERROR(__xludf.DUMMYFUNCTION("""COMPUTED_VALUE"""),52451.0)</f>
        <v>52451</v>
      </c>
    </row>
    <row r="468">
      <c r="A468" s="20">
        <f>IFERROR(__xludf.DUMMYFUNCTION("""COMPUTED_VALUE"""),467.0)</f>
        <v>467</v>
      </c>
      <c r="B468" s="20" t="str">
        <f>IFERROR(__xludf.DUMMYFUNCTION("""COMPUTED_VALUE"""),"Unique Substrings in Wraparound String")</f>
        <v>Unique Substrings in Wraparound String</v>
      </c>
      <c r="C468" s="20" t="str">
        <f>IFERROR(__xludf.DUMMYFUNCTION("""COMPUTED_VALUE"""),"unique-substrings-in-wraparound-string")</f>
        <v>unique-substrings-in-wraparound-string</v>
      </c>
      <c r="D468" s="20" t="b">
        <f>IFERROR(__xludf.DUMMYFUNCTION("""COMPUTED_VALUE"""),FALSE)</f>
        <v>0</v>
      </c>
      <c r="E468" s="20" t="str">
        <f>IFERROR(__xludf.DUMMYFUNCTION("""COMPUTED_VALUE"""),"Medium")</f>
        <v>Medium</v>
      </c>
      <c r="F468" s="20">
        <f>IFERROR(__xludf.DUMMYFUNCTION("""COMPUTED_VALUE"""),1229.0)</f>
        <v>1229</v>
      </c>
      <c r="G468" s="20">
        <f>IFERROR(__xludf.DUMMYFUNCTION("""COMPUTED_VALUE"""),153.0)</f>
        <v>153</v>
      </c>
      <c r="H468" s="20" t="str">
        <f>IFERROR(__xludf.DUMMYFUNCTION("""COMPUTED_VALUE"""),"Algorithms")</f>
        <v>Algorithms</v>
      </c>
      <c r="I468" s="20">
        <f>IFERROR(__xludf.DUMMYFUNCTION("""COMPUTED_VALUE"""),0.384)</f>
        <v>0.384</v>
      </c>
      <c r="J468" s="20">
        <f>IFERROR(__xludf.DUMMYFUNCTION("""COMPUTED_VALUE"""),467.0)</f>
        <v>467</v>
      </c>
      <c r="K468" s="20" t="b">
        <f>IFERROR(__xludf.DUMMYFUNCTION("""COMPUTED_VALUE"""),FALSE)</f>
        <v>0</v>
      </c>
      <c r="L468" s="20" t="str">
        <f>IFERROR(__xludf.DUMMYFUNCTION("""COMPUTED_VALUE"""),"String;Dynamic Programming;")</f>
        <v>String;Dynamic Programming;</v>
      </c>
      <c r="M468" s="20" t="b">
        <f>IFERROR(__xludf.DUMMYFUNCTION("""COMPUTED_VALUE"""),FALSE)</f>
        <v>0</v>
      </c>
      <c r="N468" s="20" t="b">
        <f>IFERROR(__xludf.DUMMYFUNCTION("""COMPUTED_VALUE"""),FALSE)</f>
        <v>0</v>
      </c>
      <c r="O468" s="20">
        <f>IFERROR(__xludf.DUMMYFUNCTION("""COMPUTED_VALUE"""),38.3859229350481)</f>
        <v>38.38592294</v>
      </c>
      <c r="P468" s="20">
        <f>IFERROR(__xludf.DUMMYFUNCTION("""COMPUTED_VALUE"""),38503.0)</f>
        <v>38503</v>
      </c>
      <c r="Q468" s="20">
        <f>IFERROR(__xludf.DUMMYFUNCTION("""COMPUTED_VALUE"""),100305.0)</f>
        <v>100305</v>
      </c>
    </row>
    <row r="469">
      <c r="A469" s="20">
        <f>IFERROR(__xludf.DUMMYFUNCTION("""COMPUTED_VALUE"""),468.0)</f>
        <v>468</v>
      </c>
      <c r="B469" s="20" t="str">
        <f>IFERROR(__xludf.DUMMYFUNCTION("""COMPUTED_VALUE"""),"Validate IP Address")</f>
        <v>Validate IP Address</v>
      </c>
      <c r="C469" s="20" t="str">
        <f>IFERROR(__xludf.DUMMYFUNCTION("""COMPUTED_VALUE"""),"validate-ip-address")</f>
        <v>validate-ip-address</v>
      </c>
      <c r="D469" s="20" t="b">
        <f>IFERROR(__xludf.DUMMYFUNCTION("""COMPUTED_VALUE"""),FALSE)</f>
        <v>0</v>
      </c>
      <c r="E469" s="20" t="str">
        <f>IFERROR(__xludf.DUMMYFUNCTION("""COMPUTED_VALUE"""),"Medium")</f>
        <v>Medium</v>
      </c>
      <c r="F469" s="20">
        <f>IFERROR(__xludf.DUMMYFUNCTION("""COMPUTED_VALUE"""),803.0)</f>
        <v>803</v>
      </c>
      <c r="G469" s="20">
        <f>IFERROR(__xludf.DUMMYFUNCTION("""COMPUTED_VALUE"""),2546.0)</f>
        <v>2546</v>
      </c>
      <c r="H469" s="20" t="str">
        <f>IFERROR(__xludf.DUMMYFUNCTION("""COMPUTED_VALUE"""),"Algorithms")</f>
        <v>Algorithms</v>
      </c>
      <c r="I469" s="20">
        <f>IFERROR(__xludf.DUMMYFUNCTION("""COMPUTED_VALUE"""),0.266)</f>
        <v>0.266</v>
      </c>
      <c r="J469" s="20">
        <f>IFERROR(__xludf.DUMMYFUNCTION("""COMPUTED_VALUE"""),468.0)</f>
        <v>468</v>
      </c>
      <c r="K469" s="20" t="b">
        <f>IFERROR(__xludf.DUMMYFUNCTION("""COMPUTED_VALUE"""),FALSE)</f>
        <v>0</v>
      </c>
      <c r="L469" s="20" t="str">
        <f>IFERROR(__xludf.DUMMYFUNCTION("""COMPUTED_VALUE"""),"String;")</f>
        <v>String;</v>
      </c>
      <c r="M469" s="20" t="b">
        <f>IFERROR(__xludf.DUMMYFUNCTION("""COMPUTED_VALUE"""),TRUE)</f>
        <v>1</v>
      </c>
      <c r="N469" s="20" t="b">
        <f>IFERROR(__xludf.DUMMYFUNCTION("""COMPUTED_VALUE"""),FALSE)</f>
        <v>0</v>
      </c>
      <c r="O469" s="20">
        <f>IFERROR(__xludf.DUMMYFUNCTION("""COMPUTED_VALUE"""),26.5680184883756)</f>
        <v>26.56801849</v>
      </c>
      <c r="P469" s="20">
        <f>IFERROR(__xludf.DUMMYFUNCTION("""COMPUTED_VALUE"""),138413.0)</f>
        <v>138413</v>
      </c>
      <c r="Q469" s="20">
        <f>IFERROR(__xludf.DUMMYFUNCTION("""COMPUTED_VALUE"""),520976.0)</f>
        <v>520976</v>
      </c>
    </row>
    <row r="470">
      <c r="A470" s="20">
        <f>IFERROR(__xludf.DUMMYFUNCTION("""COMPUTED_VALUE"""),469.0)</f>
        <v>469</v>
      </c>
      <c r="B470" s="20" t="str">
        <f>IFERROR(__xludf.DUMMYFUNCTION("""COMPUTED_VALUE"""),"Convex Polygon")</f>
        <v>Convex Polygon</v>
      </c>
      <c r="C470" s="20" t="str">
        <f>IFERROR(__xludf.DUMMYFUNCTION("""COMPUTED_VALUE"""),"convex-polygon")</f>
        <v>convex-polygon</v>
      </c>
      <c r="D470" s="20" t="b">
        <f>IFERROR(__xludf.DUMMYFUNCTION("""COMPUTED_VALUE"""),TRUE)</f>
        <v>1</v>
      </c>
      <c r="E470" s="20" t="str">
        <f>IFERROR(__xludf.DUMMYFUNCTION("""COMPUTED_VALUE"""),"Medium")</f>
        <v>Medium</v>
      </c>
      <c r="F470" s="20">
        <f>IFERROR(__xludf.DUMMYFUNCTION("""COMPUTED_VALUE"""),92.0)</f>
        <v>92</v>
      </c>
      <c r="G470" s="20">
        <f>IFERROR(__xludf.DUMMYFUNCTION("""COMPUTED_VALUE"""),227.0)</f>
        <v>227</v>
      </c>
      <c r="H470" s="20" t="str">
        <f>IFERROR(__xludf.DUMMYFUNCTION("""COMPUTED_VALUE"""),"Algorithms")</f>
        <v>Algorithms</v>
      </c>
      <c r="I470" s="20">
        <f>IFERROR(__xludf.DUMMYFUNCTION("""COMPUTED_VALUE"""),0.386)</f>
        <v>0.386</v>
      </c>
      <c r="J470" s="20">
        <f>IFERROR(__xludf.DUMMYFUNCTION("""COMPUTED_VALUE"""),469.0)</f>
        <v>469</v>
      </c>
      <c r="K470" s="20" t="b">
        <f>IFERROR(__xludf.DUMMYFUNCTION("""COMPUTED_VALUE"""),TRUE)</f>
        <v>1</v>
      </c>
      <c r="L470" s="20" t="str">
        <f>IFERROR(__xludf.DUMMYFUNCTION("""COMPUTED_VALUE"""),"Math;Geometry;")</f>
        <v>Math;Geometry;</v>
      </c>
      <c r="M470" s="20" t="b">
        <f>IFERROR(__xludf.DUMMYFUNCTION("""COMPUTED_VALUE"""),FALSE)</f>
        <v>0</v>
      </c>
      <c r="N470" s="20" t="b">
        <f>IFERROR(__xludf.DUMMYFUNCTION("""COMPUTED_VALUE"""),FALSE)</f>
        <v>0</v>
      </c>
      <c r="O470" s="20">
        <f>IFERROR(__xludf.DUMMYFUNCTION("""COMPUTED_VALUE"""),38.5594705080786)</f>
        <v>38.55947051</v>
      </c>
      <c r="P470" s="20">
        <f>IFERROR(__xludf.DUMMYFUNCTION("""COMPUTED_VALUE"""),9904.0)</f>
        <v>9904</v>
      </c>
      <c r="Q470" s="20">
        <f>IFERROR(__xludf.DUMMYFUNCTION("""COMPUTED_VALUE"""),25685.0)</f>
        <v>25685</v>
      </c>
    </row>
    <row r="471">
      <c r="A471" s="20">
        <f>IFERROR(__xludf.DUMMYFUNCTION("""COMPUTED_VALUE"""),903.0)</f>
        <v>903</v>
      </c>
      <c r="B471" s="20" t="str">
        <f>IFERROR(__xludf.DUMMYFUNCTION("""COMPUTED_VALUE"""),"Implement Rand10() Using Rand7()")</f>
        <v>Implement Rand10() Using Rand7()</v>
      </c>
      <c r="C471" s="20" t="str">
        <f>IFERROR(__xludf.DUMMYFUNCTION("""COMPUTED_VALUE"""),"implement-rand10-using-rand7")</f>
        <v>implement-rand10-using-rand7</v>
      </c>
      <c r="D471" s="20" t="b">
        <f>IFERROR(__xludf.DUMMYFUNCTION("""COMPUTED_VALUE"""),FALSE)</f>
        <v>0</v>
      </c>
      <c r="E471" s="20" t="str">
        <f>IFERROR(__xludf.DUMMYFUNCTION("""COMPUTED_VALUE"""),"Medium")</f>
        <v>Medium</v>
      </c>
      <c r="F471" s="20">
        <f>IFERROR(__xludf.DUMMYFUNCTION("""COMPUTED_VALUE"""),964.0)</f>
        <v>964</v>
      </c>
      <c r="G471" s="20">
        <f>IFERROR(__xludf.DUMMYFUNCTION("""COMPUTED_VALUE"""),322.0)</f>
        <v>322</v>
      </c>
      <c r="H471" s="20" t="str">
        <f>IFERROR(__xludf.DUMMYFUNCTION("""COMPUTED_VALUE"""),"Algorithms")</f>
        <v>Algorithms</v>
      </c>
      <c r="I471" s="20">
        <f>IFERROR(__xludf.DUMMYFUNCTION("""COMPUTED_VALUE"""),0.466)</f>
        <v>0.466</v>
      </c>
      <c r="J471" s="20">
        <f>IFERROR(__xludf.DUMMYFUNCTION("""COMPUTED_VALUE"""),470.0)</f>
        <v>470</v>
      </c>
      <c r="K471" s="20" t="b">
        <f>IFERROR(__xludf.DUMMYFUNCTION("""COMPUTED_VALUE"""),FALSE)</f>
        <v>0</v>
      </c>
      <c r="L471" s="20" t="str">
        <f>IFERROR(__xludf.DUMMYFUNCTION("""COMPUTED_VALUE"""),"Math;Rejection Sampling;Randomized;Probability and Statistics;")</f>
        <v>Math;Rejection Sampling;Randomized;Probability and Statistics;</v>
      </c>
      <c r="M471" s="20" t="b">
        <f>IFERROR(__xludf.DUMMYFUNCTION("""COMPUTED_VALUE"""),TRUE)</f>
        <v>1</v>
      </c>
      <c r="N471" s="20" t="b">
        <f>IFERROR(__xludf.DUMMYFUNCTION("""COMPUTED_VALUE"""),FALSE)</f>
        <v>0</v>
      </c>
      <c r="O471" s="20">
        <f>IFERROR(__xludf.DUMMYFUNCTION("""COMPUTED_VALUE"""),46.5642013907606)</f>
        <v>46.56420139</v>
      </c>
      <c r="P471" s="20">
        <f>IFERROR(__xludf.DUMMYFUNCTION("""COMPUTED_VALUE"""),69105.0)</f>
        <v>69105</v>
      </c>
      <c r="Q471" s="20">
        <f>IFERROR(__xludf.DUMMYFUNCTION("""COMPUTED_VALUE"""),148408.0)</f>
        <v>148408</v>
      </c>
    </row>
    <row r="472">
      <c r="A472" s="20">
        <f>IFERROR(__xludf.DUMMYFUNCTION("""COMPUTED_VALUE"""),471.0)</f>
        <v>471</v>
      </c>
      <c r="B472" s="20" t="str">
        <f>IFERROR(__xludf.DUMMYFUNCTION("""COMPUTED_VALUE"""),"Encode String with Shortest Length")</f>
        <v>Encode String with Shortest Length</v>
      </c>
      <c r="C472" s="20" t="str">
        <f>IFERROR(__xludf.DUMMYFUNCTION("""COMPUTED_VALUE"""),"encode-string-with-shortest-length")</f>
        <v>encode-string-with-shortest-length</v>
      </c>
      <c r="D472" s="20" t="b">
        <f>IFERROR(__xludf.DUMMYFUNCTION("""COMPUTED_VALUE"""),TRUE)</f>
        <v>1</v>
      </c>
      <c r="E472" s="20" t="str">
        <f>IFERROR(__xludf.DUMMYFUNCTION("""COMPUTED_VALUE"""),"Hard")</f>
        <v>Hard</v>
      </c>
      <c r="F472" s="20">
        <f>IFERROR(__xludf.DUMMYFUNCTION("""COMPUTED_VALUE"""),596.0)</f>
        <v>596</v>
      </c>
      <c r="G472" s="20">
        <f>IFERROR(__xludf.DUMMYFUNCTION("""COMPUTED_VALUE"""),47.0)</f>
        <v>47</v>
      </c>
      <c r="H472" s="20" t="str">
        <f>IFERROR(__xludf.DUMMYFUNCTION("""COMPUTED_VALUE"""),"Algorithms")</f>
        <v>Algorithms</v>
      </c>
      <c r="I472" s="20">
        <f>IFERROR(__xludf.DUMMYFUNCTION("""COMPUTED_VALUE"""),0.506)</f>
        <v>0.506</v>
      </c>
      <c r="J472" s="20">
        <f>IFERROR(__xludf.DUMMYFUNCTION("""COMPUTED_VALUE"""),471.0)</f>
        <v>471</v>
      </c>
      <c r="K472" s="20" t="b">
        <f>IFERROR(__xludf.DUMMYFUNCTION("""COMPUTED_VALUE"""),TRUE)</f>
        <v>1</v>
      </c>
      <c r="L472" s="20" t="str">
        <f>IFERROR(__xludf.DUMMYFUNCTION("""COMPUTED_VALUE"""),"String;Dynamic Programming;")</f>
        <v>String;Dynamic Programming;</v>
      </c>
      <c r="M472" s="20" t="b">
        <f>IFERROR(__xludf.DUMMYFUNCTION("""COMPUTED_VALUE"""),FALSE)</f>
        <v>0</v>
      </c>
      <c r="N472" s="20" t="b">
        <f>IFERROR(__xludf.DUMMYFUNCTION("""COMPUTED_VALUE"""),FALSE)</f>
        <v>0</v>
      </c>
      <c r="O472" s="20">
        <f>IFERROR(__xludf.DUMMYFUNCTION("""COMPUTED_VALUE"""),50.6398380677919)</f>
        <v>50.63983807</v>
      </c>
      <c r="P472" s="20">
        <f>IFERROR(__xludf.DUMMYFUNCTION("""COMPUTED_VALUE"""),29521.0)</f>
        <v>29521</v>
      </c>
      <c r="Q472" s="20">
        <f>IFERROR(__xludf.DUMMYFUNCTION("""COMPUTED_VALUE"""),58296.0)</f>
        <v>58296</v>
      </c>
    </row>
    <row r="473">
      <c r="A473" s="20">
        <f>IFERROR(__xludf.DUMMYFUNCTION("""COMPUTED_VALUE"""),472.0)</f>
        <v>472</v>
      </c>
      <c r="B473" s="20" t="str">
        <f>IFERROR(__xludf.DUMMYFUNCTION("""COMPUTED_VALUE"""),"Concatenated Words")</f>
        <v>Concatenated Words</v>
      </c>
      <c r="C473" s="20" t="str">
        <f>IFERROR(__xludf.DUMMYFUNCTION("""COMPUTED_VALUE"""),"concatenated-words")</f>
        <v>concatenated-words</v>
      </c>
      <c r="D473" s="20" t="b">
        <f>IFERROR(__xludf.DUMMYFUNCTION("""COMPUTED_VALUE"""),FALSE)</f>
        <v>0</v>
      </c>
      <c r="E473" s="20" t="str">
        <f>IFERROR(__xludf.DUMMYFUNCTION("""COMPUTED_VALUE"""),"Hard")</f>
        <v>Hard</v>
      </c>
      <c r="F473" s="20">
        <f>IFERROR(__xludf.DUMMYFUNCTION("""COMPUTED_VALUE"""),2379.0)</f>
        <v>2379</v>
      </c>
      <c r="G473" s="20">
        <f>IFERROR(__xludf.DUMMYFUNCTION("""COMPUTED_VALUE"""),237.0)</f>
        <v>237</v>
      </c>
      <c r="H473" s="20" t="str">
        <f>IFERROR(__xludf.DUMMYFUNCTION("""COMPUTED_VALUE"""),"Algorithms")</f>
        <v>Algorithms</v>
      </c>
      <c r="I473" s="20">
        <f>IFERROR(__xludf.DUMMYFUNCTION("""COMPUTED_VALUE"""),0.459)</f>
        <v>0.459</v>
      </c>
      <c r="J473" s="20">
        <f>IFERROR(__xludf.DUMMYFUNCTION("""COMPUTED_VALUE"""),472.0)</f>
        <v>472</v>
      </c>
      <c r="K473" s="20" t="b">
        <f>IFERROR(__xludf.DUMMYFUNCTION("""COMPUTED_VALUE"""),FALSE)</f>
        <v>0</v>
      </c>
      <c r="L473" s="20" t="str">
        <f>IFERROR(__xludf.DUMMYFUNCTION("""COMPUTED_VALUE"""),"Array;String;Dynamic Programming;Depth-First Search;Trie;")</f>
        <v>Array;String;Dynamic Programming;Depth-First Search;Trie;</v>
      </c>
      <c r="M473" s="20" t="b">
        <f>IFERROR(__xludf.DUMMYFUNCTION("""COMPUTED_VALUE"""),TRUE)</f>
        <v>1</v>
      </c>
      <c r="N473" s="20" t="b">
        <f>IFERROR(__xludf.DUMMYFUNCTION("""COMPUTED_VALUE"""),FALSE)</f>
        <v>0</v>
      </c>
      <c r="O473" s="20">
        <f>IFERROR(__xludf.DUMMYFUNCTION("""COMPUTED_VALUE"""),45.8999305072967)</f>
        <v>45.89993051</v>
      </c>
      <c r="P473" s="20">
        <f>IFERROR(__xludf.DUMMYFUNCTION("""COMPUTED_VALUE"""),158520.0)</f>
        <v>158520</v>
      </c>
      <c r="Q473" s="20">
        <f>IFERROR(__xludf.DUMMYFUNCTION("""COMPUTED_VALUE"""),345360.0)</f>
        <v>345360</v>
      </c>
    </row>
    <row r="474">
      <c r="A474" s="20">
        <f>IFERROR(__xludf.DUMMYFUNCTION("""COMPUTED_VALUE"""),473.0)</f>
        <v>473</v>
      </c>
      <c r="B474" s="20" t="str">
        <f>IFERROR(__xludf.DUMMYFUNCTION("""COMPUTED_VALUE"""),"Matchsticks to Square")</f>
        <v>Matchsticks to Square</v>
      </c>
      <c r="C474" s="20" t="str">
        <f>IFERROR(__xludf.DUMMYFUNCTION("""COMPUTED_VALUE"""),"matchsticks-to-square")</f>
        <v>matchsticks-to-square</v>
      </c>
      <c r="D474" s="20" t="b">
        <f>IFERROR(__xludf.DUMMYFUNCTION("""COMPUTED_VALUE"""),FALSE)</f>
        <v>0</v>
      </c>
      <c r="E474" s="20" t="str">
        <f>IFERROR(__xludf.DUMMYFUNCTION("""COMPUTED_VALUE"""),"Medium")</f>
        <v>Medium</v>
      </c>
      <c r="F474" s="20">
        <f>IFERROR(__xludf.DUMMYFUNCTION("""COMPUTED_VALUE"""),3340.0)</f>
        <v>3340</v>
      </c>
      <c r="G474" s="20">
        <f>IFERROR(__xludf.DUMMYFUNCTION("""COMPUTED_VALUE"""),263.0)</f>
        <v>263</v>
      </c>
      <c r="H474" s="20" t="str">
        <f>IFERROR(__xludf.DUMMYFUNCTION("""COMPUTED_VALUE"""),"Algorithms")</f>
        <v>Algorithms</v>
      </c>
      <c r="I474" s="20">
        <f>IFERROR(__xludf.DUMMYFUNCTION("""COMPUTED_VALUE"""),0.403)</f>
        <v>0.403</v>
      </c>
      <c r="J474" s="20">
        <f>IFERROR(__xludf.DUMMYFUNCTION("""COMPUTED_VALUE"""),473.0)</f>
        <v>473</v>
      </c>
      <c r="K474" s="20" t="b">
        <f>IFERROR(__xludf.DUMMYFUNCTION("""COMPUTED_VALUE"""),FALSE)</f>
        <v>0</v>
      </c>
      <c r="L474" s="20" t="str">
        <f>IFERROR(__xludf.DUMMYFUNCTION("""COMPUTED_VALUE"""),"Array;Dynamic Programming;Backtracking;Bit Manipulation;Bitmask;")</f>
        <v>Array;Dynamic Programming;Backtracking;Bit Manipulation;Bitmask;</v>
      </c>
      <c r="M474" s="20" t="b">
        <f>IFERROR(__xludf.DUMMYFUNCTION("""COMPUTED_VALUE"""),TRUE)</f>
        <v>1</v>
      </c>
      <c r="N474" s="20" t="b">
        <f>IFERROR(__xludf.DUMMYFUNCTION("""COMPUTED_VALUE"""),FALSE)</f>
        <v>0</v>
      </c>
      <c r="O474" s="20">
        <f>IFERROR(__xludf.DUMMYFUNCTION("""COMPUTED_VALUE"""),40.3012346117739)</f>
        <v>40.30123461</v>
      </c>
      <c r="P474" s="20">
        <f>IFERROR(__xludf.DUMMYFUNCTION("""COMPUTED_VALUE"""),136088.0)</f>
        <v>136088</v>
      </c>
      <c r="Q474" s="20">
        <f>IFERROR(__xludf.DUMMYFUNCTION("""COMPUTED_VALUE"""),337677.0)</f>
        <v>337677</v>
      </c>
    </row>
    <row r="475">
      <c r="A475" s="20">
        <f>IFERROR(__xludf.DUMMYFUNCTION("""COMPUTED_VALUE"""),474.0)</f>
        <v>474</v>
      </c>
      <c r="B475" s="20" t="str">
        <f>IFERROR(__xludf.DUMMYFUNCTION("""COMPUTED_VALUE"""),"Ones and Zeroes")</f>
        <v>Ones and Zeroes</v>
      </c>
      <c r="C475" s="20" t="str">
        <f>IFERROR(__xludf.DUMMYFUNCTION("""COMPUTED_VALUE"""),"ones-and-zeroes")</f>
        <v>ones-and-zeroes</v>
      </c>
      <c r="D475" s="20" t="b">
        <f>IFERROR(__xludf.DUMMYFUNCTION("""COMPUTED_VALUE"""),FALSE)</f>
        <v>0</v>
      </c>
      <c r="E475" s="20" t="str">
        <f>IFERROR(__xludf.DUMMYFUNCTION("""COMPUTED_VALUE"""),"Medium")</f>
        <v>Medium</v>
      </c>
      <c r="F475" s="20">
        <f>IFERROR(__xludf.DUMMYFUNCTION("""COMPUTED_VALUE"""),4580.0)</f>
        <v>4580</v>
      </c>
      <c r="G475" s="20">
        <f>IFERROR(__xludf.DUMMYFUNCTION("""COMPUTED_VALUE"""),418.0)</f>
        <v>418</v>
      </c>
      <c r="H475" s="20" t="str">
        <f>IFERROR(__xludf.DUMMYFUNCTION("""COMPUTED_VALUE"""),"Algorithms")</f>
        <v>Algorithms</v>
      </c>
      <c r="I475" s="20">
        <f>IFERROR(__xludf.DUMMYFUNCTION("""COMPUTED_VALUE"""),0.467)</f>
        <v>0.467</v>
      </c>
      <c r="J475" s="20">
        <f>IFERROR(__xludf.DUMMYFUNCTION("""COMPUTED_VALUE"""),474.0)</f>
        <v>474</v>
      </c>
      <c r="K475" s="20" t="b">
        <f>IFERROR(__xludf.DUMMYFUNCTION("""COMPUTED_VALUE"""),FALSE)</f>
        <v>0</v>
      </c>
      <c r="L475" s="20" t="str">
        <f>IFERROR(__xludf.DUMMYFUNCTION("""COMPUTED_VALUE"""),"Array;String;Dynamic Programming;")</f>
        <v>Array;String;Dynamic Programming;</v>
      </c>
      <c r="M475" s="20" t="b">
        <f>IFERROR(__xludf.DUMMYFUNCTION("""COMPUTED_VALUE"""),TRUE)</f>
        <v>1</v>
      </c>
      <c r="N475" s="20" t="b">
        <f>IFERROR(__xludf.DUMMYFUNCTION("""COMPUTED_VALUE"""),FALSE)</f>
        <v>0</v>
      </c>
      <c r="O475" s="20">
        <f>IFERROR(__xludf.DUMMYFUNCTION("""COMPUTED_VALUE"""),46.704120386958)</f>
        <v>46.70412039</v>
      </c>
      <c r="P475" s="20">
        <f>IFERROR(__xludf.DUMMYFUNCTION("""COMPUTED_VALUE"""),162939.0)</f>
        <v>162939</v>
      </c>
      <c r="Q475" s="20">
        <f>IFERROR(__xludf.DUMMYFUNCTION("""COMPUTED_VALUE"""),348875.0)</f>
        <v>348875</v>
      </c>
    </row>
    <row r="476">
      <c r="A476" s="20">
        <f>IFERROR(__xludf.DUMMYFUNCTION("""COMPUTED_VALUE"""),475.0)</f>
        <v>475</v>
      </c>
      <c r="B476" s="20" t="str">
        <f>IFERROR(__xludf.DUMMYFUNCTION("""COMPUTED_VALUE"""),"Heaters")</f>
        <v>Heaters</v>
      </c>
      <c r="C476" s="20" t="str">
        <f>IFERROR(__xludf.DUMMYFUNCTION("""COMPUTED_VALUE"""),"heaters")</f>
        <v>heaters</v>
      </c>
      <c r="D476" s="20" t="b">
        <f>IFERROR(__xludf.DUMMYFUNCTION("""COMPUTED_VALUE"""),FALSE)</f>
        <v>0</v>
      </c>
      <c r="E476" s="20" t="str">
        <f>IFERROR(__xludf.DUMMYFUNCTION("""COMPUTED_VALUE"""),"Medium")</f>
        <v>Medium</v>
      </c>
      <c r="F476" s="20">
        <f>IFERROR(__xludf.DUMMYFUNCTION("""COMPUTED_VALUE"""),1634.0)</f>
        <v>1634</v>
      </c>
      <c r="G476" s="20">
        <f>IFERROR(__xludf.DUMMYFUNCTION("""COMPUTED_VALUE"""),1086.0)</f>
        <v>1086</v>
      </c>
      <c r="H476" s="20" t="str">
        <f>IFERROR(__xludf.DUMMYFUNCTION("""COMPUTED_VALUE"""),"Algorithms")</f>
        <v>Algorithms</v>
      </c>
      <c r="I476" s="20">
        <f>IFERROR(__xludf.DUMMYFUNCTION("""COMPUTED_VALUE"""),0.362)</f>
        <v>0.362</v>
      </c>
      <c r="J476" s="20">
        <f>IFERROR(__xludf.DUMMYFUNCTION("""COMPUTED_VALUE"""),475.0)</f>
        <v>475</v>
      </c>
      <c r="K476" s="20" t="b">
        <f>IFERROR(__xludf.DUMMYFUNCTION("""COMPUTED_VALUE"""),FALSE)</f>
        <v>0</v>
      </c>
      <c r="L476" s="20" t="str">
        <f>IFERROR(__xludf.DUMMYFUNCTION("""COMPUTED_VALUE"""),"Array;Two Pointers;Binary Search;Sorting;")</f>
        <v>Array;Two Pointers;Binary Search;Sorting;</v>
      </c>
      <c r="M476" s="20" t="b">
        <f>IFERROR(__xludf.DUMMYFUNCTION("""COMPUTED_VALUE"""),FALSE)</f>
        <v>0</v>
      </c>
      <c r="N476" s="20" t="b">
        <f>IFERROR(__xludf.DUMMYFUNCTION("""COMPUTED_VALUE"""),FALSE)</f>
        <v>0</v>
      </c>
      <c r="O476" s="20">
        <f>IFERROR(__xludf.DUMMYFUNCTION("""COMPUTED_VALUE"""),36.2194737525264)</f>
        <v>36.21947375</v>
      </c>
      <c r="P476" s="20">
        <f>IFERROR(__xludf.DUMMYFUNCTION("""COMPUTED_VALUE"""),97664.0)</f>
        <v>97664</v>
      </c>
      <c r="Q476" s="20">
        <f>IFERROR(__xludf.DUMMYFUNCTION("""COMPUTED_VALUE"""),269645.0)</f>
        <v>269645</v>
      </c>
    </row>
    <row r="477">
      <c r="A477" s="20">
        <f>IFERROR(__xludf.DUMMYFUNCTION("""COMPUTED_VALUE"""),476.0)</f>
        <v>476</v>
      </c>
      <c r="B477" s="20" t="str">
        <f>IFERROR(__xludf.DUMMYFUNCTION("""COMPUTED_VALUE"""),"Number Complement")</f>
        <v>Number Complement</v>
      </c>
      <c r="C477" s="20" t="str">
        <f>IFERROR(__xludf.DUMMYFUNCTION("""COMPUTED_VALUE"""),"number-complement")</f>
        <v>number-complement</v>
      </c>
      <c r="D477" s="20" t="b">
        <f>IFERROR(__xludf.DUMMYFUNCTION("""COMPUTED_VALUE"""),FALSE)</f>
        <v>0</v>
      </c>
      <c r="E477" s="20" t="str">
        <f>IFERROR(__xludf.DUMMYFUNCTION("""COMPUTED_VALUE"""),"Easy")</f>
        <v>Easy</v>
      </c>
      <c r="F477" s="20">
        <f>IFERROR(__xludf.DUMMYFUNCTION("""COMPUTED_VALUE"""),2268.0)</f>
        <v>2268</v>
      </c>
      <c r="G477" s="20">
        <f>IFERROR(__xludf.DUMMYFUNCTION("""COMPUTED_VALUE"""),110.0)</f>
        <v>110</v>
      </c>
      <c r="H477" s="20" t="str">
        <f>IFERROR(__xludf.DUMMYFUNCTION("""COMPUTED_VALUE"""),"Algorithms")</f>
        <v>Algorithms</v>
      </c>
      <c r="I477" s="20">
        <f>IFERROR(__xludf.DUMMYFUNCTION("""COMPUTED_VALUE"""),0.673)</f>
        <v>0.673</v>
      </c>
      <c r="J477" s="20">
        <f>IFERROR(__xludf.DUMMYFUNCTION("""COMPUTED_VALUE"""),476.0)</f>
        <v>476</v>
      </c>
      <c r="K477" s="20" t="b">
        <f>IFERROR(__xludf.DUMMYFUNCTION("""COMPUTED_VALUE"""),FALSE)</f>
        <v>0</v>
      </c>
      <c r="L477" s="20" t="str">
        <f>IFERROR(__xludf.DUMMYFUNCTION("""COMPUTED_VALUE"""),"Bit Manipulation;")</f>
        <v>Bit Manipulation;</v>
      </c>
      <c r="M477" s="20" t="b">
        <f>IFERROR(__xludf.DUMMYFUNCTION("""COMPUTED_VALUE"""),TRUE)</f>
        <v>1</v>
      </c>
      <c r="N477" s="20" t="b">
        <f>IFERROR(__xludf.DUMMYFUNCTION("""COMPUTED_VALUE"""),FALSE)</f>
        <v>0</v>
      </c>
      <c r="O477" s="20">
        <f>IFERROR(__xludf.DUMMYFUNCTION("""COMPUTED_VALUE"""),67.2668443808106)</f>
        <v>67.26684438</v>
      </c>
      <c r="P477" s="20">
        <f>IFERROR(__xludf.DUMMYFUNCTION("""COMPUTED_VALUE"""),285650.0)</f>
        <v>285650</v>
      </c>
      <c r="Q477" s="20">
        <f>IFERROR(__xludf.DUMMYFUNCTION("""COMPUTED_VALUE"""),424652.0)</f>
        <v>424652</v>
      </c>
    </row>
    <row r="478">
      <c r="A478" s="20">
        <f>IFERROR(__xludf.DUMMYFUNCTION("""COMPUTED_VALUE"""),477.0)</f>
        <v>477</v>
      </c>
      <c r="B478" s="20" t="str">
        <f>IFERROR(__xludf.DUMMYFUNCTION("""COMPUTED_VALUE"""),"Total Hamming Distance")</f>
        <v>Total Hamming Distance</v>
      </c>
      <c r="C478" s="20" t="str">
        <f>IFERROR(__xludf.DUMMYFUNCTION("""COMPUTED_VALUE"""),"total-hamming-distance")</f>
        <v>total-hamming-distance</v>
      </c>
      <c r="D478" s="20" t="b">
        <f>IFERROR(__xludf.DUMMYFUNCTION("""COMPUTED_VALUE"""),FALSE)</f>
        <v>0</v>
      </c>
      <c r="E478" s="20" t="str">
        <f>IFERROR(__xludf.DUMMYFUNCTION("""COMPUTED_VALUE"""),"Medium")</f>
        <v>Medium</v>
      </c>
      <c r="F478" s="20">
        <f>IFERROR(__xludf.DUMMYFUNCTION("""COMPUTED_VALUE"""),1895.0)</f>
        <v>1895</v>
      </c>
      <c r="G478" s="20">
        <f>IFERROR(__xludf.DUMMYFUNCTION("""COMPUTED_VALUE"""),86.0)</f>
        <v>86</v>
      </c>
      <c r="H478" s="20" t="str">
        <f>IFERROR(__xludf.DUMMYFUNCTION("""COMPUTED_VALUE"""),"Algorithms")</f>
        <v>Algorithms</v>
      </c>
      <c r="I478" s="20">
        <f>IFERROR(__xludf.DUMMYFUNCTION("""COMPUTED_VALUE"""),0.522)</f>
        <v>0.522</v>
      </c>
      <c r="J478" s="20">
        <f>IFERROR(__xludf.DUMMYFUNCTION("""COMPUTED_VALUE"""),477.0)</f>
        <v>477</v>
      </c>
      <c r="K478" s="20" t="b">
        <f>IFERROR(__xludf.DUMMYFUNCTION("""COMPUTED_VALUE"""),FALSE)</f>
        <v>0</v>
      </c>
      <c r="L478" s="20" t="str">
        <f>IFERROR(__xludf.DUMMYFUNCTION("""COMPUTED_VALUE"""),"Array;Math;Bit Manipulation;")</f>
        <v>Array;Math;Bit Manipulation;</v>
      </c>
      <c r="M478" s="20" t="b">
        <f>IFERROR(__xludf.DUMMYFUNCTION("""COMPUTED_VALUE"""),TRUE)</f>
        <v>1</v>
      </c>
      <c r="N478" s="20" t="b">
        <f>IFERROR(__xludf.DUMMYFUNCTION("""COMPUTED_VALUE"""),FALSE)</f>
        <v>0</v>
      </c>
      <c r="O478" s="20">
        <f>IFERROR(__xludf.DUMMYFUNCTION("""COMPUTED_VALUE"""),52.1560078849543)</f>
        <v>52.15600788</v>
      </c>
      <c r="P478" s="20">
        <f>IFERROR(__xludf.DUMMYFUNCTION("""COMPUTED_VALUE"""),94986.0)</f>
        <v>94986</v>
      </c>
      <c r="Q478" s="20">
        <f>IFERROR(__xludf.DUMMYFUNCTION("""COMPUTED_VALUE"""),182118.0)</f>
        <v>182118</v>
      </c>
    </row>
    <row r="479">
      <c r="A479" s="20">
        <f>IFERROR(__xludf.DUMMYFUNCTION("""COMPUTED_VALUE"""),915.0)</f>
        <v>915</v>
      </c>
      <c r="B479" s="20" t="str">
        <f>IFERROR(__xludf.DUMMYFUNCTION("""COMPUTED_VALUE"""),"Generate Random Point in a Circle")</f>
        <v>Generate Random Point in a Circle</v>
      </c>
      <c r="C479" s="20" t="str">
        <f>IFERROR(__xludf.DUMMYFUNCTION("""COMPUTED_VALUE"""),"generate-random-point-in-a-circle")</f>
        <v>generate-random-point-in-a-circle</v>
      </c>
      <c r="D479" s="20" t="b">
        <f>IFERROR(__xludf.DUMMYFUNCTION("""COMPUTED_VALUE"""),FALSE)</f>
        <v>0</v>
      </c>
      <c r="E479" s="20" t="str">
        <f>IFERROR(__xludf.DUMMYFUNCTION("""COMPUTED_VALUE"""),"Medium")</f>
        <v>Medium</v>
      </c>
      <c r="F479" s="20">
        <f>IFERROR(__xludf.DUMMYFUNCTION("""COMPUTED_VALUE"""),391.0)</f>
        <v>391</v>
      </c>
      <c r="G479" s="20">
        <f>IFERROR(__xludf.DUMMYFUNCTION("""COMPUTED_VALUE"""),710.0)</f>
        <v>710</v>
      </c>
      <c r="H479" s="20" t="str">
        <f>IFERROR(__xludf.DUMMYFUNCTION("""COMPUTED_VALUE"""),"Algorithms")</f>
        <v>Algorithms</v>
      </c>
      <c r="I479" s="20">
        <f>IFERROR(__xludf.DUMMYFUNCTION("""COMPUTED_VALUE"""),0.396)</f>
        <v>0.396</v>
      </c>
      <c r="J479" s="20">
        <f>IFERROR(__xludf.DUMMYFUNCTION("""COMPUTED_VALUE"""),478.0)</f>
        <v>478</v>
      </c>
      <c r="K479" s="20" t="b">
        <f>IFERROR(__xludf.DUMMYFUNCTION("""COMPUTED_VALUE"""),FALSE)</f>
        <v>0</v>
      </c>
      <c r="L479" s="20" t="str">
        <f>IFERROR(__xludf.DUMMYFUNCTION("""COMPUTED_VALUE"""),"Math;Geometry;Rejection Sampling;Randomized;")</f>
        <v>Math;Geometry;Rejection Sampling;Randomized;</v>
      </c>
      <c r="M479" s="20" t="b">
        <f>IFERROR(__xludf.DUMMYFUNCTION("""COMPUTED_VALUE"""),TRUE)</f>
        <v>1</v>
      </c>
      <c r="N479" s="20" t="b">
        <f>IFERROR(__xludf.DUMMYFUNCTION("""COMPUTED_VALUE"""),FALSE)</f>
        <v>0</v>
      </c>
      <c r="O479" s="20">
        <f>IFERROR(__xludf.DUMMYFUNCTION("""COMPUTED_VALUE"""),39.5880351854502)</f>
        <v>39.58803519</v>
      </c>
      <c r="P479" s="20">
        <f>IFERROR(__xludf.DUMMYFUNCTION("""COMPUTED_VALUE"""),35959.0)</f>
        <v>35959</v>
      </c>
      <c r="Q479" s="20">
        <f>IFERROR(__xludf.DUMMYFUNCTION("""COMPUTED_VALUE"""),90833.0)</f>
        <v>90833</v>
      </c>
    </row>
    <row r="480">
      <c r="A480" s="20">
        <f>IFERROR(__xludf.DUMMYFUNCTION("""COMPUTED_VALUE"""),479.0)</f>
        <v>479</v>
      </c>
      <c r="B480" s="20" t="str">
        <f>IFERROR(__xludf.DUMMYFUNCTION("""COMPUTED_VALUE"""),"Largest Palindrome Product")</f>
        <v>Largest Palindrome Product</v>
      </c>
      <c r="C480" s="20" t="str">
        <f>IFERROR(__xludf.DUMMYFUNCTION("""COMPUTED_VALUE"""),"largest-palindrome-product")</f>
        <v>largest-palindrome-product</v>
      </c>
      <c r="D480" s="20" t="b">
        <f>IFERROR(__xludf.DUMMYFUNCTION("""COMPUTED_VALUE"""),FALSE)</f>
        <v>0</v>
      </c>
      <c r="E480" s="20" t="str">
        <f>IFERROR(__xludf.DUMMYFUNCTION("""COMPUTED_VALUE"""),"Hard")</f>
        <v>Hard</v>
      </c>
      <c r="F480" s="20">
        <f>IFERROR(__xludf.DUMMYFUNCTION("""COMPUTED_VALUE"""),147.0)</f>
        <v>147</v>
      </c>
      <c r="G480" s="20">
        <f>IFERROR(__xludf.DUMMYFUNCTION("""COMPUTED_VALUE"""),1497.0)</f>
        <v>1497</v>
      </c>
      <c r="H480" s="20" t="str">
        <f>IFERROR(__xludf.DUMMYFUNCTION("""COMPUTED_VALUE"""),"Algorithms")</f>
        <v>Algorithms</v>
      </c>
      <c r="I480" s="20">
        <f>IFERROR(__xludf.DUMMYFUNCTION("""COMPUTED_VALUE"""),0.318)</f>
        <v>0.318</v>
      </c>
      <c r="J480" s="20">
        <f>IFERROR(__xludf.DUMMYFUNCTION("""COMPUTED_VALUE"""),479.0)</f>
        <v>479</v>
      </c>
      <c r="K480" s="20" t="b">
        <f>IFERROR(__xludf.DUMMYFUNCTION("""COMPUTED_VALUE"""),FALSE)</f>
        <v>0</v>
      </c>
      <c r="L480" s="20" t="str">
        <f>IFERROR(__xludf.DUMMYFUNCTION("""COMPUTED_VALUE"""),"Math;")</f>
        <v>Math;</v>
      </c>
      <c r="M480" s="20" t="b">
        <f>IFERROR(__xludf.DUMMYFUNCTION("""COMPUTED_VALUE"""),FALSE)</f>
        <v>0</v>
      </c>
      <c r="N480" s="20" t="b">
        <f>IFERROR(__xludf.DUMMYFUNCTION("""COMPUTED_VALUE"""),FALSE)</f>
        <v>0</v>
      </c>
      <c r="O480" s="20">
        <f>IFERROR(__xludf.DUMMYFUNCTION("""COMPUTED_VALUE"""),31.7699650344491)</f>
        <v>31.76996503</v>
      </c>
      <c r="P480" s="20">
        <f>IFERROR(__xludf.DUMMYFUNCTION("""COMPUTED_VALUE"""),21534.0)</f>
        <v>21534</v>
      </c>
      <c r="Q480" s="20">
        <f>IFERROR(__xludf.DUMMYFUNCTION("""COMPUTED_VALUE"""),67781.0)</f>
        <v>67781</v>
      </c>
    </row>
    <row r="481">
      <c r="A481" s="20">
        <f>IFERROR(__xludf.DUMMYFUNCTION("""COMPUTED_VALUE"""),480.0)</f>
        <v>480</v>
      </c>
      <c r="B481" s="20" t="str">
        <f>IFERROR(__xludf.DUMMYFUNCTION("""COMPUTED_VALUE"""),"Sliding Window Median")</f>
        <v>Sliding Window Median</v>
      </c>
      <c r="C481" s="20" t="str">
        <f>IFERROR(__xludf.DUMMYFUNCTION("""COMPUTED_VALUE"""),"sliding-window-median")</f>
        <v>sliding-window-median</v>
      </c>
      <c r="D481" s="20" t="b">
        <f>IFERROR(__xludf.DUMMYFUNCTION("""COMPUTED_VALUE"""),FALSE)</f>
        <v>0</v>
      </c>
      <c r="E481" s="20" t="str">
        <f>IFERROR(__xludf.DUMMYFUNCTION("""COMPUTED_VALUE"""),"Hard")</f>
        <v>Hard</v>
      </c>
      <c r="F481" s="20">
        <f>IFERROR(__xludf.DUMMYFUNCTION("""COMPUTED_VALUE"""),2648.0)</f>
        <v>2648</v>
      </c>
      <c r="G481" s="20">
        <f>IFERROR(__xludf.DUMMYFUNCTION("""COMPUTED_VALUE"""),153.0)</f>
        <v>153</v>
      </c>
      <c r="H481" s="20" t="str">
        <f>IFERROR(__xludf.DUMMYFUNCTION("""COMPUTED_VALUE"""),"Algorithms")</f>
        <v>Algorithms</v>
      </c>
      <c r="I481" s="20">
        <f>IFERROR(__xludf.DUMMYFUNCTION("""COMPUTED_VALUE"""),0.414)</f>
        <v>0.414</v>
      </c>
      <c r="J481" s="20">
        <f>IFERROR(__xludf.DUMMYFUNCTION("""COMPUTED_VALUE"""),480.0)</f>
        <v>480</v>
      </c>
      <c r="K481" s="20" t="b">
        <f>IFERROR(__xludf.DUMMYFUNCTION("""COMPUTED_VALUE"""),FALSE)</f>
        <v>0</v>
      </c>
      <c r="L481" s="20" t="str">
        <f>IFERROR(__xludf.DUMMYFUNCTION("""COMPUTED_VALUE"""),"Array;Hash Table;Sliding Window;Heap (Priority Queue);")</f>
        <v>Array;Hash Table;Sliding Window;Heap (Priority Queue);</v>
      </c>
      <c r="M481" s="20" t="b">
        <f>IFERROR(__xludf.DUMMYFUNCTION("""COMPUTED_VALUE"""),TRUE)</f>
        <v>1</v>
      </c>
      <c r="N481" s="20" t="b">
        <f>IFERROR(__xludf.DUMMYFUNCTION("""COMPUTED_VALUE"""),FALSE)</f>
        <v>0</v>
      </c>
      <c r="O481" s="20">
        <f>IFERROR(__xludf.DUMMYFUNCTION("""COMPUTED_VALUE"""),41.4052748683996)</f>
        <v>41.40527487</v>
      </c>
      <c r="P481" s="20">
        <f>IFERROR(__xludf.DUMMYFUNCTION("""COMPUTED_VALUE"""),122076.0)</f>
        <v>122076</v>
      </c>
      <c r="Q481" s="20">
        <f>IFERROR(__xludf.DUMMYFUNCTION("""COMPUTED_VALUE"""),294832.0)</f>
        <v>294832</v>
      </c>
    </row>
    <row r="482">
      <c r="A482" s="20">
        <f>IFERROR(__xludf.DUMMYFUNCTION("""COMPUTED_VALUE"""),481.0)</f>
        <v>481</v>
      </c>
      <c r="B482" s="20" t="str">
        <f>IFERROR(__xludf.DUMMYFUNCTION("""COMPUTED_VALUE"""),"Magical String")</f>
        <v>Magical String</v>
      </c>
      <c r="C482" s="20" t="str">
        <f>IFERROR(__xludf.DUMMYFUNCTION("""COMPUTED_VALUE"""),"magical-string")</f>
        <v>magical-string</v>
      </c>
      <c r="D482" s="20" t="b">
        <f>IFERROR(__xludf.DUMMYFUNCTION("""COMPUTED_VALUE"""),FALSE)</f>
        <v>0</v>
      </c>
      <c r="E482" s="20" t="str">
        <f>IFERROR(__xludf.DUMMYFUNCTION("""COMPUTED_VALUE"""),"Medium")</f>
        <v>Medium</v>
      </c>
      <c r="F482" s="20">
        <f>IFERROR(__xludf.DUMMYFUNCTION("""COMPUTED_VALUE"""),229.0)</f>
        <v>229</v>
      </c>
      <c r="G482" s="20">
        <f>IFERROR(__xludf.DUMMYFUNCTION("""COMPUTED_VALUE"""),1060.0)</f>
        <v>1060</v>
      </c>
      <c r="H482" s="20" t="str">
        <f>IFERROR(__xludf.DUMMYFUNCTION("""COMPUTED_VALUE"""),"Algorithms")</f>
        <v>Algorithms</v>
      </c>
      <c r="I482" s="20">
        <f>IFERROR(__xludf.DUMMYFUNCTION("""COMPUTED_VALUE"""),0.506)</f>
        <v>0.506</v>
      </c>
      <c r="J482" s="20">
        <f>IFERROR(__xludf.DUMMYFUNCTION("""COMPUTED_VALUE"""),481.0)</f>
        <v>481</v>
      </c>
      <c r="K482" s="20" t="b">
        <f>IFERROR(__xludf.DUMMYFUNCTION("""COMPUTED_VALUE"""),FALSE)</f>
        <v>0</v>
      </c>
      <c r="L482" s="20" t="str">
        <f>IFERROR(__xludf.DUMMYFUNCTION("""COMPUTED_VALUE"""),"Two Pointers;String;")</f>
        <v>Two Pointers;String;</v>
      </c>
      <c r="M482" s="20" t="b">
        <f>IFERROR(__xludf.DUMMYFUNCTION("""COMPUTED_VALUE"""),FALSE)</f>
        <v>0</v>
      </c>
      <c r="N482" s="20" t="b">
        <f>IFERROR(__xludf.DUMMYFUNCTION("""COMPUTED_VALUE"""),FALSE)</f>
        <v>0</v>
      </c>
      <c r="O482" s="20">
        <f>IFERROR(__xludf.DUMMYFUNCTION("""COMPUTED_VALUE"""),50.6016867228907)</f>
        <v>50.60168672</v>
      </c>
      <c r="P482" s="20">
        <f>IFERROR(__xludf.DUMMYFUNCTION("""COMPUTED_VALUE"""),30360.0)</f>
        <v>30360</v>
      </c>
      <c r="Q482" s="20">
        <f>IFERROR(__xludf.DUMMYFUNCTION("""COMPUTED_VALUE"""),59998.0)</f>
        <v>59998</v>
      </c>
    </row>
    <row r="483">
      <c r="A483" s="20">
        <f>IFERROR(__xludf.DUMMYFUNCTION("""COMPUTED_VALUE"""),482.0)</f>
        <v>482</v>
      </c>
      <c r="B483" s="20" t="str">
        <f>IFERROR(__xludf.DUMMYFUNCTION("""COMPUTED_VALUE"""),"License Key Formatting")</f>
        <v>License Key Formatting</v>
      </c>
      <c r="C483" s="20" t="str">
        <f>IFERROR(__xludf.DUMMYFUNCTION("""COMPUTED_VALUE"""),"license-key-formatting")</f>
        <v>license-key-formatting</v>
      </c>
      <c r="D483" s="20" t="b">
        <f>IFERROR(__xludf.DUMMYFUNCTION("""COMPUTED_VALUE"""),FALSE)</f>
        <v>0</v>
      </c>
      <c r="E483" s="20" t="str">
        <f>IFERROR(__xludf.DUMMYFUNCTION("""COMPUTED_VALUE"""),"Easy")</f>
        <v>Easy</v>
      </c>
      <c r="F483" s="20">
        <f>IFERROR(__xludf.DUMMYFUNCTION("""COMPUTED_VALUE"""),904.0)</f>
        <v>904</v>
      </c>
      <c r="G483" s="20">
        <f>IFERROR(__xludf.DUMMYFUNCTION("""COMPUTED_VALUE"""),1216.0)</f>
        <v>1216</v>
      </c>
      <c r="H483" s="20" t="str">
        <f>IFERROR(__xludf.DUMMYFUNCTION("""COMPUTED_VALUE"""),"Algorithms")</f>
        <v>Algorithms</v>
      </c>
      <c r="I483" s="20">
        <f>IFERROR(__xludf.DUMMYFUNCTION("""COMPUTED_VALUE"""),0.432)</f>
        <v>0.432</v>
      </c>
      <c r="J483" s="20">
        <f>IFERROR(__xludf.DUMMYFUNCTION("""COMPUTED_VALUE"""),482.0)</f>
        <v>482</v>
      </c>
      <c r="K483" s="20" t="b">
        <f>IFERROR(__xludf.DUMMYFUNCTION("""COMPUTED_VALUE"""),FALSE)</f>
        <v>0</v>
      </c>
      <c r="L483" s="20" t="str">
        <f>IFERROR(__xludf.DUMMYFUNCTION("""COMPUTED_VALUE"""),"String;")</f>
        <v>String;</v>
      </c>
      <c r="M483" s="20" t="b">
        <f>IFERROR(__xludf.DUMMYFUNCTION("""COMPUTED_VALUE"""),TRUE)</f>
        <v>1</v>
      </c>
      <c r="N483" s="20" t="b">
        <f>IFERROR(__xludf.DUMMYFUNCTION("""COMPUTED_VALUE"""),FALSE)</f>
        <v>0</v>
      </c>
      <c r="O483" s="20">
        <f>IFERROR(__xludf.DUMMYFUNCTION("""COMPUTED_VALUE"""),43.2470984892692)</f>
        <v>43.24709849</v>
      </c>
      <c r="P483" s="20">
        <f>IFERROR(__xludf.DUMMYFUNCTION("""COMPUTED_VALUE"""),240120.0)</f>
        <v>240120</v>
      </c>
      <c r="Q483" s="20">
        <f>IFERROR(__xludf.DUMMYFUNCTION("""COMPUTED_VALUE"""),555228.0)</f>
        <v>555228</v>
      </c>
    </row>
    <row r="484">
      <c r="A484" s="20">
        <f>IFERROR(__xludf.DUMMYFUNCTION("""COMPUTED_VALUE"""),483.0)</f>
        <v>483</v>
      </c>
      <c r="B484" s="20" t="str">
        <f>IFERROR(__xludf.DUMMYFUNCTION("""COMPUTED_VALUE"""),"Smallest Good Base")</f>
        <v>Smallest Good Base</v>
      </c>
      <c r="C484" s="20" t="str">
        <f>IFERROR(__xludf.DUMMYFUNCTION("""COMPUTED_VALUE"""),"smallest-good-base")</f>
        <v>smallest-good-base</v>
      </c>
      <c r="D484" s="20" t="b">
        <f>IFERROR(__xludf.DUMMYFUNCTION("""COMPUTED_VALUE"""),FALSE)</f>
        <v>0</v>
      </c>
      <c r="E484" s="20" t="str">
        <f>IFERROR(__xludf.DUMMYFUNCTION("""COMPUTED_VALUE"""),"Hard")</f>
        <v>Hard</v>
      </c>
      <c r="F484" s="20">
        <f>IFERROR(__xludf.DUMMYFUNCTION("""COMPUTED_VALUE"""),319.0)</f>
        <v>319</v>
      </c>
      <c r="G484" s="20">
        <f>IFERROR(__xludf.DUMMYFUNCTION("""COMPUTED_VALUE"""),455.0)</f>
        <v>455</v>
      </c>
      <c r="H484" s="20" t="str">
        <f>IFERROR(__xludf.DUMMYFUNCTION("""COMPUTED_VALUE"""),"Algorithms")</f>
        <v>Algorithms</v>
      </c>
      <c r="I484" s="20">
        <f>IFERROR(__xludf.DUMMYFUNCTION("""COMPUTED_VALUE"""),0.384)</f>
        <v>0.384</v>
      </c>
      <c r="J484" s="20">
        <f>IFERROR(__xludf.DUMMYFUNCTION("""COMPUTED_VALUE"""),483.0)</f>
        <v>483</v>
      </c>
      <c r="K484" s="20" t="b">
        <f>IFERROR(__xludf.DUMMYFUNCTION("""COMPUTED_VALUE"""),FALSE)</f>
        <v>0</v>
      </c>
      <c r="L484" s="20" t="str">
        <f>IFERROR(__xludf.DUMMYFUNCTION("""COMPUTED_VALUE"""),"Math;Binary Search;")</f>
        <v>Math;Binary Search;</v>
      </c>
      <c r="M484" s="20" t="b">
        <f>IFERROR(__xludf.DUMMYFUNCTION("""COMPUTED_VALUE"""),FALSE)</f>
        <v>0</v>
      </c>
      <c r="N484" s="20" t="b">
        <f>IFERROR(__xludf.DUMMYFUNCTION("""COMPUTED_VALUE"""),FALSE)</f>
        <v>0</v>
      </c>
      <c r="O484" s="20">
        <f>IFERROR(__xludf.DUMMYFUNCTION("""COMPUTED_VALUE"""),38.4448205964098)</f>
        <v>38.4448206</v>
      </c>
      <c r="P484" s="20">
        <f>IFERROR(__xludf.DUMMYFUNCTION("""COMPUTED_VALUE"""),18397.0)</f>
        <v>18397</v>
      </c>
      <c r="Q484" s="20">
        <f>IFERROR(__xludf.DUMMYFUNCTION("""COMPUTED_VALUE"""),47853.0)</f>
        <v>47853</v>
      </c>
    </row>
    <row r="485">
      <c r="A485" s="20">
        <f>IFERROR(__xludf.DUMMYFUNCTION("""COMPUTED_VALUE"""),484.0)</f>
        <v>484</v>
      </c>
      <c r="B485" s="20" t="str">
        <f>IFERROR(__xludf.DUMMYFUNCTION("""COMPUTED_VALUE"""),"Find Permutation")</f>
        <v>Find Permutation</v>
      </c>
      <c r="C485" s="20" t="str">
        <f>IFERROR(__xludf.DUMMYFUNCTION("""COMPUTED_VALUE"""),"find-permutation")</f>
        <v>find-permutation</v>
      </c>
      <c r="D485" s="20" t="b">
        <f>IFERROR(__xludf.DUMMYFUNCTION("""COMPUTED_VALUE"""),TRUE)</f>
        <v>1</v>
      </c>
      <c r="E485" s="20" t="str">
        <f>IFERROR(__xludf.DUMMYFUNCTION("""COMPUTED_VALUE"""),"Medium")</f>
        <v>Medium</v>
      </c>
      <c r="F485" s="20">
        <f>IFERROR(__xludf.DUMMYFUNCTION("""COMPUTED_VALUE"""),636.0)</f>
        <v>636</v>
      </c>
      <c r="G485" s="20">
        <f>IFERROR(__xludf.DUMMYFUNCTION("""COMPUTED_VALUE"""),120.0)</f>
        <v>120</v>
      </c>
      <c r="H485" s="20" t="str">
        <f>IFERROR(__xludf.DUMMYFUNCTION("""COMPUTED_VALUE"""),"Algorithms")</f>
        <v>Algorithms</v>
      </c>
      <c r="I485" s="20">
        <f>IFERROR(__xludf.DUMMYFUNCTION("""COMPUTED_VALUE"""),0.67)</f>
        <v>0.67</v>
      </c>
      <c r="J485" s="20">
        <f>IFERROR(__xludf.DUMMYFUNCTION("""COMPUTED_VALUE"""),484.0)</f>
        <v>484</v>
      </c>
      <c r="K485" s="20" t="b">
        <f>IFERROR(__xludf.DUMMYFUNCTION("""COMPUTED_VALUE"""),TRUE)</f>
        <v>1</v>
      </c>
      <c r="L485" s="20" t="str">
        <f>IFERROR(__xludf.DUMMYFUNCTION("""COMPUTED_VALUE"""),"Array;String;Stack;Greedy;")</f>
        <v>Array;String;Stack;Greedy;</v>
      </c>
      <c r="M485" s="20" t="b">
        <f>IFERROR(__xludf.DUMMYFUNCTION("""COMPUTED_VALUE"""),TRUE)</f>
        <v>1</v>
      </c>
      <c r="N485" s="20" t="b">
        <f>IFERROR(__xludf.DUMMYFUNCTION("""COMPUTED_VALUE"""),FALSE)</f>
        <v>0</v>
      </c>
      <c r="O485" s="20">
        <f>IFERROR(__xludf.DUMMYFUNCTION("""COMPUTED_VALUE"""),66.9612073025981)</f>
        <v>66.9612073</v>
      </c>
      <c r="P485" s="20">
        <f>IFERROR(__xludf.DUMMYFUNCTION("""COMPUTED_VALUE"""),35541.0)</f>
        <v>35541</v>
      </c>
      <c r="Q485" s="20">
        <f>IFERROR(__xludf.DUMMYFUNCTION("""COMPUTED_VALUE"""),53077.0)</f>
        <v>53077</v>
      </c>
    </row>
    <row r="486">
      <c r="A486" s="20">
        <f>IFERROR(__xludf.DUMMYFUNCTION("""COMPUTED_VALUE"""),485.0)</f>
        <v>485</v>
      </c>
      <c r="B486" s="20" t="str">
        <f>IFERROR(__xludf.DUMMYFUNCTION("""COMPUTED_VALUE"""),"Max Consecutive Ones")</f>
        <v>Max Consecutive Ones</v>
      </c>
      <c r="C486" s="20" t="str">
        <f>IFERROR(__xludf.DUMMYFUNCTION("""COMPUTED_VALUE"""),"max-consecutive-ones")</f>
        <v>max-consecutive-ones</v>
      </c>
      <c r="D486" s="20" t="b">
        <f>IFERROR(__xludf.DUMMYFUNCTION("""COMPUTED_VALUE"""),FALSE)</f>
        <v>0</v>
      </c>
      <c r="E486" s="20" t="str">
        <f>IFERROR(__xludf.DUMMYFUNCTION("""COMPUTED_VALUE"""),"Easy")</f>
        <v>Easy</v>
      </c>
      <c r="F486" s="20">
        <f>IFERROR(__xludf.DUMMYFUNCTION("""COMPUTED_VALUE"""),3795.0)</f>
        <v>3795</v>
      </c>
      <c r="G486" s="20">
        <f>IFERROR(__xludf.DUMMYFUNCTION("""COMPUTED_VALUE"""),417.0)</f>
        <v>417</v>
      </c>
      <c r="H486" s="20" t="str">
        <f>IFERROR(__xludf.DUMMYFUNCTION("""COMPUTED_VALUE"""),"Algorithms")</f>
        <v>Algorithms</v>
      </c>
      <c r="I486" s="20">
        <f>IFERROR(__xludf.DUMMYFUNCTION("""COMPUTED_VALUE"""),0.562)</f>
        <v>0.562</v>
      </c>
      <c r="J486" s="20">
        <f>IFERROR(__xludf.DUMMYFUNCTION("""COMPUTED_VALUE"""),485.0)</f>
        <v>485</v>
      </c>
      <c r="K486" s="20" t="b">
        <f>IFERROR(__xludf.DUMMYFUNCTION("""COMPUTED_VALUE"""),FALSE)</f>
        <v>0</v>
      </c>
      <c r="L486" s="20" t="str">
        <f>IFERROR(__xludf.DUMMYFUNCTION("""COMPUTED_VALUE"""),"Array;")</f>
        <v>Array;</v>
      </c>
      <c r="M486" s="20" t="b">
        <f>IFERROR(__xludf.DUMMYFUNCTION("""COMPUTED_VALUE"""),TRUE)</f>
        <v>1</v>
      </c>
      <c r="N486" s="20" t="b">
        <f>IFERROR(__xludf.DUMMYFUNCTION("""COMPUTED_VALUE"""),FALSE)</f>
        <v>0</v>
      </c>
      <c r="O486" s="20">
        <f>IFERROR(__xludf.DUMMYFUNCTION("""COMPUTED_VALUE"""),56.2479374973557)</f>
        <v>56.2479375</v>
      </c>
      <c r="P486" s="20">
        <f>IFERROR(__xludf.DUMMYFUNCTION("""COMPUTED_VALUE"""),797692.0)</f>
        <v>797692</v>
      </c>
      <c r="Q486" s="20">
        <f>IFERROR(__xludf.DUMMYFUNCTION("""COMPUTED_VALUE"""),1418170.0)</f>
        <v>1418170</v>
      </c>
    </row>
    <row r="487">
      <c r="A487" s="20">
        <f>IFERROR(__xludf.DUMMYFUNCTION("""COMPUTED_VALUE"""),486.0)</f>
        <v>486</v>
      </c>
      <c r="B487" s="20" t="str">
        <f>IFERROR(__xludf.DUMMYFUNCTION("""COMPUTED_VALUE"""),"Predict the Winner")</f>
        <v>Predict the Winner</v>
      </c>
      <c r="C487" s="20" t="str">
        <f>IFERROR(__xludf.DUMMYFUNCTION("""COMPUTED_VALUE"""),"predict-the-winner")</f>
        <v>predict-the-winner</v>
      </c>
      <c r="D487" s="20" t="b">
        <f>IFERROR(__xludf.DUMMYFUNCTION("""COMPUTED_VALUE"""),FALSE)</f>
        <v>0</v>
      </c>
      <c r="E487" s="20" t="str">
        <f>IFERROR(__xludf.DUMMYFUNCTION("""COMPUTED_VALUE"""),"Medium")</f>
        <v>Medium</v>
      </c>
      <c r="F487" s="20">
        <f>IFERROR(__xludf.DUMMYFUNCTION("""COMPUTED_VALUE"""),3589.0)</f>
        <v>3589</v>
      </c>
      <c r="G487" s="20">
        <f>IFERROR(__xludf.DUMMYFUNCTION("""COMPUTED_VALUE"""),173.0)</f>
        <v>173</v>
      </c>
      <c r="H487" s="20" t="str">
        <f>IFERROR(__xludf.DUMMYFUNCTION("""COMPUTED_VALUE"""),"Algorithms")</f>
        <v>Algorithms</v>
      </c>
      <c r="I487" s="20">
        <f>IFERROR(__xludf.DUMMYFUNCTION("""COMPUTED_VALUE"""),0.509)</f>
        <v>0.509</v>
      </c>
      <c r="J487" s="20">
        <f>IFERROR(__xludf.DUMMYFUNCTION("""COMPUTED_VALUE"""),486.0)</f>
        <v>486</v>
      </c>
      <c r="K487" s="20" t="b">
        <f>IFERROR(__xludf.DUMMYFUNCTION("""COMPUTED_VALUE"""),FALSE)</f>
        <v>0</v>
      </c>
      <c r="L487" s="20" t="str">
        <f>IFERROR(__xludf.DUMMYFUNCTION("""COMPUTED_VALUE"""),"Array;Math;Dynamic Programming;Recursion;Game Theory;")</f>
        <v>Array;Math;Dynamic Programming;Recursion;Game Theory;</v>
      </c>
      <c r="M487" s="20" t="b">
        <f>IFERROR(__xludf.DUMMYFUNCTION("""COMPUTED_VALUE"""),TRUE)</f>
        <v>1</v>
      </c>
      <c r="N487" s="20" t="b">
        <f>IFERROR(__xludf.DUMMYFUNCTION("""COMPUTED_VALUE"""),FALSE)</f>
        <v>0</v>
      </c>
      <c r="O487" s="20">
        <f>IFERROR(__xludf.DUMMYFUNCTION("""COMPUTED_VALUE"""),50.8683827517451)</f>
        <v>50.86838275</v>
      </c>
      <c r="P487" s="20">
        <f>IFERROR(__xludf.DUMMYFUNCTION("""COMPUTED_VALUE"""),130365.0)</f>
        <v>130365</v>
      </c>
      <c r="Q487" s="20">
        <f>IFERROR(__xludf.DUMMYFUNCTION("""COMPUTED_VALUE"""),256279.0)</f>
        <v>256279</v>
      </c>
    </row>
    <row r="488">
      <c r="A488" s="20">
        <f>IFERROR(__xludf.DUMMYFUNCTION("""COMPUTED_VALUE"""),487.0)</f>
        <v>487</v>
      </c>
      <c r="B488" s="20" t="str">
        <f>IFERROR(__xludf.DUMMYFUNCTION("""COMPUTED_VALUE"""),"Max Consecutive Ones II")</f>
        <v>Max Consecutive Ones II</v>
      </c>
      <c r="C488" s="20" t="str">
        <f>IFERROR(__xludf.DUMMYFUNCTION("""COMPUTED_VALUE"""),"max-consecutive-ones-ii")</f>
        <v>max-consecutive-ones-ii</v>
      </c>
      <c r="D488" s="20" t="b">
        <f>IFERROR(__xludf.DUMMYFUNCTION("""COMPUTED_VALUE"""),TRUE)</f>
        <v>1</v>
      </c>
      <c r="E488" s="20" t="str">
        <f>IFERROR(__xludf.DUMMYFUNCTION("""COMPUTED_VALUE"""),"Medium")</f>
        <v>Medium</v>
      </c>
      <c r="F488" s="20">
        <f>IFERROR(__xludf.DUMMYFUNCTION("""COMPUTED_VALUE"""),1325.0)</f>
        <v>1325</v>
      </c>
      <c r="G488" s="20">
        <f>IFERROR(__xludf.DUMMYFUNCTION("""COMPUTED_VALUE"""),22.0)</f>
        <v>22</v>
      </c>
      <c r="H488" s="20" t="str">
        <f>IFERROR(__xludf.DUMMYFUNCTION("""COMPUTED_VALUE"""),"Algorithms")</f>
        <v>Algorithms</v>
      </c>
      <c r="I488" s="20">
        <f>IFERROR(__xludf.DUMMYFUNCTION("""COMPUTED_VALUE"""),0.496)</f>
        <v>0.496</v>
      </c>
      <c r="J488" s="20">
        <f>IFERROR(__xludf.DUMMYFUNCTION("""COMPUTED_VALUE"""),487.0)</f>
        <v>487</v>
      </c>
      <c r="K488" s="20" t="b">
        <f>IFERROR(__xludf.DUMMYFUNCTION("""COMPUTED_VALUE"""),TRUE)</f>
        <v>1</v>
      </c>
      <c r="L488" s="20" t="str">
        <f>IFERROR(__xludf.DUMMYFUNCTION("""COMPUTED_VALUE"""),"Array;Dynamic Programming;Sliding Window;")</f>
        <v>Array;Dynamic Programming;Sliding Window;</v>
      </c>
      <c r="M488" s="20" t="b">
        <f>IFERROR(__xludf.DUMMYFUNCTION("""COMPUTED_VALUE"""),TRUE)</f>
        <v>1</v>
      </c>
      <c r="N488" s="20" t="b">
        <f>IFERROR(__xludf.DUMMYFUNCTION("""COMPUTED_VALUE"""),FALSE)</f>
        <v>0</v>
      </c>
      <c r="O488" s="20">
        <f>IFERROR(__xludf.DUMMYFUNCTION("""COMPUTED_VALUE"""),49.6353442823274)</f>
        <v>49.63534428</v>
      </c>
      <c r="P488" s="20">
        <f>IFERROR(__xludf.DUMMYFUNCTION("""COMPUTED_VALUE"""),115358.0)</f>
        <v>115358</v>
      </c>
      <c r="Q488" s="20">
        <f>IFERROR(__xludf.DUMMYFUNCTION("""COMPUTED_VALUE"""),232411.0)</f>
        <v>232411</v>
      </c>
    </row>
    <row r="489">
      <c r="A489" s="20">
        <f>IFERROR(__xludf.DUMMYFUNCTION("""COMPUTED_VALUE"""),488.0)</f>
        <v>488</v>
      </c>
      <c r="B489" s="20" t="str">
        <f>IFERROR(__xludf.DUMMYFUNCTION("""COMPUTED_VALUE"""),"Zuma Game")</f>
        <v>Zuma Game</v>
      </c>
      <c r="C489" s="20" t="str">
        <f>IFERROR(__xludf.DUMMYFUNCTION("""COMPUTED_VALUE"""),"zuma-game")</f>
        <v>zuma-game</v>
      </c>
      <c r="D489" s="20" t="b">
        <f>IFERROR(__xludf.DUMMYFUNCTION("""COMPUTED_VALUE"""),FALSE)</f>
        <v>0</v>
      </c>
      <c r="E489" s="20" t="str">
        <f>IFERROR(__xludf.DUMMYFUNCTION("""COMPUTED_VALUE"""),"Hard")</f>
        <v>Hard</v>
      </c>
      <c r="F489" s="20">
        <f>IFERROR(__xludf.DUMMYFUNCTION("""COMPUTED_VALUE"""),382.0)</f>
        <v>382</v>
      </c>
      <c r="G489" s="20">
        <f>IFERROR(__xludf.DUMMYFUNCTION("""COMPUTED_VALUE"""),450.0)</f>
        <v>450</v>
      </c>
      <c r="H489" s="20" t="str">
        <f>IFERROR(__xludf.DUMMYFUNCTION("""COMPUTED_VALUE"""),"Algorithms")</f>
        <v>Algorithms</v>
      </c>
      <c r="I489" s="20">
        <f>IFERROR(__xludf.DUMMYFUNCTION("""COMPUTED_VALUE"""),0.343)</f>
        <v>0.343</v>
      </c>
      <c r="J489" s="20">
        <f>IFERROR(__xludf.DUMMYFUNCTION("""COMPUTED_VALUE"""),488.0)</f>
        <v>488</v>
      </c>
      <c r="K489" s="20" t="b">
        <f>IFERROR(__xludf.DUMMYFUNCTION("""COMPUTED_VALUE"""),FALSE)</f>
        <v>0</v>
      </c>
      <c r="L489" s="20" t="str">
        <f>IFERROR(__xludf.DUMMYFUNCTION("""COMPUTED_VALUE"""),"String;Dynamic Programming;Breadth-First Search;Memoization;")</f>
        <v>String;Dynamic Programming;Breadth-First Search;Memoization;</v>
      </c>
      <c r="M489" s="20" t="b">
        <f>IFERROR(__xludf.DUMMYFUNCTION("""COMPUTED_VALUE"""),FALSE)</f>
        <v>0</v>
      </c>
      <c r="N489" s="20" t="b">
        <f>IFERROR(__xludf.DUMMYFUNCTION("""COMPUTED_VALUE"""),FALSE)</f>
        <v>0</v>
      </c>
      <c r="O489" s="20">
        <f>IFERROR(__xludf.DUMMYFUNCTION("""COMPUTED_VALUE"""),34.257287314464)</f>
        <v>34.25728731</v>
      </c>
      <c r="P489" s="20">
        <f>IFERROR(__xludf.DUMMYFUNCTION("""COMPUTED_VALUE"""),21072.0)</f>
        <v>21072</v>
      </c>
      <c r="Q489" s="20">
        <f>IFERROR(__xludf.DUMMYFUNCTION("""COMPUTED_VALUE"""),61511.0)</f>
        <v>61511</v>
      </c>
    </row>
    <row r="490">
      <c r="A490" s="20">
        <f>IFERROR(__xludf.DUMMYFUNCTION("""COMPUTED_VALUE"""),865.0)</f>
        <v>865</v>
      </c>
      <c r="B490" s="20" t="str">
        <f>IFERROR(__xludf.DUMMYFUNCTION("""COMPUTED_VALUE"""),"Robot Room Cleaner")</f>
        <v>Robot Room Cleaner</v>
      </c>
      <c r="C490" s="20" t="str">
        <f>IFERROR(__xludf.DUMMYFUNCTION("""COMPUTED_VALUE"""),"robot-room-cleaner")</f>
        <v>robot-room-cleaner</v>
      </c>
      <c r="D490" s="20" t="b">
        <f>IFERROR(__xludf.DUMMYFUNCTION("""COMPUTED_VALUE"""),TRUE)</f>
        <v>1</v>
      </c>
      <c r="E490" s="20" t="str">
        <f>IFERROR(__xludf.DUMMYFUNCTION("""COMPUTED_VALUE"""),"Hard")</f>
        <v>Hard</v>
      </c>
      <c r="F490" s="20">
        <f>IFERROR(__xludf.DUMMYFUNCTION("""COMPUTED_VALUE"""),2545.0)</f>
        <v>2545</v>
      </c>
      <c r="G490" s="20">
        <f>IFERROR(__xludf.DUMMYFUNCTION("""COMPUTED_VALUE"""),157.0)</f>
        <v>157</v>
      </c>
      <c r="H490" s="20" t="str">
        <f>IFERROR(__xludf.DUMMYFUNCTION("""COMPUTED_VALUE"""),"Algorithms")</f>
        <v>Algorithms</v>
      </c>
      <c r="I490" s="20">
        <f>IFERROR(__xludf.DUMMYFUNCTION("""COMPUTED_VALUE"""),0.766)</f>
        <v>0.766</v>
      </c>
      <c r="J490" s="20">
        <f>IFERROR(__xludf.DUMMYFUNCTION("""COMPUTED_VALUE"""),489.0)</f>
        <v>489</v>
      </c>
      <c r="K490" s="20" t="b">
        <f>IFERROR(__xludf.DUMMYFUNCTION("""COMPUTED_VALUE"""),TRUE)</f>
        <v>1</v>
      </c>
      <c r="L490" s="20" t="str">
        <f>IFERROR(__xludf.DUMMYFUNCTION("""COMPUTED_VALUE"""),"Backtracking;Interactive;")</f>
        <v>Backtracking;Interactive;</v>
      </c>
      <c r="M490" s="20" t="b">
        <f>IFERROR(__xludf.DUMMYFUNCTION("""COMPUTED_VALUE"""),TRUE)</f>
        <v>1</v>
      </c>
      <c r="N490" s="20" t="b">
        <f>IFERROR(__xludf.DUMMYFUNCTION("""COMPUTED_VALUE"""),FALSE)</f>
        <v>0</v>
      </c>
      <c r="O490" s="20">
        <f>IFERROR(__xludf.DUMMYFUNCTION("""COMPUTED_VALUE"""),76.5645798328496)</f>
        <v>76.56457983</v>
      </c>
      <c r="P490" s="20">
        <f>IFERROR(__xludf.DUMMYFUNCTION("""COMPUTED_VALUE"""),140349.0)</f>
        <v>140349</v>
      </c>
      <c r="Q490" s="20">
        <f>IFERROR(__xludf.DUMMYFUNCTION("""COMPUTED_VALUE"""),183308.0)</f>
        <v>183308</v>
      </c>
    </row>
    <row r="491">
      <c r="A491" s="20">
        <f>IFERROR(__xludf.DUMMYFUNCTION("""COMPUTED_VALUE"""),490.0)</f>
        <v>490</v>
      </c>
      <c r="B491" s="20" t="str">
        <f>IFERROR(__xludf.DUMMYFUNCTION("""COMPUTED_VALUE"""),"The Maze")</f>
        <v>The Maze</v>
      </c>
      <c r="C491" s="20" t="str">
        <f>IFERROR(__xludf.DUMMYFUNCTION("""COMPUTED_VALUE"""),"the-maze")</f>
        <v>the-maze</v>
      </c>
      <c r="D491" s="20" t="b">
        <f>IFERROR(__xludf.DUMMYFUNCTION("""COMPUTED_VALUE"""),TRUE)</f>
        <v>1</v>
      </c>
      <c r="E491" s="20" t="str">
        <f>IFERROR(__xludf.DUMMYFUNCTION("""COMPUTED_VALUE"""),"Medium")</f>
        <v>Medium</v>
      </c>
      <c r="F491" s="20">
        <f>IFERROR(__xludf.DUMMYFUNCTION("""COMPUTED_VALUE"""),1575.0)</f>
        <v>1575</v>
      </c>
      <c r="G491" s="20">
        <f>IFERROR(__xludf.DUMMYFUNCTION("""COMPUTED_VALUE"""),164.0)</f>
        <v>164</v>
      </c>
      <c r="H491" s="20" t="str">
        <f>IFERROR(__xludf.DUMMYFUNCTION("""COMPUTED_VALUE"""),"Algorithms")</f>
        <v>Algorithms</v>
      </c>
      <c r="I491" s="20">
        <f>IFERROR(__xludf.DUMMYFUNCTION("""COMPUTED_VALUE"""),0.555)</f>
        <v>0.555</v>
      </c>
      <c r="J491" s="20">
        <f>IFERROR(__xludf.DUMMYFUNCTION("""COMPUTED_VALUE"""),490.0)</f>
        <v>490</v>
      </c>
      <c r="K491" s="20" t="b">
        <f>IFERROR(__xludf.DUMMYFUNCTION("""COMPUTED_VALUE"""),TRUE)</f>
        <v>1</v>
      </c>
      <c r="L491" s="20" t="str">
        <f>IFERROR(__xludf.DUMMYFUNCTION("""COMPUTED_VALUE"""),"Depth-First Search;Breadth-First Search;Graph;")</f>
        <v>Depth-First Search;Breadth-First Search;Graph;</v>
      </c>
      <c r="M491" s="20" t="b">
        <f>IFERROR(__xludf.DUMMYFUNCTION("""COMPUTED_VALUE"""),TRUE)</f>
        <v>1</v>
      </c>
      <c r="N491" s="20" t="b">
        <f>IFERROR(__xludf.DUMMYFUNCTION("""COMPUTED_VALUE"""),FALSE)</f>
        <v>0</v>
      </c>
      <c r="O491" s="20">
        <f>IFERROR(__xludf.DUMMYFUNCTION("""COMPUTED_VALUE"""),55.533423859695)</f>
        <v>55.53342386</v>
      </c>
      <c r="P491" s="20">
        <f>IFERROR(__xludf.DUMMYFUNCTION("""COMPUTED_VALUE"""),135777.0)</f>
        <v>135777</v>
      </c>
      <c r="Q491" s="20">
        <f>IFERROR(__xludf.DUMMYFUNCTION("""COMPUTED_VALUE"""),244496.0)</f>
        <v>244496</v>
      </c>
    </row>
    <row r="492">
      <c r="A492" s="20">
        <f>IFERROR(__xludf.DUMMYFUNCTION("""COMPUTED_VALUE"""),491.0)</f>
        <v>491</v>
      </c>
      <c r="B492" s="20" t="str">
        <f>IFERROR(__xludf.DUMMYFUNCTION("""COMPUTED_VALUE"""),"Non-decreasing Subsequences")</f>
        <v>Non-decreasing Subsequences</v>
      </c>
      <c r="C492" s="20" t="str">
        <f>IFERROR(__xludf.DUMMYFUNCTION("""COMPUTED_VALUE"""),"non-decreasing-subsequences")</f>
        <v>non-decreasing-subsequences</v>
      </c>
      <c r="D492" s="20" t="b">
        <f>IFERROR(__xludf.DUMMYFUNCTION("""COMPUTED_VALUE"""),FALSE)</f>
        <v>0</v>
      </c>
      <c r="E492" s="20" t="str">
        <f>IFERROR(__xludf.DUMMYFUNCTION("""COMPUTED_VALUE"""),"Medium")</f>
        <v>Medium</v>
      </c>
      <c r="F492" s="20">
        <f>IFERROR(__xludf.DUMMYFUNCTION("""COMPUTED_VALUE"""),1798.0)</f>
        <v>1798</v>
      </c>
      <c r="G492" s="20">
        <f>IFERROR(__xludf.DUMMYFUNCTION("""COMPUTED_VALUE"""),161.0)</f>
        <v>161</v>
      </c>
      <c r="H492" s="20" t="str">
        <f>IFERROR(__xludf.DUMMYFUNCTION("""COMPUTED_VALUE"""),"Algorithms")</f>
        <v>Algorithms</v>
      </c>
      <c r="I492" s="20">
        <f>IFERROR(__xludf.DUMMYFUNCTION("""COMPUTED_VALUE"""),0.523)</f>
        <v>0.523</v>
      </c>
      <c r="J492" s="20">
        <f>IFERROR(__xludf.DUMMYFUNCTION("""COMPUTED_VALUE"""),491.0)</f>
        <v>491</v>
      </c>
      <c r="K492" s="20" t="b">
        <f>IFERROR(__xludf.DUMMYFUNCTION("""COMPUTED_VALUE"""),FALSE)</f>
        <v>0</v>
      </c>
      <c r="L492" s="20" t="str">
        <f>IFERROR(__xludf.DUMMYFUNCTION("""COMPUTED_VALUE"""),"Array;Hash Table;Backtracking;Bit Manipulation;")</f>
        <v>Array;Hash Table;Backtracking;Bit Manipulation;</v>
      </c>
      <c r="M492" s="20" t="b">
        <f>IFERROR(__xludf.DUMMYFUNCTION("""COMPUTED_VALUE"""),TRUE)</f>
        <v>1</v>
      </c>
      <c r="N492" s="20" t="b">
        <f>IFERROR(__xludf.DUMMYFUNCTION("""COMPUTED_VALUE"""),FALSE)</f>
        <v>0</v>
      </c>
      <c r="O492" s="20">
        <f>IFERROR(__xludf.DUMMYFUNCTION("""COMPUTED_VALUE"""),52.2530449403667)</f>
        <v>52.25304494</v>
      </c>
      <c r="P492" s="20">
        <f>IFERROR(__xludf.DUMMYFUNCTION("""COMPUTED_VALUE"""),86704.0)</f>
        <v>86704</v>
      </c>
      <c r="Q492" s="20">
        <f>IFERROR(__xludf.DUMMYFUNCTION("""COMPUTED_VALUE"""),165931.0)</f>
        <v>165931</v>
      </c>
    </row>
    <row r="493">
      <c r="A493" s="20">
        <f>IFERROR(__xludf.DUMMYFUNCTION("""COMPUTED_VALUE"""),492.0)</f>
        <v>492</v>
      </c>
      <c r="B493" s="20" t="str">
        <f>IFERROR(__xludf.DUMMYFUNCTION("""COMPUTED_VALUE"""),"Construct the Rectangle")</f>
        <v>Construct the Rectangle</v>
      </c>
      <c r="C493" s="20" t="str">
        <f>IFERROR(__xludf.DUMMYFUNCTION("""COMPUTED_VALUE"""),"construct-the-rectangle")</f>
        <v>construct-the-rectangle</v>
      </c>
      <c r="D493" s="20" t="b">
        <f>IFERROR(__xludf.DUMMYFUNCTION("""COMPUTED_VALUE"""),FALSE)</f>
        <v>0</v>
      </c>
      <c r="E493" s="20" t="str">
        <f>IFERROR(__xludf.DUMMYFUNCTION("""COMPUTED_VALUE"""),"Easy")</f>
        <v>Easy</v>
      </c>
      <c r="F493" s="20">
        <f>IFERROR(__xludf.DUMMYFUNCTION("""COMPUTED_VALUE"""),515.0)</f>
        <v>515</v>
      </c>
      <c r="G493" s="20">
        <f>IFERROR(__xludf.DUMMYFUNCTION("""COMPUTED_VALUE"""),345.0)</f>
        <v>345</v>
      </c>
      <c r="H493" s="20" t="str">
        <f>IFERROR(__xludf.DUMMYFUNCTION("""COMPUTED_VALUE"""),"Algorithms")</f>
        <v>Algorithms</v>
      </c>
      <c r="I493" s="20">
        <f>IFERROR(__xludf.DUMMYFUNCTION("""COMPUTED_VALUE"""),0.54)</f>
        <v>0.54</v>
      </c>
      <c r="J493" s="20">
        <f>IFERROR(__xludf.DUMMYFUNCTION("""COMPUTED_VALUE"""),492.0)</f>
        <v>492</v>
      </c>
      <c r="K493" s="20" t="b">
        <f>IFERROR(__xludf.DUMMYFUNCTION("""COMPUTED_VALUE"""),FALSE)</f>
        <v>0</v>
      </c>
      <c r="L493" s="20" t="str">
        <f>IFERROR(__xludf.DUMMYFUNCTION("""COMPUTED_VALUE"""),"Math;")</f>
        <v>Math;</v>
      </c>
      <c r="M493" s="20" t="b">
        <f>IFERROR(__xludf.DUMMYFUNCTION("""COMPUTED_VALUE"""),FALSE)</f>
        <v>0</v>
      </c>
      <c r="N493" s="20" t="b">
        <f>IFERROR(__xludf.DUMMYFUNCTION("""COMPUTED_VALUE"""),FALSE)</f>
        <v>0</v>
      </c>
      <c r="O493" s="20">
        <f>IFERROR(__xludf.DUMMYFUNCTION("""COMPUTED_VALUE"""),53.9951588357239)</f>
        <v>53.99515884</v>
      </c>
      <c r="P493" s="20">
        <f>IFERROR(__xludf.DUMMYFUNCTION("""COMPUTED_VALUE"""),90117.0)</f>
        <v>90117</v>
      </c>
      <c r="Q493" s="20">
        <f>IFERROR(__xludf.DUMMYFUNCTION("""COMPUTED_VALUE"""),166900.0)</f>
        <v>166900</v>
      </c>
    </row>
    <row r="494">
      <c r="A494" s="20">
        <f>IFERROR(__xludf.DUMMYFUNCTION("""COMPUTED_VALUE"""),493.0)</f>
        <v>493</v>
      </c>
      <c r="B494" s="20" t="str">
        <f>IFERROR(__xludf.DUMMYFUNCTION("""COMPUTED_VALUE"""),"Reverse Pairs")</f>
        <v>Reverse Pairs</v>
      </c>
      <c r="C494" s="20" t="str">
        <f>IFERROR(__xludf.DUMMYFUNCTION("""COMPUTED_VALUE"""),"reverse-pairs")</f>
        <v>reverse-pairs</v>
      </c>
      <c r="D494" s="20" t="b">
        <f>IFERROR(__xludf.DUMMYFUNCTION("""COMPUTED_VALUE"""),FALSE)</f>
        <v>0</v>
      </c>
      <c r="E494" s="20" t="str">
        <f>IFERROR(__xludf.DUMMYFUNCTION("""COMPUTED_VALUE"""),"Hard")</f>
        <v>Hard</v>
      </c>
      <c r="F494" s="20">
        <f>IFERROR(__xludf.DUMMYFUNCTION("""COMPUTED_VALUE"""),4325.0)</f>
        <v>4325</v>
      </c>
      <c r="G494" s="20">
        <f>IFERROR(__xludf.DUMMYFUNCTION("""COMPUTED_VALUE"""),215.0)</f>
        <v>215</v>
      </c>
      <c r="H494" s="20" t="str">
        <f>IFERROR(__xludf.DUMMYFUNCTION("""COMPUTED_VALUE"""),"Algorithms")</f>
        <v>Algorithms</v>
      </c>
      <c r="I494" s="20">
        <f>IFERROR(__xludf.DUMMYFUNCTION("""COMPUTED_VALUE"""),0.308)</f>
        <v>0.308</v>
      </c>
      <c r="J494" s="20">
        <f>IFERROR(__xludf.DUMMYFUNCTION("""COMPUTED_VALUE"""),493.0)</f>
        <v>493</v>
      </c>
      <c r="K494" s="20" t="b">
        <f>IFERROR(__xludf.DUMMYFUNCTION("""COMPUTED_VALUE"""),FALSE)</f>
        <v>0</v>
      </c>
      <c r="L494" s="20" t="str">
        <f>IFERROR(__xludf.DUMMYFUNCTION("""COMPUTED_VALUE"""),"Array;Binary Search;Divide and Conquer;Binary Indexed Tree;Segment Tree;Merge Sort;Ordered Set;")</f>
        <v>Array;Binary Search;Divide and Conquer;Binary Indexed Tree;Segment Tree;Merge Sort;Ordered Set;</v>
      </c>
      <c r="M494" s="20" t="b">
        <f>IFERROR(__xludf.DUMMYFUNCTION("""COMPUTED_VALUE"""),FALSE)</f>
        <v>0</v>
      </c>
      <c r="N494" s="20" t="b">
        <f>IFERROR(__xludf.DUMMYFUNCTION("""COMPUTED_VALUE"""),FALSE)</f>
        <v>0</v>
      </c>
      <c r="O494" s="20">
        <f>IFERROR(__xludf.DUMMYFUNCTION("""COMPUTED_VALUE"""),30.8382081280788)</f>
        <v>30.83820813</v>
      </c>
      <c r="P494" s="20">
        <f>IFERROR(__xludf.DUMMYFUNCTION("""COMPUTED_VALUE"""),112182.0)</f>
        <v>112182</v>
      </c>
      <c r="Q494" s="20">
        <f>IFERROR(__xludf.DUMMYFUNCTION("""COMPUTED_VALUE"""),363775.0)</f>
        <v>363775</v>
      </c>
    </row>
    <row r="495">
      <c r="A495" s="20">
        <f>IFERROR(__xludf.DUMMYFUNCTION("""COMPUTED_VALUE"""),494.0)</f>
        <v>494</v>
      </c>
      <c r="B495" s="20" t="str">
        <f>IFERROR(__xludf.DUMMYFUNCTION("""COMPUTED_VALUE"""),"Target Sum")</f>
        <v>Target Sum</v>
      </c>
      <c r="C495" s="20" t="str">
        <f>IFERROR(__xludf.DUMMYFUNCTION("""COMPUTED_VALUE"""),"target-sum")</f>
        <v>target-sum</v>
      </c>
      <c r="D495" s="20" t="b">
        <f>IFERROR(__xludf.DUMMYFUNCTION("""COMPUTED_VALUE"""),FALSE)</f>
        <v>0</v>
      </c>
      <c r="E495" s="20" t="str">
        <f>IFERROR(__xludf.DUMMYFUNCTION("""COMPUTED_VALUE"""),"Medium")</f>
        <v>Medium</v>
      </c>
      <c r="F495" s="20">
        <f>IFERROR(__xludf.DUMMYFUNCTION("""COMPUTED_VALUE"""),8570.0)</f>
        <v>8570</v>
      </c>
      <c r="G495" s="20">
        <f>IFERROR(__xludf.DUMMYFUNCTION("""COMPUTED_VALUE"""),305.0)</f>
        <v>305</v>
      </c>
      <c r="H495" s="20" t="str">
        <f>IFERROR(__xludf.DUMMYFUNCTION("""COMPUTED_VALUE"""),"Algorithms")</f>
        <v>Algorithms</v>
      </c>
      <c r="I495" s="20">
        <f>IFERROR(__xludf.DUMMYFUNCTION("""COMPUTED_VALUE"""),0.456)</f>
        <v>0.456</v>
      </c>
      <c r="J495" s="20">
        <f>IFERROR(__xludf.DUMMYFUNCTION("""COMPUTED_VALUE"""),494.0)</f>
        <v>494</v>
      </c>
      <c r="K495" s="20" t="b">
        <f>IFERROR(__xludf.DUMMYFUNCTION("""COMPUTED_VALUE"""),FALSE)</f>
        <v>0</v>
      </c>
      <c r="L495" s="20" t="str">
        <f>IFERROR(__xludf.DUMMYFUNCTION("""COMPUTED_VALUE"""),"Array;Dynamic Programming;Backtracking;")</f>
        <v>Array;Dynamic Programming;Backtracking;</v>
      </c>
      <c r="M495" s="20" t="b">
        <f>IFERROR(__xludf.DUMMYFUNCTION("""COMPUTED_VALUE"""),TRUE)</f>
        <v>1</v>
      </c>
      <c r="N495" s="20" t="b">
        <f>IFERROR(__xludf.DUMMYFUNCTION("""COMPUTED_VALUE"""),FALSE)</f>
        <v>0</v>
      </c>
      <c r="O495" s="20">
        <f>IFERROR(__xludf.DUMMYFUNCTION("""COMPUTED_VALUE"""),45.6106791088975)</f>
        <v>45.61067911</v>
      </c>
      <c r="P495" s="20">
        <f>IFERROR(__xludf.DUMMYFUNCTION("""COMPUTED_VALUE"""),428943.0)</f>
        <v>428943</v>
      </c>
      <c r="Q495" s="20">
        <f>IFERROR(__xludf.DUMMYFUNCTION("""COMPUTED_VALUE"""),940444.0)</f>
        <v>940444</v>
      </c>
    </row>
    <row r="496">
      <c r="A496" s="20">
        <f>IFERROR(__xludf.DUMMYFUNCTION("""COMPUTED_VALUE"""),495.0)</f>
        <v>495</v>
      </c>
      <c r="B496" s="20" t="str">
        <f>IFERROR(__xludf.DUMMYFUNCTION("""COMPUTED_VALUE"""),"Teemo Attacking")</f>
        <v>Teemo Attacking</v>
      </c>
      <c r="C496" s="20" t="str">
        <f>IFERROR(__xludf.DUMMYFUNCTION("""COMPUTED_VALUE"""),"teemo-attacking")</f>
        <v>teemo-attacking</v>
      </c>
      <c r="D496" s="20" t="b">
        <f>IFERROR(__xludf.DUMMYFUNCTION("""COMPUTED_VALUE"""),FALSE)</f>
        <v>0</v>
      </c>
      <c r="E496" s="20" t="str">
        <f>IFERROR(__xludf.DUMMYFUNCTION("""COMPUTED_VALUE"""),"Easy")</f>
        <v>Easy</v>
      </c>
      <c r="F496" s="20">
        <f>IFERROR(__xludf.DUMMYFUNCTION("""COMPUTED_VALUE"""),690.0)</f>
        <v>690</v>
      </c>
      <c r="G496" s="20">
        <f>IFERROR(__xludf.DUMMYFUNCTION("""COMPUTED_VALUE"""),68.0)</f>
        <v>68</v>
      </c>
      <c r="H496" s="20" t="str">
        <f>IFERROR(__xludf.DUMMYFUNCTION("""COMPUTED_VALUE"""),"Algorithms")</f>
        <v>Algorithms</v>
      </c>
      <c r="I496" s="20">
        <f>IFERROR(__xludf.DUMMYFUNCTION("""COMPUTED_VALUE"""),0.57)</f>
        <v>0.57</v>
      </c>
      <c r="J496" s="20">
        <f>IFERROR(__xludf.DUMMYFUNCTION("""COMPUTED_VALUE"""),495.0)</f>
        <v>495</v>
      </c>
      <c r="K496" s="20" t="b">
        <f>IFERROR(__xludf.DUMMYFUNCTION("""COMPUTED_VALUE"""),FALSE)</f>
        <v>0</v>
      </c>
      <c r="L496" s="20" t="str">
        <f>IFERROR(__xludf.DUMMYFUNCTION("""COMPUTED_VALUE"""),"Array;Simulation;")</f>
        <v>Array;Simulation;</v>
      </c>
      <c r="M496" s="20" t="b">
        <f>IFERROR(__xludf.DUMMYFUNCTION("""COMPUTED_VALUE"""),TRUE)</f>
        <v>1</v>
      </c>
      <c r="N496" s="20" t="b">
        <f>IFERROR(__xludf.DUMMYFUNCTION("""COMPUTED_VALUE"""),FALSE)</f>
        <v>0</v>
      </c>
      <c r="O496" s="20">
        <f>IFERROR(__xludf.DUMMYFUNCTION("""COMPUTED_VALUE"""),56.9600110355156)</f>
        <v>56.96001104</v>
      </c>
      <c r="P496" s="20">
        <f>IFERROR(__xludf.DUMMYFUNCTION("""COMPUTED_VALUE"""),115618.0)</f>
        <v>115618</v>
      </c>
      <c r="Q496" s="20">
        <f>IFERROR(__xludf.DUMMYFUNCTION("""COMPUTED_VALUE"""),202981.0)</f>
        <v>202981</v>
      </c>
    </row>
    <row r="497">
      <c r="A497" s="20">
        <f>IFERROR(__xludf.DUMMYFUNCTION("""COMPUTED_VALUE"""),496.0)</f>
        <v>496</v>
      </c>
      <c r="B497" s="20" t="str">
        <f>IFERROR(__xludf.DUMMYFUNCTION("""COMPUTED_VALUE"""),"Next Greater Element I")</f>
        <v>Next Greater Element I</v>
      </c>
      <c r="C497" s="20" t="str">
        <f>IFERROR(__xludf.DUMMYFUNCTION("""COMPUTED_VALUE"""),"next-greater-element-i")</f>
        <v>next-greater-element-i</v>
      </c>
      <c r="D497" s="20" t="b">
        <f>IFERROR(__xludf.DUMMYFUNCTION("""COMPUTED_VALUE"""),FALSE)</f>
        <v>0</v>
      </c>
      <c r="E497" s="20" t="str">
        <f>IFERROR(__xludf.DUMMYFUNCTION("""COMPUTED_VALUE"""),"Easy")</f>
        <v>Easy</v>
      </c>
      <c r="F497" s="20">
        <f>IFERROR(__xludf.DUMMYFUNCTION("""COMPUTED_VALUE"""),5213.0)</f>
        <v>5213</v>
      </c>
      <c r="G497" s="20">
        <f>IFERROR(__xludf.DUMMYFUNCTION("""COMPUTED_VALUE"""),324.0)</f>
        <v>324</v>
      </c>
      <c r="H497" s="20" t="str">
        <f>IFERROR(__xludf.DUMMYFUNCTION("""COMPUTED_VALUE"""),"Algorithms")</f>
        <v>Algorithms</v>
      </c>
      <c r="I497" s="20">
        <f>IFERROR(__xludf.DUMMYFUNCTION("""COMPUTED_VALUE"""),0.714)</f>
        <v>0.714</v>
      </c>
      <c r="J497" s="20">
        <f>IFERROR(__xludf.DUMMYFUNCTION("""COMPUTED_VALUE"""),496.0)</f>
        <v>496</v>
      </c>
      <c r="K497" s="20" t="b">
        <f>IFERROR(__xludf.DUMMYFUNCTION("""COMPUTED_VALUE"""),FALSE)</f>
        <v>0</v>
      </c>
      <c r="L497" s="20" t="str">
        <f>IFERROR(__xludf.DUMMYFUNCTION("""COMPUTED_VALUE"""),"Array;Hash Table;Stack;Monotonic Stack;")</f>
        <v>Array;Hash Table;Stack;Monotonic Stack;</v>
      </c>
      <c r="M497" s="20" t="b">
        <f>IFERROR(__xludf.DUMMYFUNCTION("""COMPUTED_VALUE"""),TRUE)</f>
        <v>1</v>
      </c>
      <c r="N497" s="20" t="b">
        <f>IFERROR(__xludf.DUMMYFUNCTION("""COMPUTED_VALUE"""),FALSE)</f>
        <v>0</v>
      </c>
      <c r="O497" s="20">
        <f>IFERROR(__xludf.DUMMYFUNCTION("""COMPUTED_VALUE"""),71.4433002122323)</f>
        <v>71.44330021</v>
      </c>
      <c r="P497" s="20">
        <f>IFERROR(__xludf.DUMMYFUNCTION("""COMPUTED_VALUE"""),473957.0)</f>
        <v>473957</v>
      </c>
      <c r="Q497" s="20">
        <f>IFERROR(__xludf.DUMMYFUNCTION("""COMPUTED_VALUE"""),663406.0)</f>
        <v>663406</v>
      </c>
    </row>
    <row r="498">
      <c r="A498" s="20">
        <f>IFERROR(__xludf.DUMMYFUNCTION("""COMPUTED_VALUE"""),914.0)</f>
        <v>914</v>
      </c>
      <c r="B498" s="20" t="str">
        <f>IFERROR(__xludf.DUMMYFUNCTION("""COMPUTED_VALUE"""),"Random Point in Non-overlapping Rectangles")</f>
        <v>Random Point in Non-overlapping Rectangles</v>
      </c>
      <c r="C498" s="20" t="str">
        <f>IFERROR(__xludf.DUMMYFUNCTION("""COMPUTED_VALUE"""),"random-point-in-non-overlapping-rectangles")</f>
        <v>random-point-in-non-overlapping-rectangles</v>
      </c>
      <c r="D498" s="20" t="b">
        <f>IFERROR(__xludf.DUMMYFUNCTION("""COMPUTED_VALUE"""),FALSE)</f>
        <v>0</v>
      </c>
      <c r="E498" s="20" t="str">
        <f>IFERROR(__xludf.DUMMYFUNCTION("""COMPUTED_VALUE"""),"Medium")</f>
        <v>Medium</v>
      </c>
      <c r="F498" s="20">
        <f>IFERROR(__xludf.DUMMYFUNCTION("""COMPUTED_VALUE"""),415.0)</f>
        <v>415</v>
      </c>
      <c r="G498" s="20">
        <f>IFERROR(__xludf.DUMMYFUNCTION("""COMPUTED_VALUE"""),630.0)</f>
        <v>630</v>
      </c>
      <c r="H498" s="20" t="str">
        <f>IFERROR(__xludf.DUMMYFUNCTION("""COMPUTED_VALUE"""),"Algorithms")</f>
        <v>Algorithms</v>
      </c>
      <c r="I498" s="20">
        <f>IFERROR(__xludf.DUMMYFUNCTION("""COMPUTED_VALUE"""),0.393)</f>
        <v>0.393</v>
      </c>
      <c r="J498" s="20">
        <f>IFERROR(__xludf.DUMMYFUNCTION("""COMPUTED_VALUE"""),497.0)</f>
        <v>497</v>
      </c>
      <c r="K498" s="20" t="b">
        <f>IFERROR(__xludf.DUMMYFUNCTION("""COMPUTED_VALUE"""),FALSE)</f>
        <v>0</v>
      </c>
      <c r="L498" s="20" t="str">
        <f>IFERROR(__xludf.DUMMYFUNCTION("""COMPUTED_VALUE"""),"Math;Binary Search;Reservoir Sampling;Prefix Sum;Ordered Set;Randomized;")</f>
        <v>Math;Binary Search;Reservoir Sampling;Prefix Sum;Ordered Set;Randomized;</v>
      </c>
      <c r="M498" s="20" t="b">
        <f>IFERROR(__xludf.DUMMYFUNCTION("""COMPUTED_VALUE"""),FALSE)</f>
        <v>0</v>
      </c>
      <c r="N498" s="20" t="b">
        <f>IFERROR(__xludf.DUMMYFUNCTION("""COMPUTED_VALUE"""),FALSE)</f>
        <v>0</v>
      </c>
      <c r="O498" s="20">
        <f>IFERROR(__xludf.DUMMYFUNCTION("""COMPUTED_VALUE"""),39.3116867587751)</f>
        <v>39.31168676</v>
      </c>
      <c r="P498" s="20">
        <f>IFERROR(__xludf.DUMMYFUNCTION("""COMPUTED_VALUE"""),36164.0)</f>
        <v>36164</v>
      </c>
      <c r="Q498" s="20">
        <f>IFERROR(__xludf.DUMMYFUNCTION("""COMPUTED_VALUE"""),91993.0)</f>
        <v>91993</v>
      </c>
    </row>
    <row r="499">
      <c r="A499" s="20">
        <f>IFERROR(__xludf.DUMMYFUNCTION("""COMPUTED_VALUE"""),498.0)</f>
        <v>498</v>
      </c>
      <c r="B499" s="20" t="str">
        <f>IFERROR(__xludf.DUMMYFUNCTION("""COMPUTED_VALUE"""),"Diagonal Traverse")</f>
        <v>Diagonal Traverse</v>
      </c>
      <c r="C499" s="20" t="str">
        <f>IFERROR(__xludf.DUMMYFUNCTION("""COMPUTED_VALUE"""),"diagonal-traverse")</f>
        <v>diagonal-traverse</v>
      </c>
      <c r="D499" s="20" t="b">
        <f>IFERROR(__xludf.DUMMYFUNCTION("""COMPUTED_VALUE"""),FALSE)</f>
        <v>0</v>
      </c>
      <c r="E499" s="20" t="str">
        <f>IFERROR(__xludf.DUMMYFUNCTION("""COMPUTED_VALUE"""),"Medium")</f>
        <v>Medium</v>
      </c>
      <c r="F499" s="20">
        <f>IFERROR(__xludf.DUMMYFUNCTION("""COMPUTED_VALUE"""),2750.0)</f>
        <v>2750</v>
      </c>
      <c r="G499" s="20">
        <f>IFERROR(__xludf.DUMMYFUNCTION("""COMPUTED_VALUE"""),593.0)</f>
        <v>593</v>
      </c>
      <c r="H499" s="20" t="str">
        <f>IFERROR(__xludf.DUMMYFUNCTION("""COMPUTED_VALUE"""),"Algorithms")</f>
        <v>Algorithms</v>
      </c>
      <c r="I499" s="20">
        <f>IFERROR(__xludf.DUMMYFUNCTION("""COMPUTED_VALUE"""),0.582)</f>
        <v>0.582</v>
      </c>
      <c r="J499" s="20">
        <f>IFERROR(__xludf.DUMMYFUNCTION("""COMPUTED_VALUE"""),498.0)</f>
        <v>498</v>
      </c>
      <c r="K499" s="20" t="b">
        <f>IFERROR(__xludf.DUMMYFUNCTION("""COMPUTED_VALUE"""),FALSE)</f>
        <v>0</v>
      </c>
      <c r="L499" s="20" t="str">
        <f>IFERROR(__xludf.DUMMYFUNCTION("""COMPUTED_VALUE"""),"Array;Matrix;Simulation;")</f>
        <v>Array;Matrix;Simulation;</v>
      </c>
      <c r="M499" s="20" t="b">
        <f>IFERROR(__xludf.DUMMYFUNCTION("""COMPUTED_VALUE"""),TRUE)</f>
        <v>1</v>
      </c>
      <c r="N499" s="20" t="b">
        <f>IFERROR(__xludf.DUMMYFUNCTION("""COMPUTED_VALUE"""),FALSE)</f>
        <v>0</v>
      </c>
      <c r="O499" s="20">
        <f>IFERROR(__xludf.DUMMYFUNCTION("""COMPUTED_VALUE"""),58.1835766568541)</f>
        <v>58.18357666</v>
      </c>
      <c r="P499" s="20">
        <f>IFERROR(__xludf.DUMMYFUNCTION("""COMPUTED_VALUE"""),234019.0)</f>
        <v>234019</v>
      </c>
      <c r="Q499" s="20">
        <f>IFERROR(__xludf.DUMMYFUNCTION("""COMPUTED_VALUE"""),402208.0)</f>
        <v>402208</v>
      </c>
    </row>
    <row r="500">
      <c r="A500" s="20">
        <f>IFERROR(__xludf.DUMMYFUNCTION("""COMPUTED_VALUE"""),499.0)</f>
        <v>499</v>
      </c>
      <c r="B500" s="20" t="str">
        <f>IFERROR(__xludf.DUMMYFUNCTION("""COMPUTED_VALUE"""),"The Maze III")</f>
        <v>The Maze III</v>
      </c>
      <c r="C500" s="20" t="str">
        <f>IFERROR(__xludf.DUMMYFUNCTION("""COMPUTED_VALUE"""),"the-maze-iii")</f>
        <v>the-maze-iii</v>
      </c>
      <c r="D500" s="20" t="b">
        <f>IFERROR(__xludf.DUMMYFUNCTION("""COMPUTED_VALUE"""),TRUE)</f>
        <v>1</v>
      </c>
      <c r="E500" s="20" t="str">
        <f>IFERROR(__xludf.DUMMYFUNCTION("""COMPUTED_VALUE"""),"Hard")</f>
        <v>Hard</v>
      </c>
      <c r="F500" s="20">
        <f>IFERROR(__xludf.DUMMYFUNCTION("""COMPUTED_VALUE"""),406.0)</f>
        <v>406</v>
      </c>
      <c r="G500" s="20">
        <f>IFERROR(__xludf.DUMMYFUNCTION("""COMPUTED_VALUE"""),65.0)</f>
        <v>65</v>
      </c>
      <c r="H500" s="20" t="str">
        <f>IFERROR(__xludf.DUMMYFUNCTION("""COMPUTED_VALUE"""),"Algorithms")</f>
        <v>Algorithms</v>
      </c>
      <c r="I500" s="20">
        <f>IFERROR(__xludf.DUMMYFUNCTION("""COMPUTED_VALUE"""),0.471)</f>
        <v>0.471</v>
      </c>
      <c r="J500" s="20">
        <f>IFERROR(__xludf.DUMMYFUNCTION("""COMPUTED_VALUE"""),499.0)</f>
        <v>499</v>
      </c>
      <c r="K500" s="20" t="b">
        <f>IFERROR(__xludf.DUMMYFUNCTION("""COMPUTED_VALUE"""),TRUE)</f>
        <v>1</v>
      </c>
      <c r="L500" s="20" t="str">
        <f>IFERROR(__xludf.DUMMYFUNCTION("""COMPUTED_VALUE"""),"Depth-First Search;Breadth-First Search;Graph;Heap (Priority Queue);Shortest Path;")</f>
        <v>Depth-First Search;Breadth-First Search;Graph;Heap (Priority Queue);Shortest Path;</v>
      </c>
      <c r="M500" s="20" t="b">
        <f>IFERROR(__xludf.DUMMYFUNCTION("""COMPUTED_VALUE"""),FALSE)</f>
        <v>0</v>
      </c>
      <c r="N500" s="20" t="b">
        <f>IFERROR(__xludf.DUMMYFUNCTION("""COMPUTED_VALUE"""),FALSE)</f>
        <v>0</v>
      </c>
      <c r="O500" s="20">
        <f>IFERROR(__xludf.DUMMYFUNCTION("""COMPUTED_VALUE"""),47.0521056388294)</f>
        <v>47.05210564</v>
      </c>
      <c r="P500" s="20">
        <f>IFERROR(__xludf.DUMMYFUNCTION("""COMPUTED_VALUE"""),26368.0)</f>
        <v>26368</v>
      </c>
      <c r="Q500" s="20">
        <f>IFERROR(__xludf.DUMMYFUNCTION("""COMPUTED_VALUE"""),56040.0)</f>
        <v>56040</v>
      </c>
    </row>
    <row r="501">
      <c r="A501" s="20">
        <f>IFERROR(__xludf.DUMMYFUNCTION("""COMPUTED_VALUE"""),500.0)</f>
        <v>500</v>
      </c>
      <c r="B501" s="20" t="str">
        <f>IFERROR(__xludf.DUMMYFUNCTION("""COMPUTED_VALUE"""),"Keyboard Row")</f>
        <v>Keyboard Row</v>
      </c>
      <c r="C501" s="20" t="str">
        <f>IFERROR(__xludf.DUMMYFUNCTION("""COMPUTED_VALUE"""),"keyboard-row")</f>
        <v>keyboard-row</v>
      </c>
      <c r="D501" s="20" t="b">
        <f>IFERROR(__xludf.DUMMYFUNCTION("""COMPUTED_VALUE"""),FALSE)</f>
        <v>0</v>
      </c>
      <c r="E501" s="20" t="str">
        <f>IFERROR(__xludf.DUMMYFUNCTION("""COMPUTED_VALUE"""),"Easy")</f>
        <v>Easy</v>
      </c>
      <c r="F501" s="20">
        <f>IFERROR(__xludf.DUMMYFUNCTION("""COMPUTED_VALUE"""),1186.0)</f>
        <v>1186</v>
      </c>
      <c r="G501" s="20">
        <f>IFERROR(__xludf.DUMMYFUNCTION("""COMPUTED_VALUE"""),1015.0)</f>
        <v>1015</v>
      </c>
      <c r="H501" s="20" t="str">
        <f>IFERROR(__xludf.DUMMYFUNCTION("""COMPUTED_VALUE"""),"Algorithms")</f>
        <v>Algorithms</v>
      </c>
      <c r="I501" s="20">
        <f>IFERROR(__xludf.DUMMYFUNCTION("""COMPUTED_VALUE"""),0.693)</f>
        <v>0.693</v>
      </c>
      <c r="J501" s="20">
        <f>IFERROR(__xludf.DUMMYFUNCTION("""COMPUTED_VALUE"""),500.0)</f>
        <v>500</v>
      </c>
      <c r="K501" s="20" t="b">
        <f>IFERROR(__xludf.DUMMYFUNCTION("""COMPUTED_VALUE"""),FALSE)</f>
        <v>0</v>
      </c>
      <c r="L501" s="20" t="str">
        <f>IFERROR(__xludf.DUMMYFUNCTION("""COMPUTED_VALUE"""),"Array;Hash Table;String;")</f>
        <v>Array;Hash Table;String;</v>
      </c>
      <c r="M501" s="20" t="b">
        <f>IFERROR(__xludf.DUMMYFUNCTION("""COMPUTED_VALUE"""),FALSE)</f>
        <v>0</v>
      </c>
      <c r="N501" s="20" t="b">
        <f>IFERROR(__xludf.DUMMYFUNCTION("""COMPUTED_VALUE"""),FALSE)</f>
        <v>0</v>
      </c>
      <c r="O501" s="20">
        <f>IFERROR(__xludf.DUMMYFUNCTION("""COMPUTED_VALUE"""),69.3250507038774)</f>
        <v>69.3250507</v>
      </c>
      <c r="P501" s="20">
        <f>IFERROR(__xludf.DUMMYFUNCTION("""COMPUTED_VALUE"""),173983.0)</f>
        <v>173983</v>
      </c>
      <c r="Q501" s="20">
        <f>IFERROR(__xludf.DUMMYFUNCTION("""COMPUTED_VALUE"""),250967.0)</f>
        <v>250967</v>
      </c>
    </row>
    <row r="502">
      <c r="A502" s="20">
        <f>IFERROR(__xludf.DUMMYFUNCTION("""COMPUTED_VALUE"""),501.0)</f>
        <v>501</v>
      </c>
      <c r="B502" s="20" t="str">
        <f>IFERROR(__xludf.DUMMYFUNCTION("""COMPUTED_VALUE"""),"Find Mode in Binary Search Tree")</f>
        <v>Find Mode in Binary Search Tree</v>
      </c>
      <c r="C502" s="20" t="str">
        <f>IFERROR(__xludf.DUMMYFUNCTION("""COMPUTED_VALUE"""),"find-mode-in-binary-search-tree")</f>
        <v>find-mode-in-binary-search-tree</v>
      </c>
      <c r="D502" s="20" t="b">
        <f>IFERROR(__xludf.DUMMYFUNCTION("""COMPUTED_VALUE"""),FALSE)</f>
        <v>0</v>
      </c>
      <c r="E502" s="20" t="str">
        <f>IFERROR(__xludf.DUMMYFUNCTION("""COMPUTED_VALUE"""),"Easy")</f>
        <v>Easy</v>
      </c>
      <c r="F502" s="20">
        <f>IFERROR(__xludf.DUMMYFUNCTION("""COMPUTED_VALUE"""),2701.0)</f>
        <v>2701</v>
      </c>
      <c r="G502" s="20">
        <f>IFERROR(__xludf.DUMMYFUNCTION("""COMPUTED_VALUE"""),626.0)</f>
        <v>626</v>
      </c>
      <c r="H502" s="20" t="str">
        <f>IFERROR(__xludf.DUMMYFUNCTION("""COMPUTED_VALUE"""),"Algorithms")</f>
        <v>Algorithms</v>
      </c>
      <c r="I502" s="20">
        <f>IFERROR(__xludf.DUMMYFUNCTION("""COMPUTED_VALUE"""),0.489)</f>
        <v>0.489</v>
      </c>
      <c r="J502" s="20">
        <f>IFERROR(__xludf.DUMMYFUNCTION("""COMPUTED_VALUE"""),501.0)</f>
        <v>501</v>
      </c>
      <c r="K502" s="20" t="b">
        <f>IFERROR(__xludf.DUMMYFUNCTION("""COMPUTED_VALUE"""),FALSE)</f>
        <v>0</v>
      </c>
      <c r="L502" s="20" t="str">
        <f>IFERROR(__xludf.DUMMYFUNCTION("""COMPUTED_VALUE"""),"Tree;Depth-First Search;Binary Search Tree;Binary Tree;")</f>
        <v>Tree;Depth-First Search;Binary Search Tree;Binary Tree;</v>
      </c>
      <c r="M502" s="20" t="b">
        <f>IFERROR(__xludf.DUMMYFUNCTION("""COMPUTED_VALUE"""),FALSE)</f>
        <v>0</v>
      </c>
      <c r="N502" s="20" t="b">
        <f>IFERROR(__xludf.DUMMYFUNCTION("""COMPUTED_VALUE"""),FALSE)</f>
        <v>0</v>
      </c>
      <c r="O502" s="20">
        <f>IFERROR(__xludf.DUMMYFUNCTION("""COMPUTED_VALUE"""),48.894369605769)</f>
        <v>48.89436961</v>
      </c>
      <c r="P502" s="20">
        <f>IFERROR(__xludf.DUMMYFUNCTION("""COMPUTED_VALUE"""),179809.0)</f>
        <v>179809</v>
      </c>
      <c r="Q502" s="20">
        <f>IFERROR(__xludf.DUMMYFUNCTION("""COMPUTED_VALUE"""),367752.0)</f>
        <v>367752</v>
      </c>
    </row>
    <row r="503">
      <c r="A503" s="20">
        <f>IFERROR(__xludf.DUMMYFUNCTION("""COMPUTED_VALUE"""),502.0)</f>
        <v>502</v>
      </c>
      <c r="B503" s="20" t="str">
        <f>IFERROR(__xludf.DUMMYFUNCTION("""COMPUTED_VALUE"""),"IPO")</f>
        <v>IPO</v>
      </c>
      <c r="C503" s="20" t="str">
        <f>IFERROR(__xludf.DUMMYFUNCTION("""COMPUTED_VALUE"""),"ipo")</f>
        <v>ipo</v>
      </c>
      <c r="D503" s="20" t="b">
        <f>IFERROR(__xludf.DUMMYFUNCTION("""COMPUTED_VALUE"""),FALSE)</f>
        <v>0</v>
      </c>
      <c r="E503" s="20" t="str">
        <f>IFERROR(__xludf.DUMMYFUNCTION("""COMPUTED_VALUE"""),"Hard")</f>
        <v>Hard</v>
      </c>
      <c r="F503" s="20">
        <f>IFERROR(__xludf.DUMMYFUNCTION("""COMPUTED_VALUE"""),1006.0)</f>
        <v>1006</v>
      </c>
      <c r="G503" s="20">
        <f>IFERROR(__xludf.DUMMYFUNCTION("""COMPUTED_VALUE"""),90.0)</f>
        <v>90</v>
      </c>
      <c r="H503" s="20" t="str">
        <f>IFERROR(__xludf.DUMMYFUNCTION("""COMPUTED_VALUE"""),"Algorithms")</f>
        <v>Algorithms</v>
      </c>
      <c r="I503" s="20">
        <f>IFERROR(__xludf.DUMMYFUNCTION("""COMPUTED_VALUE"""),0.45)</f>
        <v>0.45</v>
      </c>
      <c r="J503" s="20">
        <f>IFERROR(__xludf.DUMMYFUNCTION("""COMPUTED_VALUE"""),502.0)</f>
        <v>502</v>
      </c>
      <c r="K503" s="20" t="b">
        <f>IFERROR(__xludf.DUMMYFUNCTION("""COMPUTED_VALUE"""),FALSE)</f>
        <v>0</v>
      </c>
      <c r="L503" s="20" t="str">
        <f>IFERROR(__xludf.DUMMYFUNCTION("""COMPUTED_VALUE"""),"Array;Greedy;Sorting;Heap (Priority Queue);")</f>
        <v>Array;Greedy;Sorting;Heap (Priority Queue);</v>
      </c>
      <c r="M503" s="20" t="b">
        <f>IFERROR(__xludf.DUMMYFUNCTION("""COMPUTED_VALUE"""),TRUE)</f>
        <v>1</v>
      </c>
      <c r="N503" s="20" t="b">
        <f>IFERROR(__xludf.DUMMYFUNCTION("""COMPUTED_VALUE"""),FALSE)</f>
        <v>0</v>
      </c>
      <c r="O503" s="20">
        <f>IFERROR(__xludf.DUMMYFUNCTION("""COMPUTED_VALUE"""),45.0103242495064)</f>
        <v>45.01032425</v>
      </c>
      <c r="P503" s="20">
        <f>IFERROR(__xludf.DUMMYFUNCTION("""COMPUTED_VALUE"""),39673.0)</f>
        <v>39673</v>
      </c>
      <c r="Q503" s="20">
        <f>IFERROR(__xludf.DUMMYFUNCTION("""COMPUTED_VALUE"""),88141.0)</f>
        <v>88141</v>
      </c>
    </row>
    <row r="504">
      <c r="A504" s="20">
        <f>IFERROR(__xludf.DUMMYFUNCTION("""COMPUTED_VALUE"""),503.0)</f>
        <v>503</v>
      </c>
      <c r="B504" s="20" t="str">
        <f>IFERROR(__xludf.DUMMYFUNCTION("""COMPUTED_VALUE"""),"Next Greater Element II")</f>
        <v>Next Greater Element II</v>
      </c>
      <c r="C504" s="20" t="str">
        <f>IFERROR(__xludf.DUMMYFUNCTION("""COMPUTED_VALUE"""),"next-greater-element-ii")</f>
        <v>next-greater-element-ii</v>
      </c>
      <c r="D504" s="20" t="b">
        <f>IFERROR(__xludf.DUMMYFUNCTION("""COMPUTED_VALUE"""),FALSE)</f>
        <v>0</v>
      </c>
      <c r="E504" s="20" t="str">
        <f>IFERROR(__xludf.DUMMYFUNCTION("""COMPUTED_VALUE"""),"Medium")</f>
        <v>Medium</v>
      </c>
      <c r="F504" s="20">
        <f>IFERROR(__xludf.DUMMYFUNCTION("""COMPUTED_VALUE"""),6065.0)</f>
        <v>6065</v>
      </c>
      <c r="G504" s="20">
        <f>IFERROR(__xludf.DUMMYFUNCTION("""COMPUTED_VALUE"""),167.0)</f>
        <v>167</v>
      </c>
      <c r="H504" s="20" t="str">
        <f>IFERROR(__xludf.DUMMYFUNCTION("""COMPUTED_VALUE"""),"Algorithms")</f>
        <v>Algorithms</v>
      </c>
      <c r="I504" s="20">
        <f>IFERROR(__xludf.DUMMYFUNCTION("""COMPUTED_VALUE"""),0.631)</f>
        <v>0.631</v>
      </c>
      <c r="J504" s="20">
        <f>IFERROR(__xludf.DUMMYFUNCTION("""COMPUTED_VALUE"""),503.0)</f>
        <v>503</v>
      </c>
      <c r="K504" s="20" t="b">
        <f>IFERROR(__xludf.DUMMYFUNCTION("""COMPUTED_VALUE"""),FALSE)</f>
        <v>0</v>
      </c>
      <c r="L504" s="20" t="str">
        <f>IFERROR(__xludf.DUMMYFUNCTION("""COMPUTED_VALUE"""),"Array;Stack;Monotonic Stack;")</f>
        <v>Array;Stack;Monotonic Stack;</v>
      </c>
      <c r="M504" s="20" t="b">
        <f>IFERROR(__xludf.DUMMYFUNCTION("""COMPUTED_VALUE"""),TRUE)</f>
        <v>1</v>
      </c>
      <c r="N504" s="20" t="b">
        <f>IFERROR(__xludf.DUMMYFUNCTION("""COMPUTED_VALUE"""),FALSE)</f>
        <v>0</v>
      </c>
      <c r="O504" s="20">
        <f>IFERROR(__xludf.DUMMYFUNCTION("""COMPUTED_VALUE"""),63.1374422823032)</f>
        <v>63.13744228</v>
      </c>
      <c r="P504" s="20">
        <f>IFERROR(__xludf.DUMMYFUNCTION("""COMPUTED_VALUE"""),278804.0)</f>
        <v>278804</v>
      </c>
      <c r="Q504" s="20">
        <f>IFERROR(__xludf.DUMMYFUNCTION("""COMPUTED_VALUE"""),441581.0)</f>
        <v>441581</v>
      </c>
    </row>
    <row r="505">
      <c r="A505" s="20">
        <f>IFERROR(__xludf.DUMMYFUNCTION("""COMPUTED_VALUE"""),504.0)</f>
        <v>504</v>
      </c>
      <c r="B505" s="20" t="str">
        <f>IFERROR(__xludf.DUMMYFUNCTION("""COMPUTED_VALUE"""),"Base 7")</f>
        <v>Base 7</v>
      </c>
      <c r="C505" s="20" t="str">
        <f>IFERROR(__xludf.DUMMYFUNCTION("""COMPUTED_VALUE"""),"base-7")</f>
        <v>base-7</v>
      </c>
      <c r="D505" s="20" t="b">
        <f>IFERROR(__xludf.DUMMYFUNCTION("""COMPUTED_VALUE"""),FALSE)</f>
        <v>0</v>
      </c>
      <c r="E505" s="20" t="str">
        <f>IFERROR(__xludf.DUMMYFUNCTION("""COMPUTED_VALUE"""),"Easy")</f>
        <v>Easy</v>
      </c>
      <c r="F505" s="20">
        <f>IFERROR(__xludf.DUMMYFUNCTION("""COMPUTED_VALUE"""),594.0)</f>
        <v>594</v>
      </c>
      <c r="G505" s="20">
        <f>IFERROR(__xludf.DUMMYFUNCTION("""COMPUTED_VALUE"""),201.0)</f>
        <v>201</v>
      </c>
      <c r="H505" s="20" t="str">
        <f>IFERROR(__xludf.DUMMYFUNCTION("""COMPUTED_VALUE"""),"Algorithms")</f>
        <v>Algorithms</v>
      </c>
      <c r="I505" s="20">
        <f>IFERROR(__xludf.DUMMYFUNCTION("""COMPUTED_VALUE"""),0.481)</f>
        <v>0.481</v>
      </c>
      <c r="J505" s="20">
        <f>IFERROR(__xludf.DUMMYFUNCTION("""COMPUTED_VALUE"""),504.0)</f>
        <v>504</v>
      </c>
      <c r="K505" s="20" t="b">
        <f>IFERROR(__xludf.DUMMYFUNCTION("""COMPUTED_VALUE"""),FALSE)</f>
        <v>0</v>
      </c>
      <c r="L505" s="20" t="str">
        <f>IFERROR(__xludf.DUMMYFUNCTION("""COMPUTED_VALUE"""),"Math;")</f>
        <v>Math;</v>
      </c>
      <c r="M505" s="20" t="b">
        <f>IFERROR(__xludf.DUMMYFUNCTION("""COMPUTED_VALUE"""),FALSE)</f>
        <v>0</v>
      </c>
      <c r="N505" s="20" t="b">
        <f>IFERROR(__xludf.DUMMYFUNCTION("""COMPUTED_VALUE"""),FALSE)</f>
        <v>0</v>
      </c>
      <c r="O505" s="20">
        <f>IFERROR(__xludf.DUMMYFUNCTION("""COMPUTED_VALUE"""),48.1083332122744)</f>
        <v>48.10833321</v>
      </c>
      <c r="P505" s="20">
        <f>IFERROR(__xludf.DUMMYFUNCTION("""COMPUTED_VALUE"""),99346.0)</f>
        <v>99346</v>
      </c>
      <c r="Q505" s="20">
        <f>IFERROR(__xludf.DUMMYFUNCTION("""COMPUTED_VALUE"""),206507.0)</f>
        <v>206507</v>
      </c>
    </row>
    <row r="506">
      <c r="A506" s="20">
        <f>IFERROR(__xludf.DUMMYFUNCTION("""COMPUTED_VALUE"""),505.0)</f>
        <v>505</v>
      </c>
      <c r="B506" s="20" t="str">
        <f>IFERROR(__xludf.DUMMYFUNCTION("""COMPUTED_VALUE"""),"The Maze II")</f>
        <v>The Maze II</v>
      </c>
      <c r="C506" s="20" t="str">
        <f>IFERROR(__xludf.DUMMYFUNCTION("""COMPUTED_VALUE"""),"the-maze-ii")</f>
        <v>the-maze-ii</v>
      </c>
      <c r="D506" s="20" t="b">
        <f>IFERROR(__xludf.DUMMYFUNCTION("""COMPUTED_VALUE"""),TRUE)</f>
        <v>1</v>
      </c>
      <c r="E506" s="20" t="str">
        <f>IFERROR(__xludf.DUMMYFUNCTION("""COMPUTED_VALUE"""),"Medium")</f>
        <v>Medium</v>
      </c>
      <c r="F506" s="20">
        <f>IFERROR(__xludf.DUMMYFUNCTION("""COMPUTED_VALUE"""),1171.0)</f>
        <v>1171</v>
      </c>
      <c r="G506" s="20">
        <f>IFERROR(__xludf.DUMMYFUNCTION("""COMPUTED_VALUE"""),51.0)</f>
        <v>51</v>
      </c>
      <c r="H506" s="20" t="str">
        <f>IFERROR(__xludf.DUMMYFUNCTION("""COMPUTED_VALUE"""),"Algorithms")</f>
        <v>Algorithms</v>
      </c>
      <c r="I506" s="20">
        <f>IFERROR(__xludf.DUMMYFUNCTION("""COMPUTED_VALUE"""),0.524)</f>
        <v>0.524</v>
      </c>
      <c r="J506" s="20">
        <f>IFERROR(__xludf.DUMMYFUNCTION("""COMPUTED_VALUE"""),505.0)</f>
        <v>505</v>
      </c>
      <c r="K506" s="20" t="b">
        <f>IFERROR(__xludf.DUMMYFUNCTION("""COMPUTED_VALUE"""),TRUE)</f>
        <v>1</v>
      </c>
      <c r="L506" s="20" t="str">
        <f>IFERROR(__xludf.DUMMYFUNCTION("""COMPUTED_VALUE"""),"Depth-First Search;Breadth-First Search;Graph;Heap (Priority Queue);Shortest Path;")</f>
        <v>Depth-First Search;Breadth-First Search;Graph;Heap (Priority Queue);Shortest Path;</v>
      </c>
      <c r="M506" s="20" t="b">
        <f>IFERROR(__xludf.DUMMYFUNCTION("""COMPUTED_VALUE"""),TRUE)</f>
        <v>1</v>
      </c>
      <c r="N506" s="20" t="b">
        <f>IFERROR(__xludf.DUMMYFUNCTION("""COMPUTED_VALUE"""),FALSE)</f>
        <v>0</v>
      </c>
      <c r="O506" s="20">
        <f>IFERROR(__xludf.DUMMYFUNCTION("""COMPUTED_VALUE"""),52.4254310466461)</f>
        <v>52.42543105</v>
      </c>
      <c r="P506" s="20">
        <f>IFERROR(__xludf.DUMMYFUNCTION("""COMPUTED_VALUE"""),92890.0)</f>
        <v>92890</v>
      </c>
      <c r="Q506" s="20">
        <f>IFERROR(__xludf.DUMMYFUNCTION("""COMPUTED_VALUE"""),177185.0)</f>
        <v>177185</v>
      </c>
    </row>
    <row r="507">
      <c r="A507" s="20">
        <f>IFERROR(__xludf.DUMMYFUNCTION("""COMPUTED_VALUE"""),506.0)</f>
        <v>506</v>
      </c>
      <c r="B507" s="20" t="str">
        <f>IFERROR(__xludf.DUMMYFUNCTION("""COMPUTED_VALUE"""),"Relative Ranks")</f>
        <v>Relative Ranks</v>
      </c>
      <c r="C507" s="20" t="str">
        <f>IFERROR(__xludf.DUMMYFUNCTION("""COMPUTED_VALUE"""),"relative-ranks")</f>
        <v>relative-ranks</v>
      </c>
      <c r="D507" s="20" t="b">
        <f>IFERROR(__xludf.DUMMYFUNCTION("""COMPUTED_VALUE"""),FALSE)</f>
        <v>0</v>
      </c>
      <c r="E507" s="20" t="str">
        <f>IFERROR(__xludf.DUMMYFUNCTION("""COMPUTED_VALUE"""),"Easy")</f>
        <v>Easy</v>
      </c>
      <c r="F507" s="20">
        <f>IFERROR(__xludf.DUMMYFUNCTION("""COMPUTED_VALUE"""),849.0)</f>
        <v>849</v>
      </c>
      <c r="G507" s="20">
        <f>IFERROR(__xludf.DUMMYFUNCTION("""COMPUTED_VALUE"""),43.0)</f>
        <v>43</v>
      </c>
      <c r="H507" s="20" t="str">
        <f>IFERROR(__xludf.DUMMYFUNCTION("""COMPUTED_VALUE"""),"Algorithms")</f>
        <v>Algorithms</v>
      </c>
      <c r="I507" s="20">
        <f>IFERROR(__xludf.DUMMYFUNCTION("""COMPUTED_VALUE"""),0.595)</f>
        <v>0.595</v>
      </c>
      <c r="J507" s="20">
        <f>IFERROR(__xludf.DUMMYFUNCTION("""COMPUTED_VALUE"""),506.0)</f>
        <v>506</v>
      </c>
      <c r="K507" s="20" t="b">
        <f>IFERROR(__xludf.DUMMYFUNCTION("""COMPUTED_VALUE"""),FALSE)</f>
        <v>0</v>
      </c>
      <c r="L507" s="20" t="str">
        <f>IFERROR(__xludf.DUMMYFUNCTION("""COMPUTED_VALUE"""),"Array;Sorting;Heap (Priority Queue);")</f>
        <v>Array;Sorting;Heap (Priority Queue);</v>
      </c>
      <c r="M507" s="20" t="b">
        <f>IFERROR(__xludf.DUMMYFUNCTION("""COMPUTED_VALUE"""),FALSE)</f>
        <v>0</v>
      </c>
      <c r="N507" s="20" t="b">
        <f>IFERROR(__xludf.DUMMYFUNCTION("""COMPUTED_VALUE"""),FALSE)</f>
        <v>0</v>
      </c>
      <c r="O507" s="20">
        <f>IFERROR(__xludf.DUMMYFUNCTION("""COMPUTED_VALUE"""),59.5245403643214)</f>
        <v>59.52454036</v>
      </c>
      <c r="P507" s="20">
        <f>IFERROR(__xludf.DUMMYFUNCTION("""COMPUTED_VALUE"""),112473.0)</f>
        <v>112473</v>
      </c>
      <c r="Q507" s="20">
        <f>IFERROR(__xludf.DUMMYFUNCTION("""COMPUTED_VALUE"""),188953.0)</f>
        <v>188953</v>
      </c>
    </row>
    <row r="508">
      <c r="A508" s="20">
        <f>IFERROR(__xludf.DUMMYFUNCTION("""COMPUTED_VALUE"""),507.0)</f>
        <v>507</v>
      </c>
      <c r="B508" s="20" t="str">
        <f>IFERROR(__xludf.DUMMYFUNCTION("""COMPUTED_VALUE"""),"Perfect Number")</f>
        <v>Perfect Number</v>
      </c>
      <c r="C508" s="20" t="str">
        <f>IFERROR(__xludf.DUMMYFUNCTION("""COMPUTED_VALUE"""),"perfect-number")</f>
        <v>perfect-number</v>
      </c>
      <c r="D508" s="20" t="b">
        <f>IFERROR(__xludf.DUMMYFUNCTION("""COMPUTED_VALUE"""),FALSE)</f>
        <v>0</v>
      </c>
      <c r="E508" s="20" t="str">
        <f>IFERROR(__xludf.DUMMYFUNCTION("""COMPUTED_VALUE"""),"Easy")</f>
        <v>Easy</v>
      </c>
      <c r="F508" s="20">
        <f>IFERROR(__xludf.DUMMYFUNCTION("""COMPUTED_VALUE"""),742.0)</f>
        <v>742</v>
      </c>
      <c r="G508" s="20">
        <f>IFERROR(__xludf.DUMMYFUNCTION("""COMPUTED_VALUE"""),975.0)</f>
        <v>975</v>
      </c>
      <c r="H508" s="20" t="str">
        <f>IFERROR(__xludf.DUMMYFUNCTION("""COMPUTED_VALUE"""),"Algorithms")</f>
        <v>Algorithms</v>
      </c>
      <c r="I508" s="20">
        <f>IFERROR(__xludf.DUMMYFUNCTION("""COMPUTED_VALUE"""),0.377)</f>
        <v>0.377</v>
      </c>
      <c r="J508" s="20">
        <f>IFERROR(__xludf.DUMMYFUNCTION("""COMPUTED_VALUE"""),507.0)</f>
        <v>507</v>
      </c>
      <c r="K508" s="20" t="b">
        <f>IFERROR(__xludf.DUMMYFUNCTION("""COMPUTED_VALUE"""),FALSE)</f>
        <v>0</v>
      </c>
      <c r="L508" s="20" t="str">
        <f>IFERROR(__xludf.DUMMYFUNCTION("""COMPUTED_VALUE"""),"Math;")</f>
        <v>Math;</v>
      </c>
      <c r="M508" s="20" t="b">
        <f>IFERROR(__xludf.DUMMYFUNCTION("""COMPUTED_VALUE"""),TRUE)</f>
        <v>1</v>
      </c>
      <c r="N508" s="20" t="b">
        <f>IFERROR(__xludf.DUMMYFUNCTION("""COMPUTED_VALUE"""),FALSE)</f>
        <v>0</v>
      </c>
      <c r="O508" s="20">
        <f>IFERROR(__xludf.DUMMYFUNCTION("""COMPUTED_VALUE"""),37.7268579539693)</f>
        <v>37.72685795</v>
      </c>
      <c r="P508" s="20">
        <f>IFERROR(__xludf.DUMMYFUNCTION("""COMPUTED_VALUE"""),122791.0)</f>
        <v>122791</v>
      </c>
      <c r="Q508" s="20">
        <f>IFERROR(__xludf.DUMMYFUNCTION("""COMPUTED_VALUE"""),325474.0)</f>
        <v>325474</v>
      </c>
    </row>
    <row r="509">
      <c r="A509" s="20">
        <f>IFERROR(__xludf.DUMMYFUNCTION("""COMPUTED_VALUE"""),508.0)</f>
        <v>508</v>
      </c>
      <c r="B509" s="20" t="str">
        <f>IFERROR(__xludf.DUMMYFUNCTION("""COMPUTED_VALUE"""),"Most Frequent Subtree Sum")</f>
        <v>Most Frequent Subtree Sum</v>
      </c>
      <c r="C509" s="20" t="str">
        <f>IFERROR(__xludf.DUMMYFUNCTION("""COMPUTED_VALUE"""),"most-frequent-subtree-sum")</f>
        <v>most-frequent-subtree-sum</v>
      </c>
      <c r="D509" s="20" t="b">
        <f>IFERROR(__xludf.DUMMYFUNCTION("""COMPUTED_VALUE"""),FALSE)</f>
        <v>0</v>
      </c>
      <c r="E509" s="20" t="str">
        <f>IFERROR(__xludf.DUMMYFUNCTION("""COMPUTED_VALUE"""),"Medium")</f>
        <v>Medium</v>
      </c>
      <c r="F509" s="20">
        <f>IFERROR(__xludf.DUMMYFUNCTION("""COMPUTED_VALUE"""),1845.0)</f>
        <v>1845</v>
      </c>
      <c r="G509" s="20">
        <f>IFERROR(__xludf.DUMMYFUNCTION("""COMPUTED_VALUE"""),271.0)</f>
        <v>271</v>
      </c>
      <c r="H509" s="20" t="str">
        <f>IFERROR(__xludf.DUMMYFUNCTION("""COMPUTED_VALUE"""),"Algorithms")</f>
        <v>Algorithms</v>
      </c>
      <c r="I509" s="20">
        <f>IFERROR(__xludf.DUMMYFUNCTION("""COMPUTED_VALUE"""),0.646)</f>
        <v>0.646</v>
      </c>
      <c r="J509" s="20">
        <f>IFERROR(__xludf.DUMMYFUNCTION("""COMPUTED_VALUE"""),508.0)</f>
        <v>508</v>
      </c>
      <c r="K509" s="20" t="b">
        <f>IFERROR(__xludf.DUMMYFUNCTION("""COMPUTED_VALUE"""),FALSE)</f>
        <v>0</v>
      </c>
      <c r="L509" s="20" t="str">
        <f>IFERROR(__xludf.DUMMYFUNCTION("""COMPUTED_VALUE"""),"Hash Table;Tree;Depth-First Search;Binary Tree;")</f>
        <v>Hash Table;Tree;Depth-First Search;Binary Tree;</v>
      </c>
      <c r="M509" s="20" t="b">
        <f>IFERROR(__xludf.DUMMYFUNCTION("""COMPUTED_VALUE"""),TRUE)</f>
        <v>1</v>
      </c>
      <c r="N509" s="20" t="b">
        <f>IFERROR(__xludf.DUMMYFUNCTION("""COMPUTED_VALUE"""),FALSE)</f>
        <v>0</v>
      </c>
      <c r="O509" s="20">
        <f>IFERROR(__xludf.DUMMYFUNCTION("""COMPUTED_VALUE"""),64.5630297450874)</f>
        <v>64.56302975</v>
      </c>
      <c r="P509" s="20">
        <f>IFERROR(__xludf.DUMMYFUNCTION("""COMPUTED_VALUE"""),122028.0)</f>
        <v>122028</v>
      </c>
      <c r="Q509" s="20">
        <f>IFERROR(__xludf.DUMMYFUNCTION("""COMPUTED_VALUE"""),189006.0)</f>
        <v>189006</v>
      </c>
    </row>
    <row r="510">
      <c r="A510" s="20">
        <f>IFERROR(__xludf.DUMMYFUNCTION("""COMPUTED_VALUE"""),1013.0)</f>
        <v>1013</v>
      </c>
      <c r="B510" s="20" t="str">
        <f>IFERROR(__xludf.DUMMYFUNCTION("""COMPUTED_VALUE"""),"Fibonacci Number")</f>
        <v>Fibonacci Number</v>
      </c>
      <c r="C510" s="20" t="str">
        <f>IFERROR(__xludf.DUMMYFUNCTION("""COMPUTED_VALUE"""),"fibonacci-number")</f>
        <v>fibonacci-number</v>
      </c>
      <c r="D510" s="20" t="b">
        <f>IFERROR(__xludf.DUMMYFUNCTION("""COMPUTED_VALUE"""),FALSE)</f>
        <v>0</v>
      </c>
      <c r="E510" s="20" t="str">
        <f>IFERROR(__xludf.DUMMYFUNCTION("""COMPUTED_VALUE"""),"Easy")</f>
        <v>Easy</v>
      </c>
      <c r="F510" s="20">
        <f>IFERROR(__xludf.DUMMYFUNCTION("""COMPUTED_VALUE"""),5857.0)</f>
        <v>5857</v>
      </c>
      <c r="G510" s="20">
        <f>IFERROR(__xludf.DUMMYFUNCTION("""COMPUTED_VALUE"""),302.0)</f>
        <v>302</v>
      </c>
      <c r="H510" s="20" t="str">
        <f>IFERROR(__xludf.DUMMYFUNCTION("""COMPUTED_VALUE"""),"Algorithms")</f>
        <v>Algorithms</v>
      </c>
      <c r="I510" s="20">
        <f>IFERROR(__xludf.DUMMYFUNCTION("""COMPUTED_VALUE"""),0.694)</f>
        <v>0.694</v>
      </c>
      <c r="J510" s="20">
        <f>IFERROR(__xludf.DUMMYFUNCTION("""COMPUTED_VALUE"""),509.0)</f>
        <v>509</v>
      </c>
      <c r="K510" s="20" t="b">
        <f>IFERROR(__xludf.DUMMYFUNCTION("""COMPUTED_VALUE"""),FALSE)</f>
        <v>0</v>
      </c>
      <c r="L510" s="20" t="str">
        <f>IFERROR(__xludf.DUMMYFUNCTION("""COMPUTED_VALUE"""),"Math;Dynamic Programming;Recursion;Memoization;")</f>
        <v>Math;Dynamic Programming;Recursion;Memoization;</v>
      </c>
      <c r="M510" s="20" t="b">
        <f>IFERROR(__xludf.DUMMYFUNCTION("""COMPUTED_VALUE"""),TRUE)</f>
        <v>1</v>
      </c>
      <c r="N510" s="20" t="b">
        <f>IFERROR(__xludf.DUMMYFUNCTION("""COMPUTED_VALUE"""),FALSE)</f>
        <v>0</v>
      </c>
      <c r="O510" s="20">
        <f>IFERROR(__xludf.DUMMYFUNCTION("""COMPUTED_VALUE"""),69.3826847434438)</f>
        <v>69.38268474</v>
      </c>
      <c r="P510" s="20">
        <f>IFERROR(__xludf.DUMMYFUNCTION("""COMPUTED_VALUE"""),1176513.0)</f>
        <v>1176513</v>
      </c>
      <c r="Q510" s="20">
        <f>IFERROR(__xludf.DUMMYFUNCTION("""COMPUTED_VALUE"""),1695691.0)</f>
        <v>1695691</v>
      </c>
    </row>
    <row r="511">
      <c r="A511" s="20">
        <f>IFERROR(__xludf.DUMMYFUNCTION("""COMPUTED_VALUE"""),509.0)</f>
        <v>509</v>
      </c>
      <c r="B511" s="20" t="str">
        <f>IFERROR(__xludf.DUMMYFUNCTION("""COMPUTED_VALUE"""),"Inorder Successor in BST II")</f>
        <v>Inorder Successor in BST II</v>
      </c>
      <c r="C511" s="20" t="str">
        <f>IFERROR(__xludf.DUMMYFUNCTION("""COMPUTED_VALUE"""),"inorder-successor-in-bst-ii")</f>
        <v>inorder-successor-in-bst-ii</v>
      </c>
      <c r="D511" s="20" t="b">
        <f>IFERROR(__xludf.DUMMYFUNCTION("""COMPUTED_VALUE"""),TRUE)</f>
        <v>1</v>
      </c>
      <c r="E511" s="20" t="str">
        <f>IFERROR(__xludf.DUMMYFUNCTION("""COMPUTED_VALUE"""),"Medium")</f>
        <v>Medium</v>
      </c>
      <c r="F511" s="20">
        <f>IFERROR(__xludf.DUMMYFUNCTION("""COMPUTED_VALUE"""),809.0)</f>
        <v>809</v>
      </c>
      <c r="G511" s="20">
        <f>IFERROR(__xludf.DUMMYFUNCTION("""COMPUTED_VALUE"""),39.0)</f>
        <v>39</v>
      </c>
      <c r="H511" s="20" t="str">
        <f>IFERROR(__xludf.DUMMYFUNCTION("""COMPUTED_VALUE"""),"Algorithms")</f>
        <v>Algorithms</v>
      </c>
      <c r="I511" s="20">
        <f>IFERROR(__xludf.DUMMYFUNCTION("""COMPUTED_VALUE"""),0.611)</f>
        <v>0.611</v>
      </c>
      <c r="J511" s="20">
        <f>IFERROR(__xludf.DUMMYFUNCTION("""COMPUTED_VALUE"""),510.0)</f>
        <v>510</v>
      </c>
      <c r="K511" s="20" t="b">
        <f>IFERROR(__xludf.DUMMYFUNCTION("""COMPUTED_VALUE"""),TRUE)</f>
        <v>1</v>
      </c>
      <c r="L511" s="20" t="str">
        <f>IFERROR(__xludf.DUMMYFUNCTION("""COMPUTED_VALUE"""),"Tree;Binary Search Tree;Binary Tree;")</f>
        <v>Tree;Binary Search Tree;Binary Tree;</v>
      </c>
      <c r="M511" s="20" t="b">
        <f>IFERROR(__xludf.DUMMYFUNCTION("""COMPUTED_VALUE"""),TRUE)</f>
        <v>1</v>
      </c>
      <c r="N511" s="20" t="b">
        <f>IFERROR(__xludf.DUMMYFUNCTION("""COMPUTED_VALUE"""),FALSE)</f>
        <v>0</v>
      </c>
      <c r="O511" s="20">
        <f>IFERROR(__xludf.DUMMYFUNCTION("""COMPUTED_VALUE"""),61.0827986052365)</f>
        <v>61.08279861</v>
      </c>
      <c r="P511" s="20">
        <f>IFERROR(__xludf.DUMMYFUNCTION("""COMPUTED_VALUE"""),59210.0)</f>
        <v>59210</v>
      </c>
      <c r="Q511" s="20">
        <f>IFERROR(__xludf.DUMMYFUNCTION("""COMPUTED_VALUE"""),96934.0)</f>
        <v>96934</v>
      </c>
    </row>
    <row r="512">
      <c r="A512" s="20">
        <f>IFERROR(__xludf.DUMMYFUNCTION("""COMPUTED_VALUE"""),1179.0)</f>
        <v>1179</v>
      </c>
      <c r="B512" s="20" t="str">
        <f>IFERROR(__xludf.DUMMYFUNCTION("""COMPUTED_VALUE"""),"Game Play Analysis I")</f>
        <v>Game Play Analysis I</v>
      </c>
      <c r="C512" s="20" t="str">
        <f>IFERROR(__xludf.DUMMYFUNCTION("""COMPUTED_VALUE"""),"game-play-analysis-i")</f>
        <v>game-play-analysis-i</v>
      </c>
      <c r="D512" s="20" t="b">
        <f>IFERROR(__xludf.DUMMYFUNCTION("""COMPUTED_VALUE"""),FALSE)</f>
        <v>0</v>
      </c>
      <c r="E512" s="20" t="str">
        <f>IFERROR(__xludf.DUMMYFUNCTION("""COMPUTED_VALUE"""),"Easy")</f>
        <v>Easy</v>
      </c>
      <c r="F512" s="20">
        <f>IFERROR(__xludf.DUMMYFUNCTION("""COMPUTED_VALUE"""),484.0)</f>
        <v>484</v>
      </c>
      <c r="G512" s="20">
        <f>IFERROR(__xludf.DUMMYFUNCTION("""COMPUTED_VALUE"""),19.0)</f>
        <v>19</v>
      </c>
      <c r="H512" s="20" t="str">
        <f>IFERROR(__xludf.DUMMYFUNCTION("""COMPUTED_VALUE"""),"Database")</f>
        <v>Database</v>
      </c>
      <c r="I512" s="20">
        <f>IFERROR(__xludf.DUMMYFUNCTION("""COMPUTED_VALUE"""),0.775)</f>
        <v>0.775</v>
      </c>
      <c r="J512" s="20">
        <f>IFERROR(__xludf.DUMMYFUNCTION("""COMPUTED_VALUE"""),511.0)</f>
        <v>511</v>
      </c>
      <c r="K512" s="20" t="b">
        <f>IFERROR(__xludf.DUMMYFUNCTION("""COMPUTED_VALUE"""),FALSE)</f>
        <v>0</v>
      </c>
      <c r="L512" s="20" t="str">
        <f>IFERROR(__xludf.DUMMYFUNCTION("""COMPUTED_VALUE"""),"Database;")</f>
        <v>Database;</v>
      </c>
      <c r="M512" s="20" t="b">
        <f>IFERROR(__xludf.DUMMYFUNCTION("""COMPUTED_VALUE"""),TRUE)</f>
        <v>1</v>
      </c>
      <c r="N512" s="20" t="b">
        <f>IFERROR(__xludf.DUMMYFUNCTION("""COMPUTED_VALUE"""),FALSE)</f>
        <v>0</v>
      </c>
      <c r="O512" s="20">
        <f>IFERROR(__xludf.DUMMYFUNCTION("""COMPUTED_VALUE"""),77.4803650913002)</f>
        <v>77.48036509</v>
      </c>
      <c r="P512" s="20">
        <f>IFERROR(__xludf.DUMMYFUNCTION("""COMPUTED_VALUE"""),141167.0)</f>
        <v>141167</v>
      </c>
      <c r="Q512" s="20">
        <f>IFERROR(__xludf.DUMMYFUNCTION("""COMPUTED_VALUE"""),182198.0)</f>
        <v>182198</v>
      </c>
    </row>
    <row r="513">
      <c r="A513" s="20">
        <f>IFERROR(__xludf.DUMMYFUNCTION("""COMPUTED_VALUE"""),1180.0)</f>
        <v>1180</v>
      </c>
      <c r="B513" s="20" t="str">
        <f>IFERROR(__xludf.DUMMYFUNCTION("""COMPUTED_VALUE"""),"Game Play Analysis II")</f>
        <v>Game Play Analysis II</v>
      </c>
      <c r="C513" s="20" t="str">
        <f>IFERROR(__xludf.DUMMYFUNCTION("""COMPUTED_VALUE"""),"game-play-analysis-ii")</f>
        <v>game-play-analysis-ii</v>
      </c>
      <c r="D513" s="20" t="b">
        <f>IFERROR(__xludf.DUMMYFUNCTION("""COMPUTED_VALUE"""),TRUE)</f>
        <v>1</v>
      </c>
      <c r="E513" s="20" t="str">
        <f>IFERROR(__xludf.DUMMYFUNCTION("""COMPUTED_VALUE"""),"Easy")</f>
        <v>Easy</v>
      </c>
      <c r="F513" s="20">
        <f>IFERROR(__xludf.DUMMYFUNCTION("""COMPUTED_VALUE"""),214.0)</f>
        <v>214</v>
      </c>
      <c r="G513" s="20">
        <f>IFERROR(__xludf.DUMMYFUNCTION("""COMPUTED_VALUE"""),37.0)</f>
        <v>37</v>
      </c>
      <c r="H513" s="20" t="str">
        <f>IFERROR(__xludf.DUMMYFUNCTION("""COMPUTED_VALUE"""),"Database")</f>
        <v>Database</v>
      </c>
      <c r="I513" s="20">
        <f>IFERROR(__xludf.DUMMYFUNCTION("""COMPUTED_VALUE"""),0.537)</f>
        <v>0.537</v>
      </c>
      <c r="J513" s="20">
        <f>IFERROR(__xludf.DUMMYFUNCTION("""COMPUTED_VALUE"""),512.0)</f>
        <v>512</v>
      </c>
      <c r="K513" s="20" t="b">
        <f>IFERROR(__xludf.DUMMYFUNCTION("""COMPUTED_VALUE"""),TRUE)</f>
        <v>1</v>
      </c>
      <c r="L513" s="20" t="str">
        <f>IFERROR(__xludf.DUMMYFUNCTION("""COMPUTED_VALUE"""),"Database;")</f>
        <v>Database;</v>
      </c>
      <c r="M513" s="20" t="b">
        <f>IFERROR(__xludf.DUMMYFUNCTION("""COMPUTED_VALUE"""),TRUE)</f>
        <v>1</v>
      </c>
      <c r="N513" s="20" t="b">
        <f>IFERROR(__xludf.DUMMYFUNCTION("""COMPUTED_VALUE"""),FALSE)</f>
        <v>0</v>
      </c>
      <c r="O513" s="20">
        <f>IFERROR(__xludf.DUMMYFUNCTION("""COMPUTED_VALUE"""),53.6537664186752)</f>
        <v>53.65376642</v>
      </c>
      <c r="P513" s="20">
        <f>IFERROR(__xludf.DUMMYFUNCTION("""COMPUTED_VALUE"""),68584.0)</f>
        <v>68584</v>
      </c>
      <c r="Q513" s="20">
        <f>IFERROR(__xludf.DUMMYFUNCTION("""COMPUTED_VALUE"""),127827.0)</f>
        <v>127827</v>
      </c>
    </row>
    <row r="514">
      <c r="A514" s="20">
        <f>IFERROR(__xludf.DUMMYFUNCTION("""COMPUTED_VALUE"""),513.0)</f>
        <v>513</v>
      </c>
      <c r="B514" s="20" t="str">
        <f>IFERROR(__xludf.DUMMYFUNCTION("""COMPUTED_VALUE"""),"Find Bottom Left Tree Value")</f>
        <v>Find Bottom Left Tree Value</v>
      </c>
      <c r="C514" s="20" t="str">
        <f>IFERROR(__xludf.DUMMYFUNCTION("""COMPUTED_VALUE"""),"find-bottom-left-tree-value")</f>
        <v>find-bottom-left-tree-value</v>
      </c>
      <c r="D514" s="20" t="b">
        <f>IFERROR(__xludf.DUMMYFUNCTION("""COMPUTED_VALUE"""),FALSE)</f>
        <v>0</v>
      </c>
      <c r="E514" s="20" t="str">
        <f>IFERROR(__xludf.DUMMYFUNCTION("""COMPUTED_VALUE"""),"Medium")</f>
        <v>Medium</v>
      </c>
      <c r="F514" s="20">
        <f>IFERROR(__xludf.DUMMYFUNCTION("""COMPUTED_VALUE"""),2678.0)</f>
        <v>2678</v>
      </c>
      <c r="G514" s="20">
        <f>IFERROR(__xludf.DUMMYFUNCTION("""COMPUTED_VALUE"""),237.0)</f>
        <v>237</v>
      </c>
      <c r="H514" s="20" t="str">
        <f>IFERROR(__xludf.DUMMYFUNCTION("""COMPUTED_VALUE"""),"Algorithms")</f>
        <v>Algorithms</v>
      </c>
      <c r="I514" s="20">
        <f>IFERROR(__xludf.DUMMYFUNCTION("""COMPUTED_VALUE"""),0.666)</f>
        <v>0.666</v>
      </c>
      <c r="J514" s="20">
        <f>IFERROR(__xludf.DUMMYFUNCTION("""COMPUTED_VALUE"""),513.0)</f>
        <v>513</v>
      </c>
      <c r="K514" s="20" t="b">
        <f>IFERROR(__xludf.DUMMYFUNCTION("""COMPUTED_VALUE"""),FALSE)</f>
        <v>0</v>
      </c>
      <c r="L514" s="20" t="str">
        <f>IFERROR(__xludf.DUMMYFUNCTION("""COMPUTED_VALUE"""),"Tree;Depth-First Search;Breadth-First Search;Binary Tree;")</f>
        <v>Tree;Depth-First Search;Breadth-First Search;Binary Tree;</v>
      </c>
      <c r="M514" s="20" t="b">
        <f>IFERROR(__xludf.DUMMYFUNCTION("""COMPUTED_VALUE"""),FALSE)</f>
        <v>0</v>
      </c>
      <c r="N514" s="20" t="b">
        <f>IFERROR(__xludf.DUMMYFUNCTION("""COMPUTED_VALUE"""),FALSE)</f>
        <v>0</v>
      </c>
      <c r="O514" s="20">
        <f>IFERROR(__xludf.DUMMYFUNCTION("""COMPUTED_VALUE"""),66.591928251121)</f>
        <v>66.59192825</v>
      </c>
      <c r="P514" s="20">
        <f>IFERROR(__xludf.DUMMYFUNCTION("""COMPUTED_VALUE"""),201069.0)</f>
        <v>201069</v>
      </c>
      <c r="Q514" s="20">
        <f>IFERROR(__xludf.DUMMYFUNCTION("""COMPUTED_VALUE"""),301942.0)</f>
        <v>301942</v>
      </c>
    </row>
    <row r="515">
      <c r="A515" s="20">
        <f>IFERROR(__xludf.DUMMYFUNCTION("""COMPUTED_VALUE"""),514.0)</f>
        <v>514</v>
      </c>
      <c r="B515" s="20" t="str">
        <f>IFERROR(__xludf.DUMMYFUNCTION("""COMPUTED_VALUE"""),"Freedom Trail")</f>
        <v>Freedom Trail</v>
      </c>
      <c r="C515" s="20" t="str">
        <f>IFERROR(__xludf.DUMMYFUNCTION("""COMPUTED_VALUE"""),"freedom-trail")</f>
        <v>freedom-trail</v>
      </c>
      <c r="D515" s="20" t="b">
        <f>IFERROR(__xludf.DUMMYFUNCTION("""COMPUTED_VALUE"""),FALSE)</f>
        <v>0</v>
      </c>
      <c r="E515" s="20" t="str">
        <f>IFERROR(__xludf.DUMMYFUNCTION("""COMPUTED_VALUE"""),"Hard")</f>
        <v>Hard</v>
      </c>
      <c r="F515" s="20">
        <f>IFERROR(__xludf.DUMMYFUNCTION("""COMPUTED_VALUE"""),789.0)</f>
        <v>789</v>
      </c>
      <c r="G515" s="20">
        <f>IFERROR(__xludf.DUMMYFUNCTION("""COMPUTED_VALUE"""),35.0)</f>
        <v>35</v>
      </c>
      <c r="H515" s="20" t="str">
        <f>IFERROR(__xludf.DUMMYFUNCTION("""COMPUTED_VALUE"""),"Algorithms")</f>
        <v>Algorithms</v>
      </c>
      <c r="I515" s="20">
        <f>IFERROR(__xludf.DUMMYFUNCTION("""COMPUTED_VALUE"""),0.468)</f>
        <v>0.468</v>
      </c>
      <c r="J515" s="20">
        <f>IFERROR(__xludf.DUMMYFUNCTION("""COMPUTED_VALUE"""),514.0)</f>
        <v>514</v>
      </c>
      <c r="K515" s="20" t="b">
        <f>IFERROR(__xludf.DUMMYFUNCTION("""COMPUTED_VALUE"""),FALSE)</f>
        <v>0</v>
      </c>
      <c r="L515" s="20" t="str">
        <f>IFERROR(__xludf.DUMMYFUNCTION("""COMPUTED_VALUE"""),"String;Dynamic Programming;Depth-First Search;Breadth-First Search;")</f>
        <v>String;Dynamic Programming;Depth-First Search;Breadth-First Search;</v>
      </c>
      <c r="M515" s="20" t="b">
        <f>IFERROR(__xludf.DUMMYFUNCTION("""COMPUTED_VALUE"""),FALSE)</f>
        <v>0</v>
      </c>
      <c r="N515" s="20" t="b">
        <f>IFERROR(__xludf.DUMMYFUNCTION("""COMPUTED_VALUE"""),FALSE)</f>
        <v>0</v>
      </c>
      <c r="O515" s="20">
        <f>IFERROR(__xludf.DUMMYFUNCTION("""COMPUTED_VALUE"""),46.8284661530497)</f>
        <v>46.82846615</v>
      </c>
      <c r="P515" s="20">
        <f>IFERROR(__xludf.DUMMYFUNCTION("""COMPUTED_VALUE"""),30756.0)</f>
        <v>30756</v>
      </c>
      <c r="Q515" s="20">
        <f>IFERROR(__xludf.DUMMYFUNCTION("""COMPUTED_VALUE"""),65678.0)</f>
        <v>65678</v>
      </c>
    </row>
    <row r="516">
      <c r="A516" s="20">
        <f>IFERROR(__xludf.DUMMYFUNCTION("""COMPUTED_VALUE"""),515.0)</f>
        <v>515</v>
      </c>
      <c r="B516" s="20" t="str">
        <f>IFERROR(__xludf.DUMMYFUNCTION("""COMPUTED_VALUE"""),"Find Largest Value in Each Tree Row")</f>
        <v>Find Largest Value in Each Tree Row</v>
      </c>
      <c r="C516" s="20" t="str">
        <f>IFERROR(__xludf.DUMMYFUNCTION("""COMPUTED_VALUE"""),"find-largest-value-in-each-tree-row")</f>
        <v>find-largest-value-in-each-tree-row</v>
      </c>
      <c r="D516" s="20" t="b">
        <f>IFERROR(__xludf.DUMMYFUNCTION("""COMPUTED_VALUE"""),FALSE)</f>
        <v>0</v>
      </c>
      <c r="E516" s="20" t="str">
        <f>IFERROR(__xludf.DUMMYFUNCTION("""COMPUTED_VALUE"""),"Medium")</f>
        <v>Medium</v>
      </c>
      <c r="F516" s="20">
        <f>IFERROR(__xludf.DUMMYFUNCTION("""COMPUTED_VALUE"""),2483.0)</f>
        <v>2483</v>
      </c>
      <c r="G516" s="20">
        <f>IFERROR(__xludf.DUMMYFUNCTION("""COMPUTED_VALUE"""),93.0)</f>
        <v>93</v>
      </c>
      <c r="H516" s="20" t="str">
        <f>IFERROR(__xludf.DUMMYFUNCTION("""COMPUTED_VALUE"""),"Algorithms")</f>
        <v>Algorithms</v>
      </c>
      <c r="I516" s="20">
        <f>IFERROR(__xludf.DUMMYFUNCTION("""COMPUTED_VALUE"""),0.646)</f>
        <v>0.646</v>
      </c>
      <c r="J516" s="20">
        <f>IFERROR(__xludf.DUMMYFUNCTION("""COMPUTED_VALUE"""),515.0)</f>
        <v>515</v>
      </c>
      <c r="K516" s="20" t="b">
        <f>IFERROR(__xludf.DUMMYFUNCTION("""COMPUTED_VALUE"""),FALSE)</f>
        <v>0</v>
      </c>
      <c r="L516" s="20" t="str">
        <f>IFERROR(__xludf.DUMMYFUNCTION("""COMPUTED_VALUE"""),"Tree;Depth-First Search;Breadth-First Search;Binary Tree;")</f>
        <v>Tree;Depth-First Search;Breadth-First Search;Binary Tree;</v>
      </c>
      <c r="M516" s="20" t="b">
        <f>IFERROR(__xludf.DUMMYFUNCTION("""COMPUTED_VALUE"""),FALSE)</f>
        <v>0</v>
      </c>
      <c r="N516" s="20" t="b">
        <f>IFERROR(__xludf.DUMMYFUNCTION("""COMPUTED_VALUE"""),FALSE)</f>
        <v>0</v>
      </c>
      <c r="O516" s="20">
        <f>IFERROR(__xludf.DUMMYFUNCTION("""COMPUTED_VALUE"""),64.6154805602081)</f>
        <v>64.61548056</v>
      </c>
      <c r="P516" s="20">
        <f>IFERROR(__xludf.DUMMYFUNCTION("""COMPUTED_VALUE"""),217578.0)</f>
        <v>217578</v>
      </c>
      <c r="Q516" s="20">
        <f>IFERROR(__xludf.DUMMYFUNCTION("""COMPUTED_VALUE"""),336729.0)</f>
        <v>336729</v>
      </c>
    </row>
    <row r="517">
      <c r="A517" s="20">
        <f>IFERROR(__xludf.DUMMYFUNCTION("""COMPUTED_VALUE"""),516.0)</f>
        <v>516</v>
      </c>
      <c r="B517" s="20" t="str">
        <f>IFERROR(__xludf.DUMMYFUNCTION("""COMPUTED_VALUE"""),"Longest Palindromic Subsequence")</f>
        <v>Longest Palindromic Subsequence</v>
      </c>
      <c r="C517" s="20" t="str">
        <f>IFERROR(__xludf.DUMMYFUNCTION("""COMPUTED_VALUE"""),"longest-palindromic-subsequence")</f>
        <v>longest-palindromic-subsequence</v>
      </c>
      <c r="D517" s="20" t="b">
        <f>IFERROR(__xludf.DUMMYFUNCTION("""COMPUTED_VALUE"""),FALSE)</f>
        <v>0</v>
      </c>
      <c r="E517" s="20" t="str">
        <f>IFERROR(__xludf.DUMMYFUNCTION("""COMPUTED_VALUE"""),"Medium")</f>
        <v>Medium</v>
      </c>
      <c r="F517" s="20">
        <f>IFERROR(__xludf.DUMMYFUNCTION("""COMPUTED_VALUE"""),6718.0)</f>
        <v>6718</v>
      </c>
      <c r="G517" s="20">
        <f>IFERROR(__xludf.DUMMYFUNCTION("""COMPUTED_VALUE"""),271.0)</f>
        <v>271</v>
      </c>
      <c r="H517" s="20" t="str">
        <f>IFERROR(__xludf.DUMMYFUNCTION("""COMPUTED_VALUE"""),"Algorithms")</f>
        <v>Algorithms</v>
      </c>
      <c r="I517" s="20">
        <f>IFERROR(__xludf.DUMMYFUNCTION("""COMPUTED_VALUE"""),0.608)</f>
        <v>0.608</v>
      </c>
      <c r="J517" s="20">
        <f>IFERROR(__xludf.DUMMYFUNCTION("""COMPUTED_VALUE"""),516.0)</f>
        <v>516</v>
      </c>
      <c r="K517" s="20" t="b">
        <f>IFERROR(__xludf.DUMMYFUNCTION("""COMPUTED_VALUE"""),FALSE)</f>
        <v>0</v>
      </c>
      <c r="L517" s="20" t="str">
        <f>IFERROR(__xludf.DUMMYFUNCTION("""COMPUTED_VALUE"""),"String;Dynamic Programming;")</f>
        <v>String;Dynamic Programming;</v>
      </c>
      <c r="M517" s="20" t="b">
        <f>IFERROR(__xludf.DUMMYFUNCTION("""COMPUTED_VALUE"""),FALSE)</f>
        <v>0</v>
      </c>
      <c r="N517" s="20" t="b">
        <f>IFERROR(__xludf.DUMMYFUNCTION("""COMPUTED_VALUE"""),FALSE)</f>
        <v>0</v>
      </c>
      <c r="O517" s="20">
        <f>IFERROR(__xludf.DUMMYFUNCTION("""COMPUTED_VALUE"""),60.7923703988235)</f>
        <v>60.7923704</v>
      </c>
      <c r="P517" s="20">
        <f>IFERROR(__xludf.DUMMYFUNCTION("""COMPUTED_VALUE"""),313361.0)</f>
        <v>313361</v>
      </c>
      <c r="Q517" s="20">
        <f>IFERROR(__xludf.DUMMYFUNCTION("""COMPUTED_VALUE"""),515463.0)</f>
        <v>515463</v>
      </c>
    </row>
    <row r="518">
      <c r="A518" s="20">
        <f>IFERROR(__xludf.DUMMYFUNCTION("""COMPUTED_VALUE"""),517.0)</f>
        <v>517</v>
      </c>
      <c r="B518" s="20" t="str">
        <f>IFERROR(__xludf.DUMMYFUNCTION("""COMPUTED_VALUE"""),"Super Washing Machines")</f>
        <v>Super Washing Machines</v>
      </c>
      <c r="C518" s="20" t="str">
        <f>IFERROR(__xludf.DUMMYFUNCTION("""COMPUTED_VALUE"""),"super-washing-machines")</f>
        <v>super-washing-machines</v>
      </c>
      <c r="D518" s="20" t="b">
        <f>IFERROR(__xludf.DUMMYFUNCTION("""COMPUTED_VALUE"""),FALSE)</f>
        <v>0</v>
      </c>
      <c r="E518" s="20" t="str">
        <f>IFERROR(__xludf.DUMMYFUNCTION("""COMPUTED_VALUE"""),"Hard")</f>
        <v>Hard</v>
      </c>
      <c r="F518" s="20">
        <f>IFERROR(__xludf.DUMMYFUNCTION("""COMPUTED_VALUE"""),630.0)</f>
        <v>630</v>
      </c>
      <c r="G518" s="20">
        <f>IFERROR(__xludf.DUMMYFUNCTION("""COMPUTED_VALUE"""),199.0)</f>
        <v>199</v>
      </c>
      <c r="H518" s="20" t="str">
        <f>IFERROR(__xludf.DUMMYFUNCTION("""COMPUTED_VALUE"""),"Algorithms")</f>
        <v>Algorithms</v>
      </c>
      <c r="I518" s="20">
        <f>IFERROR(__xludf.DUMMYFUNCTION("""COMPUTED_VALUE"""),0.401)</f>
        <v>0.401</v>
      </c>
      <c r="J518" s="20">
        <f>IFERROR(__xludf.DUMMYFUNCTION("""COMPUTED_VALUE"""),517.0)</f>
        <v>517</v>
      </c>
      <c r="K518" s="20" t="b">
        <f>IFERROR(__xludf.DUMMYFUNCTION("""COMPUTED_VALUE"""),FALSE)</f>
        <v>0</v>
      </c>
      <c r="L518" s="20" t="str">
        <f>IFERROR(__xludf.DUMMYFUNCTION("""COMPUTED_VALUE"""),"Array;Greedy;")</f>
        <v>Array;Greedy;</v>
      </c>
      <c r="M518" s="20" t="b">
        <f>IFERROR(__xludf.DUMMYFUNCTION("""COMPUTED_VALUE"""),FALSE)</f>
        <v>0</v>
      </c>
      <c r="N518" s="20" t="b">
        <f>IFERROR(__xludf.DUMMYFUNCTION("""COMPUTED_VALUE"""),FALSE)</f>
        <v>0</v>
      </c>
      <c r="O518" s="20">
        <f>IFERROR(__xludf.DUMMYFUNCTION("""COMPUTED_VALUE"""),40.1430998431782)</f>
        <v>40.14309984</v>
      </c>
      <c r="P518" s="20">
        <f>IFERROR(__xludf.DUMMYFUNCTION("""COMPUTED_VALUE"""),24574.0)</f>
        <v>24574</v>
      </c>
      <c r="Q518" s="20">
        <f>IFERROR(__xludf.DUMMYFUNCTION("""COMPUTED_VALUE"""),61216.0)</f>
        <v>61216</v>
      </c>
    </row>
    <row r="519">
      <c r="A519" s="20">
        <f>IFERROR(__xludf.DUMMYFUNCTION("""COMPUTED_VALUE"""),518.0)</f>
        <v>518</v>
      </c>
      <c r="B519" s="20" t="str">
        <f>IFERROR(__xludf.DUMMYFUNCTION("""COMPUTED_VALUE"""),"Coin Change II")</f>
        <v>Coin Change II</v>
      </c>
      <c r="C519" s="20" t="str">
        <f>IFERROR(__xludf.DUMMYFUNCTION("""COMPUTED_VALUE"""),"coin-change-ii")</f>
        <v>coin-change-ii</v>
      </c>
      <c r="D519" s="20" t="b">
        <f>IFERROR(__xludf.DUMMYFUNCTION("""COMPUTED_VALUE"""),FALSE)</f>
        <v>0</v>
      </c>
      <c r="E519" s="20" t="str">
        <f>IFERROR(__xludf.DUMMYFUNCTION("""COMPUTED_VALUE"""),"Medium")</f>
        <v>Medium</v>
      </c>
      <c r="F519" s="20">
        <f>IFERROR(__xludf.DUMMYFUNCTION("""COMPUTED_VALUE"""),6630.0)</f>
        <v>6630</v>
      </c>
      <c r="G519" s="20">
        <f>IFERROR(__xludf.DUMMYFUNCTION("""COMPUTED_VALUE"""),120.0)</f>
        <v>120</v>
      </c>
      <c r="H519" s="20" t="str">
        <f>IFERROR(__xludf.DUMMYFUNCTION("""COMPUTED_VALUE"""),"Algorithms")</f>
        <v>Algorithms</v>
      </c>
      <c r="I519" s="20">
        <f>IFERROR(__xludf.DUMMYFUNCTION("""COMPUTED_VALUE"""),0.601)</f>
        <v>0.601</v>
      </c>
      <c r="J519" s="20">
        <f>IFERROR(__xludf.DUMMYFUNCTION("""COMPUTED_VALUE"""),518.0)</f>
        <v>518</v>
      </c>
      <c r="K519" s="20" t="b">
        <f>IFERROR(__xludf.DUMMYFUNCTION("""COMPUTED_VALUE"""),FALSE)</f>
        <v>0</v>
      </c>
      <c r="L519" s="20" t="str">
        <f>IFERROR(__xludf.DUMMYFUNCTION("""COMPUTED_VALUE"""),"Array;Dynamic Programming;")</f>
        <v>Array;Dynamic Programming;</v>
      </c>
      <c r="M519" s="20" t="b">
        <f>IFERROR(__xludf.DUMMYFUNCTION("""COMPUTED_VALUE"""),TRUE)</f>
        <v>1</v>
      </c>
      <c r="N519" s="20" t="b">
        <f>IFERROR(__xludf.DUMMYFUNCTION("""COMPUTED_VALUE"""),FALSE)</f>
        <v>0</v>
      </c>
      <c r="O519" s="20">
        <f>IFERROR(__xludf.DUMMYFUNCTION("""COMPUTED_VALUE"""),60.0926646803909)</f>
        <v>60.09266468</v>
      </c>
      <c r="P519" s="20">
        <f>IFERROR(__xludf.DUMMYFUNCTION("""COMPUTED_VALUE"""),378975.0)</f>
        <v>378975</v>
      </c>
      <c r="Q519" s="20">
        <f>IFERROR(__xludf.DUMMYFUNCTION("""COMPUTED_VALUE"""),630652.0)</f>
        <v>630652</v>
      </c>
    </row>
    <row r="520">
      <c r="A520" s="20">
        <f>IFERROR(__xludf.DUMMYFUNCTION("""COMPUTED_VALUE"""),913.0)</f>
        <v>913</v>
      </c>
      <c r="B520" s="20" t="str">
        <f>IFERROR(__xludf.DUMMYFUNCTION("""COMPUTED_VALUE"""),"Random Flip Matrix")</f>
        <v>Random Flip Matrix</v>
      </c>
      <c r="C520" s="20" t="str">
        <f>IFERROR(__xludf.DUMMYFUNCTION("""COMPUTED_VALUE"""),"random-flip-matrix")</f>
        <v>random-flip-matrix</v>
      </c>
      <c r="D520" s="20" t="b">
        <f>IFERROR(__xludf.DUMMYFUNCTION("""COMPUTED_VALUE"""),FALSE)</f>
        <v>0</v>
      </c>
      <c r="E520" s="20" t="str">
        <f>IFERROR(__xludf.DUMMYFUNCTION("""COMPUTED_VALUE"""),"Medium")</f>
        <v>Medium</v>
      </c>
      <c r="F520" s="20">
        <f>IFERROR(__xludf.DUMMYFUNCTION("""COMPUTED_VALUE"""),344.0)</f>
        <v>344</v>
      </c>
      <c r="G520" s="20">
        <f>IFERROR(__xludf.DUMMYFUNCTION("""COMPUTED_VALUE"""),97.0)</f>
        <v>97</v>
      </c>
      <c r="H520" s="20" t="str">
        <f>IFERROR(__xludf.DUMMYFUNCTION("""COMPUTED_VALUE"""),"Algorithms")</f>
        <v>Algorithms</v>
      </c>
      <c r="I520" s="20">
        <f>IFERROR(__xludf.DUMMYFUNCTION("""COMPUTED_VALUE"""),0.4)</f>
        <v>0.4</v>
      </c>
      <c r="J520" s="20">
        <f>IFERROR(__xludf.DUMMYFUNCTION("""COMPUTED_VALUE"""),519.0)</f>
        <v>519</v>
      </c>
      <c r="K520" s="20" t="b">
        <f>IFERROR(__xludf.DUMMYFUNCTION("""COMPUTED_VALUE"""),FALSE)</f>
        <v>0</v>
      </c>
      <c r="L520" s="20" t="str">
        <f>IFERROR(__xludf.DUMMYFUNCTION("""COMPUTED_VALUE"""),"Hash Table;Math;Reservoir Sampling;Randomized;")</f>
        <v>Hash Table;Math;Reservoir Sampling;Randomized;</v>
      </c>
      <c r="M520" s="20" t="b">
        <f>IFERROR(__xludf.DUMMYFUNCTION("""COMPUTED_VALUE"""),TRUE)</f>
        <v>1</v>
      </c>
      <c r="N520" s="20" t="b">
        <f>IFERROR(__xludf.DUMMYFUNCTION("""COMPUTED_VALUE"""),FALSE)</f>
        <v>0</v>
      </c>
      <c r="O520" s="20">
        <f>IFERROR(__xludf.DUMMYFUNCTION("""COMPUTED_VALUE"""),39.9840259706799)</f>
        <v>39.98402597</v>
      </c>
      <c r="P520" s="20">
        <f>IFERROR(__xludf.DUMMYFUNCTION("""COMPUTED_VALUE"""),15518.0)</f>
        <v>15518</v>
      </c>
      <c r="Q520" s="20">
        <f>IFERROR(__xludf.DUMMYFUNCTION("""COMPUTED_VALUE"""),38811.0)</f>
        <v>38811</v>
      </c>
    </row>
    <row r="521">
      <c r="A521" s="20">
        <f>IFERROR(__xludf.DUMMYFUNCTION("""COMPUTED_VALUE"""),520.0)</f>
        <v>520</v>
      </c>
      <c r="B521" s="20" t="str">
        <f>IFERROR(__xludf.DUMMYFUNCTION("""COMPUTED_VALUE"""),"Detect Capital")</f>
        <v>Detect Capital</v>
      </c>
      <c r="C521" s="20" t="str">
        <f>IFERROR(__xludf.DUMMYFUNCTION("""COMPUTED_VALUE"""),"detect-capital")</f>
        <v>detect-capital</v>
      </c>
      <c r="D521" s="20" t="b">
        <f>IFERROR(__xludf.DUMMYFUNCTION("""COMPUTED_VALUE"""),FALSE)</f>
        <v>0</v>
      </c>
      <c r="E521" s="20" t="str">
        <f>IFERROR(__xludf.DUMMYFUNCTION("""COMPUTED_VALUE"""),"Easy")</f>
        <v>Easy</v>
      </c>
      <c r="F521" s="20">
        <f>IFERROR(__xludf.DUMMYFUNCTION("""COMPUTED_VALUE"""),2554.0)</f>
        <v>2554</v>
      </c>
      <c r="G521" s="20">
        <f>IFERROR(__xludf.DUMMYFUNCTION("""COMPUTED_VALUE"""),411.0)</f>
        <v>411</v>
      </c>
      <c r="H521" s="20" t="str">
        <f>IFERROR(__xludf.DUMMYFUNCTION("""COMPUTED_VALUE"""),"Algorithms")</f>
        <v>Algorithms</v>
      </c>
      <c r="I521" s="20">
        <f>IFERROR(__xludf.DUMMYFUNCTION("""COMPUTED_VALUE"""),0.566)</f>
        <v>0.566</v>
      </c>
      <c r="J521" s="20">
        <f>IFERROR(__xludf.DUMMYFUNCTION("""COMPUTED_VALUE"""),520.0)</f>
        <v>520</v>
      </c>
      <c r="K521" s="20" t="b">
        <f>IFERROR(__xludf.DUMMYFUNCTION("""COMPUTED_VALUE"""),FALSE)</f>
        <v>0</v>
      </c>
      <c r="L521" s="20" t="str">
        <f>IFERROR(__xludf.DUMMYFUNCTION("""COMPUTED_VALUE"""),"String;")</f>
        <v>String;</v>
      </c>
      <c r="M521" s="20" t="b">
        <f>IFERROR(__xludf.DUMMYFUNCTION("""COMPUTED_VALUE"""),TRUE)</f>
        <v>1</v>
      </c>
      <c r="N521" s="20" t="b">
        <f>IFERROR(__xludf.DUMMYFUNCTION("""COMPUTED_VALUE"""),FALSE)</f>
        <v>0</v>
      </c>
      <c r="O521" s="20">
        <f>IFERROR(__xludf.DUMMYFUNCTION("""COMPUTED_VALUE"""),56.5911333076169)</f>
        <v>56.59113331</v>
      </c>
      <c r="P521" s="20">
        <f>IFERROR(__xludf.DUMMYFUNCTION("""COMPUTED_VALUE"""),331560.0)</f>
        <v>331560</v>
      </c>
      <c r="Q521" s="20">
        <f>IFERROR(__xludf.DUMMYFUNCTION("""COMPUTED_VALUE"""),585884.0)</f>
        <v>585884</v>
      </c>
    </row>
    <row r="522">
      <c r="A522" s="20">
        <f>IFERROR(__xludf.DUMMYFUNCTION("""COMPUTED_VALUE"""),521.0)</f>
        <v>521</v>
      </c>
      <c r="B522" s="20" t="str">
        <f>IFERROR(__xludf.DUMMYFUNCTION("""COMPUTED_VALUE"""),"Longest Uncommon Subsequence I")</f>
        <v>Longest Uncommon Subsequence I</v>
      </c>
      <c r="C522" s="20" t="str">
        <f>IFERROR(__xludf.DUMMYFUNCTION("""COMPUTED_VALUE"""),"longest-uncommon-subsequence-i")</f>
        <v>longest-uncommon-subsequence-i</v>
      </c>
      <c r="D522" s="20" t="b">
        <f>IFERROR(__xludf.DUMMYFUNCTION("""COMPUTED_VALUE"""),FALSE)</f>
        <v>0</v>
      </c>
      <c r="E522" s="20" t="str">
        <f>IFERROR(__xludf.DUMMYFUNCTION("""COMPUTED_VALUE"""),"Easy")</f>
        <v>Easy</v>
      </c>
      <c r="F522" s="20">
        <f>IFERROR(__xludf.DUMMYFUNCTION("""COMPUTED_VALUE"""),676.0)</f>
        <v>676</v>
      </c>
      <c r="G522" s="20">
        <f>IFERROR(__xludf.DUMMYFUNCTION("""COMPUTED_VALUE"""),5986.0)</f>
        <v>5986</v>
      </c>
      <c r="H522" s="20" t="str">
        <f>IFERROR(__xludf.DUMMYFUNCTION("""COMPUTED_VALUE"""),"Algorithms")</f>
        <v>Algorithms</v>
      </c>
      <c r="I522" s="20">
        <f>IFERROR(__xludf.DUMMYFUNCTION("""COMPUTED_VALUE"""),0.603)</f>
        <v>0.603</v>
      </c>
      <c r="J522" s="20">
        <f>IFERROR(__xludf.DUMMYFUNCTION("""COMPUTED_VALUE"""),521.0)</f>
        <v>521</v>
      </c>
      <c r="K522" s="20" t="b">
        <f>IFERROR(__xludf.DUMMYFUNCTION("""COMPUTED_VALUE"""),FALSE)</f>
        <v>0</v>
      </c>
      <c r="L522" s="20" t="str">
        <f>IFERROR(__xludf.DUMMYFUNCTION("""COMPUTED_VALUE"""),"String;")</f>
        <v>String;</v>
      </c>
      <c r="M522" s="20" t="b">
        <f>IFERROR(__xludf.DUMMYFUNCTION("""COMPUTED_VALUE"""),TRUE)</f>
        <v>1</v>
      </c>
      <c r="N522" s="20" t="b">
        <f>IFERROR(__xludf.DUMMYFUNCTION("""COMPUTED_VALUE"""),FALSE)</f>
        <v>0</v>
      </c>
      <c r="O522" s="20">
        <f>IFERROR(__xludf.DUMMYFUNCTION("""COMPUTED_VALUE"""),60.3224710142085)</f>
        <v>60.32247101</v>
      </c>
      <c r="P522" s="20">
        <f>IFERROR(__xludf.DUMMYFUNCTION("""COMPUTED_VALUE"""),92277.0)</f>
        <v>92277</v>
      </c>
      <c r="Q522" s="20">
        <f>IFERROR(__xludf.DUMMYFUNCTION("""COMPUTED_VALUE"""),152970.0)</f>
        <v>152970</v>
      </c>
    </row>
    <row r="523">
      <c r="A523" s="20">
        <f>IFERROR(__xludf.DUMMYFUNCTION("""COMPUTED_VALUE"""),522.0)</f>
        <v>522</v>
      </c>
      <c r="B523" s="20" t="str">
        <f>IFERROR(__xludf.DUMMYFUNCTION("""COMPUTED_VALUE"""),"Longest Uncommon Subsequence II")</f>
        <v>Longest Uncommon Subsequence II</v>
      </c>
      <c r="C523" s="20" t="str">
        <f>IFERROR(__xludf.DUMMYFUNCTION("""COMPUTED_VALUE"""),"longest-uncommon-subsequence-ii")</f>
        <v>longest-uncommon-subsequence-ii</v>
      </c>
      <c r="D523" s="20" t="b">
        <f>IFERROR(__xludf.DUMMYFUNCTION("""COMPUTED_VALUE"""),FALSE)</f>
        <v>0</v>
      </c>
      <c r="E523" s="20" t="str">
        <f>IFERROR(__xludf.DUMMYFUNCTION("""COMPUTED_VALUE"""),"Medium")</f>
        <v>Medium</v>
      </c>
      <c r="F523" s="20">
        <f>IFERROR(__xludf.DUMMYFUNCTION("""COMPUTED_VALUE"""),428.0)</f>
        <v>428</v>
      </c>
      <c r="G523" s="20">
        <f>IFERROR(__xludf.DUMMYFUNCTION("""COMPUTED_VALUE"""),1175.0)</f>
        <v>1175</v>
      </c>
      <c r="H523" s="20" t="str">
        <f>IFERROR(__xludf.DUMMYFUNCTION("""COMPUTED_VALUE"""),"Algorithms")</f>
        <v>Algorithms</v>
      </c>
      <c r="I523" s="20">
        <f>IFERROR(__xludf.DUMMYFUNCTION("""COMPUTED_VALUE"""),0.404)</f>
        <v>0.404</v>
      </c>
      <c r="J523" s="20">
        <f>IFERROR(__xludf.DUMMYFUNCTION("""COMPUTED_VALUE"""),522.0)</f>
        <v>522</v>
      </c>
      <c r="K523" s="20" t="b">
        <f>IFERROR(__xludf.DUMMYFUNCTION("""COMPUTED_VALUE"""),FALSE)</f>
        <v>0</v>
      </c>
      <c r="L523" s="20" t="str">
        <f>IFERROR(__xludf.DUMMYFUNCTION("""COMPUTED_VALUE"""),"Array;Hash Table;Two Pointers;String;Sorting;")</f>
        <v>Array;Hash Table;Two Pointers;String;Sorting;</v>
      </c>
      <c r="M523" s="20" t="b">
        <f>IFERROR(__xludf.DUMMYFUNCTION("""COMPUTED_VALUE"""),TRUE)</f>
        <v>1</v>
      </c>
      <c r="N523" s="20" t="b">
        <f>IFERROR(__xludf.DUMMYFUNCTION("""COMPUTED_VALUE"""),FALSE)</f>
        <v>0</v>
      </c>
      <c r="O523" s="20">
        <f>IFERROR(__xludf.DUMMYFUNCTION("""COMPUTED_VALUE"""),40.4098828279282)</f>
        <v>40.40988283</v>
      </c>
      <c r="P523" s="20">
        <f>IFERROR(__xludf.DUMMYFUNCTION("""COMPUTED_VALUE"""),46034.0)</f>
        <v>46034</v>
      </c>
      <c r="Q523" s="20">
        <f>IFERROR(__xludf.DUMMYFUNCTION("""COMPUTED_VALUE"""),113927.0)</f>
        <v>113927</v>
      </c>
    </row>
    <row r="524">
      <c r="A524" s="20">
        <f>IFERROR(__xludf.DUMMYFUNCTION("""COMPUTED_VALUE"""),523.0)</f>
        <v>523</v>
      </c>
      <c r="B524" s="20" t="str">
        <f>IFERROR(__xludf.DUMMYFUNCTION("""COMPUTED_VALUE"""),"Continuous Subarray Sum")</f>
        <v>Continuous Subarray Sum</v>
      </c>
      <c r="C524" s="20" t="str">
        <f>IFERROR(__xludf.DUMMYFUNCTION("""COMPUTED_VALUE"""),"continuous-subarray-sum")</f>
        <v>continuous-subarray-sum</v>
      </c>
      <c r="D524" s="20" t="b">
        <f>IFERROR(__xludf.DUMMYFUNCTION("""COMPUTED_VALUE"""),FALSE)</f>
        <v>0</v>
      </c>
      <c r="E524" s="20" t="str">
        <f>IFERROR(__xludf.DUMMYFUNCTION("""COMPUTED_VALUE"""),"Medium")</f>
        <v>Medium</v>
      </c>
      <c r="F524" s="20">
        <f>IFERROR(__xludf.DUMMYFUNCTION("""COMPUTED_VALUE"""),4328.0)</f>
        <v>4328</v>
      </c>
      <c r="G524" s="20">
        <f>IFERROR(__xludf.DUMMYFUNCTION("""COMPUTED_VALUE"""),419.0)</f>
        <v>419</v>
      </c>
      <c r="H524" s="20" t="str">
        <f>IFERROR(__xludf.DUMMYFUNCTION("""COMPUTED_VALUE"""),"Algorithms")</f>
        <v>Algorithms</v>
      </c>
      <c r="I524" s="20">
        <f>IFERROR(__xludf.DUMMYFUNCTION("""COMPUTED_VALUE"""),0.285)</f>
        <v>0.285</v>
      </c>
      <c r="J524" s="20">
        <f>IFERROR(__xludf.DUMMYFUNCTION("""COMPUTED_VALUE"""),523.0)</f>
        <v>523</v>
      </c>
      <c r="K524" s="20" t="b">
        <f>IFERROR(__xludf.DUMMYFUNCTION("""COMPUTED_VALUE"""),FALSE)</f>
        <v>0</v>
      </c>
      <c r="L524" s="20" t="str">
        <f>IFERROR(__xludf.DUMMYFUNCTION("""COMPUTED_VALUE"""),"Array;Hash Table;Math;Prefix Sum;")</f>
        <v>Array;Hash Table;Math;Prefix Sum;</v>
      </c>
      <c r="M524" s="20" t="b">
        <f>IFERROR(__xludf.DUMMYFUNCTION("""COMPUTED_VALUE"""),TRUE)</f>
        <v>1</v>
      </c>
      <c r="N524" s="20" t="b">
        <f>IFERROR(__xludf.DUMMYFUNCTION("""COMPUTED_VALUE"""),FALSE)</f>
        <v>0</v>
      </c>
      <c r="O524" s="20">
        <f>IFERROR(__xludf.DUMMYFUNCTION("""COMPUTED_VALUE"""),28.5453537528613)</f>
        <v>28.54535375</v>
      </c>
      <c r="P524" s="20">
        <f>IFERROR(__xludf.DUMMYFUNCTION("""COMPUTED_VALUE"""),378465.0)</f>
        <v>378465</v>
      </c>
      <c r="Q524" s="20">
        <f>IFERROR(__xludf.DUMMYFUNCTION("""COMPUTED_VALUE"""),1325838.0)</f>
        <v>1325838</v>
      </c>
    </row>
    <row r="525">
      <c r="A525" s="20">
        <f>IFERROR(__xludf.DUMMYFUNCTION("""COMPUTED_VALUE"""),524.0)</f>
        <v>524</v>
      </c>
      <c r="B525" s="20" t="str">
        <f>IFERROR(__xludf.DUMMYFUNCTION("""COMPUTED_VALUE"""),"Longest Word in Dictionary through Deleting")</f>
        <v>Longest Word in Dictionary through Deleting</v>
      </c>
      <c r="C525" s="20" t="str">
        <f>IFERROR(__xludf.DUMMYFUNCTION("""COMPUTED_VALUE"""),"longest-word-in-dictionary-through-deleting")</f>
        <v>longest-word-in-dictionary-through-deleting</v>
      </c>
      <c r="D525" s="20" t="b">
        <f>IFERROR(__xludf.DUMMYFUNCTION("""COMPUTED_VALUE"""),FALSE)</f>
        <v>0</v>
      </c>
      <c r="E525" s="20" t="str">
        <f>IFERROR(__xludf.DUMMYFUNCTION("""COMPUTED_VALUE"""),"Medium")</f>
        <v>Medium</v>
      </c>
      <c r="F525" s="20">
        <f>IFERROR(__xludf.DUMMYFUNCTION("""COMPUTED_VALUE"""),1536.0)</f>
        <v>1536</v>
      </c>
      <c r="G525" s="20">
        <f>IFERROR(__xludf.DUMMYFUNCTION("""COMPUTED_VALUE"""),345.0)</f>
        <v>345</v>
      </c>
      <c r="H525" s="20" t="str">
        <f>IFERROR(__xludf.DUMMYFUNCTION("""COMPUTED_VALUE"""),"Algorithms")</f>
        <v>Algorithms</v>
      </c>
      <c r="I525" s="20">
        <f>IFERROR(__xludf.DUMMYFUNCTION("""COMPUTED_VALUE"""),0.511)</f>
        <v>0.511</v>
      </c>
      <c r="J525" s="20">
        <f>IFERROR(__xludf.DUMMYFUNCTION("""COMPUTED_VALUE"""),524.0)</f>
        <v>524</v>
      </c>
      <c r="K525" s="20" t="b">
        <f>IFERROR(__xludf.DUMMYFUNCTION("""COMPUTED_VALUE"""),FALSE)</f>
        <v>0</v>
      </c>
      <c r="L525" s="20" t="str">
        <f>IFERROR(__xludf.DUMMYFUNCTION("""COMPUTED_VALUE"""),"Array;Two Pointers;String;Sorting;")</f>
        <v>Array;Two Pointers;String;Sorting;</v>
      </c>
      <c r="M525" s="20" t="b">
        <f>IFERROR(__xludf.DUMMYFUNCTION("""COMPUTED_VALUE"""),TRUE)</f>
        <v>1</v>
      </c>
      <c r="N525" s="20" t="b">
        <f>IFERROR(__xludf.DUMMYFUNCTION("""COMPUTED_VALUE"""),FALSE)</f>
        <v>0</v>
      </c>
      <c r="O525" s="20">
        <f>IFERROR(__xludf.DUMMYFUNCTION("""COMPUTED_VALUE"""),51.1261344968817)</f>
        <v>51.1261345</v>
      </c>
      <c r="P525" s="20">
        <f>IFERROR(__xludf.DUMMYFUNCTION("""COMPUTED_VALUE"""),137560.0)</f>
        <v>137560</v>
      </c>
      <c r="Q525" s="20">
        <f>IFERROR(__xludf.DUMMYFUNCTION("""COMPUTED_VALUE"""),269061.0)</f>
        <v>269061</v>
      </c>
    </row>
    <row r="526">
      <c r="A526" s="20">
        <f>IFERROR(__xludf.DUMMYFUNCTION("""COMPUTED_VALUE"""),525.0)</f>
        <v>525</v>
      </c>
      <c r="B526" s="20" t="str">
        <f>IFERROR(__xludf.DUMMYFUNCTION("""COMPUTED_VALUE"""),"Contiguous Array")</f>
        <v>Contiguous Array</v>
      </c>
      <c r="C526" s="20" t="str">
        <f>IFERROR(__xludf.DUMMYFUNCTION("""COMPUTED_VALUE"""),"contiguous-array")</f>
        <v>contiguous-array</v>
      </c>
      <c r="D526" s="20" t="b">
        <f>IFERROR(__xludf.DUMMYFUNCTION("""COMPUTED_VALUE"""),FALSE)</f>
        <v>0</v>
      </c>
      <c r="E526" s="20" t="str">
        <f>IFERROR(__xludf.DUMMYFUNCTION("""COMPUTED_VALUE"""),"Medium")</f>
        <v>Medium</v>
      </c>
      <c r="F526" s="20">
        <f>IFERROR(__xludf.DUMMYFUNCTION("""COMPUTED_VALUE"""),6070.0)</f>
        <v>6070</v>
      </c>
      <c r="G526" s="20">
        <f>IFERROR(__xludf.DUMMYFUNCTION("""COMPUTED_VALUE"""),242.0)</f>
        <v>242</v>
      </c>
      <c r="H526" s="20" t="str">
        <f>IFERROR(__xludf.DUMMYFUNCTION("""COMPUTED_VALUE"""),"Algorithms")</f>
        <v>Algorithms</v>
      </c>
      <c r="I526" s="20">
        <f>IFERROR(__xludf.DUMMYFUNCTION("""COMPUTED_VALUE"""),0.468)</f>
        <v>0.468</v>
      </c>
      <c r="J526" s="20">
        <f>IFERROR(__xludf.DUMMYFUNCTION("""COMPUTED_VALUE"""),525.0)</f>
        <v>525</v>
      </c>
      <c r="K526" s="20" t="b">
        <f>IFERROR(__xludf.DUMMYFUNCTION("""COMPUTED_VALUE"""),FALSE)</f>
        <v>0</v>
      </c>
      <c r="L526" s="20" t="str">
        <f>IFERROR(__xludf.DUMMYFUNCTION("""COMPUTED_VALUE"""),"Array;Hash Table;Prefix Sum;")</f>
        <v>Array;Hash Table;Prefix Sum;</v>
      </c>
      <c r="M526" s="20" t="b">
        <f>IFERROR(__xludf.DUMMYFUNCTION("""COMPUTED_VALUE"""),TRUE)</f>
        <v>1</v>
      </c>
      <c r="N526" s="20" t="b">
        <f>IFERROR(__xludf.DUMMYFUNCTION("""COMPUTED_VALUE"""),FALSE)</f>
        <v>0</v>
      </c>
      <c r="O526" s="20">
        <f>IFERROR(__xludf.DUMMYFUNCTION("""COMPUTED_VALUE"""),46.8359821861317)</f>
        <v>46.83598219</v>
      </c>
      <c r="P526" s="20">
        <f>IFERROR(__xludf.DUMMYFUNCTION("""COMPUTED_VALUE"""),286999.0)</f>
        <v>286999</v>
      </c>
      <c r="Q526" s="20">
        <f>IFERROR(__xludf.DUMMYFUNCTION("""COMPUTED_VALUE"""),612774.0)</f>
        <v>612774</v>
      </c>
    </row>
    <row r="527">
      <c r="A527" s="20">
        <f>IFERROR(__xludf.DUMMYFUNCTION("""COMPUTED_VALUE"""),526.0)</f>
        <v>526</v>
      </c>
      <c r="B527" s="20" t="str">
        <f>IFERROR(__xludf.DUMMYFUNCTION("""COMPUTED_VALUE"""),"Beautiful Arrangement")</f>
        <v>Beautiful Arrangement</v>
      </c>
      <c r="C527" s="20" t="str">
        <f>IFERROR(__xludf.DUMMYFUNCTION("""COMPUTED_VALUE"""),"beautiful-arrangement")</f>
        <v>beautiful-arrangement</v>
      </c>
      <c r="D527" s="20" t="b">
        <f>IFERROR(__xludf.DUMMYFUNCTION("""COMPUTED_VALUE"""),FALSE)</f>
        <v>0</v>
      </c>
      <c r="E527" s="20" t="str">
        <f>IFERROR(__xludf.DUMMYFUNCTION("""COMPUTED_VALUE"""),"Medium")</f>
        <v>Medium</v>
      </c>
      <c r="F527" s="20">
        <f>IFERROR(__xludf.DUMMYFUNCTION("""COMPUTED_VALUE"""),2661.0)</f>
        <v>2661</v>
      </c>
      <c r="G527" s="20">
        <f>IFERROR(__xludf.DUMMYFUNCTION("""COMPUTED_VALUE"""),327.0)</f>
        <v>327</v>
      </c>
      <c r="H527" s="20" t="str">
        <f>IFERROR(__xludf.DUMMYFUNCTION("""COMPUTED_VALUE"""),"Algorithms")</f>
        <v>Algorithms</v>
      </c>
      <c r="I527" s="20">
        <f>IFERROR(__xludf.DUMMYFUNCTION("""COMPUTED_VALUE"""),0.645)</f>
        <v>0.645</v>
      </c>
      <c r="J527" s="20">
        <f>IFERROR(__xludf.DUMMYFUNCTION("""COMPUTED_VALUE"""),526.0)</f>
        <v>526</v>
      </c>
      <c r="K527" s="20" t="b">
        <f>IFERROR(__xludf.DUMMYFUNCTION("""COMPUTED_VALUE"""),FALSE)</f>
        <v>0</v>
      </c>
      <c r="L527" s="20" t="str">
        <f>IFERROR(__xludf.DUMMYFUNCTION("""COMPUTED_VALUE"""),"Array;Dynamic Programming;Backtracking;Bit Manipulation;Bitmask;")</f>
        <v>Array;Dynamic Programming;Backtracking;Bit Manipulation;Bitmask;</v>
      </c>
      <c r="M527" s="20" t="b">
        <f>IFERROR(__xludf.DUMMYFUNCTION("""COMPUTED_VALUE"""),TRUE)</f>
        <v>1</v>
      </c>
      <c r="N527" s="20" t="b">
        <f>IFERROR(__xludf.DUMMYFUNCTION("""COMPUTED_VALUE"""),FALSE)</f>
        <v>0</v>
      </c>
      <c r="O527" s="20">
        <f>IFERROR(__xludf.DUMMYFUNCTION("""COMPUTED_VALUE"""),64.5316418870968)</f>
        <v>64.53164189</v>
      </c>
      <c r="P527" s="20">
        <f>IFERROR(__xludf.DUMMYFUNCTION("""COMPUTED_VALUE"""),146399.0)</f>
        <v>146399</v>
      </c>
      <c r="Q527" s="20">
        <f>IFERROR(__xludf.DUMMYFUNCTION("""COMPUTED_VALUE"""),226865.0)</f>
        <v>226865</v>
      </c>
    </row>
    <row r="528">
      <c r="A528" s="20">
        <f>IFERROR(__xludf.DUMMYFUNCTION("""COMPUTED_VALUE"""),527.0)</f>
        <v>527</v>
      </c>
      <c r="B528" s="20" t="str">
        <f>IFERROR(__xludf.DUMMYFUNCTION("""COMPUTED_VALUE"""),"Word Abbreviation")</f>
        <v>Word Abbreviation</v>
      </c>
      <c r="C528" s="20" t="str">
        <f>IFERROR(__xludf.DUMMYFUNCTION("""COMPUTED_VALUE"""),"word-abbreviation")</f>
        <v>word-abbreviation</v>
      </c>
      <c r="D528" s="20" t="b">
        <f>IFERROR(__xludf.DUMMYFUNCTION("""COMPUTED_VALUE"""),TRUE)</f>
        <v>1</v>
      </c>
      <c r="E528" s="20" t="str">
        <f>IFERROR(__xludf.DUMMYFUNCTION("""COMPUTED_VALUE"""),"Hard")</f>
        <v>Hard</v>
      </c>
      <c r="F528" s="20">
        <f>IFERROR(__xludf.DUMMYFUNCTION("""COMPUTED_VALUE"""),370.0)</f>
        <v>370</v>
      </c>
      <c r="G528" s="20">
        <f>IFERROR(__xludf.DUMMYFUNCTION("""COMPUTED_VALUE"""),274.0)</f>
        <v>274</v>
      </c>
      <c r="H528" s="20" t="str">
        <f>IFERROR(__xludf.DUMMYFUNCTION("""COMPUTED_VALUE"""),"Algorithms")</f>
        <v>Algorithms</v>
      </c>
      <c r="I528" s="20">
        <f>IFERROR(__xludf.DUMMYFUNCTION("""COMPUTED_VALUE"""),0.605)</f>
        <v>0.605</v>
      </c>
      <c r="J528" s="20">
        <f>IFERROR(__xludf.DUMMYFUNCTION("""COMPUTED_VALUE"""),527.0)</f>
        <v>527</v>
      </c>
      <c r="K528" s="20" t="b">
        <f>IFERROR(__xludf.DUMMYFUNCTION("""COMPUTED_VALUE"""),TRUE)</f>
        <v>1</v>
      </c>
      <c r="L528" s="20" t="str">
        <f>IFERROR(__xludf.DUMMYFUNCTION("""COMPUTED_VALUE"""),"Array;String;Greedy;Trie;Sorting;")</f>
        <v>Array;String;Greedy;Trie;Sorting;</v>
      </c>
      <c r="M528" s="20" t="b">
        <f>IFERROR(__xludf.DUMMYFUNCTION("""COMPUTED_VALUE"""),TRUE)</f>
        <v>1</v>
      </c>
      <c r="N528" s="20" t="b">
        <f>IFERROR(__xludf.DUMMYFUNCTION("""COMPUTED_VALUE"""),FALSE)</f>
        <v>0</v>
      </c>
      <c r="O528" s="20">
        <f>IFERROR(__xludf.DUMMYFUNCTION("""COMPUTED_VALUE"""),60.504420176807)</f>
        <v>60.50442018</v>
      </c>
      <c r="P528" s="20">
        <f>IFERROR(__xludf.DUMMYFUNCTION("""COMPUTED_VALUE"""),25596.0)</f>
        <v>25596</v>
      </c>
      <c r="Q528" s="20">
        <f>IFERROR(__xludf.DUMMYFUNCTION("""COMPUTED_VALUE"""),42305.0)</f>
        <v>42305</v>
      </c>
    </row>
    <row r="529">
      <c r="A529" s="20">
        <f>IFERROR(__xludf.DUMMYFUNCTION("""COMPUTED_VALUE"""),912.0)</f>
        <v>912</v>
      </c>
      <c r="B529" s="20" t="str">
        <f>IFERROR(__xludf.DUMMYFUNCTION("""COMPUTED_VALUE"""),"Random Pick with Weight")</f>
        <v>Random Pick with Weight</v>
      </c>
      <c r="C529" s="20" t="str">
        <f>IFERROR(__xludf.DUMMYFUNCTION("""COMPUTED_VALUE"""),"random-pick-with-weight")</f>
        <v>random-pick-with-weight</v>
      </c>
      <c r="D529" s="20" t="b">
        <f>IFERROR(__xludf.DUMMYFUNCTION("""COMPUTED_VALUE"""),FALSE)</f>
        <v>0</v>
      </c>
      <c r="E529" s="20" t="str">
        <f>IFERROR(__xludf.DUMMYFUNCTION("""COMPUTED_VALUE"""),"Medium")</f>
        <v>Medium</v>
      </c>
      <c r="F529" s="20">
        <f>IFERROR(__xludf.DUMMYFUNCTION("""COMPUTED_VALUE"""),1236.0)</f>
        <v>1236</v>
      </c>
      <c r="G529" s="20">
        <f>IFERROR(__xludf.DUMMYFUNCTION("""COMPUTED_VALUE"""),536.0)</f>
        <v>536</v>
      </c>
      <c r="H529" s="20" t="str">
        <f>IFERROR(__xludf.DUMMYFUNCTION("""COMPUTED_VALUE"""),"Algorithms")</f>
        <v>Algorithms</v>
      </c>
      <c r="I529" s="20">
        <f>IFERROR(__xludf.DUMMYFUNCTION("""COMPUTED_VALUE"""),0.461)</f>
        <v>0.461</v>
      </c>
      <c r="J529" s="20">
        <f>IFERROR(__xludf.DUMMYFUNCTION("""COMPUTED_VALUE"""),528.0)</f>
        <v>528</v>
      </c>
      <c r="K529" s="20" t="b">
        <f>IFERROR(__xludf.DUMMYFUNCTION("""COMPUTED_VALUE"""),FALSE)</f>
        <v>0</v>
      </c>
      <c r="L529" s="20" t="str">
        <f>IFERROR(__xludf.DUMMYFUNCTION("""COMPUTED_VALUE"""),"Math;Binary Search;Prefix Sum;Randomized;")</f>
        <v>Math;Binary Search;Prefix Sum;Randomized;</v>
      </c>
      <c r="M529" s="20" t="b">
        <f>IFERROR(__xludf.DUMMYFUNCTION("""COMPUTED_VALUE"""),TRUE)</f>
        <v>1</v>
      </c>
      <c r="N529" s="20" t="b">
        <f>IFERROR(__xludf.DUMMYFUNCTION("""COMPUTED_VALUE"""),FALSE)</f>
        <v>0</v>
      </c>
      <c r="O529" s="20">
        <f>IFERROR(__xludf.DUMMYFUNCTION("""COMPUTED_VALUE"""),46.0857173827407)</f>
        <v>46.08571738</v>
      </c>
      <c r="P529" s="20">
        <f>IFERROR(__xludf.DUMMYFUNCTION("""COMPUTED_VALUE"""),348632.0)</f>
        <v>348632</v>
      </c>
      <c r="Q529" s="20">
        <f>IFERROR(__xludf.DUMMYFUNCTION("""COMPUTED_VALUE"""),756485.0)</f>
        <v>756485</v>
      </c>
    </row>
    <row r="530">
      <c r="A530" s="20">
        <f>IFERROR(__xludf.DUMMYFUNCTION("""COMPUTED_VALUE"""),529.0)</f>
        <v>529</v>
      </c>
      <c r="B530" s="20" t="str">
        <f>IFERROR(__xludf.DUMMYFUNCTION("""COMPUTED_VALUE"""),"Minesweeper")</f>
        <v>Minesweeper</v>
      </c>
      <c r="C530" s="20" t="str">
        <f>IFERROR(__xludf.DUMMYFUNCTION("""COMPUTED_VALUE"""),"minesweeper")</f>
        <v>minesweeper</v>
      </c>
      <c r="D530" s="20" t="b">
        <f>IFERROR(__xludf.DUMMYFUNCTION("""COMPUTED_VALUE"""),FALSE)</f>
        <v>0</v>
      </c>
      <c r="E530" s="20" t="str">
        <f>IFERROR(__xludf.DUMMYFUNCTION("""COMPUTED_VALUE"""),"Medium")</f>
        <v>Medium</v>
      </c>
      <c r="F530" s="20">
        <f>IFERROR(__xludf.DUMMYFUNCTION("""COMPUTED_VALUE"""),1657.0)</f>
        <v>1657</v>
      </c>
      <c r="G530" s="20">
        <f>IFERROR(__xludf.DUMMYFUNCTION("""COMPUTED_VALUE"""),951.0)</f>
        <v>951</v>
      </c>
      <c r="H530" s="20" t="str">
        <f>IFERROR(__xludf.DUMMYFUNCTION("""COMPUTED_VALUE"""),"Algorithms")</f>
        <v>Algorithms</v>
      </c>
      <c r="I530" s="20">
        <f>IFERROR(__xludf.DUMMYFUNCTION("""COMPUTED_VALUE"""),0.656)</f>
        <v>0.656</v>
      </c>
      <c r="J530" s="20">
        <f>IFERROR(__xludf.DUMMYFUNCTION("""COMPUTED_VALUE"""),529.0)</f>
        <v>529</v>
      </c>
      <c r="K530" s="20" t="b">
        <f>IFERROR(__xludf.DUMMYFUNCTION("""COMPUTED_VALUE"""),FALSE)</f>
        <v>0</v>
      </c>
      <c r="L530" s="20" t="str">
        <f>IFERROR(__xludf.DUMMYFUNCTION("""COMPUTED_VALUE"""),"Array;Depth-First Search;Breadth-First Search;Matrix;")</f>
        <v>Array;Depth-First Search;Breadth-First Search;Matrix;</v>
      </c>
      <c r="M530" s="20" t="b">
        <f>IFERROR(__xludf.DUMMYFUNCTION("""COMPUTED_VALUE"""),FALSE)</f>
        <v>0</v>
      </c>
      <c r="N530" s="20" t="b">
        <f>IFERROR(__xludf.DUMMYFUNCTION("""COMPUTED_VALUE"""),FALSE)</f>
        <v>0</v>
      </c>
      <c r="O530" s="20">
        <f>IFERROR(__xludf.DUMMYFUNCTION("""COMPUTED_VALUE"""),65.6053402248043)</f>
        <v>65.60534022</v>
      </c>
      <c r="P530" s="20">
        <f>IFERROR(__xludf.DUMMYFUNCTION("""COMPUTED_VALUE"""),131500.0)</f>
        <v>131500</v>
      </c>
      <c r="Q530" s="20">
        <f>IFERROR(__xludf.DUMMYFUNCTION("""COMPUTED_VALUE"""),200441.0)</f>
        <v>200441</v>
      </c>
    </row>
    <row r="531">
      <c r="A531" s="20">
        <f>IFERROR(__xludf.DUMMYFUNCTION("""COMPUTED_VALUE"""),530.0)</f>
        <v>530</v>
      </c>
      <c r="B531" s="20" t="str">
        <f>IFERROR(__xludf.DUMMYFUNCTION("""COMPUTED_VALUE"""),"Minimum Absolute Difference in BST")</f>
        <v>Minimum Absolute Difference in BST</v>
      </c>
      <c r="C531" s="20" t="str">
        <f>IFERROR(__xludf.DUMMYFUNCTION("""COMPUTED_VALUE"""),"minimum-absolute-difference-in-bst")</f>
        <v>minimum-absolute-difference-in-bst</v>
      </c>
      <c r="D531" s="20" t="b">
        <f>IFERROR(__xludf.DUMMYFUNCTION("""COMPUTED_VALUE"""),FALSE)</f>
        <v>0</v>
      </c>
      <c r="E531" s="20" t="str">
        <f>IFERROR(__xludf.DUMMYFUNCTION("""COMPUTED_VALUE"""),"Easy")</f>
        <v>Easy</v>
      </c>
      <c r="F531" s="20">
        <f>IFERROR(__xludf.DUMMYFUNCTION("""COMPUTED_VALUE"""),2557.0)</f>
        <v>2557</v>
      </c>
      <c r="G531" s="20">
        <f>IFERROR(__xludf.DUMMYFUNCTION("""COMPUTED_VALUE"""),136.0)</f>
        <v>136</v>
      </c>
      <c r="H531" s="20" t="str">
        <f>IFERROR(__xludf.DUMMYFUNCTION("""COMPUTED_VALUE"""),"Algorithms")</f>
        <v>Algorithms</v>
      </c>
      <c r="I531" s="20">
        <f>IFERROR(__xludf.DUMMYFUNCTION("""COMPUTED_VALUE"""),0.568)</f>
        <v>0.568</v>
      </c>
      <c r="J531" s="20">
        <f>IFERROR(__xludf.DUMMYFUNCTION("""COMPUTED_VALUE"""),530.0)</f>
        <v>530</v>
      </c>
      <c r="K531" s="20" t="b">
        <f>IFERROR(__xludf.DUMMYFUNCTION("""COMPUTED_VALUE"""),FALSE)</f>
        <v>0</v>
      </c>
      <c r="L531" s="20" t="str">
        <f>IFERROR(__xludf.DUMMYFUNCTION("""COMPUTED_VALUE"""),"Tree;Depth-First Search;Breadth-First Search;Binary Search Tree;Binary Tree;")</f>
        <v>Tree;Depth-First Search;Breadth-First Search;Binary Search Tree;Binary Tree;</v>
      </c>
      <c r="M531" s="20" t="b">
        <f>IFERROR(__xludf.DUMMYFUNCTION("""COMPUTED_VALUE"""),FALSE)</f>
        <v>0</v>
      </c>
      <c r="N531" s="20" t="b">
        <f>IFERROR(__xludf.DUMMYFUNCTION("""COMPUTED_VALUE"""),FALSE)</f>
        <v>0</v>
      </c>
      <c r="O531" s="20">
        <f>IFERROR(__xludf.DUMMYFUNCTION("""COMPUTED_VALUE"""),56.8114769196392)</f>
        <v>56.81147692</v>
      </c>
      <c r="P531" s="20">
        <f>IFERROR(__xludf.DUMMYFUNCTION("""COMPUTED_VALUE"""),188142.0)</f>
        <v>188142</v>
      </c>
      <c r="Q531" s="20">
        <f>IFERROR(__xludf.DUMMYFUNCTION("""COMPUTED_VALUE"""),331169.0)</f>
        <v>331169</v>
      </c>
    </row>
    <row r="532">
      <c r="A532" s="20">
        <f>IFERROR(__xludf.DUMMYFUNCTION("""COMPUTED_VALUE"""),531.0)</f>
        <v>531</v>
      </c>
      <c r="B532" s="20" t="str">
        <f>IFERROR(__xludf.DUMMYFUNCTION("""COMPUTED_VALUE"""),"Lonely Pixel I")</f>
        <v>Lonely Pixel I</v>
      </c>
      <c r="C532" s="20" t="str">
        <f>IFERROR(__xludf.DUMMYFUNCTION("""COMPUTED_VALUE"""),"lonely-pixel-i")</f>
        <v>lonely-pixel-i</v>
      </c>
      <c r="D532" s="20" t="b">
        <f>IFERROR(__xludf.DUMMYFUNCTION("""COMPUTED_VALUE"""),TRUE)</f>
        <v>1</v>
      </c>
      <c r="E532" s="20" t="str">
        <f>IFERROR(__xludf.DUMMYFUNCTION("""COMPUTED_VALUE"""),"Medium")</f>
        <v>Medium</v>
      </c>
      <c r="F532" s="20">
        <f>IFERROR(__xludf.DUMMYFUNCTION("""COMPUTED_VALUE"""),386.0)</f>
        <v>386</v>
      </c>
      <c r="G532" s="20">
        <f>IFERROR(__xludf.DUMMYFUNCTION("""COMPUTED_VALUE"""),40.0)</f>
        <v>40</v>
      </c>
      <c r="H532" s="20" t="str">
        <f>IFERROR(__xludf.DUMMYFUNCTION("""COMPUTED_VALUE"""),"Algorithms")</f>
        <v>Algorithms</v>
      </c>
      <c r="I532" s="20">
        <f>IFERROR(__xludf.DUMMYFUNCTION("""COMPUTED_VALUE"""),0.621)</f>
        <v>0.621</v>
      </c>
      <c r="J532" s="20">
        <f>IFERROR(__xludf.DUMMYFUNCTION("""COMPUTED_VALUE"""),531.0)</f>
        <v>531</v>
      </c>
      <c r="K532" s="20" t="b">
        <f>IFERROR(__xludf.DUMMYFUNCTION("""COMPUTED_VALUE"""),TRUE)</f>
        <v>1</v>
      </c>
      <c r="L532" s="20" t="str">
        <f>IFERROR(__xludf.DUMMYFUNCTION("""COMPUTED_VALUE"""),"Array;Hash Table;Matrix;")</f>
        <v>Array;Hash Table;Matrix;</v>
      </c>
      <c r="M532" s="20" t="b">
        <f>IFERROR(__xludf.DUMMYFUNCTION("""COMPUTED_VALUE"""),TRUE)</f>
        <v>1</v>
      </c>
      <c r="N532" s="20" t="b">
        <f>IFERROR(__xludf.DUMMYFUNCTION("""COMPUTED_VALUE"""),FALSE)</f>
        <v>0</v>
      </c>
      <c r="O532" s="20">
        <f>IFERROR(__xludf.DUMMYFUNCTION("""COMPUTED_VALUE"""),62.1288095858296)</f>
        <v>62.12880959</v>
      </c>
      <c r="P532" s="20">
        <f>IFERROR(__xludf.DUMMYFUNCTION("""COMPUTED_VALUE"""),38162.0)</f>
        <v>38162</v>
      </c>
      <c r="Q532" s="20">
        <f>IFERROR(__xludf.DUMMYFUNCTION("""COMPUTED_VALUE"""),61424.0)</f>
        <v>61424</v>
      </c>
    </row>
    <row r="533">
      <c r="A533" s="20">
        <f>IFERROR(__xludf.DUMMYFUNCTION("""COMPUTED_VALUE"""),532.0)</f>
        <v>532</v>
      </c>
      <c r="B533" s="20" t="str">
        <f>IFERROR(__xludf.DUMMYFUNCTION("""COMPUTED_VALUE"""),"K-diff Pairs in an Array")</f>
        <v>K-diff Pairs in an Array</v>
      </c>
      <c r="C533" s="20" t="str">
        <f>IFERROR(__xludf.DUMMYFUNCTION("""COMPUTED_VALUE"""),"k-diff-pairs-in-an-array")</f>
        <v>k-diff-pairs-in-an-array</v>
      </c>
      <c r="D533" s="20" t="b">
        <f>IFERROR(__xludf.DUMMYFUNCTION("""COMPUTED_VALUE"""),FALSE)</f>
        <v>0</v>
      </c>
      <c r="E533" s="20" t="str">
        <f>IFERROR(__xludf.DUMMYFUNCTION("""COMPUTED_VALUE"""),"Medium")</f>
        <v>Medium</v>
      </c>
      <c r="F533" s="20">
        <f>IFERROR(__xludf.DUMMYFUNCTION("""COMPUTED_VALUE"""),3079.0)</f>
        <v>3079</v>
      </c>
      <c r="G533" s="20">
        <f>IFERROR(__xludf.DUMMYFUNCTION("""COMPUTED_VALUE"""),2151.0)</f>
        <v>2151</v>
      </c>
      <c r="H533" s="20" t="str">
        <f>IFERROR(__xludf.DUMMYFUNCTION("""COMPUTED_VALUE"""),"Algorithms")</f>
        <v>Algorithms</v>
      </c>
      <c r="I533" s="20">
        <f>IFERROR(__xludf.DUMMYFUNCTION("""COMPUTED_VALUE"""),0.409)</f>
        <v>0.409</v>
      </c>
      <c r="J533" s="20">
        <f>IFERROR(__xludf.DUMMYFUNCTION("""COMPUTED_VALUE"""),532.0)</f>
        <v>532</v>
      </c>
      <c r="K533" s="20" t="b">
        <f>IFERROR(__xludf.DUMMYFUNCTION("""COMPUTED_VALUE"""),FALSE)</f>
        <v>0</v>
      </c>
      <c r="L533" s="20" t="str">
        <f>IFERROR(__xludf.DUMMYFUNCTION("""COMPUTED_VALUE"""),"Array;Hash Table;Two Pointers;Binary Search;Sorting;")</f>
        <v>Array;Hash Table;Two Pointers;Binary Search;Sorting;</v>
      </c>
      <c r="M533" s="20" t="b">
        <f>IFERROR(__xludf.DUMMYFUNCTION("""COMPUTED_VALUE"""),TRUE)</f>
        <v>1</v>
      </c>
      <c r="N533" s="20" t="b">
        <f>IFERROR(__xludf.DUMMYFUNCTION("""COMPUTED_VALUE"""),FALSE)</f>
        <v>0</v>
      </c>
      <c r="O533" s="20">
        <f>IFERROR(__xludf.DUMMYFUNCTION("""COMPUTED_VALUE"""),40.864795743745)</f>
        <v>40.86479574</v>
      </c>
      <c r="P533" s="20">
        <f>IFERROR(__xludf.DUMMYFUNCTION("""COMPUTED_VALUE"""),280582.0)</f>
        <v>280582</v>
      </c>
      <c r="Q533" s="20">
        <f>IFERROR(__xludf.DUMMYFUNCTION("""COMPUTED_VALUE"""),686611.0)</f>
        <v>686611</v>
      </c>
    </row>
    <row r="534">
      <c r="A534" s="20">
        <f>IFERROR(__xludf.DUMMYFUNCTION("""COMPUTED_VALUE"""),533.0)</f>
        <v>533</v>
      </c>
      <c r="B534" s="20" t="str">
        <f>IFERROR(__xludf.DUMMYFUNCTION("""COMPUTED_VALUE"""),"Lonely Pixel II")</f>
        <v>Lonely Pixel II</v>
      </c>
      <c r="C534" s="20" t="str">
        <f>IFERROR(__xludf.DUMMYFUNCTION("""COMPUTED_VALUE"""),"lonely-pixel-ii")</f>
        <v>lonely-pixel-ii</v>
      </c>
      <c r="D534" s="20" t="b">
        <f>IFERROR(__xludf.DUMMYFUNCTION("""COMPUTED_VALUE"""),TRUE)</f>
        <v>1</v>
      </c>
      <c r="E534" s="20" t="str">
        <f>IFERROR(__xludf.DUMMYFUNCTION("""COMPUTED_VALUE"""),"Medium")</f>
        <v>Medium</v>
      </c>
      <c r="F534" s="20">
        <f>IFERROR(__xludf.DUMMYFUNCTION("""COMPUTED_VALUE"""),79.0)</f>
        <v>79</v>
      </c>
      <c r="G534" s="20">
        <f>IFERROR(__xludf.DUMMYFUNCTION("""COMPUTED_VALUE"""),726.0)</f>
        <v>726</v>
      </c>
      <c r="H534" s="20" t="str">
        <f>IFERROR(__xludf.DUMMYFUNCTION("""COMPUTED_VALUE"""),"Algorithms")</f>
        <v>Algorithms</v>
      </c>
      <c r="I534" s="20">
        <f>IFERROR(__xludf.DUMMYFUNCTION("""COMPUTED_VALUE"""),0.485)</f>
        <v>0.485</v>
      </c>
      <c r="J534" s="20">
        <f>IFERROR(__xludf.DUMMYFUNCTION("""COMPUTED_VALUE"""),533.0)</f>
        <v>533</v>
      </c>
      <c r="K534" s="20" t="b">
        <f>IFERROR(__xludf.DUMMYFUNCTION("""COMPUTED_VALUE"""),TRUE)</f>
        <v>1</v>
      </c>
      <c r="L534" s="20" t="str">
        <f>IFERROR(__xludf.DUMMYFUNCTION("""COMPUTED_VALUE"""),"Array;Hash Table;Matrix;")</f>
        <v>Array;Hash Table;Matrix;</v>
      </c>
      <c r="M534" s="20" t="b">
        <f>IFERROR(__xludf.DUMMYFUNCTION("""COMPUTED_VALUE"""),FALSE)</f>
        <v>0</v>
      </c>
      <c r="N534" s="20" t="b">
        <f>IFERROR(__xludf.DUMMYFUNCTION("""COMPUTED_VALUE"""),FALSE)</f>
        <v>0</v>
      </c>
      <c r="O534" s="20">
        <f>IFERROR(__xludf.DUMMYFUNCTION("""COMPUTED_VALUE"""),48.5182049110923)</f>
        <v>48.51820491</v>
      </c>
      <c r="P534" s="20">
        <f>IFERROR(__xludf.DUMMYFUNCTION("""COMPUTED_VALUE"""),12606.0)</f>
        <v>12606</v>
      </c>
      <c r="Q534" s="20">
        <f>IFERROR(__xludf.DUMMYFUNCTION("""COMPUTED_VALUE"""),25982.0)</f>
        <v>25982</v>
      </c>
    </row>
    <row r="535">
      <c r="A535" s="20">
        <f>IFERROR(__xludf.DUMMYFUNCTION("""COMPUTED_VALUE"""),1181.0)</f>
        <v>1181</v>
      </c>
      <c r="B535" s="20" t="str">
        <f>IFERROR(__xludf.DUMMYFUNCTION("""COMPUTED_VALUE"""),"Game Play Analysis III")</f>
        <v>Game Play Analysis III</v>
      </c>
      <c r="C535" s="20" t="str">
        <f>IFERROR(__xludf.DUMMYFUNCTION("""COMPUTED_VALUE"""),"game-play-analysis-iii")</f>
        <v>game-play-analysis-iii</v>
      </c>
      <c r="D535" s="20" t="b">
        <f>IFERROR(__xludf.DUMMYFUNCTION("""COMPUTED_VALUE"""),TRUE)</f>
        <v>1</v>
      </c>
      <c r="E535" s="20" t="str">
        <f>IFERROR(__xludf.DUMMYFUNCTION("""COMPUTED_VALUE"""),"Medium")</f>
        <v>Medium</v>
      </c>
      <c r="F535" s="20">
        <f>IFERROR(__xludf.DUMMYFUNCTION("""COMPUTED_VALUE"""),333.0)</f>
        <v>333</v>
      </c>
      <c r="G535" s="20">
        <f>IFERROR(__xludf.DUMMYFUNCTION("""COMPUTED_VALUE"""),15.0)</f>
        <v>15</v>
      </c>
      <c r="H535" s="20" t="str">
        <f>IFERROR(__xludf.DUMMYFUNCTION("""COMPUTED_VALUE"""),"Database")</f>
        <v>Database</v>
      </c>
      <c r="I535" s="20">
        <f>IFERROR(__xludf.DUMMYFUNCTION("""COMPUTED_VALUE"""),0.82)</f>
        <v>0.82</v>
      </c>
      <c r="J535" s="20">
        <f>IFERROR(__xludf.DUMMYFUNCTION("""COMPUTED_VALUE"""),534.0)</f>
        <v>534</v>
      </c>
      <c r="K535" s="20" t="b">
        <f>IFERROR(__xludf.DUMMYFUNCTION("""COMPUTED_VALUE"""),TRUE)</f>
        <v>1</v>
      </c>
      <c r="L535" s="20" t="str">
        <f>IFERROR(__xludf.DUMMYFUNCTION("""COMPUTED_VALUE"""),"Database;")</f>
        <v>Database;</v>
      </c>
      <c r="M535" s="20" t="b">
        <f>IFERROR(__xludf.DUMMYFUNCTION("""COMPUTED_VALUE"""),TRUE)</f>
        <v>1</v>
      </c>
      <c r="N535" s="20" t="b">
        <f>IFERROR(__xludf.DUMMYFUNCTION("""COMPUTED_VALUE"""),FALSE)</f>
        <v>0</v>
      </c>
      <c r="O535" s="20">
        <f>IFERROR(__xludf.DUMMYFUNCTION("""COMPUTED_VALUE"""),81.9699272608837)</f>
        <v>81.96992726</v>
      </c>
      <c r="P535" s="20">
        <f>IFERROR(__xludf.DUMMYFUNCTION("""COMPUTED_VALUE"""),60402.0)</f>
        <v>60402</v>
      </c>
      <c r="Q535" s="20">
        <f>IFERROR(__xludf.DUMMYFUNCTION("""COMPUTED_VALUE"""),73688.0)</f>
        <v>73688</v>
      </c>
    </row>
    <row r="536">
      <c r="A536" s="20">
        <f>IFERROR(__xludf.DUMMYFUNCTION("""COMPUTED_VALUE"""),535.0)</f>
        <v>535</v>
      </c>
      <c r="B536" s="20" t="str">
        <f>IFERROR(__xludf.DUMMYFUNCTION("""COMPUTED_VALUE"""),"Encode and Decode TinyURL")</f>
        <v>Encode and Decode TinyURL</v>
      </c>
      <c r="C536" s="20" t="str">
        <f>IFERROR(__xludf.DUMMYFUNCTION("""COMPUTED_VALUE"""),"encode-and-decode-tinyurl")</f>
        <v>encode-and-decode-tinyurl</v>
      </c>
      <c r="D536" s="20" t="b">
        <f>IFERROR(__xludf.DUMMYFUNCTION("""COMPUTED_VALUE"""),FALSE)</f>
        <v>0</v>
      </c>
      <c r="E536" s="20" t="str">
        <f>IFERROR(__xludf.DUMMYFUNCTION("""COMPUTED_VALUE"""),"Medium")</f>
        <v>Medium</v>
      </c>
      <c r="F536" s="20">
        <f>IFERROR(__xludf.DUMMYFUNCTION("""COMPUTED_VALUE"""),1745.0)</f>
        <v>1745</v>
      </c>
      <c r="G536" s="20">
        <f>IFERROR(__xludf.DUMMYFUNCTION("""COMPUTED_VALUE"""),3361.0)</f>
        <v>3361</v>
      </c>
      <c r="H536" s="20" t="str">
        <f>IFERROR(__xludf.DUMMYFUNCTION("""COMPUTED_VALUE"""),"Algorithms")</f>
        <v>Algorithms</v>
      </c>
      <c r="I536" s="20">
        <f>IFERROR(__xludf.DUMMYFUNCTION("""COMPUTED_VALUE"""),0.859)</f>
        <v>0.859</v>
      </c>
      <c r="J536" s="20">
        <f>IFERROR(__xludf.DUMMYFUNCTION("""COMPUTED_VALUE"""),535.0)</f>
        <v>535</v>
      </c>
      <c r="K536" s="20" t="b">
        <f>IFERROR(__xludf.DUMMYFUNCTION("""COMPUTED_VALUE"""),FALSE)</f>
        <v>0</v>
      </c>
      <c r="L536" s="20" t="str">
        <f>IFERROR(__xludf.DUMMYFUNCTION("""COMPUTED_VALUE"""),"Hash Table;String;Design;Hash Function;")</f>
        <v>Hash Table;String;Design;Hash Function;</v>
      </c>
      <c r="M536" s="20" t="b">
        <f>IFERROR(__xludf.DUMMYFUNCTION("""COMPUTED_VALUE"""),TRUE)</f>
        <v>1</v>
      </c>
      <c r="N536" s="20" t="b">
        <f>IFERROR(__xludf.DUMMYFUNCTION("""COMPUTED_VALUE"""),FALSE)</f>
        <v>0</v>
      </c>
      <c r="O536" s="20">
        <f>IFERROR(__xludf.DUMMYFUNCTION("""COMPUTED_VALUE"""),85.8560668544484)</f>
        <v>85.85606685</v>
      </c>
      <c r="P536" s="20">
        <f>IFERROR(__xludf.DUMMYFUNCTION("""COMPUTED_VALUE"""),220672.0)</f>
        <v>220672</v>
      </c>
      <c r="Q536" s="20">
        <f>IFERROR(__xludf.DUMMYFUNCTION("""COMPUTED_VALUE"""),257026.0)</f>
        <v>257026</v>
      </c>
    </row>
    <row r="537">
      <c r="A537" s="20">
        <f>IFERROR(__xludf.DUMMYFUNCTION("""COMPUTED_VALUE"""),536.0)</f>
        <v>536</v>
      </c>
      <c r="B537" s="20" t="str">
        <f>IFERROR(__xludf.DUMMYFUNCTION("""COMPUTED_VALUE"""),"Construct Binary Tree from String")</f>
        <v>Construct Binary Tree from String</v>
      </c>
      <c r="C537" s="20" t="str">
        <f>IFERROR(__xludf.DUMMYFUNCTION("""COMPUTED_VALUE"""),"construct-binary-tree-from-string")</f>
        <v>construct-binary-tree-from-string</v>
      </c>
      <c r="D537" s="20" t="b">
        <f>IFERROR(__xludf.DUMMYFUNCTION("""COMPUTED_VALUE"""),TRUE)</f>
        <v>1</v>
      </c>
      <c r="E537" s="20" t="str">
        <f>IFERROR(__xludf.DUMMYFUNCTION("""COMPUTED_VALUE"""),"Medium")</f>
        <v>Medium</v>
      </c>
      <c r="F537" s="20">
        <f>IFERROR(__xludf.DUMMYFUNCTION("""COMPUTED_VALUE"""),973.0)</f>
        <v>973</v>
      </c>
      <c r="G537" s="20">
        <f>IFERROR(__xludf.DUMMYFUNCTION("""COMPUTED_VALUE"""),150.0)</f>
        <v>150</v>
      </c>
      <c r="H537" s="20" t="str">
        <f>IFERROR(__xludf.DUMMYFUNCTION("""COMPUTED_VALUE"""),"Algorithms")</f>
        <v>Algorithms</v>
      </c>
      <c r="I537" s="20">
        <f>IFERROR(__xludf.DUMMYFUNCTION("""COMPUTED_VALUE"""),0.562)</f>
        <v>0.562</v>
      </c>
      <c r="J537" s="20">
        <f>IFERROR(__xludf.DUMMYFUNCTION("""COMPUTED_VALUE"""),536.0)</f>
        <v>536</v>
      </c>
      <c r="K537" s="20" t="b">
        <f>IFERROR(__xludf.DUMMYFUNCTION("""COMPUTED_VALUE"""),TRUE)</f>
        <v>1</v>
      </c>
      <c r="L537" s="20" t="str">
        <f>IFERROR(__xludf.DUMMYFUNCTION("""COMPUTED_VALUE"""),"String;Tree;Depth-First Search;Binary Tree;")</f>
        <v>String;Tree;Depth-First Search;Binary Tree;</v>
      </c>
      <c r="M537" s="20" t="b">
        <f>IFERROR(__xludf.DUMMYFUNCTION("""COMPUTED_VALUE"""),TRUE)</f>
        <v>1</v>
      </c>
      <c r="N537" s="20" t="b">
        <f>IFERROR(__xludf.DUMMYFUNCTION("""COMPUTED_VALUE"""),FALSE)</f>
        <v>0</v>
      </c>
      <c r="O537" s="20">
        <f>IFERROR(__xludf.DUMMYFUNCTION("""COMPUTED_VALUE"""),56.1993420017647)</f>
        <v>56.199342</v>
      </c>
      <c r="P537" s="20">
        <f>IFERROR(__xludf.DUMMYFUNCTION("""COMPUTED_VALUE"""),82164.0)</f>
        <v>82164</v>
      </c>
      <c r="Q537" s="20">
        <f>IFERROR(__xludf.DUMMYFUNCTION("""COMPUTED_VALUE"""),146201.0)</f>
        <v>146201</v>
      </c>
    </row>
    <row r="538">
      <c r="A538" s="20">
        <f>IFERROR(__xludf.DUMMYFUNCTION("""COMPUTED_VALUE"""),537.0)</f>
        <v>537</v>
      </c>
      <c r="B538" s="20" t="str">
        <f>IFERROR(__xludf.DUMMYFUNCTION("""COMPUTED_VALUE"""),"Complex Number Multiplication")</f>
        <v>Complex Number Multiplication</v>
      </c>
      <c r="C538" s="20" t="str">
        <f>IFERROR(__xludf.DUMMYFUNCTION("""COMPUTED_VALUE"""),"complex-number-multiplication")</f>
        <v>complex-number-multiplication</v>
      </c>
      <c r="D538" s="20" t="b">
        <f>IFERROR(__xludf.DUMMYFUNCTION("""COMPUTED_VALUE"""),FALSE)</f>
        <v>0</v>
      </c>
      <c r="E538" s="20" t="str">
        <f>IFERROR(__xludf.DUMMYFUNCTION("""COMPUTED_VALUE"""),"Medium")</f>
        <v>Medium</v>
      </c>
      <c r="F538" s="20">
        <f>IFERROR(__xludf.DUMMYFUNCTION("""COMPUTED_VALUE"""),591.0)</f>
        <v>591</v>
      </c>
      <c r="G538" s="20">
        <f>IFERROR(__xludf.DUMMYFUNCTION("""COMPUTED_VALUE"""),1186.0)</f>
        <v>1186</v>
      </c>
      <c r="H538" s="20" t="str">
        <f>IFERROR(__xludf.DUMMYFUNCTION("""COMPUTED_VALUE"""),"Algorithms")</f>
        <v>Algorithms</v>
      </c>
      <c r="I538" s="20">
        <f>IFERROR(__xludf.DUMMYFUNCTION("""COMPUTED_VALUE"""),0.714)</f>
        <v>0.714</v>
      </c>
      <c r="J538" s="20">
        <f>IFERROR(__xludf.DUMMYFUNCTION("""COMPUTED_VALUE"""),537.0)</f>
        <v>537</v>
      </c>
      <c r="K538" s="20" t="b">
        <f>IFERROR(__xludf.DUMMYFUNCTION("""COMPUTED_VALUE"""),FALSE)</f>
        <v>0</v>
      </c>
      <c r="L538" s="20" t="str">
        <f>IFERROR(__xludf.DUMMYFUNCTION("""COMPUTED_VALUE"""),"Math;String;Simulation;")</f>
        <v>Math;String;Simulation;</v>
      </c>
      <c r="M538" s="20" t="b">
        <f>IFERROR(__xludf.DUMMYFUNCTION("""COMPUTED_VALUE"""),TRUE)</f>
        <v>1</v>
      </c>
      <c r="N538" s="20" t="b">
        <f>IFERROR(__xludf.DUMMYFUNCTION("""COMPUTED_VALUE"""),FALSE)</f>
        <v>0</v>
      </c>
      <c r="O538" s="20">
        <f>IFERROR(__xludf.DUMMYFUNCTION("""COMPUTED_VALUE"""),71.3556135943972)</f>
        <v>71.35561359</v>
      </c>
      <c r="P538" s="20">
        <f>IFERROR(__xludf.DUMMYFUNCTION("""COMPUTED_VALUE"""),85788.0)</f>
        <v>85788</v>
      </c>
      <c r="Q538" s="20">
        <f>IFERROR(__xludf.DUMMYFUNCTION("""COMPUTED_VALUE"""),120226.0)</f>
        <v>120226</v>
      </c>
    </row>
    <row r="539">
      <c r="A539" s="20">
        <f>IFERROR(__xludf.DUMMYFUNCTION("""COMPUTED_VALUE"""),538.0)</f>
        <v>538</v>
      </c>
      <c r="B539" s="20" t="str">
        <f>IFERROR(__xludf.DUMMYFUNCTION("""COMPUTED_VALUE"""),"Convert BST to Greater Tree")</f>
        <v>Convert BST to Greater Tree</v>
      </c>
      <c r="C539" s="20" t="str">
        <f>IFERROR(__xludf.DUMMYFUNCTION("""COMPUTED_VALUE"""),"convert-bst-to-greater-tree")</f>
        <v>convert-bst-to-greater-tree</v>
      </c>
      <c r="D539" s="20" t="b">
        <f>IFERROR(__xludf.DUMMYFUNCTION("""COMPUTED_VALUE"""),FALSE)</f>
        <v>0</v>
      </c>
      <c r="E539" s="20" t="str">
        <f>IFERROR(__xludf.DUMMYFUNCTION("""COMPUTED_VALUE"""),"Medium")</f>
        <v>Medium</v>
      </c>
      <c r="F539" s="20">
        <f>IFERROR(__xludf.DUMMYFUNCTION("""COMPUTED_VALUE"""),4641.0)</f>
        <v>4641</v>
      </c>
      <c r="G539" s="20">
        <f>IFERROR(__xludf.DUMMYFUNCTION("""COMPUTED_VALUE"""),167.0)</f>
        <v>167</v>
      </c>
      <c r="H539" s="20" t="str">
        <f>IFERROR(__xludf.DUMMYFUNCTION("""COMPUTED_VALUE"""),"Algorithms")</f>
        <v>Algorithms</v>
      </c>
      <c r="I539" s="20">
        <f>IFERROR(__xludf.DUMMYFUNCTION("""COMPUTED_VALUE"""),0.675)</f>
        <v>0.675</v>
      </c>
      <c r="J539" s="20">
        <f>IFERROR(__xludf.DUMMYFUNCTION("""COMPUTED_VALUE"""),538.0)</f>
        <v>538</v>
      </c>
      <c r="K539" s="20" t="b">
        <f>IFERROR(__xludf.DUMMYFUNCTION("""COMPUTED_VALUE"""),FALSE)</f>
        <v>0</v>
      </c>
      <c r="L539" s="20" t="str">
        <f>IFERROR(__xludf.DUMMYFUNCTION("""COMPUTED_VALUE"""),"Tree;Depth-First Search;Binary Search Tree;Binary Tree;")</f>
        <v>Tree;Depth-First Search;Binary Search Tree;Binary Tree;</v>
      </c>
      <c r="M539" s="20" t="b">
        <f>IFERROR(__xludf.DUMMYFUNCTION("""COMPUTED_VALUE"""),TRUE)</f>
        <v>1</v>
      </c>
      <c r="N539" s="20" t="b">
        <f>IFERROR(__xludf.DUMMYFUNCTION("""COMPUTED_VALUE"""),FALSE)</f>
        <v>0</v>
      </c>
      <c r="O539" s="20">
        <f>IFERROR(__xludf.DUMMYFUNCTION("""COMPUTED_VALUE"""),67.5098986976904)</f>
        <v>67.5098987</v>
      </c>
      <c r="P539" s="20">
        <f>IFERROR(__xludf.DUMMYFUNCTION("""COMPUTED_VALUE"""),259504.0)</f>
        <v>259504</v>
      </c>
      <c r="Q539" s="20">
        <f>IFERROR(__xludf.DUMMYFUNCTION("""COMPUTED_VALUE"""),384394.0)</f>
        <v>384394</v>
      </c>
    </row>
    <row r="540">
      <c r="A540" s="20">
        <f>IFERROR(__xludf.DUMMYFUNCTION("""COMPUTED_VALUE"""),539.0)</f>
        <v>539</v>
      </c>
      <c r="B540" s="20" t="str">
        <f>IFERROR(__xludf.DUMMYFUNCTION("""COMPUTED_VALUE"""),"Minimum Time Difference")</f>
        <v>Minimum Time Difference</v>
      </c>
      <c r="C540" s="20" t="str">
        <f>IFERROR(__xludf.DUMMYFUNCTION("""COMPUTED_VALUE"""),"minimum-time-difference")</f>
        <v>minimum-time-difference</v>
      </c>
      <c r="D540" s="20" t="b">
        <f>IFERROR(__xludf.DUMMYFUNCTION("""COMPUTED_VALUE"""),FALSE)</f>
        <v>0</v>
      </c>
      <c r="E540" s="20" t="str">
        <f>IFERROR(__xludf.DUMMYFUNCTION("""COMPUTED_VALUE"""),"Medium")</f>
        <v>Medium</v>
      </c>
      <c r="F540" s="20">
        <f>IFERROR(__xludf.DUMMYFUNCTION("""COMPUTED_VALUE"""),1389.0)</f>
        <v>1389</v>
      </c>
      <c r="G540" s="20">
        <f>IFERROR(__xludf.DUMMYFUNCTION("""COMPUTED_VALUE"""),233.0)</f>
        <v>233</v>
      </c>
      <c r="H540" s="20" t="str">
        <f>IFERROR(__xludf.DUMMYFUNCTION("""COMPUTED_VALUE"""),"Algorithms")</f>
        <v>Algorithms</v>
      </c>
      <c r="I540" s="20">
        <f>IFERROR(__xludf.DUMMYFUNCTION("""COMPUTED_VALUE"""),0.563)</f>
        <v>0.563</v>
      </c>
      <c r="J540" s="20">
        <f>IFERROR(__xludf.DUMMYFUNCTION("""COMPUTED_VALUE"""),539.0)</f>
        <v>539</v>
      </c>
      <c r="K540" s="20" t="b">
        <f>IFERROR(__xludf.DUMMYFUNCTION("""COMPUTED_VALUE"""),FALSE)</f>
        <v>0</v>
      </c>
      <c r="L540" s="20" t="str">
        <f>IFERROR(__xludf.DUMMYFUNCTION("""COMPUTED_VALUE"""),"Array;Math;String;Sorting;")</f>
        <v>Array;Math;String;Sorting;</v>
      </c>
      <c r="M540" s="20" t="b">
        <f>IFERROR(__xludf.DUMMYFUNCTION("""COMPUTED_VALUE"""),FALSE)</f>
        <v>0</v>
      </c>
      <c r="N540" s="20" t="b">
        <f>IFERROR(__xludf.DUMMYFUNCTION("""COMPUTED_VALUE"""),FALSE)</f>
        <v>0</v>
      </c>
      <c r="O540" s="20">
        <f>IFERROR(__xludf.DUMMYFUNCTION("""COMPUTED_VALUE"""),56.2648685797772)</f>
        <v>56.26486858</v>
      </c>
      <c r="P540" s="20">
        <f>IFERROR(__xludf.DUMMYFUNCTION("""COMPUTED_VALUE"""),117072.0)</f>
        <v>117072</v>
      </c>
      <c r="Q540" s="20">
        <f>IFERROR(__xludf.DUMMYFUNCTION("""COMPUTED_VALUE"""),208073.0)</f>
        <v>208073</v>
      </c>
    </row>
    <row r="541">
      <c r="A541" s="20">
        <f>IFERROR(__xludf.DUMMYFUNCTION("""COMPUTED_VALUE"""),540.0)</f>
        <v>540</v>
      </c>
      <c r="B541" s="20" t="str">
        <f>IFERROR(__xludf.DUMMYFUNCTION("""COMPUTED_VALUE"""),"Single Element in a Sorted Array")</f>
        <v>Single Element in a Sorted Array</v>
      </c>
      <c r="C541" s="20" t="str">
        <f>IFERROR(__xludf.DUMMYFUNCTION("""COMPUTED_VALUE"""),"single-element-in-a-sorted-array")</f>
        <v>single-element-in-a-sorted-array</v>
      </c>
      <c r="D541" s="20" t="b">
        <f>IFERROR(__xludf.DUMMYFUNCTION("""COMPUTED_VALUE"""),FALSE)</f>
        <v>0</v>
      </c>
      <c r="E541" s="20" t="str">
        <f>IFERROR(__xludf.DUMMYFUNCTION("""COMPUTED_VALUE"""),"Medium")</f>
        <v>Medium</v>
      </c>
      <c r="F541" s="20">
        <f>IFERROR(__xludf.DUMMYFUNCTION("""COMPUTED_VALUE"""),6762.0)</f>
        <v>6762</v>
      </c>
      <c r="G541" s="20">
        <f>IFERROR(__xludf.DUMMYFUNCTION("""COMPUTED_VALUE"""),117.0)</f>
        <v>117</v>
      </c>
      <c r="H541" s="20" t="str">
        <f>IFERROR(__xludf.DUMMYFUNCTION("""COMPUTED_VALUE"""),"Algorithms")</f>
        <v>Algorithms</v>
      </c>
      <c r="I541" s="20">
        <f>IFERROR(__xludf.DUMMYFUNCTION("""COMPUTED_VALUE"""),0.584)</f>
        <v>0.584</v>
      </c>
      <c r="J541" s="20">
        <f>IFERROR(__xludf.DUMMYFUNCTION("""COMPUTED_VALUE"""),540.0)</f>
        <v>540</v>
      </c>
      <c r="K541" s="20" t="b">
        <f>IFERROR(__xludf.DUMMYFUNCTION("""COMPUTED_VALUE"""),FALSE)</f>
        <v>0</v>
      </c>
      <c r="L541" s="20" t="str">
        <f>IFERROR(__xludf.DUMMYFUNCTION("""COMPUTED_VALUE"""),"Array;Binary Search;")</f>
        <v>Array;Binary Search;</v>
      </c>
      <c r="M541" s="20" t="b">
        <f>IFERROR(__xludf.DUMMYFUNCTION("""COMPUTED_VALUE"""),TRUE)</f>
        <v>1</v>
      </c>
      <c r="N541" s="20" t="b">
        <f>IFERROR(__xludf.DUMMYFUNCTION("""COMPUTED_VALUE"""),FALSE)</f>
        <v>0</v>
      </c>
      <c r="O541" s="20">
        <f>IFERROR(__xludf.DUMMYFUNCTION("""COMPUTED_VALUE"""),58.4400999024132)</f>
        <v>58.4400999</v>
      </c>
      <c r="P541" s="20">
        <f>IFERROR(__xludf.DUMMYFUNCTION("""COMPUTED_VALUE"""),353321.0)</f>
        <v>353321</v>
      </c>
      <c r="Q541" s="20">
        <f>IFERROR(__xludf.DUMMYFUNCTION("""COMPUTED_VALUE"""),604586.0)</f>
        <v>604586</v>
      </c>
    </row>
    <row r="542">
      <c r="A542" s="20">
        <f>IFERROR(__xludf.DUMMYFUNCTION("""COMPUTED_VALUE"""),541.0)</f>
        <v>541</v>
      </c>
      <c r="B542" s="20" t="str">
        <f>IFERROR(__xludf.DUMMYFUNCTION("""COMPUTED_VALUE"""),"Reverse String II")</f>
        <v>Reverse String II</v>
      </c>
      <c r="C542" s="20" t="str">
        <f>IFERROR(__xludf.DUMMYFUNCTION("""COMPUTED_VALUE"""),"reverse-string-ii")</f>
        <v>reverse-string-ii</v>
      </c>
      <c r="D542" s="20" t="b">
        <f>IFERROR(__xludf.DUMMYFUNCTION("""COMPUTED_VALUE"""),FALSE)</f>
        <v>0</v>
      </c>
      <c r="E542" s="20" t="str">
        <f>IFERROR(__xludf.DUMMYFUNCTION("""COMPUTED_VALUE"""),"Easy")</f>
        <v>Easy</v>
      </c>
      <c r="F542" s="20">
        <f>IFERROR(__xludf.DUMMYFUNCTION("""COMPUTED_VALUE"""),1389.0)</f>
        <v>1389</v>
      </c>
      <c r="G542" s="20">
        <f>IFERROR(__xludf.DUMMYFUNCTION("""COMPUTED_VALUE"""),2943.0)</f>
        <v>2943</v>
      </c>
      <c r="H542" s="20" t="str">
        <f>IFERROR(__xludf.DUMMYFUNCTION("""COMPUTED_VALUE"""),"Algorithms")</f>
        <v>Algorithms</v>
      </c>
      <c r="I542" s="20">
        <f>IFERROR(__xludf.DUMMYFUNCTION("""COMPUTED_VALUE"""),0.506)</f>
        <v>0.506</v>
      </c>
      <c r="J542" s="20">
        <f>IFERROR(__xludf.DUMMYFUNCTION("""COMPUTED_VALUE"""),541.0)</f>
        <v>541</v>
      </c>
      <c r="K542" s="20" t="b">
        <f>IFERROR(__xludf.DUMMYFUNCTION("""COMPUTED_VALUE"""),FALSE)</f>
        <v>0</v>
      </c>
      <c r="L542" s="20" t="str">
        <f>IFERROR(__xludf.DUMMYFUNCTION("""COMPUTED_VALUE"""),"Two Pointers;String;")</f>
        <v>Two Pointers;String;</v>
      </c>
      <c r="M542" s="20" t="b">
        <f>IFERROR(__xludf.DUMMYFUNCTION("""COMPUTED_VALUE"""),TRUE)</f>
        <v>1</v>
      </c>
      <c r="N542" s="20" t="b">
        <f>IFERROR(__xludf.DUMMYFUNCTION("""COMPUTED_VALUE"""),FALSE)</f>
        <v>0</v>
      </c>
      <c r="O542" s="20">
        <f>IFERROR(__xludf.DUMMYFUNCTION("""COMPUTED_VALUE"""),50.5635042495356)</f>
        <v>50.56350425</v>
      </c>
      <c r="P542" s="20">
        <f>IFERROR(__xludf.DUMMYFUNCTION("""COMPUTED_VALUE"""),182107.0)</f>
        <v>182107</v>
      </c>
      <c r="Q542" s="20">
        <f>IFERROR(__xludf.DUMMYFUNCTION("""COMPUTED_VALUE"""),360156.0)</f>
        <v>360156</v>
      </c>
    </row>
    <row r="543">
      <c r="A543" s="20">
        <f>IFERROR(__xludf.DUMMYFUNCTION("""COMPUTED_VALUE"""),542.0)</f>
        <v>542</v>
      </c>
      <c r="B543" s="20" t="str">
        <f>IFERROR(__xludf.DUMMYFUNCTION("""COMPUTED_VALUE"""),"01 Matrix")</f>
        <v>01 Matrix</v>
      </c>
      <c r="C543" s="20" t="str">
        <f>IFERROR(__xludf.DUMMYFUNCTION("""COMPUTED_VALUE"""),"01-matrix")</f>
        <v>01-matrix</v>
      </c>
      <c r="D543" s="20" t="b">
        <f>IFERROR(__xludf.DUMMYFUNCTION("""COMPUTED_VALUE"""),FALSE)</f>
        <v>0</v>
      </c>
      <c r="E543" s="20" t="str">
        <f>IFERROR(__xludf.DUMMYFUNCTION("""COMPUTED_VALUE"""),"Medium")</f>
        <v>Medium</v>
      </c>
      <c r="F543" s="20">
        <f>IFERROR(__xludf.DUMMYFUNCTION("""COMPUTED_VALUE"""),6297.0)</f>
        <v>6297</v>
      </c>
      <c r="G543" s="20">
        <f>IFERROR(__xludf.DUMMYFUNCTION("""COMPUTED_VALUE"""),303.0)</f>
        <v>303</v>
      </c>
      <c r="H543" s="20" t="str">
        <f>IFERROR(__xludf.DUMMYFUNCTION("""COMPUTED_VALUE"""),"Algorithms")</f>
        <v>Algorithms</v>
      </c>
      <c r="I543" s="20">
        <f>IFERROR(__xludf.DUMMYFUNCTION("""COMPUTED_VALUE"""),0.443)</f>
        <v>0.443</v>
      </c>
      <c r="J543" s="20">
        <f>IFERROR(__xludf.DUMMYFUNCTION("""COMPUTED_VALUE"""),542.0)</f>
        <v>542</v>
      </c>
      <c r="K543" s="20" t="b">
        <f>IFERROR(__xludf.DUMMYFUNCTION("""COMPUTED_VALUE"""),FALSE)</f>
        <v>0</v>
      </c>
      <c r="L543" s="20" t="str">
        <f>IFERROR(__xludf.DUMMYFUNCTION("""COMPUTED_VALUE"""),"Array;Dynamic Programming;Breadth-First Search;Matrix;")</f>
        <v>Array;Dynamic Programming;Breadth-First Search;Matrix;</v>
      </c>
      <c r="M543" s="20" t="b">
        <f>IFERROR(__xludf.DUMMYFUNCTION("""COMPUTED_VALUE"""),TRUE)</f>
        <v>1</v>
      </c>
      <c r="N543" s="20" t="b">
        <f>IFERROR(__xludf.DUMMYFUNCTION("""COMPUTED_VALUE"""),FALSE)</f>
        <v>0</v>
      </c>
      <c r="O543" s="20">
        <f>IFERROR(__xludf.DUMMYFUNCTION("""COMPUTED_VALUE"""),44.335353724706)</f>
        <v>44.33535372</v>
      </c>
      <c r="P543" s="20">
        <f>IFERROR(__xludf.DUMMYFUNCTION("""COMPUTED_VALUE"""),340560.0)</f>
        <v>340560</v>
      </c>
      <c r="Q543" s="20">
        <f>IFERROR(__xludf.DUMMYFUNCTION("""COMPUTED_VALUE"""),768153.0)</f>
        <v>768153</v>
      </c>
    </row>
    <row r="544">
      <c r="A544" s="20">
        <f>IFERROR(__xludf.DUMMYFUNCTION("""COMPUTED_VALUE"""),543.0)</f>
        <v>543</v>
      </c>
      <c r="B544" s="20" t="str">
        <f>IFERROR(__xludf.DUMMYFUNCTION("""COMPUTED_VALUE"""),"Diameter of Binary Tree")</f>
        <v>Diameter of Binary Tree</v>
      </c>
      <c r="C544" s="20" t="str">
        <f>IFERROR(__xludf.DUMMYFUNCTION("""COMPUTED_VALUE"""),"diameter-of-binary-tree")</f>
        <v>diameter-of-binary-tree</v>
      </c>
      <c r="D544" s="20" t="b">
        <f>IFERROR(__xludf.DUMMYFUNCTION("""COMPUTED_VALUE"""),FALSE)</f>
        <v>0</v>
      </c>
      <c r="E544" s="20" t="str">
        <f>IFERROR(__xludf.DUMMYFUNCTION("""COMPUTED_VALUE"""),"Easy")</f>
        <v>Easy</v>
      </c>
      <c r="F544" s="20">
        <f>IFERROR(__xludf.DUMMYFUNCTION("""COMPUTED_VALUE"""),10366.0)</f>
        <v>10366</v>
      </c>
      <c r="G544" s="20">
        <f>IFERROR(__xludf.DUMMYFUNCTION("""COMPUTED_VALUE"""),655.0)</f>
        <v>655</v>
      </c>
      <c r="H544" s="20" t="str">
        <f>IFERROR(__xludf.DUMMYFUNCTION("""COMPUTED_VALUE"""),"Algorithms")</f>
        <v>Algorithms</v>
      </c>
      <c r="I544" s="20">
        <f>IFERROR(__xludf.DUMMYFUNCTION("""COMPUTED_VALUE"""),0.563)</f>
        <v>0.563</v>
      </c>
      <c r="J544" s="20">
        <f>IFERROR(__xludf.DUMMYFUNCTION("""COMPUTED_VALUE"""),543.0)</f>
        <v>543</v>
      </c>
      <c r="K544" s="20" t="b">
        <f>IFERROR(__xludf.DUMMYFUNCTION("""COMPUTED_VALUE"""),FALSE)</f>
        <v>0</v>
      </c>
      <c r="L544" s="20" t="str">
        <f>IFERROR(__xludf.DUMMYFUNCTION("""COMPUTED_VALUE"""),"Tree;Depth-First Search;Binary Tree;")</f>
        <v>Tree;Depth-First Search;Binary Tree;</v>
      </c>
      <c r="M544" s="20" t="b">
        <f>IFERROR(__xludf.DUMMYFUNCTION("""COMPUTED_VALUE"""),TRUE)</f>
        <v>1</v>
      </c>
      <c r="N544" s="20" t="b">
        <f>IFERROR(__xludf.DUMMYFUNCTION("""COMPUTED_VALUE"""),FALSE)</f>
        <v>0</v>
      </c>
      <c r="O544" s="20">
        <f>IFERROR(__xludf.DUMMYFUNCTION("""COMPUTED_VALUE"""),56.2624468740913)</f>
        <v>56.26244687</v>
      </c>
      <c r="P544" s="20">
        <f>IFERROR(__xludf.DUMMYFUNCTION("""COMPUTED_VALUE"""),950082.0)</f>
        <v>950082</v>
      </c>
      <c r="Q544" s="20">
        <f>IFERROR(__xludf.DUMMYFUNCTION("""COMPUTED_VALUE"""),1688660.0)</f>
        <v>1688660</v>
      </c>
    </row>
    <row r="545">
      <c r="A545" s="20">
        <f>IFERROR(__xludf.DUMMYFUNCTION("""COMPUTED_VALUE"""),544.0)</f>
        <v>544</v>
      </c>
      <c r="B545" s="20" t="str">
        <f>IFERROR(__xludf.DUMMYFUNCTION("""COMPUTED_VALUE"""),"Output Contest Matches")</f>
        <v>Output Contest Matches</v>
      </c>
      <c r="C545" s="20" t="str">
        <f>IFERROR(__xludf.DUMMYFUNCTION("""COMPUTED_VALUE"""),"output-contest-matches")</f>
        <v>output-contest-matches</v>
      </c>
      <c r="D545" s="20" t="b">
        <f>IFERROR(__xludf.DUMMYFUNCTION("""COMPUTED_VALUE"""),TRUE)</f>
        <v>1</v>
      </c>
      <c r="E545" s="20" t="str">
        <f>IFERROR(__xludf.DUMMYFUNCTION("""COMPUTED_VALUE"""),"Medium")</f>
        <v>Medium</v>
      </c>
      <c r="F545" s="20">
        <f>IFERROR(__xludf.DUMMYFUNCTION("""COMPUTED_VALUE"""),370.0)</f>
        <v>370</v>
      </c>
      <c r="G545" s="20">
        <f>IFERROR(__xludf.DUMMYFUNCTION("""COMPUTED_VALUE"""),119.0)</f>
        <v>119</v>
      </c>
      <c r="H545" s="20" t="str">
        <f>IFERROR(__xludf.DUMMYFUNCTION("""COMPUTED_VALUE"""),"Algorithms")</f>
        <v>Algorithms</v>
      </c>
      <c r="I545" s="20">
        <f>IFERROR(__xludf.DUMMYFUNCTION("""COMPUTED_VALUE"""),0.768)</f>
        <v>0.768</v>
      </c>
      <c r="J545" s="20">
        <f>IFERROR(__xludf.DUMMYFUNCTION("""COMPUTED_VALUE"""),544.0)</f>
        <v>544</v>
      </c>
      <c r="K545" s="20" t="b">
        <f>IFERROR(__xludf.DUMMYFUNCTION("""COMPUTED_VALUE"""),TRUE)</f>
        <v>1</v>
      </c>
      <c r="L545" s="20" t="str">
        <f>IFERROR(__xludf.DUMMYFUNCTION("""COMPUTED_VALUE"""),"String;Recursion;Simulation;")</f>
        <v>String;Recursion;Simulation;</v>
      </c>
      <c r="M545" s="20" t="b">
        <f>IFERROR(__xludf.DUMMYFUNCTION("""COMPUTED_VALUE"""),FALSE)</f>
        <v>0</v>
      </c>
      <c r="N545" s="20" t="b">
        <f>IFERROR(__xludf.DUMMYFUNCTION("""COMPUTED_VALUE"""),FALSE)</f>
        <v>0</v>
      </c>
      <c r="O545" s="20">
        <f>IFERROR(__xludf.DUMMYFUNCTION("""COMPUTED_VALUE"""),76.8123747120246)</f>
        <v>76.81237471</v>
      </c>
      <c r="P545" s="20">
        <f>IFERROR(__xludf.DUMMYFUNCTION("""COMPUTED_VALUE"""),25673.0)</f>
        <v>25673</v>
      </c>
      <c r="Q545" s="20">
        <f>IFERROR(__xludf.DUMMYFUNCTION("""COMPUTED_VALUE"""),33423.0)</f>
        <v>33423</v>
      </c>
    </row>
    <row r="546">
      <c r="A546" s="20">
        <f>IFERROR(__xludf.DUMMYFUNCTION("""COMPUTED_VALUE"""),545.0)</f>
        <v>545</v>
      </c>
      <c r="B546" s="20" t="str">
        <f>IFERROR(__xludf.DUMMYFUNCTION("""COMPUTED_VALUE"""),"Boundary of Binary Tree")</f>
        <v>Boundary of Binary Tree</v>
      </c>
      <c r="C546" s="20" t="str">
        <f>IFERROR(__xludf.DUMMYFUNCTION("""COMPUTED_VALUE"""),"boundary-of-binary-tree")</f>
        <v>boundary-of-binary-tree</v>
      </c>
      <c r="D546" s="20" t="b">
        <f>IFERROR(__xludf.DUMMYFUNCTION("""COMPUTED_VALUE"""),TRUE)</f>
        <v>1</v>
      </c>
      <c r="E546" s="20" t="str">
        <f>IFERROR(__xludf.DUMMYFUNCTION("""COMPUTED_VALUE"""),"Medium")</f>
        <v>Medium</v>
      </c>
      <c r="F546" s="20">
        <f>IFERROR(__xludf.DUMMYFUNCTION("""COMPUTED_VALUE"""),1227.0)</f>
        <v>1227</v>
      </c>
      <c r="G546" s="20">
        <f>IFERROR(__xludf.DUMMYFUNCTION("""COMPUTED_VALUE"""),1964.0)</f>
        <v>1964</v>
      </c>
      <c r="H546" s="20" t="str">
        <f>IFERROR(__xludf.DUMMYFUNCTION("""COMPUTED_VALUE"""),"Algorithms")</f>
        <v>Algorithms</v>
      </c>
      <c r="I546" s="20">
        <f>IFERROR(__xludf.DUMMYFUNCTION("""COMPUTED_VALUE"""),0.444)</f>
        <v>0.444</v>
      </c>
      <c r="J546" s="20">
        <f>IFERROR(__xludf.DUMMYFUNCTION("""COMPUTED_VALUE"""),545.0)</f>
        <v>545</v>
      </c>
      <c r="K546" s="20" t="b">
        <f>IFERROR(__xludf.DUMMYFUNCTION("""COMPUTED_VALUE"""),TRUE)</f>
        <v>1</v>
      </c>
      <c r="L546" s="20" t="str">
        <f>IFERROR(__xludf.DUMMYFUNCTION("""COMPUTED_VALUE"""),"Tree;Depth-First Search;Binary Tree;")</f>
        <v>Tree;Depth-First Search;Binary Tree;</v>
      </c>
      <c r="M546" s="20" t="b">
        <f>IFERROR(__xludf.DUMMYFUNCTION("""COMPUTED_VALUE"""),TRUE)</f>
        <v>1</v>
      </c>
      <c r="N546" s="20" t="b">
        <f>IFERROR(__xludf.DUMMYFUNCTION("""COMPUTED_VALUE"""),FALSE)</f>
        <v>0</v>
      </c>
      <c r="O546" s="20">
        <f>IFERROR(__xludf.DUMMYFUNCTION("""COMPUTED_VALUE"""),44.3773839074892)</f>
        <v>44.37738391</v>
      </c>
      <c r="P546" s="20">
        <f>IFERROR(__xludf.DUMMYFUNCTION("""COMPUTED_VALUE"""),117277.0)</f>
        <v>117277</v>
      </c>
      <c r="Q546" s="20">
        <f>IFERROR(__xludf.DUMMYFUNCTION("""COMPUTED_VALUE"""),264272.0)</f>
        <v>264272</v>
      </c>
    </row>
    <row r="547">
      <c r="A547" s="20">
        <f>IFERROR(__xludf.DUMMYFUNCTION("""COMPUTED_VALUE"""),546.0)</f>
        <v>546</v>
      </c>
      <c r="B547" s="20" t="str">
        <f>IFERROR(__xludf.DUMMYFUNCTION("""COMPUTED_VALUE"""),"Remove Boxes")</f>
        <v>Remove Boxes</v>
      </c>
      <c r="C547" s="20" t="str">
        <f>IFERROR(__xludf.DUMMYFUNCTION("""COMPUTED_VALUE"""),"remove-boxes")</f>
        <v>remove-boxes</v>
      </c>
      <c r="D547" s="20" t="b">
        <f>IFERROR(__xludf.DUMMYFUNCTION("""COMPUTED_VALUE"""),FALSE)</f>
        <v>0</v>
      </c>
      <c r="E547" s="20" t="str">
        <f>IFERROR(__xludf.DUMMYFUNCTION("""COMPUTED_VALUE"""),"Hard")</f>
        <v>Hard</v>
      </c>
      <c r="F547" s="20">
        <f>IFERROR(__xludf.DUMMYFUNCTION("""COMPUTED_VALUE"""),1823.0)</f>
        <v>1823</v>
      </c>
      <c r="G547" s="20">
        <f>IFERROR(__xludf.DUMMYFUNCTION("""COMPUTED_VALUE"""),102.0)</f>
        <v>102</v>
      </c>
      <c r="H547" s="20" t="str">
        <f>IFERROR(__xludf.DUMMYFUNCTION("""COMPUTED_VALUE"""),"Algorithms")</f>
        <v>Algorithms</v>
      </c>
      <c r="I547" s="20">
        <f>IFERROR(__xludf.DUMMYFUNCTION("""COMPUTED_VALUE"""),0.478)</f>
        <v>0.478</v>
      </c>
      <c r="J547" s="20">
        <f>IFERROR(__xludf.DUMMYFUNCTION("""COMPUTED_VALUE"""),546.0)</f>
        <v>546</v>
      </c>
      <c r="K547" s="20" t="b">
        <f>IFERROR(__xludf.DUMMYFUNCTION("""COMPUTED_VALUE"""),FALSE)</f>
        <v>0</v>
      </c>
      <c r="L547" s="20" t="str">
        <f>IFERROR(__xludf.DUMMYFUNCTION("""COMPUTED_VALUE"""),"Array;Dynamic Programming;Memoization;")</f>
        <v>Array;Dynamic Programming;Memoization;</v>
      </c>
      <c r="M547" s="20" t="b">
        <f>IFERROR(__xludf.DUMMYFUNCTION("""COMPUTED_VALUE"""),TRUE)</f>
        <v>1</v>
      </c>
      <c r="N547" s="20" t="b">
        <f>IFERROR(__xludf.DUMMYFUNCTION("""COMPUTED_VALUE"""),FALSE)</f>
        <v>0</v>
      </c>
      <c r="O547" s="20">
        <f>IFERROR(__xludf.DUMMYFUNCTION("""COMPUTED_VALUE"""),47.8264673532646)</f>
        <v>47.82646735</v>
      </c>
      <c r="P547" s="20">
        <f>IFERROR(__xludf.DUMMYFUNCTION("""COMPUTED_VALUE"""),38265.0)</f>
        <v>38265</v>
      </c>
      <c r="Q547" s="20">
        <f>IFERROR(__xludf.DUMMYFUNCTION("""COMPUTED_VALUE"""),80007.0)</f>
        <v>80007</v>
      </c>
    </row>
    <row r="548">
      <c r="A548" s="20">
        <f>IFERROR(__xludf.DUMMYFUNCTION("""COMPUTED_VALUE"""),547.0)</f>
        <v>547</v>
      </c>
      <c r="B548" s="20" t="str">
        <f>IFERROR(__xludf.DUMMYFUNCTION("""COMPUTED_VALUE"""),"Number of Provinces")</f>
        <v>Number of Provinces</v>
      </c>
      <c r="C548" s="20" t="str">
        <f>IFERROR(__xludf.DUMMYFUNCTION("""COMPUTED_VALUE"""),"number-of-provinces")</f>
        <v>number-of-provinces</v>
      </c>
      <c r="D548" s="20" t="b">
        <f>IFERROR(__xludf.DUMMYFUNCTION("""COMPUTED_VALUE"""),FALSE)</f>
        <v>0</v>
      </c>
      <c r="E548" s="20" t="str">
        <f>IFERROR(__xludf.DUMMYFUNCTION("""COMPUTED_VALUE"""),"Medium")</f>
        <v>Medium</v>
      </c>
      <c r="F548" s="20">
        <f>IFERROR(__xludf.DUMMYFUNCTION("""COMPUTED_VALUE"""),6772.0)</f>
        <v>6772</v>
      </c>
      <c r="G548" s="20">
        <f>IFERROR(__xludf.DUMMYFUNCTION("""COMPUTED_VALUE"""),279.0)</f>
        <v>279</v>
      </c>
      <c r="H548" s="20" t="str">
        <f>IFERROR(__xludf.DUMMYFUNCTION("""COMPUTED_VALUE"""),"Algorithms")</f>
        <v>Algorithms</v>
      </c>
      <c r="I548" s="20">
        <f>IFERROR(__xludf.DUMMYFUNCTION("""COMPUTED_VALUE"""),0.635)</f>
        <v>0.635</v>
      </c>
      <c r="J548" s="20">
        <f>IFERROR(__xludf.DUMMYFUNCTION("""COMPUTED_VALUE"""),547.0)</f>
        <v>547</v>
      </c>
      <c r="K548" s="20" t="b">
        <f>IFERROR(__xludf.DUMMYFUNCTION("""COMPUTED_VALUE"""),FALSE)</f>
        <v>0</v>
      </c>
      <c r="L548" s="20" t="str">
        <f>IFERROR(__xludf.DUMMYFUNCTION("""COMPUTED_VALUE"""),"Depth-First Search;Breadth-First Search;Union Find;Graph;")</f>
        <v>Depth-First Search;Breadth-First Search;Union Find;Graph;</v>
      </c>
      <c r="M548" s="20" t="b">
        <f>IFERROR(__xludf.DUMMYFUNCTION("""COMPUTED_VALUE"""),TRUE)</f>
        <v>1</v>
      </c>
      <c r="N548" s="20" t="b">
        <f>IFERROR(__xludf.DUMMYFUNCTION("""COMPUTED_VALUE"""),FALSE)</f>
        <v>0</v>
      </c>
      <c r="O548" s="20">
        <f>IFERROR(__xludf.DUMMYFUNCTION("""COMPUTED_VALUE"""),63.4727072462871)</f>
        <v>63.47270725</v>
      </c>
      <c r="P548" s="20">
        <f>IFERROR(__xludf.DUMMYFUNCTION("""COMPUTED_VALUE"""),574524.0)</f>
        <v>574524</v>
      </c>
      <c r="Q548" s="20">
        <f>IFERROR(__xludf.DUMMYFUNCTION("""COMPUTED_VALUE"""),905149.0)</f>
        <v>905149</v>
      </c>
    </row>
    <row r="549">
      <c r="A549" s="20">
        <f>IFERROR(__xludf.DUMMYFUNCTION("""COMPUTED_VALUE"""),548.0)</f>
        <v>548</v>
      </c>
      <c r="B549" s="20" t="str">
        <f>IFERROR(__xludf.DUMMYFUNCTION("""COMPUTED_VALUE"""),"Split Array with Equal Sum")</f>
        <v>Split Array with Equal Sum</v>
      </c>
      <c r="C549" s="20" t="str">
        <f>IFERROR(__xludf.DUMMYFUNCTION("""COMPUTED_VALUE"""),"split-array-with-equal-sum")</f>
        <v>split-array-with-equal-sum</v>
      </c>
      <c r="D549" s="20" t="b">
        <f>IFERROR(__xludf.DUMMYFUNCTION("""COMPUTED_VALUE"""),TRUE)</f>
        <v>1</v>
      </c>
      <c r="E549" s="20" t="str">
        <f>IFERROR(__xludf.DUMMYFUNCTION("""COMPUTED_VALUE"""),"Hard")</f>
        <v>Hard</v>
      </c>
      <c r="F549" s="20">
        <f>IFERROR(__xludf.DUMMYFUNCTION("""COMPUTED_VALUE"""),394.0)</f>
        <v>394</v>
      </c>
      <c r="G549" s="20">
        <f>IFERROR(__xludf.DUMMYFUNCTION("""COMPUTED_VALUE"""),128.0)</f>
        <v>128</v>
      </c>
      <c r="H549" s="20" t="str">
        <f>IFERROR(__xludf.DUMMYFUNCTION("""COMPUTED_VALUE"""),"Algorithms")</f>
        <v>Algorithms</v>
      </c>
      <c r="I549" s="20">
        <f>IFERROR(__xludf.DUMMYFUNCTION("""COMPUTED_VALUE"""),0.501)</f>
        <v>0.501</v>
      </c>
      <c r="J549" s="20">
        <f>IFERROR(__xludf.DUMMYFUNCTION("""COMPUTED_VALUE"""),548.0)</f>
        <v>548</v>
      </c>
      <c r="K549" s="20" t="b">
        <f>IFERROR(__xludf.DUMMYFUNCTION("""COMPUTED_VALUE"""),TRUE)</f>
        <v>1</v>
      </c>
      <c r="L549" s="20" t="str">
        <f>IFERROR(__xludf.DUMMYFUNCTION("""COMPUTED_VALUE"""),"Array;Prefix Sum;")</f>
        <v>Array;Prefix Sum;</v>
      </c>
      <c r="M549" s="20" t="b">
        <f>IFERROR(__xludf.DUMMYFUNCTION("""COMPUTED_VALUE"""),TRUE)</f>
        <v>1</v>
      </c>
      <c r="N549" s="20" t="b">
        <f>IFERROR(__xludf.DUMMYFUNCTION("""COMPUTED_VALUE"""),FALSE)</f>
        <v>0</v>
      </c>
      <c r="O549" s="20">
        <f>IFERROR(__xludf.DUMMYFUNCTION("""COMPUTED_VALUE"""),50.0837156711387)</f>
        <v>50.08371567</v>
      </c>
      <c r="P549" s="20">
        <f>IFERROR(__xludf.DUMMYFUNCTION("""COMPUTED_VALUE"""),23033.0)</f>
        <v>23033</v>
      </c>
      <c r="Q549" s="20">
        <f>IFERROR(__xludf.DUMMYFUNCTION("""COMPUTED_VALUE"""),45989.0)</f>
        <v>45989</v>
      </c>
    </row>
    <row r="550">
      <c r="A550" s="20">
        <f>IFERROR(__xludf.DUMMYFUNCTION("""COMPUTED_VALUE"""),549.0)</f>
        <v>549</v>
      </c>
      <c r="B550" s="20" t="str">
        <f>IFERROR(__xludf.DUMMYFUNCTION("""COMPUTED_VALUE"""),"Binary Tree Longest Consecutive Sequence II")</f>
        <v>Binary Tree Longest Consecutive Sequence II</v>
      </c>
      <c r="C550" s="20" t="str">
        <f>IFERROR(__xludf.DUMMYFUNCTION("""COMPUTED_VALUE"""),"binary-tree-longest-consecutive-sequence-ii")</f>
        <v>binary-tree-longest-consecutive-sequence-ii</v>
      </c>
      <c r="D550" s="20" t="b">
        <f>IFERROR(__xludf.DUMMYFUNCTION("""COMPUTED_VALUE"""),TRUE)</f>
        <v>1</v>
      </c>
      <c r="E550" s="20" t="str">
        <f>IFERROR(__xludf.DUMMYFUNCTION("""COMPUTED_VALUE"""),"Medium")</f>
        <v>Medium</v>
      </c>
      <c r="F550" s="20">
        <f>IFERROR(__xludf.DUMMYFUNCTION("""COMPUTED_VALUE"""),1065.0)</f>
        <v>1065</v>
      </c>
      <c r="G550" s="20">
        <f>IFERROR(__xludf.DUMMYFUNCTION("""COMPUTED_VALUE"""),85.0)</f>
        <v>85</v>
      </c>
      <c r="H550" s="20" t="str">
        <f>IFERROR(__xludf.DUMMYFUNCTION("""COMPUTED_VALUE"""),"Algorithms")</f>
        <v>Algorithms</v>
      </c>
      <c r="I550" s="20">
        <f>IFERROR(__xludf.DUMMYFUNCTION("""COMPUTED_VALUE"""),0.494)</f>
        <v>0.494</v>
      </c>
      <c r="J550" s="20">
        <f>IFERROR(__xludf.DUMMYFUNCTION("""COMPUTED_VALUE"""),549.0)</f>
        <v>549</v>
      </c>
      <c r="K550" s="20" t="b">
        <f>IFERROR(__xludf.DUMMYFUNCTION("""COMPUTED_VALUE"""),TRUE)</f>
        <v>1</v>
      </c>
      <c r="L550" s="20" t="str">
        <f>IFERROR(__xludf.DUMMYFUNCTION("""COMPUTED_VALUE"""),"Tree;Depth-First Search;Binary Tree;")</f>
        <v>Tree;Depth-First Search;Binary Tree;</v>
      </c>
      <c r="M550" s="20" t="b">
        <f>IFERROR(__xludf.DUMMYFUNCTION("""COMPUTED_VALUE"""),TRUE)</f>
        <v>1</v>
      </c>
      <c r="N550" s="20" t="b">
        <f>IFERROR(__xludf.DUMMYFUNCTION("""COMPUTED_VALUE"""),FALSE)</f>
        <v>0</v>
      </c>
      <c r="O550" s="20">
        <f>IFERROR(__xludf.DUMMYFUNCTION("""COMPUTED_VALUE"""),49.4477664438972)</f>
        <v>49.44776644</v>
      </c>
      <c r="P550" s="20">
        <f>IFERROR(__xludf.DUMMYFUNCTION("""COMPUTED_VALUE"""),49202.0)</f>
        <v>49202</v>
      </c>
      <c r="Q550" s="20">
        <f>IFERROR(__xludf.DUMMYFUNCTION("""COMPUTED_VALUE"""),99504.0)</f>
        <v>99504</v>
      </c>
    </row>
    <row r="551">
      <c r="A551" s="20">
        <f>IFERROR(__xludf.DUMMYFUNCTION("""COMPUTED_VALUE"""),1182.0)</f>
        <v>1182</v>
      </c>
      <c r="B551" s="20" t="str">
        <f>IFERROR(__xludf.DUMMYFUNCTION("""COMPUTED_VALUE"""),"Game Play Analysis IV")</f>
        <v>Game Play Analysis IV</v>
      </c>
      <c r="C551" s="20" t="str">
        <f>IFERROR(__xludf.DUMMYFUNCTION("""COMPUTED_VALUE"""),"game-play-analysis-iv")</f>
        <v>game-play-analysis-iv</v>
      </c>
      <c r="D551" s="20" t="b">
        <f>IFERROR(__xludf.DUMMYFUNCTION("""COMPUTED_VALUE"""),TRUE)</f>
        <v>1</v>
      </c>
      <c r="E551" s="20" t="str">
        <f>IFERROR(__xludf.DUMMYFUNCTION("""COMPUTED_VALUE"""),"Medium")</f>
        <v>Medium</v>
      </c>
      <c r="F551" s="20">
        <f>IFERROR(__xludf.DUMMYFUNCTION("""COMPUTED_VALUE"""),285.0)</f>
        <v>285</v>
      </c>
      <c r="G551" s="20">
        <f>IFERROR(__xludf.DUMMYFUNCTION("""COMPUTED_VALUE"""),76.0)</f>
        <v>76</v>
      </c>
      <c r="H551" s="20" t="str">
        <f>IFERROR(__xludf.DUMMYFUNCTION("""COMPUTED_VALUE"""),"Database")</f>
        <v>Database</v>
      </c>
      <c r="I551" s="20">
        <f>IFERROR(__xludf.DUMMYFUNCTION("""COMPUTED_VALUE"""),0.438)</f>
        <v>0.438</v>
      </c>
      <c r="J551" s="20">
        <f>IFERROR(__xludf.DUMMYFUNCTION("""COMPUTED_VALUE"""),550.0)</f>
        <v>550</v>
      </c>
      <c r="K551" s="20" t="b">
        <f>IFERROR(__xludf.DUMMYFUNCTION("""COMPUTED_VALUE"""),TRUE)</f>
        <v>1</v>
      </c>
      <c r="L551" s="20" t="str">
        <f>IFERROR(__xludf.DUMMYFUNCTION("""COMPUTED_VALUE"""),"Database;")</f>
        <v>Database;</v>
      </c>
      <c r="M551" s="20" t="b">
        <f>IFERROR(__xludf.DUMMYFUNCTION("""COMPUTED_VALUE"""),TRUE)</f>
        <v>1</v>
      </c>
      <c r="N551" s="20" t="b">
        <f>IFERROR(__xludf.DUMMYFUNCTION("""COMPUTED_VALUE"""),FALSE)</f>
        <v>0</v>
      </c>
      <c r="O551" s="20">
        <f>IFERROR(__xludf.DUMMYFUNCTION("""COMPUTED_VALUE"""),43.8184623074868)</f>
        <v>43.81846231</v>
      </c>
      <c r="P551" s="20">
        <f>IFERROR(__xludf.DUMMYFUNCTION("""COMPUTED_VALUE"""),50843.0)</f>
        <v>50843</v>
      </c>
      <c r="Q551" s="20">
        <f>IFERROR(__xludf.DUMMYFUNCTION("""COMPUTED_VALUE"""),116030.0)</f>
        <v>116030</v>
      </c>
    </row>
    <row r="552">
      <c r="A552" s="20">
        <f>IFERROR(__xludf.DUMMYFUNCTION("""COMPUTED_VALUE"""),551.0)</f>
        <v>551</v>
      </c>
      <c r="B552" s="20" t="str">
        <f>IFERROR(__xludf.DUMMYFUNCTION("""COMPUTED_VALUE"""),"Student Attendance Record I")</f>
        <v>Student Attendance Record I</v>
      </c>
      <c r="C552" s="20" t="str">
        <f>IFERROR(__xludf.DUMMYFUNCTION("""COMPUTED_VALUE"""),"student-attendance-record-i")</f>
        <v>student-attendance-record-i</v>
      </c>
      <c r="D552" s="20" t="b">
        <f>IFERROR(__xludf.DUMMYFUNCTION("""COMPUTED_VALUE"""),FALSE)</f>
        <v>0</v>
      </c>
      <c r="E552" s="20" t="str">
        <f>IFERROR(__xludf.DUMMYFUNCTION("""COMPUTED_VALUE"""),"Easy")</f>
        <v>Easy</v>
      </c>
      <c r="F552" s="20">
        <f>IFERROR(__xludf.DUMMYFUNCTION("""COMPUTED_VALUE"""),484.0)</f>
        <v>484</v>
      </c>
      <c r="G552" s="20">
        <f>IFERROR(__xludf.DUMMYFUNCTION("""COMPUTED_VALUE"""),30.0)</f>
        <v>30</v>
      </c>
      <c r="H552" s="20" t="str">
        <f>IFERROR(__xludf.DUMMYFUNCTION("""COMPUTED_VALUE"""),"Algorithms")</f>
        <v>Algorithms</v>
      </c>
      <c r="I552" s="20">
        <f>IFERROR(__xludf.DUMMYFUNCTION("""COMPUTED_VALUE"""),0.481)</f>
        <v>0.481</v>
      </c>
      <c r="J552" s="20">
        <f>IFERROR(__xludf.DUMMYFUNCTION("""COMPUTED_VALUE"""),551.0)</f>
        <v>551</v>
      </c>
      <c r="K552" s="20" t="b">
        <f>IFERROR(__xludf.DUMMYFUNCTION("""COMPUTED_VALUE"""),FALSE)</f>
        <v>0</v>
      </c>
      <c r="L552" s="20" t="str">
        <f>IFERROR(__xludf.DUMMYFUNCTION("""COMPUTED_VALUE"""),"String;")</f>
        <v>String;</v>
      </c>
      <c r="M552" s="20" t="b">
        <f>IFERROR(__xludf.DUMMYFUNCTION("""COMPUTED_VALUE"""),TRUE)</f>
        <v>1</v>
      </c>
      <c r="N552" s="20" t="b">
        <f>IFERROR(__xludf.DUMMYFUNCTION("""COMPUTED_VALUE"""),FALSE)</f>
        <v>0</v>
      </c>
      <c r="O552" s="20">
        <f>IFERROR(__xludf.DUMMYFUNCTION("""COMPUTED_VALUE"""),48.140337368229)</f>
        <v>48.14033737</v>
      </c>
      <c r="P552" s="20">
        <f>IFERROR(__xludf.DUMMYFUNCTION("""COMPUTED_VALUE"""),167549.0)</f>
        <v>167549</v>
      </c>
      <c r="Q552" s="20">
        <f>IFERROR(__xludf.DUMMYFUNCTION("""COMPUTED_VALUE"""),348040.0)</f>
        <v>348040</v>
      </c>
    </row>
    <row r="553">
      <c r="A553" s="20">
        <f>IFERROR(__xludf.DUMMYFUNCTION("""COMPUTED_VALUE"""),552.0)</f>
        <v>552</v>
      </c>
      <c r="B553" s="20" t="str">
        <f>IFERROR(__xludf.DUMMYFUNCTION("""COMPUTED_VALUE"""),"Student Attendance Record II")</f>
        <v>Student Attendance Record II</v>
      </c>
      <c r="C553" s="20" t="str">
        <f>IFERROR(__xludf.DUMMYFUNCTION("""COMPUTED_VALUE"""),"student-attendance-record-ii")</f>
        <v>student-attendance-record-ii</v>
      </c>
      <c r="D553" s="20" t="b">
        <f>IFERROR(__xludf.DUMMYFUNCTION("""COMPUTED_VALUE"""),FALSE)</f>
        <v>0</v>
      </c>
      <c r="E553" s="20" t="str">
        <f>IFERROR(__xludf.DUMMYFUNCTION("""COMPUTED_VALUE"""),"Hard")</f>
        <v>Hard</v>
      </c>
      <c r="F553" s="20">
        <f>IFERROR(__xludf.DUMMYFUNCTION("""COMPUTED_VALUE"""),1491.0)</f>
        <v>1491</v>
      </c>
      <c r="G553" s="20">
        <f>IFERROR(__xludf.DUMMYFUNCTION("""COMPUTED_VALUE"""),241.0)</f>
        <v>241</v>
      </c>
      <c r="H553" s="20" t="str">
        <f>IFERROR(__xludf.DUMMYFUNCTION("""COMPUTED_VALUE"""),"Algorithms")</f>
        <v>Algorithms</v>
      </c>
      <c r="I553" s="20">
        <f>IFERROR(__xludf.DUMMYFUNCTION("""COMPUTED_VALUE"""),0.413)</f>
        <v>0.413</v>
      </c>
      <c r="J553" s="20">
        <f>IFERROR(__xludf.DUMMYFUNCTION("""COMPUTED_VALUE"""),552.0)</f>
        <v>552</v>
      </c>
      <c r="K553" s="20" t="b">
        <f>IFERROR(__xludf.DUMMYFUNCTION("""COMPUTED_VALUE"""),FALSE)</f>
        <v>0</v>
      </c>
      <c r="L553" s="20" t="str">
        <f>IFERROR(__xludf.DUMMYFUNCTION("""COMPUTED_VALUE"""),"Dynamic Programming;")</f>
        <v>Dynamic Programming;</v>
      </c>
      <c r="M553" s="20" t="b">
        <f>IFERROR(__xludf.DUMMYFUNCTION("""COMPUTED_VALUE"""),TRUE)</f>
        <v>1</v>
      </c>
      <c r="N553" s="20" t="b">
        <f>IFERROR(__xludf.DUMMYFUNCTION("""COMPUTED_VALUE"""),FALSE)</f>
        <v>0</v>
      </c>
      <c r="O553" s="20">
        <f>IFERROR(__xludf.DUMMYFUNCTION("""COMPUTED_VALUE"""),41.2735747270294)</f>
        <v>41.27357473</v>
      </c>
      <c r="P553" s="20">
        <f>IFERROR(__xludf.DUMMYFUNCTION("""COMPUTED_VALUE"""),57381.0)</f>
        <v>57381</v>
      </c>
      <c r="Q553" s="20">
        <f>IFERROR(__xludf.DUMMYFUNCTION("""COMPUTED_VALUE"""),139026.0)</f>
        <v>139026</v>
      </c>
    </row>
    <row r="554">
      <c r="A554" s="20">
        <f>IFERROR(__xludf.DUMMYFUNCTION("""COMPUTED_VALUE"""),553.0)</f>
        <v>553</v>
      </c>
      <c r="B554" s="20" t="str">
        <f>IFERROR(__xludf.DUMMYFUNCTION("""COMPUTED_VALUE"""),"Optimal Division")</f>
        <v>Optimal Division</v>
      </c>
      <c r="C554" s="20" t="str">
        <f>IFERROR(__xludf.DUMMYFUNCTION("""COMPUTED_VALUE"""),"optimal-division")</f>
        <v>optimal-division</v>
      </c>
      <c r="D554" s="20" t="b">
        <f>IFERROR(__xludf.DUMMYFUNCTION("""COMPUTED_VALUE"""),FALSE)</f>
        <v>0</v>
      </c>
      <c r="E554" s="20" t="str">
        <f>IFERROR(__xludf.DUMMYFUNCTION("""COMPUTED_VALUE"""),"Medium")</f>
        <v>Medium</v>
      </c>
      <c r="F554" s="20">
        <f>IFERROR(__xludf.DUMMYFUNCTION("""COMPUTED_VALUE"""),308.0)</f>
        <v>308</v>
      </c>
      <c r="G554" s="20">
        <f>IFERROR(__xludf.DUMMYFUNCTION("""COMPUTED_VALUE"""),1475.0)</f>
        <v>1475</v>
      </c>
      <c r="H554" s="20" t="str">
        <f>IFERROR(__xludf.DUMMYFUNCTION("""COMPUTED_VALUE"""),"Algorithms")</f>
        <v>Algorithms</v>
      </c>
      <c r="I554" s="20">
        <f>IFERROR(__xludf.DUMMYFUNCTION("""COMPUTED_VALUE"""),0.598)</f>
        <v>0.598</v>
      </c>
      <c r="J554" s="20">
        <f>IFERROR(__xludf.DUMMYFUNCTION("""COMPUTED_VALUE"""),553.0)</f>
        <v>553</v>
      </c>
      <c r="K554" s="20" t="b">
        <f>IFERROR(__xludf.DUMMYFUNCTION("""COMPUTED_VALUE"""),FALSE)</f>
        <v>0</v>
      </c>
      <c r="L554" s="20" t="str">
        <f>IFERROR(__xludf.DUMMYFUNCTION("""COMPUTED_VALUE"""),"Array;Math;Dynamic Programming;")</f>
        <v>Array;Math;Dynamic Programming;</v>
      </c>
      <c r="M554" s="20" t="b">
        <f>IFERROR(__xludf.DUMMYFUNCTION("""COMPUTED_VALUE"""),TRUE)</f>
        <v>1</v>
      </c>
      <c r="N554" s="20" t="b">
        <f>IFERROR(__xludf.DUMMYFUNCTION("""COMPUTED_VALUE"""),FALSE)</f>
        <v>0</v>
      </c>
      <c r="O554" s="20">
        <f>IFERROR(__xludf.DUMMYFUNCTION("""COMPUTED_VALUE"""),59.8061018833831)</f>
        <v>59.80610188</v>
      </c>
      <c r="P554" s="20">
        <f>IFERROR(__xludf.DUMMYFUNCTION("""COMPUTED_VALUE"""),34422.0)</f>
        <v>34422</v>
      </c>
      <c r="Q554" s="20">
        <f>IFERROR(__xludf.DUMMYFUNCTION("""COMPUTED_VALUE"""),57556.0)</f>
        <v>57556</v>
      </c>
    </row>
    <row r="555">
      <c r="A555" s="20">
        <f>IFERROR(__xludf.DUMMYFUNCTION("""COMPUTED_VALUE"""),554.0)</f>
        <v>554</v>
      </c>
      <c r="B555" s="20" t="str">
        <f>IFERROR(__xludf.DUMMYFUNCTION("""COMPUTED_VALUE"""),"Brick Wall")</f>
        <v>Brick Wall</v>
      </c>
      <c r="C555" s="20" t="str">
        <f>IFERROR(__xludf.DUMMYFUNCTION("""COMPUTED_VALUE"""),"brick-wall")</f>
        <v>brick-wall</v>
      </c>
      <c r="D555" s="20" t="b">
        <f>IFERROR(__xludf.DUMMYFUNCTION("""COMPUTED_VALUE"""),FALSE)</f>
        <v>0</v>
      </c>
      <c r="E555" s="20" t="str">
        <f>IFERROR(__xludf.DUMMYFUNCTION("""COMPUTED_VALUE"""),"Medium")</f>
        <v>Medium</v>
      </c>
      <c r="F555" s="20">
        <f>IFERROR(__xludf.DUMMYFUNCTION("""COMPUTED_VALUE"""),2052.0)</f>
        <v>2052</v>
      </c>
      <c r="G555" s="20">
        <f>IFERROR(__xludf.DUMMYFUNCTION("""COMPUTED_VALUE"""),114.0)</f>
        <v>114</v>
      </c>
      <c r="H555" s="20" t="str">
        <f>IFERROR(__xludf.DUMMYFUNCTION("""COMPUTED_VALUE"""),"Algorithms")</f>
        <v>Algorithms</v>
      </c>
      <c r="I555" s="20">
        <f>IFERROR(__xludf.DUMMYFUNCTION("""COMPUTED_VALUE"""),0.533)</f>
        <v>0.533</v>
      </c>
      <c r="J555" s="20">
        <f>IFERROR(__xludf.DUMMYFUNCTION("""COMPUTED_VALUE"""),554.0)</f>
        <v>554</v>
      </c>
      <c r="K555" s="20" t="b">
        <f>IFERROR(__xludf.DUMMYFUNCTION("""COMPUTED_VALUE"""),FALSE)</f>
        <v>0</v>
      </c>
      <c r="L555" s="20" t="str">
        <f>IFERROR(__xludf.DUMMYFUNCTION("""COMPUTED_VALUE"""),"Array;Hash Table;")</f>
        <v>Array;Hash Table;</v>
      </c>
      <c r="M555" s="20" t="b">
        <f>IFERROR(__xludf.DUMMYFUNCTION("""COMPUTED_VALUE"""),TRUE)</f>
        <v>1</v>
      </c>
      <c r="N555" s="20" t="b">
        <f>IFERROR(__xludf.DUMMYFUNCTION("""COMPUTED_VALUE"""),TRUE)</f>
        <v>1</v>
      </c>
      <c r="O555" s="20">
        <f>IFERROR(__xludf.DUMMYFUNCTION("""COMPUTED_VALUE"""),53.2932232548752)</f>
        <v>53.29322325</v>
      </c>
      <c r="P555" s="20">
        <f>IFERROR(__xludf.DUMMYFUNCTION("""COMPUTED_VALUE"""),110900.0)</f>
        <v>110900</v>
      </c>
      <c r="Q555" s="20">
        <f>IFERROR(__xludf.DUMMYFUNCTION("""COMPUTED_VALUE"""),208094.0)</f>
        <v>208094</v>
      </c>
    </row>
    <row r="556">
      <c r="A556" s="20">
        <f>IFERROR(__xludf.DUMMYFUNCTION("""COMPUTED_VALUE"""),555.0)</f>
        <v>555</v>
      </c>
      <c r="B556" s="20" t="str">
        <f>IFERROR(__xludf.DUMMYFUNCTION("""COMPUTED_VALUE"""),"Split Concatenated Strings")</f>
        <v>Split Concatenated Strings</v>
      </c>
      <c r="C556" s="20" t="str">
        <f>IFERROR(__xludf.DUMMYFUNCTION("""COMPUTED_VALUE"""),"split-concatenated-strings")</f>
        <v>split-concatenated-strings</v>
      </c>
      <c r="D556" s="20" t="b">
        <f>IFERROR(__xludf.DUMMYFUNCTION("""COMPUTED_VALUE"""),TRUE)</f>
        <v>1</v>
      </c>
      <c r="E556" s="20" t="str">
        <f>IFERROR(__xludf.DUMMYFUNCTION("""COMPUTED_VALUE"""),"Medium")</f>
        <v>Medium</v>
      </c>
      <c r="F556" s="20">
        <f>IFERROR(__xludf.DUMMYFUNCTION("""COMPUTED_VALUE"""),70.0)</f>
        <v>70</v>
      </c>
      <c r="G556" s="20">
        <f>IFERROR(__xludf.DUMMYFUNCTION("""COMPUTED_VALUE"""),245.0)</f>
        <v>245</v>
      </c>
      <c r="H556" s="20" t="str">
        <f>IFERROR(__xludf.DUMMYFUNCTION("""COMPUTED_VALUE"""),"Algorithms")</f>
        <v>Algorithms</v>
      </c>
      <c r="I556" s="20">
        <f>IFERROR(__xludf.DUMMYFUNCTION("""COMPUTED_VALUE"""),0.436)</f>
        <v>0.436</v>
      </c>
      <c r="J556" s="20">
        <f>IFERROR(__xludf.DUMMYFUNCTION("""COMPUTED_VALUE"""),555.0)</f>
        <v>555</v>
      </c>
      <c r="K556" s="20" t="b">
        <f>IFERROR(__xludf.DUMMYFUNCTION("""COMPUTED_VALUE"""),TRUE)</f>
        <v>1</v>
      </c>
      <c r="L556" s="20" t="str">
        <f>IFERROR(__xludf.DUMMYFUNCTION("""COMPUTED_VALUE"""),"Array;String;Greedy;")</f>
        <v>Array;String;Greedy;</v>
      </c>
      <c r="M556" s="20" t="b">
        <f>IFERROR(__xludf.DUMMYFUNCTION("""COMPUTED_VALUE"""),FALSE)</f>
        <v>0</v>
      </c>
      <c r="N556" s="20" t="b">
        <f>IFERROR(__xludf.DUMMYFUNCTION("""COMPUTED_VALUE"""),FALSE)</f>
        <v>0</v>
      </c>
      <c r="O556" s="20">
        <f>IFERROR(__xludf.DUMMYFUNCTION("""COMPUTED_VALUE"""),43.5775651323601)</f>
        <v>43.57756513</v>
      </c>
      <c r="P556" s="20">
        <f>IFERROR(__xludf.DUMMYFUNCTION("""COMPUTED_VALUE"""),6239.0)</f>
        <v>6239</v>
      </c>
      <c r="Q556" s="20">
        <f>IFERROR(__xludf.DUMMYFUNCTION("""COMPUTED_VALUE"""),14317.0)</f>
        <v>14317</v>
      </c>
    </row>
    <row r="557">
      <c r="A557" s="20">
        <f>IFERROR(__xludf.DUMMYFUNCTION("""COMPUTED_VALUE"""),556.0)</f>
        <v>556</v>
      </c>
      <c r="B557" s="20" t="str">
        <f>IFERROR(__xludf.DUMMYFUNCTION("""COMPUTED_VALUE"""),"Next Greater Element III")</f>
        <v>Next Greater Element III</v>
      </c>
      <c r="C557" s="20" t="str">
        <f>IFERROR(__xludf.DUMMYFUNCTION("""COMPUTED_VALUE"""),"next-greater-element-iii")</f>
        <v>next-greater-element-iii</v>
      </c>
      <c r="D557" s="20" t="b">
        <f>IFERROR(__xludf.DUMMYFUNCTION("""COMPUTED_VALUE"""),FALSE)</f>
        <v>0</v>
      </c>
      <c r="E557" s="20" t="str">
        <f>IFERROR(__xludf.DUMMYFUNCTION("""COMPUTED_VALUE"""),"Medium")</f>
        <v>Medium</v>
      </c>
      <c r="F557" s="20">
        <f>IFERROR(__xludf.DUMMYFUNCTION("""COMPUTED_VALUE"""),2942.0)</f>
        <v>2942</v>
      </c>
      <c r="G557" s="20">
        <f>IFERROR(__xludf.DUMMYFUNCTION("""COMPUTED_VALUE"""),396.0)</f>
        <v>396</v>
      </c>
      <c r="H557" s="20" t="str">
        <f>IFERROR(__xludf.DUMMYFUNCTION("""COMPUTED_VALUE"""),"Algorithms")</f>
        <v>Algorithms</v>
      </c>
      <c r="I557" s="20">
        <f>IFERROR(__xludf.DUMMYFUNCTION("""COMPUTED_VALUE"""),0.341)</f>
        <v>0.341</v>
      </c>
      <c r="J557" s="20">
        <f>IFERROR(__xludf.DUMMYFUNCTION("""COMPUTED_VALUE"""),556.0)</f>
        <v>556</v>
      </c>
      <c r="K557" s="20" t="b">
        <f>IFERROR(__xludf.DUMMYFUNCTION("""COMPUTED_VALUE"""),FALSE)</f>
        <v>0</v>
      </c>
      <c r="L557" s="20" t="str">
        <f>IFERROR(__xludf.DUMMYFUNCTION("""COMPUTED_VALUE"""),"Math;Two Pointers;String;")</f>
        <v>Math;Two Pointers;String;</v>
      </c>
      <c r="M557" s="20" t="b">
        <f>IFERROR(__xludf.DUMMYFUNCTION("""COMPUTED_VALUE"""),TRUE)</f>
        <v>1</v>
      </c>
      <c r="N557" s="20" t="b">
        <f>IFERROR(__xludf.DUMMYFUNCTION("""COMPUTED_VALUE"""),FALSE)</f>
        <v>0</v>
      </c>
      <c r="O557" s="20">
        <f>IFERROR(__xludf.DUMMYFUNCTION("""COMPUTED_VALUE"""),34.0703925059822)</f>
        <v>34.07039251</v>
      </c>
      <c r="P557" s="20">
        <f>IFERROR(__xludf.DUMMYFUNCTION("""COMPUTED_VALUE"""),120168.0)</f>
        <v>120168</v>
      </c>
      <c r="Q557" s="20">
        <f>IFERROR(__xludf.DUMMYFUNCTION("""COMPUTED_VALUE"""),352705.0)</f>
        <v>352705</v>
      </c>
    </row>
    <row r="558">
      <c r="A558" s="20">
        <f>IFERROR(__xludf.DUMMYFUNCTION("""COMPUTED_VALUE"""),557.0)</f>
        <v>557</v>
      </c>
      <c r="B558" s="20" t="str">
        <f>IFERROR(__xludf.DUMMYFUNCTION("""COMPUTED_VALUE"""),"Reverse Words in a String III")</f>
        <v>Reverse Words in a String III</v>
      </c>
      <c r="C558" s="20" t="str">
        <f>IFERROR(__xludf.DUMMYFUNCTION("""COMPUTED_VALUE"""),"reverse-words-in-a-string-iii")</f>
        <v>reverse-words-in-a-string-iii</v>
      </c>
      <c r="D558" s="20" t="b">
        <f>IFERROR(__xludf.DUMMYFUNCTION("""COMPUTED_VALUE"""),FALSE)</f>
        <v>0</v>
      </c>
      <c r="E558" s="20" t="str">
        <f>IFERROR(__xludf.DUMMYFUNCTION("""COMPUTED_VALUE"""),"Easy")</f>
        <v>Easy</v>
      </c>
      <c r="F558" s="20">
        <f>IFERROR(__xludf.DUMMYFUNCTION("""COMPUTED_VALUE"""),4448.0)</f>
        <v>4448</v>
      </c>
      <c r="G558" s="20">
        <f>IFERROR(__xludf.DUMMYFUNCTION("""COMPUTED_VALUE"""),217.0)</f>
        <v>217</v>
      </c>
      <c r="H558" s="20" t="str">
        <f>IFERROR(__xludf.DUMMYFUNCTION("""COMPUTED_VALUE"""),"Algorithms")</f>
        <v>Algorithms</v>
      </c>
      <c r="I558" s="20">
        <f>IFERROR(__xludf.DUMMYFUNCTION("""COMPUTED_VALUE"""),0.817)</f>
        <v>0.817</v>
      </c>
      <c r="J558" s="20">
        <f>IFERROR(__xludf.DUMMYFUNCTION("""COMPUTED_VALUE"""),557.0)</f>
        <v>557</v>
      </c>
      <c r="K558" s="20" t="b">
        <f>IFERROR(__xludf.DUMMYFUNCTION("""COMPUTED_VALUE"""),FALSE)</f>
        <v>0</v>
      </c>
      <c r="L558" s="20" t="str">
        <f>IFERROR(__xludf.DUMMYFUNCTION("""COMPUTED_VALUE"""),"Two Pointers;String;")</f>
        <v>Two Pointers;String;</v>
      </c>
      <c r="M558" s="20" t="b">
        <f>IFERROR(__xludf.DUMMYFUNCTION("""COMPUTED_VALUE"""),TRUE)</f>
        <v>1</v>
      </c>
      <c r="N558" s="20" t="b">
        <f>IFERROR(__xludf.DUMMYFUNCTION("""COMPUTED_VALUE"""),FALSE)</f>
        <v>0</v>
      </c>
      <c r="O558" s="20">
        <f>IFERROR(__xludf.DUMMYFUNCTION("""COMPUTED_VALUE"""),81.698091555316)</f>
        <v>81.69809156</v>
      </c>
      <c r="P558" s="20">
        <f>IFERROR(__xludf.DUMMYFUNCTION("""COMPUTED_VALUE"""),633599.0)</f>
        <v>633599</v>
      </c>
      <c r="Q558" s="20">
        <f>IFERROR(__xludf.DUMMYFUNCTION("""COMPUTED_VALUE"""),775537.0)</f>
        <v>775537</v>
      </c>
    </row>
    <row r="559">
      <c r="A559" s="20">
        <f>IFERROR(__xludf.DUMMYFUNCTION("""COMPUTED_VALUE"""),773.0)</f>
        <v>773</v>
      </c>
      <c r="B559" s="20" t="str">
        <f>IFERROR(__xludf.DUMMYFUNCTION("""COMPUTED_VALUE"""),"Logical OR of Two Binary Grids Represented as Quad-Trees")</f>
        <v>Logical OR of Two Binary Grids Represented as Quad-Trees</v>
      </c>
      <c r="C559" s="20" t="str">
        <f>IFERROR(__xludf.DUMMYFUNCTION("""COMPUTED_VALUE"""),"logical-or-of-two-binary-grids-represented-as-quad-trees")</f>
        <v>logical-or-of-two-binary-grids-represented-as-quad-trees</v>
      </c>
      <c r="D559" s="20" t="b">
        <f>IFERROR(__xludf.DUMMYFUNCTION("""COMPUTED_VALUE"""),FALSE)</f>
        <v>0</v>
      </c>
      <c r="E559" s="20" t="str">
        <f>IFERROR(__xludf.DUMMYFUNCTION("""COMPUTED_VALUE"""),"Medium")</f>
        <v>Medium</v>
      </c>
      <c r="F559" s="20">
        <f>IFERROR(__xludf.DUMMYFUNCTION("""COMPUTED_VALUE"""),157.0)</f>
        <v>157</v>
      </c>
      <c r="G559" s="20">
        <f>IFERROR(__xludf.DUMMYFUNCTION("""COMPUTED_VALUE"""),447.0)</f>
        <v>447</v>
      </c>
      <c r="H559" s="20" t="str">
        <f>IFERROR(__xludf.DUMMYFUNCTION("""COMPUTED_VALUE"""),"Algorithms")</f>
        <v>Algorithms</v>
      </c>
      <c r="I559" s="20">
        <f>IFERROR(__xludf.DUMMYFUNCTION("""COMPUTED_VALUE"""),0.484)</f>
        <v>0.484</v>
      </c>
      <c r="J559" s="20">
        <f>IFERROR(__xludf.DUMMYFUNCTION("""COMPUTED_VALUE"""),558.0)</f>
        <v>558</v>
      </c>
      <c r="K559" s="20" t="b">
        <f>IFERROR(__xludf.DUMMYFUNCTION("""COMPUTED_VALUE"""),FALSE)</f>
        <v>0</v>
      </c>
      <c r="L559" s="20" t="str">
        <f>IFERROR(__xludf.DUMMYFUNCTION("""COMPUTED_VALUE"""),"Divide and Conquer;Tree;")</f>
        <v>Divide and Conquer;Tree;</v>
      </c>
      <c r="M559" s="20" t="b">
        <f>IFERROR(__xludf.DUMMYFUNCTION("""COMPUTED_VALUE"""),FALSE)</f>
        <v>0</v>
      </c>
      <c r="N559" s="20" t="b">
        <f>IFERROR(__xludf.DUMMYFUNCTION("""COMPUTED_VALUE"""),FALSE)</f>
        <v>0</v>
      </c>
      <c r="O559" s="20">
        <f>IFERROR(__xludf.DUMMYFUNCTION("""COMPUTED_VALUE"""),48.4455857748725)</f>
        <v>48.44558577</v>
      </c>
      <c r="P559" s="20">
        <f>IFERROR(__xludf.DUMMYFUNCTION("""COMPUTED_VALUE"""),12451.0)</f>
        <v>12451</v>
      </c>
      <c r="Q559" s="20">
        <f>IFERROR(__xludf.DUMMYFUNCTION("""COMPUTED_VALUE"""),25701.0)</f>
        <v>25701</v>
      </c>
    </row>
    <row r="560">
      <c r="A560" s="20">
        <f>IFERROR(__xludf.DUMMYFUNCTION("""COMPUTED_VALUE"""),774.0)</f>
        <v>774</v>
      </c>
      <c r="B560" s="20" t="str">
        <f>IFERROR(__xludf.DUMMYFUNCTION("""COMPUTED_VALUE"""),"Maximum Depth of N-ary Tree")</f>
        <v>Maximum Depth of N-ary Tree</v>
      </c>
      <c r="C560" s="20" t="str">
        <f>IFERROR(__xludf.DUMMYFUNCTION("""COMPUTED_VALUE"""),"maximum-depth-of-n-ary-tree")</f>
        <v>maximum-depth-of-n-ary-tree</v>
      </c>
      <c r="D560" s="20" t="b">
        <f>IFERROR(__xludf.DUMMYFUNCTION("""COMPUTED_VALUE"""),FALSE)</f>
        <v>0</v>
      </c>
      <c r="E560" s="20" t="str">
        <f>IFERROR(__xludf.DUMMYFUNCTION("""COMPUTED_VALUE"""),"Easy")</f>
        <v>Easy</v>
      </c>
      <c r="F560" s="20">
        <f>IFERROR(__xludf.DUMMYFUNCTION("""COMPUTED_VALUE"""),2344.0)</f>
        <v>2344</v>
      </c>
      <c r="G560" s="20">
        <f>IFERROR(__xludf.DUMMYFUNCTION("""COMPUTED_VALUE"""),78.0)</f>
        <v>78</v>
      </c>
      <c r="H560" s="20" t="str">
        <f>IFERROR(__xludf.DUMMYFUNCTION("""COMPUTED_VALUE"""),"Algorithms")</f>
        <v>Algorithms</v>
      </c>
      <c r="I560" s="20">
        <f>IFERROR(__xludf.DUMMYFUNCTION("""COMPUTED_VALUE"""),0.716)</f>
        <v>0.716</v>
      </c>
      <c r="J560" s="20">
        <f>IFERROR(__xludf.DUMMYFUNCTION("""COMPUTED_VALUE"""),559.0)</f>
        <v>559</v>
      </c>
      <c r="K560" s="20" t="b">
        <f>IFERROR(__xludf.DUMMYFUNCTION("""COMPUTED_VALUE"""),FALSE)</f>
        <v>0</v>
      </c>
      <c r="L560" s="20" t="str">
        <f>IFERROR(__xludf.DUMMYFUNCTION("""COMPUTED_VALUE"""),"Tree;Depth-First Search;Breadth-First Search;")</f>
        <v>Tree;Depth-First Search;Breadth-First Search;</v>
      </c>
      <c r="M560" s="20" t="b">
        <f>IFERROR(__xludf.DUMMYFUNCTION("""COMPUTED_VALUE"""),TRUE)</f>
        <v>1</v>
      </c>
      <c r="N560" s="20" t="b">
        <f>IFERROR(__xludf.DUMMYFUNCTION("""COMPUTED_VALUE"""),FALSE)</f>
        <v>0</v>
      </c>
      <c r="O560" s="20">
        <f>IFERROR(__xludf.DUMMYFUNCTION("""COMPUTED_VALUE"""),71.6128121743882)</f>
        <v>71.61281217</v>
      </c>
      <c r="P560" s="20">
        <f>IFERROR(__xludf.DUMMYFUNCTION("""COMPUTED_VALUE"""),238490.0)</f>
        <v>238490</v>
      </c>
      <c r="Q560" s="20">
        <f>IFERROR(__xludf.DUMMYFUNCTION("""COMPUTED_VALUE"""),333027.0)</f>
        <v>333027</v>
      </c>
    </row>
    <row r="561">
      <c r="A561" s="20">
        <f>IFERROR(__xludf.DUMMYFUNCTION("""COMPUTED_VALUE"""),560.0)</f>
        <v>560</v>
      </c>
      <c r="B561" s="20" t="str">
        <f>IFERROR(__xludf.DUMMYFUNCTION("""COMPUTED_VALUE"""),"Subarray Sum Equals K")</f>
        <v>Subarray Sum Equals K</v>
      </c>
      <c r="C561" s="20" t="str">
        <f>IFERROR(__xludf.DUMMYFUNCTION("""COMPUTED_VALUE"""),"subarray-sum-equals-k")</f>
        <v>subarray-sum-equals-k</v>
      </c>
      <c r="D561" s="20" t="b">
        <f>IFERROR(__xludf.DUMMYFUNCTION("""COMPUTED_VALUE"""),FALSE)</f>
        <v>0</v>
      </c>
      <c r="E561" s="20" t="str">
        <f>IFERROR(__xludf.DUMMYFUNCTION("""COMPUTED_VALUE"""),"Medium")</f>
        <v>Medium</v>
      </c>
      <c r="F561" s="20">
        <f>IFERROR(__xludf.DUMMYFUNCTION("""COMPUTED_VALUE"""),16649.0)</f>
        <v>16649</v>
      </c>
      <c r="G561" s="20">
        <f>IFERROR(__xludf.DUMMYFUNCTION("""COMPUTED_VALUE"""),492.0)</f>
        <v>492</v>
      </c>
      <c r="H561" s="20" t="str">
        <f>IFERROR(__xludf.DUMMYFUNCTION("""COMPUTED_VALUE"""),"Algorithms")</f>
        <v>Algorithms</v>
      </c>
      <c r="I561" s="20">
        <f>IFERROR(__xludf.DUMMYFUNCTION("""COMPUTED_VALUE"""),0.439)</f>
        <v>0.439</v>
      </c>
      <c r="J561" s="20">
        <f>IFERROR(__xludf.DUMMYFUNCTION("""COMPUTED_VALUE"""),560.0)</f>
        <v>560</v>
      </c>
      <c r="K561" s="20" t="b">
        <f>IFERROR(__xludf.DUMMYFUNCTION("""COMPUTED_VALUE"""),FALSE)</f>
        <v>0</v>
      </c>
      <c r="L561" s="20" t="str">
        <f>IFERROR(__xludf.DUMMYFUNCTION("""COMPUTED_VALUE"""),"Array;Hash Table;Prefix Sum;")</f>
        <v>Array;Hash Table;Prefix Sum;</v>
      </c>
      <c r="M561" s="20" t="b">
        <f>IFERROR(__xludf.DUMMYFUNCTION("""COMPUTED_VALUE"""),TRUE)</f>
        <v>1</v>
      </c>
      <c r="N561" s="20" t="b">
        <f>IFERROR(__xludf.DUMMYFUNCTION("""COMPUTED_VALUE"""),TRUE)</f>
        <v>1</v>
      </c>
      <c r="O561" s="20">
        <f>IFERROR(__xludf.DUMMYFUNCTION("""COMPUTED_VALUE"""),43.8943131147422)</f>
        <v>43.89431311</v>
      </c>
      <c r="P561" s="20">
        <f>IFERROR(__xludf.DUMMYFUNCTION("""COMPUTED_VALUE"""),911047.0)</f>
        <v>911047</v>
      </c>
      <c r="Q561" s="20">
        <f>IFERROR(__xludf.DUMMYFUNCTION("""COMPUTED_VALUE"""),2075533.0)</f>
        <v>2075533</v>
      </c>
    </row>
    <row r="562">
      <c r="A562" s="20">
        <f>IFERROR(__xludf.DUMMYFUNCTION("""COMPUTED_VALUE"""),561.0)</f>
        <v>561</v>
      </c>
      <c r="B562" s="20" t="str">
        <f>IFERROR(__xludf.DUMMYFUNCTION("""COMPUTED_VALUE"""),"Array Partition")</f>
        <v>Array Partition</v>
      </c>
      <c r="C562" s="20" t="str">
        <f>IFERROR(__xludf.DUMMYFUNCTION("""COMPUTED_VALUE"""),"array-partition")</f>
        <v>array-partition</v>
      </c>
      <c r="D562" s="20" t="b">
        <f>IFERROR(__xludf.DUMMYFUNCTION("""COMPUTED_VALUE"""),FALSE)</f>
        <v>0</v>
      </c>
      <c r="E562" s="20" t="str">
        <f>IFERROR(__xludf.DUMMYFUNCTION("""COMPUTED_VALUE"""),"Easy")</f>
        <v>Easy</v>
      </c>
      <c r="F562" s="20">
        <f>IFERROR(__xludf.DUMMYFUNCTION("""COMPUTED_VALUE"""),1361.0)</f>
        <v>1361</v>
      </c>
      <c r="G562" s="20">
        <f>IFERROR(__xludf.DUMMYFUNCTION("""COMPUTED_VALUE"""),190.0)</f>
        <v>190</v>
      </c>
      <c r="H562" s="20" t="str">
        <f>IFERROR(__xludf.DUMMYFUNCTION("""COMPUTED_VALUE"""),"Algorithms")</f>
        <v>Algorithms</v>
      </c>
      <c r="I562" s="20">
        <f>IFERROR(__xludf.DUMMYFUNCTION("""COMPUTED_VALUE"""),0.768)</f>
        <v>0.768</v>
      </c>
      <c r="J562" s="20">
        <f>IFERROR(__xludf.DUMMYFUNCTION("""COMPUTED_VALUE"""),561.0)</f>
        <v>561</v>
      </c>
      <c r="K562" s="20" t="b">
        <f>IFERROR(__xludf.DUMMYFUNCTION("""COMPUTED_VALUE"""),FALSE)</f>
        <v>0</v>
      </c>
      <c r="L562" s="20" t="str">
        <f>IFERROR(__xludf.DUMMYFUNCTION("""COMPUTED_VALUE"""),"Array;Greedy;Sorting;Counting Sort;")</f>
        <v>Array;Greedy;Sorting;Counting Sort;</v>
      </c>
      <c r="M562" s="20" t="b">
        <f>IFERROR(__xludf.DUMMYFUNCTION("""COMPUTED_VALUE"""),TRUE)</f>
        <v>1</v>
      </c>
      <c r="N562" s="20" t="b">
        <f>IFERROR(__xludf.DUMMYFUNCTION("""COMPUTED_VALUE"""),FALSE)</f>
        <v>0</v>
      </c>
      <c r="O562" s="20">
        <f>IFERROR(__xludf.DUMMYFUNCTION("""COMPUTED_VALUE"""),76.8339404854488)</f>
        <v>76.83394049</v>
      </c>
      <c r="P562" s="20">
        <f>IFERROR(__xludf.DUMMYFUNCTION("""COMPUTED_VALUE"""),375424.0)</f>
        <v>375424</v>
      </c>
      <c r="Q562" s="20">
        <f>IFERROR(__xludf.DUMMYFUNCTION("""COMPUTED_VALUE"""),488618.0)</f>
        <v>488618</v>
      </c>
    </row>
    <row r="563">
      <c r="A563" s="20">
        <f>IFERROR(__xludf.DUMMYFUNCTION("""COMPUTED_VALUE"""),562.0)</f>
        <v>562</v>
      </c>
      <c r="B563" s="20" t="str">
        <f>IFERROR(__xludf.DUMMYFUNCTION("""COMPUTED_VALUE"""),"Longest Line of Consecutive One in Matrix")</f>
        <v>Longest Line of Consecutive One in Matrix</v>
      </c>
      <c r="C563" s="20" t="str">
        <f>IFERROR(__xludf.DUMMYFUNCTION("""COMPUTED_VALUE"""),"longest-line-of-consecutive-one-in-matrix")</f>
        <v>longest-line-of-consecutive-one-in-matrix</v>
      </c>
      <c r="D563" s="20" t="b">
        <f>IFERROR(__xludf.DUMMYFUNCTION("""COMPUTED_VALUE"""),TRUE)</f>
        <v>1</v>
      </c>
      <c r="E563" s="20" t="str">
        <f>IFERROR(__xludf.DUMMYFUNCTION("""COMPUTED_VALUE"""),"Medium")</f>
        <v>Medium</v>
      </c>
      <c r="F563" s="20">
        <f>IFERROR(__xludf.DUMMYFUNCTION("""COMPUTED_VALUE"""),824.0)</f>
        <v>824</v>
      </c>
      <c r="G563" s="20">
        <f>IFERROR(__xludf.DUMMYFUNCTION("""COMPUTED_VALUE"""),106.0)</f>
        <v>106</v>
      </c>
      <c r="H563" s="20" t="str">
        <f>IFERROR(__xludf.DUMMYFUNCTION("""COMPUTED_VALUE"""),"Algorithms")</f>
        <v>Algorithms</v>
      </c>
      <c r="I563" s="20">
        <f>IFERROR(__xludf.DUMMYFUNCTION("""COMPUTED_VALUE"""),0.501)</f>
        <v>0.501</v>
      </c>
      <c r="J563" s="20">
        <f>IFERROR(__xludf.DUMMYFUNCTION("""COMPUTED_VALUE"""),562.0)</f>
        <v>562</v>
      </c>
      <c r="K563" s="20" t="b">
        <f>IFERROR(__xludf.DUMMYFUNCTION("""COMPUTED_VALUE"""),TRUE)</f>
        <v>1</v>
      </c>
      <c r="L563" s="20" t="str">
        <f>IFERROR(__xludf.DUMMYFUNCTION("""COMPUTED_VALUE"""),"Array;Dynamic Programming;Matrix;")</f>
        <v>Array;Dynamic Programming;Matrix;</v>
      </c>
      <c r="M563" s="20" t="b">
        <f>IFERROR(__xludf.DUMMYFUNCTION("""COMPUTED_VALUE"""),TRUE)</f>
        <v>1</v>
      </c>
      <c r="N563" s="20" t="b">
        <f>IFERROR(__xludf.DUMMYFUNCTION("""COMPUTED_VALUE"""),FALSE)</f>
        <v>0</v>
      </c>
      <c r="O563" s="20">
        <f>IFERROR(__xludf.DUMMYFUNCTION("""COMPUTED_VALUE"""),50.1202470400728)</f>
        <v>50.12024704</v>
      </c>
      <c r="P563" s="20">
        <f>IFERROR(__xludf.DUMMYFUNCTION("""COMPUTED_VALUE"""),70441.0)</f>
        <v>70441</v>
      </c>
      <c r="Q563" s="20">
        <f>IFERROR(__xludf.DUMMYFUNCTION("""COMPUTED_VALUE"""),140544.0)</f>
        <v>140544</v>
      </c>
    </row>
    <row r="564">
      <c r="A564" s="20">
        <f>IFERROR(__xludf.DUMMYFUNCTION("""COMPUTED_VALUE"""),563.0)</f>
        <v>563</v>
      </c>
      <c r="B564" s="20" t="str">
        <f>IFERROR(__xludf.DUMMYFUNCTION("""COMPUTED_VALUE"""),"Binary Tree Tilt")</f>
        <v>Binary Tree Tilt</v>
      </c>
      <c r="C564" s="20" t="str">
        <f>IFERROR(__xludf.DUMMYFUNCTION("""COMPUTED_VALUE"""),"binary-tree-tilt")</f>
        <v>binary-tree-tilt</v>
      </c>
      <c r="D564" s="20" t="b">
        <f>IFERROR(__xludf.DUMMYFUNCTION("""COMPUTED_VALUE"""),FALSE)</f>
        <v>0</v>
      </c>
      <c r="E564" s="20" t="str">
        <f>IFERROR(__xludf.DUMMYFUNCTION("""COMPUTED_VALUE"""),"Easy")</f>
        <v>Easy</v>
      </c>
      <c r="F564" s="20">
        <f>IFERROR(__xludf.DUMMYFUNCTION("""COMPUTED_VALUE"""),1883.0)</f>
        <v>1883</v>
      </c>
      <c r="G564" s="20">
        <f>IFERROR(__xludf.DUMMYFUNCTION("""COMPUTED_VALUE"""),2023.0)</f>
        <v>2023</v>
      </c>
      <c r="H564" s="20" t="str">
        <f>IFERROR(__xludf.DUMMYFUNCTION("""COMPUTED_VALUE"""),"Algorithms")</f>
        <v>Algorithms</v>
      </c>
      <c r="I564" s="20">
        <f>IFERROR(__xludf.DUMMYFUNCTION("""COMPUTED_VALUE"""),0.596)</f>
        <v>0.596</v>
      </c>
      <c r="J564" s="20">
        <f>IFERROR(__xludf.DUMMYFUNCTION("""COMPUTED_VALUE"""),563.0)</f>
        <v>563</v>
      </c>
      <c r="K564" s="20" t="b">
        <f>IFERROR(__xludf.DUMMYFUNCTION("""COMPUTED_VALUE"""),FALSE)</f>
        <v>0</v>
      </c>
      <c r="L564" s="20" t="str">
        <f>IFERROR(__xludf.DUMMYFUNCTION("""COMPUTED_VALUE"""),"Tree;Depth-First Search;Binary Tree;")</f>
        <v>Tree;Depth-First Search;Binary Tree;</v>
      </c>
      <c r="M564" s="20" t="b">
        <f>IFERROR(__xludf.DUMMYFUNCTION("""COMPUTED_VALUE"""),TRUE)</f>
        <v>1</v>
      </c>
      <c r="N564" s="20" t="b">
        <f>IFERROR(__xludf.DUMMYFUNCTION("""COMPUTED_VALUE"""),FALSE)</f>
        <v>0</v>
      </c>
      <c r="O564" s="20">
        <f>IFERROR(__xludf.DUMMYFUNCTION("""COMPUTED_VALUE"""),59.6079147005917)</f>
        <v>59.6079147</v>
      </c>
      <c r="P564" s="20">
        <f>IFERROR(__xludf.DUMMYFUNCTION("""COMPUTED_VALUE"""),182916.0)</f>
        <v>182916</v>
      </c>
      <c r="Q564" s="20">
        <f>IFERROR(__xludf.DUMMYFUNCTION("""COMPUTED_VALUE"""),306861.0)</f>
        <v>306861</v>
      </c>
    </row>
    <row r="565">
      <c r="A565" s="20">
        <f>IFERROR(__xludf.DUMMYFUNCTION("""COMPUTED_VALUE"""),564.0)</f>
        <v>564</v>
      </c>
      <c r="B565" s="20" t="str">
        <f>IFERROR(__xludf.DUMMYFUNCTION("""COMPUTED_VALUE"""),"Find the Closest Palindrome")</f>
        <v>Find the Closest Palindrome</v>
      </c>
      <c r="C565" s="20" t="str">
        <f>IFERROR(__xludf.DUMMYFUNCTION("""COMPUTED_VALUE"""),"find-the-closest-palindrome")</f>
        <v>find-the-closest-palindrome</v>
      </c>
      <c r="D565" s="20" t="b">
        <f>IFERROR(__xludf.DUMMYFUNCTION("""COMPUTED_VALUE"""),FALSE)</f>
        <v>0</v>
      </c>
      <c r="E565" s="20" t="str">
        <f>IFERROR(__xludf.DUMMYFUNCTION("""COMPUTED_VALUE"""),"Hard")</f>
        <v>Hard</v>
      </c>
      <c r="F565" s="20">
        <f>IFERROR(__xludf.DUMMYFUNCTION("""COMPUTED_VALUE"""),576.0)</f>
        <v>576</v>
      </c>
      <c r="G565" s="20">
        <f>IFERROR(__xludf.DUMMYFUNCTION("""COMPUTED_VALUE"""),1282.0)</f>
        <v>1282</v>
      </c>
      <c r="H565" s="20" t="str">
        <f>IFERROR(__xludf.DUMMYFUNCTION("""COMPUTED_VALUE"""),"Algorithms")</f>
        <v>Algorithms</v>
      </c>
      <c r="I565" s="20">
        <f>IFERROR(__xludf.DUMMYFUNCTION("""COMPUTED_VALUE"""),0.22)</f>
        <v>0.22</v>
      </c>
      <c r="J565" s="20">
        <f>IFERROR(__xludf.DUMMYFUNCTION("""COMPUTED_VALUE"""),564.0)</f>
        <v>564</v>
      </c>
      <c r="K565" s="20" t="b">
        <f>IFERROR(__xludf.DUMMYFUNCTION("""COMPUTED_VALUE"""),FALSE)</f>
        <v>0</v>
      </c>
      <c r="L565" s="20" t="str">
        <f>IFERROR(__xludf.DUMMYFUNCTION("""COMPUTED_VALUE"""),"Math;String;")</f>
        <v>Math;String;</v>
      </c>
      <c r="M565" s="20" t="b">
        <f>IFERROR(__xludf.DUMMYFUNCTION("""COMPUTED_VALUE"""),TRUE)</f>
        <v>1</v>
      </c>
      <c r="N565" s="20" t="b">
        <f>IFERROR(__xludf.DUMMYFUNCTION("""COMPUTED_VALUE"""),FALSE)</f>
        <v>0</v>
      </c>
      <c r="O565" s="20">
        <f>IFERROR(__xludf.DUMMYFUNCTION("""COMPUTED_VALUE"""),21.9634582603058)</f>
        <v>21.96345826</v>
      </c>
      <c r="P565" s="20">
        <f>IFERROR(__xludf.DUMMYFUNCTION("""COMPUTED_VALUE"""),36592.0)</f>
        <v>36592</v>
      </c>
      <c r="Q565" s="20">
        <f>IFERROR(__xludf.DUMMYFUNCTION("""COMPUTED_VALUE"""),166604.0)</f>
        <v>166604</v>
      </c>
    </row>
    <row r="566">
      <c r="A566" s="20">
        <f>IFERROR(__xludf.DUMMYFUNCTION("""COMPUTED_VALUE"""),565.0)</f>
        <v>565</v>
      </c>
      <c r="B566" s="20" t="str">
        <f>IFERROR(__xludf.DUMMYFUNCTION("""COMPUTED_VALUE"""),"Array Nesting")</f>
        <v>Array Nesting</v>
      </c>
      <c r="C566" s="20" t="str">
        <f>IFERROR(__xludf.DUMMYFUNCTION("""COMPUTED_VALUE"""),"array-nesting")</f>
        <v>array-nesting</v>
      </c>
      <c r="D566" s="20" t="b">
        <f>IFERROR(__xludf.DUMMYFUNCTION("""COMPUTED_VALUE"""),FALSE)</f>
        <v>0</v>
      </c>
      <c r="E566" s="20" t="str">
        <f>IFERROR(__xludf.DUMMYFUNCTION("""COMPUTED_VALUE"""),"Medium")</f>
        <v>Medium</v>
      </c>
      <c r="F566" s="20">
        <f>IFERROR(__xludf.DUMMYFUNCTION("""COMPUTED_VALUE"""),2018.0)</f>
        <v>2018</v>
      </c>
      <c r="G566" s="20">
        <f>IFERROR(__xludf.DUMMYFUNCTION("""COMPUTED_VALUE"""),148.0)</f>
        <v>148</v>
      </c>
      <c r="H566" s="20" t="str">
        <f>IFERROR(__xludf.DUMMYFUNCTION("""COMPUTED_VALUE"""),"Algorithms")</f>
        <v>Algorithms</v>
      </c>
      <c r="I566" s="20">
        <f>IFERROR(__xludf.DUMMYFUNCTION("""COMPUTED_VALUE"""),0.564)</f>
        <v>0.564</v>
      </c>
      <c r="J566" s="20">
        <f>IFERROR(__xludf.DUMMYFUNCTION("""COMPUTED_VALUE"""),565.0)</f>
        <v>565</v>
      </c>
      <c r="K566" s="20" t="b">
        <f>IFERROR(__xludf.DUMMYFUNCTION("""COMPUTED_VALUE"""),FALSE)</f>
        <v>0</v>
      </c>
      <c r="L566" s="20" t="str">
        <f>IFERROR(__xludf.DUMMYFUNCTION("""COMPUTED_VALUE"""),"Array;Depth-First Search;")</f>
        <v>Array;Depth-First Search;</v>
      </c>
      <c r="M566" s="20" t="b">
        <f>IFERROR(__xludf.DUMMYFUNCTION("""COMPUTED_VALUE"""),TRUE)</f>
        <v>1</v>
      </c>
      <c r="N566" s="20" t="b">
        <f>IFERROR(__xludf.DUMMYFUNCTION("""COMPUTED_VALUE"""),FALSE)</f>
        <v>0</v>
      </c>
      <c r="O566" s="20">
        <f>IFERROR(__xludf.DUMMYFUNCTION("""COMPUTED_VALUE"""),56.4350006822469)</f>
        <v>56.43500068</v>
      </c>
      <c r="P566" s="20">
        <f>IFERROR(__xludf.DUMMYFUNCTION("""COMPUTED_VALUE"""),119942.0)</f>
        <v>119942</v>
      </c>
      <c r="Q566" s="20">
        <f>IFERROR(__xludf.DUMMYFUNCTION("""COMPUTED_VALUE"""),212532.0)</f>
        <v>212532</v>
      </c>
    </row>
    <row r="567">
      <c r="A567" s="20">
        <f>IFERROR(__xludf.DUMMYFUNCTION("""COMPUTED_VALUE"""),566.0)</f>
        <v>566</v>
      </c>
      <c r="B567" s="20" t="str">
        <f>IFERROR(__xludf.DUMMYFUNCTION("""COMPUTED_VALUE"""),"Reshape the Matrix")</f>
        <v>Reshape the Matrix</v>
      </c>
      <c r="C567" s="20" t="str">
        <f>IFERROR(__xludf.DUMMYFUNCTION("""COMPUTED_VALUE"""),"reshape-the-matrix")</f>
        <v>reshape-the-matrix</v>
      </c>
      <c r="D567" s="20" t="b">
        <f>IFERROR(__xludf.DUMMYFUNCTION("""COMPUTED_VALUE"""),FALSE)</f>
        <v>0</v>
      </c>
      <c r="E567" s="20" t="str">
        <f>IFERROR(__xludf.DUMMYFUNCTION("""COMPUTED_VALUE"""),"Easy")</f>
        <v>Easy</v>
      </c>
      <c r="F567" s="20">
        <f>IFERROR(__xludf.DUMMYFUNCTION("""COMPUTED_VALUE"""),2961.0)</f>
        <v>2961</v>
      </c>
      <c r="G567" s="20">
        <f>IFERROR(__xludf.DUMMYFUNCTION("""COMPUTED_VALUE"""),328.0)</f>
        <v>328</v>
      </c>
      <c r="H567" s="20" t="str">
        <f>IFERROR(__xludf.DUMMYFUNCTION("""COMPUTED_VALUE"""),"Algorithms")</f>
        <v>Algorithms</v>
      </c>
      <c r="I567" s="20">
        <f>IFERROR(__xludf.DUMMYFUNCTION("""COMPUTED_VALUE"""),0.627)</f>
        <v>0.627</v>
      </c>
      <c r="J567" s="20">
        <f>IFERROR(__xludf.DUMMYFUNCTION("""COMPUTED_VALUE"""),566.0)</f>
        <v>566</v>
      </c>
      <c r="K567" s="20" t="b">
        <f>IFERROR(__xludf.DUMMYFUNCTION("""COMPUTED_VALUE"""),FALSE)</f>
        <v>0</v>
      </c>
      <c r="L567" s="20" t="str">
        <f>IFERROR(__xludf.DUMMYFUNCTION("""COMPUTED_VALUE"""),"Array;Matrix;Simulation;")</f>
        <v>Array;Matrix;Simulation;</v>
      </c>
      <c r="M567" s="20" t="b">
        <f>IFERROR(__xludf.DUMMYFUNCTION("""COMPUTED_VALUE"""),TRUE)</f>
        <v>1</v>
      </c>
      <c r="N567" s="20" t="b">
        <f>IFERROR(__xludf.DUMMYFUNCTION("""COMPUTED_VALUE"""),FALSE)</f>
        <v>0</v>
      </c>
      <c r="O567" s="20">
        <f>IFERROR(__xludf.DUMMYFUNCTION("""COMPUTED_VALUE"""),62.7176498429672)</f>
        <v>62.71764984</v>
      </c>
      <c r="P567" s="20">
        <f>IFERROR(__xludf.DUMMYFUNCTION("""COMPUTED_VALUE"""),312722.0)</f>
        <v>312722</v>
      </c>
      <c r="Q567" s="20">
        <f>IFERROR(__xludf.DUMMYFUNCTION("""COMPUTED_VALUE"""),498620.0)</f>
        <v>498620</v>
      </c>
    </row>
    <row r="568">
      <c r="A568" s="20">
        <f>IFERROR(__xludf.DUMMYFUNCTION("""COMPUTED_VALUE"""),567.0)</f>
        <v>567</v>
      </c>
      <c r="B568" s="20" t="str">
        <f>IFERROR(__xludf.DUMMYFUNCTION("""COMPUTED_VALUE"""),"Permutation in String")</f>
        <v>Permutation in String</v>
      </c>
      <c r="C568" s="20" t="str">
        <f>IFERROR(__xludf.DUMMYFUNCTION("""COMPUTED_VALUE"""),"permutation-in-string")</f>
        <v>permutation-in-string</v>
      </c>
      <c r="D568" s="20" t="b">
        <f>IFERROR(__xludf.DUMMYFUNCTION("""COMPUTED_VALUE"""),FALSE)</f>
        <v>0</v>
      </c>
      <c r="E568" s="20" t="str">
        <f>IFERROR(__xludf.DUMMYFUNCTION("""COMPUTED_VALUE"""),"Medium")</f>
        <v>Medium</v>
      </c>
      <c r="F568" s="20">
        <f>IFERROR(__xludf.DUMMYFUNCTION("""COMPUTED_VALUE"""),7834.0)</f>
        <v>7834</v>
      </c>
      <c r="G568" s="20">
        <f>IFERROR(__xludf.DUMMYFUNCTION("""COMPUTED_VALUE"""),258.0)</f>
        <v>258</v>
      </c>
      <c r="H568" s="20" t="str">
        <f>IFERROR(__xludf.DUMMYFUNCTION("""COMPUTED_VALUE"""),"Algorithms")</f>
        <v>Algorithms</v>
      </c>
      <c r="I568" s="20">
        <f>IFERROR(__xludf.DUMMYFUNCTION("""COMPUTED_VALUE"""),0.436)</f>
        <v>0.436</v>
      </c>
      <c r="J568" s="20">
        <f>IFERROR(__xludf.DUMMYFUNCTION("""COMPUTED_VALUE"""),567.0)</f>
        <v>567</v>
      </c>
      <c r="K568" s="20" t="b">
        <f>IFERROR(__xludf.DUMMYFUNCTION("""COMPUTED_VALUE"""),FALSE)</f>
        <v>0</v>
      </c>
      <c r="L568" s="20" t="str">
        <f>IFERROR(__xludf.DUMMYFUNCTION("""COMPUTED_VALUE"""),"Hash Table;Two Pointers;String;Sliding Window;")</f>
        <v>Hash Table;Two Pointers;String;Sliding Window;</v>
      </c>
      <c r="M568" s="20" t="b">
        <f>IFERROR(__xludf.DUMMYFUNCTION("""COMPUTED_VALUE"""),TRUE)</f>
        <v>1</v>
      </c>
      <c r="N568" s="20" t="b">
        <f>IFERROR(__xludf.DUMMYFUNCTION("""COMPUTED_VALUE"""),FALSE)</f>
        <v>0</v>
      </c>
      <c r="O568" s="20">
        <f>IFERROR(__xludf.DUMMYFUNCTION("""COMPUTED_VALUE"""),43.5518268778422)</f>
        <v>43.55182688</v>
      </c>
      <c r="P568" s="20">
        <f>IFERROR(__xludf.DUMMYFUNCTION("""COMPUTED_VALUE"""),527678.0)</f>
        <v>527678</v>
      </c>
      <c r="Q568" s="20">
        <f>IFERROR(__xludf.DUMMYFUNCTION("""COMPUTED_VALUE"""),1211606.0)</f>
        <v>1211606</v>
      </c>
    </row>
    <row r="569">
      <c r="A569" s="20">
        <f>IFERROR(__xludf.DUMMYFUNCTION("""COMPUTED_VALUE"""),568.0)</f>
        <v>568</v>
      </c>
      <c r="B569" s="20" t="str">
        <f>IFERROR(__xludf.DUMMYFUNCTION("""COMPUTED_VALUE"""),"Maximum Vacation Days")</f>
        <v>Maximum Vacation Days</v>
      </c>
      <c r="C569" s="20" t="str">
        <f>IFERROR(__xludf.DUMMYFUNCTION("""COMPUTED_VALUE"""),"maximum-vacation-days")</f>
        <v>maximum-vacation-days</v>
      </c>
      <c r="D569" s="20" t="b">
        <f>IFERROR(__xludf.DUMMYFUNCTION("""COMPUTED_VALUE"""),TRUE)</f>
        <v>1</v>
      </c>
      <c r="E569" s="20" t="str">
        <f>IFERROR(__xludf.DUMMYFUNCTION("""COMPUTED_VALUE"""),"Hard")</f>
        <v>Hard</v>
      </c>
      <c r="F569" s="20">
        <f>IFERROR(__xludf.DUMMYFUNCTION("""COMPUTED_VALUE"""),533.0)</f>
        <v>533</v>
      </c>
      <c r="G569" s="20">
        <f>IFERROR(__xludf.DUMMYFUNCTION("""COMPUTED_VALUE"""),100.0)</f>
        <v>100</v>
      </c>
      <c r="H569" s="20" t="str">
        <f>IFERROR(__xludf.DUMMYFUNCTION("""COMPUTED_VALUE"""),"Algorithms")</f>
        <v>Algorithms</v>
      </c>
      <c r="I569" s="20">
        <f>IFERROR(__xludf.DUMMYFUNCTION("""COMPUTED_VALUE"""),0.449)</f>
        <v>0.449</v>
      </c>
      <c r="J569" s="20">
        <f>IFERROR(__xludf.DUMMYFUNCTION("""COMPUTED_VALUE"""),568.0)</f>
        <v>568</v>
      </c>
      <c r="K569" s="20" t="b">
        <f>IFERROR(__xludf.DUMMYFUNCTION("""COMPUTED_VALUE"""),TRUE)</f>
        <v>1</v>
      </c>
      <c r="L569" s="20" t="str">
        <f>IFERROR(__xludf.DUMMYFUNCTION("""COMPUTED_VALUE"""),"Array;Dynamic Programming;Matrix;")</f>
        <v>Array;Dynamic Programming;Matrix;</v>
      </c>
      <c r="M569" s="20" t="b">
        <f>IFERROR(__xludf.DUMMYFUNCTION("""COMPUTED_VALUE"""),TRUE)</f>
        <v>1</v>
      </c>
      <c r="N569" s="20" t="b">
        <f>IFERROR(__xludf.DUMMYFUNCTION("""COMPUTED_VALUE"""),FALSE)</f>
        <v>0</v>
      </c>
      <c r="O569" s="20">
        <f>IFERROR(__xludf.DUMMYFUNCTION("""COMPUTED_VALUE"""),44.8983471912391)</f>
        <v>44.89834719</v>
      </c>
      <c r="P569" s="20">
        <f>IFERROR(__xludf.DUMMYFUNCTION("""COMPUTED_VALUE"""),35423.0)</f>
        <v>35423</v>
      </c>
      <c r="Q569" s="20">
        <f>IFERROR(__xludf.DUMMYFUNCTION("""COMPUTED_VALUE"""),78896.0)</f>
        <v>78896</v>
      </c>
    </row>
    <row r="570">
      <c r="A570" s="20">
        <f>IFERROR(__xludf.DUMMYFUNCTION("""COMPUTED_VALUE"""),569.0)</f>
        <v>569</v>
      </c>
      <c r="B570" s="20" t="str">
        <f>IFERROR(__xludf.DUMMYFUNCTION("""COMPUTED_VALUE"""),"Median Employee Salary")</f>
        <v>Median Employee Salary</v>
      </c>
      <c r="C570" s="20" t="str">
        <f>IFERROR(__xludf.DUMMYFUNCTION("""COMPUTED_VALUE"""),"median-employee-salary")</f>
        <v>median-employee-salary</v>
      </c>
      <c r="D570" s="20" t="b">
        <f>IFERROR(__xludf.DUMMYFUNCTION("""COMPUTED_VALUE"""),TRUE)</f>
        <v>1</v>
      </c>
      <c r="E570" s="20" t="str">
        <f>IFERROR(__xludf.DUMMYFUNCTION("""COMPUTED_VALUE"""),"Hard")</f>
        <v>Hard</v>
      </c>
      <c r="F570" s="20">
        <f>IFERROR(__xludf.DUMMYFUNCTION("""COMPUTED_VALUE"""),280.0)</f>
        <v>280</v>
      </c>
      <c r="G570" s="20">
        <f>IFERROR(__xludf.DUMMYFUNCTION("""COMPUTED_VALUE"""),143.0)</f>
        <v>143</v>
      </c>
      <c r="H570" s="20" t="str">
        <f>IFERROR(__xludf.DUMMYFUNCTION("""COMPUTED_VALUE"""),"Database")</f>
        <v>Database</v>
      </c>
      <c r="I570" s="20">
        <f>IFERROR(__xludf.DUMMYFUNCTION("""COMPUTED_VALUE"""),0.68)</f>
        <v>0.68</v>
      </c>
      <c r="J570" s="20">
        <f>IFERROR(__xludf.DUMMYFUNCTION("""COMPUTED_VALUE"""),569.0)</f>
        <v>569</v>
      </c>
      <c r="K570" s="20" t="b">
        <f>IFERROR(__xludf.DUMMYFUNCTION("""COMPUTED_VALUE"""),TRUE)</f>
        <v>1</v>
      </c>
      <c r="L570" s="20" t="str">
        <f>IFERROR(__xludf.DUMMYFUNCTION("""COMPUTED_VALUE"""),"Database;")</f>
        <v>Database;</v>
      </c>
      <c r="M570" s="20" t="b">
        <f>IFERROR(__xludf.DUMMYFUNCTION("""COMPUTED_VALUE"""),FALSE)</f>
        <v>0</v>
      </c>
      <c r="N570" s="20" t="b">
        <f>IFERROR(__xludf.DUMMYFUNCTION("""COMPUTED_VALUE"""),FALSE)</f>
        <v>0</v>
      </c>
      <c r="O570" s="20">
        <f>IFERROR(__xludf.DUMMYFUNCTION("""COMPUTED_VALUE"""),67.9688311688311)</f>
        <v>67.96883117</v>
      </c>
      <c r="P570" s="20">
        <f>IFERROR(__xludf.DUMMYFUNCTION("""COMPUTED_VALUE"""),32710.0)</f>
        <v>32710</v>
      </c>
      <c r="Q570" s="20">
        <f>IFERROR(__xludf.DUMMYFUNCTION("""COMPUTED_VALUE"""),48125.0)</f>
        <v>48125</v>
      </c>
    </row>
    <row r="571">
      <c r="A571" s="20">
        <f>IFERROR(__xludf.DUMMYFUNCTION("""COMPUTED_VALUE"""),570.0)</f>
        <v>570</v>
      </c>
      <c r="B571" s="20" t="str">
        <f>IFERROR(__xludf.DUMMYFUNCTION("""COMPUTED_VALUE"""),"Managers with at Least 5 Direct Reports")</f>
        <v>Managers with at Least 5 Direct Reports</v>
      </c>
      <c r="C571" s="20" t="str">
        <f>IFERROR(__xludf.DUMMYFUNCTION("""COMPUTED_VALUE"""),"managers-with-at-least-5-direct-reports")</f>
        <v>managers-with-at-least-5-direct-reports</v>
      </c>
      <c r="D571" s="20" t="b">
        <f>IFERROR(__xludf.DUMMYFUNCTION("""COMPUTED_VALUE"""),TRUE)</f>
        <v>1</v>
      </c>
      <c r="E571" s="20" t="str">
        <f>IFERROR(__xludf.DUMMYFUNCTION("""COMPUTED_VALUE"""),"Medium")</f>
        <v>Medium</v>
      </c>
      <c r="F571" s="20">
        <f>IFERROR(__xludf.DUMMYFUNCTION("""COMPUTED_VALUE"""),281.0)</f>
        <v>281</v>
      </c>
      <c r="G571" s="20">
        <f>IFERROR(__xludf.DUMMYFUNCTION("""COMPUTED_VALUE"""),39.0)</f>
        <v>39</v>
      </c>
      <c r="H571" s="20" t="str">
        <f>IFERROR(__xludf.DUMMYFUNCTION("""COMPUTED_VALUE"""),"Database")</f>
        <v>Database</v>
      </c>
      <c r="I571" s="20">
        <f>IFERROR(__xludf.DUMMYFUNCTION("""COMPUTED_VALUE"""),0.67)</f>
        <v>0.67</v>
      </c>
      <c r="J571" s="20">
        <f>IFERROR(__xludf.DUMMYFUNCTION("""COMPUTED_VALUE"""),570.0)</f>
        <v>570</v>
      </c>
      <c r="K571" s="20" t="b">
        <f>IFERROR(__xludf.DUMMYFUNCTION("""COMPUTED_VALUE"""),TRUE)</f>
        <v>1</v>
      </c>
      <c r="L571" s="20" t="str">
        <f>IFERROR(__xludf.DUMMYFUNCTION("""COMPUTED_VALUE"""),"Database;")</f>
        <v>Database;</v>
      </c>
      <c r="M571" s="20" t="b">
        <f>IFERROR(__xludf.DUMMYFUNCTION("""COMPUTED_VALUE"""),TRUE)</f>
        <v>1</v>
      </c>
      <c r="N571" s="20" t="b">
        <f>IFERROR(__xludf.DUMMYFUNCTION("""COMPUTED_VALUE"""),FALSE)</f>
        <v>0</v>
      </c>
      <c r="O571" s="20">
        <f>IFERROR(__xludf.DUMMYFUNCTION("""COMPUTED_VALUE"""),67.0195291111516)</f>
        <v>67.01952911</v>
      </c>
      <c r="P571" s="20">
        <f>IFERROR(__xludf.DUMMYFUNCTION("""COMPUTED_VALUE"""),73439.0)</f>
        <v>73439</v>
      </c>
      <c r="Q571" s="20">
        <f>IFERROR(__xludf.DUMMYFUNCTION("""COMPUTED_VALUE"""),109579.0)</f>
        <v>109579</v>
      </c>
    </row>
    <row r="572">
      <c r="A572" s="20">
        <f>IFERROR(__xludf.DUMMYFUNCTION("""COMPUTED_VALUE"""),571.0)</f>
        <v>571</v>
      </c>
      <c r="B572" s="20" t="str">
        <f>IFERROR(__xludf.DUMMYFUNCTION("""COMPUTED_VALUE"""),"Find Median Given Frequency of Numbers")</f>
        <v>Find Median Given Frequency of Numbers</v>
      </c>
      <c r="C572" s="20" t="str">
        <f>IFERROR(__xludf.DUMMYFUNCTION("""COMPUTED_VALUE"""),"find-median-given-frequency-of-numbers")</f>
        <v>find-median-given-frequency-of-numbers</v>
      </c>
      <c r="D572" s="20" t="b">
        <f>IFERROR(__xludf.DUMMYFUNCTION("""COMPUTED_VALUE"""),TRUE)</f>
        <v>1</v>
      </c>
      <c r="E572" s="20" t="str">
        <f>IFERROR(__xludf.DUMMYFUNCTION("""COMPUTED_VALUE"""),"Hard")</f>
        <v>Hard</v>
      </c>
      <c r="F572" s="20">
        <f>IFERROR(__xludf.DUMMYFUNCTION("""COMPUTED_VALUE"""),263.0)</f>
        <v>263</v>
      </c>
      <c r="G572" s="20">
        <f>IFERROR(__xludf.DUMMYFUNCTION("""COMPUTED_VALUE"""),71.0)</f>
        <v>71</v>
      </c>
      <c r="H572" s="20" t="str">
        <f>IFERROR(__xludf.DUMMYFUNCTION("""COMPUTED_VALUE"""),"Database")</f>
        <v>Database</v>
      </c>
      <c r="I572" s="20">
        <f>IFERROR(__xludf.DUMMYFUNCTION("""COMPUTED_VALUE"""),0.444)</f>
        <v>0.444</v>
      </c>
      <c r="J572" s="20">
        <f>IFERROR(__xludf.DUMMYFUNCTION("""COMPUTED_VALUE"""),571.0)</f>
        <v>571</v>
      </c>
      <c r="K572" s="20" t="b">
        <f>IFERROR(__xludf.DUMMYFUNCTION("""COMPUTED_VALUE"""),TRUE)</f>
        <v>1</v>
      </c>
      <c r="L572" s="20" t="str">
        <f>IFERROR(__xludf.DUMMYFUNCTION("""COMPUTED_VALUE"""),"Database;")</f>
        <v>Database;</v>
      </c>
      <c r="M572" s="20" t="b">
        <f>IFERROR(__xludf.DUMMYFUNCTION("""COMPUTED_VALUE"""),FALSE)</f>
        <v>0</v>
      </c>
      <c r="N572" s="20" t="b">
        <f>IFERROR(__xludf.DUMMYFUNCTION("""COMPUTED_VALUE"""),FALSE)</f>
        <v>0</v>
      </c>
      <c r="O572" s="20">
        <f>IFERROR(__xludf.DUMMYFUNCTION("""COMPUTED_VALUE"""),44.4092323552433)</f>
        <v>44.40923236</v>
      </c>
      <c r="P572" s="20">
        <f>IFERROR(__xludf.DUMMYFUNCTION("""COMPUTED_VALUE"""),23262.0)</f>
        <v>23262</v>
      </c>
      <c r="Q572" s="20">
        <f>IFERROR(__xludf.DUMMYFUNCTION("""COMPUTED_VALUE"""),52381.0)</f>
        <v>52381</v>
      </c>
    </row>
    <row r="573">
      <c r="A573" s="20">
        <f>IFERROR(__xludf.DUMMYFUNCTION("""COMPUTED_VALUE"""),572.0)</f>
        <v>572</v>
      </c>
      <c r="B573" s="20" t="str">
        <f>IFERROR(__xludf.DUMMYFUNCTION("""COMPUTED_VALUE"""),"Subtree of Another Tree")</f>
        <v>Subtree of Another Tree</v>
      </c>
      <c r="C573" s="20" t="str">
        <f>IFERROR(__xludf.DUMMYFUNCTION("""COMPUTED_VALUE"""),"subtree-of-another-tree")</f>
        <v>subtree-of-another-tree</v>
      </c>
      <c r="D573" s="20" t="b">
        <f>IFERROR(__xludf.DUMMYFUNCTION("""COMPUTED_VALUE"""),FALSE)</f>
        <v>0</v>
      </c>
      <c r="E573" s="20" t="str">
        <f>IFERROR(__xludf.DUMMYFUNCTION("""COMPUTED_VALUE"""),"Easy")</f>
        <v>Easy</v>
      </c>
      <c r="F573" s="20">
        <f>IFERROR(__xludf.DUMMYFUNCTION("""COMPUTED_VALUE"""),6692.0)</f>
        <v>6692</v>
      </c>
      <c r="G573" s="20">
        <f>IFERROR(__xludf.DUMMYFUNCTION("""COMPUTED_VALUE"""),377.0)</f>
        <v>377</v>
      </c>
      <c r="H573" s="20" t="str">
        <f>IFERROR(__xludf.DUMMYFUNCTION("""COMPUTED_VALUE"""),"Algorithms")</f>
        <v>Algorithms</v>
      </c>
      <c r="I573" s="20">
        <f>IFERROR(__xludf.DUMMYFUNCTION("""COMPUTED_VALUE"""),0.461)</f>
        <v>0.461</v>
      </c>
      <c r="J573" s="20">
        <f>IFERROR(__xludf.DUMMYFUNCTION("""COMPUTED_VALUE"""),572.0)</f>
        <v>572</v>
      </c>
      <c r="K573" s="20" t="b">
        <f>IFERROR(__xludf.DUMMYFUNCTION("""COMPUTED_VALUE"""),FALSE)</f>
        <v>0</v>
      </c>
      <c r="L573" s="20" t="str">
        <f>IFERROR(__xludf.DUMMYFUNCTION("""COMPUTED_VALUE"""),"Tree;Depth-First Search;String Matching;Binary Tree;Hash Function;")</f>
        <v>Tree;Depth-First Search;String Matching;Binary Tree;Hash Function;</v>
      </c>
      <c r="M573" s="20" t="b">
        <f>IFERROR(__xludf.DUMMYFUNCTION("""COMPUTED_VALUE"""),TRUE)</f>
        <v>1</v>
      </c>
      <c r="N573" s="20" t="b">
        <f>IFERROR(__xludf.DUMMYFUNCTION("""COMPUTED_VALUE"""),FALSE)</f>
        <v>0</v>
      </c>
      <c r="O573" s="20">
        <f>IFERROR(__xludf.DUMMYFUNCTION("""COMPUTED_VALUE"""),46.0973040381496)</f>
        <v>46.09730404</v>
      </c>
      <c r="P573" s="20">
        <f>IFERROR(__xludf.DUMMYFUNCTION("""COMPUTED_VALUE"""),604735.0)</f>
        <v>604735</v>
      </c>
      <c r="Q573" s="20">
        <f>IFERROR(__xludf.DUMMYFUNCTION("""COMPUTED_VALUE"""),1311865.0)</f>
        <v>1311865</v>
      </c>
    </row>
    <row r="574">
      <c r="A574" s="20">
        <f>IFERROR(__xludf.DUMMYFUNCTION("""COMPUTED_VALUE"""),573.0)</f>
        <v>573</v>
      </c>
      <c r="B574" s="20" t="str">
        <f>IFERROR(__xludf.DUMMYFUNCTION("""COMPUTED_VALUE"""),"Squirrel Simulation")</f>
        <v>Squirrel Simulation</v>
      </c>
      <c r="C574" s="20" t="str">
        <f>IFERROR(__xludf.DUMMYFUNCTION("""COMPUTED_VALUE"""),"squirrel-simulation")</f>
        <v>squirrel-simulation</v>
      </c>
      <c r="D574" s="20" t="b">
        <f>IFERROR(__xludf.DUMMYFUNCTION("""COMPUTED_VALUE"""),TRUE)</f>
        <v>1</v>
      </c>
      <c r="E574" s="20" t="str">
        <f>IFERROR(__xludf.DUMMYFUNCTION("""COMPUTED_VALUE"""),"Medium")</f>
        <v>Medium</v>
      </c>
      <c r="F574" s="20">
        <f>IFERROR(__xludf.DUMMYFUNCTION("""COMPUTED_VALUE"""),320.0)</f>
        <v>320</v>
      </c>
      <c r="G574" s="20">
        <f>IFERROR(__xludf.DUMMYFUNCTION("""COMPUTED_VALUE"""),34.0)</f>
        <v>34</v>
      </c>
      <c r="H574" s="20" t="str">
        <f>IFERROR(__xludf.DUMMYFUNCTION("""COMPUTED_VALUE"""),"Algorithms")</f>
        <v>Algorithms</v>
      </c>
      <c r="I574" s="20">
        <f>IFERROR(__xludf.DUMMYFUNCTION("""COMPUTED_VALUE"""),0.55)</f>
        <v>0.55</v>
      </c>
      <c r="J574" s="20">
        <f>IFERROR(__xludf.DUMMYFUNCTION("""COMPUTED_VALUE"""),573.0)</f>
        <v>573</v>
      </c>
      <c r="K574" s="20" t="b">
        <f>IFERROR(__xludf.DUMMYFUNCTION("""COMPUTED_VALUE"""),TRUE)</f>
        <v>1</v>
      </c>
      <c r="L574" s="20" t="str">
        <f>IFERROR(__xludf.DUMMYFUNCTION("""COMPUTED_VALUE"""),"Array;Math;")</f>
        <v>Array;Math;</v>
      </c>
      <c r="M574" s="20" t="b">
        <f>IFERROR(__xludf.DUMMYFUNCTION("""COMPUTED_VALUE"""),TRUE)</f>
        <v>1</v>
      </c>
      <c r="N574" s="20" t="b">
        <f>IFERROR(__xludf.DUMMYFUNCTION("""COMPUTED_VALUE"""),FALSE)</f>
        <v>0</v>
      </c>
      <c r="O574" s="20">
        <f>IFERROR(__xludf.DUMMYFUNCTION("""COMPUTED_VALUE"""),55.0304499130002)</f>
        <v>55.03044991</v>
      </c>
      <c r="P574" s="20">
        <f>IFERROR(__xludf.DUMMYFUNCTION("""COMPUTED_VALUE"""),17711.0)</f>
        <v>17711</v>
      </c>
      <c r="Q574" s="20">
        <f>IFERROR(__xludf.DUMMYFUNCTION("""COMPUTED_VALUE"""),32184.0)</f>
        <v>32184</v>
      </c>
    </row>
    <row r="575">
      <c r="A575" s="20">
        <f>IFERROR(__xludf.DUMMYFUNCTION("""COMPUTED_VALUE"""),574.0)</f>
        <v>574</v>
      </c>
      <c r="B575" s="20" t="str">
        <f>IFERROR(__xludf.DUMMYFUNCTION("""COMPUTED_VALUE"""),"Winning Candidate")</f>
        <v>Winning Candidate</v>
      </c>
      <c r="C575" s="20" t="str">
        <f>IFERROR(__xludf.DUMMYFUNCTION("""COMPUTED_VALUE"""),"winning-candidate")</f>
        <v>winning-candidate</v>
      </c>
      <c r="D575" s="20" t="b">
        <f>IFERROR(__xludf.DUMMYFUNCTION("""COMPUTED_VALUE"""),TRUE)</f>
        <v>1</v>
      </c>
      <c r="E575" s="20" t="str">
        <f>IFERROR(__xludf.DUMMYFUNCTION("""COMPUTED_VALUE"""),"Medium")</f>
        <v>Medium</v>
      </c>
      <c r="F575" s="20">
        <f>IFERROR(__xludf.DUMMYFUNCTION("""COMPUTED_VALUE"""),147.0)</f>
        <v>147</v>
      </c>
      <c r="G575" s="20">
        <f>IFERROR(__xludf.DUMMYFUNCTION("""COMPUTED_VALUE"""),403.0)</f>
        <v>403</v>
      </c>
      <c r="H575" s="20" t="str">
        <f>IFERROR(__xludf.DUMMYFUNCTION("""COMPUTED_VALUE"""),"Database")</f>
        <v>Database</v>
      </c>
      <c r="I575" s="20">
        <f>IFERROR(__xludf.DUMMYFUNCTION("""COMPUTED_VALUE"""),0.599)</f>
        <v>0.599</v>
      </c>
      <c r="J575" s="20">
        <f>IFERROR(__xludf.DUMMYFUNCTION("""COMPUTED_VALUE"""),574.0)</f>
        <v>574</v>
      </c>
      <c r="K575" s="20" t="b">
        <f>IFERROR(__xludf.DUMMYFUNCTION("""COMPUTED_VALUE"""),TRUE)</f>
        <v>1</v>
      </c>
      <c r="L575" s="20" t="str">
        <f>IFERROR(__xludf.DUMMYFUNCTION("""COMPUTED_VALUE"""),"Database;")</f>
        <v>Database;</v>
      </c>
      <c r="M575" s="20" t="b">
        <f>IFERROR(__xludf.DUMMYFUNCTION("""COMPUTED_VALUE"""),TRUE)</f>
        <v>1</v>
      </c>
      <c r="N575" s="20" t="b">
        <f>IFERROR(__xludf.DUMMYFUNCTION("""COMPUTED_VALUE"""),FALSE)</f>
        <v>0</v>
      </c>
      <c r="O575" s="20">
        <f>IFERROR(__xludf.DUMMYFUNCTION("""COMPUTED_VALUE"""),59.9248772031204)</f>
        <v>59.9248772</v>
      </c>
      <c r="P575" s="20">
        <f>IFERROR(__xludf.DUMMYFUNCTION("""COMPUTED_VALUE"""),53924.0)</f>
        <v>53924</v>
      </c>
      <c r="Q575" s="20">
        <f>IFERROR(__xludf.DUMMYFUNCTION("""COMPUTED_VALUE"""),89986.0)</f>
        <v>89986</v>
      </c>
    </row>
    <row r="576">
      <c r="A576" s="20">
        <f>IFERROR(__xludf.DUMMYFUNCTION("""COMPUTED_VALUE"""),575.0)</f>
        <v>575</v>
      </c>
      <c r="B576" s="20" t="str">
        <f>IFERROR(__xludf.DUMMYFUNCTION("""COMPUTED_VALUE"""),"Distribute Candies")</f>
        <v>Distribute Candies</v>
      </c>
      <c r="C576" s="20" t="str">
        <f>IFERROR(__xludf.DUMMYFUNCTION("""COMPUTED_VALUE"""),"distribute-candies")</f>
        <v>distribute-candies</v>
      </c>
      <c r="D576" s="20" t="b">
        <f>IFERROR(__xludf.DUMMYFUNCTION("""COMPUTED_VALUE"""),FALSE)</f>
        <v>0</v>
      </c>
      <c r="E576" s="20" t="str">
        <f>IFERROR(__xludf.DUMMYFUNCTION("""COMPUTED_VALUE"""),"Easy")</f>
        <v>Easy</v>
      </c>
      <c r="F576" s="20">
        <f>IFERROR(__xludf.DUMMYFUNCTION("""COMPUTED_VALUE"""),1144.0)</f>
        <v>1144</v>
      </c>
      <c r="G576" s="20">
        <f>IFERROR(__xludf.DUMMYFUNCTION("""COMPUTED_VALUE"""),1227.0)</f>
        <v>1227</v>
      </c>
      <c r="H576" s="20" t="str">
        <f>IFERROR(__xludf.DUMMYFUNCTION("""COMPUTED_VALUE"""),"Algorithms")</f>
        <v>Algorithms</v>
      </c>
      <c r="I576" s="20">
        <f>IFERROR(__xludf.DUMMYFUNCTION("""COMPUTED_VALUE"""),0.663)</f>
        <v>0.663</v>
      </c>
      <c r="J576" s="20">
        <f>IFERROR(__xludf.DUMMYFUNCTION("""COMPUTED_VALUE"""),575.0)</f>
        <v>575</v>
      </c>
      <c r="K576" s="20" t="b">
        <f>IFERROR(__xludf.DUMMYFUNCTION("""COMPUTED_VALUE"""),FALSE)</f>
        <v>0</v>
      </c>
      <c r="L576" s="20" t="str">
        <f>IFERROR(__xludf.DUMMYFUNCTION("""COMPUTED_VALUE"""),"Array;Hash Table;")</f>
        <v>Array;Hash Table;</v>
      </c>
      <c r="M576" s="20" t="b">
        <f>IFERROR(__xludf.DUMMYFUNCTION("""COMPUTED_VALUE"""),TRUE)</f>
        <v>1</v>
      </c>
      <c r="N576" s="20" t="b">
        <f>IFERROR(__xludf.DUMMYFUNCTION("""COMPUTED_VALUE"""),FALSE)</f>
        <v>0</v>
      </c>
      <c r="O576" s="20">
        <f>IFERROR(__xludf.DUMMYFUNCTION("""COMPUTED_VALUE"""),66.2520868113522)</f>
        <v>66.25208681</v>
      </c>
      <c r="P576" s="20">
        <f>IFERROR(__xludf.DUMMYFUNCTION("""COMPUTED_VALUE"""),230170.0)</f>
        <v>230170</v>
      </c>
      <c r="Q576" s="20">
        <f>IFERROR(__xludf.DUMMYFUNCTION("""COMPUTED_VALUE"""),347417.0)</f>
        <v>347417</v>
      </c>
    </row>
    <row r="577">
      <c r="A577" s="20">
        <f>IFERROR(__xludf.DUMMYFUNCTION("""COMPUTED_VALUE"""),576.0)</f>
        <v>576</v>
      </c>
      <c r="B577" s="20" t="str">
        <f>IFERROR(__xludf.DUMMYFUNCTION("""COMPUTED_VALUE"""),"Out of Boundary Paths")</f>
        <v>Out of Boundary Paths</v>
      </c>
      <c r="C577" s="20" t="str">
        <f>IFERROR(__xludf.DUMMYFUNCTION("""COMPUTED_VALUE"""),"out-of-boundary-paths")</f>
        <v>out-of-boundary-paths</v>
      </c>
      <c r="D577" s="20" t="b">
        <f>IFERROR(__xludf.DUMMYFUNCTION("""COMPUTED_VALUE"""),FALSE)</f>
        <v>0</v>
      </c>
      <c r="E577" s="20" t="str">
        <f>IFERROR(__xludf.DUMMYFUNCTION("""COMPUTED_VALUE"""),"Medium")</f>
        <v>Medium</v>
      </c>
      <c r="F577" s="20">
        <f>IFERROR(__xludf.DUMMYFUNCTION("""COMPUTED_VALUE"""),2887.0)</f>
        <v>2887</v>
      </c>
      <c r="G577" s="20">
        <f>IFERROR(__xludf.DUMMYFUNCTION("""COMPUTED_VALUE"""),229.0)</f>
        <v>229</v>
      </c>
      <c r="H577" s="20" t="str">
        <f>IFERROR(__xludf.DUMMYFUNCTION("""COMPUTED_VALUE"""),"Algorithms")</f>
        <v>Algorithms</v>
      </c>
      <c r="I577" s="20">
        <f>IFERROR(__xludf.DUMMYFUNCTION("""COMPUTED_VALUE"""),0.443)</f>
        <v>0.443</v>
      </c>
      <c r="J577" s="20">
        <f>IFERROR(__xludf.DUMMYFUNCTION("""COMPUTED_VALUE"""),576.0)</f>
        <v>576</v>
      </c>
      <c r="K577" s="20" t="b">
        <f>IFERROR(__xludf.DUMMYFUNCTION("""COMPUTED_VALUE"""),FALSE)</f>
        <v>0</v>
      </c>
      <c r="L577" s="20" t="str">
        <f>IFERROR(__xludf.DUMMYFUNCTION("""COMPUTED_VALUE"""),"Dynamic Programming;")</f>
        <v>Dynamic Programming;</v>
      </c>
      <c r="M577" s="20" t="b">
        <f>IFERROR(__xludf.DUMMYFUNCTION("""COMPUTED_VALUE"""),TRUE)</f>
        <v>1</v>
      </c>
      <c r="N577" s="20" t="b">
        <f>IFERROR(__xludf.DUMMYFUNCTION("""COMPUTED_VALUE"""),FALSE)</f>
        <v>0</v>
      </c>
      <c r="O577" s="20">
        <f>IFERROR(__xludf.DUMMYFUNCTION("""COMPUTED_VALUE"""),44.2973983486524)</f>
        <v>44.29739835</v>
      </c>
      <c r="P577" s="20">
        <f>IFERROR(__xludf.DUMMYFUNCTION("""COMPUTED_VALUE"""),113738.0)</f>
        <v>113738</v>
      </c>
      <c r="Q577" s="20">
        <f>IFERROR(__xludf.DUMMYFUNCTION("""COMPUTED_VALUE"""),256760.0)</f>
        <v>256760</v>
      </c>
    </row>
    <row r="578">
      <c r="A578" s="20">
        <f>IFERROR(__xludf.DUMMYFUNCTION("""COMPUTED_VALUE"""),577.0)</f>
        <v>577</v>
      </c>
      <c r="B578" s="20" t="str">
        <f>IFERROR(__xludf.DUMMYFUNCTION("""COMPUTED_VALUE"""),"Employee Bonus")</f>
        <v>Employee Bonus</v>
      </c>
      <c r="C578" s="20" t="str">
        <f>IFERROR(__xludf.DUMMYFUNCTION("""COMPUTED_VALUE"""),"employee-bonus")</f>
        <v>employee-bonus</v>
      </c>
      <c r="D578" s="20" t="b">
        <f>IFERROR(__xludf.DUMMYFUNCTION("""COMPUTED_VALUE"""),TRUE)</f>
        <v>1</v>
      </c>
      <c r="E578" s="20" t="str">
        <f>IFERROR(__xludf.DUMMYFUNCTION("""COMPUTED_VALUE"""),"Easy")</f>
        <v>Easy</v>
      </c>
      <c r="F578" s="20">
        <f>IFERROR(__xludf.DUMMYFUNCTION("""COMPUTED_VALUE"""),179.0)</f>
        <v>179</v>
      </c>
      <c r="G578" s="20">
        <f>IFERROR(__xludf.DUMMYFUNCTION("""COMPUTED_VALUE"""),101.0)</f>
        <v>101</v>
      </c>
      <c r="H578" s="20" t="str">
        <f>IFERROR(__xludf.DUMMYFUNCTION("""COMPUTED_VALUE"""),"Database")</f>
        <v>Database</v>
      </c>
      <c r="I578" s="20">
        <f>IFERROR(__xludf.DUMMYFUNCTION("""COMPUTED_VALUE"""),0.753)</f>
        <v>0.753</v>
      </c>
      <c r="J578" s="20">
        <f>IFERROR(__xludf.DUMMYFUNCTION("""COMPUTED_VALUE"""),577.0)</f>
        <v>577</v>
      </c>
      <c r="K578" s="20" t="b">
        <f>IFERROR(__xludf.DUMMYFUNCTION("""COMPUTED_VALUE"""),TRUE)</f>
        <v>1</v>
      </c>
      <c r="L578" s="20" t="str">
        <f>IFERROR(__xludf.DUMMYFUNCTION("""COMPUTED_VALUE"""),"Database;")</f>
        <v>Database;</v>
      </c>
      <c r="M578" s="20" t="b">
        <f>IFERROR(__xludf.DUMMYFUNCTION("""COMPUTED_VALUE"""),TRUE)</f>
        <v>1</v>
      </c>
      <c r="N578" s="20" t="b">
        <f>IFERROR(__xludf.DUMMYFUNCTION("""COMPUTED_VALUE"""),FALSE)</f>
        <v>0</v>
      </c>
      <c r="O578" s="20">
        <f>IFERROR(__xludf.DUMMYFUNCTION("""COMPUTED_VALUE"""),75.2600787384256)</f>
        <v>75.26007874</v>
      </c>
      <c r="P578" s="20">
        <f>IFERROR(__xludf.DUMMYFUNCTION("""COMPUTED_VALUE"""),68437.0)</f>
        <v>68437</v>
      </c>
      <c r="Q578" s="20">
        <f>IFERROR(__xludf.DUMMYFUNCTION("""COMPUTED_VALUE"""),90934.0)</f>
        <v>90934</v>
      </c>
    </row>
    <row r="579">
      <c r="A579" s="20">
        <f>IFERROR(__xludf.DUMMYFUNCTION("""COMPUTED_VALUE"""),578.0)</f>
        <v>578</v>
      </c>
      <c r="B579" s="20" t="str">
        <f>IFERROR(__xludf.DUMMYFUNCTION("""COMPUTED_VALUE"""),"Get Highest Answer Rate Question")</f>
        <v>Get Highest Answer Rate Question</v>
      </c>
      <c r="C579" s="20" t="str">
        <f>IFERROR(__xludf.DUMMYFUNCTION("""COMPUTED_VALUE"""),"get-highest-answer-rate-question")</f>
        <v>get-highest-answer-rate-question</v>
      </c>
      <c r="D579" s="20" t="b">
        <f>IFERROR(__xludf.DUMMYFUNCTION("""COMPUTED_VALUE"""),TRUE)</f>
        <v>1</v>
      </c>
      <c r="E579" s="20" t="str">
        <f>IFERROR(__xludf.DUMMYFUNCTION("""COMPUTED_VALUE"""),"Medium")</f>
        <v>Medium</v>
      </c>
      <c r="F579" s="20">
        <f>IFERROR(__xludf.DUMMYFUNCTION("""COMPUTED_VALUE"""),102.0)</f>
        <v>102</v>
      </c>
      <c r="G579" s="20">
        <f>IFERROR(__xludf.DUMMYFUNCTION("""COMPUTED_VALUE"""),878.0)</f>
        <v>878</v>
      </c>
      <c r="H579" s="20" t="str">
        <f>IFERROR(__xludf.DUMMYFUNCTION("""COMPUTED_VALUE"""),"Database")</f>
        <v>Database</v>
      </c>
      <c r="I579" s="20">
        <f>IFERROR(__xludf.DUMMYFUNCTION("""COMPUTED_VALUE"""),0.412)</f>
        <v>0.412</v>
      </c>
      <c r="J579" s="20">
        <f>IFERROR(__xludf.DUMMYFUNCTION("""COMPUTED_VALUE"""),578.0)</f>
        <v>578</v>
      </c>
      <c r="K579" s="20" t="b">
        <f>IFERROR(__xludf.DUMMYFUNCTION("""COMPUTED_VALUE"""),TRUE)</f>
        <v>1</v>
      </c>
      <c r="L579" s="20" t="str">
        <f>IFERROR(__xludf.DUMMYFUNCTION("""COMPUTED_VALUE"""),"Database;")</f>
        <v>Database;</v>
      </c>
      <c r="M579" s="20" t="b">
        <f>IFERROR(__xludf.DUMMYFUNCTION("""COMPUTED_VALUE"""),FALSE)</f>
        <v>0</v>
      </c>
      <c r="N579" s="20" t="b">
        <f>IFERROR(__xludf.DUMMYFUNCTION("""COMPUTED_VALUE"""),FALSE)</f>
        <v>0</v>
      </c>
      <c r="O579" s="20">
        <f>IFERROR(__xludf.DUMMYFUNCTION("""COMPUTED_VALUE"""),41.2265910084491)</f>
        <v>41.22659101</v>
      </c>
      <c r="P579" s="20">
        <f>IFERROR(__xludf.DUMMYFUNCTION("""COMPUTED_VALUE"""),46208.0)</f>
        <v>46208</v>
      </c>
      <c r="Q579" s="20">
        <f>IFERROR(__xludf.DUMMYFUNCTION("""COMPUTED_VALUE"""),112083.0)</f>
        <v>112083</v>
      </c>
    </row>
    <row r="580">
      <c r="A580" s="20">
        <f>IFERROR(__xludf.DUMMYFUNCTION("""COMPUTED_VALUE"""),579.0)</f>
        <v>579</v>
      </c>
      <c r="B580" s="20" t="str">
        <f>IFERROR(__xludf.DUMMYFUNCTION("""COMPUTED_VALUE"""),"Find Cumulative Salary of an Employee")</f>
        <v>Find Cumulative Salary of an Employee</v>
      </c>
      <c r="C580" s="20" t="str">
        <f>IFERROR(__xludf.DUMMYFUNCTION("""COMPUTED_VALUE"""),"find-cumulative-salary-of-an-employee")</f>
        <v>find-cumulative-salary-of-an-employee</v>
      </c>
      <c r="D580" s="20" t="b">
        <f>IFERROR(__xludf.DUMMYFUNCTION("""COMPUTED_VALUE"""),TRUE)</f>
        <v>1</v>
      </c>
      <c r="E580" s="20" t="str">
        <f>IFERROR(__xludf.DUMMYFUNCTION("""COMPUTED_VALUE"""),"Hard")</f>
        <v>Hard</v>
      </c>
      <c r="F580" s="20">
        <f>IFERROR(__xludf.DUMMYFUNCTION("""COMPUTED_VALUE"""),193.0)</f>
        <v>193</v>
      </c>
      <c r="G580" s="20">
        <f>IFERROR(__xludf.DUMMYFUNCTION("""COMPUTED_VALUE"""),389.0)</f>
        <v>389</v>
      </c>
      <c r="H580" s="20" t="str">
        <f>IFERROR(__xludf.DUMMYFUNCTION("""COMPUTED_VALUE"""),"Database")</f>
        <v>Database</v>
      </c>
      <c r="I580" s="20">
        <f>IFERROR(__xludf.DUMMYFUNCTION("""COMPUTED_VALUE"""),0.454)</f>
        <v>0.454</v>
      </c>
      <c r="J580" s="20">
        <f>IFERROR(__xludf.DUMMYFUNCTION("""COMPUTED_VALUE"""),579.0)</f>
        <v>579</v>
      </c>
      <c r="K580" s="20" t="b">
        <f>IFERROR(__xludf.DUMMYFUNCTION("""COMPUTED_VALUE"""),TRUE)</f>
        <v>1</v>
      </c>
      <c r="L580" s="20" t="str">
        <f>IFERROR(__xludf.DUMMYFUNCTION("""COMPUTED_VALUE"""),"Database;")</f>
        <v>Database;</v>
      </c>
      <c r="M580" s="20" t="b">
        <f>IFERROR(__xludf.DUMMYFUNCTION("""COMPUTED_VALUE"""),TRUE)</f>
        <v>1</v>
      </c>
      <c r="N580" s="20" t="b">
        <f>IFERROR(__xludf.DUMMYFUNCTION("""COMPUTED_VALUE"""),FALSE)</f>
        <v>0</v>
      </c>
      <c r="O580" s="20">
        <f>IFERROR(__xludf.DUMMYFUNCTION("""COMPUTED_VALUE"""),45.3721403465499)</f>
        <v>45.37214035</v>
      </c>
      <c r="P580" s="20">
        <f>IFERROR(__xludf.DUMMYFUNCTION("""COMPUTED_VALUE"""),29432.0)</f>
        <v>29432</v>
      </c>
      <c r="Q580" s="20">
        <f>IFERROR(__xludf.DUMMYFUNCTION("""COMPUTED_VALUE"""),64868.0)</f>
        <v>64868</v>
      </c>
    </row>
    <row r="581">
      <c r="A581" s="20">
        <f>IFERROR(__xludf.DUMMYFUNCTION("""COMPUTED_VALUE"""),580.0)</f>
        <v>580</v>
      </c>
      <c r="B581" s="20" t="str">
        <f>IFERROR(__xludf.DUMMYFUNCTION("""COMPUTED_VALUE"""),"Count Student Number in Departments")</f>
        <v>Count Student Number in Departments</v>
      </c>
      <c r="C581" s="20" t="str">
        <f>IFERROR(__xludf.DUMMYFUNCTION("""COMPUTED_VALUE"""),"count-student-number-in-departments")</f>
        <v>count-student-number-in-departments</v>
      </c>
      <c r="D581" s="20" t="b">
        <f>IFERROR(__xludf.DUMMYFUNCTION("""COMPUTED_VALUE"""),TRUE)</f>
        <v>1</v>
      </c>
      <c r="E581" s="20" t="str">
        <f>IFERROR(__xludf.DUMMYFUNCTION("""COMPUTED_VALUE"""),"Medium")</f>
        <v>Medium</v>
      </c>
      <c r="F581" s="20">
        <f>IFERROR(__xludf.DUMMYFUNCTION("""COMPUTED_VALUE"""),220.0)</f>
        <v>220</v>
      </c>
      <c r="G581" s="20">
        <f>IFERROR(__xludf.DUMMYFUNCTION("""COMPUTED_VALUE"""),35.0)</f>
        <v>35</v>
      </c>
      <c r="H581" s="20" t="str">
        <f>IFERROR(__xludf.DUMMYFUNCTION("""COMPUTED_VALUE"""),"Database")</f>
        <v>Database</v>
      </c>
      <c r="I581" s="20">
        <f>IFERROR(__xludf.DUMMYFUNCTION("""COMPUTED_VALUE"""),0.585)</f>
        <v>0.585</v>
      </c>
      <c r="J581" s="20">
        <f>IFERROR(__xludf.DUMMYFUNCTION("""COMPUTED_VALUE"""),580.0)</f>
        <v>580</v>
      </c>
      <c r="K581" s="20" t="b">
        <f>IFERROR(__xludf.DUMMYFUNCTION("""COMPUTED_VALUE"""),TRUE)</f>
        <v>1</v>
      </c>
      <c r="L581" s="20" t="str">
        <f>IFERROR(__xludf.DUMMYFUNCTION("""COMPUTED_VALUE"""),"Database;")</f>
        <v>Database;</v>
      </c>
      <c r="M581" s="20" t="b">
        <f>IFERROR(__xludf.DUMMYFUNCTION("""COMPUTED_VALUE"""),TRUE)</f>
        <v>1</v>
      </c>
      <c r="N581" s="20" t="b">
        <f>IFERROR(__xludf.DUMMYFUNCTION("""COMPUTED_VALUE"""),FALSE)</f>
        <v>0</v>
      </c>
      <c r="O581" s="20">
        <f>IFERROR(__xludf.DUMMYFUNCTION("""COMPUTED_VALUE"""),58.4936801420662)</f>
        <v>58.49368014</v>
      </c>
      <c r="P581" s="20">
        <f>IFERROR(__xludf.DUMMYFUNCTION("""COMPUTED_VALUE"""),55996.0)</f>
        <v>55996</v>
      </c>
      <c r="Q581" s="20">
        <f>IFERROR(__xludf.DUMMYFUNCTION("""COMPUTED_VALUE"""),95730.0)</f>
        <v>95730</v>
      </c>
    </row>
    <row r="582">
      <c r="A582" s="20">
        <f>IFERROR(__xludf.DUMMYFUNCTION("""COMPUTED_VALUE"""),581.0)</f>
        <v>581</v>
      </c>
      <c r="B582" s="20" t="str">
        <f>IFERROR(__xludf.DUMMYFUNCTION("""COMPUTED_VALUE"""),"Shortest Unsorted Continuous Subarray")</f>
        <v>Shortest Unsorted Continuous Subarray</v>
      </c>
      <c r="C582" s="20" t="str">
        <f>IFERROR(__xludf.DUMMYFUNCTION("""COMPUTED_VALUE"""),"shortest-unsorted-continuous-subarray")</f>
        <v>shortest-unsorted-continuous-subarray</v>
      </c>
      <c r="D582" s="20" t="b">
        <f>IFERROR(__xludf.DUMMYFUNCTION("""COMPUTED_VALUE"""),FALSE)</f>
        <v>0</v>
      </c>
      <c r="E582" s="20" t="str">
        <f>IFERROR(__xludf.DUMMYFUNCTION("""COMPUTED_VALUE"""),"Medium")</f>
        <v>Medium</v>
      </c>
      <c r="F582" s="20">
        <f>IFERROR(__xludf.DUMMYFUNCTION("""COMPUTED_VALUE"""),7063.0)</f>
        <v>7063</v>
      </c>
      <c r="G582" s="20">
        <f>IFERROR(__xludf.DUMMYFUNCTION("""COMPUTED_VALUE"""),245.0)</f>
        <v>245</v>
      </c>
      <c r="H582" s="20" t="str">
        <f>IFERROR(__xludf.DUMMYFUNCTION("""COMPUTED_VALUE"""),"Algorithms")</f>
        <v>Algorithms</v>
      </c>
      <c r="I582" s="20">
        <f>IFERROR(__xludf.DUMMYFUNCTION("""COMPUTED_VALUE"""),0.363)</f>
        <v>0.363</v>
      </c>
      <c r="J582" s="20">
        <f>IFERROR(__xludf.DUMMYFUNCTION("""COMPUTED_VALUE"""),581.0)</f>
        <v>581</v>
      </c>
      <c r="K582" s="20" t="b">
        <f>IFERROR(__xludf.DUMMYFUNCTION("""COMPUTED_VALUE"""),FALSE)</f>
        <v>0</v>
      </c>
      <c r="L582" s="20" t="str">
        <f>IFERROR(__xludf.DUMMYFUNCTION("""COMPUTED_VALUE"""),"Array;Two Pointers;Stack;Greedy;Sorting;Monotonic Stack;")</f>
        <v>Array;Two Pointers;Stack;Greedy;Sorting;Monotonic Stack;</v>
      </c>
      <c r="M582" s="20" t="b">
        <f>IFERROR(__xludf.DUMMYFUNCTION("""COMPUTED_VALUE"""),TRUE)</f>
        <v>1</v>
      </c>
      <c r="N582" s="20" t="b">
        <f>IFERROR(__xludf.DUMMYFUNCTION("""COMPUTED_VALUE"""),FALSE)</f>
        <v>0</v>
      </c>
      <c r="O582" s="20">
        <f>IFERROR(__xludf.DUMMYFUNCTION("""COMPUTED_VALUE"""),36.2917292113783)</f>
        <v>36.29172921</v>
      </c>
      <c r="P582" s="20">
        <f>IFERROR(__xludf.DUMMYFUNCTION("""COMPUTED_VALUE"""),292540.0)</f>
        <v>292540</v>
      </c>
      <c r="Q582" s="20">
        <f>IFERROR(__xludf.DUMMYFUNCTION("""COMPUTED_VALUE"""),806050.0)</f>
        <v>806050</v>
      </c>
    </row>
    <row r="583">
      <c r="A583" s="20">
        <f>IFERROR(__xludf.DUMMYFUNCTION("""COMPUTED_VALUE"""),582.0)</f>
        <v>582</v>
      </c>
      <c r="B583" s="20" t="str">
        <f>IFERROR(__xludf.DUMMYFUNCTION("""COMPUTED_VALUE"""),"Kill Process")</f>
        <v>Kill Process</v>
      </c>
      <c r="C583" s="20" t="str">
        <f>IFERROR(__xludf.DUMMYFUNCTION("""COMPUTED_VALUE"""),"kill-process")</f>
        <v>kill-process</v>
      </c>
      <c r="D583" s="20" t="b">
        <f>IFERROR(__xludf.DUMMYFUNCTION("""COMPUTED_VALUE"""),TRUE)</f>
        <v>1</v>
      </c>
      <c r="E583" s="20" t="str">
        <f>IFERROR(__xludf.DUMMYFUNCTION("""COMPUTED_VALUE"""),"Medium")</f>
        <v>Medium</v>
      </c>
      <c r="F583" s="20">
        <f>IFERROR(__xludf.DUMMYFUNCTION("""COMPUTED_VALUE"""),1026.0)</f>
        <v>1026</v>
      </c>
      <c r="G583" s="20">
        <f>IFERROR(__xludf.DUMMYFUNCTION("""COMPUTED_VALUE"""),19.0)</f>
        <v>19</v>
      </c>
      <c r="H583" s="20" t="str">
        <f>IFERROR(__xludf.DUMMYFUNCTION("""COMPUTED_VALUE"""),"Algorithms")</f>
        <v>Algorithms</v>
      </c>
      <c r="I583" s="20">
        <f>IFERROR(__xludf.DUMMYFUNCTION("""COMPUTED_VALUE"""),0.686)</f>
        <v>0.686</v>
      </c>
      <c r="J583" s="20">
        <f>IFERROR(__xludf.DUMMYFUNCTION("""COMPUTED_VALUE"""),582.0)</f>
        <v>582</v>
      </c>
      <c r="K583" s="20" t="b">
        <f>IFERROR(__xludf.DUMMYFUNCTION("""COMPUTED_VALUE"""),TRUE)</f>
        <v>1</v>
      </c>
      <c r="L583" s="20" t="str">
        <f>IFERROR(__xludf.DUMMYFUNCTION("""COMPUTED_VALUE"""),"Array;Hash Table;Tree;Depth-First Search;Breadth-First Search;")</f>
        <v>Array;Hash Table;Tree;Depth-First Search;Breadth-First Search;</v>
      </c>
      <c r="M583" s="20" t="b">
        <f>IFERROR(__xludf.DUMMYFUNCTION("""COMPUTED_VALUE"""),TRUE)</f>
        <v>1</v>
      </c>
      <c r="N583" s="20" t="b">
        <f>IFERROR(__xludf.DUMMYFUNCTION("""COMPUTED_VALUE"""),TRUE)</f>
        <v>1</v>
      </c>
      <c r="O583" s="20">
        <f>IFERROR(__xludf.DUMMYFUNCTION("""COMPUTED_VALUE"""),68.5783851991398)</f>
        <v>68.5783852</v>
      </c>
      <c r="P583" s="20">
        <f>IFERROR(__xludf.DUMMYFUNCTION("""COMPUTED_VALUE"""),77174.0)</f>
        <v>77174</v>
      </c>
      <c r="Q583" s="20">
        <f>IFERROR(__xludf.DUMMYFUNCTION("""COMPUTED_VALUE"""),112534.0)</f>
        <v>112534</v>
      </c>
    </row>
    <row r="584">
      <c r="A584" s="20">
        <f>IFERROR(__xludf.DUMMYFUNCTION("""COMPUTED_VALUE"""),583.0)</f>
        <v>583</v>
      </c>
      <c r="B584" s="20" t="str">
        <f>IFERROR(__xludf.DUMMYFUNCTION("""COMPUTED_VALUE"""),"Delete Operation for Two Strings")</f>
        <v>Delete Operation for Two Strings</v>
      </c>
      <c r="C584" s="20" t="str">
        <f>IFERROR(__xludf.DUMMYFUNCTION("""COMPUTED_VALUE"""),"delete-operation-for-two-strings")</f>
        <v>delete-operation-for-two-strings</v>
      </c>
      <c r="D584" s="20" t="b">
        <f>IFERROR(__xludf.DUMMYFUNCTION("""COMPUTED_VALUE"""),FALSE)</f>
        <v>0</v>
      </c>
      <c r="E584" s="20" t="str">
        <f>IFERROR(__xludf.DUMMYFUNCTION("""COMPUTED_VALUE"""),"Medium")</f>
        <v>Medium</v>
      </c>
      <c r="F584" s="20">
        <f>IFERROR(__xludf.DUMMYFUNCTION("""COMPUTED_VALUE"""),4749.0)</f>
        <v>4749</v>
      </c>
      <c r="G584" s="20">
        <f>IFERROR(__xludf.DUMMYFUNCTION("""COMPUTED_VALUE"""),71.0)</f>
        <v>71</v>
      </c>
      <c r="H584" s="20" t="str">
        <f>IFERROR(__xludf.DUMMYFUNCTION("""COMPUTED_VALUE"""),"Algorithms")</f>
        <v>Algorithms</v>
      </c>
      <c r="I584" s="20">
        <f>IFERROR(__xludf.DUMMYFUNCTION("""COMPUTED_VALUE"""),0.595)</f>
        <v>0.595</v>
      </c>
      <c r="J584" s="20">
        <f>IFERROR(__xludf.DUMMYFUNCTION("""COMPUTED_VALUE"""),583.0)</f>
        <v>583</v>
      </c>
      <c r="K584" s="20" t="b">
        <f>IFERROR(__xludf.DUMMYFUNCTION("""COMPUTED_VALUE"""),FALSE)</f>
        <v>0</v>
      </c>
      <c r="L584" s="20" t="str">
        <f>IFERROR(__xludf.DUMMYFUNCTION("""COMPUTED_VALUE"""),"String;Dynamic Programming;")</f>
        <v>String;Dynamic Programming;</v>
      </c>
      <c r="M584" s="20" t="b">
        <f>IFERROR(__xludf.DUMMYFUNCTION("""COMPUTED_VALUE"""),TRUE)</f>
        <v>1</v>
      </c>
      <c r="N584" s="20" t="b">
        <f>IFERROR(__xludf.DUMMYFUNCTION("""COMPUTED_VALUE"""),FALSE)</f>
        <v>0</v>
      </c>
      <c r="O584" s="20">
        <f>IFERROR(__xludf.DUMMYFUNCTION("""COMPUTED_VALUE"""),59.5279098210407)</f>
        <v>59.52790982</v>
      </c>
      <c r="P584" s="20">
        <f>IFERROR(__xludf.DUMMYFUNCTION("""COMPUTED_VALUE"""),193225.0)</f>
        <v>193225</v>
      </c>
      <c r="Q584" s="20">
        <f>IFERROR(__xludf.DUMMYFUNCTION("""COMPUTED_VALUE"""),324596.0)</f>
        <v>324596</v>
      </c>
    </row>
    <row r="585">
      <c r="A585" s="20">
        <f>IFERROR(__xludf.DUMMYFUNCTION("""COMPUTED_VALUE"""),584.0)</f>
        <v>584</v>
      </c>
      <c r="B585" s="20" t="str">
        <f>IFERROR(__xludf.DUMMYFUNCTION("""COMPUTED_VALUE"""),"Find Customer Referee")</f>
        <v>Find Customer Referee</v>
      </c>
      <c r="C585" s="20" t="str">
        <f>IFERROR(__xludf.DUMMYFUNCTION("""COMPUTED_VALUE"""),"find-customer-referee")</f>
        <v>find-customer-referee</v>
      </c>
      <c r="D585" s="20" t="b">
        <f>IFERROR(__xludf.DUMMYFUNCTION("""COMPUTED_VALUE"""),FALSE)</f>
        <v>0</v>
      </c>
      <c r="E585" s="20" t="str">
        <f>IFERROR(__xludf.DUMMYFUNCTION("""COMPUTED_VALUE"""),"Easy")</f>
        <v>Easy</v>
      </c>
      <c r="F585" s="20">
        <f>IFERROR(__xludf.DUMMYFUNCTION("""COMPUTED_VALUE"""),790.0)</f>
        <v>790</v>
      </c>
      <c r="G585" s="20">
        <f>IFERROR(__xludf.DUMMYFUNCTION("""COMPUTED_VALUE"""),260.0)</f>
        <v>260</v>
      </c>
      <c r="H585" s="20" t="str">
        <f>IFERROR(__xludf.DUMMYFUNCTION("""COMPUTED_VALUE"""),"Database")</f>
        <v>Database</v>
      </c>
      <c r="I585" s="20">
        <f>IFERROR(__xludf.DUMMYFUNCTION("""COMPUTED_VALUE"""),0.697)</f>
        <v>0.697</v>
      </c>
      <c r="J585" s="20">
        <f>IFERROR(__xludf.DUMMYFUNCTION("""COMPUTED_VALUE"""),584.0)</f>
        <v>584</v>
      </c>
      <c r="K585" s="20" t="b">
        <f>IFERROR(__xludf.DUMMYFUNCTION("""COMPUTED_VALUE"""),FALSE)</f>
        <v>0</v>
      </c>
      <c r="L585" s="20" t="str">
        <f>IFERROR(__xludf.DUMMYFUNCTION("""COMPUTED_VALUE"""),"Database;")</f>
        <v>Database;</v>
      </c>
      <c r="M585" s="20" t="b">
        <f>IFERROR(__xludf.DUMMYFUNCTION("""COMPUTED_VALUE"""),TRUE)</f>
        <v>1</v>
      </c>
      <c r="N585" s="20" t="b">
        <f>IFERROR(__xludf.DUMMYFUNCTION("""COMPUTED_VALUE"""),FALSE)</f>
        <v>0</v>
      </c>
      <c r="O585" s="20">
        <f>IFERROR(__xludf.DUMMYFUNCTION("""COMPUTED_VALUE"""),69.7020192702537)</f>
        <v>69.70201927</v>
      </c>
      <c r="P585" s="20">
        <f>IFERROR(__xludf.DUMMYFUNCTION("""COMPUTED_VALUE"""),234227.0)</f>
        <v>234227</v>
      </c>
      <c r="Q585" s="20">
        <f>IFERROR(__xludf.DUMMYFUNCTION("""COMPUTED_VALUE"""),336045.0)</f>
        <v>336045</v>
      </c>
    </row>
    <row r="586">
      <c r="A586" s="20">
        <f>IFERROR(__xludf.DUMMYFUNCTION("""COMPUTED_VALUE"""),585.0)</f>
        <v>585</v>
      </c>
      <c r="B586" s="20" t="str">
        <f>IFERROR(__xludf.DUMMYFUNCTION("""COMPUTED_VALUE"""),"Investments in 2016")</f>
        <v>Investments in 2016</v>
      </c>
      <c r="C586" s="20" t="str">
        <f>IFERROR(__xludf.DUMMYFUNCTION("""COMPUTED_VALUE"""),"investments-in-2016")</f>
        <v>investments-in-2016</v>
      </c>
      <c r="D586" s="20" t="b">
        <f>IFERROR(__xludf.DUMMYFUNCTION("""COMPUTED_VALUE"""),TRUE)</f>
        <v>1</v>
      </c>
      <c r="E586" s="20" t="str">
        <f>IFERROR(__xludf.DUMMYFUNCTION("""COMPUTED_VALUE"""),"Medium")</f>
        <v>Medium</v>
      </c>
      <c r="F586" s="20">
        <f>IFERROR(__xludf.DUMMYFUNCTION("""COMPUTED_VALUE"""),220.0)</f>
        <v>220</v>
      </c>
      <c r="G586" s="20">
        <f>IFERROR(__xludf.DUMMYFUNCTION("""COMPUTED_VALUE"""),234.0)</f>
        <v>234</v>
      </c>
      <c r="H586" s="20" t="str">
        <f>IFERROR(__xludf.DUMMYFUNCTION("""COMPUTED_VALUE"""),"Database")</f>
        <v>Database</v>
      </c>
      <c r="I586" s="20">
        <f>IFERROR(__xludf.DUMMYFUNCTION("""COMPUTED_VALUE"""),0.531)</f>
        <v>0.531</v>
      </c>
      <c r="J586" s="20">
        <f>IFERROR(__xludf.DUMMYFUNCTION("""COMPUTED_VALUE"""),585.0)</f>
        <v>585</v>
      </c>
      <c r="K586" s="20" t="b">
        <f>IFERROR(__xludf.DUMMYFUNCTION("""COMPUTED_VALUE"""),TRUE)</f>
        <v>1</v>
      </c>
      <c r="L586" s="20" t="str">
        <f>IFERROR(__xludf.DUMMYFUNCTION("""COMPUTED_VALUE"""),"Database;")</f>
        <v>Database;</v>
      </c>
      <c r="M586" s="20" t="b">
        <f>IFERROR(__xludf.DUMMYFUNCTION("""COMPUTED_VALUE"""),TRUE)</f>
        <v>1</v>
      </c>
      <c r="N586" s="20" t="b">
        <f>IFERROR(__xludf.DUMMYFUNCTION("""COMPUTED_VALUE"""),FALSE)</f>
        <v>0</v>
      </c>
      <c r="O586" s="20">
        <f>IFERROR(__xludf.DUMMYFUNCTION("""COMPUTED_VALUE"""),53.0999363462762)</f>
        <v>53.09993635</v>
      </c>
      <c r="P586" s="20">
        <f>IFERROR(__xludf.DUMMYFUNCTION("""COMPUTED_VALUE"""),37539.0)</f>
        <v>37539</v>
      </c>
      <c r="Q586" s="20">
        <f>IFERROR(__xludf.DUMMYFUNCTION("""COMPUTED_VALUE"""),70695.0)</f>
        <v>70695</v>
      </c>
    </row>
    <row r="587">
      <c r="A587" s="20">
        <f>IFERROR(__xludf.DUMMYFUNCTION("""COMPUTED_VALUE"""),586.0)</f>
        <v>586</v>
      </c>
      <c r="B587" s="20" t="str">
        <f>IFERROR(__xludf.DUMMYFUNCTION("""COMPUTED_VALUE"""),"Customer Placing the Largest Number of Orders")</f>
        <v>Customer Placing the Largest Number of Orders</v>
      </c>
      <c r="C587" s="20" t="str">
        <f>IFERROR(__xludf.DUMMYFUNCTION("""COMPUTED_VALUE"""),"customer-placing-the-largest-number-of-orders")</f>
        <v>customer-placing-the-largest-number-of-orders</v>
      </c>
      <c r="D587" s="20" t="b">
        <f>IFERROR(__xludf.DUMMYFUNCTION("""COMPUTED_VALUE"""),FALSE)</f>
        <v>0</v>
      </c>
      <c r="E587" s="20" t="str">
        <f>IFERROR(__xludf.DUMMYFUNCTION("""COMPUTED_VALUE"""),"Easy")</f>
        <v>Easy</v>
      </c>
      <c r="F587" s="20">
        <f>IFERROR(__xludf.DUMMYFUNCTION("""COMPUTED_VALUE"""),576.0)</f>
        <v>576</v>
      </c>
      <c r="G587" s="20">
        <f>IFERROR(__xludf.DUMMYFUNCTION("""COMPUTED_VALUE"""),36.0)</f>
        <v>36</v>
      </c>
      <c r="H587" s="20" t="str">
        <f>IFERROR(__xludf.DUMMYFUNCTION("""COMPUTED_VALUE"""),"Database")</f>
        <v>Database</v>
      </c>
      <c r="I587" s="20">
        <f>IFERROR(__xludf.DUMMYFUNCTION("""COMPUTED_VALUE"""),0.714)</f>
        <v>0.714</v>
      </c>
      <c r="J587" s="20">
        <f>IFERROR(__xludf.DUMMYFUNCTION("""COMPUTED_VALUE"""),586.0)</f>
        <v>586</v>
      </c>
      <c r="K587" s="20" t="b">
        <f>IFERROR(__xludf.DUMMYFUNCTION("""COMPUTED_VALUE"""),FALSE)</f>
        <v>0</v>
      </c>
      <c r="L587" s="20" t="str">
        <f>IFERROR(__xludf.DUMMYFUNCTION("""COMPUTED_VALUE"""),"Database;")</f>
        <v>Database;</v>
      </c>
      <c r="M587" s="20" t="b">
        <f>IFERROR(__xludf.DUMMYFUNCTION("""COMPUTED_VALUE"""),TRUE)</f>
        <v>1</v>
      </c>
      <c r="N587" s="20" t="b">
        <f>IFERROR(__xludf.DUMMYFUNCTION("""COMPUTED_VALUE"""),FALSE)</f>
        <v>0</v>
      </c>
      <c r="O587" s="20">
        <f>IFERROR(__xludf.DUMMYFUNCTION("""COMPUTED_VALUE"""),71.3689028457662)</f>
        <v>71.36890285</v>
      </c>
      <c r="P587" s="20">
        <f>IFERROR(__xludf.DUMMYFUNCTION("""COMPUTED_VALUE"""),139084.0)</f>
        <v>139084</v>
      </c>
      <c r="Q587" s="20">
        <f>IFERROR(__xludf.DUMMYFUNCTION("""COMPUTED_VALUE"""),194881.0)</f>
        <v>194881</v>
      </c>
    </row>
    <row r="588">
      <c r="A588" s="20">
        <f>IFERROR(__xludf.DUMMYFUNCTION("""COMPUTED_VALUE"""),587.0)</f>
        <v>587</v>
      </c>
      <c r="B588" s="20" t="str">
        <f>IFERROR(__xludf.DUMMYFUNCTION("""COMPUTED_VALUE"""),"Erect the Fence")</f>
        <v>Erect the Fence</v>
      </c>
      <c r="C588" s="20" t="str">
        <f>IFERROR(__xludf.DUMMYFUNCTION("""COMPUTED_VALUE"""),"erect-the-fence")</f>
        <v>erect-the-fence</v>
      </c>
      <c r="D588" s="20" t="b">
        <f>IFERROR(__xludf.DUMMYFUNCTION("""COMPUTED_VALUE"""),FALSE)</f>
        <v>0</v>
      </c>
      <c r="E588" s="20" t="str">
        <f>IFERROR(__xludf.DUMMYFUNCTION("""COMPUTED_VALUE"""),"Hard")</f>
        <v>Hard</v>
      </c>
      <c r="F588" s="20">
        <f>IFERROR(__xludf.DUMMYFUNCTION("""COMPUTED_VALUE"""),1311.0)</f>
        <v>1311</v>
      </c>
      <c r="G588" s="20">
        <f>IFERROR(__xludf.DUMMYFUNCTION("""COMPUTED_VALUE"""),627.0)</f>
        <v>627</v>
      </c>
      <c r="H588" s="20" t="str">
        <f>IFERROR(__xludf.DUMMYFUNCTION("""COMPUTED_VALUE"""),"Algorithms")</f>
        <v>Algorithms</v>
      </c>
      <c r="I588" s="20">
        <f>IFERROR(__xludf.DUMMYFUNCTION("""COMPUTED_VALUE"""),0.523)</f>
        <v>0.523</v>
      </c>
      <c r="J588" s="20">
        <f>IFERROR(__xludf.DUMMYFUNCTION("""COMPUTED_VALUE"""),587.0)</f>
        <v>587</v>
      </c>
      <c r="K588" s="20" t="b">
        <f>IFERROR(__xludf.DUMMYFUNCTION("""COMPUTED_VALUE"""),FALSE)</f>
        <v>0</v>
      </c>
      <c r="L588" s="20" t="str">
        <f>IFERROR(__xludf.DUMMYFUNCTION("""COMPUTED_VALUE"""),"Array;Math;Geometry;")</f>
        <v>Array;Math;Geometry;</v>
      </c>
      <c r="M588" s="20" t="b">
        <f>IFERROR(__xludf.DUMMYFUNCTION("""COMPUTED_VALUE"""),TRUE)</f>
        <v>1</v>
      </c>
      <c r="N588" s="20" t="b">
        <f>IFERROR(__xludf.DUMMYFUNCTION("""COMPUTED_VALUE"""),FALSE)</f>
        <v>0</v>
      </c>
      <c r="O588" s="20">
        <f>IFERROR(__xludf.DUMMYFUNCTION("""COMPUTED_VALUE"""),52.3462176247631)</f>
        <v>52.34621762</v>
      </c>
      <c r="P588" s="20">
        <f>IFERROR(__xludf.DUMMYFUNCTION("""COMPUTED_VALUE"""),53033.0)</f>
        <v>53033</v>
      </c>
      <c r="Q588" s="20">
        <f>IFERROR(__xludf.DUMMYFUNCTION("""COMPUTED_VALUE"""),101312.0)</f>
        <v>101312</v>
      </c>
    </row>
    <row r="589">
      <c r="A589" s="20">
        <f>IFERROR(__xludf.DUMMYFUNCTION("""COMPUTED_VALUE"""),588.0)</f>
        <v>588</v>
      </c>
      <c r="B589" s="20" t="str">
        <f>IFERROR(__xludf.DUMMYFUNCTION("""COMPUTED_VALUE"""),"Design In-Memory File System")</f>
        <v>Design In-Memory File System</v>
      </c>
      <c r="C589" s="20" t="str">
        <f>IFERROR(__xludf.DUMMYFUNCTION("""COMPUTED_VALUE"""),"design-in-memory-file-system")</f>
        <v>design-in-memory-file-system</v>
      </c>
      <c r="D589" s="20" t="b">
        <f>IFERROR(__xludf.DUMMYFUNCTION("""COMPUTED_VALUE"""),TRUE)</f>
        <v>1</v>
      </c>
      <c r="E589" s="20" t="str">
        <f>IFERROR(__xludf.DUMMYFUNCTION("""COMPUTED_VALUE"""),"Hard")</f>
        <v>Hard</v>
      </c>
      <c r="F589" s="20">
        <f>IFERROR(__xludf.DUMMYFUNCTION("""COMPUTED_VALUE"""),1302.0)</f>
        <v>1302</v>
      </c>
      <c r="G589" s="20">
        <f>IFERROR(__xludf.DUMMYFUNCTION("""COMPUTED_VALUE"""),140.0)</f>
        <v>140</v>
      </c>
      <c r="H589" s="20" t="str">
        <f>IFERROR(__xludf.DUMMYFUNCTION("""COMPUTED_VALUE"""),"Algorithms")</f>
        <v>Algorithms</v>
      </c>
      <c r="I589" s="20">
        <f>IFERROR(__xludf.DUMMYFUNCTION("""COMPUTED_VALUE"""),0.487)</f>
        <v>0.487</v>
      </c>
      <c r="J589" s="20">
        <f>IFERROR(__xludf.DUMMYFUNCTION("""COMPUTED_VALUE"""),588.0)</f>
        <v>588</v>
      </c>
      <c r="K589" s="20" t="b">
        <f>IFERROR(__xludf.DUMMYFUNCTION("""COMPUTED_VALUE"""),TRUE)</f>
        <v>1</v>
      </c>
      <c r="L589" s="20" t="str">
        <f>IFERROR(__xludf.DUMMYFUNCTION("""COMPUTED_VALUE"""),"Hash Table;String;Design;Trie;")</f>
        <v>Hash Table;String;Design;Trie;</v>
      </c>
      <c r="M589" s="20" t="b">
        <f>IFERROR(__xludf.DUMMYFUNCTION("""COMPUTED_VALUE"""),TRUE)</f>
        <v>1</v>
      </c>
      <c r="N589" s="20" t="b">
        <f>IFERROR(__xludf.DUMMYFUNCTION("""COMPUTED_VALUE"""),FALSE)</f>
        <v>0</v>
      </c>
      <c r="O589" s="20">
        <f>IFERROR(__xludf.DUMMYFUNCTION("""COMPUTED_VALUE"""),48.7392765884284)</f>
        <v>48.73927659</v>
      </c>
      <c r="P589" s="20">
        <f>IFERROR(__xludf.DUMMYFUNCTION("""COMPUTED_VALUE"""),82210.0)</f>
        <v>82210</v>
      </c>
      <c r="Q589" s="20">
        <f>IFERROR(__xludf.DUMMYFUNCTION("""COMPUTED_VALUE"""),168673.0)</f>
        <v>168673</v>
      </c>
    </row>
    <row r="590">
      <c r="A590" s="20">
        <f>IFERROR(__xludf.DUMMYFUNCTION("""COMPUTED_VALUE"""),775.0)</f>
        <v>775</v>
      </c>
      <c r="B590" s="20" t="str">
        <f>IFERROR(__xludf.DUMMYFUNCTION("""COMPUTED_VALUE"""),"N-ary Tree Preorder Traversal")</f>
        <v>N-ary Tree Preorder Traversal</v>
      </c>
      <c r="C590" s="20" t="str">
        <f>IFERROR(__xludf.DUMMYFUNCTION("""COMPUTED_VALUE"""),"n-ary-tree-preorder-traversal")</f>
        <v>n-ary-tree-preorder-traversal</v>
      </c>
      <c r="D590" s="20" t="b">
        <f>IFERROR(__xludf.DUMMYFUNCTION("""COMPUTED_VALUE"""),FALSE)</f>
        <v>0</v>
      </c>
      <c r="E590" s="20" t="str">
        <f>IFERROR(__xludf.DUMMYFUNCTION("""COMPUTED_VALUE"""),"Easy")</f>
        <v>Easy</v>
      </c>
      <c r="F590" s="20">
        <f>IFERROR(__xludf.DUMMYFUNCTION("""COMPUTED_VALUE"""),2583.0)</f>
        <v>2583</v>
      </c>
      <c r="G590" s="20">
        <f>IFERROR(__xludf.DUMMYFUNCTION("""COMPUTED_VALUE"""),126.0)</f>
        <v>126</v>
      </c>
      <c r="H590" s="20" t="str">
        <f>IFERROR(__xludf.DUMMYFUNCTION("""COMPUTED_VALUE"""),"Algorithms")</f>
        <v>Algorithms</v>
      </c>
      <c r="I590" s="20">
        <f>IFERROR(__xludf.DUMMYFUNCTION("""COMPUTED_VALUE"""),0.761)</f>
        <v>0.761</v>
      </c>
      <c r="J590" s="20">
        <f>IFERROR(__xludf.DUMMYFUNCTION("""COMPUTED_VALUE"""),589.0)</f>
        <v>589</v>
      </c>
      <c r="K590" s="20" t="b">
        <f>IFERROR(__xludf.DUMMYFUNCTION("""COMPUTED_VALUE"""),FALSE)</f>
        <v>0</v>
      </c>
      <c r="L590" s="20" t="str">
        <f>IFERROR(__xludf.DUMMYFUNCTION("""COMPUTED_VALUE"""),"Stack;Tree;Depth-First Search;")</f>
        <v>Stack;Tree;Depth-First Search;</v>
      </c>
      <c r="M590" s="20" t="b">
        <f>IFERROR(__xludf.DUMMYFUNCTION("""COMPUTED_VALUE"""),TRUE)</f>
        <v>1</v>
      </c>
      <c r="N590" s="20" t="b">
        <f>IFERROR(__xludf.DUMMYFUNCTION("""COMPUTED_VALUE"""),FALSE)</f>
        <v>0</v>
      </c>
      <c r="O590" s="20">
        <f>IFERROR(__xludf.DUMMYFUNCTION("""COMPUTED_VALUE"""),76.1307042153089)</f>
        <v>76.13070422</v>
      </c>
      <c r="P590" s="20">
        <f>IFERROR(__xludf.DUMMYFUNCTION("""COMPUTED_VALUE"""),341646.0)</f>
        <v>341646</v>
      </c>
      <c r="Q590" s="20">
        <f>IFERROR(__xludf.DUMMYFUNCTION("""COMPUTED_VALUE"""),448764.0)</f>
        <v>448764</v>
      </c>
    </row>
    <row r="591">
      <c r="A591" s="20">
        <f>IFERROR(__xludf.DUMMYFUNCTION("""COMPUTED_VALUE"""),776.0)</f>
        <v>776</v>
      </c>
      <c r="B591" s="20" t="str">
        <f>IFERROR(__xludf.DUMMYFUNCTION("""COMPUTED_VALUE"""),"N-ary Tree Postorder Traversal")</f>
        <v>N-ary Tree Postorder Traversal</v>
      </c>
      <c r="C591" s="20" t="str">
        <f>IFERROR(__xludf.DUMMYFUNCTION("""COMPUTED_VALUE"""),"n-ary-tree-postorder-traversal")</f>
        <v>n-ary-tree-postorder-traversal</v>
      </c>
      <c r="D591" s="20" t="b">
        <f>IFERROR(__xludf.DUMMYFUNCTION("""COMPUTED_VALUE"""),FALSE)</f>
        <v>0</v>
      </c>
      <c r="E591" s="20" t="str">
        <f>IFERROR(__xludf.DUMMYFUNCTION("""COMPUTED_VALUE"""),"Easy")</f>
        <v>Easy</v>
      </c>
      <c r="F591" s="20">
        <f>IFERROR(__xludf.DUMMYFUNCTION("""COMPUTED_VALUE"""),1988.0)</f>
        <v>1988</v>
      </c>
      <c r="G591" s="20">
        <f>IFERROR(__xludf.DUMMYFUNCTION("""COMPUTED_VALUE"""),91.0)</f>
        <v>91</v>
      </c>
      <c r="H591" s="20" t="str">
        <f>IFERROR(__xludf.DUMMYFUNCTION("""COMPUTED_VALUE"""),"Algorithms")</f>
        <v>Algorithms</v>
      </c>
      <c r="I591" s="20">
        <f>IFERROR(__xludf.DUMMYFUNCTION("""COMPUTED_VALUE"""),0.772)</f>
        <v>0.772</v>
      </c>
      <c r="J591" s="20">
        <f>IFERROR(__xludf.DUMMYFUNCTION("""COMPUTED_VALUE"""),590.0)</f>
        <v>590</v>
      </c>
      <c r="K591" s="20" t="b">
        <f>IFERROR(__xludf.DUMMYFUNCTION("""COMPUTED_VALUE"""),FALSE)</f>
        <v>0</v>
      </c>
      <c r="L591" s="20" t="str">
        <f>IFERROR(__xludf.DUMMYFUNCTION("""COMPUTED_VALUE"""),"Stack;Tree;Depth-First Search;")</f>
        <v>Stack;Tree;Depth-First Search;</v>
      </c>
      <c r="M591" s="20" t="b">
        <f>IFERROR(__xludf.DUMMYFUNCTION("""COMPUTED_VALUE"""),TRUE)</f>
        <v>1</v>
      </c>
      <c r="N591" s="20" t="b">
        <f>IFERROR(__xludf.DUMMYFUNCTION("""COMPUTED_VALUE"""),FALSE)</f>
        <v>0</v>
      </c>
      <c r="O591" s="20">
        <f>IFERROR(__xludf.DUMMYFUNCTION("""COMPUTED_VALUE"""),77.2497479527964)</f>
        <v>77.24974795</v>
      </c>
      <c r="P591" s="20">
        <f>IFERROR(__xludf.DUMMYFUNCTION("""COMPUTED_VALUE"""),213008.0)</f>
        <v>213008</v>
      </c>
      <c r="Q591" s="20">
        <f>IFERROR(__xludf.DUMMYFUNCTION("""COMPUTED_VALUE"""),275740.0)</f>
        <v>275740</v>
      </c>
    </row>
    <row r="592">
      <c r="A592" s="20">
        <f>IFERROR(__xludf.DUMMYFUNCTION("""COMPUTED_VALUE"""),591.0)</f>
        <v>591</v>
      </c>
      <c r="B592" s="20" t="str">
        <f>IFERROR(__xludf.DUMMYFUNCTION("""COMPUTED_VALUE"""),"Tag Validator")</f>
        <v>Tag Validator</v>
      </c>
      <c r="C592" s="20" t="str">
        <f>IFERROR(__xludf.DUMMYFUNCTION("""COMPUTED_VALUE"""),"tag-validator")</f>
        <v>tag-validator</v>
      </c>
      <c r="D592" s="20" t="b">
        <f>IFERROR(__xludf.DUMMYFUNCTION("""COMPUTED_VALUE"""),FALSE)</f>
        <v>0</v>
      </c>
      <c r="E592" s="20" t="str">
        <f>IFERROR(__xludf.DUMMYFUNCTION("""COMPUTED_VALUE"""),"Hard")</f>
        <v>Hard</v>
      </c>
      <c r="F592" s="20">
        <f>IFERROR(__xludf.DUMMYFUNCTION("""COMPUTED_VALUE"""),148.0)</f>
        <v>148</v>
      </c>
      <c r="G592" s="20">
        <f>IFERROR(__xludf.DUMMYFUNCTION("""COMPUTED_VALUE"""),615.0)</f>
        <v>615</v>
      </c>
      <c r="H592" s="20" t="str">
        <f>IFERROR(__xludf.DUMMYFUNCTION("""COMPUTED_VALUE"""),"Algorithms")</f>
        <v>Algorithms</v>
      </c>
      <c r="I592" s="20">
        <f>IFERROR(__xludf.DUMMYFUNCTION("""COMPUTED_VALUE"""),0.371)</f>
        <v>0.371</v>
      </c>
      <c r="J592" s="20">
        <f>IFERROR(__xludf.DUMMYFUNCTION("""COMPUTED_VALUE"""),591.0)</f>
        <v>591</v>
      </c>
      <c r="K592" s="20" t="b">
        <f>IFERROR(__xludf.DUMMYFUNCTION("""COMPUTED_VALUE"""),FALSE)</f>
        <v>0</v>
      </c>
      <c r="L592" s="20" t="str">
        <f>IFERROR(__xludf.DUMMYFUNCTION("""COMPUTED_VALUE"""),"String;Stack;")</f>
        <v>String;Stack;</v>
      </c>
      <c r="M592" s="20" t="b">
        <f>IFERROR(__xludf.DUMMYFUNCTION("""COMPUTED_VALUE"""),TRUE)</f>
        <v>1</v>
      </c>
      <c r="N592" s="20" t="b">
        <f>IFERROR(__xludf.DUMMYFUNCTION("""COMPUTED_VALUE"""),FALSE)</f>
        <v>0</v>
      </c>
      <c r="O592" s="20">
        <f>IFERROR(__xludf.DUMMYFUNCTION("""COMPUTED_VALUE"""),37.1212789091657)</f>
        <v>37.12127891</v>
      </c>
      <c r="P592" s="20">
        <f>IFERROR(__xludf.DUMMYFUNCTION("""COMPUTED_VALUE"""),12632.0)</f>
        <v>12632</v>
      </c>
      <c r="Q592" s="20">
        <f>IFERROR(__xludf.DUMMYFUNCTION("""COMPUTED_VALUE"""),34029.0)</f>
        <v>34029</v>
      </c>
    </row>
    <row r="593">
      <c r="A593" s="20">
        <f>IFERROR(__xludf.DUMMYFUNCTION("""COMPUTED_VALUE"""),592.0)</f>
        <v>592</v>
      </c>
      <c r="B593" s="20" t="str">
        <f>IFERROR(__xludf.DUMMYFUNCTION("""COMPUTED_VALUE"""),"Fraction Addition and Subtraction")</f>
        <v>Fraction Addition and Subtraction</v>
      </c>
      <c r="C593" s="20" t="str">
        <f>IFERROR(__xludf.DUMMYFUNCTION("""COMPUTED_VALUE"""),"fraction-addition-and-subtraction")</f>
        <v>fraction-addition-and-subtraction</v>
      </c>
      <c r="D593" s="20" t="b">
        <f>IFERROR(__xludf.DUMMYFUNCTION("""COMPUTED_VALUE"""),FALSE)</f>
        <v>0</v>
      </c>
      <c r="E593" s="20" t="str">
        <f>IFERROR(__xludf.DUMMYFUNCTION("""COMPUTED_VALUE"""),"Medium")</f>
        <v>Medium</v>
      </c>
      <c r="F593" s="20">
        <f>IFERROR(__xludf.DUMMYFUNCTION("""COMPUTED_VALUE"""),340.0)</f>
        <v>340</v>
      </c>
      <c r="G593" s="20">
        <f>IFERROR(__xludf.DUMMYFUNCTION("""COMPUTED_VALUE"""),476.0)</f>
        <v>476</v>
      </c>
      <c r="H593" s="20" t="str">
        <f>IFERROR(__xludf.DUMMYFUNCTION("""COMPUTED_VALUE"""),"Algorithms")</f>
        <v>Algorithms</v>
      </c>
      <c r="I593" s="20">
        <f>IFERROR(__xludf.DUMMYFUNCTION("""COMPUTED_VALUE"""),0.522)</f>
        <v>0.522</v>
      </c>
      <c r="J593" s="20">
        <f>IFERROR(__xludf.DUMMYFUNCTION("""COMPUTED_VALUE"""),592.0)</f>
        <v>592</v>
      </c>
      <c r="K593" s="20" t="b">
        <f>IFERROR(__xludf.DUMMYFUNCTION("""COMPUTED_VALUE"""),FALSE)</f>
        <v>0</v>
      </c>
      <c r="L593" s="20" t="str">
        <f>IFERROR(__xludf.DUMMYFUNCTION("""COMPUTED_VALUE"""),"Math;String;Simulation;")</f>
        <v>Math;String;Simulation;</v>
      </c>
      <c r="M593" s="20" t="b">
        <f>IFERROR(__xludf.DUMMYFUNCTION("""COMPUTED_VALUE"""),TRUE)</f>
        <v>1</v>
      </c>
      <c r="N593" s="20" t="b">
        <f>IFERROR(__xludf.DUMMYFUNCTION("""COMPUTED_VALUE"""),FALSE)</f>
        <v>0</v>
      </c>
      <c r="O593" s="20">
        <f>IFERROR(__xludf.DUMMYFUNCTION("""COMPUTED_VALUE"""),52.2061138265263)</f>
        <v>52.20611383</v>
      </c>
      <c r="P593" s="20">
        <f>IFERROR(__xludf.DUMMYFUNCTION("""COMPUTED_VALUE"""),31509.0)</f>
        <v>31509</v>
      </c>
      <c r="Q593" s="20">
        <f>IFERROR(__xludf.DUMMYFUNCTION("""COMPUTED_VALUE"""),60355.0)</f>
        <v>60355</v>
      </c>
    </row>
    <row r="594">
      <c r="A594" s="20">
        <f>IFERROR(__xludf.DUMMYFUNCTION("""COMPUTED_VALUE"""),593.0)</f>
        <v>593</v>
      </c>
      <c r="B594" s="20" t="str">
        <f>IFERROR(__xludf.DUMMYFUNCTION("""COMPUTED_VALUE"""),"Valid Square")</f>
        <v>Valid Square</v>
      </c>
      <c r="C594" s="20" t="str">
        <f>IFERROR(__xludf.DUMMYFUNCTION("""COMPUTED_VALUE"""),"valid-square")</f>
        <v>valid-square</v>
      </c>
      <c r="D594" s="20" t="b">
        <f>IFERROR(__xludf.DUMMYFUNCTION("""COMPUTED_VALUE"""),FALSE)</f>
        <v>0</v>
      </c>
      <c r="E594" s="20" t="str">
        <f>IFERROR(__xludf.DUMMYFUNCTION("""COMPUTED_VALUE"""),"Medium")</f>
        <v>Medium</v>
      </c>
      <c r="F594" s="20">
        <f>IFERROR(__xludf.DUMMYFUNCTION("""COMPUTED_VALUE"""),848.0)</f>
        <v>848</v>
      </c>
      <c r="G594" s="20">
        <f>IFERROR(__xludf.DUMMYFUNCTION("""COMPUTED_VALUE"""),838.0)</f>
        <v>838</v>
      </c>
      <c r="H594" s="20" t="str">
        <f>IFERROR(__xludf.DUMMYFUNCTION("""COMPUTED_VALUE"""),"Algorithms")</f>
        <v>Algorithms</v>
      </c>
      <c r="I594" s="20">
        <f>IFERROR(__xludf.DUMMYFUNCTION("""COMPUTED_VALUE"""),0.44)</f>
        <v>0.44</v>
      </c>
      <c r="J594" s="20">
        <f>IFERROR(__xludf.DUMMYFUNCTION("""COMPUTED_VALUE"""),593.0)</f>
        <v>593</v>
      </c>
      <c r="K594" s="20" t="b">
        <f>IFERROR(__xludf.DUMMYFUNCTION("""COMPUTED_VALUE"""),FALSE)</f>
        <v>0</v>
      </c>
      <c r="L594" s="20" t="str">
        <f>IFERROR(__xludf.DUMMYFUNCTION("""COMPUTED_VALUE"""),"Math;Geometry;")</f>
        <v>Math;Geometry;</v>
      </c>
      <c r="M594" s="20" t="b">
        <f>IFERROR(__xludf.DUMMYFUNCTION("""COMPUTED_VALUE"""),TRUE)</f>
        <v>1</v>
      </c>
      <c r="N594" s="20" t="b">
        <f>IFERROR(__xludf.DUMMYFUNCTION("""COMPUTED_VALUE"""),FALSE)</f>
        <v>0</v>
      </c>
      <c r="O594" s="20">
        <f>IFERROR(__xludf.DUMMYFUNCTION("""COMPUTED_VALUE"""),44.022650908151)</f>
        <v>44.02265091</v>
      </c>
      <c r="P594" s="20">
        <f>IFERROR(__xludf.DUMMYFUNCTION("""COMPUTED_VALUE"""),93676.0)</f>
        <v>93676</v>
      </c>
      <c r="Q594" s="20">
        <f>IFERROR(__xludf.DUMMYFUNCTION("""COMPUTED_VALUE"""),212791.0)</f>
        <v>212791</v>
      </c>
    </row>
    <row r="595">
      <c r="A595" s="20">
        <f>IFERROR(__xludf.DUMMYFUNCTION("""COMPUTED_VALUE"""),594.0)</f>
        <v>594</v>
      </c>
      <c r="B595" s="20" t="str">
        <f>IFERROR(__xludf.DUMMYFUNCTION("""COMPUTED_VALUE"""),"Longest Harmonious Subsequence")</f>
        <v>Longest Harmonious Subsequence</v>
      </c>
      <c r="C595" s="20" t="str">
        <f>IFERROR(__xludf.DUMMYFUNCTION("""COMPUTED_VALUE"""),"longest-harmonious-subsequence")</f>
        <v>longest-harmonious-subsequence</v>
      </c>
      <c r="D595" s="20" t="b">
        <f>IFERROR(__xludf.DUMMYFUNCTION("""COMPUTED_VALUE"""),FALSE)</f>
        <v>0</v>
      </c>
      <c r="E595" s="20" t="str">
        <f>IFERROR(__xludf.DUMMYFUNCTION("""COMPUTED_VALUE"""),"Easy")</f>
        <v>Easy</v>
      </c>
      <c r="F595" s="20">
        <f>IFERROR(__xludf.DUMMYFUNCTION("""COMPUTED_VALUE"""),1816.0)</f>
        <v>1816</v>
      </c>
      <c r="G595" s="20">
        <f>IFERROR(__xludf.DUMMYFUNCTION("""COMPUTED_VALUE"""),169.0)</f>
        <v>169</v>
      </c>
      <c r="H595" s="20" t="str">
        <f>IFERROR(__xludf.DUMMYFUNCTION("""COMPUTED_VALUE"""),"Algorithms")</f>
        <v>Algorithms</v>
      </c>
      <c r="I595" s="20">
        <f>IFERROR(__xludf.DUMMYFUNCTION("""COMPUTED_VALUE"""),0.533)</f>
        <v>0.533</v>
      </c>
      <c r="J595" s="20">
        <f>IFERROR(__xludf.DUMMYFUNCTION("""COMPUTED_VALUE"""),594.0)</f>
        <v>594</v>
      </c>
      <c r="K595" s="20" t="b">
        <f>IFERROR(__xludf.DUMMYFUNCTION("""COMPUTED_VALUE"""),FALSE)</f>
        <v>0</v>
      </c>
      <c r="L595" s="20" t="str">
        <f>IFERROR(__xludf.DUMMYFUNCTION("""COMPUTED_VALUE"""),"Array;Hash Table;Sorting;")</f>
        <v>Array;Hash Table;Sorting;</v>
      </c>
      <c r="M595" s="20" t="b">
        <f>IFERROR(__xludf.DUMMYFUNCTION("""COMPUTED_VALUE"""),TRUE)</f>
        <v>1</v>
      </c>
      <c r="N595" s="20" t="b">
        <f>IFERROR(__xludf.DUMMYFUNCTION("""COMPUTED_VALUE"""),FALSE)</f>
        <v>0</v>
      </c>
      <c r="O595" s="20">
        <f>IFERROR(__xludf.DUMMYFUNCTION("""COMPUTED_VALUE"""),53.3197571181999)</f>
        <v>53.31975712</v>
      </c>
      <c r="P595" s="20">
        <f>IFERROR(__xludf.DUMMYFUNCTION("""COMPUTED_VALUE"""),128819.0)</f>
        <v>128819</v>
      </c>
      <c r="Q595" s="20">
        <f>IFERROR(__xludf.DUMMYFUNCTION("""COMPUTED_VALUE"""),241598.0)</f>
        <v>241598</v>
      </c>
    </row>
    <row r="596">
      <c r="A596" s="20">
        <f>IFERROR(__xludf.DUMMYFUNCTION("""COMPUTED_VALUE"""),595.0)</f>
        <v>595</v>
      </c>
      <c r="B596" s="20" t="str">
        <f>IFERROR(__xludf.DUMMYFUNCTION("""COMPUTED_VALUE"""),"Big Countries")</f>
        <v>Big Countries</v>
      </c>
      <c r="C596" s="20" t="str">
        <f>IFERROR(__xludf.DUMMYFUNCTION("""COMPUTED_VALUE"""),"big-countries")</f>
        <v>big-countries</v>
      </c>
      <c r="D596" s="20" t="b">
        <f>IFERROR(__xludf.DUMMYFUNCTION("""COMPUTED_VALUE"""),FALSE)</f>
        <v>0</v>
      </c>
      <c r="E596" s="20" t="str">
        <f>IFERROR(__xludf.DUMMYFUNCTION("""COMPUTED_VALUE"""),"Easy")</f>
        <v>Easy</v>
      </c>
      <c r="F596" s="20">
        <f>IFERROR(__xludf.DUMMYFUNCTION("""COMPUTED_VALUE"""),1514.0)</f>
        <v>1514</v>
      </c>
      <c r="G596" s="20">
        <f>IFERROR(__xludf.DUMMYFUNCTION("""COMPUTED_VALUE"""),1066.0)</f>
        <v>1066</v>
      </c>
      <c r="H596" s="20" t="str">
        <f>IFERROR(__xludf.DUMMYFUNCTION("""COMPUTED_VALUE"""),"Database")</f>
        <v>Database</v>
      </c>
      <c r="I596" s="20">
        <f>IFERROR(__xludf.DUMMYFUNCTION("""COMPUTED_VALUE"""),0.723)</f>
        <v>0.723</v>
      </c>
      <c r="J596" s="20">
        <f>IFERROR(__xludf.DUMMYFUNCTION("""COMPUTED_VALUE"""),595.0)</f>
        <v>595</v>
      </c>
      <c r="K596" s="20" t="b">
        <f>IFERROR(__xludf.DUMMYFUNCTION("""COMPUTED_VALUE"""),FALSE)</f>
        <v>0</v>
      </c>
      <c r="L596" s="20" t="str">
        <f>IFERROR(__xludf.DUMMYFUNCTION("""COMPUTED_VALUE"""),"Database;")</f>
        <v>Database;</v>
      </c>
      <c r="M596" s="20" t="b">
        <f>IFERROR(__xludf.DUMMYFUNCTION("""COMPUTED_VALUE"""),TRUE)</f>
        <v>1</v>
      </c>
      <c r="N596" s="20" t="b">
        <f>IFERROR(__xludf.DUMMYFUNCTION("""COMPUTED_VALUE"""),FALSE)</f>
        <v>0</v>
      </c>
      <c r="O596" s="20">
        <f>IFERROR(__xludf.DUMMYFUNCTION("""COMPUTED_VALUE"""),72.2628410408192)</f>
        <v>72.26284104</v>
      </c>
      <c r="P596" s="20">
        <f>IFERROR(__xludf.DUMMYFUNCTION("""COMPUTED_VALUE"""),509283.0)</f>
        <v>509283</v>
      </c>
      <c r="Q596" s="20">
        <f>IFERROR(__xludf.DUMMYFUNCTION("""COMPUTED_VALUE"""),704755.0)</f>
        <v>704755</v>
      </c>
    </row>
    <row r="597">
      <c r="A597" s="20">
        <f>IFERROR(__xludf.DUMMYFUNCTION("""COMPUTED_VALUE"""),596.0)</f>
        <v>596</v>
      </c>
      <c r="B597" s="20" t="str">
        <f>IFERROR(__xludf.DUMMYFUNCTION("""COMPUTED_VALUE"""),"Classes More Than 5 Students")</f>
        <v>Classes More Than 5 Students</v>
      </c>
      <c r="C597" s="20" t="str">
        <f>IFERROR(__xludf.DUMMYFUNCTION("""COMPUTED_VALUE"""),"classes-more-than-5-students")</f>
        <v>classes-more-than-5-students</v>
      </c>
      <c r="D597" s="20" t="b">
        <f>IFERROR(__xludf.DUMMYFUNCTION("""COMPUTED_VALUE"""),FALSE)</f>
        <v>0</v>
      </c>
      <c r="E597" s="20" t="str">
        <f>IFERROR(__xludf.DUMMYFUNCTION("""COMPUTED_VALUE"""),"Easy")</f>
        <v>Easy</v>
      </c>
      <c r="F597" s="20">
        <f>IFERROR(__xludf.DUMMYFUNCTION("""COMPUTED_VALUE"""),621.0)</f>
        <v>621</v>
      </c>
      <c r="G597" s="20">
        <f>IFERROR(__xludf.DUMMYFUNCTION("""COMPUTED_VALUE"""),979.0)</f>
        <v>979</v>
      </c>
      <c r="H597" s="20" t="str">
        <f>IFERROR(__xludf.DUMMYFUNCTION("""COMPUTED_VALUE"""),"Database")</f>
        <v>Database</v>
      </c>
      <c r="I597" s="20">
        <f>IFERROR(__xludf.DUMMYFUNCTION("""COMPUTED_VALUE"""),0.473)</f>
        <v>0.473</v>
      </c>
      <c r="J597" s="20">
        <f>IFERROR(__xludf.DUMMYFUNCTION("""COMPUTED_VALUE"""),596.0)</f>
        <v>596</v>
      </c>
      <c r="K597" s="20" t="b">
        <f>IFERROR(__xludf.DUMMYFUNCTION("""COMPUTED_VALUE"""),FALSE)</f>
        <v>0</v>
      </c>
      <c r="L597" s="20" t="str">
        <f>IFERROR(__xludf.DUMMYFUNCTION("""COMPUTED_VALUE"""),"Database;")</f>
        <v>Database;</v>
      </c>
      <c r="M597" s="20" t="b">
        <f>IFERROR(__xludf.DUMMYFUNCTION("""COMPUTED_VALUE"""),TRUE)</f>
        <v>1</v>
      </c>
      <c r="N597" s="20" t="b">
        <f>IFERROR(__xludf.DUMMYFUNCTION("""COMPUTED_VALUE"""),FALSE)</f>
        <v>0</v>
      </c>
      <c r="O597" s="20">
        <f>IFERROR(__xludf.DUMMYFUNCTION("""COMPUTED_VALUE"""),47.2679848584538)</f>
        <v>47.26798486</v>
      </c>
      <c r="P597" s="20">
        <f>IFERROR(__xludf.DUMMYFUNCTION("""COMPUTED_VALUE"""),221268.0)</f>
        <v>221268</v>
      </c>
      <c r="Q597" s="20">
        <f>IFERROR(__xludf.DUMMYFUNCTION("""COMPUTED_VALUE"""),468115.0)</f>
        <v>468115</v>
      </c>
    </row>
    <row r="598">
      <c r="A598" s="20">
        <f>IFERROR(__xludf.DUMMYFUNCTION("""COMPUTED_VALUE"""),597.0)</f>
        <v>597</v>
      </c>
      <c r="B598" s="20" t="str">
        <f>IFERROR(__xludf.DUMMYFUNCTION("""COMPUTED_VALUE"""),"Friend Requests I: Overall Acceptance Rate")</f>
        <v>Friend Requests I: Overall Acceptance Rate</v>
      </c>
      <c r="C598" s="20" t="str">
        <f>IFERROR(__xludf.DUMMYFUNCTION("""COMPUTED_VALUE"""),"friend-requests-i-overall-acceptance-rate")</f>
        <v>friend-requests-i-overall-acceptance-rate</v>
      </c>
      <c r="D598" s="20" t="b">
        <f>IFERROR(__xludf.DUMMYFUNCTION("""COMPUTED_VALUE"""),TRUE)</f>
        <v>1</v>
      </c>
      <c r="E598" s="20" t="str">
        <f>IFERROR(__xludf.DUMMYFUNCTION("""COMPUTED_VALUE"""),"Easy")</f>
        <v>Easy</v>
      </c>
      <c r="F598" s="20">
        <f>IFERROR(__xludf.DUMMYFUNCTION("""COMPUTED_VALUE"""),276.0)</f>
        <v>276</v>
      </c>
      <c r="G598" s="20">
        <f>IFERROR(__xludf.DUMMYFUNCTION("""COMPUTED_VALUE"""),679.0)</f>
        <v>679</v>
      </c>
      <c r="H598" s="20" t="str">
        <f>IFERROR(__xludf.DUMMYFUNCTION("""COMPUTED_VALUE"""),"Database")</f>
        <v>Database</v>
      </c>
      <c r="I598" s="20">
        <f>IFERROR(__xludf.DUMMYFUNCTION("""COMPUTED_VALUE"""),0.428)</f>
        <v>0.428</v>
      </c>
      <c r="J598" s="20">
        <f>IFERROR(__xludf.DUMMYFUNCTION("""COMPUTED_VALUE"""),597.0)</f>
        <v>597</v>
      </c>
      <c r="K598" s="20" t="b">
        <f>IFERROR(__xludf.DUMMYFUNCTION("""COMPUTED_VALUE"""),TRUE)</f>
        <v>1</v>
      </c>
      <c r="L598" s="20" t="str">
        <f>IFERROR(__xludf.DUMMYFUNCTION("""COMPUTED_VALUE"""),"Database;")</f>
        <v>Database;</v>
      </c>
      <c r="M598" s="20" t="b">
        <f>IFERROR(__xludf.DUMMYFUNCTION("""COMPUTED_VALUE"""),TRUE)</f>
        <v>1</v>
      </c>
      <c r="N598" s="20" t="b">
        <f>IFERROR(__xludf.DUMMYFUNCTION("""COMPUTED_VALUE"""),FALSE)</f>
        <v>0</v>
      </c>
      <c r="O598" s="20">
        <f>IFERROR(__xludf.DUMMYFUNCTION("""COMPUTED_VALUE"""),42.7737529267549)</f>
        <v>42.77375293</v>
      </c>
      <c r="P598" s="20">
        <f>IFERROR(__xludf.DUMMYFUNCTION("""COMPUTED_VALUE"""),65949.0)</f>
        <v>65949</v>
      </c>
      <c r="Q598" s="20">
        <f>IFERROR(__xludf.DUMMYFUNCTION("""COMPUTED_VALUE"""),154181.0)</f>
        <v>154181</v>
      </c>
    </row>
    <row r="599">
      <c r="A599" s="20">
        <f>IFERROR(__xludf.DUMMYFUNCTION("""COMPUTED_VALUE"""),598.0)</f>
        <v>598</v>
      </c>
      <c r="B599" s="20" t="str">
        <f>IFERROR(__xludf.DUMMYFUNCTION("""COMPUTED_VALUE"""),"Range Addition II")</f>
        <v>Range Addition II</v>
      </c>
      <c r="C599" s="20" t="str">
        <f>IFERROR(__xludf.DUMMYFUNCTION("""COMPUTED_VALUE"""),"range-addition-ii")</f>
        <v>range-addition-ii</v>
      </c>
      <c r="D599" s="20" t="b">
        <f>IFERROR(__xludf.DUMMYFUNCTION("""COMPUTED_VALUE"""),FALSE)</f>
        <v>0</v>
      </c>
      <c r="E599" s="20" t="str">
        <f>IFERROR(__xludf.DUMMYFUNCTION("""COMPUTED_VALUE"""),"Easy")</f>
        <v>Easy</v>
      </c>
      <c r="F599" s="20">
        <f>IFERROR(__xludf.DUMMYFUNCTION("""COMPUTED_VALUE"""),769.0)</f>
        <v>769</v>
      </c>
      <c r="G599" s="20">
        <f>IFERROR(__xludf.DUMMYFUNCTION("""COMPUTED_VALUE"""),872.0)</f>
        <v>872</v>
      </c>
      <c r="H599" s="20" t="str">
        <f>IFERROR(__xludf.DUMMYFUNCTION("""COMPUTED_VALUE"""),"Algorithms")</f>
        <v>Algorithms</v>
      </c>
      <c r="I599" s="20">
        <f>IFERROR(__xludf.DUMMYFUNCTION("""COMPUTED_VALUE"""),0.551)</f>
        <v>0.551</v>
      </c>
      <c r="J599" s="20">
        <f>IFERROR(__xludf.DUMMYFUNCTION("""COMPUTED_VALUE"""),598.0)</f>
        <v>598</v>
      </c>
      <c r="K599" s="20" t="b">
        <f>IFERROR(__xludf.DUMMYFUNCTION("""COMPUTED_VALUE"""),FALSE)</f>
        <v>0</v>
      </c>
      <c r="L599" s="20" t="str">
        <f>IFERROR(__xludf.DUMMYFUNCTION("""COMPUTED_VALUE"""),"Array;Math;")</f>
        <v>Array;Math;</v>
      </c>
      <c r="M599" s="20" t="b">
        <f>IFERROR(__xludf.DUMMYFUNCTION("""COMPUTED_VALUE"""),TRUE)</f>
        <v>1</v>
      </c>
      <c r="N599" s="20" t="b">
        <f>IFERROR(__xludf.DUMMYFUNCTION("""COMPUTED_VALUE"""),FALSE)</f>
        <v>0</v>
      </c>
      <c r="O599" s="20">
        <f>IFERROR(__xludf.DUMMYFUNCTION("""COMPUTED_VALUE"""),55.1413077820836)</f>
        <v>55.14130778</v>
      </c>
      <c r="P599" s="20">
        <f>IFERROR(__xludf.DUMMYFUNCTION("""COMPUTED_VALUE"""),85517.0)</f>
        <v>85517</v>
      </c>
      <c r="Q599" s="20">
        <f>IFERROR(__xludf.DUMMYFUNCTION("""COMPUTED_VALUE"""),155087.0)</f>
        <v>155087</v>
      </c>
    </row>
    <row r="600">
      <c r="A600" s="20">
        <f>IFERROR(__xludf.DUMMYFUNCTION("""COMPUTED_VALUE"""),599.0)</f>
        <v>599</v>
      </c>
      <c r="B600" s="20" t="str">
        <f>IFERROR(__xludf.DUMMYFUNCTION("""COMPUTED_VALUE"""),"Minimum Index Sum of Two Lists")</f>
        <v>Minimum Index Sum of Two Lists</v>
      </c>
      <c r="C600" s="20" t="str">
        <f>IFERROR(__xludf.DUMMYFUNCTION("""COMPUTED_VALUE"""),"minimum-index-sum-of-two-lists")</f>
        <v>minimum-index-sum-of-two-lists</v>
      </c>
      <c r="D600" s="20" t="b">
        <f>IFERROR(__xludf.DUMMYFUNCTION("""COMPUTED_VALUE"""),FALSE)</f>
        <v>0</v>
      </c>
      <c r="E600" s="20" t="str">
        <f>IFERROR(__xludf.DUMMYFUNCTION("""COMPUTED_VALUE"""),"Easy")</f>
        <v>Easy</v>
      </c>
      <c r="F600" s="20">
        <f>IFERROR(__xludf.DUMMYFUNCTION("""COMPUTED_VALUE"""),1577.0)</f>
        <v>1577</v>
      </c>
      <c r="G600" s="20">
        <f>IFERROR(__xludf.DUMMYFUNCTION("""COMPUTED_VALUE"""),354.0)</f>
        <v>354</v>
      </c>
      <c r="H600" s="20" t="str">
        <f>IFERROR(__xludf.DUMMYFUNCTION("""COMPUTED_VALUE"""),"Algorithms")</f>
        <v>Algorithms</v>
      </c>
      <c r="I600" s="20">
        <f>IFERROR(__xludf.DUMMYFUNCTION("""COMPUTED_VALUE"""),0.531)</f>
        <v>0.531</v>
      </c>
      <c r="J600" s="20">
        <f>IFERROR(__xludf.DUMMYFUNCTION("""COMPUTED_VALUE"""),599.0)</f>
        <v>599</v>
      </c>
      <c r="K600" s="20" t="b">
        <f>IFERROR(__xludf.DUMMYFUNCTION("""COMPUTED_VALUE"""),FALSE)</f>
        <v>0</v>
      </c>
      <c r="L600" s="20" t="str">
        <f>IFERROR(__xludf.DUMMYFUNCTION("""COMPUTED_VALUE"""),"Array;Hash Table;String;")</f>
        <v>Array;Hash Table;String;</v>
      </c>
      <c r="M600" s="20" t="b">
        <f>IFERROR(__xludf.DUMMYFUNCTION("""COMPUTED_VALUE"""),TRUE)</f>
        <v>1</v>
      </c>
      <c r="N600" s="20" t="b">
        <f>IFERROR(__xludf.DUMMYFUNCTION("""COMPUTED_VALUE"""),FALSE)</f>
        <v>0</v>
      </c>
      <c r="O600" s="20">
        <f>IFERROR(__xludf.DUMMYFUNCTION("""COMPUTED_VALUE"""),53.1201991211042)</f>
        <v>53.12019912</v>
      </c>
      <c r="P600" s="20">
        <f>IFERROR(__xludf.DUMMYFUNCTION("""COMPUTED_VALUE"""),178416.0)</f>
        <v>178416</v>
      </c>
      <c r="Q600" s="20">
        <f>IFERROR(__xludf.DUMMYFUNCTION("""COMPUTED_VALUE"""),335873.0)</f>
        <v>335873</v>
      </c>
    </row>
    <row r="601">
      <c r="A601" s="20">
        <f>IFERROR(__xludf.DUMMYFUNCTION("""COMPUTED_VALUE"""),600.0)</f>
        <v>600</v>
      </c>
      <c r="B601" s="20" t="str">
        <f>IFERROR(__xludf.DUMMYFUNCTION("""COMPUTED_VALUE"""),"Non-negative Integers without Consecutive Ones")</f>
        <v>Non-negative Integers without Consecutive Ones</v>
      </c>
      <c r="C601" s="20" t="str">
        <f>IFERROR(__xludf.DUMMYFUNCTION("""COMPUTED_VALUE"""),"non-negative-integers-without-consecutive-ones")</f>
        <v>non-negative-integers-without-consecutive-ones</v>
      </c>
      <c r="D601" s="20" t="b">
        <f>IFERROR(__xludf.DUMMYFUNCTION("""COMPUTED_VALUE"""),FALSE)</f>
        <v>0</v>
      </c>
      <c r="E601" s="20" t="str">
        <f>IFERROR(__xludf.DUMMYFUNCTION("""COMPUTED_VALUE"""),"Hard")</f>
        <v>Hard</v>
      </c>
      <c r="F601" s="20">
        <f>IFERROR(__xludf.DUMMYFUNCTION("""COMPUTED_VALUE"""),1247.0)</f>
        <v>1247</v>
      </c>
      <c r="G601" s="20">
        <f>IFERROR(__xludf.DUMMYFUNCTION("""COMPUTED_VALUE"""),120.0)</f>
        <v>120</v>
      </c>
      <c r="H601" s="20" t="str">
        <f>IFERROR(__xludf.DUMMYFUNCTION("""COMPUTED_VALUE"""),"Algorithms")</f>
        <v>Algorithms</v>
      </c>
      <c r="I601" s="20">
        <f>IFERROR(__xludf.DUMMYFUNCTION("""COMPUTED_VALUE"""),0.39)</f>
        <v>0.39</v>
      </c>
      <c r="J601" s="20">
        <f>IFERROR(__xludf.DUMMYFUNCTION("""COMPUTED_VALUE"""),600.0)</f>
        <v>600</v>
      </c>
      <c r="K601" s="20" t="b">
        <f>IFERROR(__xludf.DUMMYFUNCTION("""COMPUTED_VALUE"""),FALSE)</f>
        <v>0</v>
      </c>
      <c r="L601" s="20" t="str">
        <f>IFERROR(__xludf.DUMMYFUNCTION("""COMPUTED_VALUE"""),"Dynamic Programming;")</f>
        <v>Dynamic Programming;</v>
      </c>
      <c r="M601" s="20" t="b">
        <f>IFERROR(__xludf.DUMMYFUNCTION("""COMPUTED_VALUE"""),TRUE)</f>
        <v>1</v>
      </c>
      <c r="N601" s="20" t="b">
        <f>IFERROR(__xludf.DUMMYFUNCTION("""COMPUTED_VALUE"""),FALSE)</f>
        <v>0</v>
      </c>
      <c r="O601" s="20">
        <f>IFERROR(__xludf.DUMMYFUNCTION("""COMPUTED_VALUE"""),39.026943114864)</f>
        <v>39.02694311</v>
      </c>
      <c r="P601" s="20">
        <f>IFERROR(__xludf.DUMMYFUNCTION("""COMPUTED_VALUE"""),33184.0)</f>
        <v>33184</v>
      </c>
      <c r="Q601" s="20">
        <f>IFERROR(__xludf.DUMMYFUNCTION("""COMPUTED_VALUE"""),85030.0)</f>
        <v>85030</v>
      </c>
    </row>
    <row r="602">
      <c r="A602" s="20">
        <f>IFERROR(__xludf.DUMMYFUNCTION("""COMPUTED_VALUE"""),601.0)</f>
        <v>601</v>
      </c>
      <c r="B602" s="20" t="str">
        <f>IFERROR(__xludf.DUMMYFUNCTION("""COMPUTED_VALUE"""),"Human Traffic of Stadium")</f>
        <v>Human Traffic of Stadium</v>
      </c>
      <c r="C602" s="20" t="str">
        <f>IFERROR(__xludf.DUMMYFUNCTION("""COMPUTED_VALUE"""),"human-traffic-of-stadium")</f>
        <v>human-traffic-of-stadium</v>
      </c>
      <c r="D602" s="20" t="b">
        <f>IFERROR(__xludf.DUMMYFUNCTION("""COMPUTED_VALUE"""),FALSE)</f>
        <v>0</v>
      </c>
      <c r="E602" s="20" t="str">
        <f>IFERROR(__xludf.DUMMYFUNCTION("""COMPUTED_VALUE"""),"Hard")</f>
        <v>Hard</v>
      </c>
      <c r="F602" s="20">
        <f>IFERROR(__xludf.DUMMYFUNCTION("""COMPUTED_VALUE"""),462.0)</f>
        <v>462</v>
      </c>
      <c r="G602" s="20">
        <f>IFERROR(__xludf.DUMMYFUNCTION("""COMPUTED_VALUE"""),523.0)</f>
        <v>523</v>
      </c>
      <c r="H602" s="20" t="str">
        <f>IFERROR(__xludf.DUMMYFUNCTION("""COMPUTED_VALUE"""),"Database")</f>
        <v>Database</v>
      </c>
      <c r="I602" s="20">
        <f>IFERROR(__xludf.DUMMYFUNCTION("""COMPUTED_VALUE"""),0.506)</f>
        <v>0.506</v>
      </c>
      <c r="J602" s="20">
        <f>IFERROR(__xludf.DUMMYFUNCTION("""COMPUTED_VALUE"""),601.0)</f>
        <v>601</v>
      </c>
      <c r="K602" s="20" t="b">
        <f>IFERROR(__xludf.DUMMYFUNCTION("""COMPUTED_VALUE"""),FALSE)</f>
        <v>0</v>
      </c>
      <c r="L602" s="20" t="str">
        <f>IFERROR(__xludf.DUMMYFUNCTION("""COMPUTED_VALUE"""),"Database;")</f>
        <v>Database;</v>
      </c>
      <c r="M602" s="20" t="b">
        <f>IFERROR(__xludf.DUMMYFUNCTION("""COMPUTED_VALUE"""),TRUE)</f>
        <v>1</v>
      </c>
      <c r="N602" s="20" t="b">
        <f>IFERROR(__xludf.DUMMYFUNCTION("""COMPUTED_VALUE"""),FALSE)</f>
        <v>0</v>
      </c>
      <c r="O602" s="20">
        <f>IFERROR(__xludf.DUMMYFUNCTION("""COMPUTED_VALUE"""),50.57747966476)</f>
        <v>50.57747966</v>
      </c>
      <c r="P602" s="20">
        <f>IFERROR(__xludf.DUMMYFUNCTION("""COMPUTED_VALUE"""),73744.0)</f>
        <v>73744</v>
      </c>
      <c r="Q602" s="20">
        <f>IFERROR(__xludf.DUMMYFUNCTION("""COMPUTED_VALUE"""),145805.0)</f>
        <v>145805</v>
      </c>
    </row>
    <row r="603">
      <c r="A603" s="20">
        <f>IFERROR(__xludf.DUMMYFUNCTION("""COMPUTED_VALUE"""),602.0)</f>
        <v>602</v>
      </c>
      <c r="B603" s="20" t="str">
        <f>IFERROR(__xludf.DUMMYFUNCTION("""COMPUTED_VALUE"""),"Friend Requests II: Who Has the Most Friends")</f>
        <v>Friend Requests II: Who Has the Most Friends</v>
      </c>
      <c r="C603" s="20" t="str">
        <f>IFERROR(__xludf.DUMMYFUNCTION("""COMPUTED_VALUE"""),"friend-requests-ii-who-has-the-most-friends")</f>
        <v>friend-requests-ii-who-has-the-most-friends</v>
      </c>
      <c r="D603" s="20" t="b">
        <f>IFERROR(__xludf.DUMMYFUNCTION("""COMPUTED_VALUE"""),TRUE)</f>
        <v>1</v>
      </c>
      <c r="E603" s="20" t="str">
        <f>IFERROR(__xludf.DUMMYFUNCTION("""COMPUTED_VALUE"""),"Medium")</f>
        <v>Medium</v>
      </c>
      <c r="F603" s="20">
        <f>IFERROR(__xludf.DUMMYFUNCTION("""COMPUTED_VALUE"""),281.0)</f>
        <v>281</v>
      </c>
      <c r="G603" s="20">
        <f>IFERROR(__xludf.DUMMYFUNCTION("""COMPUTED_VALUE"""),77.0)</f>
        <v>77</v>
      </c>
      <c r="H603" s="20" t="str">
        <f>IFERROR(__xludf.DUMMYFUNCTION("""COMPUTED_VALUE"""),"Database")</f>
        <v>Database</v>
      </c>
      <c r="I603" s="20">
        <f>IFERROR(__xludf.DUMMYFUNCTION("""COMPUTED_VALUE"""),0.614)</f>
        <v>0.614</v>
      </c>
      <c r="J603" s="20">
        <f>IFERROR(__xludf.DUMMYFUNCTION("""COMPUTED_VALUE"""),602.0)</f>
        <v>602</v>
      </c>
      <c r="K603" s="20" t="b">
        <f>IFERROR(__xludf.DUMMYFUNCTION("""COMPUTED_VALUE"""),TRUE)</f>
        <v>1</v>
      </c>
      <c r="L603" s="20" t="str">
        <f>IFERROR(__xludf.DUMMYFUNCTION("""COMPUTED_VALUE"""),"Database;")</f>
        <v>Database;</v>
      </c>
      <c r="M603" s="20" t="b">
        <f>IFERROR(__xludf.DUMMYFUNCTION("""COMPUTED_VALUE"""),FALSE)</f>
        <v>0</v>
      </c>
      <c r="N603" s="20" t="b">
        <f>IFERROR(__xludf.DUMMYFUNCTION("""COMPUTED_VALUE"""),FALSE)</f>
        <v>0</v>
      </c>
      <c r="O603" s="20">
        <f>IFERROR(__xludf.DUMMYFUNCTION("""COMPUTED_VALUE"""),61.3777193295292)</f>
        <v>61.37771933</v>
      </c>
      <c r="P603" s="20">
        <f>IFERROR(__xludf.DUMMYFUNCTION("""COMPUTED_VALUE"""),55073.0)</f>
        <v>55073</v>
      </c>
      <c r="Q603" s="20">
        <f>IFERROR(__xludf.DUMMYFUNCTION("""COMPUTED_VALUE"""),89728.0)</f>
        <v>89728</v>
      </c>
    </row>
    <row r="604">
      <c r="A604" s="20">
        <f>IFERROR(__xludf.DUMMYFUNCTION("""COMPUTED_VALUE"""),603.0)</f>
        <v>603</v>
      </c>
      <c r="B604" s="20" t="str">
        <f>IFERROR(__xludf.DUMMYFUNCTION("""COMPUTED_VALUE"""),"Consecutive Available Seats")</f>
        <v>Consecutive Available Seats</v>
      </c>
      <c r="C604" s="20" t="str">
        <f>IFERROR(__xludf.DUMMYFUNCTION("""COMPUTED_VALUE"""),"consecutive-available-seats")</f>
        <v>consecutive-available-seats</v>
      </c>
      <c r="D604" s="20" t="b">
        <f>IFERROR(__xludf.DUMMYFUNCTION("""COMPUTED_VALUE"""),TRUE)</f>
        <v>1</v>
      </c>
      <c r="E604" s="20" t="str">
        <f>IFERROR(__xludf.DUMMYFUNCTION("""COMPUTED_VALUE"""),"Easy")</f>
        <v>Easy</v>
      </c>
      <c r="F604" s="20">
        <f>IFERROR(__xludf.DUMMYFUNCTION("""COMPUTED_VALUE"""),548.0)</f>
        <v>548</v>
      </c>
      <c r="G604" s="20">
        <f>IFERROR(__xludf.DUMMYFUNCTION("""COMPUTED_VALUE"""),53.0)</f>
        <v>53</v>
      </c>
      <c r="H604" s="20" t="str">
        <f>IFERROR(__xludf.DUMMYFUNCTION("""COMPUTED_VALUE"""),"Database")</f>
        <v>Database</v>
      </c>
      <c r="I604" s="20">
        <f>IFERROR(__xludf.DUMMYFUNCTION("""COMPUTED_VALUE"""),0.681)</f>
        <v>0.681</v>
      </c>
      <c r="J604" s="20">
        <f>IFERROR(__xludf.DUMMYFUNCTION("""COMPUTED_VALUE"""),603.0)</f>
        <v>603</v>
      </c>
      <c r="K604" s="20" t="b">
        <f>IFERROR(__xludf.DUMMYFUNCTION("""COMPUTED_VALUE"""),TRUE)</f>
        <v>1</v>
      </c>
      <c r="L604" s="20" t="str">
        <f>IFERROR(__xludf.DUMMYFUNCTION("""COMPUTED_VALUE"""),"Database;")</f>
        <v>Database;</v>
      </c>
      <c r="M604" s="20" t="b">
        <f>IFERROR(__xludf.DUMMYFUNCTION("""COMPUTED_VALUE"""),TRUE)</f>
        <v>1</v>
      </c>
      <c r="N604" s="20" t="b">
        <f>IFERROR(__xludf.DUMMYFUNCTION("""COMPUTED_VALUE"""),FALSE)</f>
        <v>0</v>
      </c>
      <c r="O604" s="20">
        <f>IFERROR(__xludf.DUMMYFUNCTION("""COMPUTED_VALUE"""),68.0692249225312)</f>
        <v>68.06922492</v>
      </c>
      <c r="P604" s="20">
        <f>IFERROR(__xludf.DUMMYFUNCTION("""COMPUTED_VALUE"""),69853.0)</f>
        <v>69853</v>
      </c>
      <c r="Q604" s="20">
        <f>IFERROR(__xludf.DUMMYFUNCTION("""COMPUTED_VALUE"""),102621.0)</f>
        <v>102621</v>
      </c>
    </row>
    <row r="605">
      <c r="A605" s="20">
        <f>IFERROR(__xludf.DUMMYFUNCTION("""COMPUTED_VALUE"""),604.0)</f>
        <v>604</v>
      </c>
      <c r="B605" s="20" t="str">
        <f>IFERROR(__xludf.DUMMYFUNCTION("""COMPUTED_VALUE"""),"Design Compressed String Iterator")</f>
        <v>Design Compressed String Iterator</v>
      </c>
      <c r="C605" s="20" t="str">
        <f>IFERROR(__xludf.DUMMYFUNCTION("""COMPUTED_VALUE"""),"design-compressed-string-iterator")</f>
        <v>design-compressed-string-iterator</v>
      </c>
      <c r="D605" s="20" t="b">
        <f>IFERROR(__xludf.DUMMYFUNCTION("""COMPUTED_VALUE"""),TRUE)</f>
        <v>1</v>
      </c>
      <c r="E605" s="20" t="str">
        <f>IFERROR(__xludf.DUMMYFUNCTION("""COMPUTED_VALUE"""),"Easy")</f>
        <v>Easy</v>
      </c>
      <c r="F605" s="20">
        <f>IFERROR(__xludf.DUMMYFUNCTION("""COMPUTED_VALUE"""),398.0)</f>
        <v>398</v>
      </c>
      <c r="G605" s="20">
        <f>IFERROR(__xludf.DUMMYFUNCTION("""COMPUTED_VALUE"""),139.0)</f>
        <v>139</v>
      </c>
      <c r="H605" s="20" t="str">
        <f>IFERROR(__xludf.DUMMYFUNCTION("""COMPUTED_VALUE"""),"Algorithms")</f>
        <v>Algorithms</v>
      </c>
      <c r="I605" s="20">
        <f>IFERROR(__xludf.DUMMYFUNCTION("""COMPUTED_VALUE"""),0.395)</f>
        <v>0.395</v>
      </c>
      <c r="J605" s="20">
        <f>IFERROR(__xludf.DUMMYFUNCTION("""COMPUTED_VALUE"""),604.0)</f>
        <v>604</v>
      </c>
      <c r="K605" s="20" t="b">
        <f>IFERROR(__xludf.DUMMYFUNCTION("""COMPUTED_VALUE"""),TRUE)</f>
        <v>1</v>
      </c>
      <c r="L605" s="20" t="str">
        <f>IFERROR(__xludf.DUMMYFUNCTION("""COMPUTED_VALUE"""),"Array;Hash Table;String;Design;Iterator;")</f>
        <v>Array;Hash Table;String;Design;Iterator;</v>
      </c>
      <c r="M605" s="20" t="b">
        <f>IFERROR(__xludf.DUMMYFUNCTION("""COMPUTED_VALUE"""),TRUE)</f>
        <v>1</v>
      </c>
      <c r="N605" s="20" t="b">
        <f>IFERROR(__xludf.DUMMYFUNCTION("""COMPUTED_VALUE"""),FALSE)</f>
        <v>0</v>
      </c>
      <c r="O605" s="20">
        <f>IFERROR(__xludf.DUMMYFUNCTION("""COMPUTED_VALUE"""),39.4915254237288)</f>
        <v>39.49152542</v>
      </c>
      <c r="P605" s="20">
        <f>IFERROR(__xludf.DUMMYFUNCTION("""COMPUTED_VALUE"""),28659.0)</f>
        <v>28659</v>
      </c>
      <c r="Q605" s="20">
        <f>IFERROR(__xludf.DUMMYFUNCTION("""COMPUTED_VALUE"""),72570.0)</f>
        <v>72570</v>
      </c>
    </row>
    <row r="606">
      <c r="A606" s="20">
        <f>IFERROR(__xludf.DUMMYFUNCTION("""COMPUTED_VALUE"""),605.0)</f>
        <v>605</v>
      </c>
      <c r="B606" s="20" t="str">
        <f>IFERROR(__xludf.DUMMYFUNCTION("""COMPUTED_VALUE"""),"Can Place Flowers")</f>
        <v>Can Place Flowers</v>
      </c>
      <c r="C606" s="20" t="str">
        <f>IFERROR(__xludf.DUMMYFUNCTION("""COMPUTED_VALUE"""),"can-place-flowers")</f>
        <v>can-place-flowers</v>
      </c>
      <c r="D606" s="20" t="b">
        <f>IFERROR(__xludf.DUMMYFUNCTION("""COMPUTED_VALUE"""),FALSE)</f>
        <v>0</v>
      </c>
      <c r="E606" s="20" t="str">
        <f>IFERROR(__xludf.DUMMYFUNCTION("""COMPUTED_VALUE"""),"Easy")</f>
        <v>Easy</v>
      </c>
      <c r="F606" s="20">
        <f>IFERROR(__xludf.DUMMYFUNCTION("""COMPUTED_VALUE"""),3417.0)</f>
        <v>3417</v>
      </c>
      <c r="G606" s="20">
        <f>IFERROR(__xludf.DUMMYFUNCTION("""COMPUTED_VALUE"""),705.0)</f>
        <v>705</v>
      </c>
      <c r="H606" s="20" t="str">
        <f>IFERROR(__xludf.DUMMYFUNCTION("""COMPUTED_VALUE"""),"Algorithms")</f>
        <v>Algorithms</v>
      </c>
      <c r="I606" s="20">
        <f>IFERROR(__xludf.DUMMYFUNCTION("""COMPUTED_VALUE"""),0.328)</f>
        <v>0.328</v>
      </c>
      <c r="J606" s="20">
        <f>IFERROR(__xludf.DUMMYFUNCTION("""COMPUTED_VALUE"""),605.0)</f>
        <v>605</v>
      </c>
      <c r="K606" s="20" t="b">
        <f>IFERROR(__xludf.DUMMYFUNCTION("""COMPUTED_VALUE"""),FALSE)</f>
        <v>0</v>
      </c>
      <c r="L606" s="20" t="str">
        <f>IFERROR(__xludf.DUMMYFUNCTION("""COMPUTED_VALUE"""),"Array;Greedy;")</f>
        <v>Array;Greedy;</v>
      </c>
      <c r="M606" s="20" t="b">
        <f>IFERROR(__xludf.DUMMYFUNCTION("""COMPUTED_VALUE"""),TRUE)</f>
        <v>1</v>
      </c>
      <c r="N606" s="20" t="b">
        <f>IFERROR(__xludf.DUMMYFUNCTION("""COMPUTED_VALUE"""),FALSE)</f>
        <v>0</v>
      </c>
      <c r="O606" s="20">
        <f>IFERROR(__xludf.DUMMYFUNCTION("""COMPUTED_VALUE"""),32.7634551507945)</f>
        <v>32.76345515</v>
      </c>
      <c r="P606" s="20">
        <f>IFERROR(__xludf.DUMMYFUNCTION("""COMPUTED_VALUE"""),336743.0)</f>
        <v>336743</v>
      </c>
      <c r="Q606" s="20">
        <f>IFERROR(__xludf.DUMMYFUNCTION("""COMPUTED_VALUE"""),1027807.0)</f>
        <v>1027807</v>
      </c>
    </row>
    <row r="607">
      <c r="A607" s="20">
        <f>IFERROR(__xludf.DUMMYFUNCTION("""COMPUTED_VALUE"""),606.0)</f>
        <v>606</v>
      </c>
      <c r="B607" s="20" t="str">
        <f>IFERROR(__xludf.DUMMYFUNCTION("""COMPUTED_VALUE"""),"Construct String from Binary Tree")</f>
        <v>Construct String from Binary Tree</v>
      </c>
      <c r="C607" s="20" t="str">
        <f>IFERROR(__xludf.DUMMYFUNCTION("""COMPUTED_VALUE"""),"construct-string-from-binary-tree")</f>
        <v>construct-string-from-binary-tree</v>
      </c>
      <c r="D607" s="20" t="b">
        <f>IFERROR(__xludf.DUMMYFUNCTION("""COMPUTED_VALUE"""),FALSE)</f>
        <v>0</v>
      </c>
      <c r="E607" s="20" t="str">
        <f>IFERROR(__xludf.DUMMYFUNCTION("""COMPUTED_VALUE"""),"Easy")</f>
        <v>Easy</v>
      </c>
      <c r="F607" s="20">
        <f>IFERROR(__xludf.DUMMYFUNCTION("""COMPUTED_VALUE"""),2444.0)</f>
        <v>2444</v>
      </c>
      <c r="G607" s="20">
        <f>IFERROR(__xludf.DUMMYFUNCTION("""COMPUTED_VALUE"""),2949.0)</f>
        <v>2949</v>
      </c>
      <c r="H607" s="20" t="str">
        <f>IFERROR(__xludf.DUMMYFUNCTION("""COMPUTED_VALUE"""),"Algorithms")</f>
        <v>Algorithms</v>
      </c>
      <c r="I607" s="20">
        <f>IFERROR(__xludf.DUMMYFUNCTION("""COMPUTED_VALUE"""),0.637)</f>
        <v>0.637</v>
      </c>
      <c r="J607" s="20">
        <f>IFERROR(__xludf.DUMMYFUNCTION("""COMPUTED_VALUE"""),606.0)</f>
        <v>606</v>
      </c>
      <c r="K607" s="20" t="b">
        <f>IFERROR(__xludf.DUMMYFUNCTION("""COMPUTED_VALUE"""),FALSE)</f>
        <v>0</v>
      </c>
      <c r="L607" s="20" t="str">
        <f>IFERROR(__xludf.DUMMYFUNCTION("""COMPUTED_VALUE"""),"String;Tree;Depth-First Search;Binary Tree;")</f>
        <v>String;Tree;Depth-First Search;Binary Tree;</v>
      </c>
      <c r="M607" s="20" t="b">
        <f>IFERROR(__xludf.DUMMYFUNCTION("""COMPUTED_VALUE"""),TRUE)</f>
        <v>1</v>
      </c>
      <c r="N607" s="20" t="b">
        <f>IFERROR(__xludf.DUMMYFUNCTION("""COMPUTED_VALUE"""),FALSE)</f>
        <v>0</v>
      </c>
      <c r="O607" s="20">
        <f>IFERROR(__xludf.DUMMYFUNCTION("""COMPUTED_VALUE"""),63.7221489299325)</f>
        <v>63.72214893</v>
      </c>
      <c r="P607" s="20">
        <f>IFERROR(__xludf.DUMMYFUNCTION("""COMPUTED_VALUE"""),208660.0)</f>
        <v>208660</v>
      </c>
      <c r="Q607" s="20">
        <f>IFERROR(__xludf.DUMMYFUNCTION("""COMPUTED_VALUE"""),327453.0)</f>
        <v>327453</v>
      </c>
    </row>
    <row r="608">
      <c r="A608" s="20">
        <f>IFERROR(__xludf.DUMMYFUNCTION("""COMPUTED_VALUE"""),607.0)</f>
        <v>607</v>
      </c>
      <c r="B608" s="20" t="str">
        <f>IFERROR(__xludf.DUMMYFUNCTION("""COMPUTED_VALUE"""),"Sales Person")</f>
        <v>Sales Person</v>
      </c>
      <c r="C608" s="20" t="str">
        <f>IFERROR(__xludf.DUMMYFUNCTION("""COMPUTED_VALUE"""),"sales-person")</f>
        <v>sales-person</v>
      </c>
      <c r="D608" s="20" t="b">
        <f>IFERROR(__xludf.DUMMYFUNCTION("""COMPUTED_VALUE"""),FALSE)</f>
        <v>0</v>
      </c>
      <c r="E608" s="20" t="str">
        <f>IFERROR(__xludf.DUMMYFUNCTION("""COMPUTED_VALUE"""),"Easy")</f>
        <v>Easy</v>
      </c>
      <c r="F608" s="20">
        <f>IFERROR(__xludf.DUMMYFUNCTION("""COMPUTED_VALUE"""),692.0)</f>
        <v>692</v>
      </c>
      <c r="G608" s="20">
        <f>IFERROR(__xludf.DUMMYFUNCTION("""COMPUTED_VALUE"""),67.0)</f>
        <v>67</v>
      </c>
      <c r="H608" s="20" t="str">
        <f>IFERROR(__xludf.DUMMYFUNCTION("""COMPUTED_VALUE"""),"Database")</f>
        <v>Database</v>
      </c>
      <c r="I608" s="20">
        <f>IFERROR(__xludf.DUMMYFUNCTION("""COMPUTED_VALUE"""),0.714)</f>
        <v>0.714</v>
      </c>
      <c r="J608" s="20">
        <f>IFERROR(__xludf.DUMMYFUNCTION("""COMPUTED_VALUE"""),607.0)</f>
        <v>607</v>
      </c>
      <c r="K608" s="20" t="b">
        <f>IFERROR(__xludf.DUMMYFUNCTION("""COMPUTED_VALUE"""),FALSE)</f>
        <v>0</v>
      </c>
      <c r="L608" s="20" t="str">
        <f>IFERROR(__xludf.DUMMYFUNCTION("""COMPUTED_VALUE"""),"Database;")</f>
        <v>Database;</v>
      </c>
      <c r="M608" s="20" t="b">
        <f>IFERROR(__xludf.DUMMYFUNCTION("""COMPUTED_VALUE"""),TRUE)</f>
        <v>1</v>
      </c>
      <c r="N608" s="20" t="b">
        <f>IFERROR(__xludf.DUMMYFUNCTION("""COMPUTED_VALUE"""),FALSE)</f>
        <v>0</v>
      </c>
      <c r="O608" s="20">
        <f>IFERROR(__xludf.DUMMYFUNCTION("""COMPUTED_VALUE"""),71.3819455500716)</f>
        <v>71.38194555</v>
      </c>
      <c r="P608" s="20">
        <f>IFERROR(__xludf.DUMMYFUNCTION("""COMPUTED_VALUE"""),116568.0)</f>
        <v>116568</v>
      </c>
      <c r="Q608" s="20">
        <f>IFERROR(__xludf.DUMMYFUNCTION("""COMPUTED_VALUE"""),163303.0)</f>
        <v>163303</v>
      </c>
    </row>
    <row r="609">
      <c r="A609" s="20">
        <f>IFERROR(__xludf.DUMMYFUNCTION("""COMPUTED_VALUE"""),608.0)</f>
        <v>608</v>
      </c>
      <c r="B609" s="20" t="str">
        <f>IFERROR(__xludf.DUMMYFUNCTION("""COMPUTED_VALUE"""),"Tree Node")</f>
        <v>Tree Node</v>
      </c>
      <c r="C609" s="20" t="str">
        <f>IFERROR(__xludf.DUMMYFUNCTION("""COMPUTED_VALUE"""),"tree-node")</f>
        <v>tree-node</v>
      </c>
      <c r="D609" s="20" t="b">
        <f>IFERROR(__xludf.DUMMYFUNCTION("""COMPUTED_VALUE"""),FALSE)</f>
        <v>0</v>
      </c>
      <c r="E609" s="20" t="str">
        <f>IFERROR(__xludf.DUMMYFUNCTION("""COMPUTED_VALUE"""),"Medium")</f>
        <v>Medium</v>
      </c>
      <c r="F609" s="20">
        <f>IFERROR(__xludf.DUMMYFUNCTION("""COMPUTED_VALUE"""),852.0)</f>
        <v>852</v>
      </c>
      <c r="G609" s="20">
        <f>IFERROR(__xludf.DUMMYFUNCTION("""COMPUTED_VALUE"""),100.0)</f>
        <v>100</v>
      </c>
      <c r="H609" s="20" t="str">
        <f>IFERROR(__xludf.DUMMYFUNCTION("""COMPUTED_VALUE"""),"Database")</f>
        <v>Database</v>
      </c>
      <c r="I609" s="20">
        <f>IFERROR(__xludf.DUMMYFUNCTION("""COMPUTED_VALUE"""),0.719)</f>
        <v>0.719</v>
      </c>
      <c r="J609" s="20">
        <f>IFERROR(__xludf.DUMMYFUNCTION("""COMPUTED_VALUE"""),608.0)</f>
        <v>608</v>
      </c>
      <c r="K609" s="20" t="b">
        <f>IFERROR(__xludf.DUMMYFUNCTION("""COMPUTED_VALUE"""),FALSE)</f>
        <v>0</v>
      </c>
      <c r="L609" s="20" t="str">
        <f>IFERROR(__xludf.DUMMYFUNCTION("""COMPUTED_VALUE"""),"Database;")</f>
        <v>Database;</v>
      </c>
      <c r="M609" s="20" t="b">
        <f>IFERROR(__xludf.DUMMYFUNCTION("""COMPUTED_VALUE"""),TRUE)</f>
        <v>1</v>
      </c>
      <c r="N609" s="20" t="b">
        <f>IFERROR(__xludf.DUMMYFUNCTION("""COMPUTED_VALUE"""),FALSE)</f>
        <v>0</v>
      </c>
      <c r="O609" s="20">
        <f>IFERROR(__xludf.DUMMYFUNCTION("""COMPUTED_VALUE"""),71.8595788518201)</f>
        <v>71.85957885</v>
      </c>
      <c r="P609" s="20">
        <f>IFERROR(__xludf.DUMMYFUNCTION("""COMPUTED_VALUE"""),99740.0)</f>
        <v>99740</v>
      </c>
      <c r="Q609" s="20">
        <f>IFERROR(__xludf.DUMMYFUNCTION("""COMPUTED_VALUE"""),138800.0)</f>
        <v>138800</v>
      </c>
    </row>
    <row r="610">
      <c r="A610" s="20">
        <f>IFERROR(__xludf.DUMMYFUNCTION("""COMPUTED_VALUE"""),609.0)</f>
        <v>609</v>
      </c>
      <c r="B610" s="20" t="str">
        <f>IFERROR(__xludf.DUMMYFUNCTION("""COMPUTED_VALUE"""),"Find Duplicate File in System")</f>
        <v>Find Duplicate File in System</v>
      </c>
      <c r="C610" s="20" t="str">
        <f>IFERROR(__xludf.DUMMYFUNCTION("""COMPUTED_VALUE"""),"find-duplicate-file-in-system")</f>
        <v>find-duplicate-file-in-system</v>
      </c>
      <c r="D610" s="20" t="b">
        <f>IFERROR(__xludf.DUMMYFUNCTION("""COMPUTED_VALUE"""),FALSE)</f>
        <v>0</v>
      </c>
      <c r="E610" s="20" t="str">
        <f>IFERROR(__xludf.DUMMYFUNCTION("""COMPUTED_VALUE"""),"Medium")</f>
        <v>Medium</v>
      </c>
      <c r="F610" s="20">
        <f>IFERROR(__xludf.DUMMYFUNCTION("""COMPUTED_VALUE"""),1427.0)</f>
        <v>1427</v>
      </c>
      <c r="G610" s="20">
        <f>IFERROR(__xludf.DUMMYFUNCTION("""COMPUTED_VALUE"""),1601.0)</f>
        <v>1601</v>
      </c>
      <c r="H610" s="20" t="str">
        <f>IFERROR(__xludf.DUMMYFUNCTION("""COMPUTED_VALUE"""),"Algorithms")</f>
        <v>Algorithms</v>
      </c>
      <c r="I610" s="20">
        <f>IFERROR(__xludf.DUMMYFUNCTION("""COMPUTED_VALUE"""),0.678)</f>
        <v>0.678</v>
      </c>
      <c r="J610" s="20">
        <f>IFERROR(__xludf.DUMMYFUNCTION("""COMPUTED_VALUE"""),609.0)</f>
        <v>609</v>
      </c>
      <c r="K610" s="20" t="b">
        <f>IFERROR(__xludf.DUMMYFUNCTION("""COMPUTED_VALUE"""),FALSE)</f>
        <v>0</v>
      </c>
      <c r="L610" s="20" t="str">
        <f>IFERROR(__xludf.DUMMYFUNCTION("""COMPUTED_VALUE"""),"Array;Hash Table;String;")</f>
        <v>Array;Hash Table;String;</v>
      </c>
      <c r="M610" s="20" t="b">
        <f>IFERROR(__xludf.DUMMYFUNCTION("""COMPUTED_VALUE"""),TRUE)</f>
        <v>1</v>
      </c>
      <c r="N610" s="20" t="b">
        <f>IFERROR(__xludf.DUMMYFUNCTION("""COMPUTED_VALUE"""),FALSE)</f>
        <v>0</v>
      </c>
      <c r="O610" s="20">
        <f>IFERROR(__xludf.DUMMYFUNCTION("""COMPUTED_VALUE"""),67.798551264065)</f>
        <v>67.79855126</v>
      </c>
      <c r="P610" s="20">
        <f>IFERROR(__xludf.DUMMYFUNCTION("""COMPUTED_VALUE"""),142080.0)</f>
        <v>142080</v>
      </c>
      <c r="Q610" s="20">
        <f>IFERROR(__xludf.DUMMYFUNCTION("""COMPUTED_VALUE"""),209562.0)</f>
        <v>209562</v>
      </c>
    </row>
    <row r="611">
      <c r="A611" s="20">
        <f>IFERROR(__xludf.DUMMYFUNCTION("""COMPUTED_VALUE"""),610.0)</f>
        <v>610</v>
      </c>
      <c r="B611" s="20" t="str">
        <f>IFERROR(__xludf.DUMMYFUNCTION("""COMPUTED_VALUE"""),"Triangle Judgement")</f>
        <v>Triangle Judgement</v>
      </c>
      <c r="C611" s="20" t="str">
        <f>IFERROR(__xludf.DUMMYFUNCTION("""COMPUTED_VALUE"""),"triangle-judgement")</f>
        <v>triangle-judgement</v>
      </c>
      <c r="D611" s="20" t="b">
        <f>IFERROR(__xludf.DUMMYFUNCTION("""COMPUTED_VALUE"""),TRUE)</f>
        <v>1</v>
      </c>
      <c r="E611" s="20" t="str">
        <f>IFERROR(__xludf.DUMMYFUNCTION("""COMPUTED_VALUE"""),"Easy")</f>
        <v>Easy</v>
      </c>
      <c r="F611" s="20">
        <f>IFERROR(__xludf.DUMMYFUNCTION("""COMPUTED_VALUE"""),229.0)</f>
        <v>229</v>
      </c>
      <c r="G611" s="20">
        <f>IFERROR(__xludf.DUMMYFUNCTION("""COMPUTED_VALUE"""),58.0)</f>
        <v>58</v>
      </c>
      <c r="H611" s="20" t="str">
        <f>IFERROR(__xludf.DUMMYFUNCTION("""COMPUTED_VALUE"""),"Database")</f>
        <v>Database</v>
      </c>
      <c r="I611" s="20">
        <f>IFERROR(__xludf.DUMMYFUNCTION("""COMPUTED_VALUE"""),0.71)</f>
        <v>0.71</v>
      </c>
      <c r="J611" s="20">
        <f>IFERROR(__xludf.DUMMYFUNCTION("""COMPUTED_VALUE"""),610.0)</f>
        <v>610</v>
      </c>
      <c r="K611" s="20" t="b">
        <f>IFERROR(__xludf.DUMMYFUNCTION("""COMPUTED_VALUE"""),TRUE)</f>
        <v>1</v>
      </c>
      <c r="L611" s="20" t="str">
        <f>IFERROR(__xludf.DUMMYFUNCTION("""COMPUTED_VALUE"""),"Database;")</f>
        <v>Database;</v>
      </c>
      <c r="M611" s="20" t="b">
        <f>IFERROR(__xludf.DUMMYFUNCTION("""COMPUTED_VALUE"""),TRUE)</f>
        <v>1</v>
      </c>
      <c r="N611" s="20" t="b">
        <f>IFERROR(__xludf.DUMMYFUNCTION("""COMPUTED_VALUE"""),FALSE)</f>
        <v>0</v>
      </c>
      <c r="O611" s="20">
        <f>IFERROR(__xludf.DUMMYFUNCTION("""COMPUTED_VALUE"""),71.0451960124763)</f>
        <v>71.04519601</v>
      </c>
      <c r="P611" s="20">
        <f>IFERROR(__xludf.DUMMYFUNCTION("""COMPUTED_VALUE"""),58083.0)</f>
        <v>58083</v>
      </c>
      <c r="Q611" s="20">
        <f>IFERROR(__xludf.DUMMYFUNCTION("""COMPUTED_VALUE"""),81755.0)</f>
        <v>81755</v>
      </c>
    </row>
    <row r="612">
      <c r="A612" s="20">
        <f>IFERROR(__xludf.DUMMYFUNCTION("""COMPUTED_VALUE"""),611.0)</f>
        <v>611</v>
      </c>
      <c r="B612" s="20" t="str">
        <f>IFERROR(__xludf.DUMMYFUNCTION("""COMPUTED_VALUE"""),"Valid Triangle Number")</f>
        <v>Valid Triangle Number</v>
      </c>
      <c r="C612" s="20" t="str">
        <f>IFERROR(__xludf.DUMMYFUNCTION("""COMPUTED_VALUE"""),"valid-triangle-number")</f>
        <v>valid-triangle-number</v>
      </c>
      <c r="D612" s="20" t="b">
        <f>IFERROR(__xludf.DUMMYFUNCTION("""COMPUTED_VALUE"""),FALSE)</f>
        <v>0</v>
      </c>
      <c r="E612" s="20" t="str">
        <f>IFERROR(__xludf.DUMMYFUNCTION("""COMPUTED_VALUE"""),"Medium")</f>
        <v>Medium</v>
      </c>
      <c r="F612" s="20">
        <f>IFERROR(__xludf.DUMMYFUNCTION("""COMPUTED_VALUE"""),3145.0)</f>
        <v>3145</v>
      </c>
      <c r="G612" s="20">
        <f>IFERROR(__xludf.DUMMYFUNCTION("""COMPUTED_VALUE"""),176.0)</f>
        <v>176</v>
      </c>
      <c r="H612" s="20" t="str">
        <f>IFERROR(__xludf.DUMMYFUNCTION("""COMPUTED_VALUE"""),"Algorithms")</f>
        <v>Algorithms</v>
      </c>
      <c r="I612" s="20">
        <f>IFERROR(__xludf.DUMMYFUNCTION("""COMPUTED_VALUE"""),0.504)</f>
        <v>0.504</v>
      </c>
      <c r="J612" s="20">
        <f>IFERROR(__xludf.DUMMYFUNCTION("""COMPUTED_VALUE"""),611.0)</f>
        <v>611</v>
      </c>
      <c r="K612" s="20" t="b">
        <f>IFERROR(__xludf.DUMMYFUNCTION("""COMPUTED_VALUE"""),FALSE)</f>
        <v>0</v>
      </c>
      <c r="L612" s="20" t="str">
        <f>IFERROR(__xludf.DUMMYFUNCTION("""COMPUTED_VALUE"""),"Array;Two Pointers;Binary Search;Greedy;Sorting;")</f>
        <v>Array;Two Pointers;Binary Search;Greedy;Sorting;</v>
      </c>
      <c r="M612" s="20" t="b">
        <f>IFERROR(__xludf.DUMMYFUNCTION("""COMPUTED_VALUE"""),TRUE)</f>
        <v>1</v>
      </c>
      <c r="N612" s="20" t="b">
        <f>IFERROR(__xludf.DUMMYFUNCTION("""COMPUTED_VALUE"""),FALSE)</f>
        <v>0</v>
      </c>
      <c r="O612" s="20">
        <f>IFERROR(__xludf.DUMMYFUNCTION("""COMPUTED_VALUE"""),50.443388583565)</f>
        <v>50.44338858</v>
      </c>
      <c r="P612" s="20">
        <f>IFERROR(__xludf.DUMMYFUNCTION("""COMPUTED_VALUE"""),161266.0)</f>
        <v>161266</v>
      </c>
      <c r="Q612" s="20">
        <f>IFERROR(__xludf.DUMMYFUNCTION("""COMPUTED_VALUE"""),319694.0)</f>
        <v>319694</v>
      </c>
    </row>
    <row r="613">
      <c r="A613" s="20">
        <f>IFERROR(__xludf.DUMMYFUNCTION("""COMPUTED_VALUE"""),612.0)</f>
        <v>612</v>
      </c>
      <c r="B613" s="20" t="str">
        <f>IFERROR(__xludf.DUMMYFUNCTION("""COMPUTED_VALUE"""),"Shortest Distance in a Plane")</f>
        <v>Shortest Distance in a Plane</v>
      </c>
      <c r="C613" s="20" t="str">
        <f>IFERROR(__xludf.DUMMYFUNCTION("""COMPUTED_VALUE"""),"shortest-distance-in-a-plane")</f>
        <v>shortest-distance-in-a-plane</v>
      </c>
      <c r="D613" s="20" t="b">
        <f>IFERROR(__xludf.DUMMYFUNCTION("""COMPUTED_VALUE"""),TRUE)</f>
        <v>1</v>
      </c>
      <c r="E613" s="20" t="str">
        <f>IFERROR(__xludf.DUMMYFUNCTION("""COMPUTED_VALUE"""),"Medium")</f>
        <v>Medium</v>
      </c>
      <c r="F613" s="20">
        <f>IFERROR(__xludf.DUMMYFUNCTION("""COMPUTED_VALUE"""),194.0)</f>
        <v>194</v>
      </c>
      <c r="G613" s="20">
        <f>IFERROR(__xludf.DUMMYFUNCTION("""COMPUTED_VALUE"""),66.0)</f>
        <v>66</v>
      </c>
      <c r="H613" s="20" t="str">
        <f>IFERROR(__xludf.DUMMYFUNCTION("""COMPUTED_VALUE"""),"Database")</f>
        <v>Database</v>
      </c>
      <c r="I613" s="20">
        <f>IFERROR(__xludf.DUMMYFUNCTION("""COMPUTED_VALUE"""),0.632)</f>
        <v>0.632</v>
      </c>
      <c r="J613" s="20">
        <f>IFERROR(__xludf.DUMMYFUNCTION("""COMPUTED_VALUE"""),612.0)</f>
        <v>612</v>
      </c>
      <c r="K613" s="20" t="b">
        <f>IFERROR(__xludf.DUMMYFUNCTION("""COMPUTED_VALUE"""),TRUE)</f>
        <v>1</v>
      </c>
      <c r="L613" s="20" t="str">
        <f>IFERROR(__xludf.DUMMYFUNCTION("""COMPUTED_VALUE"""),"Database;")</f>
        <v>Database;</v>
      </c>
      <c r="M613" s="20" t="b">
        <f>IFERROR(__xludf.DUMMYFUNCTION("""COMPUTED_VALUE"""),TRUE)</f>
        <v>1</v>
      </c>
      <c r="N613" s="20" t="b">
        <f>IFERROR(__xludf.DUMMYFUNCTION("""COMPUTED_VALUE"""),FALSE)</f>
        <v>0</v>
      </c>
      <c r="O613" s="20">
        <f>IFERROR(__xludf.DUMMYFUNCTION("""COMPUTED_VALUE"""),63.2317948159046)</f>
        <v>63.23179482</v>
      </c>
      <c r="P613" s="20">
        <f>IFERROR(__xludf.DUMMYFUNCTION("""COMPUTED_VALUE"""),34811.0)</f>
        <v>34811</v>
      </c>
      <c r="Q613" s="20">
        <f>IFERROR(__xludf.DUMMYFUNCTION("""COMPUTED_VALUE"""),55053.0)</f>
        <v>55053</v>
      </c>
    </row>
    <row r="614">
      <c r="A614" s="20">
        <f>IFERROR(__xludf.DUMMYFUNCTION("""COMPUTED_VALUE"""),613.0)</f>
        <v>613</v>
      </c>
      <c r="B614" s="20" t="str">
        <f>IFERROR(__xludf.DUMMYFUNCTION("""COMPUTED_VALUE"""),"Shortest Distance in a Line")</f>
        <v>Shortest Distance in a Line</v>
      </c>
      <c r="C614" s="20" t="str">
        <f>IFERROR(__xludf.DUMMYFUNCTION("""COMPUTED_VALUE"""),"shortest-distance-in-a-line")</f>
        <v>shortest-distance-in-a-line</v>
      </c>
      <c r="D614" s="20" t="b">
        <f>IFERROR(__xludf.DUMMYFUNCTION("""COMPUTED_VALUE"""),TRUE)</f>
        <v>1</v>
      </c>
      <c r="E614" s="20" t="str">
        <f>IFERROR(__xludf.DUMMYFUNCTION("""COMPUTED_VALUE"""),"Easy")</f>
        <v>Easy</v>
      </c>
      <c r="F614" s="20">
        <f>IFERROR(__xludf.DUMMYFUNCTION("""COMPUTED_VALUE"""),286.0)</f>
        <v>286</v>
      </c>
      <c r="G614" s="20">
        <f>IFERROR(__xludf.DUMMYFUNCTION("""COMPUTED_VALUE"""),37.0)</f>
        <v>37</v>
      </c>
      <c r="H614" s="20" t="str">
        <f>IFERROR(__xludf.DUMMYFUNCTION("""COMPUTED_VALUE"""),"Database")</f>
        <v>Database</v>
      </c>
      <c r="I614" s="20">
        <f>IFERROR(__xludf.DUMMYFUNCTION("""COMPUTED_VALUE"""),0.813)</f>
        <v>0.813</v>
      </c>
      <c r="J614" s="20">
        <f>IFERROR(__xludf.DUMMYFUNCTION("""COMPUTED_VALUE"""),613.0)</f>
        <v>613</v>
      </c>
      <c r="K614" s="20" t="b">
        <f>IFERROR(__xludf.DUMMYFUNCTION("""COMPUTED_VALUE"""),TRUE)</f>
        <v>1</v>
      </c>
      <c r="L614" s="20" t="str">
        <f>IFERROR(__xludf.DUMMYFUNCTION("""COMPUTED_VALUE"""),"Database;")</f>
        <v>Database;</v>
      </c>
      <c r="M614" s="20" t="b">
        <f>IFERROR(__xludf.DUMMYFUNCTION("""COMPUTED_VALUE"""),TRUE)</f>
        <v>1</v>
      </c>
      <c r="N614" s="20" t="b">
        <f>IFERROR(__xludf.DUMMYFUNCTION("""COMPUTED_VALUE"""),FALSE)</f>
        <v>0</v>
      </c>
      <c r="O614" s="20">
        <f>IFERROR(__xludf.DUMMYFUNCTION("""COMPUTED_VALUE"""),81.3091375126114)</f>
        <v>81.30913751</v>
      </c>
      <c r="P614" s="20">
        <f>IFERROR(__xludf.DUMMYFUNCTION("""COMPUTED_VALUE"""),59637.0)</f>
        <v>59637</v>
      </c>
      <c r="Q614" s="20">
        <f>IFERROR(__xludf.DUMMYFUNCTION("""COMPUTED_VALUE"""),73343.0)</f>
        <v>73343</v>
      </c>
    </row>
    <row r="615">
      <c r="A615" s="20">
        <f>IFERROR(__xludf.DUMMYFUNCTION("""COMPUTED_VALUE"""),614.0)</f>
        <v>614</v>
      </c>
      <c r="B615" s="20" t="str">
        <f>IFERROR(__xludf.DUMMYFUNCTION("""COMPUTED_VALUE"""),"Second Degree Follower")</f>
        <v>Second Degree Follower</v>
      </c>
      <c r="C615" s="20" t="str">
        <f>IFERROR(__xludf.DUMMYFUNCTION("""COMPUTED_VALUE"""),"second-degree-follower")</f>
        <v>second-degree-follower</v>
      </c>
      <c r="D615" s="20" t="b">
        <f>IFERROR(__xludf.DUMMYFUNCTION("""COMPUTED_VALUE"""),TRUE)</f>
        <v>1</v>
      </c>
      <c r="E615" s="20" t="str">
        <f>IFERROR(__xludf.DUMMYFUNCTION("""COMPUTED_VALUE"""),"Medium")</f>
        <v>Medium</v>
      </c>
      <c r="F615" s="20">
        <f>IFERROR(__xludf.DUMMYFUNCTION("""COMPUTED_VALUE"""),135.0)</f>
        <v>135</v>
      </c>
      <c r="G615" s="20">
        <f>IFERROR(__xludf.DUMMYFUNCTION("""COMPUTED_VALUE"""),728.0)</f>
        <v>728</v>
      </c>
      <c r="H615" s="20" t="str">
        <f>IFERROR(__xludf.DUMMYFUNCTION("""COMPUTED_VALUE"""),"Database")</f>
        <v>Database</v>
      </c>
      <c r="I615" s="20">
        <f>IFERROR(__xludf.DUMMYFUNCTION("""COMPUTED_VALUE"""),0.372)</f>
        <v>0.372</v>
      </c>
      <c r="J615" s="20">
        <f>IFERROR(__xludf.DUMMYFUNCTION("""COMPUTED_VALUE"""),614.0)</f>
        <v>614</v>
      </c>
      <c r="K615" s="20" t="b">
        <f>IFERROR(__xludf.DUMMYFUNCTION("""COMPUTED_VALUE"""),TRUE)</f>
        <v>1</v>
      </c>
      <c r="L615" s="20" t="str">
        <f>IFERROR(__xludf.DUMMYFUNCTION("""COMPUTED_VALUE"""),"Database;")</f>
        <v>Database;</v>
      </c>
      <c r="M615" s="20" t="b">
        <f>IFERROR(__xludf.DUMMYFUNCTION("""COMPUTED_VALUE"""),FALSE)</f>
        <v>0</v>
      </c>
      <c r="N615" s="20" t="b">
        <f>IFERROR(__xludf.DUMMYFUNCTION("""COMPUTED_VALUE"""),FALSE)</f>
        <v>0</v>
      </c>
      <c r="O615" s="20">
        <f>IFERROR(__xludf.DUMMYFUNCTION("""COMPUTED_VALUE"""),37.1838152551494)</f>
        <v>37.18381526</v>
      </c>
      <c r="P615" s="20">
        <f>IFERROR(__xludf.DUMMYFUNCTION("""COMPUTED_VALUE"""),45600.0)</f>
        <v>45600</v>
      </c>
      <c r="Q615" s="20">
        <f>IFERROR(__xludf.DUMMYFUNCTION("""COMPUTED_VALUE"""),122634.0)</f>
        <v>122634</v>
      </c>
    </row>
    <row r="616">
      <c r="A616" s="20">
        <f>IFERROR(__xludf.DUMMYFUNCTION("""COMPUTED_VALUE"""),615.0)</f>
        <v>615</v>
      </c>
      <c r="B616" s="20" t="str">
        <f>IFERROR(__xludf.DUMMYFUNCTION("""COMPUTED_VALUE"""),"Average Salary: Departments VS Company")</f>
        <v>Average Salary: Departments VS Company</v>
      </c>
      <c r="C616" s="20" t="str">
        <f>IFERROR(__xludf.DUMMYFUNCTION("""COMPUTED_VALUE"""),"average-salary-departments-vs-company")</f>
        <v>average-salary-departments-vs-company</v>
      </c>
      <c r="D616" s="20" t="b">
        <f>IFERROR(__xludf.DUMMYFUNCTION("""COMPUTED_VALUE"""),TRUE)</f>
        <v>1</v>
      </c>
      <c r="E616" s="20" t="str">
        <f>IFERROR(__xludf.DUMMYFUNCTION("""COMPUTED_VALUE"""),"Hard")</f>
        <v>Hard</v>
      </c>
      <c r="F616" s="20">
        <f>IFERROR(__xludf.DUMMYFUNCTION("""COMPUTED_VALUE"""),207.0)</f>
        <v>207</v>
      </c>
      <c r="G616" s="20">
        <f>IFERROR(__xludf.DUMMYFUNCTION("""COMPUTED_VALUE"""),68.0)</f>
        <v>68</v>
      </c>
      <c r="H616" s="20" t="str">
        <f>IFERROR(__xludf.DUMMYFUNCTION("""COMPUTED_VALUE"""),"Database")</f>
        <v>Database</v>
      </c>
      <c r="I616" s="20">
        <f>IFERROR(__xludf.DUMMYFUNCTION("""COMPUTED_VALUE"""),0.571)</f>
        <v>0.571</v>
      </c>
      <c r="J616" s="20">
        <f>IFERROR(__xludf.DUMMYFUNCTION("""COMPUTED_VALUE"""),615.0)</f>
        <v>615</v>
      </c>
      <c r="K616" s="20" t="b">
        <f>IFERROR(__xludf.DUMMYFUNCTION("""COMPUTED_VALUE"""),TRUE)</f>
        <v>1</v>
      </c>
      <c r="L616" s="20" t="str">
        <f>IFERROR(__xludf.DUMMYFUNCTION("""COMPUTED_VALUE"""),"Database;")</f>
        <v>Database;</v>
      </c>
      <c r="M616" s="20" t="b">
        <f>IFERROR(__xludf.DUMMYFUNCTION("""COMPUTED_VALUE"""),TRUE)</f>
        <v>1</v>
      </c>
      <c r="N616" s="20" t="b">
        <f>IFERROR(__xludf.DUMMYFUNCTION("""COMPUTED_VALUE"""),FALSE)</f>
        <v>0</v>
      </c>
      <c r="O616" s="20">
        <f>IFERROR(__xludf.DUMMYFUNCTION("""COMPUTED_VALUE"""),57.1289901064028)</f>
        <v>57.12899011</v>
      </c>
      <c r="P616" s="20">
        <f>IFERROR(__xludf.DUMMYFUNCTION("""COMPUTED_VALUE"""),30603.0)</f>
        <v>30603</v>
      </c>
      <c r="Q616" s="20">
        <f>IFERROR(__xludf.DUMMYFUNCTION("""COMPUTED_VALUE"""),53569.0)</f>
        <v>53569</v>
      </c>
    </row>
    <row r="617">
      <c r="A617" s="20">
        <f>IFERROR(__xludf.DUMMYFUNCTION("""COMPUTED_VALUE"""),616.0)</f>
        <v>616</v>
      </c>
      <c r="B617" s="20" t="str">
        <f>IFERROR(__xludf.DUMMYFUNCTION("""COMPUTED_VALUE"""),"Add Bold Tag in String")</f>
        <v>Add Bold Tag in String</v>
      </c>
      <c r="C617" s="20" t="str">
        <f>IFERROR(__xludf.DUMMYFUNCTION("""COMPUTED_VALUE"""),"add-bold-tag-in-string")</f>
        <v>add-bold-tag-in-string</v>
      </c>
      <c r="D617" s="20" t="b">
        <f>IFERROR(__xludf.DUMMYFUNCTION("""COMPUTED_VALUE"""),TRUE)</f>
        <v>1</v>
      </c>
      <c r="E617" s="20" t="str">
        <f>IFERROR(__xludf.DUMMYFUNCTION("""COMPUTED_VALUE"""),"Medium")</f>
        <v>Medium</v>
      </c>
      <c r="F617" s="20">
        <f>IFERROR(__xludf.DUMMYFUNCTION("""COMPUTED_VALUE"""),962.0)</f>
        <v>962</v>
      </c>
      <c r="G617" s="20">
        <f>IFERROR(__xludf.DUMMYFUNCTION("""COMPUTED_VALUE"""),172.0)</f>
        <v>172</v>
      </c>
      <c r="H617" s="20" t="str">
        <f>IFERROR(__xludf.DUMMYFUNCTION("""COMPUTED_VALUE"""),"Algorithms")</f>
        <v>Algorithms</v>
      </c>
      <c r="I617" s="20">
        <f>IFERROR(__xludf.DUMMYFUNCTION("""COMPUTED_VALUE"""),0.487)</f>
        <v>0.487</v>
      </c>
      <c r="J617" s="20">
        <f>IFERROR(__xludf.DUMMYFUNCTION("""COMPUTED_VALUE"""),616.0)</f>
        <v>616</v>
      </c>
      <c r="K617" s="20" t="b">
        <f>IFERROR(__xludf.DUMMYFUNCTION("""COMPUTED_VALUE"""),TRUE)</f>
        <v>1</v>
      </c>
      <c r="L617" s="20" t="str">
        <f>IFERROR(__xludf.DUMMYFUNCTION("""COMPUTED_VALUE"""),"Array;Hash Table;String;Trie;String Matching;")</f>
        <v>Array;Hash Table;String;Trie;String Matching;</v>
      </c>
      <c r="M617" s="20" t="b">
        <f>IFERROR(__xludf.DUMMYFUNCTION("""COMPUTED_VALUE"""),FALSE)</f>
        <v>0</v>
      </c>
      <c r="N617" s="20" t="b">
        <f>IFERROR(__xludf.DUMMYFUNCTION("""COMPUTED_VALUE"""),FALSE)</f>
        <v>0</v>
      </c>
      <c r="O617" s="20">
        <f>IFERROR(__xludf.DUMMYFUNCTION("""COMPUTED_VALUE"""),48.7396871236586)</f>
        <v>48.73968712</v>
      </c>
      <c r="P617" s="20">
        <f>IFERROR(__xludf.DUMMYFUNCTION("""COMPUTED_VALUE"""),81348.0)</f>
        <v>81348</v>
      </c>
      <c r="Q617" s="20">
        <f>IFERROR(__xludf.DUMMYFUNCTION("""COMPUTED_VALUE"""),166903.0)</f>
        <v>166903</v>
      </c>
    </row>
    <row r="618">
      <c r="A618" s="20">
        <f>IFERROR(__xludf.DUMMYFUNCTION("""COMPUTED_VALUE"""),617.0)</f>
        <v>617</v>
      </c>
      <c r="B618" s="20" t="str">
        <f>IFERROR(__xludf.DUMMYFUNCTION("""COMPUTED_VALUE"""),"Merge Two Binary Trees")</f>
        <v>Merge Two Binary Trees</v>
      </c>
      <c r="C618" s="20" t="str">
        <f>IFERROR(__xludf.DUMMYFUNCTION("""COMPUTED_VALUE"""),"merge-two-binary-trees")</f>
        <v>merge-two-binary-trees</v>
      </c>
      <c r="D618" s="20" t="b">
        <f>IFERROR(__xludf.DUMMYFUNCTION("""COMPUTED_VALUE"""),FALSE)</f>
        <v>0</v>
      </c>
      <c r="E618" s="20" t="str">
        <f>IFERROR(__xludf.DUMMYFUNCTION("""COMPUTED_VALUE"""),"Easy")</f>
        <v>Easy</v>
      </c>
      <c r="F618" s="20">
        <f>IFERROR(__xludf.DUMMYFUNCTION("""COMPUTED_VALUE"""),7689.0)</f>
        <v>7689</v>
      </c>
      <c r="G618" s="20">
        <f>IFERROR(__xludf.DUMMYFUNCTION("""COMPUTED_VALUE"""),269.0)</f>
        <v>269</v>
      </c>
      <c r="H618" s="20" t="str">
        <f>IFERROR(__xludf.DUMMYFUNCTION("""COMPUTED_VALUE"""),"Algorithms")</f>
        <v>Algorithms</v>
      </c>
      <c r="I618" s="20">
        <f>IFERROR(__xludf.DUMMYFUNCTION("""COMPUTED_VALUE"""),0.786)</f>
        <v>0.786</v>
      </c>
      <c r="J618" s="20">
        <f>IFERROR(__xludf.DUMMYFUNCTION("""COMPUTED_VALUE"""),617.0)</f>
        <v>617</v>
      </c>
      <c r="K618" s="20" t="b">
        <f>IFERROR(__xludf.DUMMYFUNCTION("""COMPUTED_VALUE"""),FALSE)</f>
        <v>0</v>
      </c>
      <c r="L618" s="20" t="str">
        <f>IFERROR(__xludf.DUMMYFUNCTION("""COMPUTED_VALUE"""),"Tree;Depth-First Search;Breadth-First Search;Binary Tree;")</f>
        <v>Tree;Depth-First Search;Breadth-First Search;Binary Tree;</v>
      </c>
      <c r="M618" s="20" t="b">
        <f>IFERROR(__xludf.DUMMYFUNCTION("""COMPUTED_VALUE"""),TRUE)</f>
        <v>1</v>
      </c>
      <c r="N618" s="20" t="b">
        <f>IFERROR(__xludf.DUMMYFUNCTION("""COMPUTED_VALUE"""),FALSE)</f>
        <v>0</v>
      </c>
      <c r="O618" s="20">
        <f>IFERROR(__xludf.DUMMYFUNCTION("""COMPUTED_VALUE"""),78.5779507648785)</f>
        <v>78.57795076</v>
      </c>
      <c r="P618" s="20">
        <f>IFERROR(__xludf.DUMMYFUNCTION("""COMPUTED_VALUE"""),648849.0)</f>
        <v>648849</v>
      </c>
      <c r="Q618" s="20">
        <f>IFERROR(__xludf.DUMMYFUNCTION("""COMPUTED_VALUE"""),825742.0)</f>
        <v>825742</v>
      </c>
    </row>
    <row r="619">
      <c r="A619" s="20">
        <f>IFERROR(__xludf.DUMMYFUNCTION("""COMPUTED_VALUE"""),618.0)</f>
        <v>618</v>
      </c>
      <c r="B619" s="20" t="str">
        <f>IFERROR(__xludf.DUMMYFUNCTION("""COMPUTED_VALUE"""),"Students Report By Geography")</f>
        <v>Students Report By Geography</v>
      </c>
      <c r="C619" s="20" t="str">
        <f>IFERROR(__xludf.DUMMYFUNCTION("""COMPUTED_VALUE"""),"students-report-by-geography")</f>
        <v>students-report-by-geography</v>
      </c>
      <c r="D619" s="20" t="b">
        <f>IFERROR(__xludf.DUMMYFUNCTION("""COMPUTED_VALUE"""),TRUE)</f>
        <v>1</v>
      </c>
      <c r="E619" s="20" t="str">
        <f>IFERROR(__xludf.DUMMYFUNCTION("""COMPUTED_VALUE"""),"Hard")</f>
        <v>Hard</v>
      </c>
      <c r="F619" s="20">
        <f>IFERROR(__xludf.DUMMYFUNCTION("""COMPUTED_VALUE"""),148.0)</f>
        <v>148</v>
      </c>
      <c r="G619" s="20">
        <f>IFERROR(__xludf.DUMMYFUNCTION("""COMPUTED_VALUE"""),153.0)</f>
        <v>153</v>
      </c>
      <c r="H619" s="20" t="str">
        <f>IFERROR(__xludf.DUMMYFUNCTION("""COMPUTED_VALUE"""),"Database")</f>
        <v>Database</v>
      </c>
      <c r="I619" s="20">
        <f>IFERROR(__xludf.DUMMYFUNCTION("""COMPUTED_VALUE"""),0.642)</f>
        <v>0.642</v>
      </c>
      <c r="J619" s="20">
        <f>IFERROR(__xludf.DUMMYFUNCTION("""COMPUTED_VALUE"""),618.0)</f>
        <v>618</v>
      </c>
      <c r="K619" s="20" t="b">
        <f>IFERROR(__xludf.DUMMYFUNCTION("""COMPUTED_VALUE"""),TRUE)</f>
        <v>1</v>
      </c>
      <c r="L619" s="20" t="str">
        <f>IFERROR(__xludf.DUMMYFUNCTION("""COMPUTED_VALUE"""),"Database;")</f>
        <v>Database;</v>
      </c>
      <c r="M619" s="20" t="b">
        <f>IFERROR(__xludf.DUMMYFUNCTION("""COMPUTED_VALUE"""),TRUE)</f>
        <v>1</v>
      </c>
      <c r="N619" s="20" t="b">
        <f>IFERROR(__xludf.DUMMYFUNCTION("""COMPUTED_VALUE"""),FALSE)</f>
        <v>0</v>
      </c>
      <c r="O619" s="20">
        <f>IFERROR(__xludf.DUMMYFUNCTION("""COMPUTED_VALUE"""),64.2288982382329)</f>
        <v>64.22889824</v>
      </c>
      <c r="P619" s="20">
        <f>IFERROR(__xludf.DUMMYFUNCTION("""COMPUTED_VALUE"""),19541.0)</f>
        <v>19541</v>
      </c>
      <c r="Q619" s="20">
        <f>IFERROR(__xludf.DUMMYFUNCTION("""COMPUTED_VALUE"""),30424.0)</f>
        <v>30424</v>
      </c>
    </row>
    <row r="620">
      <c r="A620" s="20">
        <f>IFERROR(__xludf.DUMMYFUNCTION("""COMPUTED_VALUE"""),619.0)</f>
        <v>619</v>
      </c>
      <c r="B620" s="20" t="str">
        <f>IFERROR(__xludf.DUMMYFUNCTION("""COMPUTED_VALUE"""),"Biggest Single Number")</f>
        <v>Biggest Single Number</v>
      </c>
      <c r="C620" s="20" t="str">
        <f>IFERROR(__xludf.DUMMYFUNCTION("""COMPUTED_VALUE"""),"biggest-single-number")</f>
        <v>biggest-single-number</v>
      </c>
      <c r="D620" s="20" t="b">
        <f>IFERROR(__xludf.DUMMYFUNCTION("""COMPUTED_VALUE"""),TRUE)</f>
        <v>1</v>
      </c>
      <c r="E620" s="20" t="str">
        <f>IFERROR(__xludf.DUMMYFUNCTION("""COMPUTED_VALUE"""),"Easy")</f>
        <v>Easy</v>
      </c>
      <c r="F620" s="20">
        <f>IFERROR(__xludf.DUMMYFUNCTION("""COMPUTED_VALUE"""),148.0)</f>
        <v>148</v>
      </c>
      <c r="G620" s="20">
        <f>IFERROR(__xludf.DUMMYFUNCTION("""COMPUTED_VALUE"""),122.0)</f>
        <v>122</v>
      </c>
      <c r="H620" s="20" t="str">
        <f>IFERROR(__xludf.DUMMYFUNCTION("""COMPUTED_VALUE"""),"Database")</f>
        <v>Database</v>
      </c>
      <c r="I620" s="20">
        <f>IFERROR(__xludf.DUMMYFUNCTION("""COMPUTED_VALUE"""),0.492)</f>
        <v>0.492</v>
      </c>
      <c r="J620" s="20">
        <f>IFERROR(__xludf.DUMMYFUNCTION("""COMPUTED_VALUE"""),619.0)</f>
        <v>619</v>
      </c>
      <c r="K620" s="20" t="b">
        <f>IFERROR(__xludf.DUMMYFUNCTION("""COMPUTED_VALUE"""),TRUE)</f>
        <v>1</v>
      </c>
      <c r="L620" s="20" t="str">
        <f>IFERROR(__xludf.DUMMYFUNCTION("""COMPUTED_VALUE"""),"Database;")</f>
        <v>Database;</v>
      </c>
      <c r="M620" s="20" t="b">
        <f>IFERROR(__xludf.DUMMYFUNCTION("""COMPUTED_VALUE"""),TRUE)</f>
        <v>1</v>
      </c>
      <c r="N620" s="20" t="b">
        <f>IFERROR(__xludf.DUMMYFUNCTION("""COMPUTED_VALUE"""),FALSE)</f>
        <v>0</v>
      </c>
      <c r="O620" s="20">
        <f>IFERROR(__xludf.DUMMYFUNCTION("""COMPUTED_VALUE"""),49.1748259025748)</f>
        <v>49.1748259</v>
      </c>
      <c r="P620" s="20">
        <f>IFERROR(__xludf.DUMMYFUNCTION("""COMPUTED_VALUE"""),56702.0)</f>
        <v>56702</v>
      </c>
      <c r="Q620" s="20">
        <f>IFERROR(__xludf.DUMMYFUNCTION("""COMPUTED_VALUE"""),115308.0)</f>
        <v>115308</v>
      </c>
    </row>
    <row r="621">
      <c r="A621" s="20">
        <f>IFERROR(__xludf.DUMMYFUNCTION("""COMPUTED_VALUE"""),620.0)</f>
        <v>620</v>
      </c>
      <c r="B621" s="20" t="str">
        <f>IFERROR(__xludf.DUMMYFUNCTION("""COMPUTED_VALUE"""),"Not Boring Movies")</f>
        <v>Not Boring Movies</v>
      </c>
      <c r="C621" s="20" t="str">
        <f>IFERROR(__xludf.DUMMYFUNCTION("""COMPUTED_VALUE"""),"not-boring-movies")</f>
        <v>not-boring-movies</v>
      </c>
      <c r="D621" s="20" t="b">
        <f>IFERROR(__xludf.DUMMYFUNCTION("""COMPUTED_VALUE"""),FALSE)</f>
        <v>0</v>
      </c>
      <c r="E621" s="20" t="str">
        <f>IFERROR(__xludf.DUMMYFUNCTION("""COMPUTED_VALUE"""),"Easy")</f>
        <v>Easy</v>
      </c>
      <c r="F621" s="20">
        <f>IFERROR(__xludf.DUMMYFUNCTION("""COMPUTED_VALUE"""),612.0)</f>
        <v>612</v>
      </c>
      <c r="G621" s="20">
        <f>IFERROR(__xludf.DUMMYFUNCTION("""COMPUTED_VALUE"""),443.0)</f>
        <v>443</v>
      </c>
      <c r="H621" s="20" t="str">
        <f>IFERROR(__xludf.DUMMYFUNCTION("""COMPUTED_VALUE"""),"Database")</f>
        <v>Database</v>
      </c>
      <c r="I621" s="20">
        <f>IFERROR(__xludf.DUMMYFUNCTION("""COMPUTED_VALUE"""),0.729)</f>
        <v>0.729</v>
      </c>
      <c r="J621" s="20">
        <f>IFERROR(__xludf.DUMMYFUNCTION("""COMPUTED_VALUE"""),620.0)</f>
        <v>620</v>
      </c>
      <c r="K621" s="20" t="b">
        <f>IFERROR(__xludf.DUMMYFUNCTION("""COMPUTED_VALUE"""),FALSE)</f>
        <v>0</v>
      </c>
      <c r="L621" s="20" t="str">
        <f>IFERROR(__xludf.DUMMYFUNCTION("""COMPUTED_VALUE"""),"Database;")</f>
        <v>Database;</v>
      </c>
      <c r="M621" s="20" t="b">
        <f>IFERROR(__xludf.DUMMYFUNCTION("""COMPUTED_VALUE"""),TRUE)</f>
        <v>1</v>
      </c>
      <c r="N621" s="20" t="b">
        <f>IFERROR(__xludf.DUMMYFUNCTION("""COMPUTED_VALUE"""),FALSE)</f>
        <v>0</v>
      </c>
      <c r="O621" s="20">
        <f>IFERROR(__xludf.DUMMYFUNCTION("""COMPUTED_VALUE"""),72.8559387748221)</f>
        <v>72.85593877</v>
      </c>
      <c r="P621" s="20">
        <f>IFERROR(__xludf.DUMMYFUNCTION("""COMPUTED_VALUE"""),216097.0)</f>
        <v>216097</v>
      </c>
      <c r="Q621" s="20">
        <f>IFERROR(__xludf.DUMMYFUNCTION("""COMPUTED_VALUE"""),296608.0)</f>
        <v>296608</v>
      </c>
    </row>
    <row r="622">
      <c r="A622" s="20">
        <f>IFERROR(__xludf.DUMMYFUNCTION("""COMPUTED_VALUE"""),621.0)</f>
        <v>621</v>
      </c>
      <c r="B622" s="20" t="str">
        <f>IFERROR(__xludf.DUMMYFUNCTION("""COMPUTED_VALUE"""),"Task Scheduler")</f>
        <v>Task Scheduler</v>
      </c>
      <c r="C622" s="20" t="str">
        <f>IFERROR(__xludf.DUMMYFUNCTION("""COMPUTED_VALUE"""),"task-scheduler")</f>
        <v>task-scheduler</v>
      </c>
      <c r="D622" s="20" t="b">
        <f>IFERROR(__xludf.DUMMYFUNCTION("""COMPUTED_VALUE"""),FALSE)</f>
        <v>0</v>
      </c>
      <c r="E622" s="20" t="str">
        <f>IFERROR(__xludf.DUMMYFUNCTION("""COMPUTED_VALUE"""),"Medium")</f>
        <v>Medium</v>
      </c>
      <c r="F622" s="20">
        <f>IFERROR(__xludf.DUMMYFUNCTION("""COMPUTED_VALUE"""),7790.0)</f>
        <v>7790</v>
      </c>
      <c r="G622" s="20">
        <f>IFERROR(__xludf.DUMMYFUNCTION("""COMPUTED_VALUE"""),1536.0)</f>
        <v>1536</v>
      </c>
      <c r="H622" s="20" t="str">
        <f>IFERROR(__xludf.DUMMYFUNCTION("""COMPUTED_VALUE"""),"Algorithms")</f>
        <v>Algorithms</v>
      </c>
      <c r="I622" s="20">
        <f>IFERROR(__xludf.DUMMYFUNCTION("""COMPUTED_VALUE"""),0.559)</f>
        <v>0.559</v>
      </c>
      <c r="J622" s="20">
        <f>IFERROR(__xludf.DUMMYFUNCTION("""COMPUTED_VALUE"""),621.0)</f>
        <v>621</v>
      </c>
      <c r="K622" s="20" t="b">
        <f>IFERROR(__xludf.DUMMYFUNCTION("""COMPUTED_VALUE"""),FALSE)</f>
        <v>0</v>
      </c>
      <c r="L622" s="20" t="str">
        <f>IFERROR(__xludf.DUMMYFUNCTION("""COMPUTED_VALUE"""),"Array;Hash Table;Greedy;Sorting;Heap (Priority Queue);Counting;")</f>
        <v>Array;Hash Table;Greedy;Sorting;Heap (Priority Queue);Counting;</v>
      </c>
      <c r="M622" s="20" t="b">
        <f>IFERROR(__xludf.DUMMYFUNCTION("""COMPUTED_VALUE"""),TRUE)</f>
        <v>1</v>
      </c>
      <c r="N622" s="20" t="b">
        <f>IFERROR(__xludf.DUMMYFUNCTION("""COMPUTED_VALUE"""),FALSE)</f>
        <v>0</v>
      </c>
      <c r="O622" s="20">
        <f>IFERROR(__xludf.DUMMYFUNCTION("""COMPUTED_VALUE"""),55.9487086096858)</f>
        <v>55.94870861</v>
      </c>
      <c r="P622" s="20">
        <f>IFERROR(__xludf.DUMMYFUNCTION("""COMPUTED_VALUE"""),402460.0)</f>
        <v>402460</v>
      </c>
      <c r="Q622" s="20">
        <f>IFERROR(__xludf.DUMMYFUNCTION("""COMPUTED_VALUE"""),719338.0)</f>
        <v>719338</v>
      </c>
    </row>
    <row r="623">
      <c r="A623" s="20">
        <f>IFERROR(__xludf.DUMMYFUNCTION("""COMPUTED_VALUE"""),860.0)</f>
        <v>860</v>
      </c>
      <c r="B623" s="20" t="str">
        <f>IFERROR(__xludf.DUMMYFUNCTION("""COMPUTED_VALUE"""),"Design Circular Queue")</f>
        <v>Design Circular Queue</v>
      </c>
      <c r="C623" s="20" t="str">
        <f>IFERROR(__xludf.DUMMYFUNCTION("""COMPUTED_VALUE"""),"design-circular-queue")</f>
        <v>design-circular-queue</v>
      </c>
      <c r="D623" s="20" t="b">
        <f>IFERROR(__xludf.DUMMYFUNCTION("""COMPUTED_VALUE"""),FALSE)</f>
        <v>0</v>
      </c>
      <c r="E623" s="20" t="str">
        <f>IFERROR(__xludf.DUMMYFUNCTION("""COMPUTED_VALUE"""),"Medium")</f>
        <v>Medium</v>
      </c>
      <c r="F623" s="20">
        <f>IFERROR(__xludf.DUMMYFUNCTION("""COMPUTED_VALUE"""),2960.0)</f>
        <v>2960</v>
      </c>
      <c r="G623" s="20">
        <f>IFERROR(__xludf.DUMMYFUNCTION("""COMPUTED_VALUE"""),241.0)</f>
        <v>241</v>
      </c>
      <c r="H623" s="20" t="str">
        <f>IFERROR(__xludf.DUMMYFUNCTION("""COMPUTED_VALUE"""),"Algorithms")</f>
        <v>Algorithms</v>
      </c>
      <c r="I623" s="20">
        <f>IFERROR(__xludf.DUMMYFUNCTION("""COMPUTED_VALUE"""),0.517)</f>
        <v>0.517</v>
      </c>
      <c r="J623" s="20">
        <f>IFERROR(__xludf.DUMMYFUNCTION("""COMPUTED_VALUE"""),622.0)</f>
        <v>622</v>
      </c>
      <c r="K623" s="20" t="b">
        <f>IFERROR(__xludf.DUMMYFUNCTION("""COMPUTED_VALUE"""),FALSE)</f>
        <v>0</v>
      </c>
      <c r="L623" s="20" t="str">
        <f>IFERROR(__xludf.DUMMYFUNCTION("""COMPUTED_VALUE"""),"Array;Linked List;Design;Queue;")</f>
        <v>Array;Linked List;Design;Queue;</v>
      </c>
      <c r="M623" s="20" t="b">
        <f>IFERROR(__xludf.DUMMYFUNCTION("""COMPUTED_VALUE"""),TRUE)</f>
        <v>1</v>
      </c>
      <c r="N623" s="20" t="b">
        <f>IFERROR(__xludf.DUMMYFUNCTION("""COMPUTED_VALUE"""),FALSE)</f>
        <v>0</v>
      </c>
      <c r="O623" s="20">
        <f>IFERROR(__xludf.DUMMYFUNCTION("""COMPUTED_VALUE"""),51.7326467559217)</f>
        <v>51.73264676</v>
      </c>
      <c r="P623" s="20">
        <f>IFERROR(__xludf.DUMMYFUNCTION("""COMPUTED_VALUE"""),251159.0)</f>
        <v>251159</v>
      </c>
      <c r="Q623" s="20">
        <f>IFERROR(__xludf.DUMMYFUNCTION("""COMPUTED_VALUE"""),485497.0)</f>
        <v>485497</v>
      </c>
    </row>
    <row r="624">
      <c r="A624" s="20">
        <f>IFERROR(__xludf.DUMMYFUNCTION("""COMPUTED_VALUE"""),623.0)</f>
        <v>623</v>
      </c>
      <c r="B624" s="20" t="str">
        <f>IFERROR(__xludf.DUMMYFUNCTION("""COMPUTED_VALUE"""),"Add One Row to Tree")</f>
        <v>Add One Row to Tree</v>
      </c>
      <c r="C624" s="20" t="str">
        <f>IFERROR(__xludf.DUMMYFUNCTION("""COMPUTED_VALUE"""),"add-one-row-to-tree")</f>
        <v>add-one-row-to-tree</v>
      </c>
      <c r="D624" s="20" t="b">
        <f>IFERROR(__xludf.DUMMYFUNCTION("""COMPUTED_VALUE"""),FALSE)</f>
        <v>0</v>
      </c>
      <c r="E624" s="20" t="str">
        <f>IFERROR(__xludf.DUMMYFUNCTION("""COMPUTED_VALUE"""),"Medium")</f>
        <v>Medium</v>
      </c>
      <c r="F624" s="20">
        <f>IFERROR(__xludf.DUMMYFUNCTION("""COMPUTED_VALUE"""),2645.0)</f>
        <v>2645</v>
      </c>
      <c r="G624" s="20">
        <f>IFERROR(__xludf.DUMMYFUNCTION("""COMPUTED_VALUE"""),223.0)</f>
        <v>223</v>
      </c>
      <c r="H624" s="20" t="str">
        <f>IFERROR(__xludf.DUMMYFUNCTION("""COMPUTED_VALUE"""),"Algorithms")</f>
        <v>Algorithms</v>
      </c>
      <c r="I624" s="20">
        <f>IFERROR(__xludf.DUMMYFUNCTION("""COMPUTED_VALUE"""),0.595)</f>
        <v>0.595</v>
      </c>
      <c r="J624" s="20">
        <f>IFERROR(__xludf.DUMMYFUNCTION("""COMPUTED_VALUE"""),623.0)</f>
        <v>623</v>
      </c>
      <c r="K624" s="20" t="b">
        <f>IFERROR(__xludf.DUMMYFUNCTION("""COMPUTED_VALUE"""),FALSE)</f>
        <v>0</v>
      </c>
      <c r="L624" s="20" t="str">
        <f>IFERROR(__xludf.DUMMYFUNCTION("""COMPUTED_VALUE"""),"Tree;Depth-First Search;Breadth-First Search;Binary Tree;")</f>
        <v>Tree;Depth-First Search;Breadth-First Search;Binary Tree;</v>
      </c>
      <c r="M624" s="20" t="b">
        <f>IFERROR(__xludf.DUMMYFUNCTION("""COMPUTED_VALUE"""),TRUE)</f>
        <v>1</v>
      </c>
      <c r="N624" s="20" t="b">
        <f>IFERROR(__xludf.DUMMYFUNCTION("""COMPUTED_VALUE"""),FALSE)</f>
        <v>0</v>
      </c>
      <c r="O624" s="20">
        <f>IFERROR(__xludf.DUMMYFUNCTION("""COMPUTED_VALUE"""),59.4641824240103)</f>
        <v>59.46418242</v>
      </c>
      <c r="P624" s="20">
        <f>IFERROR(__xludf.DUMMYFUNCTION("""COMPUTED_VALUE"""),145979.0)</f>
        <v>145979</v>
      </c>
      <c r="Q624" s="20">
        <f>IFERROR(__xludf.DUMMYFUNCTION("""COMPUTED_VALUE"""),245492.0)</f>
        <v>245492</v>
      </c>
    </row>
    <row r="625">
      <c r="A625" s="20">
        <f>IFERROR(__xludf.DUMMYFUNCTION("""COMPUTED_VALUE"""),624.0)</f>
        <v>624</v>
      </c>
      <c r="B625" s="20" t="str">
        <f>IFERROR(__xludf.DUMMYFUNCTION("""COMPUTED_VALUE"""),"Maximum Distance in Arrays")</f>
        <v>Maximum Distance in Arrays</v>
      </c>
      <c r="C625" s="20" t="str">
        <f>IFERROR(__xludf.DUMMYFUNCTION("""COMPUTED_VALUE"""),"maximum-distance-in-arrays")</f>
        <v>maximum-distance-in-arrays</v>
      </c>
      <c r="D625" s="20" t="b">
        <f>IFERROR(__xludf.DUMMYFUNCTION("""COMPUTED_VALUE"""),TRUE)</f>
        <v>1</v>
      </c>
      <c r="E625" s="20" t="str">
        <f>IFERROR(__xludf.DUMMYFUNCTION("""COMPUTED_VALUE"""),"Medium")</f>
        <v>Medium</v>
      </c>
      <c r="F625" s="20">
        <f>IFERROR(__xludf.DUMMYFUNCTION("""COMPUTED_VALUE"""),614.0)</f>
        <v>614</v>
      </c>
      <c r="G625" s="20">
        <f>IFERROR(__xludf.DUMMYFUNCTION("""COMPUTED_VALUE"""),62.0)</f>
        <v>62</v>
      </c>
      <c r="H625" s="20" t="str">
        <f>IFERROR(__xludf.DUMMYFUNCTION("""COMPUTED_VALUE"""),"Algorithms")</f>
        <v>Algorithms</v>
      </c>
      <c r="I625" s="20">
        <f>IFERROR(__xludf.DUMMYFUNCTION("""COMPUTED_VALUE"""),0.417)</f>
        <v>0.417</v>
      </c>
      <c r="J625" s="20">
        <f>IFERROR(__xludf.DUMMYFUNCTION("""COMPUTED_VALUE"""),624.0)</f>
        <v>624</v>
      </c>
      <c r="K625" s="20" t="b">
        <f>IFERROR(__xludf.DUMMYFUNCTION("""COMPUTED_VALUE"""),TRUE)</f>
        <v>1</v>
      </c>
      <c r="L625" s="20" t="str">
        <f>IFERROR(__xludf.DUMMYFUNCTION("""COMPUTED_VALUE"""),"Array;Greedy;")</f>
        <v>Array;Greedy;</v>
      </c>
      <c r="M625" s="20" t="b">
        <f>IFERROR(__xludf.DUMMYFUNCTION("""COMPUTED_VALUE"""),TRUE)</f>
        <v>1</v>
      </c>
      <c r="N625" s="20" t="b">
        <f>IFERROR(__xludf.DUMMYFUNCTION("""COMPUTED_VALUE"""),FALSE)</f>
        <v>0</v>
      </c>
      <c r="O625" s="20">
        <f>IFERROR(__xludf.DUMMYFUNCTION("""COMPUTED_VALUE"""),41.7434702664428)</f>
        <v>41.74347027</v>
      </c>
      <c r="P625" s="20">
        <f>IFERROR(__xludf.DUMMYFUNCTION("""COMPUTED_VALUE"""),36551.0)</f>
        <v>36551</v>
      </c>
      <c r="Q625" s="20">
        <f>IFERROR(__xludf.DUMMYFUNCTION("""COMPUTED_VALUE"""),87561.0)</f>
        <v>87561</v>
      </c>
    </row>
    <row r="626">
      <c r="A626" s="20">
        <f>IFERROR(__xludf.DUMMYFUNCTION("""COMPUTED_VALUE"""),625.0)</f>
        <v>625</v>
      </c>
      <c r="B626" s="20" t="str">
        <f>IFERROR(__xludf.DUMMYFUNCTION("""COMPUTED_VALUE"""),"Minimum Factorization")</f>
        <v>Minimum Factorization</v>
      </c>
      <c r="C626" s="20" t="str">
        <f>IFERROR(__xludf.DUMMYFUNCTION("""COMPUTED_VALUE"""),"minimum-factorization")</f>
        <v>minimum-factorization</v>
      </c>
      <c r="D626" s="20" t="b">
        <f>IFERROR(__xludf.DUMMYFUNCTION("""COMPUTED_VALUE"""),TRUE)</f>
        <v>1</v>
      </c>
      <c r="E626" s="20" t="str">
        <f>IFERROR(__xludf.DUMMYFUNCTION("""COMPUTED_VALUE"""),"Medium")</f>
        <v>Medium</v>
      </c>
      <c r="F626" s="20">
        <f>IFERROR(__xludf.DUMMYFUNCTION("""COMPUTED_VALUE"""),122.0)</f>
        <v>122</v>
      </c>
      <c r="G626" s="20">
        <f>IFERROR(__xludf.DUMMYFUNCTION("""COMPUTED_VALUE"""),106.0)</f>
        <v>106</v>
      </c>
      <c r="H626" s="20" t="str">
        <f>IFERROR(__xludf.DUMMYFUNCTION("""COMPUTED_VALUE"""),"Algorithms")</f>
        <v>Algorithms</v>
      </c>
      <c r="I626" s="20">
        <f>IFERROR(__xludf.DUMMYFUNCTION("""COMPUTED_VALUE"""),0.335)</f>
        <v>0.335</v>
      </c>
      <c r="J626" s="20">
        <f>IFERROR(__xludf.DUMMYFUNCTION("""COMPUTED_VALUE"""),625.0)</f>
        <v>625</v>
      </c>
      <c r="K626" s="20" t="b">
        <f>IFERROR(__xludf.DUMMYFUNCTION("""COMPUTED_VALUE"""),TRUE)</f>
        <v>1</v>
      </c>
      <c r="L626" s="20" t="str">
        <f>IFERROR(__xludf.DUMMYFUNCTION("""COMPUTED_VALUE"""),"Math;Greedy;")</f>
        <v>Math;Greedy;</v>
      </c>
      <c r="M626" s="20" t="b">
        <f>IFERROR(__xludf.DUMMYFUNCTION("""COMPUTED_VALUE"""),TRUE)</f>
        <v>1</v>
      </c>
      <c r="N626" s="20" t="b">
        <f>IFERROR(__xludf.DUMMYFUNCTION("""COMPUTED_VALUE"""),FALSE)</f>
        <v>0</v>
      </c>
      <c r="O626" s="20">
        <f>IFERROR(__xludf.DUMMYFUNCTION("""COMPUTED_VALUE"""),33.4924727075973)</f>
        <v>33.49247271</v>
      </c>
      <c r="P626" s="20">
        <f>IFERROR(__xludf.DUMMYFUNCTION("""COMPUTED_VALUE"""),10523.0)</f>
        <v>10523</v>
      </c>
      <c r="Q626" s="20">
        <f>IFERROR(__xludf.DUMMYFUNCTION("""COMPUTED_VALUE"""),31419.0)</f>
        <v>31419</v>
      </c>
    </row>
    <row r="627">
      <c r="A627" s="20">
        <f>IFERROR(__xludf.DUMMYFUNCTION("""COMPUTED_VALUE"""),626.0)</f>
        <v>626</v>
      </c>
      <c r="B627" s="20" t="str">
        <f>IFERROR(__xludf.DUMMYFUNCTION("""COMPUTED_VALUE"""),"Exchange Seats")</f>
        <v>Exchange Seats</v>
      </c>
      <c r="C627" s="20" t="str">
        <f>IFERROR(__xludf.DUMMYFUNCTION("""COMPUTED_VALUE"""),"exchange-seats")</f>
        <v>exchange-seats</v>
      </c>
      <c r="D627" s="20" t="b">
        <f>IFERROR(__xludf.DUMMYFUNCTION("""COMPUTED_VALUE"""),FALSE)</f>
        <v>0</v>
      </c>
      <c r="E627" s="20" t="str">
        <f>IFERROR(__xludf.DUMMYFUNCTION("""COMPUTED_VALUE"""),"Medium")</f>
        <v>Medium</v>
      </c>
      <c r="F627" s="20">
        <f>IFERROR(__xludf.DUMMYFUNCTION("""COMPUTED_VALUE"""),883.0)</f>
        <v>883</v>
      </c>
      <c r="G627" s="20">
        <f>IFERROR(__xludf.DUMMYFUNCTION("""COMPUTED_VALUE"""),402.0)</f>
        <v>402</v>
      </c>
      <c r="H627" s="20" t="str">
        <f>IFERROR(__xludf.DUMMYFUNCTION("""COMPUTED_VALUE"""),"Database")</f>
        <v>Database</v>
      </c>
      <c r="I627" s="20">
        <f>IFERROR(__xludf.DUMMYFUNCTION("""COMPUTED_VALUE"""),0.704)</f>
        <v>0.704</v>
      </c>
      <c r="J627" s="20">
        <f>IFERROR(__xludf.DUMMYFUNCTION("""COMPUTED_VALUE"""),626.0)</f>
        <v>626</v>
      </c>
      <c r="K627" s="20" t="b">
        <f>IFERROR(__xludf.DUMMYFUNCTION("""COMPUTED_VALUE"""),FALSE)</f>
        <v>0</v>
      </c>
      <c r="L627" s="20" t="str">
        <f>IFERROR(__xludf.DUMMYFUNCTION("""COMPUTED_VALUE"""),"Database;")</f>
        <v>Database;</v>
      </c>
      <c r="M627" s="20" t="b">
        <f>IFERROR(__xludf.DUMMYFUNCTION("""COMPUTED_VALUE"""),TRUE)</f>
        <v>1</v>
      </c>
      <c r="N627" s="20" t="b">
        <f>IFERROR(__xludf.DUMMYFUNCTION("""COMPUTED_VALUE"""),FALSE)</f>
        <v>0</v>
      </c>
      <c r="O627" s="20">
        <f>IFERROR(__xludf.DUMMYFUNCTION("""COMPUTED_VALUE"""),70.4341308865445)</f>
        <v>70.43413089</v>
      </c>
      <c r="P627" s="20">
        <f>IFERROR(__xludf.DUMMYFUNCTION("""COMPUTED_VALUE"""),124049.0)</f>
        <v>124049</v>
      </c>
      <c r="Q627" s="20">
        <f>IFERROR(__xludf.DUMMYFUNCTION("""COMPUTED_VALUE"""),176121.0)</f>
        <v>176121</v>
      </c>
    </row>
    <row r="628">
      <c r="A628" s="20">
        <f>IFERROR(__xludf.DUMMYFUNCTION("""COMPUTED_VALUE"""),627.0)</f>
        <v>627</v>
      </c>
      <c r="B628" s="20" t="str">
        <f>IFERROR(__xludf.DUMMYFUNCTION("""COMPUTED_VALUE"""),"Swap Salary")</f>
        <v>Swap Salary</v>
      </c>
      <c r="C628" s="20" t="str">
        <f>IFERROR(__xludf.DUMMYFUNCTION("""COMPUTED_VALUE"""),"swap-salary")</f>
        <v>swap-salary</v>
      </c>
      <c r="D628" s="20" t="b">
        <f>IFERROR(__xludf.DUMMYFUNCTION("""COMPUTED_VALUE"""),FALSE)</f>
        <v>0</v>
      </c>
      <c r="E628" s="20" t="str">
        <f>IFERROR(__xludf.DUMMYFUNCTION("""COMPUTED_VALUE"""),"Easy")</f>
        <v>Easy</v>
      </c>
      <c r="F628" s="20">
        <f>IFERROR(__xludf.DUMMYFUNCTION("""COMPUTED_VALUE"""),1351.0)</f>
        <v>1351</v>
      </c>
      <c r="G628" s="20">
        <f>IFERROR(__xludf.DUMMYFUNCTION("""COMPUTED_VALUE"""),543.0)</f>
        <v>543</v>
      </c>
      <c r="H628" s="20" t="str">
        <f>IFERROR(__xludf.DUMMYFUNCTION("""COMPUTED_VALUE"""),"Database")</f>
        <v>Database</v>
      </c>
      <c r="I628" s="20">
        <f>IFERROR(__xludf.DUMMYFUNCTION("""COMPUTED_VALUE"""),0.832)</f>
        <v>0.832</v>
      </c>
      <c r="J628" s="20">
        <f>IFERROR(__xludf.DUMMYFUNCTION("""COMPUTED_VALUE"""),627.0)</f>
        <v>627</v>
      </c>
      <c r="K628" s="20" t="b">
        <f>IFERROR(__xludf.DUMMYFUNCTION("""COMPUTED_VALUE"""),FALSE)</f>
        <v>0</v>
      </c>
      <c r="L628" s="20" t="str">
        <f>IFERROR(__xludf.DUMMYFUNCTION("""COMPUTED_VALUE"""),"Database;")</f>
        <v>Database;</v>
      </c>
      <c r="M628" s="20" t="b">
        <f>IFERROR(__xludf.DUMMYFUNCTION("""COMPUTED_VALUE"""),TRUE)</f>
        <v>1</v>
      </c>
      <c r="N628" s="20" t="b">
        <f>IFERROR(__xludf.DUMMYFUNCTION("""COMPUTED_VALUE"""),FALSE)</f>
        <v>0</v>
      </c>
      <c r="O628" s="20">
        <f>IFERROR(__xludf.DUMMYFUNCTION("""COMPUTED_VALUE"""),83.1535662648565)</f>
        <v>83.15356626</v>
      </c>
      <c r="P628" s="20">
        <f>IFERROR(__xludf.DUMMYFUNCTION("""COMPUTED_VALUE"""),295021.0)</f>
        <v>295021</v>
      </c>
      <c r="Q628" s="20">
        <f>IFERROR(__xludf.DUMMYFUNCTION("""COMPUTED_VALUE"""),354793.0)</f>
        <v>354793</v>
      </c>
    </row>
    <row r="629">
      <c r="A629" s="20">
        <f>IFERROR(__xludf.DUMMYFUNCTION("""COMPUTED_VALUE"""),628.0)</f>
        <v>628</v>
      </c>
      <c r="B629" s="20" t="str">
        <f>IFERROR(__xludf.DUMMYFUNCTION("""COMPUTED_VALUE"""),"Maximum Product of Three Numbers")</f>
        <v>Maximum Product of Three Numbers</v>
      </c>
      <c r="C629" s="20" t="str">
        <f>IFERROR(__xludf.DUMMYFUNCTION("""COMPUTED_VALUE"""),"maximum-product-of-three-numbers")</f>
        <v>maximum-product-of-three-numbers</v>
      </c>
      <c r="D629" s="20" t="b">
        <f>IFERROR(__xludf.DUMMYFUNCTION("""COMPUTED_VALUE"""),FALSE)</f>
        <v>0</v>
      </c>
      <c r="E629" s="20" t="str">
        <f>IFERROR(__xludf.DUMMYFUNCTION("""COMPUTED_VALUE"""),"Easy")</f>
        <v>Easy</v>
      </c>
      <c r="F629" s="20">
        <f>IFERROR(__xludf.DUMMYFUNCTION("""COMPUTED_VALUE"""),3417.0)</f>
        <v>3417</v>
      </c>
      <c r="G629" s="20">
        <f>IFERROR(__xludf.DUMMYFUNCTION("""COMPUTED_VALUE"""),578.0)</f>
        <v>578</v>
      </c>
      <c r="H629" s="20" t="str">
        <f>IFERROR(__xludf.DUMMYFUNCTION("""COMPUTED_VALUE"""),"Algorithms")</f>
        <v>Algorithms</v>
      </c>
      <c r="I629" s="20">
        <f>IFERROR(__xludf.DUMMYFUNCTION("""COMPUTED_VALUE"""),0.463)</f>
        <v>0.463</v>
      </c>
      <c r="J629" s="20">
        <f>IFERROR(__xludf.DUMMYFUNCTION("""COMPUTED_VALUE"""),628.0)</f>
        <v>628</v>
      </c>
      <c r="K629" s="20" t="b">
        <f>IFERROR(__xludf.DUMMYFUNCTION("""COMPUTED_VALUE"""),FALSE)</f>
        <v>0</v>
      </c>
      <c r="L629" s="20" t="str">
        <f>IFERROR(__xludf.DUMMYFUNCTION("""COMPUTED_VALUE"""),"Array;Math;Sorting;")</f>
        <v>Array;Math;Sorting;</v>
      </c>
      <c r="M629" s="20" t="b">
        <f>IFERROR(__xludf.DUMMYFUNCTION("""COMPUTED_VALUE"""),TRUE)</f>
        <v>1</v>
      </c>
      <c r="N629" s="20" t="b">
        <f>IFERROR(__xludf.DUMMYFUNCTION("""COMPUTED_VALUE"""),FALSE)</f>
        <v>0</v>
      </c>
      <c r="O629" s="20">
        <f>IFERROR(__xludf.DUMMYFUNCTION("""COMPUTED_VALUE"""),46.2522179832014)</f>
        <v>46.25221798</v>
      </c>
      <c r="P629" s="20">
        <f>IFERROR(__xludf.DUMMYFUNCTION("""COMPUTED_VALUE"""),246590.0)</f>
        <v>246590</v>
      </c>
      <c r="Q629" s="20">
        <f>IFERROR(__xludf.DUMMYFUNCTION("""COMPUTED_VALUE"""),533139.0)</f>
        <v>533139</v>
      </c>
    </row>
    <row r="630">
      <c r="A630" s="20">
        <f>IFERROR(__xludf.DUMMYFUNCTION("""COMPUTED_VALUE"""),629.0)</f>
        <v>629</v>
      </c>
      <c r="B630" s="20" t="str">
        <f>IFERROR(__xludf.DUMMYFUNCTION("""COMPUTED_VALUE"""),"K Inverse Pairs Array")</f>
        <v>K Inverse Pairs Array</v>
      </c>
      <c r="C630" s="20" t="str">
        <f>IFERROR(__xludf.DUMMYFUNCTION("""COMPUTED_VALUE"""),"k-inverse-pairs-array")</f>
        <v>k-inverse-pairs-array</v>
      </c>
      <c r="D630" s="20" t="b">
        <f>IFERROR(__xludf.DUMMYFUNCTION("""COMPUTED_VALUE"""),FALSE)</f>
        <v>0</v>
      </c>
      <c r="E630" s="20" t="str">
        <f>IFERROR(__xludf.DUMMYFUNCTION("""COMPUTED_VALUE"""),"Hard")</f>
        <v>Hard</v>
      </c>
      <c r="F630" s="20">
        <f>IFERROR(__xludf.DUMMYFUNCTION("""COMPUTED_VALUE"""),1871.0)</f>
        <v>1871</v>
      </c>
      <c r="G630" s="20">
        <f>IFERROR(__xludf.DUMMYFUNCTION("""COMPUTED_VALUE"""),217.0)</f>
        <v>217</v>
      </c>
      <c r="H630" s="20" t="str">
        <f>IFERROR(__xludf.DUMMYFUNCTION("""COMPUTED_VALUE"""),"Algorithms")</f>
        <v>Algorithms</v>
      </c>
      <c r="I630" s="20">
        <f>IFERROR(__xludf.DUMMYFUNCTION("""COMPUTED_VALUE"""),0.428)</f>
        <v>0.428</v>
      </c>
      <c r="J630" s="20">
        <f>IFERROR(__xludf.DUMMYFUNCTION("""COMPUTED_VALUE"""),629.0)</f>
        <v>629</v>
      </c>
      <c r="K630" s="20" t="b">
        <f>IFERROR(__xludf.DUMMYFUNCTION("""COMPUTED_VALUE"""),FALSE)</f>
        <v>0</v>
      </c>
      <c r="L630" s="20" t="str">
        <f>IFERROR(__xludf.DUMMYFUNCTION("""COMPUTED_VALUE"""),"Dynamic Programming;")</f>
        <v>Dynamic Programming;</v>
      </c>
      <c r="M630" s="20" t="b">
        <f>IFERROR(__xludf.DUMMYFUNCTION("""COMPUTED_VALUE"""),TRUE)</f>
        <v>1</v>
      </c>
      <c r="N630" s="20" t="b">
        <f>IFERROR(__xludf.DUMMYFUNCTION("""COMPUTED_VALUE"""),FALSE)</f>
        <v>0</v>
      </c>
      <c r="O630" s="20">
        <f>IFERROR(__xludf.DUMMYFUNCTION("""COMPUTED_VALUE"""),42.8084840552118)</f>
        <v>42.80848406</v>
      </c>
      <c r="P630" s="20">
        <f>IFERROR(__xludf.DUMMYFUNCTION("""COMPUTED_VALUE"""),57561.0)</f>
        <v>57561</v>
      </c>
      <c r="Q630" s="20">
        <f>IFERROR(__xludf.DUMMYFUNCTION("""COMPUTED_VALUE"""),134462.0)</f>
        <v>134462</v>
      </c>
    </row>
    <row r="631">
      <c r="A631" s="20">
        <f>IFERROR(__xludf.DUMMYFUNCTION("""COMPUTED_VALUE"""),630.0)</f>
        <v>630</v>
      </c>
      <c r="B631" s="20" t="str">
        <f>IFERROR(__xludf.DUMMYFUNCTION("""COMPUTED_VALUE"""),"Course Schedule III")</f>
        <v>Course Schedule III</v>
      </c>
      <c r="C631" s="20" t="str">
        <f>IFERROR(__xludf.DUMMYFUNCTION("""COMPUTED_VALUE"""),"course-schedule-iii")</f>
        <v>course-schedule-iii</v>
      </c>
      <c r="D631" s="20" t="b">
        <f>IFERROR(__xludf.DUMMYFUNCTION("""COMPUTED_VALUE"""),FALSE)</f>
        <v>0</v>
      </c>
      <c r="E631" s="20" t="str">
        <f>IFERROR(__xludf.DUMMYFUNCTION("""COMPUTED_VALUE"""),"Hard")</f>
        <v>Hard</v>
      </c>
      <c r="F631" s="20">
        <f>IFERROR(__xludf.DUMMYFUNCTION("""COMPUTED_VALUE"""),3381.0)</f>
        <v>3381</v>
      </c>
      <c r="G631" s="20">
        <f>IFERROR(__xludf.DUMMYFUNCTION("""COMPUTED_VALUE"""),89.0)</f>
        <v>89</v>
      </c>
      <c r="H631" s="20" t="str">
        <f>IFERROR(__xludf.DUMMYFUNCTION("""COMPUTED_VALUE"""),"Algorithms")</f>
        <v>Algorithms</v>
      </c>
      <c r="I631" s="20">
        <f>IFERROR(__xludf.DUMMYFUNCTION("""COMPUTED_VALUE"""),0.402)</f>
        <v>0.402</v>
      </c>
      <c r="J631" s="20">
        <f>IFERROR(__xludf.DUMMYFUNCTION("""COMPUTED_VALUE"""),630.0)</f>
        <v>630</v>
      </c>
      <c r="K631" s="20" t="b">
        <f>IFERROR(__xludf.DUMMYFUNCTION("""COMPUTED_VALUE"""),FALSE)</f>
        <v>0</v>
      </c>
      <c r="L631" s="20" t="str">
        <f>IFERROR(__xludf.DUMMYFUNCTION("""COMPUTED_VALUE"""),"Array;Greedy;Heap (Priority Queue);")</f>
        <v>Array;Greedy;Heap (Priority Queue);</v>
      </c>
      <c r="M631" s="20" t="b">
        <f>IFERROR(__xludf.DUMMYFUNCTION("""COMPUTED_VALUE"""),TRUE)</f>
        <v>1</v>
      </c>
      <c r="N631" s="20" t="b">
        <f>IFERROR(__xludf.DUMMYFUNCTION("""COMPUTED_VALUE"""),FALSE)</f>
        <v>0</v>
      </c>
      <c r="O631" s="20">
        <f>IFERROR(__xludf.DUMMYFUNCTION("""COMPUTED_VALUE"""),40.1639873198196)</f>
        <v>40.16398732</v>
      </c>
      <c r="P631" s="20">
        <f>IFERROR(__xludf.DUMMYFUNCTION("""COMPUTED_VALUE"""),99585.0)</f>
        <v>99585</v>
      </c>
      <c r="Q631" s="20">
        <f>IFERROR(__xludf.DUMMYFUNCTION("""COMPUTED_VALUE"""),247944.0)</f>
        <v>247944</v>
      </c>
    </row>
    <row r="632">
      <c r="A632" s="20">
        <f>IFERROR(__xludf.DUMMYFUNCTION("""COMPUTED_VALUE"""),631.0)</f>
        <v>631</v>
      </c>
      <c r="B632" s="20" t="str">
        <f>IFERROR(__xludf.DUMMYFUNCTION("""COMPUTED_VALUE"""),"Design Excel Sum Formula")</f>
        <v>Design Excel Sum Formula</v>
      </c>
      <c r="C632" s="20" t="str">
        <f>IFERROR(__xludf.DUMMYFUNCTION("""COMPUTED_VALUE"""),"design-excel-sum-formula")</f>
        <v>design-excel-sum-formula</v>
      </c>
      <c r="D632" s="20" t="b">
        <f>IFERROR(__xludf.DUMMYFUNCTION("""COMPUTED_VALUE"""),TRUE)</f>
        <v>1</v>
      </c>
      <c r="E632" s="20" t="str">
        <f>IFERROR(__xludf.DUMMYFUNCTION("""COMPUTED_VALUE"""),"Hard")</f>
        <v>Hard</v>
      </c>
      <c r="F632" s="20">
        <f>IFERROR(__xludf.DUMMYFUNCTION("""COMPUTED_VALUE"""),204.0)</f>
        <v>204</v>
      </c>
      <c r="G632" s="20">
        <f>IFERROR(__xludf.DUMMYFUNCTION("""COMPUTED_VALUE"""),241.0)</f>
        <v>241</v>
      </c>
      <c r="H632" s="20" t="str">
        <f>IFERROR(__xludf.DUMMYFUNCTION("""COMPUTED_VALUE"""),"Algorithms")</f>
        <v>Algorithms</v>
      </c>
      <c r="I632" s="20">
        <f>IFERROR(__xludf.DUMMYFUNCTION("""COMPUTED_VALUE"""),0.434)</f>
        <v>0.434</v>
      </c>
      <c r="J632" s="20">
        <f>IFERROR(__xludf.DUMMYFUNCTION("""COMPUTED_VALUE"""),631.0)</f>
        <v>631</v>
      </c>
      <c r="K632" s="20" t="b">
        <f>IFERROR(__xludf.DUMMYFUNCTION("""COMPUTED_VALUE"""),TRUE)</f>
        <v>1</v>
      </c>
      <c r="L632" s="20" t="str">
        <f>IFERROR(__xludf.DUMMYFUNCTION("""COMPUTED_VALUE"""),"Graph;Design;Topological Sort;")</f>
        <v>Graph;Design;Topological Sort;</v>
      </c>
      <c r="M632" s="20" t="b">
        <f>IFERROR(__xludf.DUMMYFUNCTION("""COMPUTED_VALUE"""),TRUE)</f>
        <v>1</v>
      </c>
      <c r="N632" s="20" t="b">
        <f>IFERROR(__xludf.DUMMYFUNCTION("""COMPUTED_VALUE"""),FALSE)</f>
        <v>0</v>
      </c>
      <c r="O632" s="20">
        <f>IFERROR(__xludf.DUMMYFUNCTION("""COMPUTED_VALUE"""),43.4204872244074)</f>
        <v>43.42048722</v>
      </c>
      <c r="P632" s="20">
        <f>IFERROR(__xludf.DUMMYFUNCTION("""COMPUTED_VALUE"""),13136.0)</f>
        <v>13136</v>
      </c>
      <c r="Q632" s="20">
        <f>IFERROR(__xludf.DUMMYFUNCTION("""COMPUTED_VALUE"""),30253.0)</f>
        <v>30253</v>
      </c>
    </row>
    <row r="633">
      <c r="A633" s="20">
        <f>IFERROR(__xludf.DUMMYFUNCTION("""COMPUTED_VALUE"""),632.0)</f>
        <v>632</v>
      </c>
      <c r="B633" s="20" t="str">
        <f>IFERROR(__xludf.DUMMYFUNCTION("""COMPUTED_VALUE"""),"Smallest Range Covering Elements from K Lists")</f>
        <v>Smallest Range Covering Elements from K Lists</v>
      </c>
      <c r="C633" s="20" t="str">
        <f>IFERROR(__xludf.DUMMYFUNCTION("""COMPUTED_VALUE"""),"smallest-range-covering-elements-from-k-lists")</f>
        <v>smallest-range-covering-elements-from-k-lists</v>
      </c>
      <c r="D633" s="20" t="b">
        <f>IFERROR(__xludf.DUMMYFUNCTION("""COMPUTED_VALUE"""),FALSE)</f>
        <v>0</v>
      </c>
      <c r="E633" s="20" t="str">
        <f>IFERROR(__xludf.DUMMYFUNCTION("""COMPUTED_VALUE"""),"Hard")</f>
        <v>Hard</v>
      </c>
      <c r="F633" s="20">
        <f>IFERROR(__xludf.DUMMYFUNCTION("""COMPUTED_VALUE"""),2768.0)</f>
        <v>2768</v>
      </c>
      <c r="G633" s="20">
        <f>IFERROR(__xludf.DUMMYFUNCTION("""COMPUTED_VALUE"""),47.0)</f>
        <v>47</v>
      </c>
      <c r="H633" s="20" t="str">
        <f>IFERROR(__xludf.DUMMYFUNCTION("""COMPUTED_VALUE"""),"Algorithms")</f>
        <v>Algorithms</v>
      </c>
      <c r="I633" s="20">
        <f>IFERROR(__xludf.DUMMYFUNCTION("""COMPUTED_VALUE"""),0.607)</f>
        <v>0.607</v>
      </c>
      <c r="J633" s="20">
        <f>IFERROR(__xludf.DUMMYFUNCTION("""COMPUTED_VALUE"""),632.0)</f>
        <v>632</v>
      </c>
      <c r="K633" s="20" t="b">
        <f>IFERROR(__xludf.DUMMYFUNCTION("""COMPUTED_VALUE"""),FALSE)</f>
        <v>0</v>
      </c>
      <c r="L633" s="20" t="str">
        <f>IFERROR(__xludf.DUMMYFUNCTION("""COMPUTED_VALUE"""),"Array;Hash Table;Greedy;Sliding Window;Sorting;Heap (Priority Queue);")</f>
        <v>Array;Hash Table;Greedy;Sliding Window;Sorting;Heap (Priority Queue);</v>
      </c>
      <c r="M633" s="20" t="b">
        <f>IFERROR(__xludf.DUMMYFUNCTION("""COMPUTED_VALUE"""),TRUE)</f>
        <v>1</v>
      </c>
      <c r="N633" s="20" t="b">
        <f>IFERROR(__xludf.DUMMYFUNCTION("""COMPUTED_VALUE"""),FALSE)</f>
        <v>0</v>
      </c>
      <c r="O633" s="20">
        <f>IFERROR(__xludf.DUMMYFUNCTION("""COMPUTED_VALUE"""),60.6816342889119)</f>
        <v>60.68163429</v>
      </c>
      <c r="P633" s="20">
        <f>IFERROR(__xludf.DUMMYFUNCTION("""COMPUTED_VALUE"""),80246.0)</f>
        <v>80246</v>
      </c>
      <c r="Q633" s="20">
        <f>IFERROR(__xludf.DUMMYFUNCTION("""COMPUTED_VALUE"""),132241.0)</f>
        <v>132241</v>
      </c>
    </row>
    <row r="634">
      <c r="A634" s="20">
        <f>IFERROR(__xludf.DUMMYFUNCTION("""COMPUTED_VALUE"""),633.0)</f>
        <v>633</v>
      </c>
      <c r="B634" s="20" t="str">
        <f>IFERROR(__xludf.DUMMYFUNCTION("""COMPUTED_VALUE"""),"Sum of Square Numbers")</f>
        <v>Sum of Square Numbers</v>
      </c>
      <c r="C634" s="20" t="str">
        <f>IFERROR(__xludf.DUMMYFUNCTION("""COMPUTED_VALUE"""),"sum-of-square-numbers")</f>
        <v>sum-of-square-numbers</v>
      </c>
      <c r="D634" s="20" t="b">
        <f>IFERROR(__xludf.DUMMYFUNCTION("""COMPUTED_VALUE"""),FALSE)</f>
        <v>0</v>
      </c>
      <c r="E634" s="20" t="str">
        <f>IFERROR(__xludf.DUMMYFUNCTION("""COMPUTED_VALUE"""),"Medium")</f>
        <v>Medium</v>
      </c>
      <c r="F634" s="20">
        <f>IFERROR(__xludf.DUMMYFUNCTION("""COMPUTED_VALUE"""),1906.0)</f>
        <v>1906</v>
      </c>
      <c r="G634" s="20">
        <f>IFERROR(__xludf.DUMMYFUNCTION("""COMPUTED_VALUE"""),504.0)</f>
        <v>504</v>
      </c>
      <c r="H634" s="20" t="str">
        <f>IFERROR(__xludf.DUMMYFUNCTION("""COMPUTED_VALUE"""),"Algorithms")</f>
        <v>Algorithms</v>
      </c>
      <c r="I634" s="20">
        <f>IFERROR(__xludf.DUMMYFUNCTION("""COMPUTED_VALUE"""),0.345)</f>
        <v>0.345</v>
      </c>
      <c r="J634" s="20">
        <f>IFERROR(__xludf.DUMMYFUNCTION("""COMPUTED_VALUE"""),633.0)</f>
        <v>633</v>
      </c>
      <c r="K634" s="20" t="b">
        <f>IFERROR(__xludf.DUMMYFUNCTION("""COMPUTED_VALUE"""),FALSE)</f>
        <v>0</v>
      </c>
      <c r="L634" s="20" t="str">
        <f>IFERROR(__xludf.DUMMYFUNCTION("""COMPUTED_VALUE"""),"Math;Two Pointers;Binary Search;")</f>
        <v>Math;Two Pointers;Binary Search;</v>
      </c>
      <c r="M634" s="20" t="b">
        <f>IFERROR(__xludf.DUMMYFUNCTION("""COMPUTED_VALUE"""),TRUE)</f>
        <v>1</v>
      </c>
      <c r="N634" s="20" t="b">
        <f>IFERROR(__xludf.DUMMYFUNCTION("""COMPUTED_VALUE"""),FALSE)</f>
        <v>0</v>
      </c>
      <c r="O634" s="20">
        <f>IFERROR(__xludf.DUMMYFUNCTION("""COMPUTED_VALUE"""),34.5349426700751)</f>
        <v>34.53494267</v>
      </c>
      <c r="P634" s="20">
        <f>IFERROR(__xludf.DUMMYFUNCTION("""COMPUTED_VALUE"""),160084.0)</f>
        <v>160084</v>
      </c>
      <c r="Q634" s="20">
        <f>IFERROR(__xludf.DUMMYFUNCTION("""COMPUTED_VALUE"""),463542.0)</f>
        <v>463542</v>
      </c>
    </row>
    <row r="635">
      <c r="A635" s="20">
        <f>IFERROR(__xludf.DUMMYFUNCTION("""COMPUTED_VALUE"""),634.0)</f>
        <v>634</v>
      </c>
      <c r="B635" s="20" t="str">
        <f>IFERROR(__xludf.DUMMYFUNCTION("""COMPUTED_VALUE"""),"Find the Derangement of An Array")</f>
        <v>Find the Derangement of An Array</v>
      </c>
      <c r="C635" s="20" t="str">
        <f>IFERROR(__xludf.DUMMYFUNCTION("""COMPUTED_VALUE"""),"find-the-derangement-of-an-array")</f>
        <v>find-the-derangement-of-an-array</v>
      </c>
      <c r="D635" s="20" t="b">
        <f>IFERROR(__xludf.DUMMYFUNCTION("""COMPUTED_VALUE"""),TRUE)</f>
        <v>1</v>
      </c>
      <c r="E635" s="20" t="str">
        <f>IFERROR(__xludf.DUMMYFUNCTION("""COMPUTED_VALUE"""),"Medium")</f>
        <v>Medium</v>
      </c>
      <c r="F635" s="20">
        <f>IFERROR(__xludf.DUMMYFUNCTION("""COMPUTED_VALUE"""),200.0)</f>
        <v>200</v>
      </c>
      <c r="G635" s="20">
        <f>IFERROR(__xludf.DUMMYFUNCTION("""COMPUTED_VALUE"""),157.0)</f>
        <v>157</v>
      </c>
      <c r="H635" s="20" t="str">
        <f>IFERROR(__xludf.DUMMYFUNCTION("""COMPUTED_VALUE"""),"Algorithms")</f>
        <v>Algorithms</v>
      </c>
      <c r="I635" s="20">
        <f>IFERROR(__xludf.DUMMYFUNCTION("""COMPUTED_VALUE"""),0.42)</f>
        <v>0.42</v>
      </c>
      <c r="J635" s="20">
        <f>IFERROR(__xludf.DUMMYFUNCTION("""COMPUTED_VALUE"""),634.0)</f>
        <v>634</v>
      </c>
      <c r="K635" s="20" t="b">
        <f>IFERROR(__xludf.DUMMYFUNCTION("""COMPUTED_VALUE"""),TRUE)</f>
        <v>1</v>
      </c>
      <c r="L635" s="20" t="str">
        <f>IFERROR(__xludf.DUMMYFUNCTION("""COMPUTED_VALUE"""),"Math;Dynamic Programming;")</f>
        <v>Math;Dynamic Programming;</v>
      </c>
      <c r="M635" s="20" t="b">
        <f>IFERROR(__xludf.DUMMYFUNCTION("""COMPUTED_VALUE"""),TRUE)</f>
        <v>1</v>
      </c>
      <c r="N635" s="20" t="b">
        <f>IFERROR(__xludf.DUMMYFUNCTION("""COMPUTED_VALUE"""),FALSE)</f>
        <v>0</v>
      </c>
      <c r="O635" s="20">
        <f>IFERROR(__xludf.DUMMYFUNCTION("""COMPUTED_VALUE"""),41.9451746150957)</f>
        <v>41.94517462</v>
      </c>
      <c r="P635" s="20">
        <f>IFERROR(__xludf.DUMMYFUNCTION("""COMPUTED_VALUE"""),10048.0)</f>
        <v>10048</v>
      </c>
      <c r="Q635" s="20">
        <f>IFERROR(__xludf.DUMMYFUNCTION("""COMPUTED_VALUE"""),23950.0)</f>
        <v>23950</v>
      </c>
    </row>
    <row r="636">
      <c r="A636" s="20">
        <f>IFERROR(__xludf.DUMMYFUNCTION("""COMPUTED_VALUE"""),635.0)</f>
        <v>635</v>
      </c>
      <c r="B636" s="20" t="str">
        <f>IFERROR(__xludf.DUMMYFUNCTION("""COMPUTED_VALUE"""),"Design Log Storage System")</f>
        <v>Design Log Storage System</v>
      </c>
      <c r="C636" s="20" t="str">
        <f>IFERROR(__xludf.DUMMYFUNCTION("""COMPUTED_VALUE"""),"design-log-storage-system")</f>
        <v>design-log-storage-system</v>
      </c>
      <c r="D636" s="20" t="b">
        <f>IFERROR(__xludf.DUMMYFUNCTION("""COMPUTED_VALUE"""),TRUE)</f>
        <v>1</v>
      </c>
      <c r="E636" s="20" t="str">
        <f>IFERROR(__xludf.DUMMYFUNCTION("""COMPUTED_VALUE"""),"Medium")</f>
        <v>Medium</v>
      </c>
      <c r="F636" s="20">
        <f>IFERROR(__xludf.DUMMYFUNCTION("""COMPUTED_VALUE"""),448.0)</f>
        <v>448</v>
      </c>
      <c r="G636" s="20">
        <f>IFERROR(__xludf.DUMMYFUNCTION("""COMPUTED_VALUE"""),189.0)</f>
        <v>189</v>
      </c>
      <c r="H636" s="20" t="str">
        <f>IFERROR(__xludf.DUMMYFUNCTION("""COMPUTED_VALUE"""),"Algorithms")</f>
        <v>Algorithms</v>
      </c>
      <c r="I636" s="20">
        <f>IFERROR(__xludf.DUMMYFUNCTION("""COMPUTED_VALUE"""),0.628)</f>
        <v>0.628</v>
      </c>
      <c r="J636" s="20">
        <f>IFERROR(__xludf.DUMMYFUNCTION("""COMPUTED_VALUE"""),635.0)</f>
        <v>635</v>
      </c>
      <c r="K636" s="20" t="b">
        <f>IFERROR(__xludf.DUMMYFUNCTION("""COMPUTED_VALUE"""),TRUE)</f>
        <v>1</v>
      </c>
      <c r="L636" s="20" t="str">
        <f>IFERROR(__xludf.DUMMYFUNCTION("""COMPUTED_VALUE"""),"Hash Table;String;Design;Ordered Set;")</f>
        <v>Hash Table;String;Design;Ordered Set;</v>
      </c>
      <c r="M636" s="20" t="b">
        <f>IFERROR(__xludf.DUMMYFUNCTION("""COMPUTED_VALUE"""),TRUE)</f>
        <v>1</v>
      </c>
      <c r="N636" s="20" t="b">
        <f>IFERROR(__xludf.DUMMYFUNCTION("""COMPUTED_VALUE"""),FALSE)</f>
        <v>0</v>
      </c>
      <c r="O636" s="20">
        <f>IFERROR(__xludf.DUMMYFUNCTION("""COMPUTED_VALUE"""),62.8003393883296)</f>
        <v>62.80033939</v>
      </c>
      <c r="P636" s="20">
        <f>IFERROR(__xludf.DUMMYFUNCTION("""COMPUTED_VALUE"""),32567.0)</f>
        <v>32567</v>
      </c>
      <c r="Q636" s="20">
        <f>IFERROR(__xludf.DUMMYFUNCTION("""COMPUTED_VALUE"""),51858.0)</f>
        <v>51858</v>
      </c>
    </row>
    <row r="637">
      <c r="A637" s="20">
        <f>IFERROR(__xludf.DUMMYFUNCTION("""COMPUTED_VALUE"""),636.0)</f>
        <v>636</v>
      </c>
      <c r="B637" s="20" t="str">
        <f>IFERROR(__xludf.DUMMYFUNCTION("""COMPUTED_VALUE"""),"Exclusive Time of Functions")</f>
        <v>Exclusive Time of Functions</v>
      </c>
      <c r="C637" s="20" t="str">
        <f>IFERROR(__xludf.DUMMYFUNCTION("""COMPUTED_VALUE"""),"exclusive-time-of-functions")</f>
        <v>exclusive-time-of-functions</v>
      </c>
      <c r="D637" s="20" t="b">
        <f>IFERROR(__xludf.DUMMYFUNCTION("""COMPUTED_VALUE"""),FALSE)</f>
        <v>0</v>
      </c>
      <c r="E637" s="20" t="str">
        <f>IFERROR(__xludf.DUMMYFUNCTION("""COMPUTED_VALUE"""),"Medium")</f>
        <v>Medium</v>
      </c>
      <c r="F637" s="20">
        <f>IFERROR(__xludf.DUMMYFUNCTION("""COMPUTED_VALUE"""),1745.0)</f>
        <v>1745</v>
      </c>
      <c r="G637" s="20">
        <f>IFERROR(__xludf.DUMMYFUNCTION("""COMPUTED_VALUE"""),2553.0)</f>
        <v>2553</v>
      </c>
      <c r="H637" s="20" t="str">
        <f>IFERROR(__xludf.DUMMYFUNCTION("""COMPUTED_VALUE"""),"Algorithms")</f>
        <v>Algorithms</v>
      </c>
      <c r="I637" s="20">
        <f>IFERROR(__xludf.DUMMYFUNCTION("""COMPUTED_VALUE"""),0.611)</f>
        <v>0.611</v>
      </c>
      <c r="J637" s="20">
        <f>IFERROR(__xludf.DUMMYFUNCTION("""COMPUTED_VALUE"""),636.0)</f>
        <v>636</v>
      </c>
      <c r="K637" s="20" t="b">
        <f>IFERROR(__xludf.DUMMYFUNCTION("""COMPUTED_VALUE"""),FALSE)</f>
        <v>0</v>
      </c>
      <c r="L637" s="20" t="str">
        <f>IFERROR(__xludf.DUMMYFUNCTION("""COMPUTED_VALUE"""),"Array;Stack;")</f>
        <v>Array;Stack;</v>
      </c>
      <c r="M637" s="20" t="b">
        <f>IFERROR(__xludf.DUMMYFUNCTION("""COMPUTED_VALUE"""),FALSE)</f>
        <v>0</v>
      </c>
      <c r="N637" s="20" t="b">
        <f>IFERROR(__xludf.DUMMYFUNCTION("""COMPUTED_VALUE"""),FALSE)</f>
        <v>0</v>
      </c>
      <c r="O637" s="20">
        <f>IFERROR(__xludf.DUMMYFUNCTION("""COMPUTED_VALUE"""),61.1329478250304)</f>
        <v>61.13294783</v>
      </c>
      <c r="P637" s="20">
        <f>IFERROR(__xludf.DUMMYFUNCTION("""COMPUTED_VALUE"""),186170.0)</f>
        <v>186170</v>
      </c>
      <c r="Q637" s="20">
        <f>IFERROR(__xludf.DUMMYFUNCTION("""COMPUTED_VALUE"""),304533.0)</f>
        <v>304533</v>
      </c>
    </row>
    <row r="638">
      <c r="A638" s="20">
        <f>IFERROR(__xludf.DUMMYFUNCTION("""COMPUTED_VALUE"""),637.0)</f>
        <v>637</v>
      </c>
      <c r="B638" s="20" t="str">
        <f>IFERROR(__xludf.DUMMYFUNCTION("""COMPUTED_VALUE"""),"Average of Levels in Binary Tree")</f>
        <v>Average of Levels in Binary Tree</v>
      </c>
      <c r="C638" s="20" t="str">
        <f>IFERROR(__xludf.DUMMYFUNCTION("""COMPUTED_VALUE"""),"average-of-levels-in-binary-tree")</f>
        <v>average-of-levels-in-binary-tree</v>
      </c>
      <c r="D638" s="20" t="b">
        <f>IFERROR(__xludf.DUMMYFUNCTION("""COMPUTED_VALUE"""),FALSE)</f>
        <v>0</v>
      </c>
      <c r="E638" s="20" t="str">
        <f>IFERROR(__xludf.DUMMYFUNCTION("""COMPUTED_VALUE"""),"Easy")</f>
        <v>Easy</v>
      </c>
      <c r="F638" s="20">
        <f>IFERROR(__xludf.DUMMYFUNCTION("""COMPUTED_VALUE"""),4453.0)</f>
        <v>4453</v>
      </c>
      <c r="G638" s="20">
        <f>IFERROR(__xludf.DUMMYFUNCTION("""COMPUTED_VALUE"""),277.0)</f>
        <v>277</v>
      </c>
      <c r="H638" s="20" t="str">
        <f>IFERROR(__xludf.DUMMYFUNCTION("""COMPUTED_VALUE"""),"Algorithms")</f>
        <v>Algorithms</v>
      </c>
      <c r="I638" s="20">
        <f>IFERROR(__xludf.DUMMYFUNCTION("""COMPUTED_VALUE"""),0.717)</f>
        <v>0.717</v>
      </c>
      <c r="J638" s="20">
        <f>IFERROR(__xludf.DUMMYFUNCTION("""COMPUTED_VALUE"""),637.0)</f>
        <v>637</v>
      </c>
      <c r="K638" s="20" t="b">
        <f>IFERROR(__xludf.DUMMYFUNCTION("""COMPUTED_VALUE"""),FALSE)</f>
        <v>0</v>
      </c>
      <c r="L638" s="20" t="str">
        <f>IFERROR(__xludf.DUMMYFUNCTION("""COMPUTED_VALUE"""),"Tree;Depth-First Search;Breadth-First Search;Binary Tree;")</f>
        <v>Tree;Depth-First Search;Breadth-First Search;Binary Tree;</v>
      </c>
      <c r="M638" s="20" t="b">
        <f>IFERROR(__xludf.DUMMYFUNCTION("""COMPUTED_VALUE"""),TRUE)</f>
        <v>1</v>
      </c>
      <c r="N638" s="20" t="b">
        <f>IFERROR(__xludf.DUMMYFUNCTION("""COMPUTED_VALUE"""),FALSE)</f>
        <v>0</v>
      </c>
      <c r="O638" s="20">
        <f>IFERROR(__xludf.DUMMYFUNCTION("""COMPUTED_VALUE"""),71.7082706478722)</f>
        <v>71.70827065</v>
      </c>
      <c r="P638" s="20">
        <f>IFERROR(__xludf.DUMMYFUNCTION("""COMPUTED_VALUE"""),374162.0)</f>
        <v>374162</v>
      </c>
      <c r="Q638" s="20">
        <f>IFERROR(__xludf.DUMMYFUNCTION("""COMPUTED_VALUE"""),521784.0)</f>
        <v>521784</v>
      </c>
    </row>
    <row r="639">
      <c r="A639" s="20">
        <f>IFERROR(__xludf.DUMMYFUNCTION("""COMPUTED_VALUE"""),638.0)</f>
        <v>638</v>
      </c>
      <c r="B639" s="20" t="str">
        <f>IFERROR(__xludf.DUMMYFUNCTION("""COMPUTED_VALUE"""),"Shopping Offers")</f>
        <v>Shopping Offers</v>
      </c>
      <c r="C639" s="20" t="str">
        <f>IFERROR(__xludf.DUMMYFUNCTION("""COMPUTED_VALUE"""),"shopping-offers")</f>
        <v>shopping-offers</v>
      </c>
      <c r="D639" s="20" t="b">
        <f>IFERROR(__xludf.DUMMYFUNCTION("""COMPUTED_VALUE"""),FALSE)</f>
        <v>0</v>
      </c>
      <c r="E639" s="20" t="str">
        <f>IFERROR(__xludf.DUMMYFUNCTION("""COMPUTED_VALUE"""),"Medium")</f>
        <v>Medium</v>
      </c>
      <c r="F639" s="20">
        <f>IFERROR(__xludf.DUMMYFUNCTION("""COMPUTED_VALUE"""),1215.0)</f>
        <v>1215</v>
      </c>
      <c r="G639" s="20">
        <f>IFERROR(__xludf.DUMMYFUNCTION("""COMPUTED_VALUE"""),691.0)</f>
        <v>691</v>
      </c>
      <c r="H639" s="20" t="str">
        <f>IFERROR(__xludf.DUMMYFUNCTION("""COMPUTED_VALUE"""),"Algorithms")</f>
        <v>Algorithms</v>
      </c>
      <c r="I639" s="20">
        <f>IFERROR(__xludf.DUMMYFUNCTION("""COMPUTED_VALUE"""),0.539)</f>
        <v>0.539</v>
      </c>
      <c r="J639" s="20">
        <f>IFERROR(__xludf.DUMMYFUNCTION("""COMPUTED_VALUE"""),638.0)</f>
        <v>638</v>
      </c>
      <c r="K639" s="20" t="b">
        <f>IFERROR(__xludf.DUMMYFUNCTION("""COMPUTED_VALUE"""),FALSE)</f>
        <v>0</v>
      </c>
      <c r="L639" s="20" t="str">
        <f>IFERROR(__xludf.DUMMYFUNCTION("""COMPUTED_VALUE"""),"Array;Dynamic Programming;Backtracking;Bit Manipulation;Memoization;Bitmask;")</f>
        <v>Array;Dynamic Programming;Backtracking;Bit Manipulation;Memoization;Bitmask;</v>
      </c>
      <c r="M639" s="20" t="b">
        <f>IFERROR(__xludf.DUMMYFUNCTION("""COMPUTED_VALUE"""),TRUE)</f>
        <v>1</v>
      </c>
      <c r="N639" s="20" t="b">
        <f>IFERROR(__xludf.DUMMYFUNCTION("""COMPUTED_VALUE"""),FALSE)</f>
        <v>0</v>
      </c>
      <c r="O639" s="20">
        <f>IFERROR(__xludf.DUMMYFUNCTION("""COMPUTED_VALUE"""),53.8744879706171)</f>
        <v>53.87448797</v>
      </c>
      <c r="P639" s="20">
        <f>IFERROR(__xludf.DUMMYFUNCTION("""COMPUTED_VALUE"""),50899.0)</f>
        <v>50899</v>
      </c>
      <c r="Q639" s="20">
        <f>IFERROR(__xludf.DUMMYFUNCTION("""COMPUTED_VALUE"""),94477.0)</f>
        <v>94477</v>
      </c>
    </row>
    <row r="640">
      <c r="A640" s="20">
        <f>IFERROR(__xludf.DUMMYFUNCTION("""COMPUTED_VALUE"""),639.0)</f>
        <v>639</v>
      </c>
      <c r="B640" s="20" t="str">
        <f>IFERROR(__xludf.DUMMYFUNCTION("""COMPUTED_VALUE"""),"Decode Ways II")</f>
        <v>Decode Ways II</v>
      </c>
      <c r="C640" s="20" t="str">
        <f>IFERROR(__xludf.DUMMYFUNCTION("""COMPUTED_VALUE"""),"decode-ways-ii")</f>
        <v>decode-ways-ii</v>
      </c>
      <c r="D640" s="20" t="b">
        <f>IFERROR(__xludf.DUMMYFUNCTION("""COMPUTED_VALUE"""),FALSE)</f>
        <v>0</v>
      </c>
      <c r="E640" s="20" t="str">
        <f>IFERROR(__xludf.DUMMYFUNCTION("""COMPUTED_VALUE"""),"Hard")</f>
        <v>Hard</v>
      </c>
      <c r="F640" s="20">
        <f>IFERROR(__xludf.DUMMYFUNCTION("""COMPUTED_VALUE"""),1308.0)</f>
        <v>1308</v>
      </c>
      <c r="G640" s="20">
        <f>IFERROR(__xludf.DUMMYFUNCTION("""COMPUTED_VALUE"""),781.0)</f>
        <v>781</v>
      </c>
      <c r="H640" s="20" t="str">
        <f>IFERROR(__xludf.DUMMYFUNCTION("""COMPUTED_VALUE"""),"Algorithms")</f>
        <v>Algorithms</v>
      </c>
      <c r="I640" s="20">
        <f>IFERROR(__xludf.DUMMYFUNCTION("""COMPUTED_VALUE"""),0.304)</f>
        <v>0.304</v>
      </c>
      <c r="J640" s="20">
        <f>IFERROR(__xludf.DUMMYFUNCTION("""COMPUTED_VALUE"""),639.0)</f>
        <v>639</v>
      </c>
      <c r="K640" s="20" t="b">
        <f>IFERROR(__xludf.DUMMYFUNCTION("""COMPUTED_VALUE"""),FALSE)</f>
        <v>0</v>
      </c>
      <c r="L640" s="20" t="str">
        <f>IFERROR(__xludf.DUMMYFUNCTION("""COMPUTED_VALUE"""),"String;Dynamic Programming;")</f>
        <v>String;Dynamic Programming;</v>
      </c>
      <c r="M640" s="20" t="b">
        <f>IFERROR(__xludf.DUMMYFUNCTION("""COMPUTED_VALUE"""),TRUE)</f>
        <v>1</v>
      </c>
      <c r="N640" s="20" t="b">
        <f>IFERROR(__xludf.DUMMYFUNCTION("""COMPUTED_VALUE"""),FALSE)</f>
        <v>0</v>
      </c>
      <c r="O640" s="20">
        <f>IFERROR(__xludf.DUMMYFUNCTION("""COMPUTED_VALUE"""),30.4089938833814)</f>
        <v>30.40899388</v>
      </c>
      <c r="P640" s="20">
        <f>IFERROR(__xludf.DUMMYFUNCTION("""COMPUTED_VALUE"""),65674.0)</f>
        <v>65674</v>
      </c>
      <c r="Q640" s="20">
        <f>IFERROR(__xludf.DUMMYFUNCTION("""COMPUTED_VALUE"""),215969.0)</f>
        <v>215969</v>
      </c>
    </row>
    <row r="641">
      <c r="A641" s="20">
        <f>IFERROR(__xludf.DUMMYFUNCTION("""COMPUTED_VALUE"""),640.0)</f>
        <v>640</v>
      </c>
      <c r="B641" s="20" t="str">
        <f>IFERROR(__xludf.DUMMYFUNCTION("""COMPUTED_VALUE"""),"Solve the Equation")</f>
        <v>Solve the Equation</v>
      </c>
      <c r="C641" s="20" t="str">
        <f>IFERROR(__xludf.DUMMYFUNCTION("""COMPUTED_VALUE"""),"solve-the-equation")</f>
        <v>solve-the-equation</v>
      </c>
      <c r="D641" s="20" t="b">
        <f>IFERROR(__xludf.DUMMYFUNCTION("""COMPUTED_VALUE"""),FALSE)</f>
        <v>0</v>
      </c>
      <c r="E641" s="20" t="str">
        <f>IFERROR(__xludf.DUMMYFUNCTION("""COMPUTED_VALUE"""),"Medium")</f>
        <v>Medium</v>
      </c>
      <c r="F641" s="20">
        <f>IFERROR(__xludf.DUMMYFUNCTION("""COMPUTED_VALUE"""),409.0)</f>
        <v>409</v>
      </c>
      <c r="G641" s="20">
        <f>IFERROR(__xludf.DUMMYFUNCTION("""COMPUTED_VALUE"""),765.0)</f>
        <v>765</v>
      </c>
      <c r="H641" s="20" t="str">
        <f>IFERROR(__xludf.DUMMYFUNCTION("""COMPUTED_VALUE"""),"Algorithms")</f>
        <v>Algorithms</v>
      </c>
      <c r="I641" s="20">
        <f>IFERROR(__xludf.DUMMYFUNCTION("""COMPUTED_VALUE"""),0.434)</f>
        <v>0.434</v>
      </c>
      <c r="J641" s="20">
        <f>IFERROR(__xludf.DUMMYFUNCTION("""COMPUTED_VALUE"""),640.0)</f>
        <v>640</v>
      </c>
      <c r="K641" s="20" t="b">
        <f>IFERROR(__xludf.DUMMYFUNCTION("""COMPUTED_VALUE"""),FALSE)</f>
        <v>0</v>
      </c>
      <c r="L641" s="20" t="str">
        <f>IFERROR(__xludf.DUMMYFUNCTION("""COMPUTED_VALUE"""),"Math;String;Simulation;")</f>
        <v>Math;String;Simulation;</v>
      </c>
      <c r="M641" s="20" t="b">
        <f>IFERROR(__xludf.DUMMYFUNCTION("""COMPUTED_VALUE"""),TRUE)</f>
        <v>1</v>
      </c>
      <c r="N641" s="20" t="b">
        <f>IFERROR(__xludf.DUMMYFUNCTION("""COMPUTED_VALUE"""),FALSE)</f>
        <v>0</v>
      </c>
      <c r="O641" s="20">
        <f>IFERROR(__xludf.DUMMYFUNCTION("""COMPUTED_VALUE"""),43.3960854624234)</f>
        <v>43.39608546</v>
      </c>
      <c r="P641" s="20">
        <f>IFERROR(__xludf.DUMMYFUNCTION("""COMPUTED_VALUE"""),34854.0)</f>
        <v>34854</v>
      </c>
      <c r="Q641" s="20">
        <f>IFERROR(__xludf.DUMMYFUNCTION("""COMPUTED_VALUE"""),80315.0)</f>
        <v>80315</v>
      </c>
    </row>
    <row r="642">
      <c r="A642" s="20">
        <f>IFERROR(__xludf.DUMMYFUNCTION("""COMPUTED_VALUE"""),859.0)</f>
        <v>859</v>
      </c>
      <c r="B642" s="20" t="str">
        <f>IFERROR(__xludf.DUMMYFUNCTION("""COMPUTED_VALUE"""),"Design Circular Deque")</f>
        <v>Design Circular Deque</v>
      </c>
      <c r="C642" s="20" t="str">
        <f>IFERROR(__xludf.DUMMYFUNCTION("""COMPUTED_VALUE"""),"design-circular-deque")</f>
        <v>design-circular-deque</v>
      </c>
      <c r="D642" s="20" t="b">
        <f>IFERROR(__xludf.DUMMYFUNCTION("""COMPUTED_VALUE"""),FALSE)</f>
        <v>0</v>
      </c>
      <c r="E642" s="20" t="str">
        <f>IFERROR(__xludf.DUMMYFUNCTION("""COMPUTED_VALUE"""),"Medium")</f>
        <v>Medium</v>
      </c>
      <c r="F642" s="20">
        <f>IFERROR(__xludf.DUMMYFUNCTION("""COMPUTED_VALUE"""),929.0)</f>
        <v>929</v>
      </c>
      <c r="G642" s="20">
        <f>IFERROR(__xludf.DUMMYFUNCTION("""COMPUTED_VALUE"""),67.0)</f>
        <v>67</v>
      </c>
      <c r="H642" s="20" t="str">
        <f>IFERROR(__xludf.DUMMYFUNCTION("""COMPUTED_VALUE"""),"Algorithms")</f>
        <v>Algorithms</v>
      </c>
      <c r="I642" s="20">
        <f>IFERROR(__xludf.DUMMYFUNCTION("""COMPUTED_VALUE"""),0.575)</f>
        <v>0.575</v>
      </c>
      <c r="J642" s="20">
        <f>IFERROR(__xludf.DUMMYFUNCTION("""COMPUTED_VALUE"""),641.0)</f>
        <v>641</v>
      </c>
      <c r="K642" s="20" t="b">
        <f>IFERROR(__xludf.DUMMYFUNCTION("""COMPUTED_VALUE"""),FALSE)</f>
        <v>0</v>
      </c>
      <c r="L642" s="20" t="str">
        <f>IFERROR(__xludf.DUMMYFUNCTION("""COMPUTED_VALUE"""),"Array;Linked List;Design;Queue;")</f>
        <v>Array;Linked List;Design;Queue;</v>
      </c>
      <c r="M642" s="20" t="b">
        <f>IFERROR(__xludf.DUMMYFUNCTION("""COMPUTED_VALUE"""),FALSE)</f>
        <v>0</v>
      </c>
      <c r="N642" s="20" t="b">
        <f>IFERROR(__xludf.DUMMYFUNCTION("""COMPUTED_VALUE"""),FALSE)</f>
        <v>0</v>
      </c>
      <c r="O642" s="20">
        <f>IFERROR(__xludf.DUMMYFUNCTION("""COMPUTED_VALUE"""),57.5352855823769)</f>
        <v>57.53528558</v>
      </c>
      <c r="P642" s="20">
        <f>IFERROR(__xludf.DUMMYFUNCTION("""COMPUTED_VALUE"""),52340.0)</f>
        <v>52340</v>
      </c>
      <c r="Q642" s="20">
        <f>IFERROR(__xludf.DUMMYFUNCTION("""COMPUTED_VALUE"""),90971.0)</f>
        <v>90971</v>
      </c>
    </row>
    <row r="643">
      <c r="A643" s="20">
        <f>IFERROR(__xludf.DUMMYFUNCTION("""COMPUTED_VALUE"""),642.0)</f>
        <v>642</v>
      </c>
      <c r="B643" s="20" t="str">
        <f>IFERROR(__xludf.DUMMYFUNCTION("""COMPUTED_VALUE"""),"Design Search Autocomplete System")</f>
        <v>Design Search Autocomplete System</v>
      </c>
      <c r="C643" s="20" t="str">
        <f>IFERROR(__xludf.DUMMYFUNCTION("""COMPUTED_VALUE"""),"design-search-autocomplete-system")</f>
        <v>design-search-autocomplete-system</v>
      </c>
      <c r="D643" s="20" t="b">
        <f>IFERROR(__xludf.DUMMYFUNCTION("""COMPUTED_VALUE"""),TRUE)</f>
        <v>1</v>
      </c>
      <c r="E643" s="20" t="str">
        <f>IFERROR(__xludf.DUMMYFUNCTION("""COMPUTED_VALUE"""),"Hard")</f>
        <v>Hard</v>
      </c>
      <c r="F643" s="20">
        <f>IFERROR(__xludf.DUMMYFUNCTION("""COMPUTED_VALUE"""),1966.0)</f>
        <v>1966</v>
      </c>
      <c r="G643" s="20">
        <f>IFERROR(__xludf.DUMMYFUNCTION("""COMPUTED_VALUE"""),137.0)</f>
        <v>137</v>
      </c>
      <c r="H643" s="20" t="str">
        <f>IFERROR(__xludf.DUMMYFUNCTION("""COMPUTED_VALUE"""),"Algorithms")</f>
        <v>Algorithms</v>
      </c>
      <c r="I643" s="20">
        <f>IFERROR(__xludf.DUMMYFUNCTION("""COMPUTED_VALUE"""),0.487)</f>
        <v>0.487</v>
      </c>
      <c r="J643" s="20">
        <f>IFERROR(__xludf.DUMMYFUNCTION("""COMPUTED_VALUE"""),642.0)</f>
        <v>642</v>
      </c>
      <c r="K643" s="20" t="b">
        <f>IFERROR(__xludf.DUMMYFUNCTION("""COMPUTED_VALUE"""),TRUE)</f>
        <v>1</v>
      </c>
      <c r="L643" s="20" t="str">
        <f>IFERROR(__xludf.DUMMYFUNCTION("""COMPUTED_VALUE"""),"String;Design;Trie;Data Stream;")</f>
        <v>String;Design;Trie;Data Stream;</v>
      </c>
      <c r="M643" s="20" t="b">
        <f>IFERROR(__xludf.DUMMYFUNCTION("""COMPUTED_VALUE"""),FALSE)</f>
        <v>0</v>
      </c>
      <c r="N643" s="20" t="b">
        <f>IFERROR(__xludf.DUMMYFUNCTION("""COMPUTED_VALUE"""),FALSE)</f>
        <v>0</v>
      </c>
      <c r="O643" s="20">
        <f>IFERROR(__xludf.DUMMYFUNCTION("""COMPUTED_VALUE"""),48.7178895465786)</f>
        <v>48.71788955</v>
      </c>
      <c r="P643" s="20">
        <f>IFERROR(__xludf.DUMMYFUNCTION("""COMPUTED_VALUE"""),126667.0)</f>
        <v>126667</v>
      </c>
      <c r="Q643" s="20">
        <f>IFERROR(__xludf.DUMMYFUNCTION("""COMPUTED_VALUE"""),260001.0)</f>
        <v>260001</v>
      </c>
    </row>
    <row r="644">
      <c r="A644" s="20">
        <f>IFERROR(__xludf.DUMMYFUNCTION("""COMPUTED_VALUE"""),643.0)</f>
        <v>643</v>
      </c>
      <c r="B644" s="20" t="str">
        <f>IFERROR(__xludf.DUMMYFUNCTION("""COMPUTED_VALUE"""),"Maximum Average Subarray I")</f>
        <v>Maximum Average Subarray I</v>
      </c>
      <c r="C644" s="20" t="str">
        <f>IFERROR(__xludf.DUMMYFUNCTION("""COMPUTED_VALUE"""),"maximum-average-subarray-i")</f>
        <v>maximum-average-subarray-i</v>
      </c>
      <c r="D644" s="20" t="b">
        <f>IFERROR(__xludf.DUMMYFUNCTION("""COMPUTED_VALUE"""),FALSE)</f>
        <v>0</v>
      </c>
      <c r="E644" s="20" t="str">
        <f>IFERROR(__xludf.DUMMYFUNCTION("""COMPUTED_VALUE"""),"Easy")</f>
        <v>Easy</v>
      </c>
      <c r="F644" s="20">
        <f>IFERROR(__xludf.DUMMYFUNCTION("""COMPUTED_VALUE"""),2108.0)</f>
        <v>2108</v>
      </c>
      <c r="G644" s="20">
        <f>IFERROR(__xludf.DUMMYFUNCTION("""COMPUTED_VALUE"""),174.0)</f>
        <v>174</v>
      </c>
      <c r="H644" s="20" t="str">
        <f>IFERROR(__xludf.DUMMYFUNCTION("""COMPUTED_VALUE"""),"Algorithms")</f>
        <v>Algorithms</v>
      </c>
      <c r="I644" s="20">
        <f>IFERROR(__xludf.DUMMYFUNCTION("""COMPUTED_VALUE"""),0.438)</f>
        <v>0.438</v>
      </c>
      <c r="J644" s="20">
        <f>IFERROR(__xludf.DUMMYFUNCTION("""COMPUTED_VALUE"""),643.0)</f>
        <v>643</v>
      </c>
      <c r="K644" s="20" t="b">
        <f>IFERROR(__xludf.DUMMYFUNCTION("""COMPUTED_VALUE"""),FALSE)</f>
        <v>0</v>
      </c>
      <c r="L644" s="20" t="str">
        <f>IFERROR(__xludf.DUMMYFUNCTION("""COMPUTED_VALUE"""),"Array;Sliding Window;")</f>
        <v>Array;Sliding Window;</v>
      </c>
      <c r="M644" s="20" t="b">
        <f>IFERROR(__xludf.DUMMYFUNCTION("""COMPUTED_VALUE"""),TRUE)</f>
        <v>1</v>
      </c>
      <c r="N644" s="20" t="b">
        <f>IFERROR(__xludf.DUMMYFUNCTION("""COMPUTED_VALUE"""),FALSE)</f>
        <v>0</v>
      </c>
      <c r="O644" s="20">
        <f>IFERROR(__xludf.DUMMYFUNCTION("""COMPUTED_VALUE"""),43.8276021918199)</f>
        <v>43.82760219</v>
      </c>
      <c r="P644" s="20">
        <f>IFERROR(__xludf.DUMMYFUNCTION("""COMPUTED_VALUE"""),184359.0)</f>
        <v>184359</v>
      </c>
      <c r="Q644" s="20">
        <f>IFERROR(__xludf.DUMMYFUNCTION("""COMPUTED_VALUE"""),420648.0)</f>
        <v>420648</v>
      </c>
    </row>
    <row r="645">
      <c r="A645" s="20">
        <f>IFERROR(__xludf.DUMMYFUNCTION("""COMPUTED_VALUE"""),644.0)</f>
        <v>644</v>
      </c>
      <c r="B645" s="20" t="str">
        <f>IFERROR(__xludf.DUMMYFUNCTION("""COMPUTED_VALUE"""),"Maximum Average Subarray II")</f>
        <v>Maximum Average Subarray II</v>
      </c>
      <c r="C645" s="20" t="str">
        <f>IFERROR(__xludf.DUMMYFUNCTION("""COMPUTED_VALUE"""),"maximum-average-subarray-ii")</f>
        <v>maximum-average-subarray-ii</v>
      </c>
      <c r="D645" s="20" t="b">
        <f>IFERROR(__xludf.DUMMYFUNCTION("""COMPUTED_VALUE"""),TRUE)</f>
        <v>1</v>
      </c>
      <c r="E645" s="20" t="str">
        <f>IFERROR(__xludf.DUMMYFUNCTION("""COMPUTED_VALUE"""),"Hard")</f>
        <v>Hard</v>
      </c>
      <c r="F645" s="20">
        <f>IFERROR(__xludf.DUMMYFUNCTION("""COMPUTED_VALUE"""),572.0)</f>
        <v>572</v>
      </c>
      <c r="G645" s="20">
        <f>IFERROR(__xludf.DUMMYFUNCTION("""COMPUTED_VALUE"""),64.0)</f>
        <v>64</v>
      </c>
      <c r="H645" s="20" t="str">
        <f>IFERROR(__xludf.DUMMYFUNCTION("""COMPUTED_VALUE"""),"Algorithms")</f>
        <v>Algorithms</v>
      </c>
      <c r="I645" s="20">
        <f>IFERROR(__xludf.DUMMYFUNCTION("""COMPUTED_VALUE"""),0.359)</f>
        <v>0.359</v>
      </c>
      <c r="J645" s="20">
        <f>IFERROR(__xludf.DUMMYFUNCTION("""COMPUTED_VALUE"""),644.0)</f>
        <v>644</v>
      </c>
      <c r="K645" s="20" t="b">
        <f>IFERROR(__xludf.DUMMYFUNCTION("""COMPUTED_VALUE"""),TRUE)</f>
        <v>1</v>
      </c>
      <c r="L645" s="20" t="str">
        <f>IFERROR(__xludf.DUMMYFUNCTION("""COMPUTED_VALUE"""),"Array;Binary Search;Prefix Sum;")</f>
        <v>Array;Binary Search;Prefix Sum;</v>
      </c>
      <c r="M645" s="20" t="b">
        <f>IFERROR(__xludf.DUMMYFUNCTION("""COMPUTED_VALUE"""),TRUE)</f>
        <v>1</v>
      </c>
      <c r="N645" s="20" t="b">
        <f>IFERROR(__xludf.DUMMYFUNCTION("""COMPUTED_VALUE"""),TRUE)</f>
        <v>1</v>
      </c>
      <c r="O645" s="20">
        <f>IFERROR(__xludf.DUMMYFUNCTION("""COMPUTED_VALUE"""),35.8539816113448)</f>
        <v>35.85398161</v>
      </c>
      <c r="P645" s="20">
        <f>IFERROR(__xludf.DUMMYFUNCTION("""COMPUTED_VALUE"""),18406.0)</f>
        <v>18406</v>
      </c>
      <c r="Q645" s="20">
        <f>IFERROR(__xludf.DUMMYFUNCTION("""COMPUTED_VALUE"""),51336.0)</f>
        <v>51336</v>
      </c>
    </row>
    <row r="646">
      <c r="A646" s="20">
        <f>IFERROR(__xludf.DUMMYFUNCTION("""COMPUTED_VALUE"""),645.0)</f>
        <v>645</v>
      </c>
      <c r="B646" s="20" t="str">
        <f>IFERROR(__xludf.DUMMYFUNCTION("""COMPUTED_VALUE"""),"Set Mismatch")</f>
        <v>Set Mismatch</v>
      </c>
      <c r="C646" s="20" t="str">
        <f>IFERROR(__xludf.DUMMYFUNCTION("""COMPUTED_VALUE"""),"set-mismatch")</f>
        <v>set-mismatch</v>
      </c>
      <c r="D646" s="20" t="b">
        <f>IFERROR(__xludf.DUMMYFUNCTION("""COMPUTED_VALUE"""),FALSE)</f>
        <v>0</v>
      </c>
      <c r="E646" s="20" t="str">
        <f>IFERROR(__xludf.DUMMYFUNCTION("""COMPUTED_VALUE"""),"Easy")</f>
        <v>Easy</v>
      </c>
      <c r="F646" s="20">
        <f>IFERROR(__xludf.DUMMYFUNCTION("""COMPUTED_VALUE"""),3399.0)</f>
        <v>3399</v>
      </c>
      <c r="G646" s="20">
        <f>IFERROR(__xludf.DUMMYFUNCTION("""COMPUTED_VALUE"""),790.0)</f>
        <v>790</v>
      </c>
      <c r="H646" s="20" t="str">
        <f>IFERROR(__xludf.DUMMYFUNCTION("""COMPUTED_VALUE"""),"Algorithms")</f>
        <v>Algorithms</v>
      </c>
      <c r="I646" s="20">
        <f>IFERROR(__xludf.DUMMYFUNCTION("""COMPUTED_VALUE"""),0.429)</f>
        <v>0.429</v>
      </c>
      <c r="J646" s="20">
        <f>IFERROR(__xludf.DUMMYFUNCTION("""COMPUTED_VALUE"""),645.0)</f>
        <v>645</v>
      </c>
      <c r="K646" s="20" t="b">
        <f>IFERROR(__xludf.DUMMYFUNCTION("""COMPUTED_VALUE"""),FALSE)</f>
        <v>0</v>
      </c>
      <c r="L646" s="20" t="str">
        <f>IFERROR(__xludf.DUMMYFUNCTION("""COMPUTED_VALUE"""),"Array;Hash Table;Bit Manipulation;Sorting;")</f>
        <v>Array;Hash Table;Bit Manipulation;Sorting;</v>
      </c>
      <c r="M646" s="20" t="b">
        <f>IFERROR(__xludf.DUMMYFUNCTION("""COMPUTED_VALUE"""),TRUE)</f>
        <v>1</v>
      </c>
      <c r="N646" s="20" t="b">
        <f>IFERROR(__xludf.DUMMYFUNCTION("""COMPUTED_VALUE"""),FALSE)</f>
        <v>0</v>
      </c>
      <c r="O646" s="20">
        <f>IFERROR(__xludf.DUMMYFUNCTION("""COMPUTED_VALUE"""),42.9275734811759)</f>
        <v>42.92757348</v>
      </c>
      <c r="P646" s="20">
        <f>IFERROR(__xludf.DUMMYFUNCTION("""COMPUTED_VALUE"""),255204.0)</f>
        <v>255204</v>
      </c>
      <c r="Q646" s="20">
        <f>IFERROR(__xludf.DUMMYFUNCTION("""COMPUTED_VALUE"""),594503.0)</f>
        <v>594503</v>
      </c>
    </row>
    <row r="647">
      <c r="A647" s="20">
        <f>IFERROR(__xludf.DUMMYFUNCTION("""COMPUTED_VALUE"""),646.0)</f>
        <v>646</v>
      </c>
      <c r="B647" s="20" t="str">
        <f>IFERROR(__xludf.DUMMYFUNCTION("""COMPUTED_VALUE"""),"Maximum Length of Pair Chain")</f>
        <v>Maximum Length of Pair Chain</v>
      </c>
      <c r="C647" s="20" t="str">
        <f>IFERROR(__xludf.DUMMYFUNCTION("""COMPUTED_VALUE"""),"maximum-length-of-pair-chain")</f>
        <v>maximum-length-of-pair-chain</v>
      </c>
      <c r="D647" s="20" t="b">
        <f>IFERROR(__xludf.DUMMYFUNCTION("""COMPUTED_VALUE"""),FALSE)</f>
        <v>0</v>
      </c>
      <c r="E647" s="20" t="str">
        <f>IFERROR(__xludf.DUMMYFUNCTION("""COMPUTED_VALUE"""),"Medium")</f>
        <v>Medium</v>
      </c>
      <c r="F647" s="20">
        <f>IFERROR(__xludf.DUMMYFUNCTION("""COMPUTED_VALUE"""),2756.0)</f>
        <v>2756</v>
      </c>
      <c r="G647" s="20">
        <f>IFERROR(__xludf.DUMMYFUNCTION("""COMPUTED_VALUE"""),109.0)</f>
        <v>109</v>
      </c>
      <c r="H647" s="20" t="str">
        <f>IFERROR(__xludf.DUMMYFUNCTION("""COMPUTED_VALUE"""),"Algorithms")</f>
        <v>Algorithms</v>
      </c>
      <c r="I647" s="20">
        <f>IFERROR(__xludf.DUMMYFUNCTION("""COMPUTED_VALUE"""),0.565)</f>
        <v>0.565</v>
      </c>
      <c r="J647" s="20">
        <f>IFERROR(__xludf.DUMMYFUNCTION("""COMPUTED_VALUE"""),646.0)</f>
        <v>646</v>
      </c>
      <c r="K647" s="20" t="b">
        <f>IFERROR(__xludf.DUMMYFUNCTION("""COMPUTED_VALUE"""),FALSE)</f>
        <v>0</v>
      </c>
      <c r="L647" s="20" t="str">
        <f>IFERROR(__xludf.DUMMYFUNCTION("""COMPUTED_VALUE"""),"Array;Dynamic Programming;Greedy;Sorting;")</f>
        <v>Array;Dynamic Programming;Greedy;Sorting;</v>
      </c>
      <c r="M647" s="20" t="b">
        <f>IFERROR(__xludf.DUMMYFUNCTION("""COMPUTED_VALUE"""),TRUE)</f>
        <v>1</v>
      </c>
      <c r="N647" s="20" t="b">
        <f>IFERROR(__xludf.DUMMYFUNCTION("""COMPUTED_VALUE"""),FALSE)</f>
        <v>0</v>
      </c>
      <c r="O647" s="20">
        <f>IFERROR(__xludf.DUMMYFUNCTION("""COMPUTED_VALUE"""),56.4845085896038)</f>
        <v>56.48450859</v>
      </c>
      <c r="P647" s="20">
        <f>IFERROR(__xludf.DUMMYFUNCTION("""COMPUTED_VALUE"""),127506.0)</f>
        <v>127506</v>
      </c>
      <c r="Q647" s="20">
        <f>IFERROR(__xludf.DUMMYFUNCTION("""COMPUTED_VALUE"""),225737.0)</f>
        <v>225737</v>
      </c>
    </row>
    <row r="648">
      <c r="A648" s="20">
        <f>IFERROR(__xludf.DUMMYFUNCTION("""COMPUTED_VALUE"""),647.0)</f>
        <v>647</v>
      </c>
      <c r="B648" s="20" t="str">
        <f>IFERROR(__xludf.DUMMYFUNCTION("""COMPUTED_VALUE"""),"Palindromic Substrings")</f>
        <v>Palindromic Substrings</v>
      </c>
      <c r="C648" s="20" t="str">
        <f>IFERROR(__xludf.DUMMYFUNCTION("""COMPUTED_VALUE"""),"palindromic-substrings")</f>
        <v>palindromic-substrings</v>
      </c>
      <c r="D648" s="20" t="b">
        <f>IFERROR(__xludf.DUMMYFUNCTION("""COMPUTED_VALUE"""),FALSE)</f>
        <v>0</v>
      </c>
      <c r="E648" s="20" t="str">
        <f>IFERROR(__xludf.DUMMYFUNCTION("""COMPUTED_VALUE"""),"Medium")</f>
        <v>Medium</v>
      </c>
      <c r="F648" s="20">
        <f>IFERROR(__xludf.DUMMYFUNCTION("""COMPUTED_VALUE"""),8491.0)</f>
        <v>8491</v>
      </c>
      <c r="G648" s="20">
        <f>IFERROR(__xludf.DUMMYFUNCTION("""COMPUTED_VALUE"""),183.0)</f>
        <v>183</v>
      </c>
      <c r="H648" s="20" t="str">
        <f>IFERROR(__xludf.DUMMYFUNCTION("""COMPUTED_VALUE"""),"Algorithms")</f>
        <v>Algorithms</v>
      </c>
      <c r="I648" s="20">
        <f>IFERROR(__xludf.DUMMYFUNCTION("""COMPUTED_VALUE"""),0.665)</f>
        <v>0.665</v>
      </c>
      <c r="J648" s="20">
        <f>IFERROR(__xludf.DUMMYFUNCTION("""COMPUTED_VALUE"""),647.0)</f>
        <v>647</v>
      </c>
      <c r="K648" s="20" t="b">
        <f>IFERROR(__xludf.DUMMYFUNCTION("""COMPUTED_VALUE"""),FALSE)</f>
        <v>0</v>
      </c>
      <c r="L648" s="20" t="str">
        <f>IFERROR(__xludf.DUMMYFUNCTION("""COMPUTED_VALUE"""),"String;Dynamic Programming;")</f>
        <v>String;Dynamic Programming;</v>
      </c>
      <c r="M648" s="20" t="b">
        <f>IFERROR(__xludf.DUMMYFUNCTION("""COMPUTED_VALUE"""),TRUE)</f>
        <v>1</v>
      </c>
      <c r="N648" s="20" t="b">
        <f>IFERROR(__xludf.DUMMYFUNCTION("""COMPUTED_VALUE"""),FALSE)</f>
        <v>0</v>
      </c>
      <c r="O648" s="20">
        <f>IFERROR(__xludf.DUMMYFUNCTION("""COMPUTED_VALUE"""),66.5447317286695)</f>
        <v>66.54473173</v>
      </c>
      <c r="P648" s="20">
        <f>IFERROR(__xludf.DUMMYFUNCTION("""COMPUTED_VALUE"""),536642.0)</f>
        <v>536642</v>
      </c>
      <c r="Q648" s="20">
        <f>IFERROR(__xludf.DUMMYFUNCTION("""COMPUTED_VALUE"""),806439.0)</f>
        <v>806439</v>
      </c>
    </row>
    <row r="649">
      <c r="A649" s="20">
        <f>IFERROR(__xludf.DUMMYFUNCTION("""COMPUTED_VALUE"""),648.0)</f>
        <v>648</v>
      </c>
      <c r="B649" s="20" t="str">
        <f>IFERROR(__xludf.DUMMYFUNCTION("""COMPUTED_VALUE"""),"Replace Words")</f>
        <v>Replace Words</v>
      </c>
      <c r="C649" s="20" t="str">
        <f>IFERROR(__xludf.DUMMYFUNCTION("""COMPUTED_VALUE"""),"replace-words")</f>
        <v>replace-words</v>
      </c>
      <c r="D649" s="20" t="b">
        <f>IFERROR(__xludf.DUMMYFUNCTION("""COMPUTED_VALUE"""),FALSE)</f>
        <v>0</v>
      </c>
      <c r="E649" s="20" t="str">
        <f>IFERROR(__xludf.DUMMYFUNCTION("""COMPUTED_VALUE"""),"Medium")</f>
        <v>Medium</v>
      </c>
      <c r="F649" s="20">
        <f>IFERROR(__xludf.DUMMYFUNCTION("""COMPUTED_VALUE"""),1848.0)</f>
        <v>1848</v>
      </c>
      <c r="G649" s="20">
        <f>IFERROR(__xludf.DUMMYFUNCTION("""COMPUTED_VALUE"""),162.0)</f>
        <v>162</v>
      </c>
      <c r="H649" s="20" t="str">
        <f>IFERROR(__xludf.DUMMYFUNCTION("""COMPUTED_VALUE"""),"Algorithms")</f>
        <v>Algorithms</v>
      </c>
      <c r="I649" s="20">
        <f>IFERROR(__xludf.DUMMYFUNCTION("""COMPUTED_VALUE"""),0.627)</f>
        <v>0.627</v>
      </c>
      <c r="J649" s="20">
        <f>IFERROR(__xludf.DUMMYFUNCTION("""COMPUTED_VALUE"""),648.0)</f>
        <v>648</v>
      </c>
      <c r="K649" s="20" t="b">
        <f>IFERROR(__xludf.DUMMYFUNCTION("""COMPUTED_VALUE"""),FALSE)</f>
        <v>0</v>
      </c>
      <c r="L649" s="20" t="str">
        <f>IFERROR(__xludf.DUMMYFUNCTION("""COMPUTED_VALUE"""),"Array;Hash Table;String;Trie;")</f>
        <v>Array;Hash Table;String;Trie;</v>
      </c>
      <c r="M649" s="20" t="b">
        <f>IFERROR(__xludf.DUMMYFUNCTION("""COMPUTED_VALUE"""),TRUE)</f>
        <v>1</v>
      </c>
      <c r="N649" s="20" t="b">
        <f>IFERROR(__xludf.DUMMYFUNCTION("""COMPUTED_VALUE"""),FALSE)</f>
        <v>0</v>
      </c>
      <c r="O649" s="20">
        <f>IFERROR(__xludf.DUMMYFUNCTION("""COMPUTED_VALUE"""),62.7491267721388)</f>
        <v>62.74912677</v>
      </c>
      <c r="P649" s="20">
        <f>IFERROR(__xludf.DUMMYFUNCTION("""COMPUTED_VALUE"""),112998.0)</f>
        <v>112998</v>
      </c>
      <c r="Q649" s="20">
        <f>IFERROR(__xludf.DUMMYFUNCTION("""COMPUTED_VALUE"""),180079.0)</f>
        <v>180079</v>
      </c>
    </row>
    <row r="650">
      <c r="A650" s="20">
        <f>IFERROR(__xludf.DUMMYFUNCTION("""COMPUTED_VALUE"""),649.0)</f>
        <v>649</v>
      </c>
      <c r="B650" s="20" t="str">
        <f>IFERROR(__xludf.DUMMYFUNCTION("""COMPUTED_VALUE"""),"Dota2 Senate")</f>
        <v>Dota2 Senate</v>
      </c>
      <c r="C650" s="20" t="str">
        <f>IFERROR(__xludf.DUMMYFUNCTION("""COMPUTED_VALUE"""),"dota2-senate")</f>
        <v>dota2-senate</v>
      </c>
      <c r="D650" s="20" t="b">
        <f>IFERROR(__xludf.DUMMYFUNCTION("""COMPUTED_VALUE"""),FALSE)</f>
        <v>0</v>
      </c>
      <c r="E650" s="20" t="str">
        <f>IFERROR(__xludf.DUMMYFUNCTION("""COMPUTED_VALUE"""),"Medium")</f>
        <v>Medium</v>
      </c>
      <c r="F650" s="20">
        <f>IFERROR(__xludf.DUMMYFUNCTION("""COMPUTED_VALUE"""),491.0)</f>
        <v>491</v>
      </c>
      <c r="G650" s="20">
        <f>IFERROR(__xludf.DUMMYFUNCTION("""COMPUTED_VALUE"""),348.0)</f>
        <v>348</v>
      </c>
      <c r="H650" s="20" t="str">
        <f>IFERROR(__xludf.DUMMYFUNCTION("""COMPUTED_VALUE"""),"Algorithms")</f>
        <v>Algorithms</v>
      </c>
      <c r="I650" s="20">
        <f>IFERROR(__xludf.DUMMYFUNCTION("""COMPUTED_VALUE"""),0.405)</f>
        <v>0.405</v>
      </c>
      <c r="J650" s="20">
        <f>IFERROR(__xludf.DUMMYFUNCTION("""COMPUTED_VALUE"""),649.0)</f>
        <v>649</v>
      </c>
      <c r="K650" s="20" t="b">
        <f>IFERROR(__xludf.DUMMYFUNCTION("""COMPUTED_VALUE"""),FALSE)</f>
        <v>0</v>
      </c>
      <c r="L650" s="20" t="str">
        <f>IFERROR(__xludf.DUMMYFUNCTION("""COMPUTED_VALUE"""),"String;Greedy;Queue;")</f>
        <v>String;Greedy;Queue;</v>
      </c>
      <c r="M650" s="20" t="b">
        <f>IFERROR(__xludf.DUMMYFUNCTION("""COMPUTED_VALUE"""),FALSE)</f>
        <v>0</v>
      </c>
      <c r="N650" s="20" t="b">
        <f>IFERROR(__xludf.DUMMYFUNCTION("""COMPUTED_VALUE"""),FALSE)</f>
        <v>0</v>
      </c>
      <c r="O650" s="20">
        <f>IFERROR(__xludf.DUMMYFUNCTION("""COMPUTED_VALUE"""),40.4731398436484)</f>
        <v>40.47313984</v>
      </c>
      <c r="P650" s="20">
        <f>IFERROR(__xludf.DUMMYFUNCTION("""COMPUTED_VALUE"""),21796.0)</f>
        <v>21796</v>
      </c>
      <c r="Q650" s="20">
        <f>IFERROR(__xludf.DUMMYFUNCTION("""COMPUTED_VALUE"""),53853.0)</f>
        <v>53853</v>
      </c>
    </row>
    <row r="651">
      <c r="A651" s="20">
        <f>IFERROR(__xludf.DUMMYFUNCTION("""COMPUTED_VALUE"""),650.0)</f>
        <v>650</v>
      </c>
      <c r="B651" s="20" t="str">
        <f>IFERROR(__xludf.DUMMYFUNCTION("""COMPUTED_VALUE"""),"2 Keys Keyboard")</f>
        <v>2 Keys Keyboard</v>
      </c>
      <c r="C651" s="20" t="str">
        <f>IFERROR(__xludf.DUMMYFUNCTION("""COMPUTED_VALUE"""),"2-keys-keyboard")</f>
        <v>2-keys-keyboard</v>
      </c>
      <c r="D651" s="20" t="b">
        <f>IFERROR(__xludf.DUMMYFUNCTION("""COMPUTED_VALUE"""),FALSE)</f>
        <v>0</v>
      </c>
      <c r="E651" s="20" t="str">
        <f>IFERROR(__xludf.DUMMYFUNCTION("""COMPUTED_VALUE"""),"Medium")</f>
        <v>Medium</v>
      </c>
      <c r="F651" s="20">
        <f>IFERROR(__xludf.DUMMYFUNCTION("""COMPUTED_VALUE"""),2970.0)</f>
        <v>2970</v>
      </c>
      <c r="G651" s="20">
        <f>IFERROR(__xludf.DUMMYFUNCTION("""COMPUTED_VALUE"""),181.0)</f>
        <v>181</v>
      </c>
      <c r="H651" s="20" t="str">
        <f>IFERROR(__xludf.DUMMYFUNCTION("""COMPUTED_VALUE"""),"Algorithms")</f>
        <v>Algorithms</v>
      </c>
      <c r="I651" s="20">
        <f>IFERROR(__xludf.DUMMYFUNCTION("""COMPUTED_VALUE"""),0.533)</f>
        <v>0.533</v>
      </c>
      <c r="J651" s="20">
        <f>IFERROR(__xludf.DUMMYFUNCTION("""COMPUTED_VALUE"""),650.0)</f>
        <v>650</v>
      </c>
      <c r="K651" s="20" t="b">
        <f>IFERROR(__xludf.DUMMYFUNCTION("""COMPUTED_VALUE"""),FALSE)</f>
        <v>0</v>
      </c>
      <c r="L651" s="20" t="str">
        <f>IFERROR(__xludf.DUMMYFUNCTION("""COMPUTED_VALUE"""),"Math;Dynamic Programming;")</f>
        <v>Math;Dynamic Programming;</v>
      </c>
      <c r="M651" s="20" t="b">
        <f>IFERROR(__xludf.DUMMYFUNCTION("""COMPUTED_VALUE"""),TRUE)</f>
        <v>1</v>
      </c>
      <c r="N651" s="20" t="b">
        <f>IFERROR(__xludf.DUMMYFUNCTION("""COMPUTED_VALUE"""),FALSE)</f>
        <v>0</v>
      </c>
      <c r="O651" s="20">
        <f>IFERROR(__xludf.DUMMYFUNCTION("""COMPUTED_VALUE"""),53.2631929732689)</f>
        <v>53.26319297</v>
      </c>
      <c r="P651" s="20">
        <f>IFERROR(__xludf.DUMMYFUNCTION("""COMPUTED_VALUE"""),111882.0)</f>
        <v>111882</v>
      </c>
      <c r="Q651" s="20">
        <f>IFERROR(__xludf.DUMMYFUNCTION("""COMPUTED_VALUE"""),210055.0)</f>
        <v>210055</v>
      </c>
    </row>
    <row r="652">
      <c r="A652" s="20">
        <f>IFERROR(__xludf.DUMMYFUNCTION("""COMPUTED_VALUE"""),651.0)</f>
        <v>651</v>
      </c>
      <c r="B652" s="20" t="str">
        <f>IFERROR(__xludf.DUMMYFUNCTION("""COMPUTED_VALUE"""),"4 Keys Keyboard")</f>
        <v>4 Keys Keyboard</v>
      </c>
      <c r="C652" s="20" t="str">
        <f>IFERROR(__xludf.DUMMYFUNCTION("""COMPUTED_VALUE"""),"4-keys-keyboard")</f>
        <v>4-keys-keyboard</v>
      </c>
      <c r="D652" s="20" t="b">
        <f>IFERROR(__xludf.DUMMYFUNCTION("""COMPUTED_VALUE"""),TRUE)</f>
        <v>1</v>
      </c>
      <c r="E652" s="20" t="str">
        <f>IFERROR(__xludf.DUMMYFUNCTION("""COMPUTED_VALUE"""),"Medium")</f>
        <v>Medium</v>
      </c>
      <c r="F652" s="20">
        <f>IFERROR(__xludf.DUMMYFUNCTION("""COMPUTED_VALUE"""),553.0)</f>
        <v>553</v>
      </c>
      <c r="G652" s="20">
        <f>IFERROR(__xludf.DUMMYFUNCTION("""COMPUTED_VALUE"""),79.0)</f>
        <v>79</v>
      </c>
      <c r="H652" s="20" t="str">
        <f>IFERROR(__xludf.DUMMYFUNCTION("""COMPUTED_VALUE"""),"Algorithms")</f>
        <v>Algorithms</v>
      </c>
      <c r="I652" s="20">
        <f>IFERROR(__xludf.DUMMYFUNCTION("""COMPUTED_VALUE"""),0.545)</f>
        <v>0.545</v>
      </c>
      <c r="J652" s="20">
        <f>IFERROR(__xludf.DUMMYFUNCTION("""COMPUTED_VALUE"""),651.0)</f>
        <v>651</v>
      </c>
      <c r="K652" s="20" t="b">
        <f>IFERROR(__xludf.DUMMYFUNCTION("""COMPUTED_VALUE"""),TRUE)</f>
        <v>1</v>
      </c>
      <c r="L652" s="20" t="str">
        <f>IFERROR(__xludf.DUMMYFUNCTION("""COMPUTED_VALUE"""),"Math;Dynamic Programming;")</f>
        <v>Math;Dynamic Programming;</v>
      </c>
      <c r="M652" s="20" t="b">
        <f>IFERROR(__xludf.DUMMYFUNCTION("""COMPUTED_VALUE"""),TRUE)</f>
        <v>1</v>
      </c>
      <c r="N652" s="20" t="b">
        <f>IFERROR(__xludf.DUMMYFUNCTION("""COMPUTED_VALUE"""),FALSE)</f>
        <v>0</v>
      </c>
      <c r="O652" s="20">
        <f>IFERROR(__xludf.DUMMYFUNCTION("""COMPUTED_VALUE"""),54.4957472660996)</f>
        <v>54.49574727</v>
      </c>
      <c r="P652" s="20">
        <f>IFERROR(__xludf.DUMMYFUNCTION("""COMPUTED_VALUE"""),23322.0)</f>
        <v>23322</v>
      </c>
      <c r="Q652" s="20">
        <f>IFERROR(__xludf.DUMMYFUNCTION("""COMPUTED_VALUE"""),42796.0)</f>
        <v>42796</v>
      </c>
    </row>
    <row r="653">
      <c r="A653" s="20">
        <f>IFERROR(__xludf.DUMMYFUNCTION("""COMPUTED_VALUE"""),652.0)</f>
        <v>652</v>
      </c>
      <c r="B653" s="20" t="str">
        <f>IFERROR(__xludf.DUMMYFUNCTION("""COMPUTED_VALUE"""),"Find Duplicate Subtrees")</f>
        <v>Find Duplicate Subtrees</v>
      </c>
      <c r="C653" s="20" t="str">
        <f>IFERROR(__xludf.DUMMYFUNCTION("""COMPUTED_VALUE"""),"find-duplicate-subtrees")</f>
        <v>find-duplicate-subtrees</v>
      </c>
      <c r="D653" s="20" t="b">
        <f>IFERROR(__xludf.DUMMYFUNCTION("""COMPUTED_VALUE"""),FALSE)</f>
        <v>0</v>
      </c>
      <c r="E653" s="20" t="str">
        <f>IFERROR(__xludf.DUMMYFUNCTION("""COMPUTED_VALUE"""),"Medium")</f>
        <v>Medium</v>
      </c>
      <c r="F653" s="20">
        <f>IFERROR(__xludf.DUMMYFUNCTION("""COMPUTED_VALUE"""),3899.0)</f>
        <v>3899</v>
      </c>
      <c r="G653" s="20">
        <f>IFERROR(__xludf.DUMMYFUNCTION("""COMPUTED_VALUE"""),331.0)</f>
        <v>331</v>
      </c>
      <c r="H653" s="20" t="str">
        <f>IFERROR(__xludf.DUMMYFUNCTION("""COMPUTED_VALUE"""),"Algorithms")</f>
        <v>Algorithms</v>
      </c>
      <c r="I653" s="20">
        <f>IFERROR(__xludf.DUMMYFUNCTION("""COMPUTED_VALUE"""),0.565)</f>
        <v>0.565</v>
      </c>
      <c r="J653" s="20">
        <f>IFERROR(__xludf.DUMMYFUNCTION("""COMPUTED_VALUE"""),652.0)</f>
        <v>652</v>
      </c>
      <c r="K653" s="20" t="b">
        <f>IFERROR(__xludf.DUMMYFUNCTION("""COMPUTED_VALUE"""),FALSE)</f>
        <v>0</v>
      </c>
      <c r="L653" s="20" t="str">
        <f>IFERROR(__xludf.DUMMYFUNCTION("""COMPUTED_VALUE"""),"Hash Table;Tree;Depth-First Search;Binary Tree;")</f>
        <v>Hash Table;Tree;Depth-First Search;Binary Tree;</v>
      </c>
      <c r="M653" s="20" t="b">
        <f>IFERROR(__xludf.DUMMYFUNCTION("""COMPUTED_VALUE"""),FALSE)</f>
        <v>0</v>
      </c>
      <c r="N653" s="20" t="b">
        <f>IFERROR(__xludf.DUMMYFUNCTION("""COMPUTED_VALUE"""),FALSE)</f>
        <v>0</v>
      </c>
      <c r="O653" s="20">
        <f>IFERROR(__xludf.DUMMYFUNCTION("""COMPUTED_VALUE"""),56.5024978537781)</f>
        <v>56.50249785</v>
      </c>
      <c r="P653" s="20">
        <f>IFERROR(__xludf.DUMMYFUNCTION("""COMPUTED_VALUE"""),178360.0)</f>
        <v>178360</v>
      </c>
      <c r="Q653" s="20">
        <f>IFERROR(__xludf.DUMMYFUNCTION("""COMPUTED_VALUE"""),315669.0)</f>
        <v>315669</v>
      </c>
    </row>
    <row r="654">
      <c r="A654" s="20">
        <f>IFERROR(__xludf.DUMMYFUNCTION("""COMPUTED_VALUE"""),653.0)</f>
        <v>653</v>
      </c>
      <c r="B654" s="20" t="str">
        <f>IFERROR(__xludf.DUMMYFUNCTION("""COMPUTED_VALUE"""),"Two Sum IV - Input is a BST")</f>
        <v>Two Sum IV - Input is a BST</v>
      </c>
      <c r="C654" s="20" t="str">
        <f>IFERROR(__xludf.DUMMYFUNCTION("""COMPUTED_VALUE"""),"two-sum-iv-input-is-a-bst")</f>
        <v>two-sum-iv-input-is-a-bst</v>
      </c>
      <c r="D654" s="20" t="b">
        <f>IFERROR(__xludf.DUMMYFUNCTION("""COMPUTED_VALUE"""),FALSE)</f>
        <v>0</v>
      </c>
      <c r="E654" s="20" t="str">
        <f>IFERROR(__xludf.DUMMYFUNCTION("""COMPUTED_VALUE"""),"Easy")</f>
        <v>Easy</v>
      </c>
      <c r="F654" s="20">
        <f>IFERROR(__xludf.DUMMYFUNCTION("""COMPUTED_VALUE"""),5456.0)</f>
        <v>5456</v>
      </c>
      <c r="G654" s="20">
        <f>IFERROR(__xludf.DUMMYFUNCTION("""COMPUTED_VALUE"""),236.0)</f>
        <v>236</v>
      </c>
      <c r="H654" s="20" t="str">
        <f>IFERROR(__xludf.DUMMYFUNCTION("""COMPUTED_VALUE"""),"Algorithms")</f>
        <v>Algorithms</v>
      </c>
      <c r="I654" s="20">
        <f>IFERROR(__xludf.DUMMYFUNCTION("""COMPUTED_VALUE"""),0.61)</f>
        <v>0.61</v>
      </c>
      <c r="J654" s="20">
        <f>IFERROR(__xludf.DUMMYFUNCTION("""COMPUTED_VALUE"""),653.0)</f>
        <v>653</v>
      </c>
      <c r="K654" s="20" t="b">
        <f>IFERROR(__xludf.DUMMYFUNCTION("""COMPUTED_VALUE"""),FALSE)</f>
        <v>0</v>
      </c>
      <c r="L654" s="20" t="str">
        <f>IFERROR(__xludf.DUMMYFUNCTION("""COMPUTED_VALUE"""),"Hash Table;Two Pointers;Tree;Depth-First Search;Breadth-First Search;Binary Search Tree;Binary Tree;")</f>
        <v>Hash Table;Two Pointers;Tree;Depth-First Search;Breadth-First Search;Binary Search Tree;Binary Tree;</v>
      </c>
      <c r="M654" s="20" t="b">
        <f>IFERROR(__xludf.DUMMYFUNCTION("""COMPUTED_VALUE"""),TRUE)</f>
        <v>1</v>
      </c>
      <c r="N654" s="20" t="b">
        <f>IFERROR(__xludf.DUMMYFUNCTION("""COMPUTED_VALUE"""),FALSE)</f>
        <v>0</v>
      </c>
      <c r="O654" s="20">
        <f>IFERROR(__xludf.DUMMYFUNCTION("""COMPUTED_VALUE"""),61.0127071062408)</f>
        <v>61.01270711</v>
      </c>
      <c r="P654" s="20">
        <f>IFERROR(__xludf.DUMMYFUNCTION("""COMPUTED_VALUE"""),429777.0)</f>
        <v>429777</v>
      </c>
      <c r="Q654" s="20">
        <f>IFERROR(__xludf.DUMMYFUNCTION("""COMPUTED_VALUE"""),704406.0)</f>
        <v>704406</v>
      </c>
    </row>
    <row r="655">
      <c r="A655" s="20">
        <f>IFERROR(__xludf.DUMMYFUNCTION("""COMPUTED_VALUE"""),654.0)</f>
        <v>654</v>
      </c>
      <c r="B655" s="20" t="str">
        <f>IFERROR(__xludf.DUMMYFUNCTION("""COMPUTED_VALUE"""),"Maximum Binary Tree")</f>
        <v>Maximum Binary Tree</v>
      </c>
      <c r="C655" s="20" t="str">
        <f>IFERROR(__xludf.DUMMYFUNCTION("""COMPUTED_VALUE"""),"maximum-binary-tree")</f>
        <v>maximum-binary-tree</v>
      </c>
      <c r="D655" s="20" t="b">
        <f>IFERROR(__xludf.DUMMYFUNCTION("""COMPUTED_VALUE"""),FALSE)</f>
        <v>0</v>
      </c>
      <c r="E655" s="20" t="str">
        <f>IFERROR(__xludf.DUMMYFUNCTION("""COMPUTED_VALUE"""),"Medium")</f>
        <v>Medium</v>
      </c>
      <c r="F655" s="20">
        <f>IFERROR(__xludf.DUMMYFUNCTION("""COMPUTED_VALUE"""),4398.0)</f>
        <v>4398</v>
      </c>
      <c r="G655" s="20">
        <f>IFERROR(__xludf.DUMMYFUNCTION("""COMPUTED_VALUE"""),311.0)</f>
        <v>311</v>
      </c>
      <c r="H655" s="20" t="str">
        <f>IFERROR(__xludf.DUMMYFUNCTION("""COMPUTED_VALUE"""),"Algorithms")</f>
        <v>Algorithms</v>
      </c>
      <c r="I655" s="20">
        <f>IFERROR(__xludf.DUMMYFUNCTION("""COMPUTED_VALUE"""),0.846)</f>
        <v>0.846</v>
      </c>
      <c r="J655" s="20">
        <f>IFERROR(__xludf.DUMMYFUNCTION("""COMPUTED_VALUE"""),654.0)</f>
        <v>654</v>
      </c>
      <c r="K655" s="20" t="b">
        <f>IFERROR(__xludf.DUMMYFUNCTION("""COMPUTED_VALUE"""),FALSE)</f>
        <v>0</v>
      </c>
      <c r="L655" s="20" t="str">
        <f>IFERROR(__xludf.DUMMYFUNCTION("""COMPUTED_VALUE"""),"Array;Divide and Conquer;Stack;Tree;Monotonic Stack;Binary Tree;")</f>
        <v>Array;Divide and Conquer;Stack;Tree;Monotonic Stack;Binary Tree;</v>
      </c>
      <c r="M655" s="20" t="b">
        <f>IFERROR(__xludf.DUMMYFUNCTION("""COMPUTED_VALUE"""),TRUE)</f>
        <v>1</v>
      </c>
      <c r="N655" s="20" t="b">
        <f>IFERROR(__xludf.DUMMYFUNCTION("""COMPUTED_VALUE"""),FALSE)</f>
        <v>0</v>
      </c>
      <c r="O655" s="20">
        <f>IFERROR(__xludf.DUMMYFUNCTION("""COMPUTED_VALUE"""),84.5839914829066)</f>
        <v>84.58399148</v>
      </c>
      <c r="P655" s="20">
        <f>IFERROR(__xludf.DUMMYFUNCTION("""COMPUTED_VALUE"""),243111.0)</f>
        <v>243111</v>
      </c>
      <c r="Q655" s="20">
        <f>IFERROR(__xludf.DUMMYFUNCTION("""COMPUTED_VALUE"""),287420.0)</f>
        <v>287420</v>
      </c>
    </row>
    <row r="656">
      <c r="A656" s="20">
        <f>IFERROR(__xludf.DUMMYFUNCTION("""COMPUTED_VALUE"""),655.0)</f>
        <v>655</v>
      </c>
      <c r="B656" s="20" t="str">
        <f>IFERROR(__xludf.DUMMYFUNCTION("""COMPUTED_VALUE"""),"Print Binary Tree")</f>
        <v>Print Binary Tree</v>
      </c>
      <c r="C656" s="20" t="str">
        <f>IFERROR(__xludf.DUMMYFUNCTION("""COMPUTED_VALUE"""),"print-binary-tree")</f>
        <v>print-binary-tree</v>
      </c>
      <c r="D656" s="20" t="b">
        <f>IFERROR(__xludf.DUMMYFUNCTION("""COMPUTED_VALUE"""),FALSE)</f>
        <v>0</v>
      </c>
      <c r="E656" s="20" t="str">
        <f>IFERROR(__xludf.DUMMYFUNCTION("""COMPUTED_VALUE"""),"Medium")</f>
        <v>Medium</v>
      </c>
      <c r="F656" s="20">
        <f>IFERROR(__xludf.DUMMYFUNCTION("""COMPUTED_VALUE"""),317.0)</f>
        <v>317</v>
      </c>
      <c r="G656" s="20">
        <f>IFERROR(__xludf.DUMMYFUNCTION("""COMPUTED_VALUE"""),338.0)</f>
        <v>338</v>
      </c>
      <c r="H656" s="20" t="str">
        <f>IFERROR(__xludf.DUMMYFUNCTION("""COMPUTED_VALUE"""),"Algorithms")</f>
        <v>Algorithms</v>
      </c>
      <c r="I656" s="20">
        <f>IFERROR(__xludf.DUMMYFUNCTION("""COMPUTED_VALUE"""),0.616)</f>
        <v>0.616</v>
      </c>
      <c r="J656" s="20">
        <f>IFERROR(__xludf.DUMMYFUNCTION("""COMPUTED_VALUE"""),655.0)</f>
        <v>655</v>
      </c>
      <c r="K656" s="20" t="b">
        <f>IFERROR(__xludf.DUMMYFUNCTION("""COMPUTED_VALUE"""),FALSE)</f>
        <v>0</v>
      </c>
      <c r="L656" s="20" t="str">
        <f>IFERROR(__xludf.DUMMYFUNCTION("""COMPUTED_VALUE"""),"Tree;Depth-First Search;Breadth-First Search;Binary Tree;")</f>
        <v>Tree;Depth-First Search;Breadth-First Search;Binary Tree;</v>
      </c>
      <c r="M656" s="20" t="b">
        <f>IFERROR(__xludf.DUMMYFUNCTION("""COMPUTED_VALUE"""),FALSE)</f>
        <v>0</v>
      </c>
      <c r="N656" s="20" t="b">
        <f>IFERROR(__xludf.DUMMYFUNCTION("""COMPUTED_VALUE"""),FALSE)</f>
        <v>0</v>
      </c>
      <c r="O656" s="20">
        <f>IFERROR(__xludf.DUMMYFUNCTION("""COMPUTED_VALUE"""),61.5986740095171)</f>
        <v>61.59867401</v>
      </c>
      <c r="P656" s="20">
        <f>IFERROR(__xludf.DUMMYFUNCTION("""COMPUTED_VALUE"""),57603.0)</f>
        <v>57603</v>
      </c>
      <c r="Q656" s="20">
        <f>IFERROR(__xludf.DUMMYFUNCTION("""COMPUTED_VALUE"""),93514.0)</f>
        <v>93514</v>
      </c>
    </row>
    <row r="657">
      <c r="A657" s="20">
        <f>IFERROR(__xludf.DUMMYFUNCTION("""COMPUTED_VALUE"""),656.0)</f>
        <v>656</v>
      </c>
      <c r="B657" s="20" t="str">
        <f>IFERROR(__xludf.DUMMYFUNCTION("""COMPUTED_VALUE"""),"Coin Path")</f>
        <v>Coin Path</v>
      </c>
      <c r="C657" s="20" t="str">
        <f>IFERROR(__xludf.DUMMYFUNCTION("""COMPUTED_VALUE"""),"coin-path")</f>
        <v>coin-path</v>
      </c>
      <c r="D657" s="20" t="b">
        <f>IFERROR(__xludf.DUMMYFUNCTION("""COMPUTED_VALUE"""),TRUE)</f>
        <v>1</v>
      </c>
      <c r="E657" s="20" t="str">
        <f>IFERROR(__xludf.DUMMYFUNCTION("""COMPUTED_VALUE"""),"Hard")</f>
        <v>Hard</v>
      </c>
      <c r="F657" s="20">
        <f>IFERROR(__xludf.DUMMYFUNCTION("""COMPUTED_VALUE"""),232.0)</f>
        <v>232</v>
      </c>
      <c r="G657" s="20">
        <f>IFERROR(__xludf.DUMMYFUNCTION("""COMPUTED_VALUE"""),105.0)</f>
        <v>105</v>
      </c>
      <c r="H657" s="20" t="str">
        <f>IFERROR(__xludf.DUMMYFUNCTION("""COMPUTED_VALUE"""),"Algorithms")</f>
        <v>Algorithms</v>
      </c>
      <c r="I657" s="20">
        <f>IFERROR(__xludf.DUMMYFUNCTION("""COMPUTED_VALUE"""),0.317)</f>
        <v>0.317</v>
      </c>
      <c r="J657" s="20">
        <f>IFERROR(__xludf.DUMMYFUNCTION("""COMPUTED_VALUE"""),656.0)</f>
        <v>656</v>
      </c>
      <c r="K657" s="20" t="b">
        <f>IFERROR(__xludf.DUMMYFUNCTION("""COMPUTED_VALUE"""),TRUE)</f>
        <v>1</v>
      </c>
      <c r="L657" s="20" t="str">
        <f>IFERROR(__xludf.DUMMYFUNCTION("""COMPUTED_VALUE"""),"Array;Dynamic Programming;")</f>
        <v>Array;Dynamic Programming;</v>
      </c>
      <c r="M657" s="20" t="b">
        <f>IFERROR(__xludf.DUMMYFUNCTION("""COMPUTED_VALUE"""),TRUE)</f>
        <v>1</v>
      </c>
      <c r="N657" s="20" t="b">
        <f>IFERROR(__xludf.DUMMYFUNCTION("""COMPUTED_VALUE"""),FALSE)</f>
        <v>0</v>
      </c>
      <c r="O657" s="20">
        <f>IFERROR(__xludf.DUMMYFUNCTION("""COMPUTED_VALUE"""),31.6644211336733)</f>
        <v>31.66442113</v>
      </c>
      <c r="P657" s="20">
        <f>IFERROR(__xludf.DUMMYFUNCTION("""COMPUTED_VALUE"""),13161.0)</f>
        <v>13161</v>
      </c>
      <c r="Q657" s="20">
        <f>IFERROR(__xludf.DUMMYFUNCTION("""COMPUTED_VALUE"""),41564.0)</f>
        <v>41564</v>
      </c>
    </row>
    <row r="658">
      <c r="A658" s="20">
        <f>IFERROR(__xludf.DUMMYFUNCTION("""COMPUTED_VALUE"""),657.0)</f>
        <v>657</v>
      </c>
      <c r="B658" s="20" t="str">
        <f>IFERROR(__xludf.DUMMYFUNCTION("""COMPUTED_VALUE"""),"Robot Return to Origin")</f>
        <v>Robot Return to Origin</v>
      </c>
      <c r="C658" s="20" t="str">
        <f>IFERROR(__xludf.DUMMYFUNCTION("""COMPUTED_VALUE"""),"robot-return-to-origin")</f>
        <v>robot-return-to-origin</v>
      </c>
      <c r="D658" s="20" t="b">
        <f>IFERROR(__xludf.DUMMYFUNCTION("""COMPUTED_VALUE"""),FALSE)</f>
        <v>0</v>
      </c>
      <c r="E658" s="20" t="str">
        <f>IFERROR(__xludf.DUMMYFUNCTION("""COMPUTED_VALUE"""),"Easy")</f>
        <v>Easy</v>
      </c>
      <c r="F658" s="20">
        <f>IFERROR(__xludf.DUMMYFUNCTION("""COMPUTED_VALUE"""),1961.0)</f>
        <v>1961</v>
      </c>
      <c r="G658" s="20">
        <f>IFERROR(__xludf.DUMMYFUNCTION("""COMPUTED_VALUE"""),729.0)</f>
        <v>729</v>
      </c>
      <c r="H658" s="20" t="str">
        <f>IFERROR(__xludf.DUMMYFUNCTION("""COMPUTED_VALUE"""),"Algorithms")</f>
        <v>Algorithms</v>
      </c>
      <c r="I658" s="20">
        <f>IFERROR(__xludf.DUMMYFUNCTION("""COMPUTED_VALUE"""),0.753)</f>
        <v>0.753</v>
      </c>
      <c r="J658" s="20">
        <f>IFERROR(__xludf.DUMMYFUNCTION("""COMPUTED_VALUE"""),657.0)</f>
        <v>657</v>
      </c>
      <c r="K658" s="20" t="b">
        <f>IFERROR(__xludf.DUMMYFUNCTION("""COMPUTED_VALUE"""),FALSE)</f>
        <v>0</v>
      </c>
      <c r="L658" s="20" t="str">
        <f>IFERROR(__xludf.DUMMYFUNCTION("""COMPUTED_VALUE"""),"String;Simulation;")</f>
        <v>String;Simulation;</v>
      </c>
      <c r="M658" s="20" t="b">
        <f>IFERROR(__xludf.DUMMYFUNCTION("""COMPUTED_VALUE"""),TRUE)</f>
        <v>1</v>
      </c>
      <c r="N658" s="20" t="b">
        <f>IFERROR(__xludf.DUMMYFUNCTION("""COMPUTED_VALUE"""),FALSE)</f>
        <v>0</v>
      </c>
      <c r="O658" s="20">
        <f>IFERROR(__xludf.DUMMYFUNCTION("""COMPUTED_VALUE"""),75.3150372436534)</f>
        <v>75.31503724</v>
      </c>
      <c r="P658" s="20">
        <f>IFERROR(__xludf.DUMMYFUNCTION("""COMPUTED_VALUE"""),357225.0)</f>
        <v>357225</v>
      </c>
      <c r="Q658" s="20">
        <f>IFERROR(__xludf.DUMMYFUNCTION("""COMPUTED_VALUE"""),474306.0)</f>
        <v>474306</v>
      </c>
    </row>
    <row r="659">
      <c r="A659" s="20">
        <f>IFERROR(__xludf.DUMMYFUNCTION("""COMPUTED_VALUE"""),658.0)</f>
        <v>658</v>
      </c>
      <c r="B659" s="20" t="str">
        <f>IFERROR(__xludf.DUMMYFUNCTION("""COMPUTED_VALUE"""),"Find K Closest Elements")</f>
        <v>Find K Closest Elements</v>
      </c>
      <c r="C659" s="20" t="str">
        <f>IFERROR(__xludf.DUMMYFUNCTION("""COMPUTED_VALUE"""),"find-k-closest-elements")</f>
        <v>find-k-closest-elements</v>
      </c>
      <c r="D659" s="20" t="b">
        <f>IFERROR(__xludf.DUMMYFUNCTION("""COMPUTED_VALUE"""),FALSE)</f>
        <v>0</v>
      </c>
      <c r="E659" s="20" t="str">
        <f>IFERROR(__xludf.DUMMYFUNCTION("""COMPUTED_VALUE"""),"Medium")</f>
        <v>Medium</v>
      </c>
      <c r="F659" s="20">
        <f>IFERROR(__xludf.DUMMYFUNCTION("""COMPUTED_VALUE"""),6510.0)</f>
        <v>6510</v>
      </c>
      <c r="G659" s="20">
        <f>IFERROR(__xludf.DUMMYFUNCTION("""COMPUTED_VALUE"""),529.0)</f>
        <v>529</v>
      </c>
      <c r="H659" s="20" t="str">
        <f>IFERROR(__xludf.DUMMYFUNCTION("""COMPUTED_VALUE"""),"Algorithms")</f>
        <v>Algorithms</v>
      </c>
      <c r="I659" s="20">
        <f>IFERROR(__xludf.DUMMYFUNCTION("""COMPUTED_VALUE"""),0.468)</f>
        <v>0.468</v>
      </c>
      <c r="J659" s="20">
        <f>IFERROR(__xludf.DUMMYFUNCTION("""COMPUTED_VALUE"""),658.0)</f>
        <v>658</v>
      </c>
      <c r="K659" s="20" t="b">
        <f>IFERROR(__xludf.DUMMYFUNCTION("""COMPUTED_VALUE"""),FALSE)</f>
        <v>0</v>
      </c>
      <c r="L659" s="20" t="str">
        <f>IFERROR(__xludf.DUMMYFUNCTION("""COMPUTED_VALUE"""),"Array;Two Pointers;Binary Search;Sliding Window;Sorting;Heap (Priority Queue);")</f>
        <v>Array;Two Pointers;Binary Search;Sliding Window;Sorting;Heap (Priority Queue);</v>
      </c>
      <c r="M659" s="20" t="b">
        <f>IFERROR(__xludf.DUMMYFUNCTION("""COMPUTED_VALUE"""),TRUE)</f>
        <v>1</v>
      </c>
      <c r="N659" s="20" t="b">
        <f>IFERROR(__xludf.DUMMYFUNCTION("""COMPUTED_VALUE"""),FALSE)</f>
        <v>0</v>
      </c>
      <c r="O659" s="20">
        <f>IFERROR(__xludf.DUMMYFUNCTION("""COMPUTED_VALUE"""),46.7754558340759)</f>
        <v>46.77545583</v>
      </c>
      <c r="P659" s="20">
        <f>IFERROR(__xludf.DUMMYFUNCTION("""COMPUTED_VALUE"""),405224.0)</f>
        <v>405224</v>
      </c>
      <c r="Q659" s="20">
        <f>IFERROR(__xludf.DUMMYFUNCTION("""COMPUTED_VALUE"""),866313.0)</f>
        <v>866313</v>
      </c>
    </row>
    <row r="660">
      <c r="A660" s="20">
        <f>IFERROR(__xludf.DUMMYFUNCTION("""COMPUTED_VALUE"""),659.0)</f>
        <v>659</v>
      </c>
      <c r="B660" s="20" t="str">
        <f>IFERROR(__xludf.DUMMYFUNCTION("""COMPUTED_VALUE"""),"Split Array into Consecutive Subsequences")</f>
        <v>Split Array into Consecutive Subsequences</v>
      </c>
      <c r="C660" s="20" t="str">
        <f>IFERROR(__xludf.DUMMYFUNCTION("""COMPUTED_VALUE"""),"split-array-into-consecutive-subsequences")</f>
        <v>split-array-into-consecutive-subsequences</v>
      </c>
      <c r="D660" s="20" t="b">
        <f>IFERROR(__xludf.DUMMYFUNCTION("""COMPUTED_VALUE"""),FALSE)</f>
        <v>0</v>
      </c>
      <c r="E660" s="20" t="str">
        <f>IFERROR(__xludf.DUMMYFUNCTION("""COMPUTED_VALUE"""),"Medium")</f>
        <v>Medium</v>
      </c>
      <c r="F660" s="20">
        <f>IFERROR(__xludf.DUMMYFUNCTION("""COMPUTED_VALUE"""),4007.0)</f>
        <v>4007</v>
      </c>
      <c r="G660" s="20">
        <f>IFERROR(__xludf.DUMMYFUNCTION("""COMPUTED_VALUE"""),759.0)</f>
        <v>759</v>
      </c>
      <c r="H660" s="20" t="str">
        <f>IFERROR(__xludf.DUMMYFUNCTION("""COMPUTED_VALUE"""),"Algorithms")</f>
        <v>Algorithms</v>
      </c>
      <c r="I660" s="20">
        <f>IFERROR(__xludf.DUMMYFUNCTION("""COMPUTED_VALUE"""),0.507)</f>
        <v>0.507</v>
      </c>
      <c r="J660" s="20">
        <f>IFERROR(__xludf.DUMMYFUNCTION("""COMPUTED_VALUE"""),659.0)</f>
        <v>659</v>
      </c>
      <c r="K660" s="20" t="b">
        <f>IFERROR(__xludf.DUMMYFUNCTION("""COMPUTED_VALUE"""),FALSE)</f>
        <v>0</v>
      </c>
      <c r="L660" s="20" t="str">
        <f>IFERROR(__xludf.DUMMYFUNCTION("""COMPUTED_VALUE"""),"Array;Hash Table;Greedy;Heap (Priority Queue);")</f>
        <v>Array;Hash Table;Greedy;Heap (Priority Queue);</v>
      </c>
      <c r="M660" s="20" t="b">
        <f>IFERROR(__xludf.DUMMYFUNCTION("""COMPUTED_VALUE"""),TRUE)</f>
        <v>1</v>
      </c>
      <c r="N660" s="20" t="b">
        <f>IFERROR(__xludf.DUMMYFUNCTION("""COMPUTED_VALUE"""),FALSE)</f>
        <v>0</v>
      </c>
      <c r="O660" s="20">
        <f>IFERROR(__xludf.DUMMYFUNCTION("""COMPUTED_VALUE"""),50.6878901742655)</f>
        <v>50.68789017</v>
      </c>
      <c r="P660" s="20">
        <f>IFERROR(__xludf.DUMMYFUNCTION("""COMPUTED_VALUE"""),119922.0)</f>
        <v>119922</v>
      </c>
      <c r="Q660" s="20">
        <f>IFERROR(__xludf.DUMMYFUNCTION("""COMPUTED_VALUE"""),236588.0)</f>
        <v>236588</v>
      </c>
    </row>
    <row r="661">
      <c r="A661" s="20">
        <f>IFERROR(__xludf.DUMMYFUNCTION("""COMPUTED_VALUE"""),660.0)</f>
        <v>660</v>
      </c>
      <c r="B661" s="20" t="str">
        <f>IFERROR(__xludf.DUMMYFUNCTION("""COMPUTED_VALUE"""),"Remove 9")</f>
        <v>Remove 9</v>
      </c>
      <c r="C661" s="20" t="str">
        <f>IFERROR(__xludf.DUMMYFUNCTION("""COMPUTED_VALUE"""),"remove-9")</f>
        <v>remove-9</v>
      </c>
      <c r="D661" s="20" t="b">
        <f>IFERROR(__xludf.DUMMYFUNCTION("""COMPUTED_VALUE"""),TRUE)</f>
        <v>1</v>
      </c>
      <c r="E661" s="20" t="str">
        <f>IFERROR(__xludf.DUMMYFUNCTION("""COMPUTED_VALUE"""),"Hard")</f>
        <v>Hard</v>
      </c>
      <c r="F661" s="20">
        <f>IFERROR(__xludf.DUMMYFUNCTION("""COMPUTED_VALUE"""),151.0)</f>
        <v>151</v>
      </c>
      <c r="G661" s="20">
        <f>IFERROR(__xludf.DUMMYFUNCTION("""COMPUTED_VALUE"""),197.0)</f>
        <v>197</v>
      </c>
      <c r="H661" s="20" t="str">
        <f>IFERROR(__xludf.DUMMYFUNCTION("""COMPUTED_VALUE"""),"Algorithms")</f>
        <v>Algorithms</v>
      </c>
      <c r="I661" s="20">
        <f>IFERROR(__xludf.DUMMYFUNCTION("""COMPUTED_VALUE"""),0.568)</f>
        <v>0.568</v>
      </c>
      <c r="J661" s="20">
        <f>IFERROR(__xludf.DUMMYFUNCTION("""COMPUTED_VALUE"""),660.0)</f>
        <v>660</v>
      </c>
      <c r="K661" s="20" t="b">
        <f>IFERROR(__xludf.DUMMYFUNCTION("""COMPUTED_VALUE"""),TRUE)</f>
        <v>1</v>
      </c>
      <c r="L661" s="20" t="str">
        <f>IFERROR(__xludf.DUMMYFUNCTION("""COMPUTED_VALUE"""),"Math;")</f>
        <v>Math;</v>
      </c>
      <c r="M661" s="20" t="b">
        <f>IFERROR(__xludf.DUMMYFUNCTION("""COMPUTED_VALUE"""),TRUE)</f>
        <v>1</v>
      </c>
      <c r="N661" s="20" t="b">
        <f>IFERROR(__xludf.DUMMYFUNCTION("""COMPUTED_VALUE"""),FALSE)</f>
        <v>0</v>
      </c>
      <c r="O661" s="20">
        <f>IFERROR(__xludf.DUMMYFUNCTION("""COMPUTED_VALUE"""),56.824942791762)</f>
        <v>56.82494279</v>
      </c>
      <c r="P661" s="20">
        <f>IFERROR(__xludf.DUMMYFUNCTION("""COMPUTED_VALUE"""),9933.0)</f>
        <v>9933</v>
      </c>
      <c r="Q661" s="20">
        <f>IFERROR(__xludf.DUMMYFUNCTION("""COMPUTED_VALUE"""),17480.0)</f>
        <v>17480</v>
      </c>
    </row>
    <row r="662">
      <c r="A662" s="20">
        <f>IFERROR(__xludf.DUMMYFUNCTION("""COMPUTED_VALUE"""),661.0)</f>
        <v>661</v>
      </c>
      <c r="B662" s="20" t="str">
        <f>IFERROR(__xludf.DUMMYFUNCTION("""COMPUTED_VALUE"""),"Image Smoother")</f>
        <v>Image Smoother</v>
      </c>
      <c r="C662" s="20" t="str">
        <f>IFERROR(__xludf.DUMMYFUNCTION("""COMPUTED_VALUE"""),"image-smoother")</f>
        <v>image-smoother</v>
      </c>
      <c r="D662" s="20" t="b">
        <f>IFERROR(__xludf.DUMMYFUNCTION("""COMPUTED_VALUE"""),FALSE)</f>
        <v>0</v>
      </c>
      <c r="E662" s="20" t="str">
        <f>IFERROR(__xludf.DUMMYFUNCTION("""COMPUTED_VALUE"""),"Easy")</f>
        <v>Easy</v>
      </c>
      <c r="F662" s="20">
        <f>IFERROR(__xludf.DUMMYFUNCTION("""COMPUTED_VALUE"""),432.0)</f>
        <v>432</v>
      </c>
      <c r="G662" s="20">
        <f>IFERROR(__xludf.DUMMYFUNCTION("""COMPUTED_VALUE"""),1739.0)</f>
        <v>1739</v>
      </c>
      <c r="H662" s="20" t="str">
        <f>IFERROR(__xludf.DUMMYFUNCTION("""COMPUTED_VALUE"""),"Algorithms")</f>
        <v>Algorithms</v>
      </c>
      <c r="I662" s="20">
        <f>IFERROR(__xludf.DUMMYFUNCTION("""COMPUTED_VALUE"""),0.552)</f>
        <v>0.552</v>
      </c>
      <c r="J662" s="20">
        <f>IFERROR(__xludf.DUMMYFUNCTION("""COMPUTED_VALUE"""),661.0)</f>
        <v>661</v>
      </c>
      <c r="K662" s="20" t="b">
        <f>IFERROR(__xludf.DUMMYFUNCTION("""COMPUTED_VALUE"""),FALSE)</f>
        <v>0</v>
      </c>
      <c r="L662" s="20" t="str">
        <f>IFERROR(__xludf.DUMMYFUNCTION("""COMPUTED_VALUE"""),"Array;Matrix;")</f>
        <v>Array;Matrix;</v>
      </c>
      <c r="M662" s="20" t="b">
        <f>IFERROR(__xludf.DUMMYFUNCTION("""COMPUTED_VALUE"""),TRUE)</f>
        <v>1</v>
      </c>
      <c r="N662" s="20" t="b">
        <f>IFERROR(__xludf.DUMMYFUNCTION("""COMPUTED_VALUE"""),FALSE)</f>
        <v>0</v>
      </c>
      <c r="O662" s="20">
        <f>IFERROR(__xludf.DUMMYFUNCTION("""COMPUTED_VALUE"""),55.1853744839787)</f>
        <v>55.18537448</v>
      </c>
      <c r="P662" s="20">
        <f>IFERROR(__xludf.DUMMYFUNCTION("""COMPUTED_VALUE"""),70182.0)</f>
        <v>70182</v>
      </c>
      <c r="Q662" s="20">
        <f>IFERROR(__xludf.DUMMYFUNCTION("""COMPUTED_VALUE"""),127175.0)</f>
        <v>127175</v>
      </c>
    </row>
    <row r="663">
      <c r="A663" s="20">
        <f>IFERROR(__xludf.DUMMYFUNCTION("""COMPUTED_VALUE"""),662.0)</f>
        <v>662</v>
      </c>
      <c r="B663" s="20" t="str">
        <f>IFERROR(__xludf.DUMMYFUNCTION("""COMPUTED_VALUE"""),"Maximum Width of Binary Tree")</f>
        <v>Maximum Width of Binary Tree</v>
      </c>
      <c r="C663" s="20" t="str">
        <f>IFERROR(__xludf.DUMMYFUNCTION("""COMPUTED_VALUE"""),"maximum-width-of-binary-tree")</f>
        <v>maximum-width-of-binary-tree</v>
      </c>
      <c r="D663" s="20" t="b">
        <f>IFERROR(__xludf.DUMMYFUNCTION("""COMPUTED_VALUE"""),FALSE)</f>
        <v>0</v>
      </c>
      <c r="E663" s="20" t="str">
        <f>IFERROR(__xludf.DUMMYFUNCTION("""COMPUTED_VALUE"""),"Medium")</f>
        <v>Medium</v>
      </c>
      <c r="F663" s="20">
        <f>IFERROR(__xludf.DUMMYFUNCTION("""COMPUTED_VALUE"""),6067.0)</f>
        <v>6067</v>
      </c>
      <c r="G663" s="20">
        <f>IFERROR(__xludf.DUMMYFUNCTION("""COMPUTED_VALUE"""),845.0)</f>
        <v>845</v>
      </c>
      <c r="H663" s="20" t="str">
        <f>IFERROR(__xludf.DUMMYFUNCTION("""COMPUTED_VALUE"""),"Algorithms")</f>
        <v>Algorithms</v>
      </c>
      <c r="I663" s="20">
        <f>IFERROR(__xludf.DUMMYFUNCTION("""COMPUTED_VALUE"""),0.406)</f>
        <v>0.406</v>
      </c>
      <c r="J663" s="20">
        <f>IFERROR(__xludf.DUMMYFUNCTION("""COMPUTED_VALUE"""),662.0)</f>
        <v>662</v>
      </c>
      <c r="K663" s="20" t="b">
        <f>IFERROR(__xludf.DUMMYFUNCTION("""COMPUTED_VALUE"""),FALSE)</f>
        <v>0</v>
      </c>
      <c r="L663" s="20" t="str">
        <f>IFERROR(__xludf.DUMMYFUNCTION("""COMPUTED_VALUE"""),"Tree;Depth-First Search;Breadth-First Search;Binary Tree;")</f>
        <v>Tree;Depth-First Search;Breadth-First Search;Binary Tree;</v>
      </c>
      <c r="M663" s="20" t="b">
        <f>IFERROR(__xludf.DUMMYFUNCTION("""COMPUTED_VALUE"""),TRUE)</f>
        <v>1</v>
      </c>
      <c r="N663" s="20" t="b">
        <f>IFERROR(__xludf.DUMMYFUNCTION("""COMPUTED_VALUE"""),FALSE)</f>
        <v>0</v>
      </c>
      <c r="O663" s="20">
        <f>IFERROR(__xludf.DUMMYFUNCTION("""COMPUTED_VALUE"""),40.6460001680013)</f>
        <v>40.64600017</v>
      </c>
      <c r="P663" s="20">
        <f>IFERROR(__xludf.DUMMYFUNCTION("""COMPUTED_VALUE"""),232259.0)</f>
        <v>232259</v>
      </c>
      <c r="Q663" s="20">
        <f>IFERROR(__xludf.DUMMYFUNCTION("""COMPUTED_VALUE"""),571422.0)</f>
        <v>571422</v>
      </c>
    </row>
    <row r="664">
      <c r="A664" s="20">
        <f>IFERROR(__xludf.DUMMYFUNCTION("""COMPUTED_VALUE"""),663.0)</f>
        <v>663</v>
      </c>
      <c r="B664" s="20" t="str">
        <f>IFERROR(__xludf.DUMMYFUNCTION("""COMPUTED_VALUE"""),"Equal Tree Partition")</f>
        <v>Equal Tree Partition</v>
      </c>
      <c r="C664" s="20" t="str">
        <f>IFERROR(__xludf.DUMMYFUNCTION("""COMPUTED_VALUE"""),"equal-tree-partition")</f>
        <v>equal-tree-partition</v>
      </c>
      <c r="D664" s="20" t="b">
        <f>IFERROR(__xludf.DUMMYFUNCTION("""COMPUTED_VALUE"""),TRUE)</f>
        <v>1</v>
      </c>
      <c r="E664" s="20" t="str">
        <f>IFERROR(__xludf.DUMMYFUNCTION("""COMPUTED_VALUE"""),"Medium")</f>
        <v>Medium</v>
      </c>
      <c r="F664" s="20">
        <f>IFERROR(__xludf.DUMMYFUNCTION("""COMPUTED_VALUE"""),445.0)</f>
        <v>445</v>
      </c>
      <c r="G664" s="20">
        <f>IFERROR(__xludf.DUMMYFUNCTION("""COMPUTED_VALUE"""),35.0)</f>
        <v>35</v>
      </c>
      <c r="H664" s="20" t="str">
        <f>IFERROR(__xludf.DUMMYFUNCTION("""COMPUTED_VALUE"""),"Algorithms")</f>
        <v>Algorithms</v>
      </c>
      <c r="I664" s="20">
        <f>IFERROR(__xludf.DUMMYFUNCTION("""COMPUTED_VALUE"""),0.414)</f>
        <v>0.414</v>
      </c>
      <c r="J664" s="20">
        <f>IFERROR(__xludf.DUMMYFUNCTION("""COMPUTED_VALUE"""),663.0)</f>
        <v>663</v>
      </c>
      <c r="K664" s="20" t="b">
        <f>IFERROR(__xludf.DUMMYFUNCTION("""COMPUTED_VALUE"""),TRUE)</f>
        <v>1</v>
      </c>
      <c r="L664" s="20" t="str">
        <f>IFERROR(__xludf.DUMMYFUNCTION("""COMPUTED_VALUE"""),"Tree;Depth-First Search;Binary Tree;")</f>
        <v>Tree;Depth-First Search;Binary Tree;</v>
      </c>
      <c r="M664" s="20" t="b">
        <f>IFERROR(__xludf.DUMMYFUNCTION("""COMPUTED_VALUE"""),TRUE)</f>
        <v>1</v>
      </c>
      <c r="N664" s="20" t="b">
        <f>IFERROR(__xludf.DUMMYFUNCTION("""COMPUTED_VALUE"""),FALSE)</f>
        <v>0</v>
      </c>
      <c r="O664" s="20">
        <f>IFERROR(__xludf.DUMMYFUNCTION("""COMPUTED_VALUE"""),41.412361385713)</f>
        <v>41.41236139</v>
      </c>
      <c r="P664" s="20">
        <f>IFERROR(__xludf.DUMMYFUNCTION("""COMPUTED_VALUE"""),28905.0)</f>
        <v>28905</v>
      </c>
      <c r="Q664" s="20">
        <f>IFERROR(__xludf.DUMMYFUNCTION("""COMPUTED_VALUE"""),69798.0)</f>
        <v>69798</v>
      </c>
    </row>
    <row r="665">
      <c r="A665" s="20">
        <f>IFERROR(__xludf.DUMMYFUNCTION("""COMPUTED_VALUE"""),664.0)</f>
        <v>664</v>
      </c>
      <c r="B665" s="20" t="str">
        <f>IFERROR(__xludf.DUMMYFUNCTION("""COMPUTED_VALUE"""),"Strange Printer")</f>
        <v>Strange Printer</v>
      </c>
      <c r="C665" s="20" t="str">
        <f>IFERROR(__xludf.DUMMYFUNCTION("""COMPUTED_VALUE"""),"strange-printer")</f>
        <v>strange-printer</v>
      </c>
      <c r="D665" s="20" t="b">
        <f>IFERROR(__xludf.DUMMYFUNCTION("""COMPUTED_VALUE"""),FALSE)</f>
        <v>0</v>
      </c>
      <c r="E665" s="20" t="str">
        <f>IFERROR(__xludf.DUMMYFUNCTION("""COMPUTED_VALUE"""),"Hard")</f>
        <v>Hard</v>
      </c>
      <c r="F665" s="20">
        <f>IFERROR(__xludf.DUMMYFUNCTION("""COMPUTED_VALUE"""),1009.0)</f>
        <v>1009</v>
      </c>
      <c r="G665" s="20">
        <f>IFERROR(__xludf.DUMMYFUNCTION("""COMPUTED_VALUE"""),92.0)</f>
        <v>92</v>
      </c>
      <c r="H665" s="20" t="str">
        <f>IFERROR(__xludf.DUMMYFUNCTION("""COMPUTED_VALUE"""),"Algorithms")</f>
        <v>Algorithms</v>
      </c>
      <c r="I665" s="20">
        <f>IFERROR(__xludf.DUMMYFUNCTION("""COMPUTED_VALUE"""),0.468)</f>
        <v>0.468</v>
      </c>
      <c r="J665" s="20">
        <f>IFERROR(__xludf.DUMMYFUNCTION("""COMPUTED_VALUE"""),664.0)</f>
        <v>664</v>
      </c>
      <c r="K665" s="20" t="b">
        <f>IFERROR(__xludf.DUMMYFUNCTION("""COMPUTED_VALUE"""),FALSE)</f>
        <v>0</v>
      </c>
      <c r="L665" s="20" t="str">
        <f>IFERROR(__xludf.DUMMYFUNCTION("""COMPUTED_VALUE"""),"String;Dynamic Programming;")</f>
        <v>String;Dynamic Programming;</v>
      </c>
      <c r="M665" s="20" t="b">
        <f>IFERROR(__xludf.DUMMYFUNCTION("""COMPUTED_VALUE"""),FALSE)</f>
        <v>0</v>
      </c>
      <c r="N665" s="20" t="b">
        <f>IFERROR(__xludf.DUMMYFUNCTION("""COMPUTED_VALUE"""),FALSE)</f>
        <v>0</v>
      </c>
      <c r="O665" s="20">
        <f>IFERROR(__xludf.DUMMYFUNCTION("""COMPUTED_VALUE"""),46.7771694746075)</f>
        <v>46.77716947</v>
      </c>
      <c r="P665" s="20">
        <f>IFERROR(__xludf.DUMMYFUNCTION("""COMPUTED_VALUE"""),30930.0)</f>
        <v>30930</v>
      </c>
      <c r="Q665" s="20">
        <f>IFERROR(__xludf.DUMMYFUNCTION("""COMPUTED_VALUE"""),66122.0)</f>
        <v>66122</v>
      </c>
    </row>
    <row r="666">
      <c r="A666" s="20">
        <f>IFERROR(__xludf.DUMMYFUNCTION("""COMPUTED_VALUE"""),665.0)</f>
        <v>665</v>
      </c>
      <c r="B666" s="20" t="str">
        <f>IFERROR(__xludf.DUMMYFUNCTION("""COMPUTED_VALUE"""),"Non-decreasing Array")</f>
        <v>Non-decreasing Array</v>
      </c>
      <c r="C666" s="20" t="str">
        <f>IFERROR(__xludf.DUMMYFUNCTION("""COMPUTED_VALUE"""),"non-decreasing-array")</f>
        <v>non-decreasing-array</v>
      </c>
      <c r="D666" s="20" t="b">
        <f>IFERROR(__xludf.DUMMYFUNCTION("""COMPUTED_VALUE"""),FALSE)</f>
        <v>0</v>
      </c>
      <c r="E666" s="20" t="str">
        <f>IFERROR(__xludf.DUMMYFUNCTION("""COMPUTED_VALUE"""),"Medium")</f>
        <v>Medium</v>
      </c>
      <c r="F666" s="20">
        <f>IFERROR(__xludf.DUMMYFUNCTION("""COMPUTED_VALUE"""),5190.0)</f>
        <v>5190</v>
      </c>
      <c r="G666" s="20">
        <f>IFERROR(__xludf.DUMMYFUNCTION("""COMPUTED_VALUE"""),746.0)</f>
        <v>746</v>
      </c>
      <c r="H666" s="20" t="str">
        <f>IFERROR(__xludf.DUMMYFUNCTION("""COMPUTED_VALUE"""),"Algorithms")</f>
        <v>Algorithms</v>
      </c>
      <c r="I666" s="20">
        <f>IFERROR(__xludf.DUMMYFUNCTION("""COMPUTED_VALUE"""),0.242)</f>
        <v>0.242</v>
      </c>
      <c r="J666" s="20">
        <f>IFERROR(__xludf.DUMMYFUNCTION("""COMPUTED_VALUE"""),665.0)</f>
        <v>665</v>
      </c>
      <c r="K666" s="20" t="b">
        <f>IFERROR(__xludf.DUMMYFUNCTION("""COMPUTED_VALUE"""),FALSE)</f>
        <v>0</v>
      </c>
      <c r="L666" s="20" t="str">
        <f>IFERROR(__xludf.DUMMYFUNCTION("""COMPUTED_VALUE"""),"Array;")</f>
        <v>Array;</v>
      </c>
      <c r="M666" s="20" t="b">
        <f>IFERROR(__xludf.DUMMYFUNCTION("""COMPUTED_VALUE"""),TRUE)</f>
        <v>1</v>
      </c>
      <c r="N666" s="20" t="b">
        <f>IFERROR(__xludf.DUMMYFUNCTION("""COMPUTED_VALUE"""),FALSE)</f>
        <v>0</v>
      </c>
      <c r="O666" s="20">
        <f>IFERROR(__xludf.DUMMYFUNCTION("""COMPUTED_VALUE"""),24.2067510940563)</f>
        <v>24.20675109</v>
      </c>
      <c r="P666" s="20">
        <f>IFERROR(__xludf.DUMMYFUNCTION("""COMPUTED_VALUE"""),234477.0)</f>
        <v>234477</v>
      </c>
      <c r="Q666" s="20">
        <f>IFERROR(__xludf.DUMMYFUNCTION("""COMPUTED_VALUE"""),968636.0)</f>
        <v>968636</v>
      </c>
    </row>
    <row r="667">
      <c r="A667" s="20">
        <f>IFERROR(__xludf.DUMMYFUNCTION("""COMPUTED_VALUE"""),666.0)</f>
        <v>666</v>
      </c>
      <c r="B667" s="20" t="str">
        <f>IFERROR(__xludf.DUMMYFUNCTION("""COMPUTED_VALUE"""),"Path Sum IV")</f>
        <v>Path Sum IV</v>
      </c>
      <c r="C667" s="20" t="str">
        <f>IFERROR(__xludf.DUMMYFUNCTION("""COMPUTED_VALUE"""),"path-sum-iv")</f>
        <v>path-sum-iv</v>
      </c>
      <c r="D667" s="20" t="b">
        <f>IFERROR(__xludf.DUMMYFUNCTION("""COMPUTED_VALUE"""),TRUE)</f>
        <v>1</v>
      </c>
      <c r="E667" s="20" t="str">
        <f>IFERROR(__xludf.DUMMYFUNCTION("""COMPUTED_VALUE"""),"Medium")</f>
        <v>Medium</v>
      </c>
      <c r="F667" s="20">
        <f>IFERROR(__xludf.DUMMYFUNCTION("""COMPUTED_VALUE"""),317.0)</f>
        <v>317</v>
      </c>
      <c r="G667" s="20">
        <f>IFERROR(__xludf.DUMMYFUNCTION("""COMPUTED_VALUE"""),402.0)</f>
        <v>402</v>
      </c>
      <c r="H667" s="20" t="str">
        <f>IFERROR(__xludf.DUMMYFUNCTION("""COMPUTED_VALUE"""),"Algorithms")</f>
        <v>Algorithms</v>
      </c>
      <c r="I667" s="20">
        <f>IFERROR(__xludf.DUMMYFUNCTION("""COMPUTED_VALUE"""),0.593)</f>
        <v>0.593</v>
      </c>
      <c r="J667" s="20">
        <f>IFERROR(__xludf.DUMMYFUNCTION("""COMPUTED_VALUE"""),666.0)</f>
        <v>666</v>
      </c>
      <c r="K667" s="20" t="b">
        <f>IFERROR(__xludf.DUMMYFUNCTION("""COMPUTED_VALUE"""),TRUE)</f>
        <v>1</v>
      </c>
      <c r="L667" s="20" t="str">
        <f>IFERROR(__xludf.DUMMYFUNCTION("""COMPUTED_VALUE"""),"Array;Tree;Depth-First Search;Binary Tree;")</f>
        <v>Array;Tree;Depth-First Search;Binary Tree;</v>
      </c>
      <c r="M667" s="20" t="b">
        <f>IFERROR(__xludf.DUMMYFUNCTION("""COMPUTED_VALUE"""),TRUE)</f>
        <v>1</v>
      </c>
      <c r="N667" s="20" t="b">
        <f>IFERROR(__xludf.DUMMYFUNCTION("""COMPUTED_VALUE"""),FALSE)</f>
        <v>0</v>
      </c>
      <c r="O667" s="20">
        <f>IFERROR(__xludf.DUMMYFUNCTION("""COMPUTED_VALUE"""),59.2627066057426)</f>
        <v>59.26270661</v>
      </c>
      <c r="P667" s="20">
        <f>IFERROR(__xludf.DUMMYFUNCTION("""COMPUTED_VALUE"""),21010.0)</f>
        <v>21010</v>
      </c>
      <c r="Q667" s="20">
        <f>IFERROR(__xludf.DUMMYFUNCTION("""COMPUTED_VALUE"""),35452.0)</f>
        <v>35452</v>
      </c>
    </row>
    <row r="668">
      <c r="A668" s="20">
        <f>IFERROR(__xludf.DUMMYFUNCTION("""COMPUTED_VALUE"""),667.0)</f>
        <v>667</v>
      </c>
      <c r="B668" s="20" t="str">
        <f>IFERROR(__xludf.DUMMYFUNCTION("""COMPUTED_VALUE"""),"Beautiful Arrangement II")</f>
        <v>Beautiful Arrangement II</v>
      </c>
      <c r="C668" s="20" t="str">
        <f>IFERROR(__xludf.DUMMYFUNCTION("""COMPUTED_VALUE"""),"beautiful-arrangement-ii")</f>
        <v>beautiful-arrangement-ii</v>
      </c>
      <c r="D668" s="20" t="b">
        <f>IFERROR(__xludf.DUMMYFUNCTION("""COMPUTED_VALUE"""),FALSE)</f>
        <v>0</v>
      </c>
      <c r="E668" s="20" t="str">
        <f>IFERROR(__xludf.DUMMYFUNCTION("""COMPUTED_VALUE"""),"Medium")</f>
        <v>Medium</v>
      </c>
      <c r="F668" s="20">
        <f>IFERROR(__xludf.DUMMYFUNCTION("""COMPUTED_VALUE"""),720.0)</f>
        <v>720</v>
      </c>
      <c r="G668" s="20">
        <f>IFERROR(__xludf.DUMMYFUNCTION("""COMPUTED_VALUE"""),1007.0)</f>
        <v>1007</v>
      </c>
      <c r="H668" s="20" t="str">
        <f>IFERROR(__xludf.DUMMYFUNCTION("""COMPUTED_VALUE"""),"Algorithms")</f>
        <v>Algorithms</v>
      </c>
      <c r="I668" s="20">
        <f>IFERROR(__xludf.DUMMYFUNCTION("""COMPUTED_VALUE"""),0.597)</f>
        <v>0.597</v>
      </c>
      <c r="J668" s="20">
        <f>IFERROR(__xludf.DUMMYFUNCTION("""COMPUTED_VALUE"""),667.0)</f>
        <v>667</v>
      </c>
      <c r="K668" s="20" t="b">
        <f>IFERROR(__xludf.DUMMYFUNCTION("""COMPUTED_VALUE"""),FALSE)</f>
        <v>0</v>
      </c>
      <c r="L668" s="20" t="str">
        <f>IFERROR(__xludf.DUMMYFUNCTION("""COMPUTED_VALUE"""),"Array;Math;")</f>
        <v>Array;Math;</v>
      </c>
      <c r="M668" s="20" t="b">
        <f>IFERROR(__xludf.DUMMYFUNCTION("""COMPUTED_VALUE"""),TRUE)</f>
        <v>1</v>
      </c>
      <c r="N668" s="20" t="b">
        <f>IFERROR(__xludf.DUMMYFUNCTION("""COMPUTED_VALUE"""),FALSE)</f>
        <v>0</v>
      </c>
      <c r="O668" s="20">
        <f>IFERROR(__xludf.DUMMYFUNCTION("""COMPUTED_VALUE"""),59.7156511923917)</f>
        <v>59.71565119</v>
      </c>
      <c r="P668" s="20">
        <f>IFERROR(__xludf.DUMMYFUNCTION("""COMPUTED_VALUE"""),49730.0)</f>
        <v>49730</v>
      </c>
      <c r="Q668" s="20">
        <f>IFERROR(__xludf.DUMMYFUNCTION("""COMPUTED_VALUE"""),83278.0)</f>
        <v>83278</v>
      </c>
    </row>
    <row r="669">
      <c r="A669" s="20">
        <f>IFERROR(__xludf.DUMMYFUNCTION("""COMPUTED_VALUE"""),668.0)</f>
        <v>668</v>
      </c>
      <c r="B669" s="20" t="str">
        <f>IFERROR(__xludf.DUMMYFUNCTION("""COMPUTED_VALUE"""),"Kth Smallest Number in Multiplication Table")</f>
        <v>Kth Smallest Number in Multiplication Table</v>
      </c>
      <c r="C669" s="20" t="str">
        <f>IFERROR(__xludf.DUMMYFUNCTION("""COMPUTED_VALUE"""),"kth-smallest-number-in-multiplication-table")</f>
        <v>kth-smallest-number-in-multiplication-table</v>
      </c>
      <c r="D669" s="20" t="b">
        <f>IFERROR(__xludf.DUMMYFUNCTION("""COMPUTED_VALUE"""),FALSE)</f>
        <v>0</v>
      </c>
      <c r="E669" s="20" t="str">
        <f>IFERROR(__xludf.DUMMYFUNCTION("""COMPUTED_VALUE"""),"Hard")</f>
        <v>Hard</v>
      </c>
      <c r="F669" s="20">
        <f>IFERROR(__xludf.DUMMYFUNCTION("""COMPUTED_VALUE"""),1838.0)</f>
        <v>1838</v>
      </c>
      <c r="G669" s="20">
        <f>IFERROR(__xludf.DUMMYFUNCTION("""COMPUTED_VALUE"""),51.0)</f>
        <v>51</v>
      </c>
      <c r="H669" s="20" t="str">
        <f>IFERROR(__xludf.DUMMYFUNCTION("""COMPUTED_VALUE"""),"Algorithms")</f>
        <v>Algorithms</v>
      </c>
      <c r="I669" s="20">
        <f>IFERROR(__xludf.DUMMYFUNCTION("""COMPUTED_VALUE"""),0.516)</f>
        <v>0.516</v>
      </c>
      <c r="J669" s="20">
        <f>IFERROR(__xludf.DUMMYFUNCTION("""COMPUTED_VALUE"""),668.0)</f>
        <v>668</v>
      </c>
      <c r="K669" s="20" t="b">
        <f>IFERROR(__xludf.DUMMYFUNCTION("""COMPUTED_VALUE"""),FALSE)</f>
        <v>0</v>
      </c>
      <c r="L669" s="20" t="str">
        <f>IFERROR(__xludf.DUMMYFUNCTION("""COMPUTED_VALUE"""),"Math;Binary Search;")</f>
        <v>Math;Binary Search;</v>
      </c>
      <c r="M669" s="20" t="b">
        <f>IFERROR(__xludf.DUMMYFUNCTION("""COMPUTED_VALUE"""),TRUE)</f>
        <v>1</v>
      </c>
      <c r="N669" s="20" t="b">
        <f>IFERROR(__xludf.DUMMYFUNCTION("""COMPUTED_VALUE"""),FALSE)</f>
        <v>0</v>
      </c>
      <c r="O669" s="20">
        <f>IFERROR(__xludf.DUMMYFUNCTION("""COMPUTED_VALUE"""),51.5759695701206)</f>
        <v>51.57596957</v>
      </c>
      <c r="P669" s="20">
        <f>IFERROR(__xludf.DUMMYFUNCTION("""COMPUTED_VALUE"""),53966.0)</f>
        <v>53966</v>
      </c>
      <c r="Q669" s="20">
        <f>IFERROR(__xludf.DUMMYFUNCTION("""COMPUTED_VALUE"""),104634.0)</f>
        <v>104634</v>
      </c>
    </row>
    <row r="670">
      <c r="A670" s="20">
        <f>IFERROR(__xludf.DUMMYFUNCTION("""COMPUTED_VALUE"""),669.0)</f>
        <v>669</v>
      </c>
      <c r="B670" s="20" t="str">
        <f>IFERROR(__xludf.DUMMYFUNCTION("""COMPUTED_VALUE"""),"Trim a Binary Search Tree")</f>
        <v>Trim a Binary Search Tree</v>
      </c>
      <c r="C670" s="20" t="str">
        <f>IFERROR(__xludf.DUMMYFUNCTION("""COMPUTED_VALUE"""),"trim-a-binary-search-tree")</f>
        <v>trim-a-binary-search-tree</v>
      </c>
      <c r="D670" s="20" t="b">
        <f>IFERROR(__xludf.DUMMYFUNCTION("""COMPUTED_VALUE"""),FALSE)</f>
        <v>0</v>
      </c>
      <c r="E670" s="20" t="str">
        <f>IFERROR(__xludf.DUMMYFUNCTION("""COMPUTED_VALUE"""),"Medium")</f>
        <v>Medium</v>
      </c>
      <c r="F670" s="20">
        <f>IFERROR(__xludf.DUMMYFUNCTION("""COMPUTED_VALUE"""),5221.0)</f>
        <v>5221</v>
      </c>
      <c r="G670" s="20">
        <f>IFERROR(__xludf.DUMMYFUNCTION("""COMPUTED_VALUE"""),246.0)</f>
        <v>246</v>
      </c>
      <c r="H670" s="20" t="str">
        <f>IFERROR(__xludf.DUMMYFUNCTION("""COMPUTED_VALUE"""),"Algorithms")</f>
        <v>Algorithms</v>
      </c>
      <c r="I670" s="20">
        <f>IFERROR(__xludf.DUMMYFUNCTION("""COMPUTED_VALUE"""),0.663)</f>
        <v>0.663</v>
      </c>
      <c r="J670" s="20">
        <f>IFERROR(__xludf.DUMMYFUNCTION("""COMPUTED_VALUE"""),669.0)</f>
        <v>669</v>
      </c>
      <c r="K670" s="20" t="b">
        <f>IFERROR(__xludf.DUMMYFUNCTION("""COMPUTED_VALUE"""),FALSE)</f>
        <v>0</v>
      </c>
      <c r="L670" s="20" t="str">
        <f>IFERROR(__xludf.DUMMYFUNCTION("""COMPUTED_VALUE"""),"Tree;Depth-First Search;Binary Search Tree;Binary Tree;")</f>
        <v>Tree;Depth-First Search;Binary Search Tree;Binary Tree;</v>
      </c>
      <c r="M670" s="20" t="b">
        <f>IFERROR(__xludf.DUMMYFUNCTION("""COMPUTED_VALUE"""),TRUE)</f>
        <v>1</v>
      </c>
      <c r="N670" s="20" t="b">
        <f>IFERROR(__xludf.DUMMYFUNCTION("""COMPUTED_VALUE"""),TRUE)</f>
        <v>1</v>
      </c>
      <c r="O670" s="20">
        <f>IFERROR(__xludf.DUMMYFUNCTION("""COMPUTED_VALUE"""),66.3264331004558)</f>
        <v>66.3264331</v>
      </c>
      <c r="P670" s="20">
        <f>IFERROR(__xludf.DUMMYFUNCTION("""COMPUTED_VALUE"""),256805.0)</f>
        <v>256805</v>
      </c>
      <c r="Q670" s="20">
        <f>IFERROR(__xludf.DUMMYFUNCTION("""COMPUTED_VALUE"""),387184.0)</f>
        <v>387184</v>
      </c>
    </row>
    <row r="671">
      <c r="A671" s="20">
        <f>IFERROR(__xludf.DUMMYFUNCTION("""COMPUTED_VALUE"""),670.0)</f>
        <v>670</v>
      </c>
      <c r="B671" s="20" t="str">
        <f>IFERROR(__xludf.DUMMYFUNCTION("""COMPUTED_VALUE"""),"Maximum Swap")</f>
        <v>Maximum Swap</v>
      </c>
      <c r="C671" s="20" t="str">
        <f>IFERROR(__xludf.DUMMYFUNCTION("""COMPUTED_VALUE"""),"maximum-swap")</f>
        <v>maximum-swap</v>
      </c>
      <c r="D671" s="20" t="b">
        <f>IFERROR(__xludf.DUMMYFUNCTION("""COMPUTED_VALUE"""),FALSE)</f>
        <v>0</v>
      </c>
      <c r="E671" s="20" t="str">
        <f>IFERROR(__xludf.DUMMYFUNCTION("""COMPUTED_VALUE"""),"Medium")</f>
        <v>Medium</v>
      </c>
      <c r="F671" s="20">
        <f>IFERROR(__xludf.DUMMYFUNCTION("""COMPUTED_VALUE"""),2865.0)</f>
        <v>2865</v>
      </c>
      <c r="G671" s="20">
        <f>IFERROR(__xludf.DUMMYFUNCTION("""COMPUTED_VALUE"""),164.0)</f>
        <v>164</v>
      </c>
      <c r="H671" s="20" t="str">
        <f>IFERROR(__xludf.DUMMYFUNCTION("""COMPUTED_VALUE"""),"Algorithms")</f>
        <v>Algorithms</v>
      </c>
      <c r="I671" s="20">
        <f>IFERROR(__xludf.DUMMYFUNCTION("""COMPUTED_VALUE"""),0.479)</f>
        <v>0.479</v>
      </c>
      <c r="J671" s="20">
        <f>IFERROR(__xludf.DUMMYFUNCTION("""COMPUTED_VALUE"""),670.0)</f>
        <v>670</v>
      </c>
      <c r="K671" s="20" t="b">
        <f>IFERROR(__xludf.DUMMYFUNCTION("""COMPUTED_VALUE"""),FALSE)</f>
        <v>0</v>
      </c>
      <c r="L671" s="20" t="str">
        <f>IFERROR(__xludf.DUMMYFUNCTION("""COMPUTED_VALUE"""),"Math;Greedy;")</f>
        <v>Math;Greedy;</v>
      </c>
      <c r="M671" s="20" t="b">
        <f>IFERROR(__xludf.DUMMYFUNCTION("""COMPUTED_VALUE"""),FALSE)</f>
        <v>0</v>
      </c>
      <c r="N671" s="20" t="b">
        <f>IFERROR(__xludf.DUMMYFUNCTION("""COMPUTED_VALUE"""),FALSE)</f>
        <v>0</v>
      </c>
      <c r="O671" s="20">
        <f>IFERROR(__xludf.DUMMYFUNCTION("""COMPUTED_VALUE"""),47.8895515502982)</f>
        <v>47.88955155</v>
      </c>
      <c r="P671" s="20">
        <f>IFERROR(__xludf.DUMMYFUNCTION("""COMPUTED_VALUE"""),188942.0)</f>
        <v>188942</v>
      </c>
      <c r="Q671" s="20">
        <f>IFERROR(__xludf.DUMMYFUNCTION("""COMPUTED_VALUE"""),394537.0)</f>
        <v>394537</v>
      </c>
    </row>
    <row r="672">
      <c r="A672" s="20">
        <f>IFERROR(__xludf.DUMMYFUNCTION("""COMPUTED_VALUE"""),671.0)</f>
        <v>671</v>
      </c>
      <c r="B672" s="20" t="str">
        <f>IFERROR(__xludf.DUMMYFUNCTION("""COMPUTED_VALUE"""),"Second Minimum Node In a Binary Tree")</f>
        <v>Second Minimum Node In a Binary Tree</v>
      </c>
      <c r="C672" s="20" t="str">
        <f>IFERROR(__xludf.DUMMYFUNCTION("""COMPUTED_VALUE"""),"second-minimum-node-in-a-binary-tree")</f>
        <v>second-minimum-node-in-a-binary-tree</v>
      </c>
      <c r="D672" s="20" t="b">
        <f>IFERROR(__xludf.DUMMYFUNCTION("""COMPUTED_VALUE"""),FALSE)</f>
        <v>0</v>
      </c>
      <c r="E672" s="20" t="str">
        <f>IFERROR(__xludf.DUMMYFUNCTION("""COMPUTED_VALUE"""),"Easy")</f>
        <v>Easy</v>
      </c>
      <c r="F672" s="20">
        <f>IFERROR(__xludf.DUMMYFUNCTION("""COMPUTED_VALUE"""),1512.0)</f>
        <v>1512</v>
      </c>
      <c r="G672" s="20">
        <f>IFERROR(__xludf.DUMMYFUNCTION("""COMPUTED_VALUE"""),1699.0)</f>
        <v>1699</v>
      </c>
      <c r="H672" s="20" t="str">
        <f>IFERROR(__xludf.DUMMYFUNCTION("""COMPUTED_VALUE"""),"Algorithms")</f>
        <v>Algorithms</v>
      </c>
      <c r="I672" s="20">
        <f>IFERROR(__xludf.DUMMYFUNCTION("""COMPUTED_VALUE"""),0.44)</f>
        <v>0.44</v>
      </c>
      <c r="J672" s="20">
        <f>IFERROR(__xludf.DUMMYFUNCTION("""COMPUTED_VALUE"""),671.0)</f>
        <v>671</v>
      </c>
      <c r="K672" s="20" t="b">
        <f>IFERROR(__xludf.DUMMYFUNCTION("""COMPUTED_VALUE"""),FALSE)</f>
        <v>0</v>
      </c>
      <c r="L672" s="20" t="str">
        <f>IFERROR(__xludf.DUMMYFUNCTION("""COMPUTED_VALUE"""),"Tree;Depth-First Search;Binary Tree;")</f>
        <v>Tree;Depth-First Search;Binary Tree;</v>
      </c>
      <c r="M672" s="20" t="b">
        <f>IFERROR(__xludf.DUMMYFUNCTION("""COMPUTED_VALUE"""),TRUE)</f>
        <v>1</v>
      </c>
      <c r="N672" s="20" t="b">
        <f>IFERROR(__xludf.DUMMYFUNCTION("""COMPUTED_VALUE"""),FALSE)</f>
        <v>0</v>
      </c>
      <c r="O672" s="20">
        <f>IFERROR(__xludf.DUMMYFUNCTION("""COMPUTED_VALUE"""),44.0333455927424)</f>
        <v>44.03334559</v>
      </c>
      <c r="P672" s="20">
        <f>IFERROR(__xludf.DUMMYFUNCTION("""COMPUTED_VALUE"""),161631.0)</f>
        <v>161631</v>
      </c>
      <c r="Q672" s="20">
        <f>IFERROR(__xludf.DUMMYFUNCTION("""COMPUTED_VALUE"""),367065.0)</f>
        <v>367065</v>
      </c>
    </row>
    <row r="673">
      <c r="A673" s="20">
        <f>IFERROR(__xludf.DUMMYFUNCTION("""COMPUTED_VALUE"""),672.0)</f>
        <v>672</v>
      </c>
      <c r="B673" s="20" t="str">
        <f>IFERROR(__xludf.DUMMYFUNCTION("""COMPUTED_VALUE"""),"Bulb Switcher II")</f>
        <v>Bulb Switcher II</v>
      </c>
      <c r="C673" s="20" t="str">
        <f>IFERROR(__xludf.DUMMYFUNCTION("""COMPUTED_VALUE"""),"bulb-switcher-ii")</f>
        <v>bulb-switcher-ii</v>
      </c>
      <c r="D673" s="20" t="b">
        <f>IFERROR(__xludf.DUMMYFUNCTION("""COMPUTED_VALUE"""),FALSE)</f>
        <v>0</v>
      </c>
      <c r="E673" s="20" t="str">
        <f>IFERROR(__xludf.DUMMYFUNCTION("""COMPUTED_VALUE"""),"Medium")</f>
        <v>Medium</v>
      </c>
      <c r="F673" s="20">
        <f>IFERROR(__xludf.DUMMYFUNCTION("""COMPUTED_VALUE"""),73.0)</f>
        <v>73</v>
      </c>
      <c r="G673" s="20">
        <f>IFERROR(__xludf.DUMMYFUNCTION("""COMPUTED_VALUE"""),135.0)</f>
        <v>135</v>
      </c>
      <c r="H673" s="20" t="str">
        <f>IFERROR(__xludf.DUMMYFUNCTION("""COMPUTED_VALUE"""),"Algorithms")</f>
        <v>Algorithms</v>
      </c>
      <c r="I673" s="20">
        <f>IFERROR(__xludf.DUMMYFUNCTION("""COMPUTED_VALUE"""),0.51)</f>
        <v>0.51</v>
      </c>
      <c r="J673" s="20">
        <f>IFERROR(__xludf.DUMMYFUNCTION("""COMPUTED_VALUE"""),672.0)</f>
        <v>672</v>
      </c>
      <c r="K673" s="20" t="b">
        <f>IFERROR(__xludf.DUMMYFUNCTION("""COMPUTED_VALUE"""),FALSE)</f>
        <v>0</v>
      </c>
      <c r="L673" s="20" t="str">
        <f>IFERROR(__xludf.DUMMYFUNCTION("""COMPUTED_VALUE"""),"Math;Bit Manipulation;Depth-First Search;Breadth-First Search;")</f>
        <v>Math;Bit Manipulation;Depth-First Search;Breadth-First Search;</v>
      </c>
      <c r="M673" s="20" t="b">
        <f>IFERROR(__xludf.DUMMYFUNCTION("""COMPUTED_VALUE"""),FALSE)</f>
        <v>0</v>
      </c>
      <c r="N673" s="20" t="b">
        <f>IFERROR(__xludf.DUMMYFUNCTION("""COMPUTED_VALUE"""),FALSE)</f>
        <v>0</v>
      </c>
      <c r="O673" s="20">
        <f>IFERROR(__xludf.DUMMYFUNCTION("""COMPUTED_VALUE"""),50.9603906673901)</f>
        <v>50.96039067</v>
      </c>
      <c r="P673" s="20">
        <f>IFERROR(__xludf.DUMMYFUNCTION("""COMPUTED_VALUE"""),18784.0)</f>
        <v>18784</v>
      </c>
      <c r="Q673" s="20">
        <f>IFERROR(__xludf.DUMMYFUNCTION("""COMPUTED_VALUE"""),36860.0)</f>
        <v>36860</v>
      </c>
    </row>
    <row r="674">
      <c r="A674" s="20">
        <f>IFERROR(__xludf.DUMMYFUNCTION("""COMPUTED_VALUE"""),673.0)</f>
        <v>673</v>
      </c>
      <c r="B674" s="20" t="str">
        <f>IFERROR(__xludf.DUMMYFUNCTION("""COMPUTED_VALUE"""),"Number of Longest Increasing Subsequence")</f>
        <v>Number of Longest Increasing Subsequence</v>
      </c>
      <c r="C674" s="20" t="str">
        <f>IFERROR(__xludf.DUMMYFUNCTION("""COMPUTED_VALUE"""),"number-of-longest-increasing-subsequence")</f>
        <v>number-of-longest-increasing-subsequence</v>
      </c>
      <c r="D674" s="20" t="b">
        <f>IFERROR(__xludf.DUMMYFUNCTION("""COMPUTED_VALUE"""),FALSE)</f>
        <v>0</v>
      </c>
      <c r="E674" s="20" t="str">
        <f>IFERROR(__xludf.DUMMYFUNCTION("""COMPUTED_VALUE"""),"Medium")</f>
        <v>Medium</v>
      </c>
      <c r="F674" s="20">
        <f>IFERROR(__xludf.DUMMYFUNCTION("""COMPUTED_VALUE"""),4464.0)</f>
        <v>4464</v>
      </c>
      <c r="G674" s="20">
        <f>IFERROR(__xludf.DUMMYFUNCTION("""COMPUTED_VALUE"""),198.0)</f>
        <v>198</v>
      </c>
      <c r="H674" s="20" t="str">
        <f>IFERROR(__xludf.DUMMYFUNCTION("""COMPUTED_VALUE"""),"Algorithms")</f>
        <v>Algorithms</v>
      </c>
      <c r="I674" s="20">
        <f>IFERROR(__xludf.DUMMYFUNCTION("""COMPUTED_VALUE"""),0.425)</f>
        <v>0.425</v>
      </c>
      <c r="J674" s="20">
        <f>IFERROR(__xludf.DUMMYFUNCTION("""COMPUTED_VALUE"""),673.0)</f>
        <v>673</v>
      </c>
      <c r="K674" s="20" t="b">
        <f>IFERROR(__xludf.DUMMYFUNCTION("""COMPUTED_VALUE"""),FALSE)</f>
        <v>0</v>
      </c>
      <c r="L674" s="20" t="str">
        <f>IFERROR(__xludf.DUMMYFUNCTION("""COMPUTED_VALUE"""),"Array;Dynamic Programming;Binary Indexed Tree;Segment Tree;")</f>
        <v>Array;Dynamic Programming;Binary Indexed Tree;Segment Tree;</v>
      </c>
      <c r="M674" s="20" t="b">
        <f>IFERROR(__xludf.DUMMYFUNCTION("""COMPUTED_VALUE"""),FALSE)</f>
        <v>0</v>
      </c>
      <c r="N674" s="20" t="b">
        <f>IFERROR(__xludf.DUMMYFUNCTION("""COMPUTED_VALUE"""),FALSE)</f>
        <v>0</v>
      </c>
      <c r="O674" s="20">
        <f>IFERROR(__xludf.DUMMYFUNCTION("""COMPUTED_VALUE"""),42.4612276017432)</f>
        <v>42.4612276</v>
      </c>
      <c r="P674" s="20">
        <f>IFERROR(__xludf.DUMMYFUNCTION("""COMPUTED_VALUE"""),135329.0)</f>
        <v>135329</v>
      </c>
      <c r="Q674" s="20">
        <f>IFERROR(__xludf.DUMMYFUNCTION("""COMPUTED_VALUE"""),318715.0)</f>
        <v>318715</v>
      </c>
    </row>
    <row r="675">
      <c r="A675" s="20">
        <f>IFERROR(__xludf.DUMMYFUNCTION("""COMPUTED_VALUE"""),674.0)</f>
        <v>674</v>
      </c>
      <c r="B675" s="20" t="str">
        <f>IFERROR(__xludf.DUMMYFUNCTION("""COMPUTED_VALUE"""),"Longest Continuous Increasing Subsequence")</f>
        <v>Longest Continuous Increasing Subsequence</v>
      </c>
      <c r="C675" s="20" t="str">
        <f>IFERROR(__xludf.DUMMYFUNCTION("""COMPUTED_VALUE"""),"longest-continuous-increasing-subsequence")</f>
        <v>longest-continuous-increasing-subsequence</v>
      </c>
      <c r="D675" s="20" t="b">
        <f>IFERROR(__xludf.DUMMYFUNCTION("""COMPUTED_VALUE"""),FALSE)</f>
        <v>0</v>
      </c>
      <c r="E675" s="20" t="str">
        <f>IFERROR(__xludf.DUMMYFUNCTION("""COMPUTED_VALUE"""),"Easy")</f>
        <v>Easy</v>
      </c>
      <c r="F675" s="20">
        <f>IFERROR(__xludf.DUMMYFUNCTION("""COMPUTED_VALUE"""),1983.0)</f>
        <v>1983</v>
      </c>
      <c r="G675" s="20">
        <f>IFERROR(__xludf.DUMMYFUNCTION("""COMPUTED_VALUE"""),168.0)</f>
        <v>168</v>
      </c>
      <c r="H675" s="20" t="str">
        <f>IFERROR(__xludf.DUMMYFUNCTION("""COMPUTED_VALUE"""),"Algorithms")</f>
        <v>Algorithms</v>
      </c>
      <c r="I675" s="20">
        <f>IFERROR(__xludf.DUMMYFUNCTION("""COMPUTED_VALUE"""),0.492)</f>
        <v>0.492</v>
      </c>
      <c r="J675" s="20">
        <f>IFERROR(__xludf.DUMMYFUNCTION("""COMPUTED_VALUE"""),674.0)</f>
        <v>674</v>
      </c>
      <c r="K675" s="20" t="b">
        <f>IFERROR(__xludf.DUMMYFUNCTION("""COMPUTED_VALUE"""),FALSE)</f>
        <v>0</v>
      </c>
      <c r="L675" s="20" t="str">
        <f>IFERROR(__xludf.DUMMYFUNCTION("""COMPUTED_VALUE"""),"Array;")</f>
        <v>Array;</v>
      </c>
      <c r="M675" s="20" t="b">
        <f>IFERROR(__xludf.DUMMYFUNCTION("""COMPUTED_VALUE"""),TRUE)</f>
        <v>1</v>
      </c>
      <c r="N675" s="20" t="b">
        <f>IFERROR(__xludf.DUMMYFUNCTION("""COMPUTED_VALUE"""),FALSE)</f>
        <v>0</v>
      </c>
      <c r="O675" s="20">
        <f>IFERROR(__xludf.DUMMYFUNCTION("""COMPUTED_VALUE"""),49.1771493104926)</f>
        <v>49.17714931</v>
      </c>
      <c r="P675" s="20">
        <f>IFERROR(__xludf.DUMMYFUNCTION("""COMPUTED_VALUE"""),216853.0)</f>
        <v>216853</v>
      </c>
      <c r="Q675" s="20">
        <f>IFERROR(__xludf.DUMMYFUNCTION("""COMPUTED_VALUE"""),440965.0)</f>
        <v>440965</v>
      </c>
    </row>
    <row r="676">
      <c r="A676" s="20">
        <f>IFERROR(__xludf.DUMMYFUNCTION("""COMPUTED_VALUE"""),675.0)</f>
        <v>675</v>
      </c>
      <c r="B676" s="20" t="str">
        <f>IFERROR(__xludf.DUMMYFUNCTION("""COMPUTED_VALUE"""),"Cut Off Trees for Golf Event")</f>
        <v>Cut Off Trees for Golf Event</v>
      </c>
      <c r="C676" s="20" t="str">
        <f>IFERROR(__xludf.DUMMYFUNCTION("""COMPUTED_VALUE"""),"cut-off-trees-for-golf-event")</f>
        <v>cut-off-trees-for-golf-event</v>
      </c>
      <c r="D676" s="20" t="b">
        <f>IFERROR(__xludf.DUMMYFUNCTION("""COMPUTED_VALUE"""),FALSE)</f>
        <v>0</v>
      </c>
      <c r="E676" s="20" t="str">
        <f>IFERROR(__xludf.DUMMYFUNCTION("""COMPUTED_VALUE"""),"Hard")</f>
        <v>Hard</v>
      </c>
      <c r="F676" s="20">
        <f>IFERROR(__xludf.DUMMYFUNCTION("""COMPUTED_VALUE"""),1049.0)</f>
        <v>1049</v>
      </c>
      <c r="G676" s="20">
        <f>IFERROR(__xludf.DUMMYFUNCTION("""COMPUTED_VALUE"""),620.0)</f>
        <v>620</v>
      </c>
      <c r="H676" s="20" t="str">
        <f>IFERROR(__xludf.DUMMYFUNCTION("""COMPUTED_VALUE"""),"Algorithms")</f>
        <v>Algorithms</v>
      </c>
      <c r="I676" s="20">
        <f>IFERROR(__xludf.DUMMYFUNCTION("""COMPUTED_VALUE"""),0.341)</f>
        <v>0.341</v>
      </c>
      <c r="J676" s="20">
        <f>IFERROR(__xludf.DUMMYFUNCTION("""COMPUTED_VALUE"""),675.0)</f>
        <v>675</v>
      </c>
      <c r="K676" s="20" t="b">
        <f>IFERROR(__xludf.DUMMYFUNCTION("""COMPUTED_VALUE"""),FALSE)</f>
        <v>0</v>
      </c>
      <c r="L676" s="20" t="str">
        <f>IFERROR(__xludf.DUMMYFUNCTION("""COMPUTED_VALUE"""),"Array;Breadth-First Search;Heap (Priority Queue);Matrix;")</f>
        <v>Array;Breadth-First Search;Heap (Priority Queue);Matrix;</v>
      </c>
      <c r="M676" s="20" t="b">
        <f>IFERROR(__xludf.DUMMYFUNCTION("""COMPUTED_VALUE"""),TRUE)</f>
        <v>1</v>
      </c>
      <c r="N676" s="20" t="b">
        <f>IFERROR(__xludf.DUMMYFUNCTION("""COMPUTED_VALUE"""),FALSE)</f>
        <v>0</v>
      </c>
      <c r="O676" s="20">
        <f>IFERROR(__xludf.DUMMYFUNCTION("""COMPUTED_VALUE"""),34.147191402781)</f>
        <v>34.1471914</v>
      </c>
      <c r="P676" s="20">
        <f>IFERROR(__xludf.DUMMYFUNCTION("""COMPUTED_VALUE"""),60754.0)</f>
        <v>60754</v>
      </c>
      <c r="Q676" s="20">
        <f>IFERROR(__xludf.DUMMYFUNCTION("""COMPUTED_VALUE"""),177918.0)</f>
        <v>177918</v>
      </c>
    </row>
    <row r="677">
      <c r="A677" s="20">
        <f>IFERROR(__xludf.DUMMYFUNCTION("""COMPUTED_VALUE"""),676.0)</f>
        <v>676</v>
      </c>
      <c r="B677" s="20" t="str">
        <f>IFERROR(__xludf.DUMMYFUNCTION("""COMPUTED_VALUE"""),"Implement Magic Dictionary")</f>
        <v>Implement Magic Dictionary</v>
      </c>
      <c r="C677" s="20" t="str">
        <f>IFERROR(__xludf.DUMMYFUNCTION("""COMPUTED_VALUE"""),"implement-magic-dictionary")</f>
        <v>implement-magic-dictionary</v>
      </c>
      <c r="D677" s="20" t="b">
        <f>IFERROR(__xludf.DUMMYFUNCTION("""COMPUTED_VALUE"""),FALSE)</f>
        <v>0</v>
      </c>
      <c r="E677" s="20" t="str">
        <f>IFERROR(__xludf.DUMMYFUNCTION("""COMPUTED_VALUE"""),"Medium")</f>
        <v>Medium</v>
      </c>
      <c r="F677" s="20">
        <f>IFERROR(__xludf.DUMMYFUNCTION("""COMPUTED_VALUE"""),1198.0)</f>
        <v>1198</v>
      </c>
      <c r="G677" s="20">
        <f>IFERROR(__xludf.DUMMYFUNCTION("""COMPUTED_VALUE"""),192.0)</f>
        <v>192</v>
      </c>
      <c r="H677" s="20" t="str">
        <f>IFERROR(__xludf.DUMMYFUNCTION("""COMPUTED_VALUE"""),"Algorithms")</f>
        <v>Algorithms</v>
      </c>
      <c r="I677" s="20">
        <f>IFERROR(__xludf.DUMMYFUNCTION("""COMPUTED_VALUE"""),0.569)</f>
        <v>0.569</v>
      </c>
      <c r="J677" s="20">
        <f>IFERROR(__xludf.DUMMYFUNCTION("""COMPUTED_VALUE"""),676.0)</f>
        <v>676</v>
      </c>
      <c r="K677" s="20" t="b">
        <f>IFERROR(__xludf.DUMMYFUNCTION("""COMPUTED_VALUE"""),FALSE)</f>
        <v>0</v>
      </c>
      <c r="L677" s="20" t="str">
        <f>IFERROR(__xludf.DUMMYFUNCTION("""COMPUTED_VALUE"""),"Hash Table;String;Design;Trie;")</f>
        <v>Hash Table;String;Design;Trie;</v>
      </c>
      <c r="M677" s="20" t="b">
        <f>IFERROR(__xludf.DUMMYFUNCTION("""COMPUTED_VALUE"""),TRUE)</f>
        <v>1</v>
      </c>
      <c r="N677" s="20" t="b">
        <f>IFERROR(__xludf.DUMMYFUNCTION("""COMPUTED_VALUE"""),FALSE)</f>
        <v>0</v>
      </c>
      <c r="O677" s="20">
        <f>IFERROR(__xludf.DUMMYFUNCTION("""COMPUTED_VALUE"""),56.9056215386123)</f>
        <v>56.90562154</v>
      </c>
      <c r="P677" s="20">
        <f>IFERROR(__xludf.DUMMYFUNCTION("""COMPUTED_VALUE"""),69665.0)</f>
        <v>69665</v>
      </c>
      <c r="Q677" s="20">
        <f>IFERROR(__xludf.DUMMYFUNCTION("""COMPUTED_VALUE"""),122422.0)</f>
        <v>122422</v>
      </c>
    </row>
    <row r="678">
      <c r="A678" s="20">
        <f>IFERROR(__xludf.DUMMYFUNCTION("""COMPUTED_VALUE"""),677.0)</f>
        <v>677</v>
      </c>
      <c r="B678" s="20" t="str">
        <f>IFERROR(__xludf.DUMMYFUNCTION("""COMPUTED_VALUE"""),"Map Sum Pairs")</f>
        <v>Map Sum Pairs</v>
      </c>
      <c r="C678" s="20" t="str">
        <f>IFERROR(__xludf.DUMMYFUNCTION("""COMPUTED_VALUE"""),"map-sum-pairs")</f>
        <v>map-sum-pairs</v>
      </c>
      <c r="D678" s="20" t="b">
        <f>IFERROR(__xludf.DUMMYFUNCTION("""COMPUTED_VALUE"""),FALSE)</f>
        <v>0</v>
      </c>
      <c r="E678" s="20" t="str">
        <f>IFERROR(__xludf.DUMMYFUNCTION("""COMPUTED_VALUE"""),"Medium")</f>
        <v>Medium</v>
      </c>
      <c r="F678" s="20">
        <f>IFERROR(__xludf.DUMMYFUNCTION("""COMPUTED_VALUE"""),1422.0)</f>
        <v>1422</v>
      </c>
      <c r="G678" s="20">
        <f>IFERROR(__xludf.DUMMYFUNCTION("""COMPUTED_VALUE"""),138.0)</f>
        <v>138</v>
      </c>
      <c r="H678" s="20" t="str">
        <f>IFERROR(__xludf.DUMMYFUNCTION("""COMPUTED_VALUE"""),"Algorithms")</f>
        <v>Algorithms</v>
      </c>
      <c r="I678" s="20">
        <f>IFERROR(__xludf.DUMMYFUNCTION("""COMPUTED_VALUE"""),0.569)</f>
        <v>0.569</v>
      </c>
      <c r="J678" s="20">
        <f>IFERROR(__xludf.DUMMYFUNCTION("""COMPUTED_VALUE"""),677.0)</f>
        <v>677</v>
      </c>
      <c r="K678" s="20" t="b">
        <f>IFERROR(__xludf.DUMMYFUNCTION("""COMPUTED_VALUE"""),FALSE)</f>
        <v>0</v>
      </c>
      <c r="L678" s="20" t="str">
        <f>IFERROR(__xludf.DUMMYFUNCTION("""COMPUTED_VALUE"""),"Hash Table;String;Design;Trie;")</f>
        <v>Hash Table;String;Design;Trie;</v>
      </c>
      <c r="M678" s="20" t="b">
        <f>IFERROR(__xludf.DUMMYFUNCTION("""COMPUTED_VALUE"""),TRUE)</f>
        <v>1</v>
      </c>
      <c r="N678" s="20" t="b">
        <f>IFERROR(__xludf.DUMMYFUNCTION("""COMPUTED_VALUE"""),FALSE)</f>
        <v>0</v>
      </c>
      <c r="O678" s="20">
        <f>IFERROR(__xludf.DUMMYFUNCTION("""COMPUTED_VALUE"""),56.8716502599712)</f>
        <v>56.87165026</v>
      </c>
      <c r="P678" s="20">
        <f>IFERROR(__xludf.DUMMYFUNCTION("""COMPUTED_VALUE"""),99427.0)</f>
        <v>99427</v>
      </c>
      <c r="Q678" s="20">
        <f>IFERROR(__xludf.DUMMYFUNCTION("""COMPUTED_VALUE"""),174826.0)</f>
        <v>174826</v>
      </c>
    </row>
    <row r="679">
      <c r="A679" s="20">
        <f>IFERROR(__xludf.DUMMYFUNCTION("""COMPUTED_VALUE"""),678.0)</f>
        <v>678</v>
      </c>
      <c r="B679" s="20" t="str">
        <f>IFERROR(__xludf.DUMMYFUNCTION("""COMPUTED_VALUE"""),"Valid Parenthesis String")</f>
        <v>Valid Parenthesis String</v>
      </c>
      <c r="C679" s="20" t="str">
        <f>IFERROR(__xludf.DUMMYFUNCTION("""COMPUTED_VALUE"""),"valid-parenthesis-string")</f>
        <v>valid-parenthesis-string</v>
      </c>
      <c r="D679" s="20" t="b">
        <f>IFERROR(__xludf.DUMMYFUNCTION("""COMPUTED_VALUE"""),FALSE)</f>
        <v>0</v>
      </c>
      <c r="E679" s="20" t="str">
        <f>IFERROR(__xludf.DUMMYFUNCTION("""COMPUTED_VALUE"""),"Medium")</f>
        <v>Medium</v>
      </c>
      <c r="F679" s="20">
        <f>IFERROR(__xludf.DUMMYFUNCTION("""COMPUTED_VALUE"""),4082.0)</f>
        <v>4082</v>
      </c>
      <c r="G679" s="20">
        <f>IFERROR(__xludf.DUMMYFUNCTION("""COMPUTED_VALUE"""),98.0)</f>
        <v>98</v>
      </c>
      <c r="H679" s="20" t="str">
        <f>IFERROR(__xludf.DUMMYFUNCTION("""COMPUTED_VALUE"""),"Algorithms")</f>
        <v>Algorithms</v>
      </c>
      <c r="I679" s="20">
        <f>IFERROR(__xludf.DUMMYFUNCTION("""COMPUTED_VALUE"""),0.34)</f>
        <v>0.34</v>
      </c>
      <c r="J679" s="20">
        <f>IFERROR(__xludf.DUMMYFUNCTION("""COMPUTED_VALUE"""),678.0)</f>
        <v>678</v>
      </c>
      <c r="K679" s="20" t="b">
        <f>IFERROR(__xludf.DUMMYFUNCTION("""COMPUTED_VALUE"""),FALSE)</f>
        <v>0</v>
      </c>
      <c r="L679" s="20" t="str">
        <f>IFERROR(__xludf.DUMMYFUNCTION("""COMPUTED_VALUE"""),"String;Dynamic Programming;Stack;Greedy;")</f>
        <v>String;Dynamic Programming;Stack;Greedy;</v>
      </c>
      <c r="M679" s="20" t="b">
        <f>IFERROR(__xludf.DUMMYFUNCTION("""COMPUTED_VALUE"""),TRUE)</f>
        <v>1</v>
      </c>
      <c r="N679" s="20" t="b">
        <f>IFERROR(__xludf.DUMMYFUNCTION("""COMPUTED_VALUE"""),FALSE)</f>
        <v>0</v>
      </c>
      <c r="O679" s="20">
        <f>IFERROR(__xludf.DUMMYFUNCTION("""COMPUTED_VALUE"""),33.9936902582255)</f>
        <v>33.99369026</v>
      </c>
      <c r="P679" s="20">
        <f>IFERROR(__xludf.DUMMYFUNCTION("""COMPUTED_VALUE"""),195135.0)</f>
        <v>195135</v>
      </c>
      <c r="Q679" s="20">
        <f>IFERROR(__xludf.DUMMYFUNCTION("""COMPUTED_VALUE"""),574030.0)</f>
        <v>574030</v>
      </c>
    </row>
    <row r="680">
      <c r="A680" s="20">
        <f>IFERROR(__xludf.DUMMYFUNCTION("""COMPUTED_VALUE"""),679.0)</f>
        <v>679</v>
      </c>
      <c r="B680" s="20" t="str">
        <f>IFERROR(__xludf.DUMMYFUNCTION("""COMPUTED_VALUE"""),"24 Game")</f>
        <v>24 Game</v>
      </c>
      <c r="C680" s="20" t="str">
        <f>IFERROR(__xludf.DUMMYFUNCTION("""COMPUTED_VALUE"""),"24-game")</f>
        <v>24-game</v>
      </c>
      <c r="D680" s="20" t="b">
        <f>IFERROR(__xludf.DUMMYFUNCTION("""COMPUTED_VALUE"""),FALSE)</f>
        <v>0</v>
      </c>
      <c r="E680" s="20" t="str">
        <f>IFERROR(__xludf.DUMMYFUNCTION("""COMPUTED_VALUE"""),"Hard")</f>
        <v>Hard</v>
      </c>
      <c r="F680" s="20">
        <f>IFERROR(__xludf.DUMMYFUNCTION("""COMPUTED_VALUE"""),1326.0)</f>
        <v>1326</v>
      </c>
      <c r="G680" s="20">
        <f>IFERROR(__xludf.DUMMYFUNCTION("""COMPUTED_VALUE"""),230.0)</f>
        <v>230</v>
      </c>
      <c r="H680" s="20" t="str">
        <f>IFERROR(__xludf.DUMMYFUNCTION("""COMPUTED_VALUE"""),"Algorithms")</f>
        <v>Algorithms</v>
      </c>
      <c r="I680" s="20">
        <f>IFERROR(__xludf.DUMMYFUNCTION("""COMPUTED_VALUE"""),0.492)</f>
        <v>0.492</v>
      </c>
      <c r="J680" s="20">
        <f>IFERROR(__xludf.DUMMYFUNCTION("""COMPUTED_VALUE"""),679.0)</f>
        <v>679</v>
      </c>
      <c r="K680" s="20" t="b">
        <f>IFERROR(__xludf.DUMMYFUNCTION("""COMPUTED_VALUE"""),FALSE)</f>
        <v>0</v>
      </c>
      <c r="L680" s="20" t="str">
        <f>IFERROR(__xludf.DUMMYFUNCTION("""COMPUTED_VALUE"""),"Array;Math;Backtracking;")</f>
        <v>Array;Math;Backtracking;</v>
      </c>
      <c r="M680" s="20" t="b">
        <f>IFERROR(__xludf.DUMMYFUNCTION("""COMPUTED_VALUE"""),TRUE)</f>
        <v>1</v>
      </c>
      <c r="N680" s="20" t="b">
        <f>IFERROR(__xludf.DUMMYFUNCTION("""COMPUTED_VALUE"""),FALSE)</f>
        <v>0</v>
      </c>
      <c r="O680" s="20">
        <f>IFERROR(__xludf.DUMMYFUNCTION("""COMPUTED_VALUE"""),49.1694046337733)</f>
        <v>49.16940463</v>
      </c>
      <c r="P680" s="20">
        <f>IFERROR(__xludf.DUMMYFUNCTION("""COMPUTED_VALUE"""),69439.0)</f>
        <v>69439</v>
      </c>
      <c r="Q680" s="20">
        <f>IFERROR(__xludf.DUMMYFUNCTION("""COMPUTED_VALUE"""),141224.0)</f>
        <v>141224</v>
      </c>
    </row>
    <row r="681">
      <c r="A681" s="20">
        <f>IFERROR(__xludf.DUMMYFUNCTION("""COMPUTED_VALUE"""),680.0)</f>
        <v>680</v>
      </c>
      <c r="B681" s="20" t="str">
        <f>IFERROR(__xludf.DUMMYFUNCTION("""COMPUTED_VALUE"""),"Valid Palindrome II")</f>
        <v>Valid Palindrome II</v>
      </c>
      <c r="C681" s="20" t="str">
        <f>IFERROR(__xludf.DUMMYFUNCTION("""COMPUTED_VALUE"""),"valid-palindrome-ii")</f>
        <v>valid-palindrome-ii</v>
      </c>
      <c r="D681" s="20" t="b">
        <f>IFERROR(__xludf.DUMMYFUNCTION("""COMPUTED_VALUE"""),FALSE)</f>
        <v>0</v>
      </c>
      <c r="E681" s="20" t="str">
        <f>IFERROR(__xludf.DUMMYFUNCTION("""COMPUTED_VALUE"""),"Easy")</f>
        <v>Easy</v>
      </c>
      <c r="F681" s="20">
        <f>IFERROR(__xludf.DUMMYFUNCTION("""COMPUTED_VALUE"""),6686.0)</f>
        <v>6686</v>
      </c>
      <c r="G681" s="20">
        <f>IFERROR(__xludf.DUMMYFUNCTION("""COMPUTED_VALUE"""),342.0)</f>
        <v>342</v>
      </c>
      <c r="H681" s="20" t="str">
        <f>IFERROR(__xludf.DUMMYFUNCTION("""COMPUTED_VALUE"""),"Algorithms")</f>
        <v>Algorithms</v>
      </c>
      <c r="I681" s="20">
        <f>IFERROR(__xludf.DUMMYFUNCTION("""COMPUTED_VALUE"""),0.393)</f>
        <v>0.393</v>
      </c>
      <c r="J681" s="20">
        <f>IFERROR(__xludf.DUMMYFUNCTION("""COMPUTED_VALUE"""),680.0)</f>
        <v>680</v>
      </c>
      <c r="K681" s="20" t="b">
        <f>IFERROR(__xludf.DUMMYFUNCTION("""COMPUTED_VALUE"""),FALSE)</f>
        <v>0</v>
      </c>
      <c r="L681" s="20" t="str">
        <f>IFERROR(__xludf.DUMMYFUNCTION("""COMPUTED_VALUE"""),"Two Pointers;String;Greedy;")</f>
        <v>Two Pointers;String;Greedy;</v>
      </c>
      <c r="M681" s="20" t="b">
        <f>IFERROR(__xludf.DUMMYFUNCTION("""COMPUTED_VALUE"""),TRUE)</f>
        <v>1</v>
      </c>
      <c r="N681" s="20" t="b">
        <f>IFERROR(__xludf.DUMMYFUNCTION("""COMPUTED_VALUE"""),FALSE)</f>
        <v>0</v>
      </c>
      <c r="O681" s="20">
        <f>IFERROR(__xludf.DUMMYFUNCTION("""COMPUTED_VALUE"""),39.3104004359697)</f>
        <v>39.31040044</v>
      </c>
      <c r="P681" s="20">
        <f>IFERROR(__xludf.DUMMYFUNCTION("""COMPUTED_VALUE"""),565528.0)</f>
        <v>565528</v>
      </c>
      <c r="Q681" s="20">
        <f>IFERROR(__xludf.DUMMYFUNCTION("""COMPUTED_VALUE"""),1438618.0)</f>
        <v>1438618</v>
      </c>
    </row>
    <row r="682">
      <c r="A682" s="20">
        <f>IFERROR(__xludf.DUMMYFUNCTION("""COMPUTED_VALUE"""),681.0)</f>
        <v>681</v>
      </c>
      <c r="B682" s="20" t="str">
        <f>IFERROR(__xludf.DUMMYFUNCTION("""COMPUTED_VALUE"""),"Next Closest Time")</f>
        <v>Next Closest Time</v>
      </c>
      <c r="C682" s="20" t="str">
        <f>IFERROR(__xludf.DUMMYFUNCTION("""COMPUTED_VALUE"""),"next-closest-time")</f>
        <v>next-closest-time</v>
      </c>
      <c r="D682" s="20" t="b">
        <f>IFERROR(__xludf.DUMMYFUNCTION("""COMPUTED_VALUE"""),TRUE)</f>
        <v>1</v>
      </c>
      <c r="E682" s="20" t="str">
        <f>IFERROR(__xludf.DUMMYFUNCTION("""COMPUTED_VALUE"""),"Medium")</f>
        <v>Medium</v>
      </c>
      <c r="F682" s="20">
        <f>IFERROR(__xludf.DUMMYFUNCTION("""COMPUTED_VALUE"""),689.0)</f>
        <v>689</v>
      </c>
      <c r="G682" s="20">
        <f>IFERROR(__xludf.DUMMYFUNCTION("""COMPUTED_VALUE"""),1018.0)</f>
        <v>1018</v>
      </c>
      <c r="H682" s="20" t="str">
        <f>IFERROR(__xludf.DUMMYFUNCTION("""COMPUTED_VALUE"""),"Algorithms")</f>
        <v>Algorithms</v>
      </c>
      <c r="I682" s="20">
        <f>IFERROR(__xludf.DUMMYFUNCTION("""COMPUTED_VALUE"""),0.464)</f>
        <v>0.464</v>
      </c>
      <c r="J682" s="20">
        <f>IFERROR(__xludf.DUMMYFUNCTION("""COMPUTED_VALUE"""),681.0)</f>
        <v>681</v>
      </c>
      <c r="K682" s="20" t="b">
        <f>IFERROR(__xludf.DUMMYFUNCTION("""COMPUTED_VALUE"""),TRUE)</f>
        <v>1</v>
      </c>
      <c r="L682" s="20" t="str">
        <f>IFERROR(__xludf.DUMMYFUNCTION("""COMPUTED_VALUE"""),"String;Enumeration;")</f>
        <v>String;Enumeration;</v>
      </c>
      <c r="M682" s="20" t="b">
        <f>IFERROR(__xludf.DUMMYFUNCTION("""COMPUTED_VALUE"""),FALSE)</f>
        <v>0</v>
      </c>
      <c r="N682" s="20" t="b">
        <f>IFERROR(__xludf.DUMMYFUNCTION("""COMPUTED_VALUE"""),FALSE)</f>
        <v>0</v>
      </c>
      <c r="O682" s="20">
        <f>IFERROR(__xludf.DUMMYFUNCTION("""COMPUTED_VALUE"""),46.3890963061294)</f>
        <v>46.38909631</v>
      </c>
      <c r="P682" s="20">
        <f>IFERROR(__xludf.DUMMYFUNCTION("""COMPUTED_VALUE"""),100643.0)</f>
        <v>100643</v>
      </c>
      <c r="Q682" s="20">
        <f>IFERROR(__xludf.DUMMYFUNCTION("""COMPUTED_VALUE"""),216954.0)</f>
        <v>216954</v>
      </c>
    </row>
    <row r="683">
      <c r="A683" s="20">
        <f>IFERROR(__xludf.DUMMYFUNCTION("""COMPUTED_VALUE"""),682.0)</f>
        <v>682</v>
      </c>
      <c r="B683" s="20" t="str">
        <f>IFERROR(__xludf.DUMMYFUNCTION("""COMPUTED_VALUE"""),"Baseball Game")</f>
        <v>Baseball Game</v>
      </c>
      <c r="C683" s="20" t="str">
        <f>IFERROR(__xludf.DUMMYFUNCTION("""COMPUTED_VALUE"""),"baseball-game")</f>
        <v>baseball-game</v>
      </c>
      <c r="D683" s="20" t="b">
        <f>IFERROR(__xludf.DUMMYFUNCTION("""COMPUTED_VALUE"""),FALSE)</f>
        <v>0</v>
      </c>
      <c r="E683" s="20" t="str">
        <f>IFERROR(__xludf.DUMMYFUNCTION("""COMPUTED_VALUE"""),"Easy")</f>
        <v>Easy</v>
      </c>
      <c r="F683" s="20">
        <f>IFERROR(__xludf.DUMMYFUNCTION("""COMPUTED_VALUE"""),2041.0)</f>
        <v>2041</v>
      </c>
      <c r="G683" s="20">
        <f>IFERROR(__xludf.DUMMYFUNCTION("""COMPUTED_VALUE"""),1738.0)</f>
        <v>1738</v>
      </c>
      <c r="H683" s="20" t="str">
        <f>IFERROR(__xludf.DUMMYFUNCTION("""COMPUTED_VALUE"""),"Algorithms")</f>
        <v>Algorithms</v>
      </c>
      <c r="I683" s="20">
        <f>IFERROR(__xludf.DUMMYFUNCTION("""COMPUTED_VALUE"""),0.739)</f>
        <v>0.739</v>
      </c>
      <c r="J683" s="20">
        <f>IFERROR(__xludf.DUMMYFUNCTION("""COMPUTED_VALUE"""),682.0)</f>
        <v>682</v>
      </c>
      <c r="K683" s="20" t="b">
        <f>IFERROR(__xludf.DUMMYFUNCTION("""COMPUTED_VALUE"""),FALSE)</f>
        <v>0</v>
      </c>
      <c r="L683" s="20" t="str">
        <f>IFERROR(__xludf.DUMMYFUNCTION("""COMPUTED_VALUE"""),"Array;Stack;Simulation;")</f>
        <v>Array;Stack;Simulation;</v>
      </c>
      <c r="M683" s="20" t="b">
        <f>IFERROR(__xludf.DUMMYFUNCTION("""COMPUTED_VALUE"""),TRUE)</f>
        <v>1</v>
      </c>
      <c r="N683" s="20" t="b">
        <f>IFERROR(__xludf.DUMMYFUNCTION("""COMPUTED_VALUE"""),FALSE)</f>
        <v>0</v>
      </c>
      <c r="O683" s="20">
        <f>IFERROR(__xludf.DUMMYFUNCTION("""COMPUTED_VALUE"""),73.8620780888526)</f>
        <v>73.86207809</v>
      </c>
      <c r="P683" s="20">
        <f>IFERROR(__xludf.DUMMYFUNCTION("""COMPUTED_VALUE"""),228914.0)</f>
        <v>228914</v>
      </c>
      <c r="Q683" s="20">
        <f>IFERROR(__xludf.DUMMYFUNCTION("""COMPUTED_VALUE"""),309923.0)</f>
        <v>309923</v>
      </c>
    </row>
    <row r="684">
      <c r="A684" s="20">
        <f>IFERROR(__xludf.DUMMYFUNCTION("""COMPUTED_VALUE"""),683.0)</f>
        <v>683</v>
      </c>
      <c r="B684" s="20" t="str">
        <f>IFERROR(__xludf.DUMMYFUNCTION("""COMPUTED_VALUE"""),"K Empty Slots")</f>
        <v>K Empty Slots</v>
      </c>
      <c r="C684" s="20" t="str">
        <f>IFERROR(__xludf.DUMMYFUNCTION("""COMPUTED_VALUE"""),"k-empty-slots")</f>
        <v>k-empty-slots</v>
      </c>
      <c r="D684" s="20" t="b">
        <f>IFERROR(__xludf.DUMMYFUNCTION("""COMPUTED_VALUE"""),TRUE)</f>
        <v>1</v>
      </c>
      <c r="E684" s="20" t="str">
        <f>IFERROR(__xludf.DUMMYFUNCTION("""COMPUTED_VALUE"""),"Hard")</f>
        <v>Hard</v>
      </c>
      <c r="F684" s="20">
        <f>IFERROR(__xludf.DUMMYFUNCTION("""COMPUTED_VALUE"""),761.0)</f>
        <v>761</v>
      </c>
      <c r="G684" s="20">
        <f>IFERROR(__xludf.DUMMYFUNCTION("""COMPUTED_VALUE"""),677.0)</f>
        <v>677</v>
      </c>
      <c r="H684" s="20" t="str">
        <f>IFERROR(__xludf.DUMMYFUNCTION("""COMPUTED_VALUE"""),"Algorithms")</f>
        <v>Algorithms</v>
      </c>
      <c r="I684" s="20">
        <f>IFERROR(__xludf.DUMMYFUNCTION("""COMPUTED_VALUE"""),0.369)</f>
        <v>0.369</v>
      </c>
      <c r="J684" s="20">
        <f>IFERROR(__xludf.DUMMYFUNCTION("""COMPUTED_VALUE"""),683.0)</f>
        <v>683</v>
      </c>
      <c r="K684" s="20" t="b">
        <f>IFERROR(__xludf.DUMMYFUNCTION("""COMPUTED_VALUE"""),TRUE)</f>
        <v>1</v>
      </c>
      <c r="L684" s="20" t="str">
        <f>IFERROR(__xludf.DUMMYFUNCTION("""COMPUTED_VALUE"""),"Array;Binary Indexed Tree;Sliding Window;Ordered Set;")</f>
        <v>Array;Binary Indexed Tree;Sliding Window;Ordered Set;</v>
      </c>
      <c r="M684" s="20" t="b">
        <f>IFERROR(__xludf.DUMMYFUNCTION("""COMPUTED_VALUE"""),FALSE)</f>
        <v>0</v>
      </c>
      <c r="N684" s="20" t="b">
        <f>IFERROR(__xludf.DUMMYFUNCTION("""COMPUTED_VALUE"""),FALSE)</f>
        <v>0</v>
      </c>
      <c r="O684" s="20">
        <f>IFERROR(__xludf.DUMMYFUNCTION("""COMPUTED_VALUE"""),36.929887065144)</f>
        <v>36.92988707</v>
      </c>
      <c r="P684" s="20">
        <f>IFERROR(__xludf.DUMMYFUNCTION("""COMPUTED_VALUE"""),58566.0)</f>
        <v>58566</v>
      </c>
      <c r="Q684" s="20">
        <f>IFERROR(__xludf.DUMMYFUNCTION("""COMPUTED_VALUE"""),158587.0)</f>
        <v>158587</v>
      </c>
    </row>
    <row r="685">
      <c r="A685" s="20">
        <f>IFERROR(__xludf.DUMMYFUNCTION("""COMPUTED_VALUE"""),684.0)</f>
        <v>684</v>
      </c>
      <c r="B685" s="20" t="str">
        <f>IFERROR(__xludf.DUMMYFUNCTION("""COMPUTED_VALUE"""),"Redundant Connection")</f>
        <v>Redundant Connection</v>
      </c>
      <c r="C685" s="20" t="str">
        <f>IFERROR(__xludf.DUMMYFUNCTION("""COMPUTED_VALUE"""),"redundant-connection")</f>
        <v>redundant-connection</v>
      </c>
      <c r="D685" s="20" t="b">
        <f>IFERROR(__xludf.DUMMYFUNCTION("""COMPUTED_VALUE"""),FALSE)</f>
        <v>0</v>
      </c>
      <c r="E685" s="20" t="str">
        <f>IFERROR(__xludf.DUMMYFUNCTION("""COMPUTED_VALUE"""),"Medium")</f>
        <v>Medium</v>
      </c>
      <c r="F685" s="20">
        <f>IFERROR(__xludf.DUMMYFUNCTION("""COMPUTED_VALUE"""),4839.0)</f>
        <v>4839</v>
      </c>
      <c r="G685" s="20">
        <f>IFERROR(__xludf.DUMMYFUNCTION("""COMPUTED_VALUE"""),335.0)</f>
        <v>335</v>
      </c>
      <c r="H685" s="20" t="str">
        <f>IFERROR(__xludf.DUMMYFUNCTION("""COMPUTED_VALUE"""),"Algorithms")</f>
        <v>Algorithms</v>
      </c>
      <c r="I685" s="20">
        <f>IFERROR(__xludf.DUMMYFUNCTION("""COMPUTED_VALUE"""),0.621)</f>
        <v>0.621</v>
      </c>
      <c r="J685" s="20">
        <f>IFERROR(__xludf.DUMMYFUNCTION("""COMPUTED_VALUE"""),684.0)</f>
        <v>684</v>
      </c>
      <c r="K685" s="20" t="b">
        <f>IFERROR(__xludf.DUMMYFUNCTION("""COMPUTED_VALUE"""),FALSE)</f>
        <v>0</v>
      </c>
      <c r="L685" s="20" t="str">
        <f>IFERROR(__xludf.DUMMYFUNCTION("""COMPUTED_VALUE"""),"Depth-First Search;Breadth-First Search;Union Find;Graph;")</f>
        <v>Depth-First Search;Breadth-First Search;Union Find;Graph;</v>
      </c>
      <c r="M685" s="20" t="b">
        <f>IFERROR(__xludf.DUMMYFUNCTION("""COMPUTED_VALUE"""),TRUE)</f>
        <v>1</v>
      </c>
      <c r="N685" s="20" t="b">
        <f>IFERROR(__xludf.DUMMYFUNCTION("""COMPUTED_VALUE"""),FALSE)</f>
        <v>0</v>
      </c>
      <c r="O685" s="20">
        <f>IFERROR(__xludf.DUMMYFUNCTION("""COMPUTED_VALUE"""),62.0918814530521)</f>
        <v>62.09188145</v>
      </c>
      <c r="P685" s="20">
        <f>IFERROR(__xludf.DUMMYFUNCTION("""COMPUTED_VALUE"""),254324.0)</f>
        <v>254324</v>
      </c>
      <c r="Q685" s="20">
        <f>IFERROR(__xludf.DUMMYFUNCTION("""COMPUTED_VALUE"""),409587.0)</f>
        <v>409587</v>
      </c>
    </row>
    <row r="686">
      <c r="A686" s="20">
        <f>IFERROR(__xludf.DUMMYFUNCTION("""COMPUTED_VALUE"""),685.0)</f>
        <v>685</v>
      </c>
      <c r="B686" s="20" t="str">
        <f>IFERROR(__xludf.DUMMYFUNCTION("""COMPUTED_VALUE"""),"Redundant Connection II")</f>
        <v>Redundant Connection II</v>
      </c>
      <c r="C686" s="20" t="str">
        <f>IFERROR(__xludf.DUMMYFUNCTION("""COMPUTED_VALUE"""),"redundant-connection-ii")</f>
        <v>redundant-connection-ii</v>
      </c>
      <c r="D686" s="20" t="b">
        <f>IFERROR(__xludf.DUMMYFUNCTION("""COMPUTED_VALUE"""),FALSE)</f>
        <v>0</v>
      </c>
      <c r="E686" s="20" t="str">
        <f>IFERROR(__xludf.DUMMYFUNCTION("""COMPUTED_VALUE"""),"Hard")</f>
        <v>Hard</v>
      </c>
      <c r="F686" s="20">
        <f>IFERROR(__xludf.DUMMYFUNCTION("""COMPUTED_VALUE"""),1933.0)</f>
        <v>1933</v>
      </c>
      <c r="G686" s="20">
        <f>IFERROR(__xludf.DUMMYFUNCTION("""COMPUTED_VALUE"""),289.0)</f>
        <v>289</v>
      </c>
      <c r="H686" s="20" t="str">
        <f>IFERROR(__xludf.DUMMYFUNCTION("""COMPUTED_VALUE"""),"Algorithms")</f>
        <v>Algorithms</v>
      </c>
      <c r="I686" s="20">
        <f>IFERROR(__xludf.DUMMYFUNCTION("""COMPUTED_VALUE"""),0.342)</f>
        <v>0.342</v>
      </c>
      <c r="J686" s="20">
        <f>IFERROR(__xludf.DUMMYFUNCTION("""COMPUTED_VALUE"""),685.0)</f>
        <v>685</v>
      </c>
      <c r="K686" s="20" t="b">
        <f>IFERROR(__xludf.DUMMYFUNCTION("""COMPUTED_VALUE"""),FALSE)</f>
        <v>0</v>
      </c>
      <c r="L686" s="20" t="str">
        <f>IFERROR(__xludf.DUMMYFUNCTION("""COMPUTED_VALUE"""),"Depth-First Search;Breadth-First Search;Union Find;Graph;")</f>
        <v>Depth-First Search;Breadth-First Search;Union Find;Graph;</v>
      </c>
      <c r="M686" s="20" t="b">
        <f>IFERROR(__xludf.DUMMYFUNCTION("""COMPUTED_VALUE"""),FALSE)</f>
        <v>0</v>
      </c>
      <c r="N686" s="20" t="b">
        <f>IFERROR(__xludf.DUMMYFUNCTION("""COMPUTED_VALUE"""),FALSE)</f>
        <v>0</v>
      </c>
      <c r="O686" s="20">
        <f>IFERROR(__xludf.DUMMYFUNCTION("""COMPUTED_VALUE"""),34.169867394289)</f>
        <v>34.16986739</v>
      </c>
      <c r="P686" s="20">
        <f>IFERROR(__xludf.DUMMYFUNCTION("""COMPUTED_VALUE"""),58983.0)</f>
        <v>58983</v>
      </c>
      <c r="Q686" s="20">
        <f>IFERROR(__xludf.DUMMYFUNCTION("""COMPUTED_VALUE"""),172616.0)</f>
        <v>172616</v>
      </c>
    </row>
    <row r="687">
      <c r="A687" s="20">
        <f>IFERROR(__xludf.DUMMYFUNCTION("""COMPUTED_VALUE"""),686.0)</f>
        <v>686</v>
      </c>
      <c r="B687" s="20" t="str">
        <f>IFERROR(__xludf.DUMMYFUNCTION("""COMPUTED_VALUE"""),"Repeated String Match")</f>
        <v>Repeated String Match</v>
      </c>
      <c r="C687" s="20" t="str">
        <f>IFERROR(__xludf.DUMMYFUNCTION("""COMPUTED_VALUE"""),"repeated-string-match")</f>
        <v>repeated-string-match</v>
      </c>
      <c r="D687" s="20" t="b">
        <f>IFERROR(__xludf.DUMMYFUNCTION("""COMPUTED_VALUE"""),FALSE)</f>
        <v>0</v>
      </c>
      <c r="E687" s="20" t="str">
        <f>IFERROR(__xludf.DUMMYFUNCTION("""COMPUTED_VALUE"""),"Medium")</f>
        <v>Medium</v>
      </c>
      <c r="F687" s="20">
        <f>IFERROR(__xludf.DUMMYFUNCTION("""COMPUTED_VALUE"""),1862.0)</f>
        <v>1862</v>
      </c>
      <c r="G687" s="20">
        <f>IFERROR(__xludf.DUMMYFUNCTION("""COMPUTED_VALUE"""),927.0)</f>
        <v>927</v>
      </c>
      <c r="H687" s="20" t="str">
        <f>IFERROR(__xludf.DUMMYFUNCTION("""COMPUTED_VALUE"""),"Algorithms")</f>
        <v>Algorithms</v>
      </c>
      <c r="I687" s="20">
        <f>IFERROR(__xludf.DUMMYFUNCTION("""COMPUTED_VALUE"""),0.34)</f>
        <v>0.34</v>
      </c>
      <c r="J687" s="20">
        <f>IFERROR(__xludf.DUMMYFUNCTION("""COMPUTED_VALUE"""),686.0)</f>
        <v>686</v>
      </c>
      <c r="K687" s="20" t="b">
        <f>IFERROR(__xludf.DUMMYFUNCTION("""COMPUTED_VALUE"""),FALSE)</f>
        <v>0</v>
      </c>
      <c r="L687" s="20" t="str">
        <f>IFERROR(__xludf.DUMMYFUNCTION("""COMPUTED_VALUE"""),"String;String Matching;")</f>
        <v>String;String Matching;</v>
      </c>
      <c r="M687" s="20" t="b">
        <f>IFERROR(__xludf.DUMMYFUNCTION("""COMPUTED_VALUE"""),FALSE)</f>
        <v>0</v>
      </c>
      <c r="N687" s="20" t="b">
        <f>IFERROR(__xludf.DUMMYFUNCTION("""COMPUTED_VALUE"""),FALSE)</f>
        <v>0</v>
      </c>
      <c r="O687" s="20">
        <f>IFERROR(__xludf.DUMMYFUNCTION("""COMPUTED_VALUE"""),34.0465019182741)</f>
        <v>34.04650192</v>
      </c>
      <c r="P687" s="20">
        <f>IFERROR(__xludf.DUMMYFUNCTION("""COMPUTED_VALUE"""),133735.0)</f>
        <v>133735</v>
      </c>
      <c r="Q687" s="20">
        <f>IFERROR(__xludf.DUMMYFUNCTION("""COMPUTED_VALUE"""),392800.0)</f>
        <v>392800</v>
      </c>
    </row>
    <row r="688">
      <c r="A688" s="20">
        <f>IFERROR(__xludf.DUMMYFUNCTION("""COMPUTED_VALUE"""),687.0)</f>
        <v>687</v>
      </c>
      <c r="B688" s="20" t="str">
        <f>IFERROR(__xludf.DUMMYFUNCTION("""COMPUTED_VALUE"""),"Longest Univalue Path")</f>
        <v>Longest Univalue Path</v>
      </c>
      <c r="C688" s="20" t="str">
        <f>IFERROR(__xludf.DUMMYFUNCTION("""COMPUTED_VALUE"""),"longest-univalue-path")</f>
        <v>longest-univalue-path</v>
      </c>
      <c r="D688" s="20" t="b">
        <f>IFERROR(__xludf.DUMMYFUNCTION("""COMPUTED_VALUE"""),FALSE)</f>
        <v>0</v>
      </c>
      <c r="E688" s="20" t="str">
        <f>IFERROR(__xludf.DUMMYFUNCTION("""COMPUTED_VALUE"""),"Medium")</f>
        <v>Medium</v>
      </c>
      <c r="F688" s="20">
        <f>IFERROR(__xludf.DUMMYFUNCTION("""COMPUTED_VALUE"""),3642.0)</f>
        <v>3642</v>
      </c>
      <c r="G688" s="20">
        <f>IFERROR(__xludf.DUMMYFUNCTION("""COMPUTED_VALUE"""),641.0)</f>
        <v>641</v>
      </c>
      <c r="H688" s="20" t="str">
        <f>IFERROR(__xludf.DUMMYFUNCTION("""COMPUTED_VALUE"""),"Algorithms")</f>
        <v>Algorithms</v>
      </c>
      <c r="I688" s="20">
        <f>IFERROR(__xludf.DUMMYFUNCTION("""COMPUTED_VALUE"""),0.402)</f>
        <v>0.402</v>
      </c>
      <c r="J688" s="20">
        <f>IFERROR(__xludf.DUMMYFUNCTION("""COMPUTED_VALUE"""),687.0)</f>
        <v>687</v>
      </c>
      <c r="K688" s="20" t="b">
        <f>IFERROR(__xludf.DUMMYFUNCTION("""COMPUTED_VALUE"""),FALSE)</f>
        <v>0</v>
      </c>
      <c r="L688" s="20" t="str">
        <f>IFERROR(__xludf.DUMMYFUNCTION("""COMPUTED_VALUE"""),"Tree;Depth-First Search;Binary Tree;")</f>
        <v>Tree;Depth-First Search;Binary Tree;</v>
      </c>
      <c r="M688" s="20" t="b">
        <f>IFERROR(__xludf.DUMMYFUNCTION("""COMPUTED_VALUE"""),TRUE)</f>
        <v>1</v>
      </c>
      <c r="N688" s="20" t="b">
        <f>IFERROR(__xludf.DUMMYFUNCTION("""COMPUTED_VALUE"""),FALSE)</f>
        <v>0</v>
      </c>
      <c r="O688" s="20">
        <f>IFERROR(__xludf.DUMMYFUNCTION("""COMPUTED_VALUE"""),40.2260253174892)</f>
        <v>40.22602532</v>
      </c>
      <c r="P688" s="20">
        <f>IFERROR(__xludf.DUMMYFUNCTION("""COMPUTED_VALUE"""),157647.0)</f>
        <v>157647</v>
      </c>
      <c r="Q688" s="20">
        <f>IFERROR(__xludf.DUMMYFUNCTION("""COMPUTED_VALUE"""),391903.0)</f>
        <v>391903</v>
      </c>
    </row>
    <row r="689">
      <c r="A689" s="20">
        <f>IFERROR(__xludf.DUMMYFUNCTION("""COMPUTED_VALUE"""),688.0)</f>
        <v>688</v>
      </c>
      <c r="B689" s="20" t="str">
        <f>IFERROR(__xludf.DUMMYFUNCTION("""COMPUTED_VALUE"""),"Knight Probability in Chessboard")</f>
        <v>Knight Probability in Chessboard</v>
      </c>
      <c r="C689" s="20" t="str">
        <f>IFERROR(__xludf.DUMMYFUNCTION("""COMPUTED_VALUE"""),"knight-probability-in-chessboard")</f>
        <v>knight-probability-in-chessboard</v>
      </c>
      <c r="D689" s="20" t="b">
        <f>IFERROR(__xludf.DUMMYFUNCTION("""COMPUTED_VALUE"""),FALSE)</f>
        <v>0</v>
      </c>
      <c r="E689" s="20" t="str">
        <f>IFERROR(__xludf.DUMMYFUNCTION("""COMPUTED_VALUE"""),"Medium")</f>
        <v>Medium</v>
      </c>
      <c r="F689" s="20">
        <f>IFERROR(__xludf.DUMMYFUNCTION("""COMPUTED_VALUE"""),2347.0)</f>
        <v>2347</v>
      </c>
      <c r="G689" s="20">
        <f>IFERROR(__xludf.DUMMYFUNCTION("""COMPUTED_VALUE"""),326.0)</f>
        <v>326</v>
      </c>
      <c r="H689" s="20" t="str">
        <f>IFERROR(__xludf.DUMMYFUNCTION("""COMPUTED_VALUE"""),"Algorithms")</f>
        <v>Algorithms</v>
      </c>
      <c r="I689" s="20">
        <f>IFERROR(__xludf.DUMMYFUNCTION("""COMPUTED_VALUE"""),0.521)</f>
        <v>0.521</v>
      </c>
      <c r="J689" s="20">
        <f>IFERROR(__xludf.DUMMYFUNCTION("""COMPUTED_VALUE"""),688.0)</f>
        <v>688</v>
      </c>
      <c r="K689" s="20" t="b">
        <f>IFERROR(__xludf.DUMMYFUNCTION("""COMPUTED_VALUE"""),FALSE)</f>
        <v>0</v>
      </c>
      <c r="L689" s="20" t="str">
        <f>IFERROR(__xludf.DUMMYFUNCTION("""COMPUTED_VALUE"""),"Dynamic Programming;")</f>
        <v>Dynamic Programming;</v>
      </c>
      <c r="M689" s="20" t="b">
        <f>IFERROR(__xludf.DUMMYFUNCTION("""COMPUTED_VALUE"""),TRUE)</f>
        <v>1</v>
      </c>
      <c r="N689" s="20" t="b">
        <f>IFERROR(__xludf.DUMMYFUNCTION("""COMPUTED_VALUE"""),FALSE)</f>
        <v>0</v>
      </c>
      <c r="O689" s="20">
        <f>IFERROR(__xludf.DUMMYFUNCTION("""COMPUTED_VALUE"""),52.1077303429807)</f>
        <v>52.10773034</v>
      </c>
      <c r="P689" s="20">
        <f>IFERROR(__xludf.DUMMYFUNCTION("""COMPUTED_VALUE"""),91262.0)</f>
        <v>91262</v>
      </c>
      <c r="Q689" s="20">
        <f>IFERROR(__xludf.DUMMYFUNCTION("""COMPUTED_VALUE"""),175141.0)</f>
        <v>175141</v>
      </c>
    </row>
    <row r="690">
      <c r="A690" s="20">
        <f>IFERROR(__xludf.DUMMYFUNCTION("""COMPUTED_VALUE"""),689.0)</f>
        <v>689</v>
      </c>
      <c r="B690" s="20" t="str">
        <f>IFERROR(__xludf.DUMMYFUNCTION("""COMPUTED_VALUE"""),"Maximum Sum of 3 Non-Overlapping Subarrays")</f>
        <v>Maximum Sum of 3 Non-Overlapping Subarrays</v>
      </c>
      <c r="C690" s="20" t="str">
        <f>IFERROR(__xludf.DUMMYFUNCTION("""COMPUTED_VALUE"""),"maximum-sum-of-3-non-overlapping-subarrays")</f>
        <v>maximum-sum-of-3-non-overlapping-subarrays</v>
      </c>
      <c r="D690" s="20" t="b">
        <f>IFERROR(__xludf.DUMMYFUNCTION("""COMPUTED_VALUE"""),FALSE)</f>
        <v>0</v>
      </c>
      <c r="E690" s="20" t="str">
        <f>IFERROR(__xludf.DUMMYFUNCTION("""COMPUTED_VALUE"""),"Hard")</f>
        <v>Hard</v>
      </c>
      <c r="F690" s="20">
        <f>IFERROR(__xludf.DUMMYFUNCTION("""COMPUTED_VALUE"""),1764.0)</f>
        <v>1764</v>
      </c>
      <c r="G690" s="20">
        <f>IFERROR(__xludf.DUMMYFUNCTION("""COMPUTED_VALUE"""),100.0)</f>
        <v>100</v>
      </c>
      <c r="H690" s="20" t="str">
        <f>IFERROR(__xludf.DUMMYFUNCTION("""COMPUTED_VALUE"""),"Algorithms")</f>
        <v>Algorithms</v>
      </c>
      <c r="I690" s="20">
        <f>IFERROR(__xludf.DUMMYFUNCTION("""COMPUTED_VALUE"""),0.489)</f>
        <v>0.489</v>
      </c>
      <c r="J690" s="20">
        <f>IFERROR(__xludf.DUMMYFUNCTION("""COMPUTED_VALUE"""),689.0)</f>
        <v>689</v>
      </c>
      <c r="K690" s="20" t="b">
        <f>IFERROR(__xludf.DUMMYFUNCTION("""COMPUTED_VALUE"""),FALSE)</f>
        <v>0</v>
      </c>
      <c r="L690" s="20" t="str">
        <f>IFERROR(__xludf.DUMMYFUNCTION("""COMPUTED_VALUE"""),"Array;Dynamic Programming;")</f>
        <v>Array;Dynamic Programming;</v>
      </c>
      <c r="M690" s="20" t="b">
        <f>IFERROR(__xludf.DUMMYFUNCTION("""COMPUTED_VALUE"""),TRUE)</f>
        <v>1</v>
      </c>
      <c r="N690" s="20" t="b">
        <f>IFERROR(__xludf.DUMMYFUNCTION("""COMPUTED_VALUE"""),FALSE)</f>
        <v>0</v>
      </c>
      <c r="O690" s="20">
        <f>IFERROR(__xludf.DUMMYFUNCTION("""COMPUTED_VALUE"""),48.9087993823952)</f>
        <v>48.90879938</v>
      </c>
      <c r="P690" s="20">
        <f>IFERROR(__xludf.DUMMYFUNCTION("""COMPUTED_VALUE"""),65887.0)</f>
        <v>65887</v>
      </c>
      <c r="Q690" s="20">
        <f>IFERROR(__xludf.DUMMYFUNCTION("""COMPUTED_VALUE"""),134714.0)</f>
        <v>134714</v>
      </c>
    </row>
    <row r="691">
      <c r="A691" s="20">
        <f>IFERROR(__xludf.DUMMYFUNCTION("""COMPUTED_VALUE"""),690.0)</f>
        <v>690</v>
      </c>
      <c r="B691" s="20" t="str">
        <f>IFERROR(__xludf.DUMMYFUNCTION("""COMPUTED_VALUE"""),"Employee Importance")</f>
        <v>Employee Importance</v>
      </c>
      <c r="C691" s="20" t="str">
        <f>IFERROR(__xludf.DUMMYFUNCTION("""COMPUTED_VALUE"""),"employee-importance")</f>
        <v>employee-importance</v>
      </c>
      <c r="D691" s="20" t="b">
        <f>IFERROR(__xludf.DUMMYFUNCTION("""COMPUTED_VALUE"""),FALSE)</f>
        <v>0</v>
      </c>
      <c r="E691" s="20" t="str">
        <f>IFERROR(__xludf.DUMMYFUNCTION("""COMPUTED_VALUE"""),"Medium")</f>
        <v>Medium</v>
      </c>
      <c r="F691" s="20">
        <f>IFERROR(__xludf.DUMMYFUNCTION("""COMPUTED_VALUE"""),1834.0)</f>
        <v>1834</v>
      </c>
      <c r="G691" s="20">
        <f>IFERROR(__xludf.DUMMYFUNCTION("""COMPUTED_VALUE"""),1287.0)</f>
        <v>1287</v>
      </c>
      <c r="H691" s="20" t="str">
        <f>IFERROR(__xludf.DUMMYFUNCTION("""COMPUTED_VALUE"""),"Algorithms")</f>
        <v>Algorithms</v>
      </c>
      <c r="I691" s="20">
        <f>IFERROR(__xludf.DUMMYFUNCTION("""COMPUTED_VALUE"""),0.653)</f>
        <v>0.653</v>
      </c>
      <c r="J691" s="20">
        <f>IFERROR(__xludf.DUMMYFUNCTION("""COMPUTED_VALUE"""),690.0)</f>
        <v>690</v>
      </c>
      <c r="K691" s="20" t="b">
        <f>IFERROR(__xludf.DUMMYFUNCTION("""COMPUTED_VALUE"""),FALSE)</f>
        <v>0</v>
      </c>
      <c r="L691" s="20" t="str">
        <f>IFERROR(__xludf.DUMMYFUNCTION("""COMPUTED_VALUE"""),"Hash Table;Depth-First Search;Breadth-First Search;")</f>
        <v>Hash Table;Depth-First Search;Breadth-First Search;</v>
      </c>
      <c r="M691" s="20" t="b">
        <f>IFERROR(__xludf.DUMMYFUNCTION("""COMPUTED_VALUE"""),TRUE)</f>
        <v>1</v>
      </c>
      <c r="N691" s="20" t="b">
        <f>IFERROR(__xludf.DUMMYFUNCTION("""COMPUTED_VALUE"""),FALSE)</f>
        <v>0</v>
      </c>
      <c r="O691" s="20">
        <f>IFERROR(__xludf.DUMMYFUNCTION("""COMPUTED_VALUE"""),65.3187971014993)</f>
        <v>65.3187971</v>
      </c>
      <c r="P691" s="20">
        <f>IFERROR(__xludf.DUMMYFUNCTION("""COMPUTED_VALUE"""),189207.0)</f>
        <v>189207</v>
      </c>
      <c r="Q691" s="20">
        <f>IFERROR(__xludf.DUMMYFUNCTION("""COMPUTED_VALUE"""),289667.0)</f>
        <v>289667</v>
      </c>
    </row>
    <row r="692">
      <c r="A692" s="20">
        <f>IFERROR(__xludf.DUMMYFUNCTION("""COMPUTED_VALUE"""),691.0)</f>
        <v>691</v>
      </c>
      <c r="B692" s="20" t="str">
        <f>IFERROR(__xludf.DUMMYFUNCTION("""COMPUTED_VALUE"""),"Stickers to Spell Word")</f>
        <v>Stickers to Spell Word</v>
      </c>
      <c r="C692" s="20" t="str">
        <f>IFERROR(__xludf.DUMMYFUNCTION("""COMPUTED_VALUE"""),"stickers-to-spell-word")</f>
        <v>stickers-to-spell-word</v>
      </c>
      <c r="D692" s="20" t="b">
        <f>IFERROR(__xludf.DUMMYFUNCTION("""COMPUTED_VALUE"""),FALSE)</f>
        <v>0</v>
      </c>
      <c r="E692" s="20" t="str">
        <f>IFERROR(__xludf.DUMMYFUNCTION("""COMPUTED_VALUE"""),"Hard")</f>
        <v>Hard</v>
      </c>
      <c r="F692" s="20">
        <f>IFERROR(__xludf.DUMMYFUNCTION("""COMPUTED_VALUE"""),923.0)</f>
        <v>923</v>
      </c>
      <c r="G692" s="20">
        <f>IFERROR(__xludf.DUMMYFUNCTION("""COMPUTED_VALUE"""),77.0)</f>
        <v>77</v>
      </c>
      <c r="H692" s="20" t="str">
        <f>IFERROR(__xludf.DUMMYFUNCTION("""COMPUTED_VALUE"""),"Algorithms")</f>
        <v>Algorithms</v>
      </c>
      <c r="I692" s="20">
        <f>IFERROR(__xludf.DUMMYFUNCTION("""COMPUTED_VALUE"""),0.463)</f>
        <v>0.463</v>
      </c>
      <c r="J692" s="20">
        <f>IFERROR(__xludf.DUMMYFUNCTION("""COMPUTED_VALUE"""),691.0)</f>
        <v>691</v>
      </c>
      <c r="K692" s="20" t="b">
        <f>IFERROR(__xludf.DUMMYFUNCTION("""COMPUTED_VALUE"""),FALSE)</f>
        <v>0</v>
      </c>
      <c r="L692" s="20" t="str">
        <f>IFERROR(__xludf.DUMMYFUNCTION("""COMPUTED_VALUE"""),"Array;String;Dynamic Programming;Backtracking;Bit Manipulation;Bitmask;")</f>
        <v>Array;String;Dynamic Programming;Backtracking;Bit Manipulation;Bitmask;</v>
      </c>
      <c r="M692" s="20" t="b">
        <f>IFERROR(__xludf.DUMMYFUNCTION("""COMPUTED_VALUE"""),FALSE)</f>
        <v>0</v>
      </c>
      <c r="N692" s="20" t="b">
        <f>IFERROR(__xludf.DUMMYFUNCTION("""COMPUTED_VALUE"""),FALSE)</f>
        <v>0</v>
      </c>
      <c r="O692" s="20">
        <f>IFERROR(__xludf.DUMMYFUNCTION("""COMPUTED_VALUE"""),46.2600469176633)</f>
        <v>46.26004692</v>
      </c>
      <c r="P692" s="20">
        <f>IFERROR(__xludf.DUMMYFUNCTION("""COMPUTED_VALUE"""),36087.0)</f>
        <v>36087</v>
      </c>
      <c r="Q692" s="20">
        <f>IFERROR(__xludf.DUMMYFUNCTION("""COMPUTED_VALUE"""),78009.0)</f>
        <v>78009</v>
      </c>
    </row>
    <row r="693">
      <c r="A693" s="20">
        <f>IFERROR(__xludf.DUMMYFUNCTION("""COMPUTED_VALUE"""),692.0)</f>
        <v>692</v>
      </c>
      <c r="B693" s="20" t="str">
        <f>IFERROR(__xludf.DUMMYFUNCTION("""COMPUTED_VALUE"""),"Top K Frequent Words")</f>
        <v>Top K Frequent Words</v>
      </c>
      <c r="C693" s="20" t="str">
        <f>IFERROR(__xludf.DUMMYFUNCTION("""COMPUTED_VALUE"""),"top-k-frequent-words")</f>
        <v>top-k-frequent-words</v>
      </c>
      <c r="D693" s="20" t="b">
        <f>IFERROR(__xludf.DUMMYFUNCTION("""COMPUTED_VALUE"""),FALSE)</f>
        <v>0</v>
      </c>
      <c r="E693" s="20" t="str">
        <f>IFERROR(__xludf.DUMMYFUNCTION("""COMPUTED_VALUE"""),"Medium")</f>
        <v>Medium</v>
      </c>
      <c r="F693" s="20">
        <f>IFERROR(__xludf.DUMMYFUNCTION("""COMPUTED_VALUE"""),6584.0)</f>
        <v>6584</v>
      </c>
      <c r="G693" s="20">
        <f>IFERROR(__xludf.DUMMYFUNCTION("""COMPUTED_VALUE"""),310.0)</f>
        <v>310</v>
      </c>
      <c r="H693" s="20" t="str">
        <f>IFERROR(__xludf.DUMMYFUNCTION("""COMPUTED_VALUE"""),"Algorithms")</f>
        <v>Algorithms</v>
      </c>
      <c r="I693" s="20">
        <f>IFERROR(__xludf.DUMMYFUNCTION("""COMPUTED_VALUE"""),0.569)</f>
        <v>0.569</v>
      </c>
      <c r="J693" s="20">
        <f>IFERROR(__xludf.DUMMYFUNCTION("""COMPUTED_VALUE"""),692.0)</f>
        <v>692</v>
      </c>
      <c r="K693" s="20" t="b">
        <f>IFERROR(__xludf.DUMMYFUNCTION("""COMPUTED_VALUE"""),FALSE)</f>
        <v>0</v>
      </c>
      <c r="L693" s="20" t="str">
        <f>IFERROR(__xludf.DUMMYFUNCTION("""COMPUTED_VALUE"""),"Hash Table;String;Trie;Sorting;Heap (Priority Queue);Bucket Sort;Counting;")</f>
        <v>Hash Table;String;Trie;Sorting;Heap (Priority Queue);Bucket Sort;Counting;</v>
      </c>
      <c r="M693" s="20" t="b">
        <f>IFERROR(__xludf.DUMMYFUNCTION("""COMPUTED_VALUE"""),TRUE)</f>
        <v>1</v>
      </c>
      <c r="N693" s="20" t="b">
        <f>IFERROR(__xludf.DUMMYFUNCTION("""COMPUTED_VALUE"""),FALSE)</f>
        <v>0</v>
      </c>
      <c r="O693" s="20">
        <f>IFERROR(__xludf.DUMMYFUNCTION("""COMPUTED_VALUE"""),56.9313238913324)</f>
        <v>56.93132389</v>
      </c>
      <c r="P693" s="20">
        <f>IFERROR(__xludf.DUMMYFUNCTION("""COMPUTED_VALUE"""),514238.0)</f>
        <v>514238</v>
      </c>
      <c r="Q693" s="20">
        <f>IFERROR(__xludf.DUMMYFUNCTION("""COMPUTED_VALUE"""),903264.0)</f>
        <v>903264</v>
      </c>
    </row>
    <row r="694">
      <c r="A694" s="20">
        <f>IFERROR(__xludf.DUMMYFUNCTION("""COMPUTED_VALUE"""),693.0)</f>
        <v>693</v>
      </c>
      <c r="B694" s="20" t="str">
        <f>IFERROR(__xludf.DUMMYFUNCTION("""COMPUTED_VALUE"""),"Binary Number with Alternating Bits")</f>
        <v>Binary Number with Alternating Bits</v>
      </c>
      <c r="C694" s="20" t="str">
        <f>IFERROR(__xludf.DUMMYFUNCTION("""COMPUTED_VALUE"""),"binary-number-with-alternating-bits")</f>
        <v>binary-number-with-alternating-bits</v>
      </c>
      <c r="D694" s="20" t="b">
        <f>IFERROR(__xludf.DUMMYFUNCTION("""COMPUTED_VALUE"""),FALSE)</f>
        <v>0</v>
      </c>
      <c r="E694" s="20" t="str">
        <f>IFERROR(__xludf.DUMMYFUNCTION("""COMPUTED_VALUE"""),"Easy")</f>
        <v>Easy</v>
      </c>
      <c r="F694" s="20">
        <f>IFERROR(__xludf.DUMMYFUNCTION("""COMPUTED_VALUE"""),1105.0)</f>
        <v>1105</v>
      </c>
      <c r="G694" s="20">
        <f>IFERROR(__xludf.DUMMYFUNCTION("""COMPUTED_VALUE"""),106.0)</f>
        <v>106</v>
      </c>
      <c r="H694" s="20" t="str">
        <f>IFERROR(__xludf.DUMMYFUNCTION("""COMPUTED_VALUE"""),"Algorithms")</f>
        <v>Algorithms</v>
      </c>
      <c r="I694" s="20">
        <f>IFERROR(__xludf.DUMMYFUNCTION("""COMPUTED_VALUE"""),0.614)</f>
        <v>0.614</v>
      </c>
      <c r="J694" s="20">
        <f>IFERROR(__xludf.DUMMYFUNCTION("""COMPUTED_VALUE"""),693.0)</f>
        <v>693</v>
      </c>
      <c r="K694" s="20" t="b">
        <f>IFERROR(__xludf.DUMMYFUNCTION("""COMPUTED_VALUE"""),FALSE)</f>
        <v>0</v>
      </c>
      <c r="L694" s="20" t="str">
        <f>IFERROR(__xludf.DUMMYFUNCTION("""COMPUTED_VALUE"""),"Bit Manipulation;")</f>
        <v>Bit Manipulation;</v>
      </c>
      <c r="M694" s="20" t="b">
        <f>IFERROR(__xludf.DUMMYFUNCTION("""COMPUTED_VALUE"""),TRUE)</f>
        <v>1</v>
      </c>
      <c r="N694" s="20" t="b">
        <f>IFERROR(__xludf.DUMMYFUNCTION("""COMPUTED_VALUE"""),FALSE)</f>
        <v>0</v>
      </c>
      <c r="O694" s="20">
        <f>IFERROR(__xludf.DUMMYFUNCTION("""COMPUTED_VALUE"""),61.3692888725129)</f>
        <v>61.36928887</v>
      </c>
      <c r="P694" s="20">
        <f>IFERROR(__xludf.DUMMYFUNCTION("""COMPUTED_VALUE"""),106595.0)</f>
        <v>106595</v>
      </c>
      <c r="Q694" s="20">
        <f>IFERROR(__xludf.DUMMYFUNCTION("""COMPUTED_VALUE"""),173695.0)</f>
        <v>173695</v>
      </c>
    </row>
    <row r="695">
      <c r="A695" s="20">
        <f>IFERROR(__xludf.DUMMYFUNCTION("""COMPUTED_VALUE"""),694.0)</f>
        <v>694</v>
      </c>
      <c r="B695" s="20" t="str">
        <f>IFERROR(__xludf.DUMMYFUNCTION("""COMPUTED_VALUE"""),"Number of Distinct Islands")</f>
        <v>Number of Distinct Islands</v>
      </c>
      <c r="C695" s="20" t="str">
        <f>IFERROR(__xludf.DUMMYFUNCTION("""COMPUTED_VALUE"""),"number-of-distinct-islands")</f>
        <v>number-of-distinct-islands</v>
      </c>
      <c r="D695" s="20" t="b">
        <f>IFERROR(__xludf.DUMMYFUNCTION("""COMPUTED_VALUE"""),TRUE)</f>
        <v>1</v>
      </c>
      <c r="E695" s="20" t="str">
        <f>IFERROR(__xludf.DUMMYFUNCTION("""COMPUTED_VALUE"""),"Medium")</f>
        <v>Medium</v>
      </c>
      <c r="F695" s="20">
        <f>IFERROR(__xludf.DUMMYFUNCTION("""COMPUTED_VALUE"""),2015.0)</f>
        <v>2015</v>
      </c>
      <c r="G695" s="20">
        <f>IFERROR(__xludf.DUMMYFUNCTION("""COMPUTED_VALUE"""),126.0)</f>
        <v>126</v>
      </c>
      <c r="H695" s="20" t="str">
        <f>IFERROR(__xludf.DUMMYFUNCTION("""COMPUTED_VALUE"""),"Algorithms")</f>
        <v>Algorithms</v>
      </c>
      <c r="I695" s="20">
        <f>IFERROR(__xludf.DUMMYFUNCTION("""COMPUTED_VALUE"""),0.607)</f>
        <v>0.607</v>
      </c>
      <c r="J695" s="20">
        <f>IFERROR(__xludf.DUMMYFUNCTION("""COMPUTED_VALUE"""),694.0)</f>
        <v>694</v>
      </c>
      <c r="K695" s="20" t="b">
        <f>IFERROR(__xludf.DUMMYFUNCTION("""COMPUTED_VALUE"""),TRUE)</f>
        <v>1</v>
      </c>
      <c r="L695" s="20" t="str">
        <f>IFERROR(__xludf.DUMMYFUNCTION("""COMPUTED_VALUE"""),"Hash Table;Depth-First Search;Breadth-First Search;Union Find;Hash Function;")</f>
        <v>Hash Table;Depth-First Search;Breadth-First Search;Union Find;Hash Function;</v>
      </c>
      <c r="M695" s="20" t="b">
        <f>IFERROR(__xludf.DUMMYFUNCTION("""COMPUTED_VALUE"""),TRUE)</f>
        <v>1</v>
      </c>
      <c r="N695" s="20" t="b">
        <f>IFERROR(__xludf.DUMMYFUNCTION("""COMPUTED_VALUE"""),TRUE)</f>
        <v>1</v>
      </c>
      <c r="O695" s="20">
        <f>IFERROR(__xludf.DUMMYFUNCTION("""COMPUTED_VALUE"""),60.6816482249008)</f>
        <v>60.68164822</v>
      </c>
      <c r="P695" s="20">
        <f>IFERROR(__xludf.DUMMYFUNCTION("""COMPUTED_VALUE"""),143628.0)</f>
        <v>143628</v>
      </c>
      <c r="Q695" s="20">
        <f>IFERROR(__xludf.DUMMYFUNCTION("""COMPUTED_VALUE"""),236691.0)</f>
        <v>236691</v>
      </c>
    </row>
    <row r="696">
      <c r="A696" s="20">
        <f>IFERROR(__xludf.DUMMYFUNCTION("""COMPUTED_VALUE"""),695.0)</f>
        <v>695</v>
      </c>
      <c r="B696" s="20" t="str">
        <f>IFERROR(__xludf.DUMMYFUNCTION("""COMPUTED_VALUE"""),"Max Area of Island")</f>
        <v>Max Area of Island</v>
      </c>
      <c r="C696" s="20" t="str">
        <f>IFERROR(__xludf.DUMMYFUNCTION("""COMPUTED_VALUE"""),"max-area-of-island")</f>
        <v>max-area-of-island</v>
      </c>
      <c r="D696" s="20" t="b">
        <f>IFERROR(__xludf.DUMMYFUNCTION("""COMPUTED_VALUE"""),FALSE)</f>
        <v>0</v>
      </c>
      <c r="E696" s="20" t="str">
        <f>IFERROR(__xludf.DUMMYFUNCTION("""COMPUTED_VALUE"""),"Medium")</f>
        <v>Medium</v>
      </c>
      <c r="F696" s="20">
        <f>IFERROR(__xludf.DUMMYFUNCTION("""COMPUTED_VALUE"""),8423.0)</f>
        <v>8423</v>
      </c>
      <c r="G696" s="20">
        <f>IFERROR(__xludf.DUMMYFUNCTION("""COMPUTED_VALUE"""),185.0)</f>
        <v>185</v>
      </c>
      <c r="H696" s="20" t="str">
        <f>IFERROR(__xludf.DUMMYFUNCTION("""COMPUTED_VALUE"""),"Algorithms")</f>
        <v>Algorithms</v>
      </c>
      <c r="I696" s="20">
        <f>IFERROR(__xludf.DUMMYFUNCTION("""COMPUTED_VALUE"""),0.717)</f>
        <v>0.717</v>
      </c>
      <c r="J696" s="20">
        <f>IFERROR(__xludf.DUMMYFUNCTION("""COMPUTED_VALUE"""),695.0)</f>
        <v>695</v>
      </c>
      <c r="K696" s="20" t="b">
        <f>IFERROR(__xludf.DUMMYFUNCTION("""COMPUTED_VALUE"""),FALSE)</f>
        <v>0</v>
      </c>
      <c r="L696" s="20" t="str">
        <f>IFERROR(__xludf.DUMMYFUNCTION("""COMPUTED_VALUE"""),"Array;Depth-First Search;Breadth-First Search;Union Find;Matrix;")</f>
        <v>Array;Depth-First Search;Breadth-First Search;Union Find;Matrix;</v>
      </c>
      <c r="M696" s="20" t="b">
        <f>IFERROR(__xludf.DUMMYFUNCTION("""COMPUTED_VALUE"""),TRUE)</f>
        <v>1</v>
      </c>
      <c r="N696" s="20" t="b">
        <f>IFERROR(__xludf.DUMMYFUNCTION("""COMPUTED_VALUE"""),FALSE)</f>
        <v>0</v>
      </c>
      <c r="O696" s="20">
        <f>IFERROR(__xludf.DUMMYFUNCTION("""COMPUTED_VALUE"""),71.7183944800462)</f>
        <v>71.71839448</v>
      </c>
      <c r="P696" s="20">
        <f>IFERROR(__xludf.DUMMYFUNCTION("""COMPUTED_VALUE"""),659388.0)</f>
        <v>659388</v>
      </c>
      <c r="Q696" s="20">
        <f>IFERROR(__xludf.DUMMYFUNCTION("""COMPUTED_VALUE"""),919415.0)</f>
        <v>919415</v>
      </c>
    </row>
    <row r="697">
      <c r="A697" s="20">
        <f>IFERROR(__xludf.DUMMYFUNCTION("""COMPUTED_VALUE"""),696.0)</f>
        <v>696</v>
      </c>
      <c r="B697" s="20" t="str">
        <f>IFERROR(__xludf.DUMMYFUNCTION("""COMPUTED_VALUE"""),"Count Binary Substrings")</f>
        <v>Count Binary Substrings</v>
      </c>
      <c r="C697" s="20" t="str">
        <f>IFERROR(__xludf.DUMMYFUNCTION("""COMPUTED_VALUE"""),"count-binary-substrings")</f>
        <v>count-binary-substrings</v>
      </c>
      <c r="D697" s="20" t="b">
        <f>IFERROR(__xludf.DUMMYFUNCTION("""COMPUTED_VALUE"""),FALSE)</f>
        <v>0</v>
      </c>
      <c r="E697" s="20" t="str">
        <f>IFERROR(__xludf.DUMMYFUNCTION("""COMPUTED_VALUE"""),"Easy")</f>
        <v>Easy</v>
      </c>
      <c r="F697" s="20">
        <f>IFERROR(__xludf.DUMMYFUNCTION("""COMPUTED_VALUE"""),3441.0)</f>
        <v>3441</v>
      </c>
      <c r="G697" s="20">
        <f>IFERROR(__xludf.DUMMYFUNCTION("""COMPUTED_VALUE"""),744.0)</f>
        <v>744</v>
      </c>
      <c r="H697" s="20" t="str">
        <f>IFERROR(__xludf.DUMMYFUNCTION("""COMPUTED_VALUE"""),"Algorithms")</f>
        <v>Algorithms</v>
      </c>
      <c r="I697" s="20">
        <f>IFERROR(__xludf.DUMMYFUNCTION("""COMPUTED_VALUE"""),0.656)</f>
        <v>0.656</v>
      </c>
      <c r="J697" s="20">
        <f>IFERROR(__xludf.DUMMYFUNCTION("""COMPUTED_VALUE"""),696.0)</f>
        <v>696</v>
      </c>
      <c r="K697" s="20" t="b">
        <f>IFERROR(__xludf.DUMMYFUNCTION("""COMPUTED_VALUE"""),FALSE)</f>
        <v>0</v>
      </c>
      <c r="L697" s="20" t="str">
        <f>IFERROR(__xludf.DUMMYFUNCTION("""COMPUTED_VALUE"""),"Two Pointers;String;")</f>
        <v>Two Pointers;String;</v>
      </c>
      <c r="M697" s="20" t="b">
        <f>IFERROR(__xludf.DUMMYFUNCTION("""COMPUTED_VALUE"""),TRUE)</f>
        <v>1</v>
      </c>
      <c r="N697" s="20" t="b">
        <f>IFERROR(__xludf.DUMMYFUNCTION("""COMPUTED_VALUE"""),FALSE)</f>
        <v>0</v>
      </c>
      <c r="O697" s="20">
        <f>IFERROR(__xludf.DUMMYFUNCTION("""COMPUTED_VALUE"""),65.5840742687504)</f>
        <v>65.58407427</v>
      </c>
      <c r="P697" s="20">
        <f>IFERROR(__xludf.DUMMYFUNCTION("""COMPUTED_VALUE"""),177174.0)</f>
        <v>177174</v>
      </c>
      <c r="Q697" s="20">
        <f>IFERROR(__xludf.DUMMYFUNCTION("""COMPUTED_VALUE"""),270150.0)</f>
        <v>270150</v>
      </c>
    </row>
    <row r="698">
      <c r="A698" s="20">
        <f>IFERROR(__xludf.DUMMYFUNCTION("""COMPUTED_VALUE"""),697.0)</f>
        <v>697</v>
      </c>
      <c r="B698" s="20" t="str">
        <f>IFERROR(__xludf.DUMMYFUNCTION("""COMPUTED_VALUE"""),"Degree of an Array")</f>
        <v>Degree of an Array</v>
      </c>
      <c r="C698" s="20" t="str">
        <f>IFERROR(__xludf.DUMMYFUNCTION("""COMPUTED_VALUE"""),"degree-of-an-array")</f>
        <v>degree-of-an-array</v>
      </c>
      <c r="D698" s="20" t="b">
        <f>IFERROR(__xludf.DUMMYFUNCTION("""COMPUTED_VALUE"""),FALSE)</f>
        <v>0</v>
      </c>
      <c r="E698" s="20" t="str">
        <f>IFERROR(__xludf.DUMMYFUNCTION("""COMPUTED_VALUE"""),"Easy")</f>
        <v>Easy</v>
      </c>
      <c r="F698" s="20">
        <f>IFERROR(__xludf.DUMMYFUNCTION("""COMPUTED_VALUE"""),2489.0)</f>
        <v>2489</v>
      </c>
      <c r="G698" s="20">
        <f>IFERROR(__xludf.DUMMYFUNCTION("""COMPUTED_VALUE"""),1473.0)</f>
        <v>1473</v>
      </c>
      <c r="H698" s="20" t="str">
        <f>IFERROR(__xludf.DUMMYFUNCTION("""COMPUTED_VALUE"""),"Algorithms")</f>
        <v>Algorithms</v>
      </c>
      <c r="I698" s="20">
        <f>IFERROR(__xludf.DUMMYFUNCTION("""COMPUTED_VALUE"""),0.559)</f>
        <v>0.559</v>
      </c>
      <c r="J698" s="20">
        <f>IFERROR(__xludf.DUMMYFUNCTION("""COMPUTED_VALUE"""),697.0)</f>
        <v>697</v>
      </c>
      <c r="K698" s="20" t="b">
        <f>IFERROR(__xludf.DUMMYFUNCTION("""COMPUTED_VALUE"""),FALSE)</f>
        <v>0</v>
      </c>
      <c r="L698" s="20" t="str">
        <f>IFERROR(__xludf.DUMMYFUNCTION("""COMPUTED_VALUE"""),"Array;Hash Table;")</f>
        <v>Array;Hash Table;</v>
      </c>
      <c r="M698" s="20" t="b">
        <f>IFERROR(__xludf.DUMMYFUNCTION("""COMPUTED_VALUE"""),TRUE)</f>
        <v>1</v>
      </c>
      <c r="N698" s="20" t="b">
        <f>IFERROR(__xludf.DUMMYFUNCTION("""COMPUTED_VALUE"""),FALSE)</f>
        <v>0</v>
      </c>
      <c r="O698" s="20">
        <f>IFERROR(__xludf.DUMMYFUNCTION("""COMPUTED_VALUE"""),55.8883441681855)</f>
        <v>55.88834417</v>
      </c>
      <c r="P698" s="20">
        <f>IFERROR(__xludf.DUMMYFUNCTION("""COMPUTED_VALUE"""),172025.0)</f>
        <v>172025</v>
      </c>
      <c r="Q698" s="20">
        <f>IFERROR(__xludf.DUMMYFUNCTION("""COMPUTED_VALUE"""),307802.0)</f>
        <v>307802</v>
      </c>
    </row>
    <row r="699">
      <c r="A699" s="20">
        <f>IFERROR(__xludf.DUMMYFUNCTION("""COMPUTED_VALUE"""),698.0)</f>
        <v>698</v>
      </c>
      <c r="B699" s="20" t="str">
        <f>IFERROR(__xludf.DUMMYFUNCTION("""COMPUTED_VALUE"""),"Partition to K Equal Sum Subsets")</f>
        <v>Partition to K Equal Sum Subsets</v>
      </c>
      <c r="C699" s="20" t="str">
        <f>IFERROR(__xludf.DUMMYFUNCTION("""COMPUTED_VALUE"""),"partition-to-k-equal-sum-subsets")</f>
        <v>partition-to-k-equal-sum-subsets</v>
      </c>
      <c r="D699" s="20" t="b">
        <f>IFERROR(__xludf.DUMMYFUNCTION("""COMPUTED_VALUE"""),FALSE)</f>
        <v>0</v>
      </c>
      <c r="E699" s="20" t="str">
        <f>IFERROR(__xludf.DUMMYFUNCTION("""COMPUTED_VALUE"""),"Medium")</f>
        <v>Medium</v>
      </c>
      <c r="F699" s="20">
        <f>IFERROR(__xludf.DUMMYFUNCTION("""COMPUTED_VALUE"""),5977.0)</f>
        <v>5977</v>
      </c>
      <c r="G699" s="20">
        <f>IFERROR(__xludf.DUMMYFUNCTION("""COMPUTED_VALUE"""),413.0)</f>
        <v>413</v>
      </c>
      <c r="H699" s="20" t="str">
        <f>IFERROR(__xludf.DUMMYFUNCTION("""COMPUTED_VALUE"""),"Algorithms")</f>
        <v>Algorithms</v>
      </c>
      <c r="I699" s="20">
        <f>IFERROR(__xludf.DUMMYFUNCTION("""COMPUTED_VALUE"""),0.405)</f>
        <v>0.405</v>
      </c>
      <c r="J699" s="20">
        <f>IFERROR(__xludf.DUMMYFUNCTION("""COMPUTED_VALUE"""),698.0)</f>
        <v>698</v>
      </c>
      <c r="K699" s="20" t="b">
        <f>IFERROR(__xludf.DUMMYFUNCTION("""COMPUTED_VALUE"""),FALSE)</f>
        <v>0</v>
      </c>
      <c r="L699" s="20" t="str">
        <f>IFERROR(__xludf.DUMMYFUNCTION("""COMPUTED_VALUE"""),"Array;Dynamic Programming;Backtracking;Bit Manipulation;Memoization;Bitmask;")</f>
        <v>Array;Dynamic Programming;Backtracking;Bit Manipulation;Memoization;Bitmask;</v>
      </c>
      <c r="M699" s="20" t="b">
        <f>IFERROR(__xludf.DUMMYFUNCTION("""COMPUTED_VALUE"""),TRUE)</f>
        <v>1</v>
      </c>
      <c r="N699" s="20" t="b">
        <f>IFERROR(__xludf.DUMMYFUNCTION("""COMPUTED_VALUE"""),FALSE)</f>
        <v>0</v>
      </c>
      <c r="O699" s="20">
        <f>IFERROR(__xludf.DUMMYFUNCTION("""COMPUTED_VALUE"""),40.5467568344604)</f>
        <v>40.54675683</v>
      </c>
      <c r="P699" s="20">
        <f>IFERROR(__xludf.DUMMYFUNCTION("""COMPUTED_VALUE"""),227057.0)</f>
        <v>227057</v>
      </c>
      <c r="Q699" s="20">
        <f>IFERROR(__xludf.DUMMYFUNCTION("""COMPUTED_VALUE"""),559983.0)</f>
        <v>559983</v>
      </c>
    </row>
    <row r="700">
      <c r="A700" s="20">
        <f>IFERROR(__xludf.DUMMYFUNCTION("""COMPUTED_VALUE"""),699.0)</f>
        <v>699</v>
      </c>
      <c r="B700" s="20" t="str">
        <f>IFERROR(__xludf.DUMMYFUNCTION("""COMPUTED_VALUE"""),"Falling Squares")</f>
        <v>Falling Squares</v>
      </c>
      <c r="C700" s="20" t="str">
        <f>IFERROR(__xludf.DUMMYFUNCTION("""COMPUTED_VALUE"""),"falling-squares")</f>
        <v>falling-squares</v>
      </c>
      <c r="D700" s="20" t="b">
        <f>IFERROR(__xludf.DUMMYFUNCTION("""COMPUTED_VALUE"""),FALSE)</f>
        <v>0</v>
      </c>
      <c r="E700" s="20" t="str">
        <f>IFERROR(__xludf.DUMMYFUNCTION("""COMPUTED_VALUE"""),"Hard")</f>
        <v>Hard</v>
      </c>
      <c r="F700" s="20">
        <f>IFERROR(__xludf.DUMMYFUNCTION("""COMPUTED_VALUE"""),530.0)</f>
        <v>530</v>
      </c>
      <c r="G700" s="20">
        <f>IFERROR(__xludf.DUMMYFUNCTION("""COMPUTED_VALUE"""),72.0)</f>
        <v>72</v>
      </c>
      <c r="H700" s="20" t="str">
        <f>IFERROR(__xludf.DUMMYFUNCTION("""COMPUTED_VALUE"""),"Algorithms")</f>
        <v>Algorithms</v>
      </c>
      <c r="I700" s="20">
        <f>IFERROR(__xludf.DUMMYFUNCTION("""COMPUTED_VALUE"""),0.445)</f>
        <v>0.445</v>
      </c>
      <c r="J700" s="20">
        <f>IFERROR(__xludf.DUMMYFUNCTION("""COMPUTED_VALUE"""),699.0)</f>
        <v>699</v>
      </c>
      <c r="K700" s="20" t="b">
        <f>IFERROR(__xludf.DUMMYFUNCTION("""COMPUTED_VALUE"""),FALSE)</f>
        <v>0</v>
      </c>
      <c r="L700" s="20" t="str">
        <f>IFERROR(__xludf.DUMMYFUNCTION("""COMPUTED_VALUE"""),"Array;Segment Tree;Ordered Set;")</f>
        <v>Array;Segment Tree;Ordered Set;</v>
      </c>
      <c r="M700" s="20" t="b">
        <f>IFERROR(__xludf.DUMMYFUNCTION("""COMPUTED_VALUE"""),TRUE)</f>
        <v>1</v>
      </c>
      <c r="N700" s="20" t="b">
        <f>IFERROR(__xludf.DUMMYFUNCTION("""COMPUTED_VALUE"""),FALSE)</f>
        <v>0</v>
      </c>
      <c r="O700" s="20">
        <f>IFERROR(__xludf.DUMMYFUNCTION("""COMPUTED_VALUE"""),44.4857297796702)</f>
        <v>44.48572978</v>
      </c>
      <c r="P700" s="20">
        <f>IFERROR(__xludf.DUMMYFUNCTION("""COMPUTED_VALUE"""),22149.0)</f>
        <v>22149</v>
      </c>
      <c r="Q700" s="20">
        <f>IFERROR(__xludf.DUMMYFUNCTION("""COMPUTED_VALUE"""),49789.0)</f>
        <v>49789</v>
      </c>
    </row>
    <row r="701">
      <c r="A701" s="20">
        <f>IFERROR(__xludf.DUMMYFUNCTION("""COMPUTED_VALUE"""),783.0)</f>
        <v>783</v>
      </c>
      <c r="B701" s="20" t="str">
        <f>IFERROR(__xludf.DUMMYFUNCTION("""COMPUTED_VALUE"""),"Search in a Binary Search Tree")</f>
        <v>Search in a Binary Search Tree</v>
      </c>
      <c r="C701" s="20" t="str">
        <f>IFERROR(__xludf.DUMMYFUNCTION("""COMPUTED_VALUE"""),"search-in-a-binary-search-tree")</f>
        <v>search-in-a-binary-search-tree</v>
      </c>
      <c r="D701" s="20" t="b">
        <f>IFERROR(__xludf.DUMMYFUNCTION("""COMPUTED_VALUE"""),FALSE)</f>
        <v>0</v>
      </c>
      <c r="E701" s="20" t="str">
        <f>IFERROR(__xludf.DUMMYFUNCTION("""COMPUTED_VALUE"""),"Easy")</f>
        <v>Easy</v>
      </c>
      <c r="F701" s="20">
        <f>IFERROR(__xludf.DUMMYFUNCTION("""COMPUTED_VALUE"""),4412.0)</f>
        <v>4412</v>
      </c>
      <c r="G701" s="20">
        <f>IFERROR(__xludf.DUMMYFUNCTION("""COMPUTED_VALUE"""),163.0)</f>
        <v>163</v>
      </c>
      <c r="H701" s="20" t="str">
        <f>IFERROR(__xludf.DUMMYFUNCTION("""COMPUTED_VALUE"""),"Algorithms")</f>
        <v>Algorithms</v>
      </c>
      <c r="I701" s="20">
        <f>IFERROR(__xludf.DUMMYFUNCTION("""COMPUTED_VALUE"""),0.773)</f>
        <v>0.773</v>
      </c>
      <c r="J701" s="20">
        <f>IFERROR(__xludf.DUMMYFUNCTION("""COMPUTED_VALUE"""),700.0)</f>
        <v>700</v>
      </c>
      <c r="K701" s="20" t="b">
        <f>IFERROR(__xludf.DUMMYFUNCTION("""COMPUTED_VALUE"""),FALSE)</f>
        <v>0</v>
      </c>
      <c r="L701" s="20" t="str">
        <f>IFERROR(__xludf.DUMMYFUNCTION("""COMPUTED_VALUE"""),"Tree;Binary Search Tree;Binary Tree;")</f>
        <v>Tree;Binary Search Tree;Binary Tree;</v>
      </c>
      <c r="M701" s="20" t="b">
        <f>IFERROR(__xludf.DUMMYFUNCTION("""COMPUTED_VALUE"""),TRUE)</f>
        <v>1</v>
      </c>
      <c r="N701" s="20" t="b">
        <f>IFERROR(__xludf.DUMMYFUNCTION("""COMPUTED_VALUE"""),FALSE)</f>
        <v>0</v>
      </c>
      <c r="O701" s="20">
        <f>IFERROR(__xludf.DUMMYFUNCTION("""COMPUTED_VALUE"""),77.2886517632414)</f>
        <v>77.28865176</v>
      </c>
      <c r="P701" s="20">
        <f>IFERROR(__xludf.DUMMYFUNCTION("""COMPUTED_VALUE"""),592333.0)</f>
        <v>592333</v>
      </c>
      <c r="Q701" s="20">
        <f>IFERROR(__xludf.DUMMYFUNCTION("""COMPUTED_VALUE"""),766393.0)</f>
        <v>766393</v>
      </c>
    </row>
    <row r="702">
      <c r="A702" s="20">
        <f>IFERROR(__xludf.DUMMYFUNCTION("""COMPUTED_VALUE"""),784.0)</f>
        <v>784</v>
      </c>
      <c r="B702" s="20" t="str">
        <f>IFERROR(__xludf.DUMMYFUNCTION("""COMPUTED_VALUE"""),"Insert into a Binary Search Tree")</f>
        <v>Insert into a Binary Search Tree</v>
      </c>
      <c r="C702" s="20" t="str">
        <f>IFERROR(__xludf.DUMMYFUNCTION("""COMPUTED_VALUE"""),"insert-into-a-binary-search-tree")</f>
        <v>insert-into-a-binary-search-tree</v>
      </c>
      <c r="D702" s="20" t="b">
        <f>IFERROR(__xludf.DUMMYFUNCTION("""COMPUTED_VALUE"""),FALSE)</f>
        <v>0</v>
      </c>
      <c r="E702" s="20" t="str">
        <f>IFERROR(__xludf.DUMMYFUNCTION("""COMPUTED_VALUE"""),"Medium")</f>
        <v>Medium</v>
      </c>
      <c r="F702" s="20">
        <f>IFERROR(__xludf.DUMMYFUNCTION("""COMPUTED_VALUE"""),4379.0)</f>
        <v>4379</v>
      </c>
      <c r="G702" s="20">
        <f>IFERROR(__xludf.DUMMYFUNCTION("""COMPUTED_VALUE"""),156.0)</f>
        <v>156</v>
      </c>
      <c r="H702" s="20" t="str">
        <f>IFERROR(__xludf.DUMMYFUNCTION("""COMPUTED_VALUE"""),"Algorithms")</f>
        <v>Algorithms</v>
      </c>
      <c r="I702" s="20">
        <f>IFERROR(__xludf.DUMMYFUNCTION("""COMPUTED_VALUE"""),0.745)</f>
        <v>0.745</v>
      </c>
      <c r="J702" s="20">
        <f>IFERROR(__xludf.DUMMYFUNCTION("""COMPUTED_VALUE"""),701.0)</f>
        <v>701</v>
      </c>
      <c r="K702" s="20" t="b">
        <f>IFERROR(__xludf.DUMMYFUNCTION("""COMPUTED_VALUE"""),FALSE)</f>
        <v>0</v>
      </c>
      <c r="L702" s="20" t="str">
        <f>IFERROR(__xludf.DUMMYFUNCTION("""COMPUTED_VALUE"""),"Tree;Binary Search Tree;Binary Tree;")</f>
        <v>Tree;Binary Search Tree;Binary Tree;</v>
      </c>
      <c r="M702" s="20" t="b">
        <f>IFERROR(__xludf.DUMMYFUNCTION("""COMPUTED_VALUE"""),TRUE)</f>
        <v>1</v>
      </c>
      <c r="N702" s="20" t="b">
        <f>IFERROR(__xludf.DUMMYFUNCTION("""COMPUTED_VALUE"""),FALSE)</f>
        <v>0</v>
      </c>
      <c r="O702" s="20">
        <f>IFERROR(__xludf.DUMMYFUNCTION("""COMPUTED_VALUE"""),74.492881029741)</f>
        <v>74.49288103</v>
      </c>
      <c r="P702" s="20">
        <f>IFERROR(__xludf.DUMMYFUNCTION("""COMPUTED_VALUE"""),376226.0)</f>
        <v>376226</v>
      </c>
      <c r="Q702" s="20">
        <f>IFERROR(__xludf.DUMMYFUNCTION("""COMPUTED_VALUE"""),505048.0)</f>
        <v>505048</v>
      </c>
    </row>
    <row r="703">
      <c r="A703" s="20">
        <f>IFERROR(__xludf.DUMMYFUNCTION("""COMPUTED_VALUE"""),786.0)</f>
        <v>786</v>
      </c>
      <c r="B703" s="20" t="str">
        <f>IFERROR(__xludf.DUMMYFUNCTION("""COMPUTED_VALUE"""),"Search in a Sorted Array of Unknown Size")</f>
        <v>Search in a Sorted Array of Unknown Size</v>
      </c>
      <c r="C703" s="20" t="str">
        <f>IFERROR(__xludf.DUMMYFUNCTION("""COMPUTED_VALUE"""),"search-in-a-sorted-array-of-unknown-size")</f>
        <v>search-in-a-sorted-array-of-unknown-size</v>
      </c>
      <c r="D703" s="20" t="b">
        <f>IFERROR(__xludf.DUMMYFUNCTION("""COMPUTED_VALUE"""),TRUE)</f>
        <v>1</v>
      </c>
      <c r="E703" s="20" t="str">
        <f>IFERROR(__xludf.DUMMYFUNCTION("""COMPUTED_VALUE"""),"Medium")</f>
        <v>Medium</v>
      </c>
      <c r="F703" s="20">
        <f>IFERROR(__xludf.DUMMYFUNCTION("""COMPUTED_VALUE"""),817.0)</f>
        <v>817</v>
      </c>
      <c r="G703" s="20">
        <f>IFERROR(__xludf.DUMMYFUNCTION("""COMPUTED_VALUE"""),44.0)</f>
        <v>44</v>
      </c>
      <c r="H703" s="20" t="str">
        <f>IFERROR(__xludf.DUMMYFUNCTION("""COMPUTED_VALUE"""),"Algorithms")</f>
        <v>Algorithms</v>
      </c>
      <c r="I703" s="20">
        <f>IFERROR(__xludf.DUMMYFUNCTION("""COMPUTED_VALUE"""),0.714)</f>
        <v>0.714</v>
      </c>
      <c r="J703" s="20">
        <f>IFERROR(__xludf.DUMMYFUNCTION("""COMPUTED_VALUE"""),702.0)</f>
        <v>702</v>
      </c>
      <c r="K703" s="20" t="b">
        <f>IFERROR(__xludf.DUMMYFUNCTION("""COMPUTED_VALUE"""),TRUE)</f>
        <v>1</v>
      </c>
      <c r="L703" s="20" t="str">
        <f>IFERROR(__xludf.DUMMYFUNCTION("""COMPUTED_VALUE"""),"Array;Binary Search;Interactive;")</f>
        <v>Array;Binary Search;Interactive;</v>
      </c>
      <c r="M703" s="20" t="b">
        <f>IFERROR(__xludf.DUMMYFUNCTION("""COMPUTED_VALUE"""),TRUE)</f>
        <v>1</v>
      </c>
      <c r="N703" s="20" t="b">
        <f>IFERROR(__xludf.DUMMYFUNCTION("""COMPUTED_VALUE"""),FALSE)</f>
        <v>0</v>
      </c>
      <c r="O703" s="20">
        <f>IFERROR(__xludf.DUMMYFUNCTION("""COMPUTED_VALUE"""),71.3941650724241)</f>
        <v>71.39416507</v>
      </c>
      <c r="P703" s="20">
        <f>IFERROR(__xludf.DUMMYFUNCTION("""COMPUTED_VALUE"""),83594.0)</f>
        <v>83594</v>
      </c>
      <c r="Q703" s="20">
        <f>IFERROR(__xludf.DUMMYFUNCTION("""COMPUTED_VALUE"""),117088.0)</f>
        <v>117088</v>
      </c>
    </row>
    <row r="704">
      <c r="A704" s="20">
        <f>IFERROR(__xludf.DUMMYFUNCTION("""COMPUTED_VALUE"""),789.0)</f>
        <v>789</v>
      </c>
      <c r="B704" s="20" t="str">
        <f>IFERROR(__xludf.DUMMYFUNCTION("""COMPUTED_VALUE"""),"Kth Largest Element in a Stream")</f>
        <v>Kth Largest Element in a Stream</v>
      </c>
      <c r="C704" s="20" t="str">
        <f>IFERROR(__xludf.DUMMYFUNCTION("""COMPUTED_VALUE"""),"kth-largest-element-in-a-stream")</f>
        <v>kth-largest-element-in-a-stream</v>
      </c>
      <c r="D704" s="20" t="b">
        <f>IFERROR(__xludf.DUMMYFUNCTION("""COMPUTED_VALUE"""),FALSE)</f>
        <v>0</v>
      </c>
      <c r="E704" s="20" t="str">
        <f>IFERROR(__xludf.DUMMYFUNCTION("""COMPUTED_VALUE"""),"Easy")</f>
        <v>Easy</v>
      </c>
      <c r="F704" s="20">
        <f>IFERROR(__xludf.DUMMYFUNCTION("""COMPUTED_VALUE"""),3702.0)</f>
        <v>3702</v>
      </c>
      <c r="G704" s="20">
        <f>IFERROR(__xludf.DUMMYFUNCTION("""COMPUTED_VALUE"""),2197.0)</f>
        <v>2197</v>
      </c>
      <c r="H704" s="20" t="str">
        <f>IFERROR(__xludf.DUMMYFUNCTION("""COMPUTED_VALUE"""),"Algorithms")</f>
        <v>Algorithms</v>
      </c>
      <c r="I704" s="20">
        <f>IFERROR(__xludf.DUMMYFUNCTION("""COMPUTED_VALUE"""),0.555)</f>
        <v>0.555</v>
      </c>
      <c r="J704" s="20">
        <f>IFERROR(__xludf.DUMMYFUNCTION("""COMPUTED_VALUE"""),703.0)</f>
        <v>703</v>
      </c>
      <c r="K704" s="20" t="b">
        <f>IFERROR(__xludf.DUMMYFUNCTION("""COMPUTED_VALUE"""),FALSE)</f>
        <v>0</v>
      </c>
      <c r="L704" s="20" t="str">
        <f>IFERROR(__xludf.DUMMYFUNCTION("""COMPUTED_VALUE"""),"Tree;Design;Binary Search Tree;Heap (Priority Queue);Binary Tree;Data Stream;")</f>
        <v>Tree;Design;Binary Search Tree;Heap (Priority Queue);Binary Tree;Data Stream;</v>
      </c>
      <c r="M704" s="20" t="b">
        <f>IFERROR(__xludf.DUMMYFUNCTION("""COMPUTED_VALUE"""),TRUE)</f>
        <v>1</v>
      </c>
      <c r="N704" s="20" t="b">
        <f>IFERROR(__xludf.DUMMYFUNCTION("""COMPUTED_VALUE"""),FALSE)</f>
        <v>0</v>
      </c>
      <c r="O704" s="20">
        <f>IFERROR(__xludf.DUMMYFUNCTION("""COMPUTED_VALUE"""),55.4923038707632)</f>
        <v>55.49230387</v>
      </c>
      <c r="P704" s="20">
        <f>IFERROR(__xludf.DUMMYFUNCTION("""COMPUTED_VALUE"""),323923.0)</f>
        <v>323923</v>
      </c>
      <c r="Q704" s="20">
        <f>IFERROR(__xludf.DUMMYFUNCTION("""COMPUTED_VALUE"""),583724.0)</f>
        <v>583724</v>
      </c>
    </row>
    <row r="705">
      <c r="A705" s="20">
        <f>IFERROR(__xludf.DUMMYFUNCTION("""COMPUTED_VALUE"""),792.0)</f>
        <v>792</v>
      </c>
      <c r="B705" s="20" t="str">
        <f>IFERROR(__xludf.DUMMYFUNCTION("""COMPUTED_VALUE"""),"Binary Search")</f>
        <v>Binary Search</v>
      </c>
      <c r="C705" s="20" t="str">
        <f>IFERROR(__xludf.DUMMYFUNCTION("""COMPUTED_VALUE"""),"binary-search")</f>
        <v>binary-search</v>
      </c>
      <c r="D705" s="20" t="b">
        <f>IFERROR(__xludf.DUMMYFUNCTION("""COMPUTED_VALUE"""),FALSE)</f>
        <v>0</v>
      </c>
      <c r="E705" s="20" t="str">
        <f>IFERROR(__xludf.DUMMYFUNCTION("""COMPUTED_VALUE"""),"Easy")</f>
        <v>Easy</v>
      </c>
      <c r="F705" s="20">
        <f>IFERROR(__xludf.DUMMYFUNCTION("""COMPUTED_VALUE"""),7609.0)</f>
        <v>7609</v>
      </c>
      <c r="G705" s="20">
        <f>IFERROR(__xludf.DUMMYFUNCTION("""COMPUTED_VALUE"""),165.0)</f>
        <v>165</v>
      </c>
      <c r="H705" s="20" t="str">
        <f>IFERROR(__xludf.DUMMYFUNCTION("""COMPUTED_VALUE"""),"Algorithms")</f>
        <v>Algorithms</v>
      </c>
      <c r="I705" s="20">
        <f>IFERROR(__xludf.DUMMYFUNCTION("""COMPUTED_VALUE"""),0.552)</f>
        <v>0.552</v>
      </c>
      <c r="J705" s="20">
        <f>IFERROR(__xludf.DUMMYFUNCTION("""COMPUTED_VALUE"""),704.0)</f>
        <v>704</v>
      </c>
      <c r="K705" s="20" t="b">
        <f>IFERROR(__xludf.DUMMYFUNCTION("""COMPUTED_VALUE"""),FALSE)</f>
        <v>0</v>
      </c>
      <c r="L705" s="20" t="str">
        <f>IFERROR(__xludf.DUMMYFUNCTION("""COMPUTED_VALUE"""),"Array;Binary Search;")</f>
        <v>Array;Binary Search;</v>
      </c>
      <c r="M705" s="20" t="b">
        <f>IFERROR(__xludf.DUMMYFUNCTION("""COMPUTED_VALUE"""),TRUE)</f>
        <v>1</v>
      </c>
      <c r="N705" s="20" t="b">
        <f>IFERROR(__xludf.DUMMYFUNCTION("""COMPUTED_VALUE"""),FALSE)</f>
        <v>0</v>
      </c>
      <c r="O705" s="20">
        <f>IFERROR(__xludf.DUMMYFUNCTION("""COMPUTED_VALUE"""),55.1604817217468)</f>
        <v>55.16048172</v>
      </c>
      <c r="P705" s="20">
        <f>IFERROR(__xludf.DUMMYFUNCTION("""COMPUTED_VALUE"""),1455855.0)</f>
        <v>1455855</v>
      </c>
      <c r="Q705" s="20">
        <f>IFERROR(__xludf.DUMMYFUNCTION("""COMPUTED_VALUE"""),2639293.0)</f>
        <v>2639293</v>
      </c>
    </row>
    <row r="706">
      <c r="A706" s="20">
        <f>IFERROR(__xludf.DUMMYFUNCTION("""COMPUTED_VALUE"""),816.0)</f>
        <v>816</v>
      </c>
      <c r="B706" s="20" t="str">
        <f>IFERROR(__xludf.DUMMYFUNCTION("""COMPUTED_VALUE"""),"Design HashSet")</f>
        <v>Design HashSet</v>
      </c>
      <c r="C706" s="20" t="str">
        <f>IFERROR(__xludf.DUMMYFUNCTION("""COMPUTED_VALUE"""),"design-hashset")</f>
        <v>design-hashset</v>
      </c>
      <c r="D706" s="20" t="b">
        <f>IFERROR(__xludf.DUMMYFUNCTION("""COMPUTED_VALUE"""),FALSE)</f>
        <v>0</v>
      </c>
      <c r="E706" s="20" t="str">
        <f>IFERROR(__xludf.DUMMYFUNCTION("""COMPUTED_VALUE"""),"Easy")</f>
        <v>Easy</v>
      </c>
      <c r="F706" s="20">
        <f>IFERROR(__xludf.DUMMYFUNCTION("""COMPUTED_VALUE"""),2507.0)</f>
        <v>2507</v>
      </c>
      <c r="G706" s="20">
        <f>IFERROR(__xludf.DUMMYFUNCTION("""COMPUTED_VALUE"""),233.0)</f>
        <v>233</v>
      </c>
      <c r="H706" s="20" t="str">
        <f>IFERROR(__xludf.DUMMYFUNCTION("""COMPUTED_VALUE"""),"Algorithms")</f>
        <v>Algorithms</v>
      </c>
      <c r="I706" s="20">
        <f>IFERROR(__xludf.DUMMYFUNCTION("""COMPUTED_VALUE"""),0.658)</f>
        <v>0.658</v>
      </c>
      <c r="J706" s="20">
        <f>IFERROR(__xludf.DUMMYFUNCTION("""COMPUTED_VALUE"""),705.0)</f>
        <v>705</v>
      </c>
      <c r="K706" s="20" t="b">
        <f>IFERROR(__xludf.DUMMYFUNCTION("""COMPUTED_VALUE"""),FALSE)</f>
        <v>0</v>
      </c>
      <c r="L706" s="20" t="str">
        <f>IFERROR(__xludf.DUMMYFUNCTION("""COMPUTED_VALUE"""),"Array;Hash Table;Linked List;Design;Hash Function;")</f>
        <v>Array;Hash Table;Linked List;Design;Hash Function;</v>
      </c>
      <c r="M706" s="20" t="b">
        <f>IFERROR(__xludf.DUMMYFUNCTION("""COMPUTED_VALUE"""),TRUE)</f>
        <v>1</v>
      </c>
      <c r="N706" s="20" t="b">
        <f>IFERROR(__xludf.DUMMYFUNCTION("""COMPUTED_VALUE"""),FALSE)</f>
        <v>0</v>
      </c>
      <c r="O706" s="20">
        <f>IFERROR(__xludf.DUMMYFUNCTION("""COMPUTED_VALUE"""),65.8045899780836)</f>
        <v>65.80458998</v>
      </c>
      <c r="P706" s="20">
        <f>IFERROR(__xludf.DUMMYFUNCTION("""COMPUTED_VALUE"""),269324.0)</f>
        <v>269324</v>
      </c>
      <c r="Q706" s="20">
        <f>IFERROR(__xludf.DUMMYFUNCTION("""COMPUTED_VALUE"""),409280.0)</f>
        <v>409280</v>
      </c>
    </row>
    <row r="707">
      <c r="A707" s="20">
        <f>IFERROR(__xludf.DUMMYFUNCTION("""COMPUTED_VALUE"""),817.0)</f>
        <v>817</v>
      </c>
      <c r="B707" s="20" t="str">
        <f>IFERROR(__xludf.DUMMYFUNCTION("""COMPUTED_VALUE"""),"Design HashMap")</f>
        <v>Design HashMap</v>
      </c>
      <c r="C707" s="20" t="str">
        <f>IFERROR(__xludf.DUMMYFUNCTION("""COMPUTED_VALUE"""),"design-hashmap")</f>
        <v>design-hashmap</v>
      </c>
      <c r="D707" s="20" t="b">
        <f>IFERROR(__xludf.DUMMYFUNCTION("""COMPUTED_VALUE"""),FALSE)</f>
        <v>0</v>
      </c>
      <c r="E707" s="20" t="str">
        <f>IFERROR(__xludf.DUMMYFUNCTION("""COMPUTED_VALUE"""),"Easy")</f>
        <v>Easy</v>
      </c>
      <c r="F707" s="20">
        <f>IFERROR(__xludf.DUMMYFUNCTION("""COMPUTED_VALUE"""),3812.0)</f>
        <v>3812</v>
      </c>
      <c r="G707" s="20">
        <f>IFERROR(__xludf.DUMMYFUNCTION("""COMPUTED_VALUE"""),345.0)</f>
        <v>345</v>
      </c>
      <c r="H707" s="20" t="str">
        <f>IFERROR(__xludf.DUMMYFUNCTION("""COMPUTED_VALUE"""),"Algorithms")</f>
        <v>Algorithms</v>
      </c>
      <c r="I707" s="20">
        <f>IFERROR(__xludf.DUMMYFUNCTION("""COMPUTED_VALUE"""),0.649)</f>
        <v>0.649</v>
      </c>
      <c r="J707" s="20">
        <f>IFERROR(__xludf.DUMMYFUNCTION("""COMPUTED_VALUE"""),706.0)</f>
        <v>706</v>
      </c>
      <c r="K707" s="20" t="b">
        <f>IFERROR(__xludf.DUMMYFUNCTION("""COMPUTED_VALUE"""),FALSE)</f>
        <v>0</v>
      </c>
      <c r="L707" s="20" t="str">
        <f>IFERROR(__xludf.DUMMYFUNCTION("""COMPUTED_VALUE"""),"Array;Hash Table;Linked List;Design;Hash Function;")</f>
        <v>Array;Hash Table;Linked List;Design;Hash Function;</v>
      </c>
      <c r="M707" s="20" t="b">
        <f>IFERROR(__xludf.DUMMYFUNCTION("""COMPUTED_VALUE"""),TRUE)</f>
        <v>1</v>
      </c>
      <c r="N707" s="20" t="b">
        <f>IFERROR(__xludf.DUMMYFUNCTION("""COMPUTED_VALUE"""),FALSE)</f>
        <v>0</v>
      </c>
      <c r="O707" s="20">
        <f>IFERROR(__xludf.DUMMYFUNCTION("""COMPUTED_VALUE"""),64.8788011825252)</f>
        <v>64.87880118</v>
      </c>
      <c r="P707" s="20">
        <f>IFERROR(__xludf.DUMMYFUNCTION("""COMPUTED_VALUE"""),388660.0)</f>
        <v>388660</v>
      </c>
      <c r="Q707" s="20">
        <f>IFERROR(__xludf.DUMMYFUNCTION("""COMPUTED_VALUE"""),599054.0)</f>
        <v>599054</v>
      </c>
    </row>
    <row r="708">
      <c r="A708" s="20">
        <f>IFERROR(__xludf.DUMMYFUNCTION("""COMPUTED_VALUE"""),838.0)</f>
        <v>838</v>
      </c>
      <c r="B708" s="20" t="str">
        <f>IFERROR(__xludf.DUMMYFUNCTION("""COMPUTED_VALUE"""),"Design Linked List")</f>
        <v>Design Linked List</v>
      </c>
      <c r="C708" s="20" t="str">
        <f>IFERROR(__xludf.DUMMYFUNCTION("""COMPUTED_VALUE"""),"design-linked-list")</f>
        <v>design-linked-list</v>
      </c>
      <c r="D708" s="20" t="b">
        <f>IFERROR(__xludf.DUMMYFUNCTION("""COMPUTED_VALUE"""),FALSE)</f>
        <v>0</v>
      </c>
      <c r="E708" s="20" t="str">
        <f>IFERROR(__xludf.DUMMYFUNCTION("""COMPUTED_VALUE"""),"Medium")</f>
        <v>Medium</v>
      </c>
      <c r="F708" s="20">
        <f>IFERROR(__xludf.DUMMYFUNCTION("""COMPUTED_VALUE"""),1952.0)</f>
        <v>1952</v>
      </c>
      <c r="G708" s="20">
        <f>IFERROR(__xludf.DUMMYFUNCTION("""COMPUTED_VALUE"""),1358.0)</f>
        <v>1358</v>
      </c>
      <c r="H708" s="20" t="str">
        <f>IFERROR(__xludf.DUMMYFUNCTION("""COMPUTED_VALUE"""),"Algorithms")</f>
        <v>Algorithms</v>
      </c>
      <c r="I708" s="20">
        <f>IFERROR(__xludf.DUMMYFUNCTION("""COMPUTED_VALUE"""),0.275)</f>
        <v>0.275</v>
      </c>
      <c r="J708" s="20">
        <f>IFERROR(__xludf.DUMMYFUNCTION("""COMPUTED_VALUE"""),707.0)</f>
        <v>707</v>
      </c>
      <c r="K708" s="20" t="b">
        <f>IFERROR(__xludf.DUMMYFUNCTION("""COMPUTED_VALUE"""),FALSE)</f>
        <v>0</v>
      </c>
      <c r="L708" s="20" t="str">
        <f>IFERROR(__xludf.DUMMYFUNCTION("""COMPUTED_VALUE"""),"Linked List;Design;")</f>
        <v>Linked List;Design;</v>
      </c>
      <c r="M708" s="20" t="b">
        <f>IFERROR(__xludf.DUMMYFUNCTION("""COMPUTED_VALUE"""),TRUE)</f>
        <v>1</v>
      </c>
      <c r="N708" s="20" t="b">
        <f>IFERROR(__xludf.DUMMYFUNCTION("""COMPUTED_VALUE"""),FALSE)</f>
        <v>0</v>
      </c>
      <c r="O708" s="20">
        <f>IFERROR(__xludf.DUMMYFUNCTION("""COMPUTED_VALUE"""),27.5389689844124)</f>
        <v>27.53896898</v>
      </c>
      <c r="P708" s="20">
        <f>IFERROR(__xludf.DUMMYFUNCTION("""COMPUTED_VALUE"""),238117.0)</f>
        <v>238117</v>
      </c>
      <c r="Q708" s="20">
        <f>IFERROR(__xludf.DUMMYFUNCTION("""COMPUTED_VALUE"""),864654.0)</f>
        <v>864654</v>
      </c>
    </row>
    <row r="709">
      <c r="A709" s="20">
        <f>IFERROR(__xludf.DUMMYFUNCTION("""COMPUTED_VALUE"""),850.0)</f>
        <v>850</v>
      </c>
      <c r="B709" s="20" t="str">
        <f>IFERROR(__xludf.DUMMYFUNCTION("""COMPUTED_VALUE"""),"Insert into a Sorted Circular Linked List")</f>
        <v>Insert into a Sorted Circular Linked List</v>
      </c>
      <c r="C709" s="20" t="str">
        <f>IFERROR(__xludf.DUMMYFUNCTION("""COMPUTED_VALUE"""),"insert-into-a-sorted-circular-linked-list")</f>
        <v>insert-into-a-sorted-circular-linked-list</v>
      </c>
      <c r="D709" s="20" t="b">
        <f>IFERROR(__xludf.DUMMYFUNCTION("""COMPUTED_VALUE"""),TRUE)</f>
        <v>1</v>
      </c>
      <c r="E709" s="20" t="str">
        <f>IFERROR(__xludf.DUMMYFUNCTION("""COMPUTED_VALUE"""),"Medium")</f>
        <v>Medium</v>
      </c>
      <c r="F709" s="20">
        <f>IFERROR(__xludf.DUMMYFUNCTION("""COMPUTED_VALUE"""),1026.0)</f>
        <v>1026</v>
      </c>
      <c r="G709" s="20">
        <f>IFERROR(__xludf.DUMMYFUNCTION("""COMPUTED_VALUE"""),685.0)</f>
        <v>685</v>
      </c>
      <c r="H709" s="20" t="str">
        <f>IFERROR(__xludf.DUMMYFUNCTION("""COMPUTED_VALUE"""),"Algorithms")</f>
        <v>Algorithms</v>
      </c>
      <c r="I709" s="20">
        <f>IFERROR(__xludf.DUMMYFUNCTION("""COMPUTED_VALUE"""),0.345)</f>
        <v>0.345</v>
      </c>
      <c r="J709" s="20">
        <f>IFERROR(__xludf.DUMMYFUNCTION("""COMPUTED_VALUE"""),708.0)</f>
        <v>708</v>
      </c>
      <c r="K709" s="20" t="b">
        <f>IFERROR(__xludf.DUMMYFUNCTION("""COMPUTED_VALUE"""),TRUE)</f>
        <v>1</v>
      </c>
      <c r="L709" s="20" t="str">
        <f>IFERROR(__xludf.DUMMYFUNCTION("""COMPUTED_VALUE"""),"Linked List;")</f>
        <v>Linked List;</v>
      </c>
      <c r="M709" s="20" t="b">
        <f>IFERROR(__xludf.DUMMYFUNCTION("""COMPUTED_VALUE"""),TRUE)</f>
        <v>1</v>
      </c>
      <c r="N709" s="20" t="b">
        <f>IFERROR(__xludf.DUMMYFUNCTION("""COMPUTED_VALUE"""),FALSE)</f>
        <v>0</v>
      </c>
      <c r="O709" s="20">
        <f>IFERROR(__xludf.DUMMYFUNCTION("""COMPUTED_VALUE"""),34.5101208426442)</f>
        <v>34.51012084</v>
      </c>
      <c r="P709" s="20">
        <f>IFERROR(__xludf.DUMMYFUNCTION("""COMPUTED_VALUE"""),127254.0)</f>
        <v>127254</v>
      </c>
      <c r="Q709" s="20">
        <f>IFERROR(__xludf.DUMMYFUNCTION("""COMPUTED_VALUE"""),368743.0)</f>
        <v>368743</v>
      </c>
    </row>
    <row r="710">
      <c r="A710" s="20">
        <f>IFERROR(__xludf.DUMMYFUNCTION("""COMPUTED_VALUE"""),742.0)</f>
        <v>742</v>
      </c>
      <c r="B710" s="20" t="str">
        <f>IFERROR(__xludf.DUMMYFUNCTION("""COMPUTED_VALUE"""),"To Lower Case")</f>
        <v>To Lower Case</v>
      </c>
      <c r="C710" s="20" t="str">
        <f>IFERROR(__xludf.DUMMYFUNCTION("""COMPUTED_VALUE"""),"to-lower-case")</f>
        <v>to-lower-case</v>
      </c>
      <c r="D710" s="20" t="b">
        <f>IFERROR(__xludf.DUMMYFUNCTION("""COMPUTED_VALUE"""),FALSE)</f>
        <v>0</v>
      </c>
      <c r="E710" s="20" t="str">
        <f>IFERROR(__xludf.DUMMYFUNCTION("""COMPUTED_VALUE"""),"Easy")</f>
        <v>Easy</v>
      </c>
      <c r="F710" s="20">
        <f>IFERROR(__xludf.DUMMYFUNCTION("""COMPUTED_VALUE"""),1402.0)</f>
        <v>1402</v>
      </c>
      <c r="G710" s="20">
        <f>IFERROR(__xludf.DUMMYFUNCTION("""COMPUTED_VALUE"""),2536.0)</f>
        <v>2536</v>
      </c>
      <c r="H710" s="20" t="str">
        <f>IFERROR(__xludf.DUMMYFUNCTION("""COMPUTED_VALUE"""),"Algorithms")</f>
        <v>Algorithms</v>
      </c>
      <c r="I710" s="20">
        <f>IFERROR(__xludf.DUMMYFUNCTION("""COMPUTED_VALUE"""),0.821)</f>
        <v>0.821</v>
      </c>
      <c r="J710" s="20">
        <f>IFERROR(__xludf.DUMMYFUNCTION("""COMPUTED_VALUE"""),709.0)</f>
        <v>709</v>
      </c>
      <c r="K710" s="20" t="b">
        <f>IFERROR(__xludf.DUMMYFUNCTION("""COMPUTED_VALUE"""),FALSE)</f>
        <v>0</v>
      </c>
      <c r="L710" s="20" t="str">
        <f>IFERROR(__xludf.DUMMYFUNCTION("""COMPUTED_VALUE"""),"String;")</f>
        <v>String;</v>
      </c>
      <c r="M710" s="20" t="b">
        <f>IFERROR(__xludf.DUMMYFUNCTION("""COMPUTED_VALUE"""),TRUE)</f>
        <v>1</v>
      </c>
      <c r="N710" s="20" t="b">
        <f>IFERROR(__xludf.DUMMYFUNCTION("""COMPUTED_VALUE"""),FALSE)</f>
        <v>0</v>
      </c>
      <c r="O710" s="20">
        <f>IFERROR(__xludf.DUMMYFUNCTION("""COMPUTED_VALUE"""),82.0864619504967)</f>
        <v>82.08646195</v>
      </c>
      <c r="P710" s="20">
        <f>IFERROR(__xludf.DUMMYFUNCTION("""COMPUTED_VALUE"""),391679.0)</f>
        <v>391679</v>
      </c>
      <c r="Q710" s="20">
        <f>IFERROR(__xludf.DUMMYFUNCTION("""COMPUTED_VALUE"""),477156.0)</f>
        <v>477156</v>
      </c>
    </row>
    <row r="711">
      <c r="A711" s="20">
        <f>IFERROR(__xludf.DUMMYFUNCTION("""COMPUTED_VALUE"""),894.0)</f>
        <v>894</v>
      </c>
      <c r="B711" s="20" t="str">
        <f>IFERROR(__xludf.DUMMYFUNCTION("""COMPUTED_VALUE"""),"Random Pick with Blacklist")</f>
        <v>Random Pick with Blacklist</v>
      </c>
      <c r="C711" s="20" t="str">
        <f>IFERROR(__xludf.DUMMYFUNCTION("""COMPUTED_VALUE"""),"random-pick-with-blacklist")</f>
        <v>random-pick-with-blacklist</v>
      </c>
      <c r="D711" s="20" t="b">
        <f>IFERROR(__xludf.DUMMYFUNCTION("""COMPUTED_VALUE"""),FALSE)</f>
        <v>0</v>
      </c>
      <c r="E711" s="20" t="str">
        <f>IFERROR(__xludf.DUMMYFUNCTION("""COMPUTED_VALUE"""),"Hard")</f>
        <v>Hard</v>
      </c>
      <c r="F711" s="20">
        <f>IFERROR(__xludf.DUMMYFUNCTION("""COMPUTED_VALUE"""),744.0)</f>
        <v>744</v>
      </c>
      <c r="G711" s="20">
        <f>IFERROR(__xludf.DUMMYFUNCTION("""COMPUTED_VALUE"""),101.0)</f>
        <v>101</v>
      </c>
      <c r="H711" s="20" t="str">
        <f>IFERROR(__xludf.DUMMYFUNCTION("""COMPUTED_VALUE"""),"Algorithms")</f>
        <v>Algorithms</v>
      </c>
      <c r="I711" s="20">
        <f>IFERROR(__xludf.DUMMYFUNCTION("""COMPUTED_VALUE"""),0.337)</f>
        <v>0.337</v>
      </c>
      <c r="J711" s="20">
        <f>IFERROR(__xludf.DUMMYFUNCTION("""COMPUTED_VALUE"""),710.0)</f>
        <v>710</v>
      </c>
      <c r="K711" s="20" t="b">
        <f>IFERROR(__xludf.DUMMYFUNCTION("""COMPUTED_VALUE"""),FALSE)</f>
        <v>0</v>
      </c>
      <c r="L711" s="20" t="str">
        <f>IFERROR(__xludf.DUMMYFUNCTION("""COMPUTED_VALUE"""),"Hash Table;Math;Binary Search;Sorting;Randomized;")</f>
        <v>Hash Table;Math;Binary Search;Sorting;Randomized;</v>
      </c>
      <c r="M711" s="20" t="b">
        <f>IFERROR(__xludf.DUMMYFUNCTION("""COMPUTED_VALUE"""),TRUE)</f>
        <v>1</v>
      </c>
      <c r="N711" s="20" t="b">
        <f>IFERROR(__xludf.DUMMYFUNCTION("""COMPUTED_VALUE"""),FALSE)</f>
        <v>0</v>
      </c>
      <c r="O711" s="20">
        <f>IFERROR(__xludf.DUMMYFUNCTION("""COMPUTED_VALUE"""),33.6524400943672)</f>
        <v>33.65244009</v>
      </c>
      <c r="P711" s="20">
        <f>IFERROR(__xludf.DUMMYFUNCTION("""COMPUTED_VALUE"""),34520.0)</f>
        <v>34520</v>
      </c>
      <c r="Q711" s="20">
        <f>IFERROR(__xludf.DUMMYFUNCTION("""COMPUTED_VALUE"""),102578.0)</f>
        <v>102578</v>
      </c>
    </row>
    <row r="712">
      <c r="A712" s="20">
        <f>IFERROR(__xludf.DUMMYFUNCTION("""COMPUTED_VALUE"""),711.0)</f>
        <v>711</v>
      </c>
      <c r="B712" s="20" t="str">
        <f>IFERROR(__xludf.DUMMYFUNCTION("""COMPUTED_VALUE"""),"Number of Distinct Islands II")</f>
        <v>Number of Distinct Islands II</v>
      </c>
      <c r="C712" s="20" t="str">
        <f>IFERROR(__xludf.DUMMYFUNCTION("""COMPUTED_VALUE"""),"number-of-distinct-islands-ii")</f>
        <v>number-of-distinct-islands-ii</v>
      </c>
      <c r="D712" s="20" t="b">
        <f>IFERROR(__xludf.DUMMYFUNCTION("""COMPUTED_VALUE"""),TRUE)</f>
        <v>1</v>
      </c>
      <c r="E712" s="20" t="str">
        <f>IFERROR(__xludf.DUMMYFUNCTION("""COMPUTED_VALUE"""),"Hard")</f>
        <v>Hard</v>
      </c>
      <c r="F712" s="20">
        <f>IFERROR(__xludf.DUMMYFUNCTION("""COMPUTED_VALUE"""),232.0)</f>
        <v>232</v>
      </c>
      <c r="G712" s="20">
        <f>IFERROR(__xludf.DUMMYFUNCTION("""COMPUTED_VALUE"""),233.0)</f>
        <v>233</v>
      </c>
      <c r="H712" s="20" t="str">
        <f>IFERROR(__xludf.DUMMYFUNCTION("""COMPUTED_VALUE"""),"Algorithms")</f>
        <v>Algorithms</v>
      </c>
      <c r="I712" s="20">
        <f>IFERROR(__xludf.DUMMYFUNCTION("""COMPUTED_VALUE"""),0.517)</f>
        <v>0.517</v>
      </c>
      <c r="J712" s="20">
        <f>IFERROR(__xludf.DUMMYFUNCTION("""COMPUTED_VALUE"""),711.0)</f>
        <v>711</v>
      </c>
      <c r="K712" s="20" t="b">
        <f>IFERROR(__xludf.DUMMYFUNCTION("""COMPUTED_VALUE"""),TRUE)</f>
        <v>1</v>
      </c>
      <c r="L712" s="20" t="str">
        <f>IFERROR(__xludf.DUMMYFUNCTION("""COMPUTED_VALUE"""),"Hash Table;Depth-First Search;Breadth-First Search;Union Find;Hash Function;")</f>
        <v>Hash Table;Depth-First Search;Breadth-First Search;Union Find;Hash Function;</v>
      </c>
      <c r="M712" s="20" t="b">
        <f>IFERROR(__xludf.DUMMYFUNCTION("""COMPUTED_VALUE"""),TRUE)</f>
        <v>1</v>
      </c>
      <c r="N712" s="20" t="b">
        <f>IFERROR(__xludf.DUMMYFUNCTION("""COMPUTED_VALUE"""),FALSE)</f>
        <v>0</v>
      </c>
      <c r="O712" s="20">
        <f>IFERROR(__xludf.DUMMYFUNCTION("""COMPUTED_VALUE"""),51.7491297152314)</f>
        <v>51.74912972</v>
      </c>
      <c r="P712" s="20">
        <f>IFERROR(__xludf.DUMMYFUNCTION("""COMPUTED_VALUE"""),9068.0)</f>
        <v>9068</v>
      </c>
      <c r="Q712" s="20">
        <f>IFERROR(__xludf.DUMMYFUNCTION("""COMPUTED_VALUE"""),17523.0)</f>
        <v>17523</v>
      </c>
    </row>
    <row r="713">
      <c r="A713" s="20">
        <f>IFERROR(__xludf.DUMMYFUNCTION("""COMPUTED_VALUE"""),712.0)</f>
        <v>712</v>
      </c>
      <c r="B713" s="20" t="str">
        <f>IFERROR(__xludf.DUMMYFUNCTION("""COMPUTED_VALUE"""),"Minimum ASCII Delete Sum for Two Strings")</f>
        <v>Minimum ASCII Delete Sum for Two Strings</v>
      </c>
      <c r="C713" s="20" t="str">
        <f>IFERROR(__xludf.DUMMYFUNCTION("""COMPUTED_VALUE"""),"minimum-ascii-delete-sum-for-two-strings")</f>
        <v>minimum-ascii-delete-sum-for-two-strings</v>
      </c>
      <c r="D713" s="20" t="b">
        <f>IFERROR(__xludf.DUMMYFUNCTION("""COMPUTED_VALUE"""),FALSE)</f>
        <v>0</v>
      </c>
      <c r="E713" s="20" t="str">
        <f>IFERROR(__xludf.DUMMYFUNCTION("""COMPUTED_VALUE"""),"Medium")</f>
        <v>Medium</v>
      </c>
      <c r="F713" s="20">
        <f>IFERROR(__xludf.DUMMYFUNCTION("""COMPUTED_VALUE"""),2335.0)</f>
        <v>2335</v>
      </c>
      <c r="G713" s="20">
        <f>IFERROR(__xludf.DUMMYFUNCTION("""COMPUTED_VALUE"""),68.0)</f>
        <v>68</v>
      </c>
      <c r="H713" s="20" t="str">
        <f>IFERROR(__xludf.DUMMYFUNCTION("""COMPUTED_VALUE"""),"Algorithms")</f>
        <v>Algorithms</v>
      </c>
      <c r="I713" s="20">
        <f>IFERROR(__xludf.DUMMYFUNCTION("""COMPUTED_VALUE"""),0.624)</f>
        <v>0.624</v>
      </c>
      <c r="J713" s="20">
        <f>IFERROR(__xludf.DUMMYFUNCTION("""COMPUTED_VALUE"""),712.0)</f>
        <v>712</v>
      </c>
      <c r="K713" s="20" t="b">
        <f>IFERROR(__xludf.DUMMYFUNCTION("""COMPUTED_VALUE"""),FALSE)</f>
        <v>0</v>
      </c>
      <c r="L713" s="20" t="str">
        <f>IFERROR(__xludf.DUMMYFUNCTION("""COMPUTED_VALUE"""),"String;Dynamic Programming;")</f>
        <v>String;Dynamic Programming;</v>
      </c>
      <c r="M713" s="20" t="b">
        <f>IFERROR(__xludf.DUMMYFUNCTION("""COMPUTED_VALUE"""),TRUE)</f>
        <v>1</v>
      </c>
      <c r="N713" s="20" t="b">
        <f>IFERROR(__xludf.DUMMYFUNCTION("""COMPUTED_VALUE"""),FALSE)</f>
        <v>0</v>
      </c>
      <c r="O713" s="20">
        <f>IFERROR(__xludf.DUMMYFUNCTION("""COMPUTED_VALUE"""),62.3916290408419)</f>
        <v>62.39162904</v>
      </c>
      <c r="P713" s="20">
        <f>IFERROR(__xludf.DUMMYFUNCTION("""COMPUTED_VALUE"""),72682.0)</f>
        <v>72682</v>
      </c>
      <c r="Q713" s="20">
        <f>IFERROR(__xludf.DUMMYFUNCTION("""COMPUTED_VALUE"""),116491.0)</f>
        <v>116491</v>
      </c>
    </row>
    <row r="714">
      <c r="A714" s="20">
        <f>IFERROR(__xludf.DUMMYFUNCTION("""COMPUTED_VALUE"""),713.0)</f>
        <v>713</v>
      </c>
      <c r="B714" s="20" t="str">
        <f>IFERROR(__xludf.DUMMYFUNCTION("""COMPUTED_VALUE"""),"Subarray Product Less Than K")</f>
        <v>Subarray Product Less Than K</v>
      </c>
      <c r="C714" s="20" t="str">
        <f>IFERROR(__xludf.DUMMYFUNCTION("""COMPUTED_VALUE"""),"subarray-product-less-than-k")</f>
        <v>subarray-product-less-than-k</v>
      </c>
      <c r="D714" s="20" t="b">
        <f>IFERROR(__xludf.DUMMYFUNCTION("""COMPUTED_VALUE"""),FALSE)</f>
        <v>0</v>
      </c>
      <c r="E714" s="20" t="str">
        <f>IFERROR(__xludf.DUMMYFUNCTION("""COMPUTED_VALUE"""),"Medium")</f>
        <v>Medium</v>
      </c>
      <c r="F714" s="20">
        <f>IFERROR(__xludf.DUMMYFUNCTION("""COMPUTED_VALUE"""),4921.0)</f>
        <v>4921</v>
      </c>
      <c r="G714" s="20">
        <f>IFERROR(__xludf.DUMMYFUNCTION("""COMPUTED_VALUE"""),160.0)</f>
        <v>160</v>
      </c>
      <c r="H714" s="20" t="str">
        <f>IFERROR(__xludf.DUMMYFUNCTION("""COMPUTED_VALUE"""),"Algorithms")</f>
        <v>Algorithms</v>
      </c>
      <c r="I714" s="20">
        <f>IFERROR(__xludf.DUMMYFUNCTION("""COMPUTED_VALUE"""),0.453)</f>
        <v>0.453</v>
      </c>
      <c r="J714" s="20">
        <f>IFERROR(__xludf.DUMMYFUNCTION("""COMPUTED_VALUE"""),713.0)</f>
        <v>713</v>
      </c>
      <c r="K714" s="20" t="b">
        <f>IFERROR(__xludf.DUMMYFUNCTION("""COMPUTED_VALUE"""),FALSE)</f>
        <v>0</v>
      </c>
      <c r="L714" s="20" t="str">
        <f>IFERROR(__xludf.DUMMYFUNCTION("""COMPUTED_VALUE"""),"Array;Sliding Window;")</f>
        <v>Array;Sliding Window;</v>
      </c>
      <c r="M714" s="20" t="b">
        <f>IFERROR(__xludf.DUMMYFUNCTION("""COMPUTED_VALUE"""),TRUE)</f>
        <v>1</v>
      </c>
      <c r="N714" s="20" t="b">
        <f>IFERROR(__xludf.DUMMYFUNCTION("""COMPUTED_VALUE"""),FALSE)</f>
        <v>0</v>
      </c>
      <c r="O714" s="20">
        <f>IFERROR(__xludf.DUMMYFUNCTION("""COMPUTED_VALUE"""),45.3401626373342)</f>
        <v>45.34016264</v>
      </c>
      <c r="P714" s="20">
        <f>IFERROR(__xludf.DUMMYFUNCTION("""COMPUTED_VALUE"""),210590.0)</f>
        <v>210590</v>
      </c>
      <c r="Q714" s="20">
        <f>IFERROR(__xludf.DUMMYFUNCTION("""COMPUTED_VALUE"""),464468.0)</f>
        <v>464468</v>
      </c>
    </row>
    <row r="715">
      <c r="A715" s="20">
        <f>IFERROR(__xludf.DUMMYFUNCTION("""COMPUTED_VALUE"""),714.0)</f>
        <v>714</v>
      </c>
      <c r="B715" s="20" t="str">
        <f>IFERROR(__xludf.DUMMYFUNCTION("""COMPUTED_VALUE"""),"Best Time to Buy and Sell Stock with Transaction Fee")</f>
        <v>Best Time to Buy and Sell Stock with Transaction Fee</v>
      </c>
      <c r="C715" s="20" t="str">
        <f>IFERROR(__xludf.DUMMYFUNCTION("""COMPUTED_VALUE"""),"best-time-to-buy-and-sell-stock-with-transaction-fee")</f>
        <v>best-time-to-buy-and-sell-stock-with-transaction-fee</v>
      </c>
      <c r="D715" s="20" t="b">
        <f>IFERROR(__xludf.DUMMYFUNCTION("""COMPUTED_VALUE"""),FALSE)</f>
        <v>0</v>
      </c>
      <c r="E715" s="20" t="str">
        <f>IFERROR(__xludf.DUMMYFUNCTION("""COMPUTED_VALUE"""),"Medium")</f>
        <v>Medium</v>
      </c>
      <c r="F715" s="20">
        <f>IFERROR(__xludf.DUMMYFUNCTION("""COMPUTED_VALUE"""),4923.0)</f>
        <v>4923</v>
      </c>
      <c r="G715" s="20">
        <f>IFERROR(__xludf.DUMMYFUNCTION("""COMPUTED_VALUE"""),121.0)</f>
        <v>121</v>
      </c>
      <c r="H715" s="20" t="str">
        <f>IFERROR(__xludf.DUMMYFUNCTION("""COMPUTED_VALUE"""),"Algorithms")</f>
        <v>Algorithms</v>
      </c>
      <c r="I715" s="20">
        <f>IFERROR(__xludf.DUMMYFUNCTION("""COMPUTED_VALUE"""),0.647)</f>
        <v>0.647</v>
      </c>
      <c r="J715" s="20">
        <f>IFERROR(__xludf.DUMMYFUNCTION("""COMPUTED_VALUE"""),714.0)</f>
        <v>714</v>
      </c>
      <c r="K715" s="20" t="b">
        <f>IFERROR(__xludf.DUMMYFUNCTION("""COMPUTED_VALUE"""),FALSE)</f>
        <v>0</v>
      </c>
      <c r="L715" s="20" t="str">
        <f>IFERROR(__xludf.DUMMYFUNCTION("""COMPUTED_VALUE"""),"Array;Dynamic Programming;Greedy;")</f>
        <v>Array;Dynamic Programming;Greedy;</v>
      </c>
      <c r="M715" s="20" t="b">
        <f>IFERROR(__xludf.DUMMYFUNCTION("""COMPUTED_VALUE"""),TRUE)</f>
        <v>1</v>
      </c>
      <c r="N715" s="20" t="b">
        <f>IFERROR(__xludf.DUMMYFUNCTION("""COMPUTED_VALUE"""),FALSE)</f>
        <v>0</v>
      </c>
      <c r="O715" s="20">
        <f>IFERROR(__xludf.DUMMYFUNCTION("""COMPUTED_VALUE"""),64.6557490236692)</f>
        <v>64.65574902</v>
      </c>
      <c r="P715" s="20">
        <f>IFERROR(__xludf.DUMMYFUNCTION("""COMPUTED_VALUE"""),209761.0)</f>
        <v>209761</v>
      </c>
      <c r="Q715" s="20">
        <f>IFERROR(__xludf.DUMMYFUNCTION("""COMPUTED_VALUE"""),324427.0)</f>
        <v>324427</v>
      </c>
    </row>
    <row r="716">
      <c r="A716" s="20">
        <f>IFERROR(__xludf.DUMMYFUNCTION("""COMPUTED_VALUE"""),715.0)</f>
        <v>715</v>
      </c>
      <c r="B716" s="20" t="str">
        <f>IFERROR(__xludf.DUMMYFUNCTION("""COMPUTED_VALUE"""),"Range Module")</f>
        <v>Range Module</v>
      </c>
      <c r="C716" s="20" t="str">
        <f>IFERROR(__xludf.DUMMYFUNCTION("""COMPUTED_VALUE"""),"range-module")</f>
        <v>range-module</v>
      </c>
      <c r="D716" s="20" t="b">
        <f>IFERROR(__xludf.DUMMYFUNCTION("""COMPUTED_VALUE"""),FALSE)</f>
        <v>0</v>
      </c>
      <c r="E716" s="20" t="str">
        <f>IFERROR(__xludf.DUMMYFUNCTION("""COMPUTED_VALUE"""),"Hard")</f>
        <v>Hard</v>
      </c>
      <c r="F716" s="20">
        <f>IFERROR(__xludf.DUMMYFUNCTION("""COMPUTED_VALUE"""),1203.0)</f>
        <v>1203</v>
      </c>
      <c r="G716" s="20">
        <f>IFERROR(__xludf.DUMMYFUNCTION("""COMPUTED_VALUE"""),93.0)</f>
        <v>93</v>
      </c>
      <c r="H716" s="20" t="str">
        <f>IFERROR(__xludf.DUMMYFUNCTION("""COMPUTED_VALUE"""),"Algorithms")</f>
        <v>Algorithms</v>
      </c>
      <c r="I716" s="20">
        <f>IFERROR(__xludf.DUMMYFUNCTION("""COMPUTED_VALUE"""),0.446)</f>
        <v>0.446</v>
      </c>
      <c r="J716" s="20">
        <f>IFERROR(__xludf.DUMMYFUNCTION("""COMPUTED_VALUE"""),715.0)</f>
        <v>715</v>
      </c>
      <c r="K716" s="20" t="b">
        <f>IFERROR(__xludf.DUMMYFUNCTION("""COMPUTED_VALUE"""),FALSE)</f>
        <v>0</v>
      </c>
      <c r="L716" s="20" t="str">
        <f>IFERROR(__xludf.DUMMYFUNCTION("""COMPUTED_VALUE"""),"Design;Segment Tree;Ordered Set;")</f>
        <v>Design;Segment Tree;Ordered Set;</v>
      </c>
      <c r="M716" s="20" t="b">
        <f>IFERROR(__xludf.DUMMYFUNCTION("""COMPUTED_VALUE"""),FALSE)</f>
        <v>0</v>
      </c>
      <c r="N716" s="20" t="b">
        <f>IFERROR(__xludf.DUMMYFUNCTION("""COMPUTED_VALUE"""),FALSE)</f>
        <v>0</v>
      </c>
      <c r="O716" s="20">
        <f>IFERROR(__xludf.DUMMYFUNCTION("""COMPUTED_VALUE"""),44.6267114440713)</f>
        <v>44.62671144</v>
      </c>
      <c r="P716" s="20">
        <f>IFERROR(__xludf.DUMMYFUNCTION("""COMPUTED_VALUE"""),55280.0)</f>
        <v>55280</v>
      </c>
      <c r="Q716" s="20">
        <f>IFERROR(__xludf.DUMMYFUNCTION("""COMPUTED_VALUE"""),123872.0)</f>
        <v>123872</v>
      </c>
    </row>
    <row r="717">
      <c r="A717" s="20">
        <f>IFERROR(__xludf.DUMMYFUNCTION("""COMPUTED_VALUE"""),716.0)</f>
        <v>716</v>
      </c>
      <c r="B717" s="20" t="str">
        <f>IFERROR(__xludf.DUMMYFUNCTION("""COMPUTED_VALUE"""),"Max Stack")</f>
        <v>Max Stack</v>
      </c>
      <c r="C717" s="20" t="str">
        <f>IFERROR(__xludf.DUMMYFUNCTION("""COMPUTED_VALUE"""),"max-stack")</f>
        <v>max-stack</v>
      </c>
      <c r="D717" s="20" t="b">
        <f>IFERROR(__xludf.DUMMYFUNCTION("""COMPUTED_VALUE"""),TRUE)</f>
        <v>1</v>
      </c>
      <c r="E717" s="20" t="str">
        <f>IFERROR(__xludf.DUMMYFUNCTION("""COMPUTED_VALUE"""),"Hard")</f>
        <v>Hard</v>
      </c>
      <c r="F717" s="20">
        <f>IFERROR(__xludf.DUMMYFUNCTION("""COMPUTED_VALUE"""),1773.0)</f>
        <v>1773</v>
      </c>
      <c r="G717" s="20">
        <f>IFERROR(__xludf.DUMMYFUNCTION("""COMPUTED_VALUE"""),491.0)</f>
        <v>491</v>
      </c>
      <c r="H717" s="20" t="str">
        <f>IFERROR(__xludf.DUMMYFUNCTION("""COMPUTED_VALUE"""),"Algorithms")</f>
        <v>Algorithms</v>
      </c>
      <c r="I717" s="20">
        <f>IFERROR(__xludf.DUMMYFUNCTION("""COMPUTED_VALUE"""),0.453)</f>
        <v>0.453</v>
      </c>
      <c r="J717" s="20">
        <f>IFERROR(__xludf.DUMMYFUNCTION("""COMPUTED_VALUE"""),716.0)</f>
        <v>716</v>
      </c>
      <c r="K717" s="20" t="b">
        <f>IFERROR(__xludf.DUMMYFUNCTION("""COMPUTED_VALUE"""),TRUE)</f>
        <v>1</v>
      </c>
      <c r="L717" s="20" t="str">
        <f>IFERROR(__xludf.DUMMYFUNCTION("""COMPUTED_VALUE"""),"Linked List;Stack;Design;Doubly-Linked List;Ordered Set;")</f>
        <v>Linked List;Stack;Design;Doubly-Linked List;Ordered Set;</v>
      </c>
      <c r="M717" s="20" t="b">
        <f>IFERROR(__xludf.DUMMYFUNCTION("""COMPUTED_VALUE"""),TRUE)</f>
        <v>1</v>
      </c>
      <c r="N717" s="20" t="b">
        <f>IFERROR(__xludf.DUMMYFUNCTION("""COMPUTED_VALUE"""),FALSE)</f>
        <v>0</v>
      </c>
      <c r="O717" s="20">
        <f>IFERROR(__xludf.DUMMYFUNCTION("""COMPUTED_VALUE"""),45.2923496198933)</f>
        <v>45.29234962</v>
      </c>
      <c r="P717" s="20">
        <f>IFERROR(__xludf.DUMMYFUNCTION("""COMPUTED_VALUE"""),138937.0)</f>
        <v>138937</v>
      </c>
      <c r="Q717" s="20">
        <f>IFERROR(__xludf.DUMMYFUNCTION("""COMPUTED_VALUE"""),306756.0)</f>
        <v>306756</v>
      </c>
    </row>
    <row r="718">
      <c r="A718" s="20">
        <f>IFERROR(__xludf.DUMMYFUNCTION("""COMPUTED_VALUE"""),717.0)</f>
        <v>717</v>
      </c>
      <c r="B718" s="20" t="str">
        <f>IFERROR(__xludf.DUMMYFUNCTION("""COMPUTED_VALUE"""),"1-bit and 2-bit Characters")</f>
        <v>1-bit and 2-bit Characters</v>
      </c>
      <c r="C718" s="20" t="str">
        <f>IFERROR(__xludf.DUMMYFUNCTION("""COMPUTED_VALUE"""),"1-bit-and-2-bit-characters")</f>
        <v>1-bit-and-2-bit-characters</v>
      </c>
      <c r="D718" s="20" t="b">
        <f>IFERROR(__xludf.DUMMYFUNCTION("""COMPUTED_VALUE"""),FALSE)</f>
        <v>0</v>
      </c>
      <c r="E718" s="20" t="str">
        <f>IFERROR(__xludf.DUMMYFUNCTION("""COMPUTED_VALUE"""),"Easy")</f>
        <v>Easy</v>
      </c>
      <c r="F718" s="20">
        <f>IFERROR(__xludf.DUMMYFUNCTION("""COMPUTED_VALUE"""),741.0)</f>
        <v>741</v>
      </c>
      <c r="G718" s="20">
        <f>IFERROR(__xludf.DUMMYFUNCTION("""COMPUTED_VALUE"""),1877.0)</f>
        <v>1877</v>
      </c>
      <c r="H718" s="20" t="str">
        <f>IFERROR(__xludf.DUMMYFUNCTION("""COMPUTED_VALUE"""),"Algorithms")</f>
        <v>Algorithms</v>
      </c>
      <c r="I718" s="20">
        <f>IFERROR(__xludf.DUMMYFUNCTION("""COMPUTED_VALUE"""),0.459)</f>
        <v>0.459</v>
      </c>
      <c r="J718" s="20">
        <f>IFERROR(__xludf.DUMMYFUNCTION("""COMPUTED_VALUE"""),717.0)</f>
        <v>717</v>
      </c>
      <c r="K718" s="20" t="b">
        <f>IFERROR(__xludf.DUMMYFUNCTION("""COMPUTED_VALUE"""),FALSE)</f>
        <v>0</v>
      </c>
      <c r="L718" s="20" t="str">
        <f>IFERROR(__xludf.DUMMYFUNCTION("""COMPUTED_VALUE"""),"Array;")</f>
        <v>Array;</v>
      </c>
      <c r="M718" s="20" t="b">
        <f>IFERROR(__xludf.DUMMYFUNCTION("""COMPUTED_VALUE"""),FALSE)</f>
        <v>0</v>
      </c>
      <c r="N718" s="20" t="b">
        <f>IFERROR(__xludf.DUMMYFUNCTION("""COMPUTED_VALUE"""),FALSE)</f>
        <v>0</v>
      </c>
      <c r="O718" s="20">
        <f>IFERROR(__xludf.DUMMYFUNCTION("""COMPUTED_VALUE"""),45.8932788042552)</f>
        <v>45.8932788</v>
      </c>
      <c r="P718" s="20">
        <f>IFERROR(__xludf.DUMMYFUNCTION("""COMPUTED_VALUE"""),113115.0)</f>
        <v>113115</v>
      </c>
      <c r="Q718" s="20">
        <f>IFERROR(__xludf.DUMMYFUNCTION("""COMPUTED_VALUE"""),246474.0)</f>
        <v>246474</v>
      </c>
    </row>
    <row r="719">
      <c r="A719" s="20">
        <f>IFERROR(__xludf.DUMMYFUNCTION("""COMPUTED_VALUE"""),718.0)</f>
        <v>718</v>
      </c>
      <c r="B719" s="20" t="str">
        <f>IFERROR(__xludf.DUMMYFUNCTION("""COMPUTED_VALUE"""),"Maximum Length of Repeated Subarray")</f>
        <v>Maximum Length of Repeated Subarray</v>
      </c>
      <c r="C719" s="20" t="str">
        <f>IFERROR(__xludf.DUMMYFUNCTION("""COMPUTED_VALUE"""),"maximum-length-of-repeated-subarray")</f>
        <v>maximum-length-of-repeated-subarray</v>
      </c>
      <c r="D719" s="20" t="b">
        <f>IFERROR(__xludf.DUMMYFUNCTION("""COMPUTED_VALUE"""),FALSE)</f>
        <v>0</v>
      </c>
      <c r="E719" s="20" t="str">
        <f>IFERROR(__xludf.DUMMYFUNCTION("""COMPUTED_VALUE"""),"Medium")</f>
        <v>Medium</v>
      </c>
      <c r="F719" s="20">
        <f>IFERROR(__xludf.DUMMYFUNCTION("""COMPUTED_VALUE"""),5892.0)</f>
        <v>5892</v>
      </c>
      <c r="G719" s="20">
        <f>IFERROR(__xludf.DUMMYFUNCTION("""COMPUTED_VALUE"""),148.0)</f>
        <v>148</v>
      </c>
      <c r="H719" s="20" t="str">
        <f>IFERROR(__xludf.DUMMYFUNCTION("""COMPUTED_VALUE"""),"Algorithms")</f>
        <v>Algorithms</v>
      </c>
      <c r="I719" s="20">
        <f>IFERROR(__xludf.DUMMYFUNCTION("""COMPUTED_VALUE"""),0.514)</f>
        <v>0.514</v>
      </c>
      <c r="J719" s="20">
        <f>IFERROR(__xludf.DUMMYFUNCTION("""COMPUTED_VALUE"""),718.0)</f>
        <v>718</v>
      </c>
      <c r="K719" s="20" t="b">
        <f>IFERROR(__xludf.DUMMYFUNCTION("""COMPUTED_VALUE"""),FALSE)</f>
        <v>0</v>
      </c>
      <c r="L719" s="20" t="str">
        <f>IFERROR(__xludf.DUMMYFUNCTION("""COMPUTED_VALUE"""),"Array;Binary Search;Dynamic Programming;Sliding Window;Rolling Hash;Hash Function;")</f>
        <v>Array;Binary Search;Dynamic Programming;Sliding Window;Rolling Hash;Hash Function;</v>
      </c>
      <c r="M719" s="20" t="b">
        <f>IFERROR(__xludf.DUMMYFUNCTION("""COMPUTED_VALUE"""),TRUE)</f>
        <v>1</v>
      </c>
      <c r="N719" s="20" t="b">
        <f>IFERROR(__xludf.DUMMYFUNCTION("""COMPUTED_VALUE"""),FALSE)</f>
        <v>0</v>
      </c>
      <c r="O719" s="20">
        <f>IFERROR(__xludf.DUMMYFUNCTION("""COMPUTED_VALUE"""),51.4112281432735)</f>
        <v>51.41122814</v>
      </c>
      <c r="P719" s="20">
        <f>IFERROR(__xludf.DUMMYFUNCTION("""COMPUTED_VALUE"""),251712.0)</f>
        <v>251712</v>
      </c>
      <c r="Q719" s="20">
        <f>IFERROR(__xludf.DUMMYFUNCTION("""COMPUTED_VALUE"""),489602.0)</f>
        <v>489602</v>
      </c>
    </row>
    <row r="720">
      <c r="A720" s="20">
        <f>IFERROR(__xludf.DUMMYFUNCTION("""COMPUTED_VALUE"""),719.0)</f>
        <v>719</v>
      </c>
      <c r="B720" s="20" t="str">
        <f>IFERROR(__xludf.DUMMYFUNCTION("""COMPUTED_VALUE"""),"Find K-th Smallest Pair Distance")</f>
        <v>Find K-th Smallest Pair Distance</v>
      </c>
      <c r="C720" s="20" t="str">
        <f>IFERROR(__xludf.DUMMYFUNCTION("""COMPUTED_VALUE"""),"find-k-th-smallest-pair-distance")</f>
        <v>find-k-th-smallest-pair-distance</v>
      </c>
      <c r="D720" s="20" t="b">
        <f>IFERROR(__xludf.DUMMYFUNCTION("""COMPUTED_VALUE"""),FALSE)</f>
        <v>0</v>
      </c>
      <c r="E720" s="20" t="str">
        <f>IFERROR(__xludf.DUMMYFUNCTION("""COMPUTED_VALUE"""),"Hard")</f>
        <v>Hard</v>
      </c>
      <c r="F720" s="20">
        <f>IFERROR(__xludf.DUMMYFUNCTION("""COMPUTED_VALUE"""),2462.0)</f>
        <v>2462</v>
      </c>
      <c r="G720" s="20">
        <f>IFERROR(__xludf.DUMMYFUNCTION("""COMPUTED_VALUE"""),76.0)</f>
        <v>76</v>
      </c>
      <c r="H720" s="20" t="str">
        <f>IFERROR(__xludf.DUMMYFUNCTION("""COMPUTED_VALUE"""),"Algorithms")</f>
        <v>Algorithms</v>
      </c>
      <c r="I720" s="20">
        <f>IFERROR(__xludf.DUMMYFUNCTION("""COMPUTED_VALUE"""),0.365)</f>
        <v>0.365</v>
      </c>
      <c r="J720" s="20">
        <f>IFERROR(__xludf.DUMMYFUNCTION("""COMPUTED_VALUE"""),719.0)</f>
        <v>719</v>
      </c>
      <c r="K720" s="20" t="b">
        <f>IFERROR(__xludf.DUMMYFUNCTION("""COMPUTED_VALUE"""),FALSE)</f>
        <v>0</v>
      </c>
      <c r="L720" s="20" t="str">
        <f>IFERROR(__xludf.DUMMYFUNCTION("""COMPUTED_VALUE"""),"Array;Two Pointers;Binary Search;Sorting;")</f>
        <v>Array;Two Pointers;Binary Search;Sorting;</v>
      </c>
      <c r="M720" s="20" t="b">
        <f>IFERROR(__xludf.DUMMYFUNCTION("""COMPUTED_VALUE"""),TRUE)</f>
        <v>1</v>
      </c>
      <c r="N720" s="20" t="b">
        <f>IFERROR(__xludf.DUMMYFUNCTION("""COMPUTED_VALUE"""),FALSE)</f>
        <v>0</v>
      </c>
      <c r="O720" s="20">
        <f>IFERROR(__xludf.DUMMYFUNCTION("""COMPUTED_VALUE"""),36.5093259370467)</f>
        <v>36.50932594</v>
      </c>
      <c r="P720" s="20">
        <f>IFERROR(__xludf.DUMMYFUNCTION("""COMPUTED_VALUE"""),71735.0)</f>
        <v>71735</v>
      </c>
      <c r="Q720" s="20">
        <f>IFERROR(__xludf.DUMMYFUNCTION("""COMPUTED_VALUE"""),196489.0)</f>
        <v>196489</v>
      </c>
    </row>
    <row r="721">
      <c r="A721" s="20">
        <f>IFERROR(__xludf.DUMMYFUNCTION("""COMPUTED_VALUE"""),720.0)</f>
        <v>720</v>
      </c>
      <c r="B721" s="20" t="str">
        <f>IFERROR(__xludf.DUMMYFUNCTION("""COMPUTED_VALUE"""),"Longest Word in Dictionary")</f>
        <v>Longest Word in Dictionary</v>
      </c>
      <c r="C721" s="20" t="str">
        <f>IFERROR(__xludf.DUMMYFUNCTION("""COMPUTED_VALUE"""),"longest-word-in-dictionary")</f>
        <v>longest-word-in-dictionary</v>
      </c>
      <c r="D721" s="20" t="b">
        <f>IFERROR(__xludf.DUMMYFUNCTION("""COMPUTED_VALUE"""),FALSE)</f>
        <v>0</v>
      </c>
      <c r="E721" s="20" t="str">
        <f>IFERROR(__xludf.DUMMYFUNCTION("""COMPUTED_VALUE"""),"Medium")</f>
        <v>Medium</v>
      </c>
      <c r="F721" s="20">
        <f>IFERROR(__xludf.DUMMYFUNCTION("""COMPUTED_VALUE"""),1638.0)</f>
        <v>1638</v>
      </c>
      <c r="G721" s="20">
        <f>IFERROR(__xludf.DUMMYFUNCTION("""COMPUTED_VALUE"""),1407.0)</f>
        <v>1407</v>
      </c>
      <c r="H721" s="20" t="str">
        <f>IFERROR(__xludf.DUMMYFUNCTION("""COMPUTED_VALUE"""),"Algorithms")</f>
        <v>Algorithms</v>
      </c>
      <c r="I721" s="20">
        <f>IFERROR(__xludf.DUMMYFUNCTION("""COMPUTED_VALUE"""),0.519)</f>
        <v>0.519</v>
      </c>
      <c r="J721" s="20">
        <f>IFERROR(__xludf.DUMMYFUNCTION("""COMPUTED_VALUE"""),720.0)</f>
        <v>720</v>
      </c>
      <c r="K721" s="20" t="b">
        <f>IFERROR(__xludf.DUMMYFUNCTION("""COMPUTED_VALUE"""),FALSE)</f>
        <v>0</v>
      </c>
      <c r="L721" s="20" t="str">
        <f>IFERROR(__xludf.DUMMYFUNCTION("""COMPUTED_VALUE"""),"Array;Hash Table;String;Trie;Sorting;")</f>
        <v>Array;Hash Table;String;Trie;Sorting;</v>
      </c>
      <c r="M721" s="20" t="b">
        <f>IFERROR(__xludf.DUMMYFUNCTION("""COMPUTED_VALUE"""),TRUE)</f>
        <v>1</v>
      </c>
      <c r="N721" s="20" t="b">
        <f>IFERROR(__xludf.DUMMYFUNCTION("""COMPUTED_VALUE"""),FALSE)</f>
        <v>0</v>
      </c>
      <c r="O721" s="20">
        <f>IFERROR(__xludf.DUMMYFUNCTION("""COMPUTED_VALUE"""),51.8726857322933)</f>
        <v>51.87268573</v>
      </c>
      <c r="P721" s="20">
        <f>IFERROR(__xludf.DUMMYFUNCTION("""COMPUTED_VALUE"""),131684.0)</f>
        <v>131684</v>
      </c>
      <c r="Q721" s="20">
        <f>IFERROR(__xludf.DUMMYFUNCTION("""COMPUTED_VALUE"""),253860.0)</f>
        <v>253860</v>
      </c>
    </row>
    <row r="722">
      <c r="A722" s="20">
        <f>IFERROR(__xludf.DUMMYFUNCTION("""COMPUTED_VALUE"""),721.0)</f>
        <v>721</v>
      </c>
      <c r="B722" s="20" t="str">
        <f>IFERROR(__xludf.DUMMYFUNCTION("""COMPUTED_VALUE"""),"Accounts Merge")</f>
        <v>Accounts Merge</v>
      </c>
      <c r="C722" s="20" t="str">
        <f>IFERROR(__xludf.DUMMYFUNCTION("""COMPUTED_VALUE"""),"accounts-merge")</f>
        <v>accounts-merge</v>
      </c>
      <c r="D722" s="20" t="b">
        <f>IFERROR(__xludf.DUMMYFUNCTION("""COMPUTED_VALUE"""),FALSE)</f>
        <v>0</v>
      </c>
      <c r="E722" s="20" t="str">
        <f>IFERROR(__xludf.DUMMYFUNCTION("""COMPUTED_VALUE"""),"Medium")</f>
        <v>Medium</v>
      </c>
      <c r="F722" s="20">
        <f>IFERROR(__xludf.DUMMYFUNCTION("""COMPUTED_VALUE"""),5150.0)</f>
        <v>5150</v>
      </c>
      <c r="G722" s="20">
        <f>IFERROR(__xludf.DUMMYFUNCTION("""COMPUTED_VALUE"""),885.0)</f>
        <v>885</v>
      </c>
      <c r="H722" s="20" t="str">
        <f>IFERROR(__xludf.DUMMYFUNCTION("""COMPUTED_VALUE"""),"Algorithms")</f>
        <v>Algorithms</v>
      </c>
      <c r="I722" s="20">
        <f>IFERROR(__xludf.DUMMYFUNCTION("""COMPUTED_VALUE"""),0.564)</f>
        <v>0.564</v>
      </c>
      <c r="J722" s="20">
        <f>IFERROR(__xludf.DUMMYFUNCTION("""COMPUTED_VALUE"""),721.0)</f>
        <v>721</v>
      </c>
      <c r="K722" s="20" t="b">
        <f>IFERROR(__xludf.DUMMYFUNCTION("""COMPUTED_VALUE"""),FALSE)</f>
        <v>0</v>
      </c>
      <c r="L722" s="20" t="str">
        <f>IFERROR(__xludf.DUMMYFUNCTION("""COMPUTED_VALUE"""),"Array;String;Depth-First Search;Breadth-First Search;Union Find;")</f>
        <v>Array;String;Depth-First Search;Breadth-First Search;Union Find;</v>
      </c>
      <c r="M722" s="20" t="b">
        <f>IFERROR(__xludf.DUMMYFUNCTION("""COMPUTED_VALUE"""),TRUE)</f>
        <v>1</v>
      </c>
      <c r="N722" s="20" t="b">
        <f>IFERROR(__xludf.DUMMYFUNCTION("""COMPUTED_VALUE"""),FALSE)</f>
        <v>0</v>
      </c>
      <c r="O722" s="20">
        <f>IFERROR(__xludf.DUMMYFUNCTION("""COMPUTED_VALUE"""),56.3503911148265)</f>
        <v>56.35039111</v>
      </c>
      <c r="P722" s="20">
        <f>IFERROR(__xludf.DUMMYFUNCTION("""COMPUTED_VALUE"""),292546.0)</f>
        <v>292546</v>
      </c>
      <c r="Q722" s="20">
        <f>IFERROR(__xludf.DUMMYFUNCTION("""COMPUTED_VALUE"""),519156.0)</f>
        <v>519156</v>
      </c>
    </row>
    <row r="723">
      <c r="A723" s="20">
        <f>IFERROR(__xludf.DUMMYFUNCTION("""COMPUTED_VALUE"""),722.0)</f>
        <v>722</v>
      </c>
      <c r="B723" s="20" t="str">
        <f>IFERROR(__xludf.DUMMYFUNCTION("""COMPUTED_VALUE"""),"Remove Comments")</f>
        <v>Remove Comments</v>
      </c>
      <c r="C723" s="20" t="str">
        <f>IFERROR(__xludf.DUMMYFUNCTION("""COMPUTED_VALUE"""),"remove-comments")</f>
        <v>remove-comments</v>
      </c>
      <c r="D723" s="20" t="b">
        <f>IFERROR(__xludf.DUMMYFUNCTION("""COMPUTED_VALUE"""),FALSE)</f>
        <v>0</v>
      </c>
      <c r="E723" s="20" t="str">
        <f>IFERROR(__xludf.DUMMYFUNCTION("""COMPUTED_VALUE"""),"Medium")</f>
        <v>Medium</v>
      </c>
      <c r="F723" s="20">
        <f>IFERROR(__xludf.DUMMYFUNCTION("""COMPUTED_VALUE"""),633.0)</f>
        <v>633</v>
      </c>
      <c r="G723" s="20">
        <f>IFERROR(__xludf.DUMMYFUNCTION("""COMPUTED_VALUE"""),1660.0)</f>
        <v>1660</v>
      </c>
      <c r="H723" s="20" t="str">
        <f>IFERROR(__xludf.DUMMYFUNCTION("""COMPUTED_VALUE"""),"Algorithms")</f>
        <v>Algorithms</v>
      </c>
      <c r="I723" s="20">
        <f>IFERROR(__xludf.DUMMYFUNCTION("""COMPUTED_VALUE"""),0.381)</f>
        <v>0.381</v>
      </c>
      <c r="J723" s="20">
        <f>IFERROR(__xludf.DUMMYFUNCTION("""COMPUTED_VALUE"""),722.0)</f>
        <v>722</v>
      </c>
      <c r="K723" s="20" t="b">
        <f>IFERROR(__xludf.DUMMYFUNCTION("""COMPUTED_VALUE"""),FALSE)</f>
        <v>0</v>
      </c>
      <c r="L723" s="20" t="str">
        <f>IFERROR(__xludf.DUMMYFUNCTION("""COMPUTED_VALUE"""),"Array;String;")</f>
        <v>Array;String;</v>
      </c>
      <c r="M723" s="20" t="b">
        <f>IFERROR(__xludf.DUMMYFUNCTION("""COMPUTED_VALUE"""),FALSE)</f>
        <v>0</v>
      </c>
      <c r="N723" s="20" t="b">
        <f>IFERROR(__xludf.DUMMYFUNCTION("""COMPUTED_VALUE"""),FALSE)</f>
        <v>0</v>
      </c>
      <c r="O723" s="20">
        <f>IFERROR(__xludf.DUMMYFUNCTION("""COMPUTED_VALUE"""),38.1165262000732)</f>
        <v>38.1165262</v>
      </c>
      <c r="P723" s="20">
        <f>IFERROR(__xludf.DUMMYFUNCTION("""COMPUTED_VALUE"""),62411.0)</f>
        <v>62411</v>
      </c>
      <c r="Q723" s="20">
        <f>IFERROR(__xludf.DUMMYFUNCTION("""COMPUTED_VALUE"""),163737.0)</f>
        <v>163737</v>
      </c>
    </row>
    <row r="724">
      <c r="A724" s="20">
        <f>IFERROR(__xludf.DUMMYFUNCTION("""COMPUTED_VALUE"""),723.0)</f>
        <v>723</v>
      </c>
      <c r="B724" s="20" t="str">
        <f>IFERROR(__xludf.DUMMYFUNCTION("""COMPUTED_VALUE"""),"Candy Crush")</f>
        <v>Candy Crush</v>
      </c>
      <c r="C724" s="20" t="str">
        <f>IFERROR(__xludf.DUMMYFUNCTION("""COMPUTED_VALUE"""),"candy-crush")</f>
        <v>candy-crush</v>
      </c>
      <c r="D724" s="20" t="b">
        <f>IFERROR(__xludf.DUMMYFUNCTION("""COMPUTED_VALUE"""),TRUE)</f>
        <v>1</v>
      </c>
      <c r="E724" s="20" t="str">
        <f>IFERROR(__xludf.DUMMYFUNCTION("""COMPUTED_VALUE"""),"Medium")</f>
        <v>Medium</v>
      </c>
      <c r="F724" s="20">
        <f>IFERROR(__xludf.DUMMYFUNCTION("""COMPUTED_VALUE"""),895.0)</f>
        <v>895</v>
      </c>
      <c r="G724" s="20">
        <f>IFERROR(__xludf.DUMMYFUNCTION("""COMPUTED_VALUE"""),434.0)</f>
        <v>434</v>
      </c>
      <c r="H724" s="20" t="str">
        <f>IFERROR(__xludf.DUMMYFUNCTION("""COMPUTED_VALUE"""),"Algorithms")</f>
        <v>Algorithms</v>
      </c>
      <c r="I724" s="20">
        <f>IFERROR(__xludf.DUMMYFUNCTION("""COMPUTED_VALUE"""),0.766)</f>
        <v>0.766</v>
      </c>
      <c r="J724" s="20">
        <f>IFERROR(__xludf.DUMMYFUNCTION("""COMPUTED_VALUE"""),723.0)</f>
        <v>723</v>
      </c>
      <c r="K724" s="20" t="b">
        <f>IFERROR(__xludf.DUMMYFUNCTION("""COMPUTED_VALUE"""),TRUE)</f>
        <v>1</v>
      </c>
      <c r="L724" s="20" t="str">
        <f>IFERROR(__xludf.DUMMYFUNCTION("""COMPUTED_VALUE"""),"Array;Two Pointers;Matrix;Simulation;")</f>
        <v>Array;Two Pointers;Matrix;Simulation;</v>
      </c>
      <c r="M724" s="20" t="b">
        <f>IFERROR(__xludf.DUMMYFUNCTION("""COMPUTED_VALUE"""),TRUE)</f>
        <v>1</v>
      </c>
      <c r="N724" s="20" t="b">
        <f>IFERROR(__xludf.DUMMYFUNCTION("""COMPUTED_VALUE"""),FALSE)</f>
        <v>0</v>
      </c>
      <c r="O724" s="20">
        <f>IFERROR(__xludf.DUMMYFUNCTION("""COMPUTED_VALUE"""),76.5506018558775)</f>
        <v>76.55060186</v>
      </c>
      <c r="P724" s="20">
        <f>IFERROR(__xludf.DUMMYFUNCTION("""COMPUTED_VALUE"""),61624.0)</f>
        <v>61624</v>
      </c>
      <c r="Q724" s="20">
        <f>IFERROR(__xludf.DUMMYFUNCTION("""COMPUTED_VALUE"""),80501.0)</f>
        <v>80501</v>
      </c>
    </row>
    <row r="725">
      <c r="A725" s="20">
        <f>IFERROR(__xludf.DUMMYFUNCTION("""COMPUTED_VALUE"""),724.0)</f>
        <v>724</v>
      </c>
      <c r="B725" s="20" t="str">
        <f>IFERROR(__xludf.DUMMYFUNCTION("""COMPUTED_VALUE"""),"Find Pivot Index")</f>
        <v>Find Pivot Index</v>
      </c>
      <c r="C725" s="20" t="str">
        <f>IFERROR(__xludf.DUMMYFUNCTION("""COMPUTED_VALUE"""),"find-pivot-index")</f>
        <v>find-pivot-index</v>
      </c>
      <c r="D725" s="20" t="b">
        <f>IFERROR(__xludf.DUMMYFUNCTION("""COMPUTED_VALUE"""),FALSE)</f>
        <v>0</v>
      </c>
      <c r="E725" s="20" t="str">
        <f>IFERROR(__xludf.DUMMYFUNCTION("""COMPUTED_VALUE"""),"Easy")</f>
        <v>Easy</v>
      </c>
      <c r="F725" s="20">
        <f>IFERROR(__xludf.DUMMYFUNCTION("""COMPUTED_VALUE"""),5815.0)</f>
        <v>5815</v>
      </c>
      <c r="G725" s="20">
        <f>IFERROR(__xludf.DUMMYFUNCTION("""COMPUTED_VALUE"""),612.0)</f>
        <v>612</v>
      </c>
      <c r="H725" s="20" t="str">
        <f>IFERROR(__xludf.DUMMYFUNCTION("""COMPUTED_VALUE"""),"Algorithms")</f>
        <v>Algorithms</v>
      </c>
      <c r="I725" s="20">
        <f>IFERROR(__xludf.DUMMYFUNCTION("""COMPUTED_VALUE"""),0.538)</f>
        <v>0.538</v>
      </c>
      <c r="J725" s="20">
        <f>IFERROR(__xludf.DUMMYFUNCTION("""COMPUTED_VALUE"""),724.0)</f>
        <v>724</v>
      </c>
      <c r="K725" s="20" t="b">
        <f>IFERROR(__xludf.DUMMYFUNCTION("""COMPUTED_VALUE"""),FALSE)</f>
        <v>0</v>
      </c>
      <c r="L725" s="20" t="str">
        <f>IFERROR(__xludf.DUMMYFUNCTION("""COMPUTED_VALUE"""),"Array;Prefix Sum;")</f>
        <v>Array;Prefix Sum;</v>
      </c>
      <c r="M725" s="20" t="b">
        <f>IFERROR(__xludf.DUMMYFUNCTION("""COMPUTED_VALUE"""),TRUE)</f>
        <v>1</v>
      </c>
      <c r="N725" s="20" t="b">
        <f>IFERROR(__xludf.DUMMYFUNCTION("""COMPUTED_VALUE"""),FALSE)</f>
        <v>0</v>
      </c>
      <c r="O725" s="20">
        <f>IFERROR(__xludf.DUMMYFUNCTION("""COMPUTED_VALUE"""),53.7670923677204)</f>
        <v>53.76709237</v>
      </c>
      <c r="P725" s="20">
        <f>IFERROR(__xludf.DUMMYFUNCTION("""COMPUTED_VALUE"""),660973.0)</f>
        <v>660973</v>
      </c>
      <c r="Q725" s="20">
        <f>IFERROR(__xludf.DUMMYFUNCTION("""COMPUTED_VALUE"""),1229346.0)</f>
        <v>1229346</v>
      </c>
    </row>
    <row r="726">
      <c r="A726" s="20">
        <f>IFERROR(__xludf.DUMMYFUNCTION("""COMPUTED_VALUE"""),725.0)</f>
        <v>725</v>
      </c>
      <c r="B726" s="20" t="str">
        <f>IFERROR(__xludf.DUMMYFUNCTION("""COMPUTED_VALUE"""),"Split Linked List in Parts")</f>
        <v>Split Linked List in Parts</v>
      </c>
      <c r="C726" s="20" t="str">
        <f>IFERROR(__xludf.DUMMYFUNCTION("""COMPUTED_VALUE"""),"split-linked-list-in-parts")</f>
        <v>split-linked-list-in-parts</v>
      </c>
      <c r="D726" s="20" t="b">
        <f>IFERROR(__xludf.DUMMYFUNCTION("""COMPUTED_VALUE"""),FALSE)</f>
        <v>0</v>
      </c>
      <c r="E726" s="20" t="str">
        <f>IFERROR(__xludf.DUMMYFUNCTION("""COMPUTED_VALUE"""),"Medium")</f>
        <v>Medium</v>
      </c>
      <c r="F726" s="20">
        <f>IFERROR(__xludf.DUMMYFUNCTION("""COMPUTED_VALUE"""),2228.0)</f>
        <v>2228</v>
      </c>
      <c r="G726" s="20">
        <f>IFERROR(__xludf.DUMMYFUNCTION("""COMPUTED_VALUE"""),218.0)</f>
        <v>218</v>
      </c>
      <c r="H726" s="20" t="str">
        <f>IFERROR(__xludf.DUMMYFUNCTION("""COMPUTED_VALUE"""),"Algorithms")</f>
        <v>Algorithms</v>
      </c>
      <c r="I726" s="20">
        <f>IFERROR(__xludf.DUMMYFUNCTION("""COMPUTED_VALUE"""),0.574)</f>
        <v>0.574</v>
      </c>
      <c r="J726" s="20">
        <f>IFERROR(__xludf.DUMMYFUNCTION("""COMPUTED_VALUE"""),725.0)</f>
        <v>725</v>
      </c>
      <c r="K726" s="20" t="b">
        <f>IFERROR(__xludf.DUMMYFUNCTION("""COMPUTED_VALUE"""),FALSE)</f>
        <v>0</v>
      </c>
      <c r="L726" s="20" t="str">
        <f>IFERROR(__xludf.DUMMYFUNCTION("""COMPUTED_VALUE"""),"Linked List;")</f>
        <v>Linked List;</v>
      </c>
      <c r="M726" s="20" t="b">
        <f>IFERROR(__xludf.DUMMYFUNCTION("""COMPUTED_VALUE"""),TRUE)</f>
        <v>1</v>
      </c>
      <c r="N726" s="20" t="b">
        <f>IFERROR(__xludf.DUMMYFUNCTION("""COMPUTED_VALUE"""),FALSE)</f>
        <v>0</v>
      </c>
      <c r="O726" s="20">
        <f>IFERROR(__xludf.DUMMYFUNCTION("""COMPUTED_VALUE"""),57.3562803726418)</f>
        <v>57.35628037</v>
      </c>
      <c r="P726" s="20">
        <f>IFERROR(__xludf.DUMMYFUNCTION("""COMPUTED_VALUE"""),108110.0)</f>
        <v>108110</v>
      </c>
      <c r="Q726" s="20">
        <f>IFERROR(__xludf.DUMMYFUNCTION("""COMPUTED_VALUE"""),188490.0)</f>
        <v>188490</v>
      </c>
    </row>
    <row r="727">
      <c r="A727" s="20">
        <f>IFERROR(__xludf.DUMMYFUNCTION("""COMPUTED_VALUE"""),726.0)</f>
        <v>726</v>
      </c>
      <c r="B727" s="20" t="str">
        <f>IFERROR(__xludf.DUMMYFUNCTION("""COMPUTED_VALUE"""),"Number of Atoms")</f>
        <v>Number of Atoms</v>
      </c>
      <c r="C727" s="20" t="str">
        <f>IFERROR(__xludf.DUMMYFUNCTION("""COMPUTED_VALUE"""),"number-of-atoms")</f>
        <v>number-of-atoms</v>
      </c>
      <c r="D727" s="20" t="b">
        <f>IFERROR(__xludf.DUMMYFUNCTION("""COMPUTED_VALUE"""),FALSE)</f>
        <v>0</v>
      </c>
      <c r="E727" s="20" t="str">
        <f>IFERROR(__xludf.DUMMYFUNCTION("""COMPUTED_VALUE"""),"Hard")</f>
        <v>Hard</v>
      </c>
      <c r="F727" s="20">
        <f>IFERROR(__xludf.DUMMYFUNCTION("""COMPUTED_VALUE"""),1098.0)</f>
        <v>1098</v>
      </c>
      <c r="G727" s="20">
        <f>IFERROR(__xludf.DUMMYFUNCTION("""COMPUTED_VALUE"""),270.0)</f>
        <v>270</v>
      </c>
      <c r="H727" s="20" t="str">
        <f>IFERROR(__xludf.DUMMYFUNCTION("""COMPUTED_VALUE"""),"Algorithms")</f>
        <v>Algorithms</v>
      </c>
      <c r="I727" s="20">
        <f>IFERROR(__xludf.DUMMYFUNCTION("""COMPUTED_VALUE"""),0.522)</f>
        <v>0.522</v>
      </c>
      <c r="J727" s="20">
        <f>IFERROR(__xludf.DUMMYFUNCTION("""COMPUTED_VALUE"""),726.0)</f>
        <v>726</v>
      </c>
      <c r="K727" s="20" t="b">
        <f>IFERROR(__xludf.DUMMYFUNCTION("""COMPUTED_VALUE"""),FALSE)</f>
        <v>0</v>
      </c>
      <c r="L727" s="20" t="str">
        <f>IFERROR(__xludf.DUMMYFUNCTION("""COMPUTED_VALUE"""),"Hash Table;String;Stack;Sorting;")</f>
        <v>Hash Table;String;Stack;Sorting;</v>
      </c>
      <c r="M727" s="20" t="b">
        <f>IFERROR(__xludf.DUMMYFUNCTION("""COMPUTED_VALUE"""),TRUE)</f>
        <v>1</v>
      </c>
      <c r="N727" s="20" t="b">
        <f>IFERROR(__xludf.DUMMYFUNCTION("""COMPUTED_VALUE"""),FALSE)</f>
        <v>0</v>
      </c>
      <c r="O727" s="20">
        <f>IFERROR(__xludf.DUMMYFUNCTION("""COMPUTED_VALUE"""),52.2383486369718)</f>
        <v>52.23834864</v>
      </c>
      <c r="P727" s="20">
        <f>IFERROR(__xludf.DUMMYFUNCTION("""COMPUTED_VALUE"""),51145.0)</f>
        <v>51145</v>
      </c>
      <c r="Q727" s="20">
        <f>IFERROR(__xludf.DUMMYFUNCTION("""COMPUTED_VALUE"""),97906.0)</f>
        <v>97906</v>
      </c>
    </row>
    <row r="728">
      <c r="A728" s="20">
        <f>IFERROR(__xludf.DUMMYFUNCTION("""COMPUTED_VALUE"""),727.0)</f>
        <v>727</v>
      </c>
      <c r="B728" s="20" t="str">
        <f>IFERROR(__xludf.DUMMYFUNCTION("""COMPUTED_VALUE"""),"Minimum Window Subsequence")</f>
        <v>Minimum Window Subsequence</v>
      </c>
      <c r="C728" s="20" t="str">
        <f>IFERROR(__xludf.DUMMYFUNCTION("""COMPUTED_VALUE"""),"minimum-window-subsequence")</f>
        <v>minimum-window-subsequence</v>
      </c>
      <c r="D728" s="20" t="b">
        <f>IFERROR(__xludf.DUMMYFUNCTION("""COMPUTED_VALUE"""),TRUE)</f>
        <v>1</v>
      </c>
      <c r="E728" s="20" t="str">
        <f>IFERROR(__xludf.DUMMYFUNCTION("""COMPUTED_VALUE"""),"Hard")</f>
        <v>Hard</v>
      </c>
      <c r="F728" s="20">
        <f>IFERROR(__xludf.DUMMYFUNCTION("""COMPUTED_VALUE"""),1334.0)</f>
        <v>1334</v>
      </c>
      <c r="G728" s="20">
        <f>IFERROR(__xludf.DUMMYFUNCTION("""COMPUTED_VALUE"""),81.0)</f>
        <v>81</v>
      </c>
      <c r="H728" s="20" t="str">
        <f>IFERROR(__xludf.DUMMYFUNCTION("""COMPUTED_VALUE"""),"Algorithms")</f>
        <v>Algorithms</v>
      </c>
      <c r="I728" s="20">
        <f>IFERROR(__xludf.DUMMYFUNCTION("""COMPUTED_VALUE"""),0.428)</f>
        <v>0.428</v>
      </c>
      <c r="J728" s="20">
        <f>IFERROR(__xludf.DUMMYFUNCTION("""COMPUTED_VALUE"""),727.0)</f>
        <v>727</v>
      </c>
      <c r="K728" s="20" t="b">
        <f>IFERROR(__xludf.DUMMYFUNCTION("""COMPUTED_VALUE"""),TRUE)</f>
        <v>1</v>
      </c>
      <c r="L728" s="20" t="str">
        <f>IFERROR(__xludf.DUMMYFUNCTION("""COMPUTED_VALUE"""),"String;Dynamic Programming;Sliding Window;")</f>
        <v>String;Dynamic Programming;Sliding Window;</v>
      </c>
      <c r="M728" s="20" t="b">
        <f>IFERROR(__xludf.DUMMYFUNCTION("""COMPUTED_VALUE"""),TRUE)</f>
        <v>1</v>
      </c>
      <c r="N728" s="20" t="b">
        <f>IFERROR(__xludf.DUMMYFUNCTION("""COMPUTED_VALUE"""),FALSE)</f>
        <v>0</v>
      </c>
      <c r="O728" s="20">
        <f>IFERROR(__xludf.DUMMYFUNCTION("""COMPUTED_VALUE"""),42.81410931418)</f>
        <v>42.81410931</v>
      </c>
      <c r="P728" s="20">
        <f>IFERROR(__xludf.DUMMYFUNCTION("""COMPUTED_VALUE"""),81724.0)</f>
        <v>81724</v>
      </c>
      <c r="Q728" s="20">
        <f>IFERROR(__xludf.DUMMYFUNCTION("""COMPUTED_VALUE"""),190881.0)</f>
        <v>190881</v>
      </c>
    </row>
    <row r="729">
      <c r="A729" s="20">
        <f>IFERROR(__xludf.DUMMYFUNCTION("""COMPUTED_VALUE"""),728.0)</f>
        <v>728</v>
      </c>
      <c r="B729" s="20" t="str">
        <f>IFERROR(__xludf.DUMMYFUNCTION("""COMPUTED_VALUE"""),"Self Dividing Numbers")</f>
        <v>Self Dividing Numbers</v>
      </c>
      <c r="C729" s="20" t="str">
        <f>IFERROR(__xludf.DUMMYFUNCTION("""COMPUTED_VALUE"""),"self-dividing-numbers")</f>
        <v>self-dividing-numbers</v>
      </c>
      <c r="D729" s="20" t="b">
        <f>IFERROR(__xludf.DUMMYFUNCTION("""COMPUTED_VALUE"""),FALSE)</f>
        <v>0</v>
      </c>
      <c r="E729" s="20" t="str">
        <f>IFERROR(__xludf.DUMMYFUNCTION("""COMPUTED_VALUE"""),"Easy")</f>
        <v>Easy</v>
      </c>
      <c r="F729" s="20">
        <f>IFERROR(__xludf.DUMMYFUNCTION("""COMPUTED_VALUE"""),1387.0)</f>
        <v>1387</v>
      </c>
      <c r="G729" s="20">
        <f>IFERROR(__xludf.DUMMYFUNCTION("""COMPUTED_VALUE"""),355.0)</f>
        <v>355</v>
      </c>
      <c r="H729" s="20" t="str">
        <f>IFERROR(__xludf.DUMMYFUNCTION("""COMPUTED_VALUE"""),"Algorithms")</f>
        <v>Algorithms</v>
      </c>
      <c r="I729" s="20">
        <f>IFERROR(__xludf.DUMMYFUNCTION("""COMPUTED_VALUE"""),0.777)</f>
        <v>0.777</v>
      </c>
      <c r="J729" s="20">
        <f>IFERROR(__xludf.DUMMYFUNCTION("""COMPUTED_VALUE"""),728.0)</f>
        <v>728</v>
      </c>
      <c r="K729" s="20" t="b">
        <f>IFERROR(__xludf.DUMMYFUNCTION("""COMPUTED_VALUE"""),FALSE)</f>
        <v>0</v>
      </c>
      <c r="L729" s="20" t="str">
        <f>IFERROR(__xludf.DUMMYFUNCTION("""COMPUTED_VALUE"""),"Math;")</f>
        <v>Math;</v>
      </c>
      <c r="M729" s="20" t="b">
        <f>IFERROR(__xludf.DUMMYFUNCTION("""COMPUTED_VALUE"""),TRUE)</f>
        <v>1</v>
      </c>
      <c r="N729" s="20" t="b">
        <f>IFERROR(__xludf.DUMMYFUNCTION("""COMPUTED_VALUE"""),FALSE)</f>
        <v>0</v>
      </c>
      <c r="O729" s="20">
        <f>IFERROR(__xludf.DUMMYFUNCTION("""COMPUTED_VALUE"""),77.7338582362462)</f>
        <v>77.73385824</v>
      </c>
      <c r="P729" s="20">
        <f>IFERROR(__xludf.DUMMYFUNCTION("""COMPUTED_VALUE"""),194492.0)</f>
        <v>194492</v>
      </c>
      <c r="Q729" s="20">
        <f>IFERROR(__xludf.DUMMYFUNCTION("""COMPUTED_VALUE"""),250203.0)</f>
        <v>250203</v>
      </c>
    </row>
    <row r="730">
      <c r="A730" s="20">
        <f>IFERROR(__xludf.DUMMYFUNCTION("""COMPUTED_VALUE"""),729.0)</f>
        <v>729</v>
      </c>
      <c r="B730" s="20" t="str">
        <f>IFERROR(__xludf.DUMMYFUNCTION("""COMPUTED_VALUE"""),"My Calendar I")</f>
        <v>My Calendar I</v>
      </c>
      <c r="C730" s="20" t="str">
        <f>IFERROR(__xludf.DUMMYFUNCTION("""COMPUTED_VALUE"""),"my-calendar-i")</f>
        <v>my-calendar-i</v>
      </c>
      <c r="D730" s="20" t="b">
        <f>IFERROR(__xludf.DUMMYFUNCTION("""COMPUTED_VALUE"""),FALSE)</f>
        <v>0</v>
      </c>
      <c r="E730" s="20" t="str">
        <f>IFERROR(__xludf.DUMMYFUNCTION("""COMPUTED_VALUE"""),"Medium")</f>
        <v>Medium</v>
      </c>
      <c r="F730" s="20">
        <f>IFERROR(__xludf.DUMMYFUNCTION("""COMPUTED_VALUE"""),3744.0)</f>
        <v>3744</v>
      </c>
      <c r="G730" s="20">
        <f>IFERROR(__xludf.DUMMYFUNCTION("""COMPUTED_VALUE"""),97.0)</f>
        <v>97</v>
      </c>
      <c r="H730" s="20" t="str">
        <f>IFERROR(__xludf.DUMMYFUNCTION("""COMPUTED_VALUE"""),"Algorithms")</f>
        <v>Algorithms</v>
      </c>
      <c r="I730" s="20">
        <f>IFERROR(__xludf.DUMMYFUNCTION("""COMPUTED_VALUE"""),0.571)</f>
        <v>0.571</v>
      </c>
      <c r="J730" s="20">
        <f>IFERROR(__xludf.DUMMYFUNCTION("""COMPUTED_VALUE"""),729.0)</f>
        <v>729</v>
      </c>
      <c r="K730" s="20" t="b">
        <f>IFERROR(__xludf.DUMMYFUNCTION("""COMPUTED_VALUE"""),FALSE)</f>
        <v>0</v>
      </c>
      <c r="L730" s="20" t="str">
        <f>IFERROR(__xludf.DUMMYFUNCTION("""COMPUTED_VALUE"""),"Binary Search;Design;Segment Tree;Ordered Set;")</f>
        <v>Binary Search;Design;Segment Tree;Ordered Set;</v>
      </c>
      <c r="M730" s="20" t="b">
        <f>IFERROR(__xludf.DUMMYFUNCTION("""COMPUTED_VALUE"""),TRUE)</f>
        <v>1</v>
      </c>
      <c r="N730" s="20" t="b">
        <f>IFERROR(__xludf.DUMMYFUNCTION("""COMPUTED_VALUE"""),FALSE)</f>
        <v>0</v>
      </c>
      <c r="O730" s="20">
        <f>IFERROR(__xludf.DUMMYFUNCTION("""COMPUTED_VALUE"""),57.0567023705656)</f>
        <v>57.05670237</v>
      </c>
      <c r="P730" s="20">
        <f>IFERROR(__xludf.DUMMYFUNCTION("""COMPUTED_VALUE"""),245884.0)</f>
        <v>245884</v>
      </c>
      <c r="Q730" s="20">
        <f>IFERROR(__xludf.DUMMYFUNCTION("""COMPUTED_VALUE"""),430940.0)</f>
        <v>430940</v>
      </c>
    </row>
    <row r="731">
      <c r="A731" s="20">
        <f>IFERROR(__xludf.DUMMYFUNCTION("""COMPUTED_VALUE"""),730.0)</f>
        <v>730</v>
      </c>
      <c r="B731" s="20" t="str">
        <f>IFERROR(__xludf.DUMMYFUNCTION("""COMPUTED_VALUE"""),"Count Different Palindromic Subsequences")</f>
        <v>Count Different Palindromic Subsequences</v>
      </c>
      <c r="C731" s="20" t="str">
        <f>IFERROR(__xludf.DUMMYFUNCTION("""COMPUTED_VALUE"""),"count-different-palindromic-subsequences")</f>
        <v>count-different-palindromic-subsequences</v>
      </c>
      <c r="D731" s="20" t="b">
        <f>IFERROR(__xludf.DUMMYFUNCTION("""COMPUTED_VALUE"""),FALSE)</f>
        <v>0</v>
      </c>
      <c r="E731" s="20" t="str">
        <f>IFERROR(__xludf.DUMMYFUNCTION("""COMPUTED_VALUE"""),"Hard")</f>
        <v>Hard</v>
      </c>
      <c r="F731" s="20">
        <f>IFERROR(__xludf.DUMMYFUNCTION("""COMPUTED_VALUE"""),1630.0)</f>
        <v>1630</v>
      </c>
      <c r="G731" s="20">
        <f>IFERROR(__xludf.DUMMYFUNCTION("""COMPUTED_VALUE"""),85.0)</f>
        <v>85</v>
      </c>
      <c r="H731" s="20" t="str">
        <f>IFERROR(__xludf.DUMMYFUNCTION("""COMPUTED_VALUE"""),"Algorithms")</f>
        <v>Algorithms</v>
      </c>
      <c r="I731" s="20">
        <f>IFERROR(__xludf.DUMMYFUNCTION("""COMPUTED_VALUE"""),0.447)</f>
        <v>0.447</v>
      </c>
      <c r="J731" s="20">
        <f>IFERROR(__xludf.DUMMYFUNCTION("""COMPUTED_VALUE"""),730.0)</f>
        <v>730</v>
      </c>
      <c r="K731" s="20" t="b">
        <f>IFERROR(__xludf.DUMMYFUNCTION("""COMPUTED_VALUE"""),FALSE)</f>
        <v>0</v>
      </c>
      <c r="L731" s="20" t="str">
        <f>IFERROR(__xludf.DUMMYFUNCTION("""COMPUTED_VALUE"""),"String;Dynamic Programming;")</f>
        <v>String;Dynamic Programming;</v>
      </c>
      <c r="M731" s="20" t="b">
        <f>IFERROR(__xludf.DUMMYFUNCTION("""COMPUTED_VALUE"""),FALSE)</f>
        <v>0</v>
      </c>
      <c r="N731" s="20" t="b">
        <f>IFERROR(__xludf.DUMMYFUNCTION("""COMPUTED_VALUE"""),FALSE)</f>
        <v>0</v>
      </c>
      <c r="O731" s="20">
        <f>IFERROR(__xludf.DUMMYFUNCTION("""COMPUTED_VALUE"""),44.6765489056915)</f>
        <v>44.67654891</v>
      </c>
      <c r="P731" s="20">
        <f>IFERROR(__xludf.DUMMYFUNCTION("""COMPUTED_VALUE"""),31375.0)</f>
        <v>31375</v>
      </c>
      <c r="Q731" s="20">
        <f>IFERROR(__xludf.DUMMYFUNCTION("""COMPUTED_VALUE"""),70227.0)</f>
        <v>70227</v>
      </c>
    </row>
    <row r="732">
      <c r="A732" s="20">
        <f>IFERROR(__xludf.DUMMYFUNCTION("""COMPUTED_VALUE"""),731.0)</f>
        <v>731</v>
      </c>
      <c r="B732" s="20" t="str">
        <f>IFERROR(__xludf.DUMMYFUNCTION("""COMPUTED_VALUE"""),"My Calendar II")</f>
        <v>My Calendar II</v>
      </c>
      <c r="C732" s="20" t="str">
        <f>IFERROR(__xludf.DUMMYFUNCTION("""COMPUTED_VALUE"""),"my-calendar-ii")</f>
        <v>my-calendar-ii</v>
      </c>
      <c r="D732" s="20" t="b">
        <f>IFERROR(__xludf.DUMMYFUNCTION("""COMPUTED_VALUE"""),FALSE)</f>
        <v>0</v>
      </c>
      <c r="E732" s="20" t="str">
        <f>IFERROR(__xludf.DUMMYFUNCTION("""COMPUTED_VALUE"""),"Medium")</f>
        <v>Medium</v>
      </c>
      <c r="F732" s="20">
        <f>IFERROR(__xludf.DUMMYFUNCTION("""COMPUTED_VALUE"""),1497.0)</f>
        <v>1497</v>
      </c>
      <c r="G732" s="20">
        <f>IFERROR(__xludf.DUMMYFUNCTION("""COMPUTED_VALUE"""),137.0)</f>
        <v>137</v>
      </c>
      <c r="H732" s="20" t="str">
        <f>IFERROR(__xludf.DUMMYFUNCTION("""COMPUTED_VALUE"""),"Algorithms")</f>
        <v>Algorithms</v>
      </c>
      <c r="I732" s="20">
        <f>IFERROR(__xludf.DUMMYFUNCTION("""COMPUTED_VALUE"""),0.549)</f>
        <v>0.549</v>
      </c>
      <c r="J732" s="20">
        <f>IFERROR(__xludf.DUMMYFUNCTION("""COMPUTED_VALUE"""),731.0)</f>
        <v>731</v>
      </c>
      <c r="K732" s="20" t="b">
        <f>IFERROR(__xludf.DUMMYFUNCTION("""COMPUTED_VALUE"""),FALSE)</f>
        <v>0</v>
      </c>
      <c r="L732" s="20" t="str">
        <f>IFERROR(__xludf.DUMMYFUNCTION("""COMPUTED_VALUE"""),"Binary Search;Design;Segment Tree;Ordered Set;")</f>
        <v>Binary Search;Design;Segment Tree;Ordered Set;</v>
      </c>
      <c r="M732" s="20" t="b">
        <f>IFERROR(__xludf.DUMMYFUNCTION("""COMPUTED_VALUE"""),TRUE)</f>
        <v>1</v>
      </c>
      <c r="N732" s="20" t="b">
        <f>IFERROR(__xludf.DUMMYFUNCTION("""COMPUTED_VALUE"""),FALSE)</f>
        <v>0</v>
      </c>
      <c r="O732" s="20">
        <f>IFERROR(__xludf.DUMMYFUNCTION("""COMPUTED_VALUE"""),54.8831002052198)</f>
        <v>54.88310021</v>
      </c>
      <c r="P732" s="20">
        <f>IFERROR(__xludf.DUMMYFUNCTION("""COMPUTED_VALUE"""),87184.0)</f>
        <v>87184</v>
      </c>
      <c r="Q732" s="20">
        <f>IFERROR(__xludf.DUMMYFUNCTION("""COMPUTED_VALUE"""),158853.0)</f>
        <v>158853</v>
      </c>
    </row>
    <row r="733">
      <c r="A733" s="20">
        <f>IFERROR(__xludf.DUMMYFUNCTION("""COMPUTED_VALUE"""),732.0)</f>
        <v>732</v>
      </c>
      <c r="B733" s="20" t="str">
        <f>IFERROR(__xludf.DUMMYFUNCTION("""COMPUTED_VALUE"""),"My Calendar III")</f>
        <v>My Calendar III</v>
      </c>
      <c r="C733" s="20" t="str">
        <f>IFERROR(__xludf.DUMMYFUNCTION("""COMPUTED_VALUE"""),"my-calendar-iii")</f>
        <v>my-calendar-iii</v>
      </c>
      <c r="D733" s="20" t="b">
        <f>IFERROR(__xludf.DUMMYFUNCTION("""COMPUTED_VALUE"""),FALSE)</f>
        <v>0</v>
      </c>
      <c r="E733" s="20" t="str">
        <f>IFERROR(__xludf.DUMMYFUNCTION("""COMPUTED_VALUE"""),"Hard")</f>
        <v>Hard</v>
      </c>
      <c r="F733" s="20">
        <f>IFERROR(__xludf.DUMMYFUNCTION("""COMPUTED_VALUE"""),1764.0)</f>
        <v>1764</v>
      </c>
      <c r="G733" s="20">
        <f>IFERROR(__xludf.DUMMYFUNCTION("""COMPUTED_VALUE"""),248.0)</f>
        <v>248</v>
      </c>
      <c r="H733" s="20" t="str">
        <f>IFERROR(__xludf.DUMMYFUNCTION("""COMPUTED_VALUE"""),"Algorithms")</f>
        <v>Algorithms</v>
      </c>
      <c r="I733" s="20">
        <f>IFERROR(__xludf.DUMMYFUNCTION("""COMPUTED_VALUE"""),0.716)</f>
        <v>0.716</v>
      </c>
      <c r="J733" s="20">
        <f>IFERROR(__xludf.DUMMYFUNCTION("""COMPUTED_VALUE"""),732.0)</f>
        <v>732</v>
      </c>
      <c r="K733" s="20" t="b">
        <f>IFERROR(__xludf.DUMMYFUNCTION("""COMPUTED_VALUE"""),FALSE)</f>
        <v>0</v>
      </c>
      <c r="L733" s="20" t="str">
        <f>IFERROR(__xludf.DUMMYFUNCTION("""COMPUTED_VALUE"""),"Binary Search;Design;Segment Tree;Ordered Set;")</f>
        <v>Binary Search;Design;Segment Tree;Ordered Set;</v>
      </c>
      <c r="M733" s="20" t="b">
        <f>IFERROR(__xludf.DUMMYFUNCTION("""COMPUTED_VALUE"""),TRUE)</f>
        <v>1</v>
      </c>
      <c r="N733" s="20" t="b">
        <f>IFERROR(__xludf.DUMMYFUNCTION("""COMPUTED_VALUE"""),FALSE)</f>
        <v>0</v>
      </c>
      <c r="O733" s="20">
        <f>IFERROR(__xludf.DUMMYFUNCTION("""COMPUTED_VALUE"""),71.6008723909292)</f>
        <v>71.60087239</v>
      </c>
      <c r="P733" s="20">
        <f>IFERROR(__xludf.DUMMYFUNCTION("""COMPUTED_VALUE"""),81746.0)</f>
        <v>81746</v>
      </c>
      <c r="Q733" s="20">
        <f>IFERROR(__xludf.DUMMYFUNCTION("""COMPUTED_VALUE"""),114169.0)</f>
        <v>114169</v>
      </c>
    </row>
    <row r="734">
      <c r="A734" s="20">
        <f>IFERROR(__xludf.DUMMYFUNCTION("""COMPUTED_VALUE"""),733.0)</f>
        <v>733</v>
      </c>
      <c r="B734" s="20" t="str">
        <f>IFERROR(__xludf.DUMMYFUNCTION("""COMPUTED_VALUE"""),"Flood Fill")</f>
        <v>Flood Fill</v>
      </c>
      <c r="C734" s="20" t="str">
        <f>IFERROR(__xludf.DUMMYFUNCTION("""COMPUTED_VALUE"""),"flood-fill")</f>
        <v>flood-fill</v>
      </c>
      <c r="D734" s="20" t="b">
        <f>IFERROR(__xludf.DUMMYFUNCTION("""COMPUTED_VALUE"""),FALSE)</f>
        <v>0</v>
      </c>
      <c r="E734" s="20" t="str">
        <f>IFERROR(__xludf.DUMMYFUNCTION("""COMPUTED_VALUE"""),"Easy")</f>
        <v>Easy</v>
      </c>
      <c r="F734" s="20">
        <f>IFERROR(__xludf.DUMMYFUNCTION("""COMPUTED_VALUE"""),6274.0)</f>
        <v>6274</v>
      </c>
      <c r="G734" s="20">
        <f>IFERROR(__xludf.DUMMYFUNCTION("""COMPUTED_VALUE"""),601.0)</f>
        <v>601</v>
      </c>
      <c r="H734" s="20" t="str">
        <f>IFERROR(__xludf.DUMMYFUNCTION("""COMPUTED_VALUE"""),"Algorithms")</f>
        <v>Algorithms</v>
      </c>
      <c r="I734" s="20">
        <f>IFERROR(__xludf.DUMMYFUNCTION("""COMPUTED_VALUE"""),0.611)</f>
        <v>0.611</v>
      </c>
      <c r="J734" s="20">
        <f>IFERROR(__xludf.DUMMYFUNCTION("""COMPUTED_VALUE"""),733.0)</f>
        <v>733</v>
      </c>
      <c r="K734" s="20" t="b">
        <f>IFERROR(__xludf.DUMMYFUNCTION("""COMPUTED_VALUE"""),FALSE)</f>
        <v>0</v>
      </c>
      <c r="L734" s="20" t="str">
        <f>IFERROR(__xludf.DUMMYFUNCTION("""COMPUTED_VALUE"""),"Array;Depth-First Search;Breadth-First Search;Matrix;")</f>
        <v>Array;Depth-First Search;Breadth-First Search;Matrix;</v>
      </c>
      <c r="M734" s="20" t="b">
        <f>IFERROR(__xludf.DUMMYFUNCTION("""COMPUTED_VALUE"""),TRUE)</f>
        <v>1</v>
      </c>
      <c r="N734" s="20" t="b">
        <f>IFERROR(__xludf.DUMMYFUNCTION("""COMPUTED_VALUE"""),FALSE)</f>
        <v>0</v>
      </c>
      <c r="O734" s="20">
        <f>IFERROR(__xludf.DUMMYFUNCTION("""COMPUTED_VALUE"""),61.0682615252339)</f>
        <v>61.06826153</v>
      </c>
      <c r="P734" s="20">
        <f>IFERROR(__xludf.DUMMYFUNCTION("""COMPUTED_VALUE"""),629285.0)</f>
        <v>629285</v>
      </c>
      <c r="Q734" s="20">
        <f>IFERROR(__xludf.DUMMYFUNCTION("""COMPUTED_VALUE"""),1030465.0)</f>
        <v>1030465</v>
      </c>
    </row>
    <row r="735">
      <c r="A735" s="20">
        <f>IFERROR(__xludf.DUMMYFUNCTION("""COMPUTED_VALUE"""),734.0)</f>
        <v>734</v>
      </c>
      <c r="B735" s="20" t="str">
        <f>IFERROR(__xludf.DUMMYFUNCTION("""COMPUTED_VALUE"""),"Sentence Similarity")</f>
        <v>Sentence Similarity</v>
      </c>
      <c r="C735" s="20" t="str">
        <f>IFERROR(__xludf.DUMMYFUNCTION("""COMPUTED_VALUE"""),"sentence-similarity")</f>
        <v>sentence-similarity</v>
      </c>
      <c r="D735" s="20" t="b">
        <f>IFERROR(__xludf.DUMMYFUNCTION("""COMPUTED_VALUE"""),TRUE)</f>
        <v>1</v>
      </c>
      <c r="E735" s="20" t="str">
        <f>IFERROR(__xludf.DUMMYFUNCTION("""COMPUTED_VALUE"""),"Easy")</f>
        <v>Easy</v>
      </c>
      <c r="F735" s="20">
        <f>IFERROR(__xludf.DUMMYFUNCTION("""COMPUTED_VALUE"""),312.0)</f>
        <v>312</v>
      </c>
      <c r="G735" s="20">
        <f>IFERROR(__xludf.DUMMYFUNCTION("""COMPUTED_VALUE"""),483.0)</f>
        <v>483</v>
      </c>
      <c r="H735" s="20" t="str">
        <f>IFERROR(__xludf.DUMMYFUNCTION("""COMPUTED_VALUE"""),"Algorithms")</f>
        <v>Algorithms</v>
      </c>
      <c r="I735" s="20">
        <f>IFERROR(__xludf.DUMMYFUNCTION("""COMPUTED_VALUE"""),0.431)</f>
        <v>0.431</v>
      </c>
      <c r="J735" s="20">
        <f>IFERROR(__xludf.DUMMYFUNCTION("""COMPUTED_VALUE"""),734.0)</f>
        <v>734</v>
      </c>
      <c r="K735" s="20" t="b">
        <f>IFERROR(__xludf.DUMMYFUNCTION("""COMPUTED_VALUE"""),TRUE)</f>
        <v>1</v>
      </c>
      <c r="L735" s="20" t="str">
        <f>IFERROR(__xludf.DUMMYFUNCTION("""COMPUTED_VALUE"""),"Array;Hash Table;String;")</f>
        <v>Array;Hash Table;String;</v>
      </c>
      <c r="M735" s="20" t="b">
        <f>IFERROR(__xludf.DUMMYFUNCTION("""COMPUTED_VALUE"""),TRUE)</f>
        <v>1</v>
      </c>
      <c r="N735" s="20" t="b">
        <f>IFERROR(__xludf.DUMMYFUNCTION("""COMPUTED_VALUE"""),FALSE)</f>
        <v>0</v>
      </c>
      <c r="O735" s="20">
        <f>IFERROR(__xludf.DUMMYFUNCTION("""COMPUTED_VALUE"""),43.0864001271759)</f>
        <v>43.08640013</v>
      </c>
      <c r="P735" s="20">
        <f>IFERROR(__xludf.DUMMYFUNCTION("""COMPUTED_VALUE"""),54207.0)</f>
        <v>54207</v>
      </c>
      <c r="Q735" s="20">
        <f>IFERROR(__xludf.DUMMYFUNCTION("""COMPUTED_VALUE"""),125810.0)</f>
        <v>125810</v>
      </c>
    </row>
    <row r="736">
      <c r="A736" s="20">
        <f>IFERROR(__xludf.DUMMYFUNCTION("""COMPUTED_VALUE"""),735.0)</f>
        <v>735</v>
      </c>
      <c r="B736" s="20" t="str">
        <f>IFERROR(__xludf.DUMMYFUNCTION("""COMPUTED_VALUE"""),"Asteroid Collision")</f>
        <v>Asteroid Collision</v>
      </c>
      <c r="C736" s="20" t="str">
        <f>IFERROR(__xludf.DUMMYFUNCTION("""COMPUTED_VALUE"""),"asteroid-collision")</f>
        <v>asteroid-collision</v>
      </c>
      <c r="D736" s="20" t="b">
        <f>IFERROR(__xludf.DUMMYFUNCTION("""COMPUTED_VALUE"""),FALSE)</f>
        <v>0</v>
      </c>
      <c r="E736" s="20" t="str">
        <f>IFERROR(__xludf.DUMMYFUNCTION("""COMPUTED_VALUE"""),"Medium")</f>
        <v>Medium</v>
      </c>
      <c r="F736" s="20">
        <f>IFERROR(__xludf.DUMMYFUNCTION("""COMPUTED_VALUE"""),4497.0)</f>
        <v>4497</v>
      </c>
      <c r="G736" s="20">
        <f>IFERROR(__xludf.DUMMYFUNCTION("""COMPUTED_VALUE"""),390.0)</f>
        <v>390</v>
      </c>
      <c r="H736" s="20" t="str">
        <f>IFERROR(__xludf.DUMMYFUNCTION("""COMPUTED_VALUE"""),"Algorithms")</f>
        <v>Algorithms</v>
      </c>
      <c r="I736" s="20">
        <f>IFERROR(__xludf.DUMMYFUNCTION("""COMPUTED_VALUE"""),0.444)</f>
        <v>0.444</v>
      </c>
      <c r="J736" s="20">
        <f>IFERROR(__xludf.DUMMYFUNCTION("""COMPUTED_VALUE"""),735.0)</f>
        <v>735</v>
      </c>
      <c r="K736" s="20" t="b">
        <f>IFERROR(__xludf.DUMMYFUNCTION("""COMPUTED_VALUE"""),FALSE)</f>
        <v>0</v>
      </c>
      <c r="L736" s="20" t="str">
        <f>IFERROR(__xludf.DUMMYFUNCTION("""COMPUTED_VALUE"""),"Array;Stack;")</f>
        <v>Array;Stack;</v>
      </c>
      <c r="M736" s="20" t="b">
        <f>IFERROR(__xludf.DUMMYFUNCTION("""COMPUTED_VALUE"""),TRUE)</f>
        <v>1</v>
      </c>
      <c r="N736" s="20" t="b">
        <f>IFERROR(__xludf.DUMMYFUNCTION("""COMPUTED_VALUE"""),FALSE)</f>
        <v>0</v>
      </c>
      <c r="O736" s="20">
        <f>IFERROR(__xludf.DUMMYFUNCTION("""COMPUTED_VALUE"""),44.3853761291013)</f>
        <v>44.38537613</v>
      </c>
      <c r="P736" s="20">
        <f>IFERROR(__xludf.DUMMYFUNCTION("""COMPUTED_VALUE"""),248637.0)</f>
        <v>248637</v>
      </c>
      <c r="Q736" s="20">
        <f>IFERROR(__xludf.DUMMYFUNCTION("""COMPUTED_VALUE"""),560176.0)</f>
        <v>560176</v>
      </c>
    </row>
    <row r="737">
      <c r="A737" s="20">
        <f>IFERROR(__xludf.DUMMYFUNCTION("""COMPUTED_VALUE"""),736.0)</f>
        <v>736</v>
      </c>
      <c r="B737" s="20" t="str">
        <f>IFERROR(__xludf.DUMMYFUNCTION("""COMPUTED_VALUE"""),"Parse Lisp Expression")</f>
        <v>Parse Lisp Expression</v>
      </c>
      <c r="C737" s="20" t="str">
        <f>IFERROR(__xludf.DUMMYFUNCTION("""COMPUTED_VALUE"""),"parse-lisp-expression")</f>
        <v>parse-lisp-expression</v>
      </c>
      <c r="D737" s="20" t="b">
        <f>IFERROR(__xludf.DUMMYFUNCTION("""COMPUTED_VALUE"""),FALSE)</f>
        <v>0</v>
      </c>
      <c r="E737" s="20" t="str">
        <f>IFERROR(__xludf.DUMMYFUNCTION("""COMPUTED_VALUE"""),"Hard")</f>
        <v>Hard</v>
      </c>
      <c r="F737" s="20">
        <f>IFERROR(__xludf.DUMMYFUNCTION("""COMPUTED_VALUE"""),421.0)</f>
        <v>421</v>
      </c>
      <c r="G737" s="20">
        <f>IFERROR(__xludf.DUMMYFUNCTION("""COMPUTED_VALUE"""),327.0)</f>
        <v>327</v>
      </c>
      <c r="H737" s="20" t="str">
        <f>IFERROR(__xludf.DUMMYFUNCTION("""COMPUTED_VALUE"""),"Algorithms")</f>
        <v>Algorithms</v>
      </c>
      <c r="I737" s="20">
        <f>IFERROR(__xludf.DUMMYFUNCTION("""COMPUTED_VALUE"""),0.516)</f>
        <v>0.516</v>
      </c>
      <c r="J737" s="20">
        <f>IFERROR(__xludf.DUMMYFUNCTION("""COMPUTED_VALUE"""),736.0)</f>
        <v>736</v>
      </c>
      <c r="K737" s="20" t="b">
        <f>IFERROR(__xludf.DUMMYFUNCTION("""COMPUTED_VALUE"""),FALSE)</f>
        <v>0</v>
      </c>
      <c r="L737" s="20" t="str">
        <f>IFERROR(__xludf.DUMMYFUNCTION("""COMPUTED_VALUE"""),"Hash Table;String;Stack;Recursion;")</f>
        <v>Hash Table;String;Stack;Recursion;</v>
      </c>
      <c r="M737" s="20" t="b">
        <f>IFERROR(__xludf.DUMMYFUNCTION("""COMPUTED_VALUE"""),FALSE)</f>
        <v>0</v>
      </c>
      <c r="N737" s="20" t="b">
        <f>IFERROR(__xludf.DUMMYFUNCTION("""COMPUTED_VALUE"""),FALSE)</f>
        <v>0</v>
      </c>
      <c r="O737" s="20">
        <f>IFERROR(__xludf.DUMMYFUNCTION("""COMPUTED_VALUE"""),51.5714583550505)</f>
        <v>51.57145836</v>
      </c>
      <c r="P737" s="20">
        <f>IFERROR(__xludf.DUMMYFUNCTION("""COMPUTED_VALUE"""),19789.0)</f>
        <v>19789</v>
      </c>
      <c r="Q737" s="20">
        <f>IFERROR(__xludf.DUMMYFUNCTION("""COMPUTED_VALUE"""),38372.0)</f>
        <v>38372</v>
      </c>
    </row>
    <row r="738">
      <c r="A738" s="20">
        <f>IFERROR(__xludf.DUMMYFUNCTION("""COMPUTED_VALUE"""),737.0)</f>
        <v>737</v>
      </c>
      <c r="B738" s="20" t="str">
        <f>IFERROR(__xludf.DUMMYFUNCTION("""COMPUTED_VALUE"""),"Sentence Similarity II")</f>
        <v>Sentence Similarity II</v>
      </c>
      <c r="C738" s="20" t="str">
        <f>IFERROR(__xludf.DUMMYFUNCTION("""COMPUTED_VALUE"""),"sentence-similarity-ii")</f>
        <v>sentence-similarity-ii</v>
      </c>
      <c r="D738" s="20" t="b">
        <f>IFERROR(__xludf.DUMMYFUNCTION("""COMPUTED_VALUE"""),TRUE)</f>
        <v>1</v>
      </c>
      <c r="E738" s="20" t="str">
        <f>IFERROR(__xludf.DUMMYFUNCTION("""COMPUTED_VALUE"""),"Medium")</f>
        <v>Medium</v>
      </c>
      <c r="F738" s="20">
        <f>IFERROR(__xludf.DUMMYFUNCTION("""COMPUTED_VALUE"""),774.0)</f>
        <v>774</v>
      </c>
      <c r="G738" s="20">
        <f>IFERROR(__xludf.DUMMYFUNCTION("""COMPUTED_VALUE"""),43.0)</f>
        <v>43</v>
      </c>
      <c r="H738" s="20" t="str">
        <f>IFERROR(__xludf.DUMMYFUNCTION("""COMPUTED_VALUE"""),"Algorithms")</f>
        <v>Algorithms</v>
      </c>
      <c r="I738" s="20">
        <f>IFERROR(__xludf.DUMMYFUNCTION("""COMPUTED_VALUE"""),0.488)</f>
        <v>0.488</v>
      </c>
      <c r="J738" s="20">
        <f>IFERROR(__xludf.DUMMYFUNCTION("""COMPUTED_VALUE"""),737.0)</f>
        <v>737</v>
      </c>
      <c r="K738" s="20" t="b">
        <f>IFERROR(__xludf.DUMMYFUNCTION("""COMPUTED_VALUE"""),TRUE)</f>
        <v>1</v>
      </c>
      <c r="L738" s="20" t="str">
        <f>IFERROR(__xludf.DUMMYFUNCTION("""COMPUTED_VALUE"""),"Array;Hash Table;String;Depth-First Search;Breadth-First Search;Union Find;")</f>
        <v>Array;Hash Table;String;Depth-First Search;Breadth-First Search;Union Find;</v>
      </c>
      <c r="M738" s="20" t="b">
        <f>IFERROR(__xludf.DUMMYFUNCTION("""COMPUTED_VALUE"""),TRUE)</f>
        <v>1</v>
      </c>
      <c r="N738" s="20" t="b">
        <f>IFERROR(__xludf.DUMMYFUNCTION("""COMPUTED_VALUE"""),FALSE)</f>
        <v>0</v>
      </c>
      <c r="O738" s="20">
        <f>IFERROR(__xludf.DUMMYFUNCTION("""COMPUTED_VALUE"""),48.8424532829533)</f>
        <v>48.84245328</v>
      </c>
      <c r="P738" s="20">
        <f>IFERROR(__xludf.DUMMYFUNCTION("""COMPUTED_VALUE"""),64115.0)</f>
        <v>64115</v>
      </c>
      <c r="Q738" s="20">
        <f>IFERROR(__xludf.DUMMYFUNCTION("""COMPUTED_VALUE"""),131265.0)</f>
        <v>131265</v>
      </c>
    </row>
    <row r="739">
      <c r="A739" s="20">
        <f>IFERROR(__xludf.DUMMYFUNCTION("""COMPUTED_VALUE"""),738.0)</f>
        <v>738</v>
      </c>
      <c r="B739" s="20" t="str">
        <f>IFERROR(__xludf.DUMMYFUNCTION("""COMPUTED_VALUE"""),"Monotone Increasing Digits")</f>
        <v>Monotone Increasing Digits</v>
      </c>
      <c r="C739" s="20" t="str">
        <f>IFERROR(__xludf.DUMMYFUNCTION("""COMPUTED_VALUE"""),"monotone-increasing-digits")</f>
        <v>monotone-increasing-digits</v>
      </c>
      <c r="D739" s="20" t="b">
        <f>IFERROR(__xludf.DUMMYFUNCTION("""COMPUTED_VALUE"""),FALSE)</f>
        <v>0</v>
      </c>
      <c r="E739" s="20" t="str">
        <f>IFERROR(__xludf.DUMMYFUNCTION("""COMPUTED_VALUE"""),"Medium")</f>
        <v>Medium</v>
      </c>
      <c r="F739" s="20">
        <f>IFERROR(__xludf.DUMMYFUNCTION("""COMPUTED_VALUE"""),1106.0)</f>
        <v>1106</v>
      </c>
      <c r="G739" s="20">
        <f>IFERROR(__xludf.DUMMYFUNCTION("""COMPUTED_VALUE"""),92.0)</f>
        <v>92</v>
      </c>
      <c r="H739" s="20" t="str">
        <f>IFERROR(__xludf.DUMMYFUNCTION("""COMPUTED_VALUE"""),"Algorithms")</f>
        <v>Algorithms</v>
      </c>
      <c r="I739" s="20">
        <f>IFERROR(__xludf.DUMMYFUNCTION("""COMPUTED_VALUE"""),0.471)</f>
        <v>0.471</v>
      </c>
      <c r="J739" s="20">
        <f>IFERROR(__xludf.DUMMYFUNCTION("""COMPUTED_VALUE"""),738.0)</f>
        <v>738</v>
      </c>
      <c r="K739" s="20" t="b">
        <f>IFERROR(__xludf.DUMMYFUNCTION("""COMPUTED_VALUE"""),FALSE)</f>
        <v>0</v>
      </c>
      <c r="L739" s="20" t="str">
        <f>IFERROR(__xludf.DUMMYFUNCTION("""COMPUTED_VALUE"""),"Math;Greedy;")</f>
        <v>Math;Greedy;</v>
      </c>
      <c r="M739" s="20" t="b">
        <f>IFERROR(__xludf.DUMMYFUNCTION("""COMPUTED_VALUE"""),FALSE)</f>
        <v>0</v>
      </c>
      <c r="N739" s="20" t="b">
        <f>IFERROR(__xludf.DUMMYFUNCTION("""COMPUTED_VALUE"""),FALSE)</f>
        <v>0</v>
      </c>
      <c r="O739" s="20">
        <f>IFERROR(__xludf.DUMMYFUNCTION("""COMPUTED_VALUE"""),47.1444703921762)</f>
        <v>47.14447039</v>
      </c>
      <c r="P739" s="20">
        <f>IFERROR(__xludf.DUMMYFUNCTION("""COMPUTED_VALUE"""),43000.0)</f>
        <v>43000</v>
      </c>
      <c r="Q739" s="20">
        <f>IFERROR(__xludf.DUMMYFUNCTION("""COMPUTED_VALUE"""),91209.0)</f>
        <v>91209</v>
      </c>
    </row>
    <row r="740">
      <c r="A740" s="20">
        <f>IFERROR(__xludf.DUMMYFUNCTION("""COMPUTED_VALUE"""),739.0)</f>
        <v>739</v>
      </c>
      <c r="B740" s="20" t="str">
        <f>IFERROR(__xludf.DUMMYFUNCTION("""COMPUTED_VALUE"""),"Daily Temperatures")</f>
        <v>Daily Temperatures</v>
      </c>
      <c r="C740" s="20" t="str">
        <f>IFERROR(__xludf.DUMMYFUNCTION("""COMPUTED_VALUE"""),"daily-temperatures")</f>
        <v>daily-temperatures</v>
      </c>
      <c r="D740" s="20" t="b">
        <f>IFERROR(__xludf.DUMMYFUNCTION("""COMPUTED_VALUE"""),FALSE)</f>
        <v>0</v>
      </c>
      <c r="E740" s="20" t="str">
        <f>IFERROR(__xludf.DUMMYFUNCTION("""COMPUTED_VALUE"""),"Medium")</f>
        <v>Medium</v>
      </c>
      <c r="F740" s="20">
        <f>IFERROR(__xludf.DUMMYFUNCTION("""COMPUTED_VALUE"""),9853.0)</f>
        <v>9853</v>
      </c>
      <c r="G740" s="20">
        <f>IFERROR(__xludf.DUMMYFUNCTION("""COMPUTED_VALUE"""),227.0)</f>
        <v>227</v>
      </c>
      <c r="H740" s="20" t="str">
        <f>IFERROR(__xludf.DUMMYFUNCTION("""COMPUTED_VALUE"""),"Algorithms")</f>
        <v>Algorithms</v>
      </c>
      <c r="I740" s="20">
        <f>IFERROR(__xludf.DUMMYFUNCTION("""COMPUTED_VALUE"""),0.664)</f>
        <v>0.664</v>
      </c>
      <c r="J740" s="20">
        <f>IFERROR(__xludf.DUMMYFUNCTION("""COMPUTED_VALUE"""),739.0)</f>
        <v>739</v>
      </c>
      <c r="K740" s="20" t="b">
        <f>IFERROR(__xludf.DUMMYFUNCTION("""COMPUTED_VALUE"""),FALSE)</f>
        <v>0</v>
      </c>
      <c r="L740" s="20" t="str">
        <f>IFERROR(__xludf.DUMMYFUNCTION("""COMPUTED_VALUE"""),"Array;Stack;Monotonic Stack;")</f>
        <v>Array;Stack;Monotonic Stack;</v>
      </c>
      <c r="M740" s="20" t="b">
        <f>IFERROR(__xludf.DUMMYFUNCTION("""COMPUTED_VALUE"""),TRUE)</f>
        <v>1</v>
      </c>
      <c r="N740" s="20" t="b">
        <f>IFERROR(__xludf.DUMMYFUNCTION("""COMPUTED_VALUE"""),FALSE)</f>
        <v>0</v>
      </c>
      <c r="O740" s="20">
        <f>IFERROR(__xludf.DUMMYFUNCTION("""COMPUTED_VALUE"""),66.3905587524065)</f>
        <v>66.39055875</v>
      </c>
      <c r="P740" s="20">
        <f>IFERROR(__xludf.DUMMYFUNCTION("""COMPUTED_VALUE"""),557601.0)</f>
        <v>557601</v>
      </c>
      <c r="Q740" s="20">
        <f>IFERROR(__xludf.DUMMYFUNCTION("""COMPUTED_VALUE"""),839879.0)</f>
        <v>839879</v>
      </c>
    </row>
    <row r="741">
      <c r="A741" s="20">
        <f>IFERROR(__xludf.DUMMYFUNCTION("""COMPUTED_VALUE"""),740.0)</f>
        <v>740</v>
      </c>
      <c r="B741" s="20" t="str">
        <f>IFERROR(__xludf.DUMMYFUNCTION("""COMPUTED_VALUE"""),"Delete and Earn")</f>
        <v>Delete and Earn</v>
      </c>
      <c r="C741" s="20" t="str">
        <f>IFERROR(__xludf.DUMMYFUNCTION("""COMPUTED_VALUE"""),"delete-and-earn")</f>
        <v>delete-and-earn</v>
      </c>
      <c r="D741" s="20" t="b">
        <f>IFERROR(__xludf.DUMMYFUNCTION("""COMPUTED_VALUE"""),FALSE)</f>
        <v>0</v>
      </c>
      <c r="E741" s="20" t="str">
        <f>IFERROR(__xludf.DUMMYFUNCTION("""COMPUTED_VALUE"""),"Medium")</f>
        <v>Medium</v>
      </c>
      <c r="F741" s="20">
        <f>IFERROR(__xludf.DUMMYFUNCTION("""COMPUTED_VALUE"""),5988.0)</f>
        <v>5988</v>
      </c>
      <c r="G741" s="20">
        <f>IFERROR(__xludf.DUMMYFUNCTION("""COMPUTED_VALUE"""),319.0)</f>
        <v>319</v>
      </c>
      <c r="H741" s="20" t="str">
        <f>IFERROR(__xludf.DUMMYFUNCTION("""COMPUTED_VALUE"""),"Algorithms")</f>
        <v>Algorithms</v>
      </c>
      <c r="I741" s="20">
        <f>IFERROR(__xludf.DUMMYFUNCTION("""COMPUTED_VALUE"""),0.572)</f>
        <v>0.572</v>
      </c>
      <c r="J741" s="20">
        <f>IFERROR(__xludf.DUMMYFUNCTION("""COMPUTED_VALUE"""),740.0)</f>
        <v>740</v>
      </c>
      <c r="K741" s="20" t="b">
        <f>IFERROR(__xludf.DUMMYFUNCTION("""COMPUTED_VALUE"""),FALSE)</f>
        <v>0</v>
      </c>
      <c r="L741" s="20" t="str">
        <f>IFERROR(__xludf.DUMMYFUNCTION("""COMPUTED_VALUE"""),"Array;Hash Table;Dynamic Programming;")</f>
        <v>Array;Hash Table;Dynamic Programming;</v>
      </c>
      <c r="M741" s="20" t="b">
        <f>IFERROR(__xludf.DUMMYFUNCTION("""COMPUTED_VALUE"""),TRUE)</f>
        <v>1</v>
      </c>
      <c r="N741" s="20" t="b">
        <f>IFERROR(__xludf.DUMMYFUNCTION("""COMPUTED_VALUE"""),FALSE)</f>
        <v>0</v>
      </c>
      <c r="O741" s="20">
        <f>IFERROR(__xludf.DUMMYFUNCTION("""COMPUTED_VALUE"""),57.2480736747113)</f>
        <v>57.24807367</v>
      </c>
      <c r="P741" s="20">
        <f>IFERROR(__xludf.DUMMYFUNCTION("""COMPUTED_VALUE"""),247407.0)</f>
        <v>247407</v>
      </c>
      <c r="Q741" s="20">
        <f>IFERROR(__xludf.DUMMYFUNCTION("""COMPUTED_VALUE"""),432163.0)</f>
        <v>432163</v>
      </c>
    </row>
    <row r="742">
      <c r="A742" s="20">
        <f>IFERROR(__xludf.DUMMYFUNCTION("""COMPUTED_VALUE"""),741.0)</f>
        <v>741</v>
      </c>
      <c r="B742" s="20" t="str">
        <f>IFERROR(__xludf.DUMMYFUNCTION("""COMPUTED_VALUE"""),"Cherry Pickup")</f>
        <v>Cherry Pickup</v>
      </c>
      <c r="C742" s="20" t="str">
        <f>IFERROR(__xludf.DUMMYFUNCTION("""COMPUTED_VALUE"""),"cherry-pickup")</f>
        <v>cherry-pickup</v>
      </c>
      <c r="D742" s="20" t="b">
        <f>IFERROR(__xludf.DUMMYFUNCTION("""COMPUTED_VALUE"""),FALSE)</f>
        <v>0</v>
      </c>
      <c r="E742" s="20" t="str">
        <f>IFERROR(__xludf.DUMMYFUNCTION("""COMPUTED_VALUE"""),"Hard")</f>
        <v>Hard</v>
      </c>
      <c r="F742" s="20">
        <f>IFERROR(__xludf.DUMMYFUNCTION("""COMPUTED_VALUE"""),3398.0)</f>
        <v>3398</v>
      </c>
      <c r="G742" s="20">
        <f>IFERROR(__xludf.DUMMYFUNCTION("""COMPUTED_VALUE"""),133.0)</f>
        <v>133</v>
      </c>
      <c r="H742" s="20" t="str">
        <f>IFERROR(__xludf.DUMMYFUNCTION("""COMPUTED_VALUE"""),"Algorithms")</f>
        <v>Algorithms</v>
      </c>
      <c r="I742" s="20">
        <f>IFERROR(__xludf.DUMMYFUNCTION("""COMPUTED_VALUE"""),0.363)</f>
        <v>0.363</v>
      </c>
      <c r="J742" s="20">
        <f>IFERROR(__xludf.DUMMYFUNCTION("""COMPUTED_VALUE"""),741.0)</f>
        <v>741</v>
      </c>
      <c r="K742" s="20" t="b">
        <f>IFERROR(__xludf.DUMMYFUNCTION("""COMPUTED_VALUE"""),FALSE)</f>
        <v>0</v>
      </c>
      <c r="L742" s="20" t="str">
        <f>IFERROR(__xludf.DUMMYFUNCTION("""COMPUTED_VALUE"""),"Array;Dynamic Programming;Matrix;")</f>
        <v>Array;Dynamic Programming;Matrix;</v>
      </c>
      <c r="M742" s="20" t="b">
        <f>IFERROR(__xludf.DUMMYFUNCTION("""COMPUTED_VALUE"""),TRUE)</f>
        <v>1</v>
      </c>
      <c r="N742" s="20" t="b">
        <f>IFERROR(__xludf.DUMMYFUNCTION("""COMPUTED_VALUE"""),FALSE)</f>
        <v>0</v>
      </c>
      <c r="O742" s="20">
        <f>IFERROR(__xludf.DUMMYFUNCTION("""COMPUTED_VALUE"""),36.3246547246221)</f>
        <v>36.32465472</v>
      </c>
      <c r="P742" s="20">
        <f>IFERROR(__xludf.DUMMYFUNCTION("""COMPUTED_VALUE"""),62517.0)</f>
        <v>62517</v>
      </c>
      <c r="Q742" s="20">
        <f>IFERROR(__xludf.DUMMYFUNCTION("""COMPUTED_VALUE"""),172108.0)</f>
        <v>172108</v>
      </c>
    </row>
    <row r="743">
      <c r="A743" s="20">
        <f>IFERROR(__xludf.DUMMYFUNCTION("""COMPUTED_VALUE"""),743.0)</f>
        <v>743</v>
      </c>
      <c r="B743" s="20" t="str">
        <f>IFERROR(__xludf.DUMMYFUNCTION("""COMPUTED_VALUE"""),"Closest Leaf in a Binary Tree")</f>
        <v>Closest Leaf in a Binary Tree</v>
      </c>
      <c r="C743" s="20" t="str">
        <f>IFERROR(__xludf.DUMMYFUNCTION("""COMPUTED_VALUE"""),"closest-leaf-in-a-binary-tree")</f>
        <v>closest-leaf-in-a-binary-tree</v>
      </c>
      <c r="D743" s="20" t="b">
        <f>IFERROR(__xludf.DUMMYFUNCTION("""COMPUTED_VALUE"""),TRUE)</f>
        <v>1</v>
      </c>
      <c r="E743" s="20" t="str">
        <f>IFERROR(__xludf.DUMMYFUNCTION("""COMPUTED_VALUE"""),"Medium")</f>
        <v>Medium</v>
      </c>
      <c r="F743" s="20">
        <f>IFERROR(__xludf.DUMMYFUNCTION("""COMPUTED_VALUE"""),804.0)</f>
        <v>804</v>
      </c>
      <c r="G743" s="20">
        <f>IFERROR(__xludf.DUMMYFUNCTION("""COMPUTED_VALUE"""),162.0)</f>
        <v>162</v>
      </c>
      <c r="H743" s="20" t="str">
        <f>IFERROR(__xludf.DUMMYFUNCTION("""COMPUTED_VALUE"""),"Algorithms")</f>
        <v>Algorithms</v>
      </c>
      <c r="I743" s="20">
        <f>IFERROR(__xludf.DUMMYFUNCTION("""COMPUTED_VALUE"""),0.459)</f>
        <v>0.459</v>
      </c>
      <c r="J743" s="20">
        <f>IFERROR(__xludf.DUMMYFUNCTION("""COMPUTED_VALUE"""),742.0)</f>
        <v>742</v>
      </c>
      <c r="K743" s="20" t="b">
        <f>IFERROR(__xludf.DUMMYFUNCTION("""COMPUTED_VALUE"""),TRUE)</f>
        <v>1</v>
      </c>
      <c r="L743" s="20" t="str">
        <f>IFERROR(__xludf.DUMMYFUNCTION("""COMPUTED_VALUE"""),"Tree;Depth-First Search;Breadth-First Search;Binary Tree;")</f>
        <v>Tree;Depth-First Search;Breadth-First Search;Binary Tree;</v>
      </c>
      <c r="M743" s="20" t="b">
        <f>IFERROR(__xludf.DUMMYFUNCTION("""COMPUTED_VALUE"""),TRUE)</f>
        <v>1</v>
      </c>
      <c r="N743" s="20" t="b">
        <f>IFERROR(__xludf.DUMMYFUNCTION("""COMPUTED_VALUE"""),FALSE)</f>
        <v>0</v>
      </c>
      <c r="O743" s="20">
        <f>IFERROR(__xludf.DUMMYFUNCTION("""COMPUTED_VALUE"""),45.8745287320528)</f>
        <v>45.87452873</v>
      </c>
      <c r="P743" s="20">
        <f>IFERROR(__xludf.DUMMYFUNCTION("""COMPUTED_VALUE"""),41249.0)</f>
        <v>41249</v>
      </c>
      <c r="Q743" s="20">
        <f>IFERROR(__xludf.DUMMYFUNCTION("""COMPUTED_VALUE"""),89917.0)</f>
        <v>89917</v>
      </c>
    </row>
    <row r="744">
      <c r="A744" s="20">
        <f>IFERROR(__xludf.DUMMYFUNCTION("""COMPUTED_VALUE"""),744.0)</f>
        <v>744</v>
      </c>
      <c r="B744" s="20" t="str">
        <f>IFERROR(__xludf.DUMMYFUNCTION("""COMPUTED_VALUE"""),"Network Delay Time")</f>
        <v>Network Delay Time</v>
      </c>
      <c r="C744" s="20" t="str">
        <f>IFERROR(__xludf.DUMMYFUNCTION("""COMPUTED_VALUE"""),"network-delay-time")</f>
        <v>network-delay-time</v>
      </c>
      <c r="D744" s="20" t="b">
        <f>IFERROR(__xludf.DUMMYFUNCTION("""COMPUTED_VALUE"""),FALSE)</f>
        <v>0</v>
      </c>
      <c r="E744" s="20" t="str">
        <f>IFERROR(__xludf.DUMMYFUNCTION("""COMPUTED_VALUE"""),"Medium")</f>
        <v>Medium</v>
      </c>
      <c r="F744" s="20">
        <f>IFERROR(__xludf.DUMMYFUNCTION("""COMPUTED_VALUE"""),5875.0)</f>
        <v>5875</v>
      </c>
      <c r="G744" s="20">
        <f>IFERROR(__xludf.DUMMYFUNCTION("""COMPUTED_VALUE"""),324.0)</f>
        <v>324</v>
      </c>
      <c r="H744" s="20" t="str">
        <f>IFERROR(__xludf.DUMMYFUNCTION("""COMPUTED_VALUE"""),"Algorithms")</f>
        <v>Algorithms</v>
      </c>
      <c r="I744" s="20">
        <f>IFERROR(__xludf.DUMMYFUNCTION("""COMPUTED_VALUE"""),0.516)</f>
        <v>0.516</v>
      </c>
      <c r="J744" s="20">
        <f>IFERROR(__xludf.DUMMYFUNCTION("""COMPUTED_VALUE"""),743.0)</f>
        <v>743</v>
      </c>
      <c r="K744" s="20" t="b">
        <f>IFERROR(__xludf.DUMMYFUNCTION("""COMPUTED_VALUE"""),FALSE)</f>
        <v>0</v>
      </c>
      <c r="L744" s="20" t="str">
        <f>IFERROR(__xludf.DUMMYFUNCTION("""COMPUTED_VALUE"""),"Depth-First Search;Breadth-First Search;Graph;Heap (Priority Queue);Shortest Path;")</f>
        <v>Depth-First Search;Breadth-First Search;Graph;Heap (Priority Queue);Shortest Path;</v>
      </c>
      <c r="M744" s="20" t="b">
        <f>IFERROR(__xludf.DUMMYFUNCTION("""COMPUTED_VALUE"""),TRUE)</f>
        <v>1</v>
      </c>
      <c r="N744" s="20" t="b">
        <f>IFERROR(__xludf.DUMMYFUNCTION("""COMPUTED_VALUE"""),FALSE)</f>
        <v>0</v>
      </c>
      <c r="O744" s="20">
        <f>IFERROR(__xludf.DUMMYFUNCTION("""COMPUTED_VALUE"""),51.5915510834177)</f>
        <v>51.59155108</v>
      </c>
      <c r="P744" s="20">
        <f>IFERROR(__xludf.DUMMYFUNCTION("""COMPUTED_VALUE"""),349568.0)</f>
        <v>349568</v>
      </c>
      <c r="Q744" s="20">
        <f>IFERROR(__xludf.DUMMYFUNCTION("""COMPUTED_VALUE"""),677562.0)</f>
        <v>677562</v>
      </c>
    </row>
    <row r="745">
      <c r="A745" s="20">
        <f>IFERROR(__xludf.DUMMYFUNCTION("""COMPUTED_VALUE"""),745.0)</f>
        <v>745</v>
      </c>
      <c r="B745" s="20" t="str">
        <f>IFERROR(__xludf.DUMMYFUNCTION("""COMPUTED_VALUE"""),"Find Smallest Letter Greater Than Target")</f>
        <v>Find Smallest Letter Greater Than Target</v>
      </c>
      <c r="C745" s="20" t="str">
        <f>IFERROR(__xludf.DUMMYFUNCTION("""COMPUTED_VALUE"""),"find-smallest-letter-greater-than-target")</f>
        <v>find-smallest-letter-greater-than-target</v>
      </c>
      <c r="D745" s="20" t="b">
        <f>IFERROR(__xludf.DUMMYFUNCTION("""COMPUTED_VALUE"""),FALSE)</f>
        <v>0</v>
      </c>
      <c r="E745" s="20" t="str">
        <f>IFERROR(__xludf.DUMMYFUNCTION("""COMPUTED_VALUE"""),"Easy")</f>
        <v>Easy</v>
      </c>
      <c r="F745" s="20">
        <f>IFERROR(__xludf.DUMMYFUNCTION("""COMPUTED_VALUE"""),2496.0)</f>
        <v>2496</v>
      </c>
      <c r="G745" s="20">
        <f>IFERROR(__xludf.DUMMYFUNCTION("""COMPUTED_VALUE"""),1935.0)</f>
        <v>1935</v>
      </c>
      <c r="H745" s="20" t="str">
        <f>IFERROR(__xludf.DUMMYFUNCTION("""COMPUTED_VALUE"""),"Algorithms")</f>
        <v>Algorithms</v>
      </c>
      <c r="I745" s="20">
        <f>IFERROR(__xludf.DUMMYFUNCTION("""COMPUTED_VALUE"""),0.45)</f>
        <v>0.45</v>
      </c>
      <c r="J745" s="20">
        <f>IFERROR(__xludf.DUMMYFUNCTION("""COMPUTED_VALUE"""),744.0)</f>
        <v>744</v>
      </c>
      <c r="K745" s="20" t="b">
        <f>IFERROR(__xludf.DUMMYFUNCTION("""COMPUTED_VALUE"""),FALSE)</f>
        <v>0</v>
      </c>
      <c r="L745" s="20" t="str">
        <f>IFERROR(__xludf.DUMMYFUNCTION("""COMPUTED_VALUE"""),"Array;Binary Search;")</f>
        <v>Array;Binary Search;</v>
      </c>
      <c r="M745" s="20" t="b">
        <f>IFERROR(__xludf.DUMMYFUNCTION("""COMPUTED_VALUE"""),TRUE)</f>
        <v>1</v>
      </c>
      <c r="N745" s="20" t="b">
        <f>IFERROR(__xludf.DUMMYFUNCTION("""COMPUTED_VALUE"""),FALSE)</f>
        <v>0</v>
      </c>
      <c r="O745" s="20">
        <f>IFERROR(__xludf.DUMMYFUNCTION("""COMPUTED_VALUE"""),45.0176061125159)</f>
        <v>45.01760611</v>
      </c>
      <c r="P745" s="20">
        <f>IFERROR(__xludf.DUMMYFUNCTION("""COMPUTED_VALUE"""),264893.0)</f>
        <v>264893</v>
      </c>
      <c r="Q745" s="20">
        <f>IFERROR(__xludf.DUMMYFUNCTION("""COMPUTED_VALUE"""),588427.0)</f>
        <v>588427</v>
      </c>
    </row>
    <row r="746">
      <c r="A746" s="20">
        <f>IFERROR(__xludf.DUMMYFUNCTION("""COMPUTED_VALUE"""),746.0)</f>
        <v>746</v>
      </c>
      <c r="B746" s="20" t="str">
        <f>IFERROR(__xludf.DUMMYFUNCTION("""COMPUTED_VALUE"""),"Prefix and Suffix Search")</f>
        <v>Prefix and Suffix Search</v>
      </c>
      <c r="C746" s="20" t="str">
        <f>IFERROR(__xludf.DUMMYFUNCTION("""COMPUTED_VALUE"""),"prefix-and-suffix-search")</f>
        <v>prefix-and-suffix-search</v>
      </c>
      <c r="D746" s="20" t="b">
        <f>IFERROR(__xludf.DUMMYFUNCTION("""COMPUTED_VALUE"""),FALSE)</f>
        <v>0</v>
      </c>
      <c r="E746" s="20" t="str">
        <f>IFERROR(__xludf.DUMMYFUNCTION("""COMPUTED_VALUE"""),"Hard")</f>
        <v>Hard</v>
      </c>
      <c r="F746" s="20">
        <f>IFERROR(__xludf.DUMMYFUNCTION("""COMPUTED_VALUE"""),2079.0)</f>
        <v>2079</v>
      </c>
      <c r="G746" s="20">
        <f>IFERROR(__xludf.DUMMYFUNCTION("""COMPUTED_VALUE"""),462.0)</f>
        <v>462</v>
      </c>
      <c r="H746" s="20" t="str">
        <f>IFERROR(__xludf.DUMMYFUNCTION("""COMPUTED_VALUE"""),"Algorithms")</f>
        <v>Algorithms</v>
      </c>
      <c r="I746" s="20">
        <f>IFERROR(__xludf.DUMMYFUNCTION("""COMPUTED_VALUE"""),0.413)</f>
        <v>0.413</v>
      </c>
      <c r="J746" s="20">
        <f>IFERROR(__xludf.DUMMYFUNCTION("""COMPUTED_VALUE"""),745.0)</f>
        <v>745</v>
      </c>
      <c r="K746" s="20" t="b">
        <f>IFERROR(__xludf.DUMMYFUNCTION("""COMPUTED_VALUE"""),FALSE)</f>
        <v>0</v>
      </c>
      <c r="L746" s="20" t="str">
        <f>IFERROR(__xludf.DUMMYFUNCTION("""COMPUTED_VALUE"""),"Hash Table;String;Design;Trie;")</f>
        <v>Hash Table;String;Design;Trie;</v>
      </c>
      <c r="M746" s="20" t="b">
        <f>IFERROR(__xludf.DUMMYFUNCTION("""COMPUTED_VALUE"""),TRUE)</f>
        <v>1</v>
      </c>
      <c r="N746" s="20" t="b">
        <f>IFERROR(__xludf.DUMMYFUNCTION("""COMPUTED_VALUE"""),FALSE)</f>
        <v>0</v>
      </c>
      <c r="O746" s="20">
        <f>IFERROR(__xludf.DUMMYFUNCTION("""COMPUTED_VALUE"""),41.2904615615165)</f>
        <v>41.29046156</v>
      </c>
      <c r="P746" s="20">
        <f>IFERROR(__xludf.DUMMYFUNCTION("""COMPUTED_VALUE"""),88170.0)</f>
        <v>88170</v>
      </c>
      <c r="Q746" s="20">
        <f>IFERROR(__xludf.DUMMYFUNCTION("""COMPUTED_VALUE"""),213534.0)</f>
        <v>213534</v>
      </c>
    </row>
    <row r="747">
      <c r="A747" s="20">
        <f>IFERROR(__xludf.DUMMYFUNCTION("""COMPUTED_VALUE"""),747.0)</f>
        <v>747</v>
      </c>
      <c r="B747" s="20" t="str">
        <f>IFERROR(__xludf.DUMMYFUNCTION("""COMPUTED_VALUE"""),"Min Cost Climbing Stairs")</f>
        <v>Min Cost Climbing Stairs</v>
      </c>
      <c r="C747" s="20" t="str">
        <f>IFERROR(__xludf.DUMMYFUNCTION("""COMPUTED_VALUE"""),"min-cost-climbing-stairs")</f>
        <v>min-cost-climbing-stairs</v>
      </c>
      <c r="D747" s="20" t="b">
        <f>IFERROR(__xludf.DUMMYFUNCTION("""COMPUTED_VALUE"""),FALSE)</f>
        <v>0</v>
      </c>
      <c r="E747" s="20" t="str">
        <f>IFERROR(__xludf.DUMMYFUNCTION("""COMPUTED_VALUE"""),"Easy")</f>
        <v>Easy</v>
      </c>
      <c r="F747" s="20">
        <f>IFERROR(__xludf.DUMMYFUNCTION("""COMPUTED_VALUE"""),8560.0)</f>
        <v>8560</v>
      </c>
      <c r="G747" s="20">
        <f>IFERROR(__xludf.DUMMYFUNCTION("""COMPUTED_VALUE"""),1341.0)</f>
        <v>1341</v>
      </c>
      <c r="H747" s="20" t="str">
        <f>IFERROR(__xludf.DUMMYFUNCTION("""COMPUTED_VALUE"""),"Algorithms")</f>
        <v>Algorithms</v>
      </c>
      <c r="I747" s="20">
        <f>IFERROR(__xludf.DUMMYFUNCTION("""COMPUTED_VALUE"""),0.627)</f>
        <v>0.627</v>
      </c>
      <c r="J747" s="20">
        <f>IFERROR(__xludf.DUMMYFUNCTION("""COMPUTED_VALUE"""),746.0)</f>
        <v>746</v>
      </c>
      <c r="K747" s="20" t="b">
        <f>IFERROR(__xludf.DUMMYFUNCTION("""COMPUTED_VALUE"""),FALSE)</f>
        <v>0</v>
      </c>
      <c r="L747" s="20" t="str">
        <f>IFERROR(__xludf.DUMMYFUNCTION("""COMPUTED_VALUE"""),"Array;Dynamic Programming;")</f>
        <v>Array;Dynamic Programming;</v>
      </c>
      <c r="M747" s="20" t="b">
        <f>IFERROR(__xludf.DUMMYFUNCTION("""COMPUTED_VALUE"""),TRUE)</f>
        <v>1</v>
      </c>
      <c r="N747" s="20" t="b">
        <f>IFERROR(__xludf.DUMMYFUNCTION("""COMPUTED_VALUE"""),FALSE)</f>
        <v>0</v>
      </c>
      <c r="O747" s="20">
        <f>IFERROR(__xludf.DUMMYFUNCTION("""COMPUTED_VALUE"""),62.7164247326721)</f>
        <v>62.71642473</v>
      </c>
      <c r="P747" s="20">
        <f>IFERROR(__xludf.DUMMYFUNCTION("""COMPUTED_VALUE"""),724445.0)</f>
        <v>724445</v>
      </c>
      <c r="Q747" s="20">
        <f>IFERROR(__xludf.DUMMYFUNCTION("""COMPUTED_VALUE"""),1155114.0)</f>
        <v>1155114</v>
      </c>
    </row>
    <row r="748">
      <c r="A748" s="20">
        <f>IFERROR(__xludf.DUMMYFUNCTION("""COMPUTED_VALUE"""),748.0)</f>
        <v>748</v>
      </c>
      <c r="B748" s="20" t="str">
        <f>IFERROR(__xludf.DUMMYFUNCTION("""COMPUTED_VALUE"""),"Largest Number At Least Twice of Others")</f>
        <v>Largest Number At Least Twice of Others</v>
      </c>
      <c r="C748" s="20" t="str">
        <f>IFERROR(__xludf.DUMMYFUNCTION("""COMPUTED_VALUE"""),"largest-number-at-least-twice-of-others")</f>
        <v>largest-number-at-least-twice-of-others</v>
      </c>
      <c r="D748" s="20" t="b">
        <f>IFERROR(__xludf.DUMMYFUNCTION("""COMPUTED_VALUE"""),FALSE)</f>
        <v>0</v>
      </c>
      <c r="E748" s="20" t="str">
        <f>IFERROR(__xludf.DUMMYFUNCTION("""COMPUTED_VALUE"""),"Easy")</f>
        <v>Easy</v>
      </c>
      <c r="F748" s="20">
        <f>IFERROR(__xludf.DUMMYFUNCTION("""COMPUTED_VALUE"""),898.0)</f>
        <v>898</v>
      </c>
      <c r="G748" s="20">
        <f>IFERROR(__xludf.DUMMYFUNCTION("""COMPUTED_VALUE"""),821.0)</f>
        <v>821</v>
      </c>
      <c r="H748" s="20" t="str">
        <f>IFERROR(__xludf.DUMMYFUNCTION("""COMPUTED_VALUE"""),"Algorithms")</f>
        <v>Algorithms</v>
      </c>
      <c r="I748" s="20">
        <f>IFERROR(__xludf.DUMMYFUNCTION("""COMPUTED_VALUE"""),0.466)</f>
        <v>0.466</v>
      </c>
      <c r="J748" s="20">
        <f>IFERROR(__xludf.DUMMYFUNCTION("""COMPUTED_VALUE"""),747.0)</f>
        <v>747</v>
      </c>
      <c r="K748" s="20" t="b">
        <f>IFERROR(__xludf.DUMMYFUNCTION("""COMPUTED_VALUE"""),FALSE)</f>
        <v>0</v>
      </c>
      <c r="L748" s="20" t="str">
        <f>IFERROR(__xludf.DUMMYFUNCTION("""COMPUTED_VALUE"""),"Array;Sorting;")</f>
        <v>Array;Sorting;</v>
      </c>
      <c r="M748" s="20" t="b">
        <f>IFERROR(__xludf.DUMMYFUNCTION("""COMPUTED_VALUE"""),FALSE)</f>
        <v>0</v>
      </c>
      <c r="N748" s="20" t="b">
        <f>IFERROR(__xludf.DUMMYFUNCTION("""COMPUTED_VALUE"""),FALSE)</f>
        <v>0</v>
      </c>
      <c r="O748" s="20">
        <f>IFERROR(__xludf.DUMMYFUNCTION("""COMPUTED_VALUE"""),46.6431801036432)</f>
        <v>46.6431801</v>
      </c>
      <c r="P748" s="20">
        <f>IFERROR(__xludf.DUMMYFUNCTION("""COMPUTED_VALUE"""),189194.0)</f>
        <v>189194</v>
      </c>
      <c r="Q748" s="20">
        <f>IFERROR(__xludf.DUMMYFUNCTION("""COMPUTED_VALUE"""),405621.0)</f>
        <v>405621</v>
      </c>
    </row>
    <row r="749">
      <c r="A749" s="20">
        <f>IFERROR(__xludf.DUMMYFUNCTION("""COMPUTED_VALUE"""),749.0)</f>
        <v>749</v>
      </c>
      <c r="B749" s="20" t="str">
        <f>IFERROR(__xludf.DUMMYFUNCTION("""COMPUTED_VALUE"""),"Shortest Completing Word")</f>
        <v>Shortest Completing Word</v>
      </c>
      <c r="C749" s="20" t="str">
        <f>IFERROR(__xludf.DUMMYFUNCTION("""COMPUTED_VALUE"""),"shortest-completing-word")</f>
        <v>shortest-completing-word</v>
      </c>
      <c r="D749" s="20" t="b">
        <f>IFERROR(__xludf.DUMMYFUNCTION("""COMPUTED_VALUE"""),FALSE)</f>
        <v>0</v>
      </c>
      <c r="E749" s="20" t="str">
        <f>IFERROR(__xludf.DUMMYFUNCTION("""COMPUTED_VALUE"""),"Easy")</f>
        <v>Easy</v>
      </c>
      <c r="F749" s="20">
        <f>IFERROR(__xludf.DUMMYFUNCTION("""COMPUTED_VALUE"""),404.0)</f>
        <v>404</v>
      </c>
      <c r="G749" s="20">
        <f>IFERROR(__xludf.DUMMYFUNCTION("""COMPUTED_VALUE"""),950.0)</f>
        <v>950</v>
      </c>
      <c r="H749" s="20" t="str">
        <f>IFERROR(__xludf.DUMMYFUNCTION("""COMPUTED_VALUE"""),"Algorithms")</f>
        <v>Algorithms</v>
      </c>
      <c r="I749" s="20">
        <f>IFERROR(__xludf.DUMMYFUNCTION("""COMPUTED_VALUE"""),0.592)</f>
        <v>0.592</v>
      </c>
      <c r="J749" s="20">
        <f>IFERROR(__xludf.DUMMYFUNCTION("""COMPUTED_VALUE"""),748.0)</f>
        <v>748</v>
      </c>
      <c r="K749" s="20" t="b">
        <f>IFERROR(__xludf.DUMMYFUNCTION("""COMPUTED_VALUE"""),FALSE)</f>
        <v>0</v>
      </c>
      <c r="L749" s="20" t="str">
        <f>IFERROR(__xludf.DUMMYFUNCTION("""COMPUTED_VALUE"""),"Array;Hash Table;String;")</f>
        <v>Array;Hash Table;String;</v>
      </c>
      <c r="M749" s="20" t="b">
        <f>IFERROR(__xludf.DUMMYFUNCTION("""COMPUTED_VALUE"""),FALSE)</f>
        <v>0</v>
      </c>
      <c r="N749" s="20" t="b">
        <f>IFERROR(__xludf.DUMMYFUNCTION("""COMPUTED_VALUE"""),FALSE)</f>
        <v>0</v>
      </c>
      <c r="O749" s="20">
        <f>IFERROR(__xludf.DUMMYFUNCTION("""COMPUTED_VALUE"""),59.2038216560509)</f>
        <v>59.20382166</v>
      </c>
      <c r="P749" s="20">
        <f>IFERROR(__xludf.DUMMYFUNCTION("""COMPUTED_VALUE"""),57627.0)</f>
        <v>57627</v>
      </c>
      <c r="Q749" s="20">
        <f>IFERROR(__xludf.DUMMYFUNCTION("""COMPUTED_VALUE"""),97337.0)</f>
        <v>97337</v>
      </c>
    </row>
    <row r="750">
      <c r="A750" s="20">
        <f>IFERROR(__xludf.DUMMYFUNCTION("""COMPUTED_VALUE"""),750.0)</f>
        <v>750</v>
      </c>
      <c r="B750" s="20" t="str">
        <f>IFERROR(__xludf.DUMMYFUNCTION("""COMPUTED_VALUE"""),"Contain Virus")</f>
        <v>Contain Virus</v>
      </c>
      <c r="C750" s="20" t="str">
        <f>IFERROR(__xludf.DUMMYFUNCTION("""COMPUTED_VALUE"""),"contain-virus")</f>
        <v>contain-virus</v>
      </c>
      <c r="D750" s="20" t="b">
        <f>IFERROR(__xludf.DUMMYFUNCTION("""COMPUTED_VALUE"""),FALSE)</f>
        <v>0</v>
      </c>
      <c r="E750" s="20" t="str">
        <f>IFERROR(__xludf.DUMMYFUNCTION("""COMPUTED_VALUE"""),"Hard")</f>
        <v>Hard</v>
      </c>
      <c r="F750" s="20">
        <f>IFERROR(__xludf.DUMMYFUNCTION("""COMPUTED_VALUE"""),309.0)</f>
        <v>309</v>
      </c>
      <c r="G750" s="20">
        <f>IFERROR(__xludf.DUMMYFUNCTION("""COMPUTED_VALUE"""),421.0)</f>
        <v>421</v>
      </c>
      <c r="H750" s="20" t="str">
        <f>IFERROR(__xludf.DUMMYFUNCTION("""COMPUTED_VALUE"""),"Algorithms")</f>
        <v>Algorithms</v>
      </c>
      <c r="I750" s="20">
        <f>IFERROR(__xludf.DUMMYFUNCTION("""COMPUTED_VALUE"""),0.509)</f>
        <v>0.509</v>
      </c>
      <c r="J750" s="20">
        <f>IFERROR(__xludf.DUMMYFUNCTION("""COMPUTED_VALUE"""),749.0)</f>
        <v>749</v>
      </c>
      <c r="K750" s="20" t="b">
        <f>IFERROR(__xludf.DUMMYFUNCTION("""COMPUTED_VALUE"""),FALSE)</f>
        <v>0</v>
      </c>
      <c r="L750" s="20" t="str">
        <f>IFERROR(__xludf.DUMMYFUNCTION("""COMPUTED_VALUE"""),"Array;Depth-First Search;Breadth-First Search;Matrix;Simulation;")</f>
        <v>Array;Depth-First Search;Breadth-First Search;Matrix;Simulation;</v>
      </c>
      <c r="M750" s="20" t="b">
        <f>IFERROR(__xludf.DUMMYFUNCTION("""COMPUTED_VALUE"""),TRUE)</f>
        <v>1</v>
      </c>
      <c r="N750" s="20" t="b">
        <f>IFERROR(__xludf.DUMMYFUNCTION("""COMPUTED_VALUE"""),FALSE)</f>
        <v>0</v>
      </c>
      <c r="O750" s="20">
        <f>IFERROR(__xludf.DUMMYFUNCTION("""COMPUTED_VALUE"""),50.9134763419891)</f>
        <v>50.91347634</v>
      </c>
      <c r="P750" s="20">
        <f>IFERROR(__xludf.DUMMYFUNCTION("""COMPUTED_VALUE"""),9921.0)</f>
        <v>9921</v>
      </c>
      <c r="Q750" s="20">
        <f>IFERROR(__xludf.DUMMYFUNCTION("""COMPUTED_VALUE"""),19486.0)</f>
        <v>19486</v>
      </c>
    </row>
    <row r="751">
      <c r="A751" s="20">
        <f>IFERROR(__xludf.DUMMYFUNCTION("""COMPUTED_VALUE"""),751.0)</f>
        <v>751</v>
      </c>
      <c r="B751" s="20" t="str">
        <f>IFERROR(__xludf.DUMMYFUNCTION("""COMPUTED_VALUE"""),"Number Of Corner Rectangles")</f>
        <v>Number Of Corner Rectangles</v>
      </c>
      <c r="C751" s="20" t="str">
        <f>IFERROR(__xludf.DUMMYFUNCTION("""COMPUTED_VALUE"""),"number-of-corner-rectangles")</f>
        <v>number-of-corner-rectangles</v>
      </c>
      <c r="D751" s="20" t="b">
        <f>IFERROR(__xludf.DUMMYFUNCTION("""COMPUTED_VALUE"""),TRUE)</f>
        <v>1</v>
      </c>
      <c r="E751" s="20" t="str">
        <f>IFERROR(__xludf.DUMMYFUNCTION("""COMPUTED_VALUE"""),"Medium")</f>
        <v>Medium</v>
      </c>
      <c r="F751" s="20">
        <f>IFERROR(__xludf.DUMMYFUNCTION("""COMPUTED_VALUE"""),598.0)</f>
        <v>598</v>
      </c>
      <c r="G751" s="20">
        <f>IFERROR(__xludf.DUMMYFUNCTION("""COMPUTED_VALUE"""),91.0)</f>
        <v>91</v>
      </c>
      <c r="H751" s="20" t="str">
        <f>IFERROR(__xludf.DUMMYFUNCTION("""COMPUTED_VALUE"""),"Algorithms")</f>
        <v>Algorithms</v>
      </c>
      <c r="I751" s="20">
        <f>IFERROR(__xludf.DUMMYFUNCTION("""COMPUTED_VALUE"""),0.675)</f>
        <v>0.675</v>
      </c>
      <c r="J751" s="20">
        <f>IFERROR(__xludf.DUMMYFUNCTION("""COMPUTED_VALUE"""),750.0)</f>
        <v>750</v>
      </c>
      <c r="K751" s="20" t="b">
        <f>IFERROR(__xludf.DUMMYFUNCTION("""COMPUTED_VALUE"""),TRUE)</f>
        <v>1</v>
      </c>
      <c r="L751" s="20" t="str">
        <f>IFERROR(__xludf.DUMMYFUNCTION("""COMPUTED_VALUE"""),"Array;Math;Dynamic Programming;Matrix;")</f>
        <v>Array;Math;Dynamic Programming;Matrix;</v>
      </c>
      <c r="M751" s="20" t="b">
        <f>IFERROR(__xludf.DUMMYFUNCTION("""COMPUTED_VALUE"""),TRUE)</f>
        <v>1</v>
      </c>
      <c r="N751" s="20" t="b">
        <f>IFERROR(__xludf.DUMMYFUNCTION("""COMPUTED_VALUE"""),FALSE)</f>
        <v>0</v>
      </c>
      <c r="O751" s="20">
        <f>IFERROR(__xludf.DUMMYFUNCTION("""COMPUTED_VALUE"""),67.4616570044764)</f>
        <v>67.461657</v>
      </c>
      <c r="P751" s="20">
        <f>IFERROR(__xludf.DUMMYFUNCTION("""COMPUTED_VALUE"""),36772.0)</f>
        <v>36772</v>
      </c>
      <c r="Q751" s="20">
        <f>IFERROR(__xludf.DUMMYFUNCTION("""COMPUTED_VALUE"""),54508.0)</f>
        <v>54508</v>
      </c>
    </row>
    <row r="752">
      <c r="A752" s="20">
        <f>IFERROR(__xludf.DUMMYFUNCTION("""COMPUTED_VALUE"""),752.0)</f>
        <v>752</v>
      </c>
      <c r="B752" s="20" t="str">
        <f>IFERROR(__xludf.DUMMYFUNCTION("""COMPUTED_VALUE"""),"IP to CIDR")</f>
        <v>IP to CIDR</v>
      </c>
      <c r="C752" s="20" t="str">
        <f>IFERROR(__xludf.DUMMYFUNCTION("""COMPUTED_VALUE"""),"ip-to-cidr")</f>
        <v>ip-to-cidr</v>
      </c>
      <c r="D752" s="20" t="b">
        <f>IFERROR(__xludf.DUMMYFUNCTION("""COMPUTED_VALUE"""),TRUE)</f>
        <v>1</v>
      </c>
      <c r="E752" s="20" t="str">
        <f>IFERROR(__xludf.DUMMYFUNCTION("""COMPUTED_VALUE"""),"Medium")</f>
        <v>Medium</v>
      </c>
      <c r="F752" s="20">
        <f>IFERROR(__xludf.DUMMYFUNCTION("""COMPUTED_VALUE"""),47.0)</f>
        <v>47</v>
      </c>
      <c r="G752" s="20">
        <f>IFERROR(__xludf.DUMMYFUNCTION("""COMPUTED_VALUE"""),177.0)</f>
        <v>177</v>
      </c>
      <c r="H752" s="20" t="str">
        <f>IFERROR(__xludf.DUMMYFUNCTION("""COMPUTED_VALUE"""),"Algorithms")</f>
        <v>Algorithms</v>
      </c>
      <c r="I752" s="20">
        <f>IFERROR(__xludf.DUMMYFUNCTION("""COMPUTED_VALUE"""),0.545)</f>
        <v>0.545</v>
      </c>
      <c r="J752" s="20">
        <f>IFERROR(__xludf.DUMMYFUNCTION("""COMPUTED_VALUE"""),751.0)</f>
        <v>751</v>
      </c>
      <c r="K752" s="20" t="b">
        <f>IFERROR(__xludf.DUMMYFUNCTION("""COMPUTED_VALUE"""),TRUE)</f>
        <v>1</v>
      </c>
      <c r="L752" s="20" t="str">
        <f>IFERROR(__xludf.DUMMYFUNCTION("""COMPUTED_VALUE"""),"String;Bit Manipulation;")</f>
        <v>String;Bit Manipulation;</v>
      </c>
      <c r="M752" s="20" t="b">
        <f>IFERROR(__xludf.DUMMYFUNCTION("""COMPUTED_VALUE"""),FALSE)</f>
        <v>0</v>
      </c>
      <c r="N752" s="20" t="b">
        <f>IFERROR(__xludf.DUMMYFUNCTION("""COMPUTED_VALUE"""),FALSE)</f>
        <v>0</v>
      </c>
      <c r="O752" s="20">
        <f>IFERROR(__xludf.DUMMYFUNCTION("""COMPUTED_VALUE"""),54.5439979491123)</f>
        <v>54.54399795</v>
      </c>
      <c r="P752" s="20">
        <f>IFERROR(__xludf.DUMMYFUNCTION("""COMPUTED_VALUE"""),17021.0)</f>
        <v>17021</v>
      </c>
      <c r="Q752" s="20">
        <f>IFERROR(__xludf.DUMMYFUNCTION("""COMPUTED_VALUE"""),31206.0)</f>
        <v>31206</v>
      </c>
    </row>
    <row r="753">
      <c r="A753" s="20">
        <f>IFERROR(__xludf.DUMMYFUNCTION("""COMPUTED_VALUE"""),753.0)</f>
        <v>753</v>
      </c>
      <c r="B753" s="20" t="str">
        <f>IFERROR(__xludf.DUMMYFUNCTION("""COMPUTED_VALUE"""),"Open the Lock")</f>
        <v>Open the Lock</v>
      </c>
      <c r="C753" s="20" t="str">
        <f>IFERROR(__xludf.DUMMYFUNCTION("""COMPUTED_VALUE"""),"open-the-lock")</f>
        <v>open-the-lock</v>
      </c>
      <c r="D753" s="20" t="b">
        <f>IFERROR(__xludf.DUMMYFUNCTION("""COMPUTED_VALUE"""),FALSE)</f>
        <v>0</v>
      </c>
      <c r="E753" s="20" t="str">
        <f>IFERROR(__xludf.DUMMYFUNCTION("""COMPUTED_VALUE"""),"Medium")</f>
        <v>Medium</v>
      </c>
      <c r="F753" s="20">
        <f>IFERROR(__xludf.DUMMYFUNCTION("""COMPUTED_VALUE"""),3400.0)</f>
        <v>3400</v>
      </c>
      <c r="G753" s="20">
        <f>IFERROR(__xludf.DUMMYFUNCTION("""COMPUTED_VALUE"""),125.0)</f>
        <v>125</v>
      </c>
      <c r="H753" s="20" t="str">
        <f>IFERROR(__xludf.DUMMYFUNCTION("""COMPUTED_VALUE"""),"Algorithms")</f>
        <v>Algorithms</v>
      </c>
      <c r="I753" s="20">
        <f>IFERROR(__xludf.DUMMYFUNCTION("""COMPUTED_VALUE"""),0.555)</f>
        <v>0.555</v>
      </c>
      <c r="J753" s="20">
        <f>IFERROR(__xludf.DUMMYFUNCTION("""COMPUTED_VALUE"""),752.0)</f>
        <v>752</v>
      </c>
      <c r="K753" s="20" t="b">
        <f>IFERROR(__xludf.DUMMYFUNCTION("""COMPUTED_VALUE"""),FALSE)</f>
        <v>0</v>
      </c>
      <c r="L753" s="20" t="str">
        <f>IFERROR(__xludf.DUMMYFUNCTION("""COMPUTED_VALUE"""),"Array;Hash Table;String;Breadth-First Search;")</f>
        <v>Array;Hash Table;String;Breadth-First Search;</v>
      </c>
      <c r="M753" s="20" t="b">
        <f>IFERROR(__xludf.DUMMYFUNCTION("""COMPUTED_VALUE"""),TRUE)</f>
        <v>1</v>
      </c>
      <c r="N753" s="20" t="b">
        <f>IFERROR(__xludf.DUMMYFUNCTION("""COMPUTED_VALUE"""),FALSE)</f>
        <v>0</v>
      </c>
      <c r="O753" s="20">
        <f>IFERROR(__xludf.DUMMYFUNCTION("""COMPUTED_VALUE"""),55.5327108224103)</f>
        <v>55.53271082</v>
      </c>
      <c r="P753" s="20">
        <f>IFERROR(__xludf.DUMMYFUNCTION("""COMPUTED_VALUE"""),191497.0)</f>
        <v>191497</v>
      </c>
      <c r="Q753" s="20">
        <f>IFERROR(__xludf.DUMMYFUNCTION("""COMPUTED_VALUE"""),344837.0)</f>
        <v>344837</v>
      </c>
    </row>
    <row r="754">
      <c r="A754" s="20">
        <f>IFERROR(__xludf.DUMMYFUNCTION("""COMPUTED_VALUE"""),754.0)</f>
        <v>754</v>
      </c>
      <c r="B754" s="20" t="str">
        <f>IFERROR(__xludf.DUMMYFUNCTION("""COMPUTED_VALUE"""),"Cracking the Safe")</f>
        <v>Cracking the Safe</v>
      </c>
      <c r="C754" s="20" t="str">
        <f>IFERROR(__xludf.DUMMYFUNCTION("""COMPUTED_VALUE"""),"cracking-the-safe")</f>
        <v>cracking-the-safe</v>
      </c>
      <c r="D754" s="20" t="b">
        <f>IFERROR(__xludf.DUMMYFUNCTION("""COMPUTED_VALUE"""),FALSE)</f>
        <v>0</v>
      </c>
      <c r="E754" s="20" t="str">
        <f>IFERROR(__xludf.DUMMYFUNCTION("""COMPUTED_VALUE"""),"Hard")</f>
        <v>Hard</v>
      </c>
      <c r="F754" s="20">
        <f>IFERROR(__xludf.DUMMYFUNCTION("""COMPUTED_VALUE"""),362.0)</f>
        <v>362</v>
      </c>
      <c r="G754" s="20">
        <f>IFERROR(__xludf.DUMMYFUNCTION("""COMPUTED_VALUE"""),65.0)</f>
        <v>65</v>
      </c>
      <c r="H754" s="20" t="str">
        <f>IFERROR(__xludf.DUMMYFUNCTION("""COMPUTED_VALUE"""),"Algorithms")</f>
        <v>Algorithms</v>
      </c>
      <c r="I754" s="20">
        <f>IFERROR(__xludf.DUMMYFUNCTION("""COMPUTED_VALUE"""),0.556)</f>
        <v>0.556</v>
      </c>
      <c r="J754" s="20">
        <f>IFERROR(__xludf.DUMMYFUNCTION("""COMPUTED_VALUE"""),753.0)</f>
        <v>753</v>
      </c>
      <c r="K754" s="20" t="b">
        <f>IFERROR(__xludf.DUMMYFUNCTION("""COMPUTED_VALUE"""),FALSE)</f>
        <v>0</v>
      </c>
      <c r="L754" s="20" t="str">
        <f>IFERROR(__xludf.DUMMYFUNCTION("""COMPUTED_VALUE"""),"Depth-First Search;Graph;Eulerian Circuit;")</f>
        <v>Depth-First Search;Graph;Eulerian Circuit;</v>
      </c>
      <c r="M754" s="20" t="b">
        <f>IFERROR(__xludf.DUMMYFUNCTION("""COMPUTED_VALUE"""),FALSE)</f>
        <v>0</v>
      </c>
      <c r="N754" s="20" t="b">
        <f>IFERROR(__xludf.DUMMYFUNCTION("""COMPUTED_VALUE"""),FALSE)</f>
        <v>0</v>
      </c>
      <c r="O754" s="20">
        <f>IFERROR(__xludf.DUMMYFUNCTION("""COMPUTED_VALUE"""),55.6255274946439)</f>
        <v>55.62552749</v>
      </c>
      <c r="P754" s="20">
        <f>IFERROR(__xludf.DUMMYFUNCTION("""COMPUTED_VALUE"""),51408.0)</f>
        <v>51408</v>
      </c>
      <c r="Q754" s="20">
        <f>IFERROR(__xludf.DUMMYFUNCTION("""COMPUTED_VALUE"""),92418.0)</f>
        <v>92418</v>
      </c>
    </row>
    <row r="755">
      <c r="A755" s="20">
        <f>IFERROR(__xludf.DUMMYFUNCTION("""COMPUTED_VALUE"""),755.0)</f>
        <v>755</v>
      </c>
      <c r="B755" s="20" t="str">
        <f>IFERROR(__xludf.DUMMYFUNCTION("""COMPUTED_VALUE"""),"Reach a Number")</f>
        <v>Reach a Number</v>
      </c>
      <c r="C755" s="20" t="str">
        <f>IFERROR(__xludf.DUMMYFUNCTION("""COMPUTED_VALUE"""),"reach-a-number")</f>
        <v>reach-a-number</v>
      </c>
      <c r="D755" s="20" t="b">
        <f>IFERROR(__xludf.DUMMYFUNCTION("""COMPUTED_VALUE"""),FALSE)</f>
        <v>0</v>
      </c>
      <c r="E755" s="20" t="str">
        <f>IFERROR(__xludf.DUMMYFUNCTION("""COMPUTED_VALUE"""),"Medium")</f>
        <v>Medium</v>
      </c>
      <c r="F755" s="20">
        <f>IFERROR(__xludf.DUMMYFUNCTION("""COMPUTED_VALUE"""),1443.0)</f>
        <v>1443</v>
      </c>
      <c r="G755" s="20">
        <f>IFERROR(__xludf.DUMMYFUNCTION("""COMPUTED_VALUE"""),718.0)</f>
        <v>718</v>
      </c>
      <c r="H755" s="20" t="str">
        <f>IFERROR(__xludf.DUMMYFUNCTION("""COMPUTED_VALUE"""),"Algorithms")</f>
        <v>Algorithms</v>
      </c>
      <c r="I755" s="20">
        <f>IFERROR(__xludf.DUMMYFUNCTION("""COMPUTED_VALUE"""),0.427)</f>
        <v>0.427</v>
      </c>
      <c r="J755" s="20">
        <f>IFERROR(__xludf.DUMMYFUNCTION("""COMPUTED_VALUE"""),754.0)</f>
        <v>754</v>
      </c>
      <c r="K755" s="20" t="b">
        <f>IFERROR(__xludf.DUMMYFUNCTION("""COMPUTED_VALUE"""),FALSE)</f>
        <v>0</v>
      </c>
      <c r="L755" s="20" t="str">
        <f>IFERROR(__xludf.DUMMYFUNCTION("""COMPUTED_VALUE"""),"Math;Binary Search;")</f>
        <v>Math;Binary Search;</v>
      </c>
      <c r="M755" s="20" t="b">
        <f>IFERROR(__xludf.DUMMYFUNCTION("""COMPUTED_VALUE"""),TRUE)</f>
        <v>1</v>
      </c>
      <c r="N755" s="20" t="b">
        <f>IFERROR(__xludf.DUMMYFUNCTION("""COMPUTED_VALUE"""),FALSE)</f>
        <v>0</v>
      </c>
      <c r="O755" s="20">
        <f>IFERROR(__xludf.DUMMYFUNCTION("""COMPUTED_VALUE"""),42.7166689271666)</f>
        <v>42.71666893</v>
      </c>
      <c r="P755" s="20">
        <f>IFERROR(__xludf.DUMMYFUNCTION("""COMPUTED_VALUE"""),44092.0)</f>
        <v>44092</v>
      </c>
      <c r="Q755" s="20">
        <f>IFERROR(__xludf.DUMMYFUNCTION("""COMPUTED_VALUE"""),103221.0)</f>
        <v>103221</v>
      </c>
    </row>
    <row r="756">
      <c r="A756" s="20">
        <f>IFERROR(__xludf.DUMMYFUNCTION("""COMPUTED_VALUE"""),756.0)</f>
        <v>756</v>
      </c>
      <c r="B756" s="20" t="str">
        <f>IFERROR(__xludf.DUMMYFUNCTION("""COMPUTED_VALUE"""),"Pour Water")</f>
        <v>Pour Water</v>
      </c>
      <c r="C756" s="20" t="str">
        <f>IFERROR(__xludf.DUMMYFUNCTION("""COMPUTED_VALUE"""),"pour-water")</f>
        <v>pour-water</v>
      </c>
      <c r="D756" s="20" t="b">
        <f>IFERROR(__xludf.DUMMYFUNCTION("""COMPUTED_VALUE"""),TRUE)</f>
        <v>1</v>
      </c>
      <c r="E756" s="20" t="str">
        <f>IFERROR(__xludf.DUMMYFUNCTION("""COMPUTED_VALUE"""),"Medium")</f>
        <v>Medium</v>
      </c>
      <c r="F756" s="20">
        <f>IFERROR(__xludf.DUMMYFUNCTION("""COMPUTED_VALUE"""),283.0)</f>
        <v>283</v>
      </c>
      <c r="G756" s="20">
        <f>IFERROR(__xludf.DUMMYFUNCTION("""COMPUTED_VALUE"""),682.0)</f>
        <v>682</v>
      </c>
      <c r="H756" s="20" t="str">
        <f>IFERROR(__xludf.DUMMYFUNCTION("""COMPUTED_VALUE"""),"Algorithms")</f>
        <v>Algorithms</v>
      </c>
      <c r="I756" s="20">
        <f>IFERROR(__xludf.DUMMYFUNCTION("""COMPUTED_VALUE"""),0.463)</f>
        <v>0.463</v>
      </c>
      <c r="J756" s="20">
        <f>IFERROR(__xludf.DUMMYFUNCTION("""COMPUTED_VALUE"""),755.0)</f>
        <v>755</v>
      </c>
      <c r="K756" s="20" t="b">
        <f>IFERROR(__xludf.DUMMYFUNCTION("""COMPUTED_VALUE"""),TRUE)</f>
        <v>1</v>
      </c>
      <c r="L756" s="20" t="str">
        <f>IFERROR(__xludf.DUMMYFUNCTION("""COMPUTED_VALUE"""),"Array;Simulation;")</f>
        <v>Array;Simulation;</v>
      </c>
      <c r="M756" s="20" t="b">
        <f>IFERROR(__xludf.DUMMYFUNCTION("""COMPUTED_VALUE"""),FALSE)</f>
        <v>0</v>
      </c>
      <c r="N756" s="20" t="b">
        <f>IFERROR(__xludf.DUMMYFUNCTION("""COMPUTED_VALUE"""),FALSE)</f>
        <v>0</v>
      </c>
      <c r="O756" s="20">
        <f>IFERROR(__xludf.DUMMYFUNCTION("""COMPUTED_VALUE"""),46.2844575581236)</f>
        <v>46.28445756</v>
      </c>
      <c r="P756" s="20">
        <f>IFERROR(__xludf.DUMMYFUNCTION("""COMPUTED_VALUE"""),33883.0)</f>
        <v>33883</v>
      </c>
      <c r="Q756" s="20">
        <f>IFERROR(__xludf.DUMMYFUNCTION("""COMPUTED_VALUE"""),73206.0)</f>
        <v>73206</v>
      </c>
    </row>
    <row r="757">
      <c r="A757" s="20">
        <f>IFERROR(__xludf.DUMMYFUNCTION("""COMPUTED_VALUE"""),757.0)</f>
        <v>757</v>
      </c>
      <c r="B757" s="20" t="str">
        <f>IFERROR(__xludf.DUMMYFUNCTION("""COMPUTED_VALUE"""),"Pyramid Transition Matrix")</f>
        <v>Pyramid Transition Matrix</v>
      </c>
      <c r="C757" s="20" t="str">
        <f>IFERROR(__xludf.DUMMYFUNCTION("""COMPUTED_VALUE"""),"pyramid-transition-matrix")</f>
        <v>pyramid-transition-matrix</v>
      </c>
      <c r="D757" s="20" t="b">
        <f>IFERROR(__xludf.DUMMYFUNCTION("""COMPUTED_VALUE"""),FALSE)</f>
        <v>0</v>
      </c>
      <c r="E757" s="20" t="str">
        <f>IFERROR(__xludf.DUMMYFUNCTION("""COMPUTED_VALUE"""),"Medium")</f>
        <v>Medium</v>
      </c>
      <c r="F757" s="20">
        <f>IFERROR(__xludf.DUMMYFUNCTION("""COMPUTED_VALUE"""),483.0)</f>
        <v>483</v>
      </c>
      <c r="G757" s="20">
        <f>IFERROR(__xludf.DUMMYFUNCTION("""COMPUTED_VALUE"""),453.0)</f>
        <v>453</v>
      </c>
      <c r="H757" s="20" t="str">
        <f>IFERROR(__xludf.DUMMYFUNCTION("""COMPUTED_VALUE"""),"Algorithms")</f>
        <v>Algorithms</v>
      </c>
      <c r="I757" s="20">
        <f>IFERROR(__xludf.DUMMYFUNCTION("""COMPUTED_VALUE"""),0.529)</f>
        <v>0.529</v>
      </c>
      <c r="J757" s="20">
        <f>IFERROR(__xludf.DUMMYFUNCTION("""COMPUTED_VALUE"""),756.0)</f>
        <v>756</v>
      </c>
      <c r="K757" s="20" t="b">
        <f>IFERROR(__xludf.DUMMYFUNCTION("""COMPUTED_VALUE"""),FALSE)</f>
        <v>0</v>
      </c>
      <c r="L757" s="20" t="str">
        <f>IFERROR(__xludf.DUMMYFUNCTION("""COMPUTED_VALUE"""),"Bit Manipulation;Depth-First Search;Breadth-First Search;")</f>
        <v>Bit Manipulation;Depth-First Search;Breadth-First Search;</v>
      </c>
      <c r="M757" s="20" t="b">
        <f>IFERROR(__xludf.DUMMYFUNCTION("""COMPUTED_VALUE"""),FALSE)</f>
        <v>0</v>
      </c>
      <c r="N757" s="20" t="b">
        <f>IFERROR(__xludf.DUMMYFUNCTION("""COMPUTED_VALUE"""),FALSE)</f>
        <v>0</v>
      </c>
      <c r="O757" s="20">
        <f>IFERROR(__xludf.DUMMYFUNCTION("""COMPUTED_VALUE"""),52.9411764705882)</f>
        <v>52.94117647</v>
      </c>
      <c r="P757" s="20">
        <f>IFERROR(__xludf.DUMMYFUNCTION("""COMPUTED_VALUE"""),29519.0)</f>
        <v>29519</v>
      </c>
      <c r="Q757" s="20">
        <f>IFERROR(__xludf.DUMMYFUNCTION("""COMPUTED_VALUE"""),55759.0)</f>
        <v>55759</v>
      </c>
    </row>
    <row r="758">
      <c r="A758" s="20">
        <f>IFERROR(__xludf.DUMMYFUNCTION("""COMPUTED_VALUE"""),759.0)</f>
        <v>759</v>
      </c>
      <c r="B758" s="20" t="str">
        <f>IFERROR(__xludf.DUMMYFUNCTION("""COMPUTED_VALUE"""),"Set Intersection Size At Least Two")</f>
        <v>Set Intersection Size At Least Two</v>
      </c>
      <c r="C758" s="20" t="str">
        <f>IFERROR(__xludf.DUMMYFUNCTION("""COMPUTED_VALUE"""),"set-intersection-size-at-least-two")</f>
        <v>set-intersection-size-at-least-two</v>
      </c>
      <c r="D758" s="20" t="b">
        <f>IFERROR(__xludf.DUMMYFUNCTION("""COMPUTED_VALUE"""),FALSE)</f>
        <v>0</v>
      </c>
      <c r="E758" s="20" t="str">
        <f>IFERROR(__xludf.DUMMYFUNCTION("""COMPUTED_VALUE"""),"Hard")</f>
        <v>Hard</v>
      </c>
      <c r="F758" s="20">
        <f>IFERROR(__xludf.DUMMYFUNCTION("""COMPUTED_VALUE"""),587.0)</f>
        <v>587</v>
      </c>
      <c r="G758" s="20">
        <f>IFERROR(__xludf.DUMMYFUNCTION("""COMPUTED_VALUE"""),67.0)</f>
        <v>67</v>
      </c>
      <c r="H758" s="20" t="str">
        <f>IFERROR(__xludf.DUMMYFUNCTION("""COMPUTED_VALUE"""),"Algorithms")</f>
        <v>Algorithms</v>
      </c>
      <c r="I758" s="20">
        <f>IFERROR(__xludf.DUMMYFUNCTION("""COMPUTED_VALUE"""),0.438)</f>
        <v>0.438</v>
      </c>
      <c r="J758" s="20">
        <f>IFERROR(__xludf.DUMMYFUNCTION("""COMPUTED_VALUE"""),757.0)</f>
        <v>757</v>
      </c>
      <c r="K758" s="20" t="b">
        <f>IFERROR(__xludf.DUMMYFUNCTION("""COMPUTED_VALUE"""),FALSE)</f>
        <v>0</v>
      </c>
      <c r="L758" s="20" t="str">
        <f>IFERROR(__xludf.DUMMYFUNCTION("""COMPUTED_VALUE"""),"Array;Greedy;Sorting;")</f>
        <v>Array;Greedy;Sorting;</v>
      </c>
      <c r="M758" s="20" t="b">
        <f>IFERROR(__xludf.DUMMYFUNCTION("""COMPUTED_VALUE"""),FALSE)</f>
        <v>0</v>
      </c>
      <c r="N758" s="20" t="b">
        <f>IFERROR(__xludf.DUMMYFUNCTION("""COMPUTED_VALUE"""),FALSE)</f>
        <v>0</v>
      </c>
      <c r="O758" s="20">
        <f>IFERROR(__xludf.DUMMYFUNCTION("""COMPUTED_VALUE"""),43.8469443846944)</f>
        <v>43.84694438</v>
      </c>
      <c r="P758" s="20">
        <f>IFERROR(__xludf.DUMMYFUNCTION("""COMPUTED_VALUE"""),18346.0)</f>
        <v>18346</v>
      </c>
      <c r="Q758" s="20">
        <f>IFERROR(__xludf.DUMMYFUNCTION("""COMPUTED_VALUE"""),41841.0)</f>
        <v>41841</v>
      </c>
    </row>
    <row r="759">
      <c r="A759" s="20">
        <f>IFERROR(__xludf.DUMMYFUNCTION("""COMPUTED_VALUE"""),760.0)</f>
        <v>760</v>
      </c>
      <c r="B759" s="20" t="str">
        <f>IFERROR(__xludf.DUMMYFUNCTION("""COMPUTED_VALUE"""),"Bold Words in String")</f>
        <v>Bold Words in String</v>
      </c>
      <c r="C759" s="20" t="str">
        <f>IFERROR(__xludf.DUMMYFUNCTION("""COMPUTED_VALUE"""),"bold-words-in-string")</f>
        <v>bold-words-in-string</v>
      </c>
      <c r="D759" s="20" t="b">
        <f>IFERROR(__xludf.DUMMYFUNCTION("""COMPUTED_VALUE"""),TRUE)</f>
        <v>1</v>
      </c>
      <c r="E759" s="20" t="str">
        <f>IFERROR(__xludf.DUMMYFUNCTION("""COMPUTED_VALUE"""),"Medium")</f>
        <v>Medium</v>
      </c>
      <c r="F759" s="20">
        <f>IFERROR(__xludf.DUMMYFUNCTION("""COMPUTED_VALUE"""),252.0)</f>
        <v>252</v>
      </c>
      <c r="G759" s="20">
        <f>IFERROR(__xludf.DUMMYFUNCTION("""COMPUTED_VALUE"""),121.0)</f>
        <v>121</v>
      </c>
      <c r="H759" s="20" t="str">
        <f>IFERROR(__xludf.DUMMYFUNCTION("""COMPUTED_VALUE"""),"Algorithms")</f>
        <v>Algorithms</v>
      </c>
      <c r="I759" s="20">
        <f>IFERROR(__xludf.DUMMYFUNCTION("""COMPUTED_VALUE"""),0.507)</f>
        <v>0.507</v>
      </c>
      <c r="J759" s="20">
        <f>IFERROR(__xludf.DUMMYFUNCTION("""COMPUTED_VALUE"""),758.0)</f>
        <v>758</v>
      </c>
      <c r="K759" s="20" t="b">
        <f>IFERROR(__xludf.DUMMYFUNCTION("""COMPUTED_VALUE"""),TRUE)</f>
        <v>1</v>
      </c>
      <c r="L759" s="20" t="str">
        <f>IFERROR(__xludf.DUMMYFUNCTION("""COMPUTED_VALUE"""),"Array;Hash Table;String;Trie;String Matching;")</f>
        <v>Array;Hash Table;String;Trie;String Matching;</v>
      </c>
      <c r="M759" s="20" t="b">
        <f>IFERROR(__xludf.DUMMYFUNCTION("""COMPUTED_VALUE"""),FALSE)</f>
        <v>0</v>
      </c>
      <c r="N759" s="20" t="b">
        <f>IFERROR(__xludf.DUMMYFUNCTION("""COMPUTED_VALUE"""),FALSE)</f>
        <v>0</v>
      </c>
      <c r="O759" s="20">
        <f>IFERROR(__xludf.DUMMYFUNCTION("""COMPUTED_VALUE"""),50.7047542025301)</f>
        <v>50.7047542</v>
      </c>
      <c r="P759" s="20">
        <f>IFERROR(__xludf.DUMMYFUNCTION("""COMPUTED_VALUE"""),17555.0)</f>
        <v>17555</v>
      </c>
      <c r="Q759" s="20">
        <f>IFERROR(__xludf.DUMMYFUNCTION("""COMPUTED_VALUE"""),34622.0)</f>
        <v>34622</v>
      </c>
    </row>
    <row r="760">
      <c r="A760" s="20">
        <f>IFERROR(__xludf.DUMMYFUNCTION("""COMPUTED_VALUE"""),761.0)</f>
        <v>761</v>
      </c>
      <c r="B760" s="20" t="str">
        <f>IFERROR(__xludf.DUMMYFUNCTION("""COMPUTED_VALUE"""),"Employee Free Time")</f>
        <v>Employee Free Time</v>
      </c>
      <c r="C760" s="20" t="str">
        <f>IFERROR(__xludf.DUMMYFUNCTION("""COMPUTED_VALUE"""),"employee-free-time")</f>
        <v>employee-free-time</v>
      </c>
      <c r="D760" s="20" t="b">
        <f>IFERROR(__xludf.DUMMYFUNCTION("""COMPUTED_VALUE"""),TRUE)</f>
        <v>1</v>
      </c>
      <c r="E760" s="20" t="str">
        <f>IFERROR(__xludf.DUMMYFUNCTION("""COMPUTED_VALUE"""),"Hard")</f>
        <v>Hard</v>
      </c>
      <c r="F760" s="20">
        <f>IFERROR(__xludf.DUMMYFUNCTION("""COMPUTED_VALUE"""),1675.0)</f>
        <v>1675</v>
      </c>
      <c r="G760" s="20">
        <f>IFERROR(__xludf.DUMMYFUNCTION("""COMPUTED_VALUE"""),114.0)</f>
        <v>114</v>
      </c>
      <c r="H760" s="20" t="str">
        <f>IFERROR(__xludf.DUMMYFUNCTION("""COMPUTED_VALUE"""),"Algorithms")</f>
        <v>Algorithms</v>
      </c>
      <c r="I760" s="20">
        <f>IFERROR(__xludf.DUMMYFUNCTION("""COMPUTED_VALUE"""),0.718)</f>
        <v>0.718</v>
      </c>
      <c r="J760" s="20">
        <f>IFERROR(__xludf.DUMMYFUNCTION("""COMPUTED_VALUE"""),759.0)</f>
        <v>759</v>
      </c>
      <c r="K760" s="20" t="b">
        <f>IFERROR(__xludf.DUMMYFUNCTION("""COMPUTED_VALUE"""),TRUE)</f>
        <v>1</v>
      </c>
      <c r="L760" s="20" t="str">
        <f>IFERROR(__xludf.DUMMYFUNCTION("""COMPUTED_VALUE"""),"Array;Sorting;Heap (Priority Queue);")</f>
        <v>Array;Sorting;Heap (Priority Queue);</v>
      </c>
      <c r="M760" s="20" t="b">
        <f>IFERROR(__xludf.DUMMYFUNCTION("""COMPUTED_VALUE"""),FALSE)</f>
        <v>0</v>
      </c>
      <c r="N760" s="20" t="b">
        <f>IFERROR(__xludf.DUMMYFUNCTION("""COMPUTED_VALUE"""),FALSE)</f>
        <v>0</v>
      </c>
      <c r="O760" s="20">
        <f>IFERROR(__xludf.DUMMYFUNCTION("""COMPUTED_VALUE"""),71.7853813059546)</f>
        <v>71.78538131</v>
      </c>
      <c r="P760" s="20">
        <f>IFERROR(__xludf.DUMMYFUNCTION("""COMPUTED_VALUE"""),127811.0)</f>
        <v>127811</v>
      </c>
      <c r="Q760" s="20">
        <f>IFERROR(__xludf.DUMMYFUNCTION("""COMPUTED_VALUE"""),178046.0)</f>
        <v>178046</v>
      </c>
    </row>
    <row r="761">
      <c r="A761" s="20">
        <f>IFERROR(__xludf.DUMMYFUNCTION("""COMPUTED_VALUE"""),762.0)</f>
        <v>762</v>
      </c>
      <c r="B761" s="20" t="str">
        <f>IFERROR(__xludf.DUMMYFUNCTION("""COMPUTED_VALUE"""),"Find Anagram Mappings")</f>
        <v>Find Anagram Mappings</v>
      </c>
      <c r="C761" s="20" t="str">
        <f>IFERROR(__xludf.DUMMYFUNCTION("""COMPUTED_VALUE"""),"find-anagram-mappings")</f>
        <v>find-anagram-mappings</v>
      </c>
      <c r="D761" s="20" t="b">
        <f>IFERROR(__xludf.DUMMYFUNCTION("""COMPUTED_VALUE"""),TRUE)</f>
        <v>1</v>
      </c>
      <c r="E761" s="20" t="str">
        <f>IFERROR(__xludf.DUMMYFUNCTION("""COMPUTED_VALUE"""),"Easy")</f>
        <v>Easy</v>
      </c>
      <c r="F761" s="20">
        <f>IFERROR(__xludf.DUMMYFUNCTION("""COMPUTED_VALUE"""),515.0)</f>
        <v>515</v>
      </c>
      <c r="G761" s="20">
        <f>IFERROR(__xludf.DUMMYFUNCTION("""COMPUTED_VALUE"""),203.0)</f>
        <v>203</v>
      </c>
      <c r="H761" s="20" t="str">
        <f>IFERROR(__xludf.DUMMYFUNCTION("""COMPUTED_VALUE"""),"Algorithms")</f>
        <v>Algorithms</v>
      </c>
      <c r="I761" s="20">
        <f>IFERROR(__xludf.DUMMYFUNCTION("""COMPUTED_VALUE"""),0.829)</f>
        <v>0.829</v>
      </c>
      <c r="J761" s="20">
        <f>IFERROR(__xludf.DUMMYFUNCTION("""COMPUTED_VALUE"""),760.0)</f>
        <v>760</v>
      </c>
      <c r="K761" s="20" t="b">
        <f>IFERROR(__xludf.DUMMYFUNCTION("""COMPUTED_VALUE"""),TRUE)</f>
        <v>1</v>
      </c>
      <c r="L761" s="20" t="str">
        <f>IFERROR(__xludf.DUMMYFUNCTION("""COMPUTED_VALUE"""),"Array;Hash Table;")</f>
        <v>Array;Hash Table;</v>
      </c>
      <c r="M761" s="20" t="b">
        <f>IFERROR(__xludf.DUMMYFUNCTION("""COMPUTED_VALUE"""),TRUE)</f>
        <v>1</v>
      </c>
      <c r="N761" s="20" t="b">
        <f>IFERROR(__xludf.DUMMYFUNCTION("""COMPUTED_VALUE"""),FALSE)</f>
        <v>0</v>
      </c>
      <c r="O761" s="20">
        <f>IFERROR(__xludf.DUMMYFUNCTION("""COMPUTED_VALUE"""),82.8911769485951)</f>
        <v>82.89117695</v>
      </c>
      <c r="P761" s="20">
        <f>IFERROR(__xludf.DUMMYFUNCTION("""COMPUTED_VALUE"""),86705.0)</f>
        <v>86705</v>
      </c>
      <c r="Q761" s="20">
        <f>IFERROR(__xludf.DUMMYFUNCTION("""COMPUTED_VALUE"""),104601.0)</f>
        <v>104601</v>
      </c>
    </row>
    <row r="762">
      <c r="A762" s="20">
        <f>IFERROR(__xludf.DUMMYFUNCTION("""COMPUTED_VALUE"""),763.0)</f>
        <v>763</v>
      </c>
      <c r="B762" s="20" t="str">
        <f>IFERROR(__xludf.DUMMYFUNCTION("""COMPUTED_VALUE"""),"Special Binary String")</f>
        <v>Special Binary String</v>
      </c>
      <c r="C762" s="20" t="str">
        <f>IFERROR(__xludf.DUMMYFUNCTION("""COMPUTED_VALUE"""),"special-binary-string")</f>
        <v>special-binary-string</v>
      </c>
      <c r="D762" s="20" t="b">
        <f>IFERROR(__xludf.DUMMYFUNCTION("""COMPUTED_VALUE"""),FALSE)</f>
        <v>0</v>
      </c>
      <c r="E762" s="20" t="str">
        <f>IFERROR(__xludf.DUMMYFUNCTION("""COMPUTED_VALUE"""),"Hard")</f>
        <v>Hard</v>
      </c>
      <c r="F762" s="20">
        <f>IFERROR(__xludf.DUMMYFUNCTION("""COMPUTED_VALUE"""),612.0)</f>
        <v>612</v>
      </c>
      <c r="G762" s="20">
        <f>IFERROR(__xludf.DUMMYFUNCTION("""COMPUTED_VALUE"""),185.0)</f>
        <v>185</v>
      </c>
      <c r="H762" s="20" t="str">
        <f>IFERROR(__xludf.DUMMYFUNCTION("""COMPUTED_VALUE"""),"Algorithms")</f>
        <v>Algorithms</v>
      </c>
      <c r="I762" s="20">
        <f>IFERROR(__xludf.DUMMYFUNCTION("""COMPUTED_VALUE"""),0.603)</f>
        <v>0.603</v>
      </c>
      <c r="J762" s="20">
        <f>IFERROR(__xludf.DUMMYFUNCTION("""COMPUTED_VALUE"""),761.0)</f>
        <v>761</v>
      </c>
      <c r="K762" s="20" t="b">
        <f>IFERROR(__xludf.DUMMYFUNCTION("""COMPUTED_VALUE"""),FALSE)</f>
        <v>0</v>
      </c>
      <c r="L762" s="20" t="str">
        <f>IFERROR(__xludf.DUMMYFUNCTION("""COMPUTED_VALUE"""),"String;Recursion;")</f>
        <v>String;Recursion;</v>
      </c>
      <c r="M762" s="20" t="b">
        <f>IFERROR(__xludf.DUMMYFUNCTION("""COMPUTED_VALUE"""),TRUE)</f>
        <v>1</v>
      </c>
      <c r="N762" s="20" t="b">
        <f>IFERROR(__xludf.DUMMYFUNCTION("""COMPUTED_VALUE"""),FALSE)</f>
        <v>0</v>
      </c>
      <c r="O762" s="20">
        <f>IFERROR(__xludf.DUMMYFUNCTION("""COMPUTED_VALUE"""),60.3260644680763)</f>
        <v>60.32606447</v>
      </c>
      <c r="P762" s="20">
        <f>IFERROR(__xludf.DUMMYFUNCTION("""COMPUTED_VALUE"""),14579.0)</f>
        <v>14579</v>
      </c>
      <c r="Q762" s="20">
        <f>IFERROR(__xludf.DUMMYFUNCTION("""COMPUTED_VALUE"""),24167.0)</f>
        <v>24167</v>
      </c>
    </row>
    <row r="763">
      <c r="A763" s="20">
        <f>IFERROR(__xludf.DUMMYFUNCTION("""COMPUTED_VALUE"""),767.0)</f>
        <v>767</v>
      </c>
      <c r="B763" s="20" t="str">
        <f>IFERROR(__xludf.DUMMYFUNCTION("""COMPUTED_VALUE"""),"Prime Number of Set Bits in Binary Representation")</f>
        <v>Prime Number of Set Bits in Binary Representation</v>
      </c>
      <c r="C763" s="20" t="str">
        <f>IFERROR(__xludf.DUMMYFUNCTION("""COMPUTED_VALUE"""),"prime-number-of-set-bits-in-binary-representation")</f>
        <v>prime-number-of-set-bits-in-binary-representation</v>
      </c>
      <c r="D763" s="20" t="b">
        <f>IFERROR(__xludf.DUMMYFUNCTION("""COMPUTED_VALUE"""),FALSE)</f>
        <v>0</v>
      </c>
      <c r="E763" s="20" t="str">
        <f>IFERROR(__xludf.DUMMYFUNCTION("""COMPUTED_VALUE"""),"Easy")</f>
        <v>Easy</v>
      </c>
      <c r="F763" s="20">
        <f>IFERROR(__xludf.DUMMYFUNCTION("""COMPUTED_VALUE"""),571.0)</f>
        <v>571</v>
      </c>
      <c r="G763" s="20">
        <f>IFERROR(__xludf.DUMMYFUNCTION("""COMPUTED_VALUE"""),487.0)</f>
        <v>487</v>
      </c>
      <c r="H763" s="20" t="str">
        <f>IFERROR(__xludf.DUMMYFUNCTION("""COMPUTED_VALUE"""),"Algorithms")</f>
        <v>Algorithms</v>
      </c>
      <c r="I763" s="20">
        <f>IFERROR(__xludf.DUMMYFUNCTION("""COMPUTED_VALUE"""),0.679)</f>
        <v>0.679</v>
      </c>
      <c r="J763" s="20">
        <f>IFERROR(__xludf.DUMMYFUNCTION("""COMPUTED_VALUE"""),762.0)</f>
        <v>762</v>
      </c>
      <c r="K763" s="20" t="b">
        <f>IFERROR(__xludf.DUMMYFUNCTION("""COMPUTED_VALUE"""),FALSE)</f>
        <v>0</v>
      </c>
      <c r="L763" s="20" t="str">
        <f>IFERROR(__xludf.DUMMYFUNCTION("""COMPUTED_VALUE"""),"Math;Bit Manipulation;")</f>
        <v>Math;Bit Manipulation;</v>
      </c>
      <c r="M763" s="20" t="b">
        <f>IFERROR(__xludf.DUMMYFUNCTION("""COMPUTED_VALUE"""),TRUE)</f>
        <v>1</v>
      </c>
      <c r="N763" s="20" t="b">
        <f>IFERROR(__xludf.DUMMYFUNCTION("""COMPUTED_VALUE"""),FALSE)</f>
        <v>0</v>
      </c>
      <c r="O763" s="20">
        <f>IFERROR(__xludf.DUMMYFUNCTION("""COMPUTED_VALUE"""),67.8627469678974)</f>
        <v>67.86274697</v>
      </c>
      <c r="P763" s="20">
        <f>IFERROR(__xludf.DUMMYFUNCTION("""COMPUTED_VALUE"""),78279.0)</f>
        <v>78279</v>
      </c>
      <c r="Q763" s="20">
        <f>IFERROR(__xludf.DUMMYFUNCTION("""COMPUTED_VALUE"""),115349.0)</f>
        <v>115349</v>
      </c>
    </row>
    <row r="764">
      <c r="A764" s="20">
        <f>IFERROR(__xludf.DUMMYFUNCTION("""COMPUTED_VALUE"""),768.0)</f>
        <v>768</v>
      </c>
      <c r="B764" s="20" t="str">
        <f>IFERROR(__xludf.DUMMYFUNCTION("""COMPUTED_VALUE"""),"Partition Labels")</f>
        <v>Partition Labels</v>
      </c>
      <c r="C764" s="20" t="str">
        <f>IFERROR(__xludf.DUMMYFUNCTION("""COMPUTED_VALUE"""),"partition-labels")</f>
        <v>partition-labels</v>
      </c>
      <c r="D764" s="20" t="b">
        <f>IFERROR(__xludf.DUMMYFUNCTION("""COMPUTED_VALUE"""),FALSE)</f>
        <v>0</v>
      </c>
      <c r="E764" s="20" t="str">
        <f>IFERROR(__xludf.DUMMYFUNCTION("""COMPUTED_VALUE"""),"Medium")</f>
        <v>Medium</v>
      </c>
      <c r="F764" s="20">
        <f>IFERROR(__xludf.DUMMYFUNCTION("""COMPUTED_VALUE"""),8962.0)</f>
        <v>8962</v>
      </c>
      <c r="G764" s="20">
        <f>IFERROR(__xludf.DUMMYFUNCTION("""COMPUTED_VALUE"""),340.0)</f>
        <v>340</v>
      </c>
      <c r="H764" s="20" t="str">
        <f>IFERROR(__xludf.DUMMYFUNCTION("""COMPUTED_VALUE"""),"Algorithms")</f>
        <v>Algorithms</v>
      </c>
      <c r="I764" s="20">
        <f>IFERROR(__xludf.DUMMYFUNCTION("""COMPUTED_VALUE"""),0.798)</f>
        <v>0.798</v>
      </c>
      <c r="J764" s="20">
        <f>IFERROR(__xludf.DUMMYFUNCTION("""COMPUTED_VALUE"""),763.0)</f>
        <v>763</v>
      </c>
      <c r="K764" s="20" t="b">
        <f>IFERROR(__xludf.DUMMYFUNCTION("""COMPUTED_VALUE"""),FALSE)</f>
        <v>0</v>
      </c>
      <c r="L764" s="20" t="str">
        <f>IFERROR(__xludf.DUMMYFUNCTION("""COMPUTED_VALUE"""),"Hash Table;Two Pointers;String;Greedy;")</f>
        <v>Hash Table;Two Pointers;String;Greedy;</v>
      </c>
      <c r="M764" s="20" t="b">
        <f>IFERROR(__xludf.DUMMYFUNCTION("""COMPUTED_VALUE"""),TRUE)</f>
        <v>1</v>
      </c>
      <c r="N764" s="20" t="b">
        <f>IFERROR(__xludf.DUMMYFUNCTION("""COMPUTED_VALUE"""),FALSE)</f>
        <v>0</v>
      </c>
      <c r="O764" s="20">
        <f>IFERROR(__xludf.DUMMYFUNCTION("""COMPUTED_VALUE"""),79.7998589440958)</f>
        <v>79.79985894</v>
      </c>
      <c r="P764" s="20">
        <f>IFERROR(__xludf.DUMMYFUNCTION("""COMPUTED_VALUE"""),443533.0)</f>
        <v>443533</v>
      </c>
      <c r="Q764" s="20">
        <f>IFERROR(__xludf.DUMMYFUNCTION("""COMPUTED_VALUE"""),555807.0)</f>
        <v>555807</v>
      </c>
    </row>
    <row r="765">
      <c r="A765" s="20">
        <f>IFERROR(__xludf.DUMMYFUNCTION("""COMPUTED_VALUE"""),769.0)</f>
        <v>769</v>
      </c>
      <c r="B765" s="20" t="str">
        <f>IFERROR(__xludf.DUMMYFUNCTION("""COMPUTED_VALUE"""),"Largest Plus Sign")</f>
        <v>Largest Plus Sign</v>
      </c>
      <c r="C765" s="20" t="str">
        <f>IFERROR(__xludf.DUMMYFUNCTION("""COMPUTED_VALUE"""),"largest-plus-sign")</f>
        <v>largest-plus-sign</v>
      </c>
      <c r="D765" s="20" t="b">
        <f>IFERROR(__xludf.DUMMYFUNCTION("""COMPUTED_VALUE"""),FALSE)</f>
        <v>0</v>
      </c>
      <c r="E765" s="20" t="str">
        <f>IFERROR(__xludf.DUMMYFUNCTION("""COMPUTED_VALUE"""),"Medium")</f>
        <v>Medium</v>
      </c>
      <c r="F765" s="20">
        <f>IFERROR(__xludf.DUMMYFUNCTION("""COMPUTED_VALUE"""),1265.0)</f>
        <v>1265</v>
      </c>
      <c r="G765" s="20">
        <f>IFERROR(__xludf.DUMMYFUNCTION("""COMPUTED_VALUE"""),207.0)</f>
        <v>207</v>
      </c>
      <c r="H765" s="20" t="str">
        <f>IFERROR(__xludf.DUMMYFUNCTION("""COMPUTED_VALUE"""),"Algorithms")</f>
        <v>Algorithms</v>
      </c>
      <c r="I765" s="20">
        <f>IFERROR(__xludf.DUMMYFUNCTION("""COMPUTED_VALUE"""),0.484)</f>
        <v>0.484</v>
      </c>
      <c r="J765" s="20">
        <f>IFERROR(__xludf.DUMMYFUNCTION("""COMPUTED_VALUE"""),764.0)</f>
        <v>764</v>
      </c>
      <c r="K765" s="20" t="b">
        <f>IFERROR(__xludf.DUMMYFUNCTION("""COMPUTED_VALUE"""),FALSE)</f>
        <v>0</v>
      </c>
      <c r="L765" s="20" t="str">
        <f>IFERROR(__xludf.DUMMYFUNCTION("""COMPUTED_VALUE"""),"Array;Dynamic Programming;")</f>
        <v>Array;Dynamic Programming;</v>
      </c>
      <c r="M765" s="20" t="b">
        <f>IFERROR(__xludf.DUMMYFUNCTION("""COMPUTED_VALUE"""),TRUE)</f>
        <v>1</v>
      </c>
      <c r="N765" s="20" t="b">
        <f>IFERROR(__xludf.DUMMYFUNCTION("""COMPUTED_VALUE"""),FALSE)</f>
        <v>0</v>
      </c>
      <c r="O765" s="20">
        <f>IFERROR(__xludf.DUMMYFUNCTION("""COMPUTED_VALUE"""),48.4142794347334)</f>
        <v>48.41427943</v>
      </c>
      <c r="P765" s="20">
        <f>IFERROR(__xludf.DUMMYFUNCTION("""COMPUTED_VALUE"""),51766.0)</f>
        <v>51766</v>
      </c>
      <c r="Q765" s="20">
        <f>IFERROR(__xludf.DUMMYFUNCTION("""COMPUTED_VALUE"""),106923.0)</f>
        <v>106923</v>
      </c>
    </row>
    <row r="766">
      <c r="A766" s="20">
        <f>IFERROR(__xludf.DUMMYFUNCTION("""COMPUTED_VALUE"""),770.0)</f>
        <v>770</v>
      </c>
      <c r="B766" s="20" t="str">
        <f>IFERROR(__xludf.DUMMYFUNCTION("""COMPUTED_VALUE"""),"Couples Holding Hands")</f>
        <v>Couples Holding Hands</v>
      </c>
      <c r="C766" s="20" t="str">
        <f>IFERROR(__xludf.DUMMYFUNCTION("""COMPUTED_VALUE"""),"couples-holding-hands")</f>
        <v>couples-holding-hands</v>
      </c>
      <c r="D766" s="20" t="b">
        <f>IFERROR(__xludf.DUMMYFUNCTION("""COMPUTED_VALUE"""),FALSE)</f>
        <v>0</v>
      </c>
      <c r="E766" s="20" t="str">
        <f>IFERROR(__xludf.DUMMYFUNCTION("""COMPUTED_VALUE"""),"Hard")</f>
        <v>Hard</v>
      </c>
      <c r="F766" s="20">
        <f>IFERROR(__xludf.DUMMYFUNCTION("""COMPUTED_VALUE"""),1987.0)</f>
        <v>1987</v>
      </c>
      <c r="G766" s="20">
        <f>IFERROR(__xludf.DUMMYFUNCTION("""COMPUTED_VALUE"""),98.0)</f>
        <v>98</v>
      </c>
      <c r="H766" s="20" t="str">
        <f>IFERROR(__xludf.DUMMYFUNCTION("""COMPUTED_VALUE"""),"Algorithms")</f>
        <v>Algorithms</v>
      </c>
      <c r="I766" s="20">
        <f>IFERROR(__xludf.DUMMYFUNCTION("""COMPUTED_VALUE"""),0.569)</f>
        <v>0.569</v>
      </c>
      <c r="J766" s="20">
        <f>IFERROR(__xludf.DUMMYFUNCTION("""COMPUTED_VALUE"""),765.0)</f>
        <v>765</v>
      </c>
      <c r="K766" s="20" t="b">
        <f>IFERROR(__xludf.DUMMYFUNCTION("""COMPUTED_VALUE"""),FALSE)</f>
        <v>0</v>
      </c>
      <c r="L766" s="20" t="str">
        <f>IFERROR(__xludf.DUMMYFUNCTION("""COMPUTED_VALUE"""),"Greedy;Depth-First Search;Breadth-First Search;Union Find;Graph;")</f>
        <v>Greedy;Depth-First Search;Breadth-First Search;Union Find;Graph;</v>
      </c>
      <c r="M766" s="20" t="b">
        <f>IFERROR(__xludf.DUMMYFUNCTION("""COMPUTED_VALUE"""),TRUE)</f>
        <v>1</v>
      </c>
      <c r="N766" s="20" t="b">
        <f>IFERROR(__xludf.DUMMYFUNCTION("""COMPUTED_VALUE"""),FALSE)</f>
        <v>0</v>
      </c>
      <c r="O766" s="20">
        <f>IFERROR(__xludf.DUMMYFUNCTION("""COMPUTED_VALUE"""),56.9283230206404)</f>
        <v>56.92832302</v>
      </c>
      <c r="P766" s="20">
        <f>IFERROR(__xludf.DUMMYFUNCTION("""COMPUTED_VALUE"""),50418.0)</f>
        <v>50418</v>
      </c>
      <c r="Q766" s="20">
        <f>IFERROR(__xludf.DUMMYFUNCTION("""COMPUTED_VALUE"""),88561.0)</f>
        <v>88561</v>
      </c>
    </row>
    <row r="767">
      <c r="A767" s="20">
        <f>IFERROR(__xludf.DUMMYFUNCTION("""COMPUTED_VALUE"""),777.0)</f>
        <v>777</v>
      </c>
      <c r="B767" s="20" t="str">
        <f>IFERROR(__xludf.DUMMYFUNCTION("""COMPUTED_VALUE"""),"Toeplitz Matrix")</f>
        <v>Toeplitz Matrix</v>
      </c>
      <c r="C767" s="20" t="str">
        <f>IFERROR(__xludf.DUMMYFUNCTION("""COMPUTED_VALUE"""),"toeplitz-matrix")</f>
        <v>toeplitz-matrix</v>
      </c>
      <c r="D767" s="20" t="b">
        <f>IFERROR(__xludf.DUMMYFUNCTION("""COMPUTED_VALUE"""),FALSE)</f>
        <v>0</v>
      </c>
      <c r="E767" s="20" t="str">
        <f>IFERROR(__xludf.DUMMYFUNCTION("""COMPUTED_VALUE"""),"Easy")</f>
        <v>Easy</v>
      </c>
      <c r="F767" s="20">
        <f>IFERROR(__xludf.DUMMYFUNCTION("""COMPUTED_VALUE"""),3142.0)</f>
        <v>3142</v>
      </c>
      <c r="G767" s="20">
        <f>IFERROR(__xludf.DUMMYFUNCTION("""COMPUTED_VALUE"""),151.0)</f>
        <v>151</v>
      </c>
      <c r="H767" s="20" t="str">
        <f>IFERROR(__xludf.DUMMYFUNCTION("""COMPUTED_VALUE"""),"Algorithms")</f>
        <v>Algorithms</v>
      </c>
      <c r="I767" s="20">
        <f>IFERROR(__xludf.DUMMYFUNCTION("""COMPUTED_VALUE"""),0.688)</f>
        <v>0.688</v>
      </c>
      <c r="J767" s="20">
        <f>IFERROR(__xludf.DUMMYFUNCTION("""COMPUTED_VALUE"""),766.0)</f>
        <v>766</v>
      </c>
      <c r="K767" s="20" t="b">
        <f>IFERROR(__xludf.DUMMYFUNCTION("""COMPUTED_VALUE"""),FALSE)</f>
        <v>0</v>
      </c>
      <c r="L767" s="20" t="str">
        <f>IFERROR(__xludf.DUMMYFUNCTION("""COMPUTED_VALUE"""),"Array;Matrix;")</f>
        <v>Array;Matrix;</v>
      </c>
      <c r="M767" s="20" t="b">
        <f>IFERROR(__xludf.DUMMYFUNCTION("""COMPUTED_VALUE"""),TRUE)</f>
        <v>1</v>
      </c>
      <c r="N767" s="20" t="b">
        <f>IFERROR(__xludf.DUMMYFUNCTION("""COMPUTED_VALUE"""),FALSE)</f>
        <v>0</v>
      </c>
      <c r="O767" s="20">
        <f>IFERROR(__xludf.DUMMYFUNCTION("""COMPUTED_VALUE"""),68.769716900053)</f>
        <v>68.7697169</v>
      </c>
      <c r="P767" s="20">
        <f>IFERROR(__xludf.DUMMYFUNCTION("""COMPUTED_VALUE"""),267257.0)</f>
        <v>267257</v>
      </c>
      <c r="Q767" s="20">
        <f>IFERROR(__xludf.DUMMYFUNCTION("""COMPUTED_VALUE"""),388626.0)</f>
        <v>388626</v>
      </c>
    </row>
    <row r="768">
      <c r="A768" s="20">
        <f>IFERROR(__xludf.DUMMYFUNCTION("""COMPUTED_VALUE"""),778.0)</f>
        <v>778</v>
      </c>
      <c r="B768" s="20" t="str">
        <f>IFERROR(__xludf.DUMMYFUNCTION("""COMPUTED_VALUE"""),"Reorganize String")</f>
        <v>Reorganize String</v>
      </c>
      <c r="C768" s="20" t="str">
        <f>IFERROR(__xludf.DUMMYFUNCTION("""COMPUTED_VALUE"""),"reorganize-string")</f>
        <v>reorganize-string</v>
      </c>
      <c r="D768" s="20" t="b">
        <f>IFERROR(__xludf.DUMMYFUNCTION("""COMPUTED_VALUE"""),FALSE)</f>
        <v>0</v>
      </c>
      <c r="E768" s="20" t="str">
        <f>IFERROR(__xludf.DUMMYFUNCTION("""COMPUTED_VALUE"""),"Medium")</f>
        <v>Medium</v>
      </c>
      <c r="F768" s="20">
        <f>IFERROR(__xludf.DUMMYFUNCTION("""COMPUTED_VALUE"""),5720.0)</f>
        <v>5720</v>
      </c>
      <c r="G768" s="20">
        <f>IFERROR(__xludf.DUMMYFUNCTION("""COMPUTED_VALUE"""),195.0)</f>
        <v>195</v>
      </c>
      <c r="H768" s="20" t="str">
        <f>IFERROR(__xludf.DUMMYFUNCTION("""COMPUTED_VALUE"""),"Algorithms")</f>
        <v>Algorithms</v>
      </c>
      <c r="I768" s="20">
        <f>IFERROR(__xludf.DUMMYFUNCTION("""COMPUTED_VALUE"""),0.528)</f>
        <v>0.528</v>
      </c>
      <c r="J768" s="20">
        <f>IFERROR(__xludf.DUMMYFUNCTION("""COMPUTED_VALUE"""),767.0)</f>
        <v>767</v>
      </c>
      <c r="K768" s="20" t="b">
        <f>IFERROR(__xludf.DUMMYFUNCTION("""COMPUTED_VALUE"""),FALSE)</f>
        <v>0</v>
      </c>
      <c r="L768" s="20" t="str">
        <f>IFERROR(__xludf.DUMMYFUNCTION("""COMPUTED_VALUE"""),"Hash Table;String;Greedy;Sorting;Heap (Priority Queue);Counting;")</f>
        <v>Hash Table;String;Greedy;Sorting;Heap (Priority Queue);Counting;</v>
      </c>
      <c r="M768" s="20" t="b">
        <f>IFERROR(__xludf.DUMMYFUNCTION("""COMPUTED_VALUE"""),FALSE)</f>
        <v>0</v>
      </c>
      <c r="N768" s="20" t="b">
        <f>IFERROR(__xludf.DUMMYFUNCTION("""COMPUTED_VALUE"""),FALSE)</f>
        <v>0</v>
      </c>
      <c r="O768" s="20">
        <f>IFERROR(__xludf.DUMMYFUNCTION("""COMPUTED_VALUE"""),52.7977297437985)</f>
        <v>52.79772974</v>
      </c>
      <c r="P768" s="20">
        <f>IFERROR(__xludf.DUMMYFUNCTION("""COMPUTED_VALUE"""),251538.0)</f>
        <v>251538</v>
      </c>
      <c r="Q768" s="20">
        <f>IFERROR(__xludf.DUMMYFUNCTION("""COMPUTED_VALUE"""),476416.0)</f>
        <v>476416</v>
      </c>
    </row>
    <row r="769">
      <c r="A769" s="20">
        <f>IFERROR(__xludf.DUMMYFUNCTION("""COMPUTED_VALUE"""),779.0)</f>
        <v>779</v>
      </c>
      <c r="B769" s="20" t="str">
        <f>IFERROR(__xludf.DUMMYFUNCTION("""COMPUTED_VALUE"""),"Max Chunks To Make Sorted II")</f>
        <v>Max Chunks To Make Sorted II</v>
      </c>
      <c r="C769" s="20" t="str">
        <f>IFERROR(__xludf.DUMMYFUNCTION("""COMPUTED_VALUE"""),"max-chunks-to-make-sorted-ii")</f>
        <v>max-chunks-to-make-sorted-ii</v>
      </c>
      <c r="D769" s="20" t="b">
        <f>IFERROR(__xludf.DUMMYFUNCTION("""COMPUTED_VALUE"""),FALSE)</f>
        <v>0</v>
      </c>
      <c r="E769" s="20" t="str">
        <f>IFERROR(__xludf.DUMMYFUNCTION("""COMPUTED_VALUE"""),"Hard")</f>
        <v>Hard</v>
      </c>
      <c r="F769" s="20">
        <f>IFERROR(__xludf.DUMMYFUNCTION("""COMPUTED_VALUE"""),1539.0)</f>
        <v>1539</v>
      </c>
      <c r="G769" s="20">
        <f>IFERROR(__xludf.DUMMYFUNCTION("""COMPUTED_VALUE"""),44.0)</f>
        <v>44</v>
      </c>
      <c r="H769" s="20" t="str">
        <f>IFERROR(__xludf.DUMMYFUNCTION("""COMPUTED_VALUE"""),"Algorithms")</f>
        <v>Algorithms</v>
      </c>
      <c r="I769" s="20">
        <f>IFERROR(__xludf.DUMMYFUNCTION("""COMPUTED_VALUE"""),0.529)</f>
        <v>0.529</v>
      </c>
      <c r="J769" s="20">
        <f>IFERROR(__xludf.DUMMYFUNCTION("""COMPUTED_VALUE"""),768.0)</f>
        <v>768</v>
      </c>
      <c r="K769" s="20" t="b">
        <f>IFERROR(__xludf.DUMMYFUNCTION("""COMPUTED_VALUE"""),FALSE)</f>
        <v>0</v>
      </c>
      <c r="L769" s="20" t="str">
        <f>IFERROR(__xludf.DUMMYFUNCTION("""COMPUTED_VALUE"""),"Array;Stack;Greedy;Sorting;Monotonic Stack;")</f>
        <v>Array;Stack;Greedy;Sorting;Monotonic Stack;</v>
      </c>
      <c r="M769" s="20" t="b">
        <f>IFERROR(__xludf.DUMMYFUNCTION("""COMPUTED_VALUE"""),FALSE)</f>
        <v>0</v>
      </c>
      <c r="N769" s="20" t="b">
        <f>IFERROR(__xludf.DUMMYFUNCTION("""COMPUTED_VALUE"""),FALSE)</f>
        <v>0</v>
      </c>
      <c r="O769" s="20">
        <f>IFERROR(__xludf.DUMMYFUNCTION("""COMPUTED_VALUE"""),52.8919671635252)</f>
        <v>52.89196716</v>
      </c>
      <c r="P769" s="20">
        <f>IFERROR(__xludf.DUMMYFUNCTION("""COMPUTED_VALUE"""),50704.0)</f>
        <v>50704</v>
      </c>
      <c r="Q769" s="20">
        <f>IFERROR(__xludf.DUMMYFUNCTION("""COMPUTED_VALUE"""),95866.0)</f>
        <v>95866</v>
      </c>
    </row>
    <row r="770">
      <c r="A770" s="20">
        <f>IFERROR(__xludf.DUMMYFUNCTION("""COMPUTED_VALUE"""),780.0)</f>
        <v>780</v>
      </c>
      <c r="B770" s="20" t="str">
        <f>IFERROR(__xludf.DUMMYFUNCTION("""COMPUTED_VALUE"""),"Max Chunks To Make Sorted")</f>
        <v>Max Chunks To Make Sorted</v>
      </c>
      <c r="C770" s="20" t="str">
        <f>IFERROR(__xludf.DUMMYFUNCTION("""COMPUTED_VALUE"""),"max-chunks-to-make-sorted")</f>
        <v>max-chunks-to-make-sorted</v>
      </c>
      <c r="D770" s="20" t="b">
        <f>IFERROR(__xludf.DUMMYFUNCTION("""COMPUTED_VALUE"""),FALSE)</f>
        <v>0</v>
      </c>
      <c r="E770" s="20" t="str">
        <f>IFERROR(__xludf.DUMMYFUNCTION("""COMPUTED_VALUE"""),"Medium")</f>
        <v>Medium</v>
      </c>
      <c r="F770" s="20">
        <f>IFERROR(__xludf.DUMMYFUNCTION("""COMPUTED_VALUE"""),2363.0)</f>
        <v>2363</v>
      </c>
      <c r="G770" s="20">
        <f>IFERROR(__xludf.DUMMYFUNCTION("""COMPUTED_VALUE"""),207.0)</f>
        <v>207</v>
      </c>
      <c r="H770" s="20" t="str">
        <f>IFERROR(__xludf.DUMMYFUNCTION("""COMPUTED_VALUE"""),"Algorithms")</f>
        <v>Algorithms</v>
      </c>
      <c r="I770" s="20">
        <f>IFERROR(__xludf.DUMMYFUNCTION("""COMPUTED_VALUE"""),0.582)</f>
        <v>0.582</v>
      </c>
      <c r="J770" s="20">
        <f>IFERROR(__xludf.DUMMYFUNCTION("""COMPUTED_VALUE"""),769.0)</f>
        <v>769</v>
      </c>
      <c r="K770" s="20" t="b">
        <f>IFERROR(__xludf.DUMMYFUNCTION("""COMPUTED_VALUE"""),FALSE)</f>
        <v>0</v>
      </c>
      <c r="L770" s="20" t="str">
        <f>IFERROR(__xludf.DUMMYFUNCTION("""COMPUTED_VALUE"""),"Array;Stack;Greedy;Sorting;Monotonic Stack;")</f>
        <v>Array;Stack;Greedy;Sorting;Monotonic Stack;</v>
      </c>
      <c r="M770" s="20" t="b">
        <f>IFERROR(__xludf.DUMMYFUNCTION("""COMPUTED_VALUE"""),FALSE)</f>
        <v>0</v>
      </c>
      <c r="N770" s="20" t="b">
        <f>IFERROR(__xludf.DUMMYFUNCTION("""COMPUTED_VALUE"""),FALSE)</f>
        <v>0</v>
      </c>
      <c r="O770" s="20">
        <f>IFERROR(__xludf.DUMMYFUNCTION("""COMPUTED_VALUE"""),58.2204090558095)</f>
        <v>58.22040906</v>
      </c>
      <c r="P770" s="20">
        <f>IFERROR(__xludf.DUMMYFUNCTION("""COMPUTED_VALUE"""),85195.0)</f>
        <v>85195</v>
      </c>
      <c r="Q770" s="20">
        <f>IFERROR(__xludf.DUMMYFUNCTION("""COMPUTED_VALUE"""),146334.0)</f>
        <v>146334</v>
      </c>
    </row>
    <row r="771">
      <c r="A771" s="20">
        <f>IFERROR(__xludf.DUMMYFUNCTION("""COMPUTED_VALUE"""),781.0)</f>
        <v>781</v>
      </c>
      <c r="B771" s="20" t="str">
        <f>IFERROR(__xludf.DUMMYFUNCTION("""COMPUTED_VALUE"""),"Basic Calculator IV")</f>
        <v>Basic Calculator IV</v>
      </c>
      <c r="C771" s="20" t="str">
        <f>IFERROR(__xludf.DUMMYFUNCTION("""COMPUTED_VALUE"""),"basic-calculator-iv")</f>
        <v>basic-calculator-iv</v>
      </c>
      <c r="D771" s="20" t="b">
        <f>IFERROR(__xludf.DUMMYFUNCTION("""COMPUTED_VALUE"""),FALSE)</f>
        <v>0</v>
      </c>
      <c r="E771" s="20" t="str">
        <f>IFERROR(__xludf.DUMMYFUNCTION("""COMPUTED_VALUE"""),"Hard")</f>
        <v>Hard</v>
      </c>
      <c r="F771" s="20">
        <f>IFERROR(__xludf.DUMMYFUNCTION("""COMPUTED_VALUE"""),136.0)</f>
        <v>136</v>
      </c>
      <c r="G771" s="20">
        <f>IFERROR(__xludf.DUMMYFUNCTION("""COMPUTED_VALUE"""),1312.0)</f>
        <v>1312</v>
      </c>
      <c r="H771" s="20" t="str">
        <f>IFERROR(__xludf.DUMMYFUNCTION("""COMPUTED_VALUE"""),"Algorithms")</f>
        <v>Algorithms</v>
      </c>
      <c r="I771" s="20">
        <f>IFERROR(__xludf.DUMMYFUNCTION("""COMPUTED_VALUE"""),0.56)</f>
        <v>0.56</v>
      </c>
      <c r="J771" s="20">
        <f>IFERROR(__xludf.DUMMYFUNCTION("""COMPUTED_VALUE"""),770.0)</f>
        <v>770</v>
      </c>
      <c r="K771" s="20" t="b">
        <f>IFERROR(__xludf.DUMMYFUNCTION("""COMPUTED_VALUE"""),FALSE)</f>
        <v>0</v>
      </c>
      <c r="L771" s="20" t="str">
        <f>IFERROR(__xludf.DUMMYFUNCTION("""COMPUTED_VALUE"""),"Hash Table;Math;String;Stack;Recursion;")</f>
        <v>Hash Table;Math;String;Stack;Recursion;</v>
      </c>
      <c r="M771" s="20" t="b">
        <f>IFERROR(__xludf.DUMMYFUNCTION("""COMPUTED_VALUE"""),FALSE)</f>
        <v>0</v>
      </c>
      <c r="N771" s="20" t="b">
        <f>IFERROR(__xludf.DUMMYFUNCTION("""COMPUTED_VALUE"""),FALSE)</f>
        <v>0</v>
      </c>
      <c r="O771" s="20">
        <f>IFERROR(__xludf.DUMMYFUNCTION("""COMPUTED_VALUE"""),56.0192716806407)</f>
        <v>56.01927168</v>
      </c>
      <c r="P771" s="20">
        <f>IFERROR(__xludf.DUMMYFUNCTION("""COMPUTED_VALUE"""),8953.0)</f>
        <v>8953</v>
      </c>
      <c r="Q771" s="20">
        <f>IFERROR(__xludf.DUMMYFUNCTION("""COMPUTED_VALUE"""),15982.0)</f>
        <v>15982</v>
      </c>
    </row>
    <row r="772">
      <c r="A772" s="20">
        <f>IFERROR(__xludf.DUMMYFUNCTION("""COMPUTED_VALUE"""),782.0)</f>
        <v>782</v>
      </c>
      <c r="B772" s="20" t="str">
        <f>IFERROR(__xludf.DUMMYFUNCTION("""COMPUTED_VALUE"""),"Jewels and Stones")</f>
        <v>Jewels and Stones</v>
      </c>
      <c r="C772" s="20" t="str">
        <f>IFERROR(__xludf.DUMMYFUNCTION("""COMPUTED_VALUE"""),"jewels-and-stones")</f>
        <v>jewels-and-stones</v>
      </c>
      <c r="D772" s="20" t="b">
        <f>IFERROR(__xludf.DUMMYFUNCTION("""COMPUTED_VALUE"""),FALSE)</f>
        <v>0</v>
      </c>
      <c r="E772" s="20" t="str">
        <f>IFERROR(__xludf.DUMMYFUNCTION("""COMPUTED_VALUE"""),"Easy")</f>
        <v>Easy</v>
      </c>
      <c r="F772" s="20">
        <f>IFERROR(__xludf.DUMMYFUNCTION("""COMPUTED_VALUE"""),4216.0)</f>
        <v>4216</v>
      </c>
      <c r="G772" s="20">
        <f>IFERROR(__xludf.DUMMYFUNCTION("""COMPUTED_VALUE"""),525.0)</f>
        <v>525</v>
      </c>
      <c r="H772" s="20" t="str">
        <f>IFERROR(__xludf.DUMMYFUNCTION("""COMPUTED_VALUE"""),"Algorithms")</f>
        <v>Algorithms</v>
      </c>
      <c r="I772" s="20">
        <f>IFERROR(__xludf.DUMMYFUNCTION("""COMPUTED_VALUE"""),0.881)</f>
        <v>0.881</v>
      </c>
      <c r="J772" s="20">
        <f>IFERROR(__xludf.DUMMYFUNCTION("""COMPUTED_VALUE"""),771.0)</f>
        <v>771</v>
      </c>
      <c r="K772" s="20" t="b">
        <f>IFERROR(__xludf.DUMMYFUNCTION("""COMPUTED_VALUE"""),FALSE)</f>
        <v>0</v>
      </c>
      <c r="L772" s="20" t="str">
        <f>IFERROR(__xludf.DUMMYFUNCTION("""COMPUTED_VALUE"""),"Hash Table;String;")</f>
        <v>Hash Table;String;</v>
      </c>
      <c r="M772" s="20" t="b">
        <f>IFERROR(__xludf.DUMMYFUNCTION("""COMPUTED_VALUE"""),TRUE)</f>
        <v>1</v>
      </c>
      <c r="N772" s="20" t="b">
        <f>IFERROR(__xludf.DUMMYFUNCTION("""COMPUTED_VALUE"""),FALSE)</f>
        <v>0</v>
      </c>
      <c r="O772" s="20">
        <f>IFERROR(__xludf.DUMMYFUNCTION("""COMPUTED_VALUE"""),88.1050013804143)</f>
        <v>88.10500138</v>
      </c>
      <c r="P772" s="20">
        <f>IFERROR(__xludf.DUMMYFUNCTION("""COMPUTED_VALUE"""),823334.0)</f>
        <v>823334</v>
      </c>
      <c r="Q772" s="20">
        <f>IFERROR(__xludf.DUMMYFUNCTION("""COMPUTED_VALUE"""),934493.0)</f>
        <v>934493</v>
      </c>
    </row>
    <row r="773">
      <c r="A773" s="20">
        <f>IFERROR(__xludf.DUMMYFUNCTION("""COMPUTED_VALUE"""),785.0)</f>
        <v>785</v>
      </c>
      <c r="B773" s="20" t="str">
        <f>IFERROR(__xludf.DUMMYFUNCTION("""COMPUTED_VALUE"""),"Basic Calculator III")</f>
        <v>Basic Calculator III</v>
      </c>
      <c r="C773" s="20" t="str">
        <f>IFERROR(__xludf.DUMMYFUNCTION("""COMPUTED_VALUE"""),"basic-calculator-iii")</f>
        <v>basic-calculator-iii</v>
      </c>
      <c r="D773" s="20" t="b">
        <f>IFERROR(__xludf.DUMMYFUNCTION("""COMPUTED_VALUE"""),TRUE)</f>
        <v>1</v>
      </c>
      <c r="E773" s="20" t="str">
        <f>IFERROR(__xludf.DUMMYFUNCTION("""COMPUTED_VALUE"""),"Hard")</f>
        <v>Hard</v>
      </c>
      <c r="F773" s="20">
        <f>IFERROR(__xludf.DUMMYFUNCTION("""COMPUTED_VALUE"""),991.0)</f>
        <v>991</v>
      </c>
      <c r="G773" s="20">
        <f>IFERROR(__xludf.DUMMYFUNCTION("""COMPUTED_VALUE"""),263.0)</f>
        <v>263</v>
      </c>
      <c r="H773" s="20" t="str">
        <f>IFERROR(__xludf.DUMMYFUNCTION("""COMPUTED_VALUE"""),"Algorithms")</f>
        <v>Algorithms</v>
      </c>
      <c r="I773" s="20">
        <f>IFERROR(__xludf.DUMMYFUNCTION("""COMPUTED_VALUE"""),0.486)</f>
        <v>0.486</v>
      </c>
      <c r="J773" s="20">
        <f>IFERROR(__xludf.DUMMYFUNCTION("""COMPUTED_VALUE"""),772.0)</f>
        <v>772</v>
      </c>
      <c r="K773" s="20" t="b">
        <f>IFERROR(__xludf.DUMMYFUNCTION("""COMPUTED_VALUE"""),TRUE)</f>
        <v>1</v>
      </c>
      <c r="L773" s="20" t="str">
        <f>IFERROR(__xludf.DUMMYFUNCTION("""COMPUTED_VALUE"""),"Math;String;Stack;Recursion;")</f>
        <v>Math;String;Stack;Recursion;</v>
      </c>
      <c r="M773" s="20" t="b">
        <f>IFERROR(__xludf.DUMMYFUNCTION("""COMPUTED_VALUE"""),FALSE)</f>
        <v>0</v>
      </c>
      <c r="N773" s="20" t="b">
        <f>IFERROR(__xludf.DUMMYFUNCTION("""COMPUTED_VALUE"""),FALSE)</f>
        <v>0</v>
      </c>
      <c r="O773" s="20">
        <f>IFERROR(__xludf.DUMMYFUNCTION("""COMPUTED_VALUE"""),48.6258010669504)</f>
        <v>48.62580107</v>
      </c>
      <c r="P773" s="20">
        <f>IFERROR(__xludf.DUMMYFUNCTION("""COMPUTED_VALUE"""),99626.0)</f>
        <v>99626</v>
      </c>
      <c r="Q773" s="20">
        <f>IFERROR(__xludf.DUMMYFUNCTION("""COMPUTED_VALUE"""),204883.0)</f>
        <v>204883</v>
      </c>
    </row>
    <row r="774">
      <c r="A774" s="20">
        <f>IFERROR(__xludf.DUMMYFUNCTION("""COMPUTED_VALUE"""),787.0)</f>
        <v>787</v>
      </c>
      <c r="B774" s="20" t="str">
        <f>IFERROR(__xludf.DUMMYFUNCTION("""COMPUTED_VALUE"""),"Sliding Puzzle")</f>
        <v>Sliding Puzzle</v>
      </c>
      <c r="C774" s="20" t="str">
        <f>IFERROR(__xludf.DUMMYFUNCTION("""COMPUTED_VALUE"""),"sliding-puzzle")</f>
        <v>sliding-puzzle</v>
      </c>
      <c r="D774" s="20" t="b">
        <f>IFERROR(__xludf.DUMMYFUNCTION("""COMPUTED_VALUE"""),FALSE)</f>
        <v>0</v>
      </c>
      <c r="E774" s="20" t="str">
        <f>IFERROR(__xludf.DUMMYFUNCTION("""COMPUTED_VALUE"""),"Hard")</f>
        <v>Hard</v>
      </c>
      <c r="F774" s="20">
        <f>IFERROR(__xludf.DUMMYFUNCTION("""COMPUTED_VALUE"""),1772.0)</f>
        <v>1772</v>
      </c>
      <c r="G774" s="20">
        <f>IFERROR(__xludf.DUMMYFUNCTION("""COMPUTED_VALUE"""),45.0)</f>
        <v>45</v>
      </c>
      <c r="H774" s="20" t="str">
        <f>IFERROR(__xludf.DUMMYFUNCTION("""COMPUTED_VALUE"""),"Algorithms")</f>
        <v>Algorithms</v>
      </c>
      <c r="I774" s="20">
        <f>IFERROR(__xludf.DUMMYFUNCTION("""COMPUTED_VALUE"""),0.64)</f>
        <v>0.64</v>
      </c>
      <c r="J774" s="20">
        <f>IFERROR(__xludf.DUMMYFUNCTION("""COMPUTED_VALUE"""),773.0)</f>
        <v>773</v>
      </c>
      <c r="K774" s="20" t="b">
        <f>IFERROR(__xludf.DUMMYFUNCTION("""COMPUTED_VALUE"""),FALSE)</f>
        <v>0</v>
      </c>
      <c r="L774" s="20" t="str">
        <f>IFERROR(__xludf.DUMMYFUNCTION("""COMPUTED_VALUE"""),"Array;Breadth-First Search;Matrix;")</f>
        <v>Array;Breadth-First Search;Matrix;</v>
      </c>
      <c r="M774" s="20" t="b">
        <f>IFERROR(__xludf.DUMMYFUNCTION("""COMPUTED_VALUE"""),TRUE)</f>
        <v>1</v>
      </c>
      <c r="N774" s="20" t="b">
        <f>IFERROR(__xludf.DUMMYFUNCTION("""COMPUTED_VALUE"""),FALSE)</f>
        <v>0</v>
      </c>
      <c r="O774" s="20">
        <f>IFERROR(__xludf.DUMMYFUNCTION("""COMPUTED_VALUE"""),64.0393279519429)</f>
        <v>64.03932795</v>
      </c>
      <c r="P774" s="20">
        <f>IFERROR(__xludf.DUMMYFUNCTION("""COMPUTED_VALUE"""),81873.0)</f>
        <v>81873</v>
      </c>
      <c r="Q774" s="20">
        <f>IFERROR(__xludf.DUMMYFUNCTION("""COMPUTED_VALUE"""),127847.0)</f>
        <v>127847</v>
      </c>
    </row>
    <row r="775">
      <c r="A775" s="20">
        <f>IFERROR(__xludf.DUMMYFUNCTION("""COMPUTED_VALUE"""),788.0)</f>
        <v>788</v>
      </c>
      <c r="B775" s="20" t="str">
        <f>IFERROR(__xludf.DUMMYFUNCTION("""COMPUTED_VALUE"""),"Minimize Max Distance to Gas Station")</f>
        <v>Minimize Max Distance to Gas Station</v>
      </c>
      <c r="C775" s="20" t="str">
        <f>IFERROR(__xludf.DUMMYFUNCTION("""COMPUTED_VALUE"""),"minimize-max-distance-to-gas-station")</f>
        <v>minimize-max-distance-to-gas-station</v>
      </c>
      <c r="D775" s="20" t="b">
        <f>IFERROR(__xludf.DUMMYFUNCTION("""COMPUTED_VALUE"""),TRUE)</f>
        <v>1</v>
      </c>
      <c r="E775" s="20" t="str">
        <f>IFERROR(__xludf.DUMMYFUNCTION("""COMPUTED_VALUE"""),"Hard")</f>
        <v>Hard</v>
      </c>
      <c r="F775" s="20">
        <f>IFERROR(__xludf.DUMMYFUNCTION("""COMPUTED_VALUE"""),615.0)</f>
        <v>615</v>
      </c>
      <c r="G775" s="20">
        <f>IFERROR(__xludf.DUMMYFUNCTION("""COMPUTED_VALUE"""),89.0)</f>
        <v>89</v>
      </c>
      <c r="H775" s="20" t="str">
        <f>IFERROR(__xludf.DUMMYFUNCTION("""COMPUTED_VALUE"""),"Algorithms")</f>
        <v>Algorithms</v>
      </c>
      <c r="I775" s="20">
        <f>IFERROR(__xludf.DUMMYFUNCTION("""COMPUTED_VALUE"""),0.516)</f>
        <v>0.516</v>
      </c>
      <c r="J775" s="20">
        <f>IFERROR(__xludf.DUMMYFUNCTION("""COMPUTED_VALUE"""),774.0)</f>
        <v>774</v>
      </c>
      <c r="K775" s="20" t="b">
        <f>IFERROR(__xludf.DUMMYFUNCTION("""COMPUTED_VALUE"""),TRUE)</f>
        <v>1</v>
      </c>
      <c r="L775" s="20" t="str">
        <f>IFERROR(__xludf.DUMMYFUNCTION("""COMPUTED_VALUE"""),"Array;Binary Search;")</f>
        <v>Array;Binary Search;</v>
      </c>
      <c r="M775" s="20" t="b">
        <f>IFERROR(__xludf.DUMMYFUNCTION("""COMPUTED_VALUE"""),TRUE)</f>
        <v>1</v>
      </c>
      <c r="N775" s="20" t="b">
        <f>IFERROR(__xludf.DUMMYFUNCTION("""COMPUTED_VALUE"""),FALSE)</f>
        <v>0</v>
      </c>
      <c r="O775" s="20">
        <f>IFERROR(__xludf.DUMMYFUNCTION("""COMPUTED_VALUE"""),51.5567833943104)</f>
        <v>51.55678339</v>
      </c>
      <c r="P775" s="20">
        <f>IFERROR(__xludf.DUMMYFUNCTION("""COMPUTED_VALUE"""),27620.0)</f>
        <v>27620</v>
      </c>
      <c r="Q775" s="20">
        <f>IFERROR(__xludf.DUMMYFUNCTION("""COMPUTED_VALUE"""),53572.0)</f>
        <v>53572</v>
      </c>
    </row>
    <row r="776">
      <c r="A776" s="20">
        <f>IFERROR(__xludf.DUMMYFUNCTION("""COMPUTED_VALUE"""),790.0)</f>
        <v>790</v>
      </c>
      <c r="B776" s="20" t="str">
        <f>IFERROR(__xludf.DUMMYFUNCTION("""COMPUTED_VALUE"""),"Global and Local Inversions")</f>
        <v>Global and Local Inversions</v>
      </c>
      <c r="C776" s="20" t="str">
        <f>IFERROR(__xludf.DUMMYFUNCTION("""COMPUTED_VALUE"""),"global-and-local-inversions")</f>
        <v>global-and-local-inversions</v>
      </c>
      <c r="D776" s="20" t="b">
        <f>IFERROR(__xludf.DUMMYFUNCTION("""COMPUTED_VALUE"""),FALSE)</f>
        <v>0</v>
      </c>
      <c r="E776" s="20" t="str">
        <f>IFERROR(__xludf.DUMMYFUNCTION("""COMPUTED_VALUE"""),"Medium")</f>
        <v>Medium</v>
      </c>
      <c r="F776" s="20">
        <f>IFERROR(__xludf.DUMMYFUNCTION("""COMPUTED_VALUE"""),1488.0)</f>
        <v>1488</v>
      </c>
      <c r="G776" s="20">
        <f>IFERROR(__xludf.DUMMYFUNCTION("""COMPUTED_VALUE"""),345.0)</f>
        <v>345</v>
      </c>
      <c r="H776" s="20" t="str">
        <f>IFERROR(__xludf.DUMMYFUNCTION("""COMPUTED_VALUE"""),"Algorithms")</f>
        <v>Algorithms</v>
      </c>
      <c r="I776" s="20">
        <f>IFERROR(__xludf.DUMMYFUNCTION("""COMPUTED_VALUE"""),0.435)</f>
        <v>0.435</v>
      </c>
      <c r="J776" s="20">
        <f>IFERROR(__xludf.DUMMYFUNCTION("""COMPUTED_VALUE"""),775.0)</f>
        <v>775</v>
      </c>
      <c r="K776" s="20" t="b">
        <f>IFERROR(__xludf.DUMMYFUNCTION("""COMPUTED_VALUE"""),FALSE)</f>
        <v>0</v>
      </c>
      <c r="L776" s="20" t="str">
        <f>IFERROR(__xludf.DUMMYFUNCTION("""COMPUTED_VALUE"""),"Array;Math;")</f>
        <v>Array;Math;</v>
      </c>
      <c r="M776" s="20" t="b">
        <f>IFERROR(__xludf.DUMMYFUNCTION("""COMPUTED_VALUE"""),TRUE)</f>
        <v>1</v>
      </c>
      <c r="N776" s="20" t="b">
        <f>IFERROR(__xludf.DUMMYFUNCTION("""COMPUTED_VALUE"""),FALSE)</f>
        <v>0</v>
      </c>
      <c r="O776" s="20">
        <f>IFERROR(__xludf.DUMMYFUNCTION("""COMPUTED_VALUE"""),43.5362132648145)</f>
        <v>43.53621326</v>
      </c>
      <c r="P776" s="20">
        <f>IFERROR(__xludf.DUMMYFUNCTION("""COMPUTED_VALUE"""),62353.0)</f>
        <v>62353</v>
      </c>
      <c r="Q776" s="20">
        <f>IFERROR(__xludf.DUMMYFUNCTION("""COMPUTED_VALUE"""),143221.0)</f>
        <v>143221</v>
      </c>
    </row>
    <row r="777">
      <c r="A777" s="20">
        <f>IFERROR(__xludf.DUMMYFUNCTION("""COMPUTED_VALUE"""),791.0)</f>
        <v>791</v>
      </c>
      <c r="B777" s="20" t="str">
        <f>IFERROR(__xludf.DUMMYFUNCTION("""COMPUTED_VALUE"""),"Split BST")</f>
        <v>Split BST</v>
      </c>
      <c r="C777" s="20" t="str">
        <f>IFERROR(__xludf.DUMMYFUNCTION("""COMPUTED_VALUE"""),"split-bst")</f>
        <v>split-bst</v>
      </c>
      <c r="D777" s="20" t="b">
        <f>IFERROR(__xludf.DUMMYFUNCTION("""COMPUTED_VALUE"""),TRUE)</f>
        <v>1</v>
      </c>
      <c r="E777" s="20" t="str">
        <f>IFERROR(__xludf.DUMMYFUNCTION("""COMPUTED_VALUE"""),"Medium")</f>
        <v>Medium</v>
      </c>
      <c r="F777" s="20">
        <f>IFERROR(__xludf.DUMMYFUNCTION("""COMPUTED_VALUE"""),946.0)</f>
        <v>946</v>
      </c>
      <c r="G777" s="20">
        <f>IFERROR(__xludf.DUMMYFUNCTION("""COMPUTED_VALUE"""),96.0)</f>
        <v>96</v>
      </c>
      <c r="H777" s="20" t="str">
        <f>IFERROR(__xludf.DUMMYFUNCTION("""COMPUTED_VALUE"""),"Algorithms")</f>
        <v>Algorithms</v>
      </c>
      <c r="I777" s="20">
        <f>IFERROR(__xludf.DUMMYFUNCTION("""COMPUTED_VALUE"""),0.587)</f>
        <v>0.587</v>
      </c>
      <c r="J777" s="20">
        <f>IFERROR(__xludf.DUMMYFUNCTION("""COMPUTED_VALUE"""),776.0)</f>
        <v>776</v>
      </c>
      <c r="K777" s="20" t="b">
        <f>IFERROR(__xludf.DUMMYFUNCTION("""COMPUTED_VALUE"""),TRUE)</f>
        <v>1</v>
      </c>
      <c r="L777" s="20" t="str">
        <f>IFERROR(__xludf.DUMMYFUNCTION("""COMPUTED_VALUE"""),"Tree;Binary Search Tree;Recursion;Binary Tree;")</f>
        <v>Tree;Binary Search Tree;Recursion;Binary Tree;</v>
      </c>
      <c r="M777" s="20" t="b">
        <f>IFERROR(__xludf.DUMMYFUNCTION("""COMPUTED_VALUE"""),TRUE)</f>
        <v>1</v>
      </c>
      <c r="N777" s="20" t="b">
        <f>IFERROR(__xludf.DUMMYFUNCTION("""COMPUTED_VALUE"""),FALSE)</f>
        <v>0</v>
      </c>
      <c r="O777" s="20">
        <f>IFERROR(__xludf.DUMMYFUNCTION("""COMPUTED_VALUE"""),58.676434476549)</f>
        <v>58.67643448</v>
      </c>
      <c r="P777" s="20">
        <f>IFERROR(__xludf.DUMMYFUNCTION("""COMPUTED_VALUE"""),28674.0)</f>
        <v>28674</v>
      </c>
      <c r="Q777" s="20">
        <f>IFERROR(__xludf.DUMMYFUNCTION("""COMPUTED_VALUE"""),48868.0)</f>
        <v>48868</v>
      </c>
    </row>
    <row r="778">
      <c r="A778" s="20">
        <f>IFERROR(__xludf.DUMMYFUNCTION("""COMPUTED_VALUE"""),793.0)</f>
        <v>793</v>
      </c>
      <c r="B778" s="20" t="str">
        <f>IFERROR(__xludf.DUMMYFUNCTION("""COMPUTED_VALUE"""),"Swap Adjacent in LR String")</f>
        <v>Swap Adjacent in LR String</v>
      </c>
      <c r="C778" s="20" t="str">
        <f>IFERROR(__xludf.DUMMYFUNCTION("""COMPUTED_VALUE"""),"swap-adjacent-in-lr-string")</f>
        <v>swap-adjacent-in-lr-string</v>
      </c>
      <c r="D778" s="20" t="b">
        <f>IFERROR(__xludf.DUMMYFUNCTION("""COMPUTED_VALUE"""),FALSE)</f>
        <v>0</v>
      </c>
      <c r="E778" s="20" t="str">
        <f>IFERROR(__xludf.DUMMYFUNCTION("""COMPUTED_VALUE"""),"Medium")</f>
        <v>Medium</v>
      </c>
      <c r="F778" s="20">
        <f>IFERROR(__xludf.DUMMYFUNCTION("""COMPUTED_VALUE"""),1041.0)</f>
        <v>1041</v>
      </c>
      <c r="G778" s="20">
        <f>IFERROR(__xludf.DUMMYFUNCTION("""COMPUTED_VALUE"""),855.0)</f>
        <v>855</v>
      </c>
      <c r="H778" s="20" t="str">
        <f>IFERROR(__xludf.DUMMYFUNCTION("""COMPUTED_VALUE"""),"Algorithms")</f>
        <v>Algorithms</v>
      </c>
      <c r="I778" s="20">
        <f>IFERROR(__xludf.DUMMYFUNCTION("""COMPUTED_VALUE"""),0.37)</f>
        <v>0.37</v>
      </c>
      <c r="J778" s="20">
        <f>IFERROR(__xludf.DUMMYFUNCTION("""COMPUTED_VALUE"""),777.0)</f>
        <v>777</v>
      </c>
      <c r="K778" s="20" t="b">
        <f>IFERROR(__xludf.DUMMYFUNCTION("""COMPUTED_VALUE"""),FALSE)</f>
        <v>0</v>
      </c>
      <c r="L778" s="20" t="str">
        <f>IFERROR(__xludf.DUMMYFUNCTION("""COMPUTED_VALUE"""),"Two Pointers;String;")</f>
        <v>Two Pointers;String;</v>
      </c>
      <c r="M778" s="20" t="b">
        <f>IFERROR(__xludf.DUMMYFUNCTION("""COMPUTED_VALUE"""),FALSE)</f>
        <v>0</v>
      </c>
      <c r="N778" s="20" t="b">
        <f>IFERROR(__xludf.DUMMYFUNCTION("""COMPUTED_VALUE"""),FALSE)</f>
        <v>0</v>
      </c>
      <c r="O778" s="20">
        <f>IFERROR(__xludf.DUMMYFUNCTION("""COMPUTED_VALUE"""),36.9982195327092)</f>
        <v>36.99821953</v>
      </c>
      <c r="P778" s="20">
        <f>IFERROR(__xludf.DUMMYFUNCTION("""COMPUTED_VALUE"""),67743.0)</f>
        <v>67743</v>
      </c>
      <c r="Q778" s="20">
        <f>IFERROR(__xludf.DUMMYFUNCTION("""COMPUTED_VALUE"""),183098.0)</f>
        <v>183098</v>
      </c>
    </row>
    <row r="779">
      <c r="A779" s="20">
        <f>IFERROR(__xludf.DUMMYFUNCTION("""COMPUTED_VALUE"""),794.0)</f>
        <v>794</v>
      </c>
      <c r="B779" s="20" t="str">
        <f>IFERROR(__xludf.DUMMYFUNCTION("""COMPUTED_VALUE"""),"Swim in Rising Water")</f>
        <v>Swim in Rising Water</v>
      </c>
      <c r="C779" s="20" t="str">
        <f>IFERROR(__xludf.DUMMYFUNCTION("""COMPUTED_VALUE"""),"swim-in-rising-water")</f>
        <v>swim-in-rising-water</v>
      </c>
      <c r="D779" s="20" t="b">
        <f>IFERROR(__xludf.DUMMYFUNCTION("""COMPUTED_VALUE"""),FALSE)</f>
        <v>0</v>
      </c>
      <c r="E779" s="20" t="str">
        <f>IFERROR(__xludf.DUMMYFUNCTION("""COMPUTED_VALUE"""),"Hard")</f>
        <v>Hard</v>
      </c>
      <c r="F779" s="20">
        <f>IFERROR(__xludf.DUMMYFUNCTION("""COMPUTED_VALUE"""),2739.0)</f>
        <v>2739</v>
      </c>
      <c r="G779" s="20">
        <f>IFERROR(__xludf.DUMMYFUNCTION("""COMPUTED_VALUE"""),179.0)</f>
        <v>179</v>
      </c>
      <c r="H779" s="20" t="str">
        <f>IFERROR(__xludf.DUMMYFUNCTION("""COMPUTED_VALUE"""),"Algorithms")</f>
        <v>Algorithms</v>
      </c>
      <c r="I779" s="20">
        <f>IFERROR(__xludf.DUMMYFUNCTION("""COMPUTED_VALUE"""),0.598)</f>
        <v>0.598</v>
      </c>
      <c r="J779" s="20">
        <f>IFERROR(__xludf.DUMMYFUNCTION("""COMPUTED_VALUE"""),778.0)</f>
        <v>778</v>
      </c>
      <c r="K779" s="20" t="b">
        <f>IFERROR(__xludf.DUMMYFUNCTION("""COMPUTED_VALUE"""),FALSE)</f>
        <v>0</v>
      </c>
      <c r="L779" s="20" t="str">
        <f>IFERROR(__xludf.DUMMYFUNCTION("""COMPUTED_VALUE"""),"Array;Binary Search;Depth-First Search;Breadth-First Search;Union Find;Heap (Priority Queue);Matrix;")</f>
        <v>Array;Binary Search;Depth-First Search;Breadth-First Search;Union Find;Heap (Priority Queue);Matrix;</v>
      </c>
      <c r="M779" s="20" t="b">
        <f>IFERROR(__xludf.DUMMYFUNCTION("""COMPUTED_VALUE"""),TRUE)</f>
        <v>1</v>
      </c>
      <c r="N779" s="20" t="b">
        <f>IFERROR(__xludf.DUMMYFUNCTION("""COMPUTED_VALUE"""),FALSE)</f>
        <v>0</v>
      </c>
      <c r="O779" s="20">
        <f>IFERROR(__xludf.DUMMYFUNCTION("""COMPUTED_VALUE"""),59.7810067575681)</f>
        <v>59.78100676</v>
      </c>
      <c r="P779" s="20">
        <f>IFERROR(__xludf.DUMMYFUNCTION("""COMPUTED_VALUE"""),109520.0)</f>
        <v>109520</v>
      </c>
      <c r="Q779" s="20">
        <f>IFERROR(__xludf.DUMMYFUNCTION("""COMPUTED_VALUE"""),183201.0)</f>
        <v>183201</v>
      </c>
    </row>
    <row r="780">
      <c r="A780" s="20">
        <f>IFERROR(__xludf.DUMMYFUNCTION("""COMPUTED_VALUE"""),795.0)</f>
        <v>795</v>
      </c>
      <c r="B780" s="20" t="str">
        <f>IFERROR(__xludf.DUMMYFUNCTION("""COMPUTED_VALUE"""),"K-th Symbol in Grammar")</f>
        <v>K-th Symbol in Grammar</v>
      </c>
      <c r="C780" s="20" t="str">
        <f>IFERROR(__xludf.DUMMYFUNCTION("""COMPUTED_VALUE"""),"k-th-symbol-in-grammar")</f>
        <v>k-th-symbol-in-grammar</v>
      </c>
      <c r="D780" s="20" t="b">
        <f>IFERROR(__xludf.DUMMYFUNCTION("""COMPUTED_VALUE"""),FALSE)</f>
        <v>0</v>
      </c>
      <c r="E780" s="20" t="str">
        <f>IFERROR(__xludf.DUMMYFUNCTION("""COMPUTED_VALUE"""),"Medium")</f>
        <v>Medium</v>
      </c>
      <c r="F780" s="20">
        <f>IFERROR(__xludf.DUMMYFUNCTION("""COMPUTED_VALUE"""),2309.0)</f>
        <v>2309</v>
      </c>
      <c r="G780" s="20">
        <f>IFERROR(__xludf.DUMMYFUNCTION("""COMPUTED_VALUE"""),281.0)</f>
        <v>281</v>
      </c>
      <c r="H780" s="20" t="str">
        <f>IFERROR(__xludf.DUMMYFUNCTION("""COMPUTED_VALUE"""),"Algorithms")</f>
        <v>Algorithms</v>
      </c>
      <c r="I780" s="20">
        <f>IFERROR(__xludf.DUMMYFUNCTION("""COMPUTED_VALUE"""),0.41)</f>
        <v>0.41</v>
      </c>
      <c r="J780" s="20">
        <f>IFERROR(__xludf.DUMMYFUNCTION("""COMPUTED_VALUE"""),779.0)</f>
        <v>779</v>
      </c>
      <c r="K780" s="20" t="b">
        <f>IFERROR(__xludf.DUMMYFUNCTION("""COMPUTED_VALUE"""),FALSE)</f>
        <v>0</v>
      </c>
      <c r="L780" s="20" t="str">
        <f>IFERROR(__xludf.DUMMYFUNCTION("""COMPUTED_VALUE"""),"Math;Bit Manipulation;Recursion;")</f>
        <v>Math;Bit Manipulation;Recursion;</v>
      </c>
      <c r="M780" s="20" t="b">
        <f>IFERROR(__xludf.DUMMYFUNCTION("""COMPUTED_VALUE"""),TRUE)</f>
        <v>1</v>
      </c>
      <c r="N780" s="20" t="b">
        <f>IFERROR(__xludf.DUMMYFUNCTION("""COMPUTED_VALUE"""),FALSE)</f>
        <v>0</v>
      </c>
      <c r="O780" s="20">
        <f>IFERROR(__xludf.DUMMYFUNCTION("""COMPUTED_VALUE"""),40.9797450981903)</f>
        <v>40.9797451</v>
      </c>
      <c r="P780" s="20">
        <f>IFERROR(__xludf.DUMMYFUNCTION("""COMPUTED_VALUE"""),106296.0)</f>
        <v>106296</v>
      </c>
      <c r="Q780" s="20">
        <f>IFERROR(__xludf.DUMMYFUNCTION("""COMPUTED_VALUE"""),259391.0)</f>
        <v>259391</v>
      </c>
    </row>
    <row r="781">
      <c r="A781" s="20">
        <f>IFERROR(__xludf.DUMMYFUNCTION("""COMPUTED_VALUE"""),796.0)</f>
        <v>796</v>
      </c>
      <c r="B781" s="20" t="str">
        <f>IFERROR(__xludf.DUMMYFUNCTION("""COMPUTED_VALUE"""),"Reaching Points")</f>
        <v>Reaching Points</v>
      </c>
      <c r="C781" s="20" t="str">
        <f>IFERROR(__xludf.DUMMYFUNCTION("""COMPUTED_VALUE"""),"reaching-points")</f>
        <v>reaching-points</v>
      </c>
      <c r="D781" s="20" t="b">
        <f>IFERROR(__xludf.DUMMYFUNCTION("""COMPUTED_VALUE"""),FALSE)</f>
        <v>0</v>
      </c>
      <c r="E781" s="20" t="str">
        <f>IFERROR(__xludf.DUMMYFUNCTION("""COMPUTED_VALUE"""),"Hard")</f>
        <v>Hard</v>
      </c>
      <c r="F781" s="20">
        <f>IFERROR(__xludf.DUMMYFUNCTION("""COMPUTED_VALUE"""),1188.0)</f>
        <v>1188</v>
      </c>
      <c r="G781" s="20">
        <f>IFERROR(__xludf.DUMMYFUNCTION("""COMPUTED_VALUE"""),190.0)</f>
        <v>190</v>
      </c>
      <c r="H781" s="20" t="str">
        <f>IFERROR(__xludf.DUMMYFUNCTION("""COMPUTED_VALUE"""),"Algorithms")</f>
        <v>Algorithms</v>
      </c>
      <c r="I781" s="20">
        <f>IFERROR(__xludf.DUMMYFUNCTION("""COMPUTED_VALUE"""),0.325)</f>
        <v>0.325</v>
      </c>
      <c r="J781" s="20">
        <f>IFERROR(__xludf.DUMMYFUNCTION("""COMPUTED_VALUE"""),780.0)</f>
        <v>780</v>
      </c>
      <c r="K781" s="20" t="b">
        <f>IFERROR(__xludf.DUMMYFUNCTION("""COMPUTED_VALUE"""),FALSE)</f>
        <v>0</v>
      </c>
      <c r="L781" s="20" t="str">
        <f>IFERROR(__xludf.DUMMYFUNCTION("""COMPUTED_VALUE"""),"Math;")</f>
        <v>Math;</v>
      </c>
      <c r="M781" s="20" t="b">
        <f>IFERROR(__xludf.DUMMYFUNCTION("""COMPUTED_VALUE"""),TRUE)</f>
        <v>1</v>
      </c>
      <c r="N781" s="20" t="b">
        <f>IFERROR(__xludf.DUMMYFUNCTION("""COMPUTED_VALUE"""),FALSE)</f>
        <v>0</v>
      </c>
      <c r="O781" s="20">
        <f>IFERROR(__xludf.DUMMYFUNCTION("""COMPUTED_VALUE"""),32.5347823033259)</f>
        <v>32.5347823</v>
      </c>
      <c r="P781" s="20">
        <f>IFERROR(__xludf.DUMMYFUNCTION("""COMPUTED_VALUE"""),50955.0)</f>
        <v>50955</v>
      </c>
      <c r="Q781" s="20">
        <f>IFERROR(__xludf.DUMMYFUNCTION("""COMPUTED_VALUE"""),156617.0)</f>
        <v>156617</v>
      </c>
    </row>
    <row r="782">
      <c r="A782" s="20">
        <f>IFERROR(__xludf.DUMMYFUNCTION("""COMPUTED_VALUE"""),797.0)</f>
        <v>797</v>
      </c>
      <c r="B782" s="20" t="str">
        <f>IFERROR(__xludf.DUMMYFUNCTION("""COMPUTED_VALUE"""),"Rabbits in Forest")</f>
        <v>Rabbits in Forest</v>
      </c>
      <c r="C782" s="20" t="str">
        <f>IFERROR(__xludf.DUMMYFUNCTION("""COMPUTED_VALUE"""),"rabbits-in-forest")</f>
        <v>rabbits-in-forest</v>
      </c>
      <c r="D782" s="20" t="b">
        <f>IFERROR(__xludf.DUMMYFUNCTION("""COMPUTED_VALUE"""),FALSE)</f>
        <v>0</v>
      </c>
      <c r="E782" s="20" t="str">
        <f>IFERROR(__xludf.DUMMYFUNCTION("""COMPUTED_VALUE"""),"Medium")</f>
        <v>Medium</v>
      </c>
      <c r="F782" s="20">
        <f>IFERROR(__xludf.DUMMYFUNCTION("""COMPUTED_VALUE"""),952.0)</f>
        <v>952</v>
      </c>
      <c r="G782" s="20">
        <f>IFERROR(__xludf.DUMMYFUNCTION("""COMPUTED_VALUE"""),531.0)</f>
        <v>531</v>
      </c>
      <c r="H782" s="20" t="str">
        <f>IFERROR(__xludf.DUMMYFUNCTION("""COMPUTED_VALUE"""),"Algorithms")</f>
        <v>Algorithms</v>
      </c>
      <c r="I782" s="20">
        <f>IFERROR(__xludf.DUMMYFUNCTION("""COMPUTED_VALUE"""),0.551)</f>
        <v>0.551</v>
      </c>
      <c r="J782" s="20">
        <f>IFERROR(__xludf.DUMMYFUNCTION("""COMPUTED_VALUE"""),781.0)</f>
        <v>781</v>
      </c>
      <c r="K782" s="20" t="b">
        <f>IFERROR(__xludf.DUMMYFUNCTION("""COMPUTED_VALUE"""),FALSE)</f>
        <v>0</v>
      </c>
      <c r="L782" s="20" t="str">
        <f>IFERROR(__xludf.DUMMYFUNCTION("""COMPUTED_VALUE"""),"Array;Hash Table;Math;Greedy;")</f>
        <v>Array;Hash Table;Math;Greedy;</v>
      </c>
      <c r="M782" s="20" t="b">
        <f>IFERROR(__xludf.DUMMYFUNCTION("""COMPUTED_VALUE"""),TRUE)</f>
        <v>1</v>
      </c>
      <c r="N782" s="20" t="b">
        <f>IFERROR(__xludf.DUMMYFUNCTION("""COMPUTED_VALUE"""),FALSE)</f>
        <v>0</v>
      </c>
      <c r="O782" s="20">
        <f>IFERROR(__xludf.DUMMYFUNCTION("""COMPUTED_VALUE"""),55.0964815589088)</f>
        <v>55.09648156</v>
      </c>
      <c r="P782" s="20">
        <f>IFERROR(__xludf.DUMMYFUNCTION("""COMPUTED_VALUE"""),43485.0)</f>
        <v>43485</v>
      </c>
      <c r="Q782" s="20">
        <f>IFERROR(__xludf.DUMMYFUNCTION("""COMPUTED_VALUE"""),78926.0)</f>
        <v>78926</v>
      </c>
    </row>
    <row r="783">
      <c r="A783" s="20">
        <f>IFERROR(__xludf.DUMMYFUNCTION("""COMPUTED_VALUE"""),798.0)</f>
        <v>798</v>
      </c>
      <c r="B783" s="20" t="str">
        <f>IFERROR(__xludf.DUMMYFUNCTION("""COMPUTED_VALUE"""),"Transform to Chessboard")</f>
        <v>Transform to Chessboard</v>
      </c>
      <c r="C783" s="20" t="str">
        <f>IFERROR(__xludf.DUMMYFUNCTION("""COMPUTED_VALUE"""),"transform-to-chessboard")</f>
        <v>transform-to-chessboard</v>
      </c>
      <c r="D783" s="20" t="b">
        <f>IFERROR(__xludf.DUMMYFUNCTION("""COMPUTED_VALUE"""),FALSE)</f>
        <v>0</v>
      </c>
      <c r="E783" s="20" t="str">
        <f>IFERROR(__xludf.DUMMYFUNCTION("""COMPUTED_VALUE"""),"Hard")</f>
        <v>Hard</v>
      </c>
      <c r="F783" s="20">
        <f>IFERROR(__xludf.DUMMYFUNCTION("""COMPUTED_VALUE"""),318.0)</f>
        <v>318</v>
      </c>
      <c r="G783" s="20">
        <f>IFERROR(__xludf.DUMMYFUNCTION("""COMPUTED_VALUE"""),291.0)</f>
        <v>291</v>
      </c>
      <c r="H783" s="20" t="str">
        <f>IFERROR(__xludf.DUMMYFUNCTION("""COMPUTED_VALUE"""),"Algorithms")</f>
        <v>Algorithms</v>
      </c>
      <c r="I783" s="20">
        <f>IFERROR(__xludf.DUMMYFUNCTION("""COMPUTED_VALUE"""),0.518)</f>
        <v>0.518</v>
      </c>
      <c r="J783" s="20">
        <f>IFERROR(__xludf.DUMMYFUNCTION("""COMPUTED_VALUE"""),782.0)</f>
        <v>782</v>
      </c>
      <c r="K783" s="20" t="b">
        <f>IFERROR(__xludf.DUMMYFUNCTION("""COMPUTED_VALUE"""),FALSE)</f>
        <v>0</v>
      </c>
      <c r="L783" s="20" t="str">
        <f>IFERROR(__xludf.DUMMYFUNCTION("""COMPUTED_VALUE"""),"Array;Math;Bit Manipulation;Matrix;")</f>
        <v>Array;Math;Bit Manipulation;Matrix;</v>
      </c>
      <c r="M783" s="20" t="b">
        <f>IFERROR(__xludf.DUMMYFUNCTION("""COMPUTED_VALUE"""),TRUE)</f>
        <v>1</v>
      </c>
      <c r="N783" s="20" t="b">
        <f>IFERROR(__xludf.DUMMYFUNCTION("""COMPUTED_VALUE"""),FALSE)</f>
        <v>0</v>
      </c>
      <c r="O783" s="20">
        <f>IFERROR(__xludf.DUMMYFUNCTION("""COMPUTED_VALUE"""),51.8217015784771)</f>
        <v>51.82170158</v>
      </c>
      <c r="P783" s="20">
        <f>IFERROR(__xludf.DUMMYFUNCTION("""COMPUTED_VALUE"""),15660.0)</f>
        <v>15660</v>
      </c>
      <c r="Q783" s="20">
        <f>IFERROR(__xludf.DUMMYFUNCTION("""COMPUTED_VALUE"""),30219.0)</f>
        <v>30219</v>
      </c>
    </row>
    <row r="784">
      <c r="A784" s="20">
        <f>IFERROR(__xludf.DUMMYFUNCTION("""COMPUTED_VALUE"""),799.0)</f>
        <v>799</v>
      </c>
      <c r="B784" s="20" t="str">
        <f>IFERROR(__xludf.DUMMYFUNCTION("""COMPUTED_VALUE"""),"Minimum Distance Between BST Nodes")</f>
        <v>Minimum Distance Between BST Nodes</v>
      </c>
      <c r="C784" s="20" t="str">
        <f>IFERROR(__xludf.DUMMYFUNCTION("""COMPUTED_VALUE"""),"minimum-distance-between-bst-nodes")</f>
        <v>minimum-distance-between-bst-nodes</v>
      </c>
      <c r="D784" s="20" t="b">
        <f>IFERROR(__xludf.DUMMYFUNCTION("""COMPUTED_VALUE"""),FALSE)</f>
        <v>0</v>
      </c>
      <c r="E784" s="20" t="str">
        <f>IFERROR(__xludf.DUMMYFUNCTION("""COMPUTED_VALUE"""),"Easy")</f>
        <v>Easy</v>
      </c>
      <c r="F784" s="20">
        <f>IFERROR(__xludf.DUMMYFUNCTION("""COMPUTED_VALUE"""),1981.0)</f>
        <v>1981</v>
      </c>
      <c r="G784" s="20">
        <f>IFERROR(__xludf.DUMMYFUNCTION("""COMPUTED_VALUE"""),340.0)</f>
        <v>340</v>
      </c>
      <c r="H784" s="20" t="str">
        <f>IFERROR(__xludf.DUMMYFUNCTION("""COMPUTED_VALUE"""),"Algorithms")</f>
        <v>Algorithms</v>
      </c>
      <c r="I784" s="20">
        <f>IFERROR(__xludf.DUMMYFUNCTION("""COMPUTED_VALUE"""),0.569)</f>
        <v>0.569</v>
      </c>
      <c r="J784" s="20">
        <f>IFERROR(__xludf.DUMMYFUNCTION("""COMPUTED_VALUE"""),783.0)</f>
        <v>783</v>
      </c>
      <c r="K784" s="20" t="b">
        <f>IFERROR(__xludf.DUMMYFUNCTION("""COMPUTED_VALUE"""),FALSE)</f>
        <v>0</v>
      </c>
      <c r="L784" s="20" t="str">
        <f>IFERROR(__xludf.DUMMYFUNCTION("""COMPUTED_VALUE"""),"Tree;Depth-First Search;Breadth-First Search;Binary Search Tree;Binary Tree;")</f>
        <v>Tree;Depth-First Search;Breadth-First Search;Binary Search Tree;Binary Tree;</v>
      </c>
      <c r="M784" s="20" t="b">
        <f>IFERROR(__xludf.DUMMYFUNCTION("""COMPUTED_VALUE"""),TRUE)</f>
        <v>1</v>
      </c>
      <c r="N784" s="20" t="b">
        <f>IFERROR(__xludf.DUMMYFUNCTION("""COMPUTED_VALUE"""),FALSE)</f>
        <v>0</v>
      </c>
      <c r="O784" s="20">
        <f>IFERROR(__xludf.DUMMYFUNCTION("""COMPUTED_VALUE"""),56.8872030441743)</f>
        <v>56.88720304</v>
      </c>
      <c r="P784" s="20">
        <f>IFERROR(__xludf.DUMMYFUNCTION("""COMPUTED_VALUE"""),141420.0)</f>
        <v>141420</v>
      </c>
      <c r="Q784" s="20">
        <f>IFERROR(__xludf.DUMMYFUNCTION("""COMPUTED_VALUE"""),248596.0)</f>
        <v>248596</v>
      </c>
    </row>
    <row r="785">
      <c r="A785" s="20">
        <f>IFERROR(__xludf.DUMMYFUNCTION("""COMPUTED_VALUE"""),800.0)</f>
        <v>800</v>
      </c>
      <c r="B785" s="20" t="str">
        <f>IFERROR(__xludf.DUMMYFUNCTION("""COMPUTED_VALUE"""),"Letter Case Permutation")</f>
        <v>Letter Case Permutation</v>
      </c>
      <c r="C785" s="20" t="str">
        <f>IFERROR(__xludf.DUMMYFUNCTION("""COMPUTED_VALUE"""),"letter-case-permutation")</f>
        <v>letter-case-permutation</v>
      </c>
      <c r="D785" s="20" t="b">
        <f>IFERROR(__xludf.DUMMYFUNCTION("""COMPUTED_VALUE"""),FALSE)</f>
        <v>0</v>
      </c>
      <c r="E785" s="20" t="str">
        <f>IFERROR(__xludf.DUMMYFUNCTION("""COMPUTED_VALUE"""),"Medium")</f>
        <v>Medium</v>
      </c>
      <c r="F785" s="20">
        <f>IFERROR(__xludf.DUMMYFUNCTION("""COMPUTED_VALUE"""),4006.0)</f>
        <v>4006</v>
      </c>
      <c r="G785" s="20">
        <f>IFERROR(__xludf.DUMMYFUNCTION("""COMPUTED_VALUE"""),150.0)</f>
        <v>150</v>
      </c>
      <c r="H785" s="20" t="str">
        <f>IFERROR(__xludf.DUMMYFUNCTION("""COMPUTED_VALUE"""),"Algorithms")</f>
        <v>Algorithms</v>
      </c>
      <c r="I785" s="20">
        <f>IFERROR(__xludf.DUMMYFUNCTION("""COMPUTED_VALUE"""),0.736)</f>
        <v>0.736</v>
      </c>
      <c r="J785" s="20">
        <f>IFERROR(__xludf.DUMMYFUNCTION("""COMPUTED_VALUE"""),784.0)</f>
        <v>784</v>
      </c>
      <c r="K785" s="20" t="b">
        <f>IFERROR(__xludf.DUMMYFUNCTION("""COMPUTED_VALUE"""),FALSE)</f>
        <v>0</v>
      </c>
      <c r="L785" s="20" t="str">
        <f>IFERROR(__xludf.DUMMYFUNCTION("""COMPUTED_VALUE"""),"String;Backtracking;Bit Manipulation;")</f>
        <v>String;Backtracking;Bit Manipulation;</v>
      </c>
      <c r="M785" s="20" t="b">
        <f>IFERROR(__xludf.DUMMYFUNCTION("""COMPUTED_VALUE"""),TRUE)</f>
        <v>1</v>
      </c>
      <c r="N785" s="20" t="b">
        <f>IFERROR(__xludf.DUMMYFUNCTION("""COMPUTED_VALUE"""),FALSE)</f>
        <v>0</v>
      </c>
      <c r="O785" s="20">
        <f>IFERROR(__xludf.DUMMYFUNCTION("""COMPUTED_VALUE"""),73.5916757399645)</f>
        <v>73.59167574</v>
      </c>
      <c r="P785" s="20">
        <f>IFERROR(__xludf.DUMMYFUNCTION("""COMPUTED_VALUE"""),256163.0)</f>
        <v>256163</v>
      </c>
      <c r="Q785" s="20">
        <f>IFERROR(__xludf.DUMMYFUNCTION("""COMPUTED_VALUE"""),348084.0)</f>
        <v>348084</v>
      </c>
    </row>
    <row r="786">
      <c r="A786" s="20">
        <f>IFERROR(__xludf.DUMMYFUNCTION("""COMPUTED_VALUE"""),801.0)</f>
        <v>801</v>
      </c>
      <c r="B786" s="20" t="str">
        <f>IFERROR(__xludf.DUMMYFUNCTION("""COMPUTED_VALUE"""),"Is Graph Bipartite?")</f>
        <v>Is Graph Bipartite?</v>
      </c>
      <c r="C786" s="20" t="str">
        <f>IFERROR(__xludf.DUMMYFUNCTION("""COMPUTED_VALUE"""),"is-graph-bipartite")</f>
        <v>is-graph-bipartite</v>
      </c>
      <c r="D786" s="20" t="b">
        <f>IFERROR(__xludf.DUMMYFUNCTION("""COMPUTED_VALUE"""),FALSE)</f>
        <v>0</v>
      </c>
      <c r="E786" s="20" t="str">
        <f>IFERROR(__xludf.DUMMYFUNCTION("""COMPUTED_VALUE"""),"Medium")</f>
        <v>Medium</v>
      </c>
      <c r="F786" s="20">
        <f>IFERROR(__xludf.DUMMYFUNCTION("""COMPUTED_VALUE"""),5955.0)</f>
        <v>5955</v>
      </c>
      <c r="G786" s="20">
        <f>IFERROR(__xludf.DUMMYFUNCTION("""COMPUTED_VALUE"""),295.0)</f>
        <v>295</v>
      </c>
      <c r="H786" s="20" t="str">
        <f>IFERROR(__xludf.DUMMYFUNCTION("""COMPUTED_VALUE"""),"Algorithms")</f>
        <v>Algorithms</v>
      </c>
      <c r="I786" s="20">
        <f>IFERROR(__xludf.DUMMYFUNCTION("""COMPUTED_VALUE"""),0.529)</f>
        <v>0.529</v>
      </c>
      <c r="J786" s="20">
        <f>IFERROR(__xludf.DUMMYFUNCTION("""COMPUTED_VALUE"""),785.0)</f>
        <v>785</v>
      </c>
      <c r="K786" s="20" t="b">
        <f>IFERROR(__xludf.DUMMYFUNCTION("""COMPUTED_VALUE"""),FALSE)</f>
        <v>0</v>
      </c>
      <c r="L786" s="20" t="str">
        <f>IFERROR(__xludf.DUMMYFUNCTION("""COMPUTED_VALUE"""),"Depth-First Search;Breadth-First Search;Union Find;Graph;")</f>
        <v>Depth-First Search;Breadth-First Search;Union Find;Graph;</v>
      </c>
      <c r="M786" s="20" t="b">
        <f>IFERROR(__xludf.DUMMYFUNCTION("""COMPUTED_VALUE"""),TRUE)</f>
        <v>1</v>
      </c>
      <c r="N786" s="20" t="b">
        <f>IFERROR(__xludf.DUMMYFUNCTION("""COMPUTED_VALUE"""),FALSE)</f>
        <v>0</v>
      </c>
      <c r="O786" s="20">
        <f>IFERROR(__xludf.DUMMYFUNCTION("""COMPUTED_VALUE"""),52.8658515247167)</f>
        <v>52.86585152</v>
      </c>
      <c r="P786" s="20">
        <f>IFERROR(__xludf.DUMMYFUNCTION("""COMPUTED_VALUE"""),377669.0)</f>
        <v>377669</v>
      </c>
      <c r="Q786" s="20">
        <f>IFERROR(__xludf.DUMMYFUNCTION("""COMPUTED_VALUE"""),714392.0)</f>
        <v>714392</v>
      </c>
    </row>
    <row r="787">
      <c r="A787" s="20">
        <f>IFERROR(__xludf.DUMMYFUNCTION("""COMPUTED_VALUE"""),802.0)</f>
        <v>802</v>
      </c>
      <c r="B787" s="20" t="str">
        <f>IFERROR(__xludf.DUMMYFUNCTION("""COMPUTED_VALUE"""),"K-th Smallest Prime Fraction")</f>
        <v>K-th Smallest Prime Fraction</v>
      </c>
      <c r="C787" s="20" t="str">
        <f>IFERROR(__xludf.DUMMYFUNCTION("""COMPUTED_VALUE"""),"k-th-smallest-prime-fraction")</f>
        <v>k-th-smallest-prime-fraction</v>
      </c>
      <c r="D787" s="20" t="b">
        <f>IFERROR(__xludf.DUMMYFUNCTION("""COMPUTED_VALUE"""),FALSE)</f>
        <v>0</v>
      </c>
      <c r="E787" s="20" t="str">
        <f>IFERROR(__xludf.DUMMYFUNCTION("""COMPUTED_VALUE"""),"Medium")</f>
        <v>Medium</v>
      </c>
      <c r="F787" s="20">
        <f>IFERROR(__xludf.DUMMYFUNCTION("""COMPUTED_VALUE"""),976.0)</f>
        <v>976</v>
      </c>
      <c r="G787" s="20">
        <f>IFERROR(__xludf.DUMMYFUNCTION("""COMPUTED_VALUE"""),45.0)</f>
        <v>45</v>
      </c>
      <c r="H787" s="20" t="str">
        <f>IFERROR(__xludf.DUMMYFUNCTION("""COMPUTED_VALUE"""),"Algorithms")</f>
        <v>Algorithms</v>
      </c>
      <c r="I787" s="20">
        <f>IFERROR(__xludf.DUMMYFUNCTION("""COMPUTED_VALUE"""),0.51)</f>
        <v>0.51</v>
      </c>
      <c r="J787" s="20">
        <f>IFERROR(__xludf.DUMMYFUNCTION("""COMPUTED_VALUE"""),786.0)</f>
        <v>786</v>
      </c>
      <c r="K787" s="20" t="b">
        <f>IFERROR(__xludf.DUMMYFUNCTION("""COMPUTED_VALUE"""),FALSE)</f>
        <v>0</v>
      </c>
      <c r="L787" s="20" t="str">
        <f>IFERROR(__xludf.DUMMYFUNCTION("""COMPUTED_VALUE"""),"Array;Binary Search;Sorting;Heap (Priority Queue);")</f>
        <v>Array;Binary Search;Sorting;Heap (Priority Queue);</v>
      </c>
      <c r="M787" s="20" t="b">
        <f>IFERROR(__xludf.DUMMYFUNCTION("""COMPUTED_VALUE"""),TRUE)</f>
        <v>1</v>
      </c>
      <c r="N787" s="20" t="b">
        <f>IFERROR(__xludf.DUMMYFUNCTION("""COMPUTED_VALUE"""),FALSE)</f>
        <v>0</v>
      </c>
      <c r="O787" s="20">
        <f>IFERROR(__xludf.DUMMYFUNCTION("""COMPUTED_VALUE"""),51.0018617273042)</f>
        <v>51.00186173</v>
      </c>
      <c r="P787" s="20">
        <f>IFERROR(__xludf.DUMMYFUNCTION("""COMPUTED_VALUE"""),32326.0)</f>
        <v>32326</v>
      </c>
      <c r="Q787" s="20">
        <f>IFERROR(__xludf.DUMMYFUNCTION("""COMPUTED_VALUE"""),63382.0)</f>
        <v>63382</v>
      </c>
    </row>
    <row r="788">
      <c r="A788" s="20">
        <f>IFERROR(__xludf.DUMMYFUNCTION("""COMPUTED_VALUE"""),803.0)</f>
        <v>803</v>
      </c>
      <c r="B788" s="20" t="str">
        <f>IFERROR(__xludf.DUMMYFUNCTION("""COMPUTED_VALUE"""),"Cheapest Flights Within K Stops")</f>
        <v>Cheapest Flights Within K Stops</v>
      </c>
      <c r="C788" s="20" t="str">
        <f>IFERROR(__xludf.DUMMYFUNCTION("""COMPUTED_VALUE"""),"cheapest-flights-within-k-stops")</f>
        <v>cheapest-flights-within-k-stops</v>
      </c>
      <c r="D788" s="20" t="b">
        <f>IFERROR(__xludf.DUMMYFUNCTION("""COMPUTED_VALUE"""),FALSE)</f>
        <v>0</v>
      </c>
      <c r="E788" s="20" t="str">
        <f>IFERROR(__xludf.DUMMYFUNCTION("""COMPUTED_VALUE"""),"Medium")</f>
        <v>Medium</v>
      </c>
      <c r="F788" s="20">
        <f>IFERROR(__xludf.DUMMYFUNCTION("""COMPUTED_VALUE"""),6351.0)</f>
        <v>6351</v>
      </c>
      <c r="G788" s="20">
        <f>IFERROR(__xludf.DUMMYFUNCTION("""COMPUTED_VALUE"""),290.0)</f>
        <v>290</v>
      </c>
      <c r="H788" s="20" t="str">
        <f>IFERROR(__xludf.DUMMYFUNCTION("""COMPUTED_VALUE"""),"Algorithms")</f>
        <v>Algorithms</v>
      </c>
      <c r="I788" s="20">
        <f>IFERROR(__xludf.DUMMYFUNCTION("""COMPUTED_VALUE"""),0.359)</f>
        <v>0.359</v>
      </c>
      <c r="J788" s="20">
        <f>IFERROR(__xludf.DUMMYFUNCTION("""COMPUTED_VALUE"""),787.0)</f>
        <v>787</v>
      </c>
      <c r="K788" s="20" t="b">
        <f>IFERROR(__xludf.DUMMYFUNCTION("""COMPUTED_VALUE"""),FALSE)</f>
        <v>0</v>
      </c>
      <c r="L788" s="20" t="str">
        <f>IFERROR(__xludf.DUMMYFUNCTION("""COMPUTED_VALUE"""),"Dynamic Programming;Depth-First Search;Breadth-First Search;Graph;Heap (Priority Queue);Shortest Path;")</f>
        <v>Dynamic Programming;Depth-First Search;Breadth-First Search;Graph;Heap (Priority Queue);Shortest Path;</v>
      </c>
      <c r="M788" s="20" t="b">
        <f>IFERROR(__xludf.DUMMYFUNCTION("""COMPUTED_VALUE"""),TRUE)</f>
        <v>1</v>
      </c>
      <c r="N788" s="20" t="b">
        <f>IFERROR(__xludf.DUMMYFUNCTION("""COMPUTED_VALUE"""),FALSE)</f>
        <v>0</v>
      </c>
      <c r="O788" s="20">
        <f>IFERROR(__xludf.DUMMYFUNCTION("""COMPUTED_VALUE"""),35.8919109343782)</f>
        <v>35.89191093</v>
      </c>
      <c r="P788" s="20">
        <f>IFERROR(__xludf.DUMMYFUNCTION("""COMPUTED_VALUE"""),297496.0)</f>
        <v>297496</v>
      </c>
      <c r="Q788" s="20">
        <f>IFERROR(__xludf.DUMMYFUNCTION("""COMPUTED_VALUE"""),828866.0)</f>
        <v>828866</v>
      </c>
    </row>
    <row r="789">
      <c r="A789" s="20">
        <f>IFERROR(__xludf.DUMMYFUNCTION("""COMPUTED_VALUE"""),804.0)</f>
        <v>804</v>
      </c>
      <c r="B789" s="20" t="str">
        <f>IFERROR(__xludf.DUMMYFUNCTION("""COMPUTED_VALUE"""),"Rotated Digits")</f>
        <v>Rotated Digits</v>
      </c>
      <c r="C789" s="20" t="str">
        <f>IFERROR(__xludf.DUMMYFUNCTION("""COMPUTED_VALUE"""),"rotated-digits")</f>
        <v>rotated-digits</v>
      </c>
      <c r="D789" s="20" t="b">
        <f>IFERROR(__xludf.DUMMYFUNCTION("""COMPUTED_VALUE"""),FALSE)</f>
        <v>0</v>
      </c>
      <c r="E789" s="20" t="str">
        <f>IFERROR(__xludf.DUMMYFUNCTION("""COMPUTED_VALUE"""),"Medium")</f>
        <v>Medium</v>
      </c>
      <c r="F789" s="20">
        <f>IFERROR(__xludf.DUMMYFUNCTION("""COMPUTED_VALUE"""),640.0)</f>
        <v>640</v>
      </c>
      <c r="G789" s="20">
        <f>IFERROR(__xludf.DUMMYFUNCTION("""COMPUTED_VALUE"""),1817.0)</f>
        <v>1817</v>
      </c>
      <c r="H789" s="20" t="str">
        <f>IFERROR(__xludf.DUMMYFUNCTION("""COMPUTED_VALUE"""),"Algorithms")</f>
        <v>Algorithms</v>
      </c>
      <c r="I789" s="20">
        <f>IFERROR(__xludf.DUMMYFUNCTION("""COMPUTED_VALUE"""),0.568)</f>
        <v>0.568</v>
      </c>
      <c r="J789" s="20">
        <f>IFERROR(__xludf.DUMMYFUNCTION("""COMPUTED_VALUE"""),788.0)</f>
        <v>788</v>
      </c>
      <c r="K789" s="20" t="b">
        <f>IFERROR(__xludf.DUMMYFUNCTION("""COMPUTED_VALUE"""),FALSE)</f>
        <v>0</v>
      </c>
      <c r="L789" s="20" t="str">
        <f>IFERROR(__xludf.DUMMYFUNCTION("""COMPUTED_VALUE"""),"Math;Dynamic Programming;")</f>
        <v>Math;Dynamic Programming;</v>
      </c>
      <c r="M789" s="20" t="b">
        <f>IFERROR(__xludf.DUMMYFUNCTION("""COMPUTED_VALUE"""),FALSE)</f>
        <v>0</v>
      </c>
      <c r="N789" s="20" t="b">
        <f>IFERROR(__xludf.DUMMYFUNCTION("""COMPUTED_VALUE"""),FALSE)</f>
        <v>0</v>
      </c>
      <c r="O789" s="20">
        <f>IFERROR(__xludf.DUMMYFUNCTION("""COMPUTED_VALUE"""),56.8220944287755)</f>
        <v>56.82209443</v>
      </c>
      <c r="P789" s="20">
        <f>IFERROR(__xludf.DUMMYFUNCTION("""COMPUTED_VALUE"""),93078.0)</f>
        <v>93078</v>
      </c>
      <c r="Q789" s="20">
        <f>IFERROR(__xludf.DUMMYFUNCTION("""COMPUTED_VALUE"""),163806.0)</f>
        <v>163806</v>
      </c>
    </row>
    <row r="790">
      <c r="A790" s="20">
        <f>IFERROR(__xludf.DUMMYFUNCTION("""COMPUTED_VALUE"""),805.0)</f>
        <v>805</v>
      </c>
      <c r="B790" s="20" t="str">
        <f>IFERROR(__xludf.DUMMYFUNCTION("""COMPUTED_VALUE"""),"Escape The Ghosts")</f>
        <v>Escape The Ghosts</v>
      </c>
      <c r="C790" s="20" t="str">
        <f>IFERROR(__xludf.DUMMYFUNCTION("""COMPUTED_VALUE"""),"escape-the-ghosts")</f>
        <v>escape-the-ghosts</v>
      </c>
      <c r="D790" s="20" t="b">
        <f>IFERROR(__xludf.DUMMYFUNCTION("""COMPUTED_VALUE"""),FALSE)</f>
        <v>0</v>
      </c>
      <c r="E790" s="20" t="str">
        <f>IFERROR(__xludf.DUMMYFUNCTION("""COMPUTED_VALUE"""),"Medium")</f>
        <v>Medium</v>
      </c>
      <c r="F790" s="20">
        <f>IFERROR(__xludf.DUMMYFUNCTION("""COMPUTED_VALUE"""),187.0)</f>
        <v>187</v>
      </c>
      <c r="G790" s="20">
        <f>IFERROR(__xludf.DUMMYFUNCTION("""COMPUTED_VALUE"""),21.0)</f>
        <v>21</v>
      </c>
      <c r="H790" s="20" t="str">
        <f>IFERROR(__xludf.DUMMYFUNCTION("""COMPUTED_VALUE"""),"Algorithms")</f>
        <v>Algorithms</v>
      </c>
      <c r="I790" s="20">
        <f>IFERROR(__xludf.DUMMYFUNCTION("""COMPUTED_VALUE"""),0.608)</f>
        <v>0.608</v>
      </c>
      <c r="J790" s="20">
        <f>IFERROR(__xludf.DUMMYFUNCTION("""COMPUTED_VALUE"""),789.0)</f>
        <v>789</v>
      </c>
      <c r="K790" s="20" t="b">
        <f>IFERROR(__xludf.DUMMYFUNCTION("""COMPUTED_VALUE"""),FALSE)</f>
        <v>0</v>
      </c>
      <c r="L790" s="20" t="str">
        <f>IFERROR(__xludf.DUMMYFUNCTION("""COMPUTED_VALUE"""),"Array;Math;")</f>
        <v>Array;Math;</v>
      </c>
      <c r="M790" s="20" t="b">
        <f>IFERROR(__xludf.DUMMYFUNCTION("""COMPUTED_VALUE"""),TRUE)</f>
        <v>1</v>
      </c>
      <c r="N790" s="20" t="b">
        <f>IFERROR(__xludf.DUMMYFUNCTION("""COMPUTED_VALUE"""),FALSE)</f>
        <v>0</v>
      </c>
      <c r="O790" s="20">
        <f>IFERROR(__xludf.DUMMYFUNCTION("""COMPUTED_VALUE"""),60.7780320366132)</f>
        <v>60.77803204</v>
      </c>
      <c r="P790" s="20">
        <f>IFERROR(__xludf.DUMMYFUNCTION("""COMPUTED_VALUE"""),23904.0)</f>
        <v>23904</v>
      </c>
      <c r="Q790" s="20">
        <f>IFERROR(__xludf.DUMMYFUNCTION("""COMPUTED_VALUE"""),39330.0)</f>
        <v>39330</v>
      </c>
    </row>
    <row r="791">
      <c r="A791" s="20">
        <f>IFERROR(__xludf.DUMMYFUNCTION("""COMPUTED_VALUE"""),806.0)</f>
        <v>806</v>
      </c>
      <c r="B791" s="20" t="str">
        <f>IFERROR(__xludf.DUMMYFUNCTION("""COMPUTED_VALUE"""),"Domino and Tromino Tiling")</f>
        <v>Domino and Tromino Tiling</v>
      </c>
      <c r="C791" s="20" t="str">
        <f>IFERROR(__xludf.DUMMYFUNCTION("""COMPUTED_VALUE"""),"domino-and-tromino-tiling")</f>
        <v>domino-and-tromino-tiling</v>
      </c>
      <c r="D791" s="20" t="b">
        <f>IFERROR(__xludf.DUMMYFUNCTION("""COMPUTED_VALUE"""),FALSE)</f>
        <v>0</v>
      </c>
      <c r="E791" s="20" t="str">
        <f>IFERROR(__xludf.DUMMYFUNCTION("""COMPUTED_VALUE"""),"Medium")</f>
        <v>Medium</v>
      </c>
      <c r="F791" s="20">
        <f>IFERROR(__xludf.DUMMYFUNCTION("""COMPUTED_VALUE"""),2707.0)</f>
        <v>2707</v>
      </c>
      <c r="G791" s="20">
        <f>IFERROR(__xludf.DUMMYFUNCTION("""COMPUTED_VALUE"""),840.0)</f>
        <v>840</v>
      </c>
      <c r="H791" s="20" t="str">
        <f>IFERROR(__xludf.DUMMYFUNCTION("""COMPUTED_VALUE"""),"Algorithms")</f>
        <v>Algorithms</v>
      </c>
      <c r="I791" s="20">
        <f>IFERROR(__xludf.DUMMYFUNCTION("""COMPUTED_VALUE"""),0.531)</f>
        <v>0.531</v>
      </c>
      <c r="J791" s="20">
        <f>IFERROR(__xludf.DUMMYFUNCTION("""COMPUTED_VALUE"""),790.0)</f>
        <v>790</v>
      </c>
      <c r="K791" s="20" t="b">
        <f>IFERROR(__xludf.DUMMYFUNCTION("""COMPUTED_VALUE"""),FALSE)</f>
        <v>0</v>
      </c>
      <c r="L791" s="20" t="str">
        <f>IFERROR(__xludf.DUMMYFUNCTION("""COMPUTED_VALUE"""),"Dynamic Programming;")</f>
        <v>Dynamic Programming;</v>
      </c>
      <c r="M791" s="20" t="b">
        <f>IFERROR(__xludf.DUMMYFUNCTION("""COMPUTED_VALUE"""),TRUE)</f>
        <v>1</v>
      </c>
      <c r="N791" s="20" t="b">
        <f>IFERROR(__xludf.DUMMYFUNCTION("""COMPUTED_VALUE"""),FALSE)</f>
        <v>0</v>
      </c>
      <c r="O791" s="20">
        <f>IFERROR(__xludf.DUMMYFUNCTION("""COMPUTED_VALUE"""),53.0532555513737)</f>
        <v>53.05325555</v>
      </c>
      <c r="P791" s="20">
        <f>IFERROR(__xludf.DUMMYFUNCTION("""COMPUTED_VALUE"""),90216.0)</f>
        <v>90216</v>
      </c>
      <c r="Q791" s="20">
        <f>IFERROR(__xludf.DUMMYFUNCTION("""COMPUTED_VALUE"""),170048.0)</f>
        <v>170048</v>
      </c>
    </row>
    <row r="792">
      <c r="A792" s="20">
        <f>IFERROR(__xludf.DUMMYFUNCTION("""COMPUTED_VALUE"""),807.0)</f>
        <v>807</v>
      </c>
      <c r="B792" s="20" t="str">
        <f>IFERROR(__xludf.DUMMYFUNCTION("""COMPUTED_VALUE"""),"Custom Sort String")</f>
        <v>Custom Sort String</v>
      </c>
      <c r="C792" s="20" t="str">
        <f>IFERROR(__xludf.DUMMYFUNCTION("""COMPUTED_VALUE"""),"custom-sort-string")</f>
        <v>custom-sort-string</v>
      </c>
      <c r="D792" s="20" t="b">
        <f>IFERROR(__xludf.DUMMYFUNCTION("""COMPUTED_VALUE"""),FALSE)</f>
        <v>0</v>
      </c>
      <c r="E792" s="20" t="str">
        <f>IFERROR(__xludf.DUMMYFUNCTION("""COMPUTED_VALUE"""),"Medium")</f>
        <v>Medium</v>
      </c>
      <c r="F792" s="20">
        <f>IFERROR(__xludf.DUMMYFUNCTION("""COMPUTED_VALUE"""),2367.0)</f>
        <v>2367</v>
      </c>
      <c r="G792" s="20">
        <f>IFERROR(__xludf.DUMMYFUNCTION("""COMPUTED_VALUE"""),307.0)</f>
        <v>307</v>
      </c>
      <c r="H792" s="20" t="str">
        <f>IFERROR(__xludf.DUMMYFUNCTION("""COMPUTED_VALUE"""),"Algorithms")</f>
        <v>Algorithms</v>
      </c>
      <c r="I792" s="20">
        <f>IFERROR(__xludf.DUMMYFUNCTION("""COMPUTED_VALUE"""),0.693)</f>
        <v>0.693</v>
      </c>
      <c r="J792" s="20">
        <f>IFERROR(__xludf.DUMMYFUNCTION("""COMPUTED_VALUE"""),791.0)</f>
        <v>791</v>
      </c>
      <c r="K792" s="20" t="b">
        <f>IFERROR(__xludf.DUMMYFUNCTION("""COMPUTED_VALUE"""),FALSE)</f>
        <v>0</v>
      </c>
      <c r="L792" s="20" t="str">
        <f>IFERROR(__xludf.DUMMYFUNCTION("""COMPUTED_VALUE"""),"Hash Table;String;Sorting;")</f>
        <v>Hash Table;String;Sorting;</v>
      </c>
      <c r="M792" s="20" t="b">
        <f>IFERROR(__xludf.DUMMYFUNCTION("""COMPUTED_VALUE"""),TRUE)</f>
        <v>1</v>
      </c>
      <c r="N792" s="20" t="b">
        <f>IFERROR(__xludf.DUMMYFUNCTION("""COMPUTED_VALUE"""),FALSE)</f>
        <v>0</v>
      </c>
      <c r="O792" s="20">
        <f>IFERROR(__xludf.DUMMYFUNCTION("""COMPUTED_VALUE"""),69.2871238950014)</f>
        <v>69.2871239</v>
      </c>
      <c r="P792" s="20">
        <f>IFERROR(__xludf.DUMMYFUNCTION("""COMPUTED_VALUE"""),205039.0)</f>
        <v>205039</v>
      </c>
      <c r="Q792" s="20">
        <f>IFERROR(__xludf.DUMMYFUNCTION("""COMPUTED_VALUE"""),295927.0)</f>
        <v>295927</v>
      </c>
    </row>
    <row r="793">
      <c r="A793" s="20">
        <f>IFERROR(__xludf.DUMMYFUNCTION("""COMPUTED_VALUE"""),808.0)</f>
        <v>808</v>
      </c>
      <c r="B793" s="20" t="str">
        <f>IFERROR(__xludf.DUMMYFUNCTION("""COMPUTED_VALUE"""),"Number of Matching Subsequences")</f>
        <v>Number of Matching Subsequences</v>
      </c>
      <c r="C793" s="20" t="str">
        <f>IFERROR(__xludf.DUMMYFUNCTION("""COMPUTED_VALUE"""),"number-of-matching-subsequences")</f>
        <v>number-of-matching-subsequences</v>
      </c>
      <c r="D793" s="20" t="b">
        <f>IFERROR(__xludf.DUMMYFUNCTION("""COMPUTED_VALUE"""),FALSE)</f>
        <v>0</v>
      </c>
      <c r="E793" s="20" t="str">
        <f>IFERROR(__xludf.DUMMYFUNCTION("""COMPUTED_VALUE"""),"Medium")</f>
        <v>Medium</v>
      </c>
      <c r="F793" s="20">
        <f>IFERROR(__xludf.DUMMYFUNCTION("""COMPUTED_VALUE"""),4871.0)</f>
        <v>4871</v>
      </c>
      <c r="G793" s="20">
        <f>IFERROR(__xludf.DUMMYFUNCTION("""COMPUTED_VALUE"""),205.0)</f>
        <v>205</v>
      </c>
      <c r="H793" s="20" t="str">
        <f>IFERROR(__xludf.DUMMYFUNCTION("""COMPUTED_VALUE"""),"Algorithms")</f>
        <v>Algorithms</v>
      </c>
      <c r="I793" s="20">
        <f>IFERROR(__xludf.DUMMYFUNCTION("""COMPUTED_VALUE"""),0.518)</f>
        <v>0.518</v>
      </c>
      <c r="J793" s="20">
        <f>IFERROR(__xludf.DUMMYFUNCTION("""COMPUTED_VALUE"""),792.0)</f>
        <v>792</v>
      </c>
      <c r="K793" s="20" t="b">
        <f>IFERROR(__xludf.DUMMYFUNCTION("""COMPUTED_VALUE"""),FALSE)</f>
        <v>0</v>
      </c>
      <c r="L793" s="20" t="str">
        <f>IFERROR(__xludf.DUMMYFUNCTION("""COMPUTED_VALUE"""),"Hash Table;String;Trie;Sorting;")</f>
        <v>Hash Table;String;Trie;Sorting;</v>
      </c>
      <c r="M793" s="20" t="b">
        <f>IFERROR(__xludf.DUMMYFUNCTION("""COMPUTED_VALUE"""),TRUE)</f>
        <v>1</v>
      </c>
      <c r="N793" s="20" t="b">
        <f>IFERROR(__xludf.DUMMYFUNCTION("""COMPUTED_VALUE"""),FALSE)</f>
        <v>0</v>
      </c>
      <c r="O793" s="20">
        <f>IFERROR(__xludf.DUMMYFUNCTION("""COMPUTED_VALUE"""),51.7780776469513)</f>
        <v>51.77807765</v>
      </c>
      <c r="P793" s="20">
        <f>IFERROR(__xludf.DUMMYFUNCTION("""COMPUTED_VALUE"""),204130.0)</f>
        <v>204130</v>
      </c>
      <c r="Q793" s="20">
        <f>IFERROR(__xludf.DUMMYFUNCTION("""COMPUTED_VALUE"""),394243.0)</f>
        <v>394243</v>
      </c>
    </row>
    <row r="794">
      <c r="A794" s="20">
        <f>IFERROR(__xludf.DUMMYFUNCTION("""COMPUTED_VALUE"""),809.0)</f>
        <v>809</v>
      </c>
      <c r="B794" s="20" t="str">
        <f>IFERROR(__xludf.DUMMYFUNCTION("""COMPUTED_VALUE"""),"Preimage Size of Factorial Zeroes Function")</f>
        <v>Preimage Size of Factorial Zeroes Function</v>
      </c>
      <c r="C794" s="20" t="str">
        <f>IFERROR(__xludf.DUMMYFUNCTION("""COMPUTED_VALUE"""),"preimage-size-of-factorial-zeroes-function")</f>
        <v>preimage-size-of-factorial-zeroes-function</v>
      </c>
      <c r="D794" s="20" t="b">
        <f>IFERROR(__xludf.DUMMYFUNCTION("""COMPUTED_VALUE"""),FALSE)</f>
        <v>0</v>
      </c>
      <c r="E794" s="20" t="str">
        <f>IFERROR(__xludf.DUMMYFUNCTION("""COMPUTED_VALUE"""),"Hard")</f>
        <v>Hard</v>
      </c>
      <c r="F794" s="20">
        <f>IFERROR(__xludf.DUMMYFUNCTION("""COMPUTED_VALUE"""),356.0)</f>
        <v>356</v>
      </c>
      <c r="G794" s="20">
        <f>IFERROR(__xludf.DUMMYFUNCTION("""COMPUTED_VALUE"""),82.0)</f>
        <v>82</v>
      </c>
      <c r="H794" s="20" t="str">
        <f>IFERROR(__xludf.DUMMYFUNCTION("""COMPUTED_VALUE"""),"Algorithms")</f>
        <v>Algorithms</v>
      </c>
      <c r="I794" s="20">
        <f>IFERROR(__xludf.DUMMYFUNCTION("""COMPUTED_VALUE"""),0.429)</f>
        <v>0.429</v>
      </c>
      <c r="J794" s="20">
        <f>IFERROR(__xludf.DUMMYFUNCTION("""COMPUTED_VALUE"""),793.0)</f>
        <v>793</v>
      </c>
      <c r="K794" s="20" t="b">
        <f>IFERROR(__xludf.DUMMYFUNCTION("""COMPUTED_VALUE"""),FALSE)</f>
        <v>0</v>
      </c>
      <c r="L794" s="20" t="str">
        <f>IFERROR(__xludf.DUMMYFUNCTION("""COMPUTED_VALUE"""),"Math;Binary Search;")</f>
        <v>Math;Binary Search;</v>
      </c>
      <c r="M794" s="20" t="b">
        <f>IFERROR(__xludf.DUMMYFUNCTION("""COMPUTED_VALUE"""),TRUE)</f>
        <v>1</v>
      </c>
      <c r="N794" s="20" t="b">
        <f>IFERROR(__xludf.DUMMYFUNCTION("""COMPUTED_VALUE"""),FALSE)</f>
        <v>0</v>
      </c>
      <c r="O794" s="20">
        <f>IFERROR(__xludf.DUMMYFUNCTION("""COMPUTED_VALUE"""),42.9478471442915)</f>
        <v>42.94784714</v>
      </c>
      <c r="P794" s="20">
        <f>IFERROR(__xludf.DUMMYFUNCTION("""COMPUTED_VALUE"""),14543.0)</f>
        <v>14543</v>
      </c>
      <c r="Q794" s="20">
        <f>IFERROR(__xludf.DUMMYFUNCTION("""COMPUTED_VALUE"""),33862.0)</f>
        <v>33862</v>
      </c>
    </row>
    <row r="795">
      <c r="A795" s="20">
        <f>IFERROR(__xludf.DUMMYFUNCTION("""COMPUTED_VALUE"""),810.0)</f>
        <v>810</v>
      </c>
      <c r="B795" s="20" t="str">
        <f>IFERROR(__xludf.DUMMYFUNCTION("""COMPUTED_VALUE"""),"Valid Tic-Tac-Toe State")</f>
        <v>Valid Tic-Tac-Toe State</v>
      </c>
      <c r="C795" s="20" t="str">
        <f>IFERROR(__xludf.DUMMYFUNCTION("""COMPUTED_VALUE"""),"valid-tic-tac-toe-state")</f>
        <v>valid-tic-tac-toe-state</v>
      </c>
      <c r="D795" s="20" t="b">
        <f>IFERROR(__xludf.DUMMYFUNCTION("""COMPUTED_VALUE"""),FALSE)</f>
        <v>0</v>
      </c>
      <c r="E795" s="20" t="str">
        <f>IFERROR(__xludf.DUMMYFUNCTION("""COMPUTED_VALUE"""),"Medium")</f>
        <v>Medium</v>
      </c>
      <c r="F795" s="20">
        <f>IFERROR(__xludf.DUMMYFUNCTION("""COMPUTED_VALUE"""),476.0)</f>
        <v>476</v>
      </c>
      <c r="G795" s="20">
        <f>IFERROR(__xludf.DUMMYFUNCTION("""COMPUTED_VALUE"""),1069.0)</f>
        <v>1069</v>
      </c>
      <c r="H795" s="20" t="str">
        <f>IFERROR(__xludf.DUMMYFUNCTION("""COMPUTED_VALUE"""),"Algorithms")</f>
        <v>Algorithms</v>
      </c>
      <c r="I795" s="20">
        <f>IFERROR(__xludf.DUMMYFUNCTION("""COMPUTED_VALUE"""),0.351)</f>
        <v>0.351</v>
      </c>
      <c r="J795" s="20">
        <f>IFERROR(__xludf.DUMMYFUNCTION("""COMPUTED_VALUE"""),794.0)</f>
        <v>794</v>
      </c>
      <c r="K795" s="20" t="b">
        <f>IFERROR(__xludf.DUMMYFUNCTION("""COMPUTED_VALUE"""),FALSE)</f>
        <v>0</v>
      </c>
      <c r="L795" s="20" t="str">
        <f>IFERROR(__xludf.DUMMYFUNCTION("""COMPUTED_VALUE"""),"Array;String;")</f>
        <v>Array;String;</v>
      </c>
      <c r="M795" s="20" t="b">
        <f>IFERROR(__xludf.DUMMYFUNCTION("""COMPUTED_VALUE"""),FALSE)</f>
        <v>0</v>
      </c>
      <c r="N795" s="20" t="b">
        <f>IFERROR(__xludf.DUMMYFUNCTION("""COMPUTED_VALUE"""),FALSE)</f>
        <v>0</v>
      </c>
      <c r="O795" s="20">
        <f>IFERROR(__xludf.DUMMYFUNCTION("""COMPUTED_VALUE"""),35.1361449722105)</f>
        <v>35.13614497</v>
      </c>
      <c r="P795" s="20">
        <f>IFERROR(__xludf.DUMMYFUNCTION("""COMPUTED_VALUE"""),52661.0)</f>
        <v>52661</v>
      </c>
      <c r="Q795" s="20">
        <f>IFERROR(__xludf.DUMMYFUNCTION("""COMPUTED_VALUE"""),149877.0)</f>
        <v>149877</v>
      </c>
    </row>
    <row r="796">
      <c r="A796" s="20">
        <f>IFERROR(__xludf.DUMMYFUNCTION("""COMPUTED_VALUE"""),811.0)</f>
        <v>811</v>
      </c>
      <c r="B796" s="20" t="str">
        <f>IFERROR(__xludf.DUMMYFUNCTION("""COMPUTED_VALUE"""),"Number of Subarrays with Bounded Maximum")</f>
        <v>Number of Subarrays with Bounded Maximum</v>
      </c>
      <c r="C796" s="20" t="str">
        <f>IFERROR(__xludf.DUMMYFUNCTION("""COMPUTED_VALUE"""),"number-of-subarrays-with-bounded-maximum")</f>
        <v>number-of-subarrays-with-bounded-maximum</v>
      </c>
      <c r="D796" s="20" t="b">
        <f>IFERROR(__xludf.DUMMYFUNCTION("""COMPUTED_VALUE"""),FALSE)</f>
        <v>0</v>
      </c>
      <c r="E796" s="20" t="str">
        <f>IFERROR(__xludf.DUMMYFUNCTION("""COMPUTED_VALUE"""),"Medium")</f>
        <v>Medium</v>
      </c>
      <c r="F796" s="20">
        <f>IFERROR(__xludf.DUMMYFUNCTION("""COMPUTED_VALUE"""),1935.0)</f>
        <v>1935</v>
      </c>
      <c r="G796" s="20">
        <f>IFERROR(__xludf.DUMMYFUNCTION("""COMPUTED_VALUE"""),105.0)</f>
        <v>105</v>
      </c>
      <c r="H796" s="20" t="str">
        <f>IFERROR(__xludf.DUMMYFUNCTION("""COMPUTED_VALUE"""),"Algorithms")</f>
        <v>Algorithms</v>
      </c>
      <c r="I796" s="20">
        <f>IFERROR(__xludf.DUMMYFUNCTION("""COMPUTED_VALUE"""),0.528)</f>
        <v>0.528</v>
      </c>
      <c r="J796" s="20">
        <f>IFERROR(__xludf.DUMMYFUNCTION("""COMPUTED_VALUE"""),795.0)</f>
        <v>795</v>
      </c>
      <c r="K796" s="20" t="b">
        <f>IFERROR(__xludf.DUMMYFUNCTION("""COMPUTED_VALUE"""),FALSE)</f>
        <v>0</v>
      </c>
      <c r="L796" s="20" t="str">
        <f>IFERROR(__xludf.DUMMYFUNCTION("""COMPUTED_VALUE"""),"Array;Two Pointers;")</f>
        <v>Array;Two Pointers;</v>
      </c>
      <c r="M796" s="20" t="b">
        <f>IFERROR(__xludf.DUMMYFUNCTION("""COMPUTED_VALUE"""),TRUE)</f>
        <v>1</v>
      </c>
      <c r="N796" s="20" t="b">
        <f>IFERROR(__xludf.DUMMYFUNCTION("""COMPUTED_VALUE"""),FALSE)</f>
        <v>0</v>
      </c>
      <c r="O796" s="20">
        <f>IFERROR(__xludf.DUMMYFUNCTION("""COMPUTED_VALUE"""),52.7509190600989)</f>
        <v>52.75091906</v>
      </c>
      <c r="P796" s="20">
        <f>IFERROR(__xludf.DUMMYFUNCTION("""COMPUTED_VALUE"""),58975.0)</f>
        <v>58975</v>
      </c>
      <c r="Q796" s="20">
        <f>IFERROR(__xludf.DUMMYFUNCTION("""COMPUTED_VALUE"""),111799.0)</f>
        <v>111799</v>
      </c>
    </row>
    <row r="797">
      <c r="A797" s="20">
        <f>IFERROR(__xludf.DUMMYFUNCTION("""COMPUTED_VALUE"""),812.0)</f>
        <v>812</v>
      </c>
      <c r="B797" s="20" t="str">
        <f>IFERROR(__xludf.DUMMYFUNCTION("""COMPUTED_VALUE"""),"Rotate String")</f>
        <v>Rotate String</v>
      </c>
      <c r="C797" s="20" t="str">
        <f>IFERROR(__xludf.DUMMYFUNCTION("""COMPUTED_VALUE"""),"rotate-string")</f>
        <v>rotate-string</v>
      </c>
      <c r="D797" s="20" t="b">
        <f>IFERROR(__xludf.DUMMYFUNCTION("""COMPUTED_VALUE"""),FALSE)</f>
        <v>0</v>
      </c>
      <c r="E797" s="20" t="str">
        <f>IFERROR(__xludf.DUMMYFUNCTION("""COMPUTED_VALUE"""),"Easy")</f>
        <v>Easy</v>
      </c>
      <c r="F797" s="20">
        <f>IFERROR(__xludf.DUMMYFUNCTION("""COMPUTED_VALUE"""),2452.0)</f>
        <v>2452</v>
      </c>
      <c r="G797" s="20">
        <f>IFERROR(__xludf.DUMMYFUNCTION("""COMPUTED_VALUE"""),101.0)</f>
        <v>101</v>
      </c>
      <c r="H797" s="20" t="str">
        <f>IFERROR(__xludf.DUMMYFUNCTION("""COMPUTED_VALUE"""),"Algorithms")</f>
        <v>Algorithms</v>
      </c>
      <c r="I797" s="20">
        <f>IFERROR(__xludf.DUMMYFUNCTION("""COMPUTED_VALUE"""),0.545)</f>
        <v>0.545</v>
      </c>
      <c r="J797" s="20">
        <f>IFERROR(__xludf.DUMMYFUNCTION("""COMPUTED_VALUE"""),796.0)</f>
        <v>796</v>
      </c>
      <c r="K797" s="20" t="b">
        <f>IFERROR(__xludf.DUMMYFUNCTION("""COMPUTED_VALUE"""),FALSE)</f>
        <v>0</v>
      </c>
      <c r="L797" s="20" t="str">
        <f>IFERROR(__xludf.DUMMYFUNCTION("""COMPUTED_VALUE"""),"String;String Matching;")</f>
        <v>String;String Matching;</v>
      </c>
      <c r="M797" s="20" t="b">
        <f>IFERROR(__xludf.DUMMYFUNCTION("""COMPUTED_VALUE"""),TRUE)</f>
        <v>1</v>
      </c>
      <c r="N797" s="20" t="b">
        <f>IFERROR(__xludf.DUMMYFUNCTION("""COMPUTED_VALUE"""),FALSE)</f>
        <v>0</v>
      </c>
      <c r="O797" s="20">
        <f>IFERROR(__xludf.DUMMYFUNCTION("""COMPUTED_VALUE"""),54.4686994822294)</f>
        <v>54.46869948</v>
      </c>
      <c r="P797" s="20">
        <f>IFERROR(__xludf.DUMMYFUNCTION("""COMPUTED_VALUE"""),185988.0)</f>
        <v>185988</v>
      </c>
      <c r="Q797" s="20">
        <f>IFERROR(__xludf.DUMMYFUNCTION("""COMPUTED_VALUE"""),341456.0)</f>
        <v>341456</v>
      </c>
    </row>
    <row r="798">
      <c r="A798" s="20">
        <f>IFERROR(__xludf.DUMMYFUNCTION("""COMPUTED_VALUE"""),813.0)</f>
        <v>813</v>
      </c>
      <c r="B798" s="20" t="str">
        <f>IFERROR(__xludf.DUMMYFUNCTION("""COMPUTED_VALUE"""),"All Paths From Source to Target")</f>
        <v>All Paths From Source to Target</v>
      </c>
      <c r="C798" s="20" t="str">
        <f>IFERROR(__xludf.DUMMYFUNCTION("""COMPUTED_VALUE"""),"all-paths-from-source-to-target")</f>
        <v>all-paths-from-source-to-target</v>
      </c>
      <c r="D798" s="20" t="b">
        <f>IFERROR(__xludf.DUMMYFUNCTION("""COMPUTED_VALUE"""),FALSE)</f>
        <v>0</v>
      </c>
      <c r="E798" s="20" t="str">
        <f>IFERROR(__xludf.DUMMYFUNCTION("""COMPUTED_VALUE"""),"Medium")</f>
        <v>Medium</v>
      </c>
      <c r="F798" s="20">
        <f>IFERROR(__xludf.DUMMYFUNCTION("""COMPUTED_VALUE"""),6123.0)</f>
        <v>6123</v>
      </c>
      <c r="G798" s="20">
        <f>IFERROR(__xludf.DUMMYFUNCTION("""COMPUTED_VALUE"""),130.0)</f>
        <v>130</v>
      </c>
      <c r="H798" s="20" t="str">
        <f>IFERROR(__xludf.DUMMYFUNCTION("""COMPUTED_VALUE"""),"Algorithms")</f>
        <v>Algorithms</v>
      </c>
      <c r="I798" s="20">
        <f>IFERROR(__xludf.DUMMYFUNCTION("""COMPUTED_VALUE"""),0.822)</f>
        <v>0.822</v>
      </c>
      <c r="J798" s="20">
        <f>IFERROR(__xludf.DUMMYFUNCTION("""COMPUTED_VALUE"""),797.0)</f>
        <v>797</v>
      </c>
      <c r="K798" s="20" t="b">
        <f>IFERROR(__xludf.DUMMYFUNCTION("""COMPUTED_VALUE"""),FALSE)</f>
        <v>0</v>
      </c>
      <c r="L798" s="20" t="str">
        <f>IFERROR(__xludf.DUMMYFUNCTION("""COMPUTED_VALUE"""),"Backtracking;Depth-First Search;Breadth-First Search;Graph;")</f>
        <v>Backtracking;Depth-First Search;Breadth-First Search;Graph;</v>
      </c>
      <c r="M798" s="20" t="b">
        <f>IFERROR(__xludf.DUMMYFUNCTION("""COMPUTED_VALUE"""),TRUE)</f>
        <v>1</v>
      </c>
      <c r="N798" s="20" t="b">
        <f>IFERROR(__xludf.DUMMYFUNCTION("""COMPUTED_VALUE"""),FALSE)</f>
        <v>0</v>
      </c>
      <c r="O798" s="20">
        <f>IFERROR(__xludf.DUMMYFUNCTION("""COMPUTED_VALUE"""),82.1880654646503)</f>
        <v>82.18806546</v>
      </c>
      <c r="P798" s="20">
        <f>IFERROR(__xludf.DUMMYFUNCTION("""COMPUTED_VALUE"""),406956.0)</f>
        <v>406956</v>
      </c>
      <c r="Q798" s="20">
        <f>IFERROR(__xludf.DUMMYFUNCTION("""COMPUTED_VALUE"""),495155.0)</f>
        <v>495155</v>
      </c>
    </row>
    <row r="799">
      <c r="A799" s="20">
        <f>IFERROR(__xludf.DUMMYFUNCTION("""COMPUTED_VALUE"""),814.0)</f>
        <v>814</v>
      </c>
      <c r="B799" s="20" t="str">
        <f>IFERROR(__xludf.DUMMYFUNCTION("""COMPUTED_VALUE"""),"Smallest Rotation with Highest Score")</f>
        <v>Smallest Rotation with Highest Score</v>
      </c>
      <c r="C799" s="20" t="str">
        <f>IFERROR(__xludf.DUMMYFUNCTION("""COMPUTED_VALUE"""),"smallest-rotation-with-highest-score")</f>
        <v>smallest-rotation-with-highest-score</v>
      </c>
      <c r="D799" s="20" t="b">
        <f>IFERROR(__xludf.DUMMYFUNCTION("""COMPUTED_VALUE"""),FALSE)</f>
        <v>0</v>
      </c>
      <c r="E799" s="20" t="str">
        <f>IFERROR(__xludf.DUMMYFUNCTION("""COMPUTED_VALUE"""),"Hard")</f>
        <v>Hard</v>
      </c>
      <c r="F799" s="20">
        <f>IFERROR(__xludf.DUMMYFUNCTION("""COMPUTED_VALUE"""),455.0)</f>
        <v>455</v>
      </c>
      <c r="G799" s="20">
        <f>IFERROR(__xludf.DUMMYFUNCTION("""COMPUTED_VALUE"""),34.0)</f>
        <v>34</v>
      </c>
      <c r="H799" s="20" t="str">
        <f>IFERROR(__xludf.DUMMYFUNCTION("""COMPUTED_VALUE"""),"Algorithms")</f>
        <v>Algorithms</v>
      </c>
      <c r="I799" s="20">
        <f>IFERROR(__xludf.DUMMYFUNCTION("""COMPUTED_VALUE"""),0.5)</f>
        <v>0.5</v>
      </c>
      <c r="J799" s="20">
        <f>IFERROR(__xludf.DUMMYFUNCTION("""COMPUTED_VALUE"""),798.0)</f>
        <v>798</v>
      </c>
      <c r="K799" s="20" t="b">
        <f>IFERROR(__xludf.DUMMYFUNCTION("""COMPUTED_VALUE"""),FALSE)</f>
        <v>0</v>
      </c>
      <c r="L799" s="20" t="str">
        <f>IFERROR(__xludf.DUMMYFUNCTION("""COMPUTED_VALUE"""),"Array;Prefix Sum;")</f>
        <v>Array;Prefix Sum;</v>
      </c>
      <c r="M799" s="20" t="b">
        <f>IFERROR(__xludf.DUMMYFUNCTION("""COMPUTED_VALUE"""),TRUE)</f>
        <v>1</v>
      </c>
      <c r="N799" s="20" t="b">
        <f>IFERROR(__xludf.DUMMYFUNCTION("""COMPUTED_VALUE"""),FALSE)</f>
        <v>0</v>
      </c>
      <c r="O799" s="20">
        <f>IFERROR(__xludf.DUMMYFUNCTION("""COMPUTED_VALUE"""),50.0286356227146)</f>
        <v>50.02863562</v>
      </c>
      <c r="P799" s="20">
        <f>IFERROR(__xludf.DUMMYFUNCTION("""COMPUTED_VALUE"""),11356.0)</f>
        <v>11356</v>
      </c>
      <c r="Q799" s="20">
        <f>IFERROR(__xludf.DUMMYFUNCTION("""COMPUTED_VALUE"""),22699.0)</f>
        <v>22699</v>
      </c>
    </row>
    <row r="800">
      <c r="A800" s="20">
        <f>IFERROR(__xludf.DUMMYFUNCTION("""COMPUTED_VALUE"""),815.0)</f>
        <v>815</v>
      </c>
      <c r="B800" s="20" t="str">
        <f>IFERROR(__xludf.DUMMYFUNCTION("""COMPUTED_VALUE"""),"Champagne Tower")</f>
        <v>Champagne Tower</v>
      </c>
      <c r="C800" s="20" t="str">
        <f>IFERROR(__xludf.DUMMYFUNCTION("""COMPUTED_VALUE"""),"champagne-tower")</f>
        <v>champagne-tower</v>
      </c>
      <c r="D800" s="20" t="b">
        <f>IFERROR(__xludf.DUMMYFUNCTION("""COMPUTED_VALUE"""),FALSE)</f>
        <v>0</v>
      </c>
      <c r="E800" s="20" t="str">
        <f>IFERROR(__xludf.DUMMYFUNCTION("""COMPUTED_VALUE"""),"Medium")</f>
        <v>Medium</v>
      </c>
      <c r="F800" s="20">
        <f>IFERROR(__xludf.DUMMYFUNCTION("""COMPUTED_VALUE"""),2528.0)</f>
        <v>2528</v>
      </c>
      <c r="G800" s="20">
        <f>IFERROR(__xludf.DUMMYFUNCTION("""COMPUTED_VALUE"""),137.0)</f>
        <v>137</v>
      </c>
      <c r="H800" s="20" t="str">
        <f>IFERROR(__xludf.DUMMYFUNCTION("""COMPUTED_VALUE"""),"Algorithms")</f>
        <v>Algorithms</v>
      </c>
      <c r="I800" s="20">
        <f>IFERROR(__xludf.DUMMYFUNCTION("""COMPUTED_VALUE"""),0.513)</f>
        <v>0.513</v>
      </c>
      <c r="J800" s="20">
        <f>IFERROR(__xludf.DUMMYFUNCTION("""COMPUTED_VALUE"""),799.0)</f>
        <v>799</v>
      </c>
      <c r="K800" s="20" t="b">
        <f>IFERROR(__xludf.DUMMYFUNCTION("""COMPUTED_VALUE"""),FALSE)</f>
        <v>0</v>
      </c>
      <c r="L800" s="20" t="str">
        <f>IFERROR(__xludf.DUMMYFUNCTION("""COMPUTED_VALUE"""),"Dynamic Programming;")</f>
        <v>Dynamic Programming;</v>
      </c>
      <c r="M800" s="20" t="b">
        <f>IFERROR(__xludf.DUMMYFUNCTION("""COMPUTED_VALUE"""),TRUE)</f>
        <v>1</v>
      </c>
      <c r="N800" s="20" t="b">
        <f>IFERROR(__xludf.DUMMYFUNCTION("""COMPUTED_VALUE"""),FALSE)</f>
        <v>0</v>
      </c>
      <c r="O800" s="20">
        <f>IFERROR(__xludf.DUMMYFUNCTION("""COMPUTED_VALUE"""),51.3237366307255)</f>
        <v>51.32373663</v>
      </c>
      <c r="P800" s="20">
        <f>IFERROR(__xludf.DUMMYFUNCTION("""COMPUTED_VALUE"""),82681.0)</f>
        <v>82681</v>
      </c>
      <c r="Q800" s="20">
        <f>IFERROR(__xludf.DUMMYFUNCTION("""COMPUTED_VALUE"""),161097.0)</f>
        <v>161097</v>
      </c>
    </row>
    <row r="801">
      <c r="A801" s="20">
        <f>IFERROR(__xludf.DUMMYFUNCTION("""COMPUTED_VALUE"""),818.0)</f>
        <v>818</v>
      </c>
      <c r="B801" s="20" t="str">
        <f>IFERROR(__xludf.DUMMYFUNCTION("""COMPUTED_VALUE"""),"Similar RGB Color")</f>
        <v>Similar RGB Color</v>
      </c>
      <c r="C801" s="20" t="str">
        <f>IFERROR(__xludf.DUMMYFUNCTION("""COMPUTED_VALUE"""),"similar-rgb-color")</f>
        <v>similar-rgb-color</v>
      </c>
      <c r="D801" s="20" t="b">
        <f>IFERROR(__xludf.DUMMYFUNCTION("""COMPUTED_VALUE"""),TRUE)</f>
        <v>1</v>
      </c>
      <c r="E801" s="20" t="str">
        <f>IFERROR(__xludf.DUMMYFUNCTION("""COMPUTED_VALUE"""),"Easy")</f>
        <v>Easy</v>
      </c>
      <c r="F801" s="20">
        <f>IFERROR(__xludf.DUMMYFUNCTION("""COMPUTED_VALUE"""),101.0)</f>
        <v>101</v>
      </c>
      <c r="G801" s="20">
        <f>IFERROR(__xludf.DUMMYFUNCTION("""COMPUTED_VALUE"""),651.0)</f>
        <v>651</v>
      </c>
      <c r="H801" s="20" t="str">
        <f>IFERROR(__xludf.DUMMYFUNCTION("""COMPUTED_VALUE"""),"Algorithms")</f>
        <v>Algorithms</v>
      </c>
      <c r="I801" s="20">
        <f>IFERROR(__xludf.DUMMYFUNCTION("""COMPUTED_VALUE"""),0.67)</f>
        <v>0.67</v>
      </c>
      <c r="J801" s="20">
        <f>IFERROR(__xludf.DUMMYFUNCTION("""COMPUTED_VALUE"""),800.0)</f>
        <v>800</v>
      </c>
      <c r="K801" s="20" t="b">
        <f>IFERROR(__xludf.DUMMYFUNCTION("""COMPUTED_VALUE"""),TRUE)</f>
        <v>1</v>
      </c>
      <c r="L801" s="20" t="str">
        <f>IFERROR(__xludf.DUMMYFUNCTION("""COMPUTED_VALUE"""),"Math;String;Enumeration;")</f>
        <v>Math;String;Enumeration;</v>
      </c>
      <c r="M801" s="20" t="b">
        <f>IFERROR(__xludf.DUMMYFUNCTION("""COMPUTED_VALUE"""),TRUE)</f>
        <v>1</v>
      </c>
      <c r="N801" s="20" t="b">
        <f>IFERROR(__xludf.DUMMYFUNCTION("""COMPUTED_VALUE"""),FALSE)</f>
        <v>0</v>
      </c>
      <c r="O801" s="20">
        <f>IFERROR(__xludf.DUMMYFUNCTION("""COMPUTED_VALUE"""),66.9864442127215)</f>
        <v>66.98644421</v>
      </c>
      <c r="P801" s="20">
        <f>IFERROR(__xludf.DUMMYFUNCTION("""COMPUTED_VALUE"""),16060.0)</f>
        <v>16060</v>
      </c>
      <c r="Q801" s="20">
        <f>IFERROR(__xludf.DUMMYFUNCTION("""COMPUTED_VALUE"""),23975.0)</f>
        <v>23975</v>
      </c>
    </row>
    <row r="802">
      <c r="A802" s="20">
        <f>IFERROR(__xludf.DUMMYFUNCTION("""COMPUTED_VALUE"""),819.0)</f>
        <v>819</v>
      </c>
      <c r="B802" s="20" t="str">
        <f>IFERROR(__xludf.DUMMYFUNCTION("""COMPUTED_VALUE"""),"Minimum Swaps To Make Sequences Increasing")</f>
        <v>Minimum Swaps To Make Sequences Increasing</v>
      </c>
      <c r="C802" s="20" t="str">
        <f>IFERROR(__xludf.DUMMYFUNCTION("""COMPUTED_VALUE"""),"minimum-swaps-to-make-sequences-increasing")</f>
        <v>minimum-swaps-to-make-sequences-increasing</v>
      </c>
      <c r="D802" s="20" t="b">
        <f>IFERROR(__xludf.DUMMYFUNCTION("""COMPUTED_VALUE"""),FALSE)</f>
        <v>0</v>
      </c>
      <c r="E802" s="20" t="str">
        <f>IFERROR(__xludf.DUMMYFUNCTION("""COMPUTED_VALUE"""),"Hard")</f>
        <v>Hard</v>
      </c>
      <c r="F802" s="20">
        <f>IFERROR(__xludf.DUMMYFUNCTION("""COMPUTED_VALUE"""),2369.0)</f>
        <v>2369</v>
      </c>
      <c r="G802" s="20">
        <f>IFERROR(__xludf.DUMMYFUNCTION("""COMPUTED_VALUE"""),130.0)</f>
        <v>130</v>
      </c>
      <c r="H802" s="20" t="str">
        <f>IFERROR(__xludf.DUMMYFUNCTION("""COMPUTED_VALUE"""),"Algorithms")</f>
        <v>Algorithms</v>
      </c>
      <c r="I802" s="20">
        <f>IFERROR(__xludf.DUMMYFUNCTION("""COMPUTED_VALUE"""),0.392)</f>
        <v>0.392</v>
      </c>
      <c r="J802" s="20">
        <f>IFERROR(__xludf.DUMMYFUNCTION("""COMPUTED_VALUE"""),801.0)</f>
        <v>801</v>
      </c>
      <c r="K802" s="20" t="b">
        <f>IFERROR(__xludf.DUMMYFUNCTION("""COMPUTED_VALUE"""),FALSE)</f>
        <v>0</v>
      </c>
      <c r="L802" s="20" t="str">
        <f>IFERROR(__xludf.DUMMYFUNCTION("""COMPUTED_VALUE"""),"Array;Dynamic Programming;")</f>
        <v>Array;Dynamic Programming;</v>
      </c>
      <c r="M802" s="20" t="b">
        <f>IFERROR(__xludf.DUMMYFUNCTION("""COMPUTED_VALUE"""),FALSE)</f>
        <v>0</v>
      </c>
      <c r="N802" s="20" t="b">
        <f>IFERROR(__xludf.DUMMYFUNCTION("""COMPUTED_VALUE"""),FALSE)</f>
        <v>0</v>
      </c>
      <c r="O802" s="20">
        <f>IFERROR(__xludf.DUMMYFUNCTION("""COMPUTED_VALUE"""),39.2258426014607)</f>
        <v>39.2258426</v>
      </c>
      <c r="P802" s="20">
        <f>IFERROR(__xludf.DUMMYFUNCTION("""COMPUTED_VALUE"""),60204.0)</f>
        <v>60204</v>
      </c>
      <c r="Q802" s="20">
        <f>IFERROR(__xludf.DUMMYFUNCTION("""COMPUTED_VALUE"""),153481.0)</f>
        <v>153481</v>
      </c>
    </row>
    <row r="803">
      <c r="A803" s="20">
        <f>IFERROR(__xludf.DUMMYFUNCTION("""COMPUTED_VALUE"""),820.0)</f>
        <v>820</v>
      </c>
      <c r="B803" s="20" t="str">
        <f>IFERROR(__xludf.DUMMYFUNCTION("""COMPUTED_VALUE"""),"Find Eventual Safe States")</f>
        <v>Find Eventual Safe States</v>
      </c>
      <c r="C803" s="20" t="str">
        <f>IFERROR(__xludf.DUMMYFUNCTION("""COMPUTED_VALUE"""),"find-eventual-safe-states")</f>
        <v>find-eventual-safe-states</v>
      </c>
      <c r="D803" s="20" t="b">
        <f>IFERROR(__xludf.DUMMYFUNCTION("""COMPUTED_VALUE"""),FALSE)</f>
        <v>0</v>
      </c>
      <c r="E803" s="20" t="str">
        <f>IFERROR(__xludf.DUMMYFUNCTION("""COMPUTED_VALUE"""),"Medium")</f>
        <v>Medium</v>
      </c>
      <c r="F803" s="20">
        <f>IFERROR(__xludf.DUMMYFUNCTION("""COMPUTED_VALUE"""),3218.0)</f>
        <v>3218</v>
      </c>
      <c r="G803" s="20">
        <f>IFERROR(__xludf.DUMMYFUNCTION("""COMPUTED_VALUE"""),348.0)</f>
        <v>348</v>
      </c>
      <c r="H803" s="20" t="str">
        <f>IFERROR(__xludf.DUMMYFUNCTION("""COMPUTED_VALUE"""),"Algorithms")</f>
        <v>Algorithms</v>
      </c>
      <c r="I803" s="20">
        <f>IFERROR(__xludf.DUMMYFUNCTION("""COMPUTED_VALUE"""),0.557)</f>
        <v>0.557</v>
      </c>
      <c r="J803" s="20">
        <f>IFERROR(__xludf.DUMMYFUNCTION("""COMPUTED_VALUE"""),802.0)</f>
        <v>802</v>
      </c>
      <c r="K803" s="20" t="b">
        <f>IFERROR(__xludf.DUMMYFUNCTION("""COMPUTED_VALUE"""),FALSE)</f>
        <v>0</v>
      </c>
      <c r="L803" s="20" t="str">
        <f>IFERROR(__xludf.DUMMYFUNCTION("""COMPUTED_VALUE"""),"Depth-First Search;Breadth-First Search;Graph;Topological Sort;")</f>
        <v>Depth-First Search;Breadth-First Search;Graph;Topological Sort;</v>
      </c>
      <c r="M803" s="20" t="b">
        <f>IFERROR(__xludf.DUMMYFUNCTION("""COMPUTED_VALUE"""),TRUE)</f>
        <v>1</v>
      </c>
      <c r="N803" s="20" t="b">
        <f>IFERROR(__xludf.DUMMYFUNCTION("""COMPUTED_VALUE"""),FALSE)</f>
        <v>0</v>
      </c>
      <c r="O803" s="20">
        <f>IFERROR(__xludf.DUMMYFUNCTION("""COMPUTED_VALUE"""),55.6892352408006)</f>
        <v>55.68923524</v>
      </c>
      <c r="P803" s="20">
        <f>IFERROR(__xludf.DUMMYFUNCTION("""COMPUTED_VALUE"""),109979.0)</f>
        <v>109979</v>
      </c>
      <c r="Q803" s="20">
        <f>IFERROR(__xludf.DUMMYFUNCTION("""COMPUTED_VALUE"""),197485.0)</f>
        <v>197485</v>
      </c>
    </row>
    <row r="804">
      <c r="A804" s="20">
        <f>IFERROR(__xludf.DUMMYFUNCTION("""COMPUTED_VALUE"""),821.0)</f>
        <v>821</v>
      </c>
      <c r="B804" s="20" t="str">
        <f>IFERROR(__xludf.DUMMYFUNCTION("""COMPUTED_VALUE"""),"Bricks Falling When Hit")</f>
        <v>Bricks Falling When Hit</v>
      </c>
      <c r="C804" s="20" t="str">
        <f>IFERROR(__xludf.DUMMYFUNCTION("""COMPUTED_VALUE"""),"bricks-falling-when-hit")</f>
        <v>bricks-falling-when-hit</v>
      </c>
      <c r="D804" s="20" t="b">
        <f>IFERROR(__xludf.DUMMYFUNCTION("""COMPUTED_VALUE"""),FALSE)</f>
        <v>0</v>
      </c>
      <c r="E804" s="20" t="str">
        <f>IFERROR(__xludf.DUMMYFUNCTION("""COMPUTED_VALUE"""),"Hard")</f>
        <v>Hard</v>
      </c>
      <c r="F804" s="20">
        <f>IFERROR(__xludf.DUMMYFUNCTION("""COMPUTED_VALUE"""),948.0)</f>
        <v>948</v>
      </c>
      <c r="G804" s="20">
        <f>IFERROR(__xludf.DUMMYFUNCTION("""COMPUTED_VALUE"""),178.0)</f>
        <v>178</v>
      </c>
      <c r="H804" s="20" t="str">
        <f>IFERROR(__xludf.DUMMYFUNCTION("""COMPUTED_VALUE"""),"Algorithms")</f>
        <v>Algorithms</v>
      </c>
      <c r="I804" s="20">
        <f>IFERROR(__xludf.DUMMYFUNCTION("""COMPUTED_VALUE"""),0.343)</f>
        <v>0.343</v>
      </c>
      <c r="J804" s="20">
        <f>IFERROR(__xludf.DUMMYFUNCTION("""COMPUTED_VALUE"""),803.0)</f>
        <v>803</v>
      </c>
      <c r="K804" s="20" t="b">
        <f>IFERROR(__xludf.DUMMYFUNCTION("""COMPUTED_VALUE"""),FALSE)</f>
        <v>0</v>
      </c>
      <c r="L804" s="20" t="str">
        <f>IFERROR(__xludf.DUMMYFUNCTION("""COMPUTED_VALUE"""),"Array;Union Find;Matrix;")</f>
        <v>Array;Union Find;Matrix;</v>
      </c>
      <c r="M804" s="20" t="b">
        <f>IFERROR(__xludf.DUMMYFUNCTION("""COMPUTED_VALUE"""),TRUE)</f>
        <v>1</v>
      </c>
      <c r="N804" s="20" t="b">
        <f>IFERROR(__xludf.DUMMYFUNCTION("""COMPUTED_VALUE"""),FALSE)</f>
        <v>0</v>
      </c>
      <c r="O804" s="20">
        <f>IFERROR(__xludf.DUMMYFUNCTION("""COMPUTED_VALUE"""),34.282619374504)</f>
        <v>34.28261937</v>
      </c>
      <c r="P804" s="20">
        <f>IFERROR(__xludf.DUMMYFUNCTION("""COMPUTED_VALUE"""),27218.0)</f>
        <v>27218</v>
      </c>
      <c r="Q804" s="20">
        <f>IFERROR(__xludf.DUMMYFUNCTION("""COMPUTED_VALUE"""),79393.0)</f>
        <v>79393</v>
      </c>
    </row>
    <row r="805">
      <c r="A805" s="20">
        <f>IFERROR(__xludf.DUMMYFUNCTION("""COMPUTED_VALUE"""),822.0)</f>
        <v>822</v>
      </c>
      <c r="B805" s="20" t="str">
        <f>IFERROR(__xludf.DUMMYFUNCTION("""COMPUTED_VALUE"""),"Unique Morse Code Words")</f>
        <v>Unique Morse Code Words</v>
      </c>
      <c r="C805" s="20" t="str">
        <f>IFERROR(__xludf.DUMMYFUNCTION("""COMPUTED_VALUE"""),"unique-morse-code-words")</f>
        <v>unique-morse-code-words</v>
      </c>
      <c r="D805" s="20" t="b">
        <f>IFERROR(__xludf.DUMMYFUNCTION("""COMPUTED_VALUE"""),FALSE)</f>
        <v>0</v>
      </c>
      <c r="E805" s="20" t="str">
        <f>IFERROR(__xludf.DUMMYFUNCTION("""COMPUTED_VALUE"""),"Easy")</f>
        <v>Easy</v>
      </c>
      <c r="F805" s="20">
        <f>IFERROR(__xludf.DUMMYFUNCTION("""COMPUTED_VALUE"""),2162.0)</f>
        <v>2162</v>
      </c>
      <c r="G805" s="20">
        <f>IFERROR(__xludf.DUMMYFUNCTION("""COMPUTED_VALUE"""),1421.0)</f>
        <v>1421</v>
      </c>
      <c r="H805" s="20" t="str">
        <f>IFERROR(__xludf.DUMMYFUNCTION("""COMPUTED_VALUE"""),"Algorithms")</f>
        <v>Algorithms</v>
      </c>
      <c r="I805" s="20">
        <f>IFERROR(__xludf.DUMMYFUNCTION("""COMPUTED_VALUE"""),0.827)</f>
        <v>0.827</v>
      </c>
      <c r="J805" s="20">
        <f>IFERROR(__xludf.DUMMYFUNCTION("""COMPUTED_VALUE"""),804.0)</f>
        <v>804</v>
      </c>
      <c r="K805" s="20" t="b">
        <f>IFERROR(__xludf.DUMMYFUNCTION("""COMPUTED_VALUE"""),FALSE)</f>
        <v>0</v>
      </c>
      <c r="L805" s="20" t="str">
        <f>IFERROR(__xludf.DUMMYFUNCTION("""COMPUTED_VALUE"""),"Array;Hash Table;String;")</f>
        <v>Array;Hash Table;String;</v>
      </c>
      <c r="M805" s="20" t="b">
        <f>IFERROR(__xludf.DUMMYFUNCTION("""COMPUTED_VALUE"""),TRUE)</f>
        <v>1</v>
      </c>
      <c r="N805" s="20" t="b">
        <f>IFERROR(__xludf.DUMMYFUNCTION("""COMPUTED_VALUE"""),FALSE)</f>
        <v>0</v>
      </c>
      <c r="O805" s="20">
        <f>IFERROR(__xludf.DUMMYFUNCTION("""COMPUTED_VALUE"""),82.6944899072558)</f>
        <v>82.69448991</v>
      </c>
      <c r="P805" s="20">
        <f>IFERROR(__xludf.DUMMYFUNCTION("""COMPUTED_VALUE"""),303153.0)</f>
        <v>303153</v>
      </c>
      <c r="Q805" s="20">
        <f>IFERROR(__xludf.DUMMYFUNCTION("""COMPUTED_VALUE"""),366595.0)</f>
        <v>366595</v>
      </c>
    </row>
    <row r="806">
      <c r="A806" s="20">
        <f>IFERROR(__xludf.DUMMYFUNCTION("""COMPUTED_VALUE"""),823.0)</f>
        <v>823</v>
      </c>
      <c r="B806" s="20" t="str">
        <f>IFERROR(__xludf.DUMMYFUNCTION("""COMPUTED_VALUE"""),"Split Array With Same Average")</f>
        <v>Split Array With Same Average</v>
      </c>
      <c r="C806" s="20" t="str">
        <f>IFERROR(__xludf.DUMMYFUNCTION("""COMPUTED_VALUE"""),"split-array-with-same-average")</f>
        <v>split-array-with-same-average</v>
      </c>
      <c r="D806" s="20" t="b">
        <f>IFERROR(__xludf.DUMMYFUNCTION("""COMPUTED_VALUE"""),FALSE)</f>
        <v>0</v>
      </c>
      <c r="E806" s="20" t="str">
        <f>IFERROR(__xludf.DUMMYFUNCTION("""COMPUTED_VALUE"""),"Hard")</f>
        <v>Hard</v>
      </c>
      <c r="F806" s="20">
        <f>IFERROR(__xludf.DUMMYFUNCTION("""COMPUTED_VALUE"""),1048.0)</f>
        <v>1048</v>
      </c>
      <c r="G806" s="20">
        <f>IFERROR(__xludf.DUMMYFUNCTION("""COMPUTED_VALUE"""),126.0)</f>
        <v>126</v>
      </c>
      <c r="H806" s="20" t="str">
        <f>IFERROR(__xludf.DUMMYFUNCTION("""COMPUTED_VALUE"""),"Algorithms")</f>
        <v>Algorithms</v>
      </c>
      <c r="I806" s="20">
        <f>IFERROR(__xludf.DUMMYFUNCTION("""COMPUTED_VALUE"""),0.258)</f>
        <v>0.258</v>
      </c>
      <c r="J806" s="20">
        <f>IFERROR(__xludf.DUMMYFUNCTION("""COMPUTED_VALUE"""),805.0)</f>
        <v>805</v>
      </c>
      <c r="K806" s="20" t="b">
        <f>IFERROR(__xludf.DUMMYFUNCTION("""COMPUTED_VALUE"""),FALSE)</f>
        <v>0</v>
      </c>
      <c r="L806" s="20" t="str">
        <f>IFERROR(__xludf.DUMMYFUNCTION("""COMPUTED_VALUE"""),"Array;Math;Dynamic Programming;Bit Manipulation;Bitmask;")</f>
        <v>Array;Math;Dynamic Programming;Bit Manipulation;Bitmask;</v>
      </c>
      <c r="M806" s="20" t="b">
        <f>IFERROR(__xludf.DUMMYFUNCTION("""COMPUTED_VALUE"""),FALSE)</f>
        <v>0</v>
      </c>
      <c r="N806" s="20" t="b">
        <f>IFERROR(__xludf.DUMMYFUNCTION("""COMPUTED_VALUE"""),FALSE)</f>
        <v>0</v>
      </c>
      <c r="O806" s="20">
        <f>IFERROR(__xludf.DUMMYFUNCTION("""COMPUTED_VALUE"""),25.7613394269953)</f>
        <v>25.76133943</v>
      </c>
      <c r="P806" s="20">
        <f>IFERROR(__xludf.DUMMYFUNCTION("""COMPUTED_VALUE"""),29142.0)</f>
        <v>29142</v>
      </c>
      <c r="Q806" s="20">
        <f>IFERROR(__xludf.DUMMYFUNCTION("""COMPUTED_VALUE"""),113123.0)</f>
        <v>113123</v>
      </c>
    </row>
    <row r="807">
      <c r="A807" s="20">
        <f>IFERROR(__xludf.DUMMYFUNCTION("""COMPUTED_VALUE"""),824.0)</f>
        <v>824</v>
      </c>
      <c r="B807" s="20" t="str">
        <f>IFERROR(__xludf.DUMMYFUNCTION("""COMPUTED_VALUE"""),"Number of Lines To Write String")</f>
        <v>Number of Lines To Write String</v>
      </c>
      <c r="C807" s="20" t="str">
        <f>IFERROR(__xludf.DUMMYFUNCTION("""COMPUTED_VALUE"""),"number-of-lines-to-write-string")</f>
        <v>number-of-lines-to-write-string</v>
      </c>
      <c r="D807" s="20" t="b">
        <f>IFERROR(__xludf.DUMMYFUNCTION("""COMPUTED_VALUE"""),FALSE)</f>
        <v>0</v>
      </c>
      <c r="E807" s="20" t="str">
        <f>IFERROR(__xludf.DUMMYFUNCTION("""COMPUTED_VALUE"""),"Easy")</f>
        <v>Easy</v>
      </c>
      <c r="F807" s="20">
        <f>IFERROR(__xludf.DUMMYFUNCTION("""COMPUTED_VALUE"""),463.0)</f>
        <v>463</v>
      </c>
      <c r="G807" s="20">
        <f>IFERROR(__xludf.DUMMYFUNCTION("""COMPUTED_VALUE"""),1198.0)</f>
        <v>1198</v>
      </c>
      <c r="H807" s="20" t="str">
        <f>IFERROR(__xludf.DUMMYFUNCTION("""COMPUTED_VALUE"""),"Algorithms")</f>
        <v>Algorithms</v>
      </c>
      <c r="I807" s="20">
        <f>IFERROR(__xludf.DUMMYFUNCTION("""COMPUTED_VALUE"""),0.663)</f>
        <v>0.663</v>
      </c>
      <c r="J807" s="20">
        <f>IFERROR(__xludf.DUMMYFUNCTION("""COMPUTED_VALUE"""),806.0)</f>
        <v>806</v>
      </c>
      <c r="K807" s="20" t="b">
        <f>IFERROR(__xludf.DUMMYFUNCTION("""COMPUTED_VALUE"""),FALSE)</f>
        <v>0</v>
      </c>
      <c r="L807" s="20" t="str">
        <f>IFERROR(__xludf.DUMMYFUNCTION("""COMPUTED_VALUE"""),"Array;String;")</f>
        <v>Array;String;</v>
      </c>
      <c r="M807" s="20" t="b">
        <f>IFERROR(__xludf.DUMMYFUNCTION("""COMPUTED_VALUE"""),TRUE)</f>
        <v>1</v>
      </c>
      <c r="N807" s="20" t="b">
        <f>IFERROR(__xludf.DUMMYFUNCTION("""COMPUTED_VALUE"""),FALSE)</f>
        <v>0</v>
      </c>
      <c r="O807" s="20">
        <f>IFERROR(__xludf.DUMMYFUNCTION("""COMPUTED_VALUE"""),66.3152436916695)</f>
        <v>66.31524369</v>
      </c>
      <c r="P807" s="20">
        <f>IFERROR(__xludf.DUMMYFUNCTION("""COMPUTED_VALUE"""),61391.0)</f>
        <v>61391</v>
      </c>
      <c r="Q807" s="20">
        <f>IFERROR(__xludf.DUMMYFUNCTION("""COMPUTED_VALUE"""),92575.0)</f>
        <v>92575</v>
      </c>
    </row>
    <row r="808">
      <c r="A808" s="20">
        <f>IFERROR(__xludf.DUMMYFUNCTION("""COMPUTED_VALUE"""),825.0)</f>
        <v>825</v>
      </c>
      <c r="B808" s="20" t="str">
        <f>IFERROR(__xludf.DUMMYFUNCTION("""COMPUTED_VALUE"""),"Max Increase to Keep City Skyline")</f>
        <v>Max Increase to Keep City Skyline</v>
      </c>
      <c r="C808" s="20" t="str">
        <f>IFERROR(__xludf.DUMMYFUNCTION("""COMPUTED_VALUE"""),"max-increase-to-keep-city-skyline")</f>
        <v>max-increase-to-keep-city-skyline</v>
      </c>
      <c r="D808" s="20" t="b">
        <f>IFERROR(__xludf.DUMMYFUNCTION("""COMPUTED_VALUE"""),FALSE)</f>
        <v>0</v>
      </c>
      <c r="E808" s="20" t="str">
        <f>IFERROR(__xludf.DUMMYFUNCTION("""COMPUTED_VALUE"""),"Medium")</f>
        <v>Medium</v>
      </c>
      <c r="F808" s="20">
        <f>IFERROR(__xludf.DUMMYFUNCTION("""COMPUTED_VALUE"""),2114.0)</f>
        <v>2114</v>
      </c>
      <c r="G808" s="20">
        <f>IFERROR(__xludf.DUMMYFUNCTION("""COMPUTED_VALUE"""),464.0)</f>
        <v>464</v>
      </c>
      <c r="H808" s="20" t="str">
        <f>IFERROR(__xludf.DUMMYFUNCTION("""COMPUTED_VALUE"""),"Algorithms")</f>
        <v>Algorithms</v>
      </c>
      <c r="I808" s="20">
        <f>IFERROR(__xludf.DUMMYFUNCTION("""COMPUTED_VALUE"""),0.86)</f>
        <v>0.86</v>
      </c>
      <c r="J808" s="20">
        <f>IFERROR(__xludf.DUMMYFUNCTION("""COMPUTED_VALUE"""),807.0)</f>
        <v>807</v>
      </c>
      <c r="K808" s="20" t="b">
        <f>IFERROR(__xludf.DUMMYFUNCTION("""COMPUTED_VALUE"""),FALSE)</f>
        <v>0</v>
      </c>
      <c r="L808" s="20" t="str">
        <f>IFERROR(__xludf.DUMMYFUNCTION("""COMPUTED_VALUE"""),"Array;Greedy;Matrix;")</f>
        <v>Array;Greedy;Matrix;</v>
      </c>
      <c r="M808" s="20" t="b">
        <f>IFERROR(__xludf.DUMMYFUNCTION("""COMPUTED_VALUE"""),TRUE)</f>
        <v>1</v>
      </c>
      <c r="N808" s="20" t="b">
        <f>IFERROR(__xludf.DUMMYFUNCTION("""COMPUTED_VALUE"""),FALSE)</f>
        <v>0</v>
      </c>
      <c r="O808" s="20">
        <f>IFERROR(__xludf.DUMMYFUNCTION("""COMPUTED_VALUE"""),85.9987194326101)</f>
        <v>85.99871943</v>
      </c>
      <c r="P808" s="20">
        <f>IFERROR(__xludf.DUMMYFUNCTION("""COMPUTED_VALUE"""),139686.0)</f>
        <v>139686</v>
      </c>
      <c r="Q808" s="20">
        <f>IFERROR(__xludf.DUMMYFUNCTION("""COMPUTED_VALUE"""),162428.0)</f>
        <v>162428</v>
      </c>
    </row>
    <row r="809">
      <c r="A809" s="20">
        <f>IFERROR(__xludf.DUMMYFUNCTION("""COMPUTED_VALUE"""),826.0)</f>
        <v>826</v>
      </c>
      <c r="B809" s="20" t="str">
        <f>IFERROR(__xludf.DUMMYFUNCTION("""COMPUTED_VALUE"""),"Soup Servings")</f>
        <v>Soup Servings</v>
      </c>
      <c r="C809" s="20" t="str">
        <f>IFERROR(__xludf.DUMMYFUNCTION("""COMPUTED_VALUE"""),"soup-servings")</f>
        <v>soup-servings</v>
      </c>
      <c r="D809" s="20" t="b">
        <f>IFERROR(__xludf.DUMMYFUNCTION("""COMPUTED_VALUE"""),FALSE)</f>
        <v>0</v>
      </c>
      <c r="E809" s="20" t="str">
        <f>IFERROR(__xludf.DUMMYFUNCTION("""COMPUTED_VALUE"""),"Medium")</f>
        <v>Medium</v>
      </c>
      <c r="F809" s="20">
        <f>IFERROR(__xludf.DUMMYFUNCTION("""COMPUTED_VALUE"""),305.0)</f>
        <v>305</v>
      </c>
      <c r="G809" s="20">
        <f>IFERROR(__xludf.DUMMYFUNCTION("""COMPUTED_VALUE"""),833.0)</f>
        <v>833</v>
      </c>
      <c r="H809" s="20" t="str">
        <f>IFERROR(__xludf.DUMMYFUNCTION("""COMPUTED_VALUE"""),"Algorithms")</f>
        <v>Algorithms</v>
      </c>
      <c r="I809" s="20">
        <f>IFERROR(__xludf.DUMMYFUNCTION("""COMPUTED_VALUE"""),0.434)</f>
        <v>0.434</v>
      </c>
      <c r="J809" s="20">
        <f>IFERROR(__xludf.DUMMYFUNCTION("""COMPUTED_VALUE"""),808.0)</f>
        <v>808</v>
      </c>
      <c r="K809" s="20" t="b">
        <f>IFERROR(__xludf.DUMMYFUNCTION("""COMPUTED_VALUE"""),FALSE)</f>
        <v>0</v>
      </c>
      <c r="L809" s="20" t="str">
        <f>IFERROR(__xludf.DUMMYFUNCTION("""COMPUTED_VALUE"""),"Math;Dynamic Programming;Probability and Statistics;")</f>
        <v>Math;Dynamic Programming;Probability and Statistics;</v>
      </c>
      <c r="M809" s="20" t="b">
        <f>IFERROR(__xludf.DUMMYFUNCTION("""COMPUTED_VALUE"""),FALSE)</f>
        <v>0</v>
      </c>
      <c r="N809" s="20" t="b">
        <f>IFERROR(__xludf.DUMMYFUNCTION("""COMPUTED_VALUE"""),FALSE)</f>
        <v>0</v>
      </c>
      <c r="O809" s="20">
        <f>IFERROR(__xludf.DUMMYFUNCTION("""COMPUTED_VALUE"""),43.3813152695455)</f>
        <v>43.38131527</v>
      </c>
      <c r="P809" s="20">
        <f>IFERROR(__xludf.DUMMYFUNCTION("""COMPUTED_VALUE"""),16907.0)</f>
        <v>16907</v>
      </c>
      <c r="Q809" s="20">
        <f>IFERROR(__xludf.DUMMYFUNCTION("""COMPUTED_VALUE"""),38973.0)</f>
        <v>38973</v>
      </c>
    </row>
    <row r="810">
      <c r="A810" s="20">
        <f>IFERROR(__xludf.DUMMYFUNCTION("""COMPUTED_VALUE"""),827.0)</f>
        <v>827</v>
      </c>
      <c r="B810" s="20" t="str">
        <f>IFERROR(__xludf.DUMMYFUNCTION("""COMPUTED_VALUE"""),"Expressive Words")</f>
        <v>Expressive Words</v>
      </c>
      <c r="C810" s="20" t="str">
        <f>IFERROR(__xludf.DUMMYFUNCTION("""COMPUTED_VALUE"""),"expressive-words")</f>
        <v>expressive-words</v>
      </c>
      <c r="D810" s="20" t="b">
        <f>IFERROR(__xludf.DUMMYFUNCTION("""COMPUTED_VALUE"""),FALSE)</f>
        <v>0</v>
      </c>
      <c r="E810" s="20" t="str">
        <f>IFERROR(__xludf.DUMMYFUNCTION("""COMPUTED_VALUE"""),"Medium")</f>
        <v>Medium</v>
      </c>
      <c r="F810" s="20">
        <f>IFERROR(__xludf.DUMMYFUNCTION("""COMPUTED_VALUE"""),776.0)</f>
        <v>776</v>
      </c>
      <c r="G810" s="20">
        <f>IFERROR(__xludf.DUMMYFUNCTION("""COMPUTED_VALUE"""),1776.0)</f>
        <v>1776</v>
      </c>
      <c r="H810" s="20" t="str">
        <f>IFERROR(__xludf.DUMMYFUNCTION("""COMPUTED_VALUE"""),"Algorithms")</f>
        <v>Algorithms</v>
      </c>
      <c r="I810" s="20">
        <f>IFERROR(__xludf.DUMMYFUNCTION("""COMPUTED_VALUE"""),0.463)</f>
        <v>0.463</v>
      </c>
      <c r="J810" s="20">
        <f>IFERROR(__xludf.DUMMYFUNCTION("""COMPUTED_VALUE"""),809.0)</f>
        <v>809</v>
      </c>
      <c r="K810" s="20" t="b">
        <f>IFERROR(__xludf.DUMMYFUNCTION("""COMPUTED_VALUE"""),FALSE)</f>
        <v>0</v>
      </c>
      <c r="L810" s="20" t="str">
        <f>IFERROR(__xludf.DUMMYFUNCTION("""COMPUTED_VALUE"""),"Array;Two Pointers;String;")</f>
        <v>Array;Two Pointers;String;</v>
      </c>
      <c r="M810" s="20" t="b">
        <f>IFERROR(__xludf.DUMMYFUNCTION("""COMPUTED_VALUE"""),FALSE)</f>
        <v>0</v>
      </c>
      <c r="N810" s="20" t="b">
        <f>IFERROR(__xludf.DUMMYFUNCTION("""COMPUTED_VALUE"""),FALSE)</f>
        <v>0</v>
      </c>
      <c r="O810" s="20">
        <f>IFERROR(__xludf.DUMMYFUNCTION("""COMPUTED_VALUE"""),46.2638941997072)</f>
        <v>46.2638942</v>
      </c>
      <c r="P810" s="20">
        <f>IFERROR(__xludf.DUMMYFUNCTION("""COMPUTED_VALUE"""),105260.0)</f>
        <v>105260</v>
      </c>
      <c r="Q810" s="20">
        <f>IFERROR(__xludf.DUMMYFUNCTION("""COMPUTED_VALUE"""),227521.0)</f>
        <v>227521</v>
      </c>
    </row>
    <row r="811">
      <c r="A811" s="20">
        <f>IFERROR(__xludf.DUMMYFUNCTION("""COMPUTED_VALUE"""),828.0)</f>
        <v>828</v>
      </c>
      <c r="B811" s="20" t="str">
        <f>IFERROR(__xludf.DUMMYFUNCTION("""COMPUTED_VALUE"""),"Chalkboard XOR Game")</f>
        <v>Chalkboard XOR Game</v>
      </c>
      <c r="C811" s="20" t="str">
        <f>IFERROR(__xludf.DUMMYFUNCTION("""COMPUTED_VALUE"""),"chalkboard-xor-game")</f>
        <v>chalkboard-xor-game</v>
      </c>
      <c r="D811" s="20" t="b">
        <f>IFERROR(__xludf.DUMMYFUNCTION("""COMPUTED_VALUE"""),FALSE)</f>
        <v>0</v>
      </c>
      <c r="E811" s="20" t="str">
        <f>IFERROR(__xludf.DUMMYFUNCTION("""COMPUTED_VALUE"""),"Hard")</f>
        <v>Hard</v>
      </c>
      <c r="F811" s="20">
        <f>IFERROR(__xludf.DUMMYFUNCTION("""COMPUTED_VALUE"""),166.0)</f>
        <v>166</v>
      </c>
      <c r="G811" s="20">
        <f>IFERROR(__xludf.DUMMYFUNCTION("""COMPUTED_VALUE"""),255.0)</f>
        <v>255</v>
      </c>
      <c r="H811" s="20" t="str">
        <f>IFERROR(__xludf.DUMMYFUNCTION("""COMPUTED_VALUE"""),"Algorithms")</f>
        <v>Algorithms</v>
      </c>
      <c r="I811" s="20">
        <f>IFERROR(__xludf.DUMMYFUNCTION("""COMPUTED_VALUE"""),0.557)</f>
        <v>0.557</v>
      </c>
      <c r="J811" s="20">
        <f>IFERROR(__xludf.DUMMYFUNCTION("""COMPUTED_VALUE"""),810.0)</f>
        <v>810</v>
      </c>
      <c r="K811" s="20" t="b">
        <f>IFERROR(__xludf.DUMMYFUNCTION("""COMPUTED_VALUE"""),FALSE)</f>
        <v>0</v>
      </c>
      <c r="L811" s="20" t="str">
        <f>IFERROR(__xludf.DUMMYFUNCTION("""COMPUTED_VALUE"""),"Array;Math;Bit Manipulation;Brainteaser;Game Theory;")</f>
        <v>Array;Math;Bit Manipulation;Brainteaser;Game Theory;</v>
      </c>
      <c r="M811" s="20" t="b">
        <f>IFERROR(__xludf.DUMMYFUNCTION("""COMPUTED_VALUE"""),TRUE)</f>
        <v>1</v>
      </c>
      <c r="N811" s="20" t="b">
        <f>IFERROR(__xludf.DUMMYFUNCTION("""COMPUTED_VALUE"""),FALSE)</f>
        <v>0</v>
      </c>
      <c r="O811" s="20">
        <f>IFERROR(__xludf.DUMMYFUNCTION("""COMPUTED_VALUE"""),55.6508467185115)</f>
        <v>55.65084672</v>
      </c>
      <c r="P811" s="20">
        <f>IFERROR(__xludf.DUMMYFUNCTION("""COMPUTED_VALUE"""),7657.0)</f>
        <v>7657</v>
      </c>
      <c r="Q811" s="20">
        <f>IFERROR(__xludf.DUMMYFUNCTION("""COMPUTED_VALUE"""),13759.0)</f>
        <v>13759</v>
      </c>
    </row>
    <row r="812">
      <c r="A812" s="20">
        <f>IFERROR(__xludf.DUMMYFUNCTION("""COMPUTED_VALUE"""),829.0)</f>
        <v>829</v>
      </c>
      <c r="B812" s="20" t="str">
        <f>IFERROR(__xludf.DUMMYFUNCTION("""COMPUTED_VALUE"""),"Subdomain Visit Count")</f>
        <v>Subdomain Visit Count</v>
      </c>
      <c r="C812" s="20" t="str">
        <f>IFERROR(__xludf.DUMMYFUNCTION("""COMPUTED_VALUE"""),"subdomain-visit-count")</f>
        <v>subdomain-visit-count</v>
      </c>
      <c r="D812" s="20" t="b">
        <f>IFERROR(__xludf.DUMMYFUNCTION("""COMPUTED_VALUE"""),FALSE)</f>
        <v>0</v>
      </c>
      <c r="E812" s="20" t="str">
        <f>IFERROR(__xludf.DUMMYFUNCTION("""COMPUTED_VALUE"""),"Medium")</f>
        <v>Medium</v>
      </c>
      <c r="F812" s="20">
        <f>IFERROR(__xludf.DUMMYFUNCTION("""COMPUTED_VALUE"""),1333.0)</f>
        <v>1333</v>
      </c>
      <c r="G812" s="20">
        <f>IFERROR(__xludf.DUMMYFUNCTION("""COMPUTED_VALUE"""),1231.0)</f>
        <v>1231</v>
      </c>
      <c r="H812" s="20" t="str">
        <f>IFERROR(__xludf.DUMMYFUNCTION("""COMPUTED_VALUE"""),"Algorithms")</f>
        <v>Algorithms</v>
      </c>
      <c r="I812" s="20">
        <f>IFERROR(__xludf.DUMMYFUNCTION("""COMPUTED_VALUE"""),0.753)</f>
        <v>0.753</v>
      </c>
      <c r="J812" s="20">
        <f>IFERROR(__xludf.DUMMYFUNCTION("""COMPUTED_VALUE"""),811.0)</f>
        <v>811</v>
      </c>
      <c r="K812" s="20" t="b">
        <f>IFERROR(__xludf.DUMMYFUNCTION("""COMPUTED_VALUE"""),FALSE)</f>
        <v>0</v>
      </c>
      <c r="L812" s="20" t="str">
        <f>IFERROR(__xludf.DUMMYFUNCTION("""COMPUTED_VALUE"""),"Array;Hash Table;String;Counting;")</f>
        <v>Array;Hash Table;String;Counting;</v>
      </c>
      <c r="M812" s="20" t="b">
        <f>IFERROR(__xludf.DUMMYFUNCTION("""COMPUTED_VALUE"""),TRUE)</f>
        <v>1</v>
      </c>
      <c r="N812" s="20" t="b">
        <f>IFERROR(__xludf.DUMMYFUNCTION("""COMPUTED_VALUE"""),FALSE)</f>
        <v>0</v>
      </c>
      <c r="O812" s="20">
        <f>IFERROR(__xludf.DUMMYFUNCTION("""COMPUTED_VALUE"""),75.3173357589403)</f>
        <v>75.31733576</v>
      </c>
      <c r="P812" s="20">
        <f>IFERROR(__xludf.DUMMYFUNCTION("""COMPUTED_VALUE"""),202038.0)</f>
        <v>202038</v>
      </c>
      <c r="Q812" s="20">
        <f>IFERROR(__xludf.DUMMYFUNCTION("""COMPUTED_VALUE"""),268249.0)</f>
        <v>268249</v>
      </c>
    </row>
    <row r="813">
      <c r="A813" s="20">
        <f>IFERROR(__xludf.DUMMYFUNCTION("""COMPUTED_VALUE"""),830.0)</f>
        <v>830</v>
      </c>
      <c r="B813" s="20" t="str">
        <f>IFERROR(__xludf.DUMMYFUNCTION("""COMPUTED_VALUE"""),"Largest Triangle Area")</f>
        <v>Largest Triangle Area</v>
      </c>
      <c r="C813" s="20" t="str">
        <f>IFERROR(__xludf.DUMMYFUNCTION("""COMPUTED_VALUE"""),"largest-triangle-area")</f>
        <v>largest-triangle-area</v>
      </c>
      <c r="D813" s="20" t="b">
        <f>IFERROR(__xludf.DUMMYFUNCTION("""COMPUTED_VALUE"""),FALSE)</f>
        <v>0</v>
      </c>
      <c r="E813" s="20" t="str">
        <f>IFERROR(__xludf.DUMMYFUNCTION("""COMPUTED_VALUE"""),"Easy")</f>
        <v>Easy</v>
      </c>
      <c r="F813" s="20">
        <f>IFERROR(__xludf.DUMMYFUNCTION("""COMPUTED_VALUE"""),444.0)</f>
        <v>444</v>
      </c>
      <c r="G813" s="20">
        <f>IFERROR(__xludf.DUMMYFUNCTION("""COMPUTED_VALUE"""),1474.0)</f>
        <v>1474</v>
      </c>
      <c r="H813" s="20" t="str">
        <f>IFERROR(__xludf.DUMMYFUNCTION("""COMPUTED_VALUE"""),"Algorithms")</f>
        <v>Algorithms</v>
      </c>
      <c r="I813" s="20">
        <f>IFERROR(__xludf.DUMMYFUNCTION("""COMPUTED_VALUE"""),0.6)</f>
        <v>0.6</v>
      </c>
      <c r="J813" s="20">
        <f>IFERROR(__xludf.DUMMYFUNCTION("""COMPUTED_VALUE"""),812.0)</f>
        <v>812</v>
      </c>
      <c r="K813" s="20" t="b">
        <f>IFERROR(__xludf.DUMMYFUNCTION("""COMPUTED_VALUE"""),FALSE)</f>
        <v>0</v>
      </c>
      <c r="L813" s="20" t="str">
        <f>IFERROR(__xludf.DUMMYFUNCTION("""COMPUTED_VALUE"""),"Array;Math;Geometry;")</f>
        <v>Array;Math;Geometry;</v>
      </c>
      <c r="M813" s="20" t="b">
        <f>IFERROR(__xludf.DUMMYFUNCTION("""COMPUTED_VALUE"""),FALSE)</f>
        <v>0</v>
      </c>
      <c r="N813" s="20" t="b">
        <f>IFERROR(__xludf.DUMMYFUNCTION("""COMPUTED_VALUE"""),FALSE)</f>
        <v>0</v>
      </c>
      <c r="O813" s="20">
        <f>IFERROR(__xludf.DUMMYFUNCTION("""COMPUTED_VALUE"""),60.0340715502555)</f>
        <v>60.03407155</v>
      </c>
      <c r="P813" s="20">
        <f>IFERROR(__xludf.DUMMYFUNCTION("""COMPUTED_VALUE"""),38763.0)</f>
        <v>38763</v>
      </c>
      <c r="Q813" s="20">
        <f>IFERROR(__xludf.DUMMYFUNCTION("""COMPUTED_VALUE"""),64569.0)</f>
        <v>64569</v>
      </c>
    </row>
    <row r="814">
      <c r="A814" s="20">
        <f>IFERROR(__xludf.DUMMYFUNCTION("""COMPUTED_VALUE"""),831.0)</f>
        <v>831</v>
      </c>
      <c r="B814" s="20" t="str">
        <f>IFERROR(__xludf.DUMMYFUNCTION("""COMPUTED_VALUE"""),"Largest Sum of Averages")</f>
        <v>Largest Sum of Averages</v>
      </c>
      <c r="C814" s="20" t="str">
        <f>IFERROR(__xludf.DUMMYFUNCTION("""COMPUTED_VALUE"""),"largest-sum-of-averages")</f>
        <v>largest-sum-of-averages</v>
      </c>
      <c r="D814" s="20" t="b">
        <f>IFERROR(__xludf.DUMMYFUNCTION("""COMPUTED_VALUE"""),FALSE)</f>
        <v>0</v>
      </c>
      <c r="E814" s="20" t="str">
        <f>IFERROR(__xludf.DUMMYFUNCTION("""COMPUTED_VALUE"""),"Medium")</f>
        <v>Medium</v>
      </c>
      <c r="F814" s="20">
        <f>IFERROR(__xludf.DUMMYFUNCTION("""COMPUTED_VALUE"""),1777.0)</f>
        <v>1777</v>
      </c>
      <c r="G814" s="20">
        <f>IFERROR(__xludf.DUMMYFUNCTION("""COMPUTED_VALUE"""),90.0)</f>
        <v>90</v>
      </c>
      <c r="H814" s="20" t="str">
        <f>IFERROR(__xludf.DUMMYFUNCTION("""COMPUTED_VALUE"""),"Algorithms")</f>
        <v>Algorithms</v>
      </c>
      <c r="I814" s="20">
        <f>IFERROR(__xludf.DUMMYFUNCTION("""COMPUTED_VALUE"""),0.53)</f>
        <v>0.53</v>
      </c>
      <c r="J814" s="20">
        <f>IFERROR(__xludf.DUMMYFUNCTION("""COMPUTED_VALUE"""),813.0)</f>
        <v>813</v>
      </c>
      <c r="K814" s="20" t="b">
        <f>IFERROR(__xludf.DUMMYFUNCTION("""COMPUTED_VALUE"""),FALSE)</f>
        <v>0</v>
      </c>
      <c r="L814" s="20" t="str">
        <f>IFERROR(__xludf.DUMMYFUNCTION("""COMPUTED_VALUE"""),"Array;Dynamic Programming;Prefix Sum;")</f>
        <v>Array;Dynamic Programming;Prefix Sum;</v>
      </c>
      <c r="M814" s="20" t="b">
        <f>IFERROR(__xludf.DUMMYFUNCTION("""COMPUTED_VALUE"""),TRUE)</f>
        <v>1</v>
      </c>
      <c r="N814" s="20" t="b">
        <f>IFERROR(__xludf.DUMMYFUNCTION("""COMPUTED_VALUE"""),FALSE)</f>
        <v>0</v>
      </c>
      <c r="O814" s="20">
        <f>IFERROR(__xludf.DUMMYFUNCTION("""COMPUTED_VALUE"""),53.0119626566327)</f>
        <v>53.01196266</v>
      </c>
      <c r="P814" s="20">
        <f>IFERROR(__xludf.DUMMYFUNCTION("""COMPUTED_VALUE"""),44802.0)</f>
        <v>44802</v>
      </c>
      <c r="Q814" s="20">
        <f>IFERROR(__xludf.DUMMYFUNCTION("""COMPUTED_VALUE"""),84513.0)</f>
        <v>84513</v>
      </c>
    </row>
    <row r="815">
      <c r="A815" s="20">
        <f>IFERROR(__xludf.DUMMYFUNCTION("""COMPUTED_VALUE"""),832.0)</f>
        <v>832</v>
      </c>
      <c r="B815" s="20" t="str">
        <f>IFERROR(__xludf.DUMMYFUNCTION("""COMPUTED_VALUE"""),"Binary Tree Pruning")</f>
        <v>Binary Tree Pruning</v>
      </c>
      <c r="C815" s="20" t="str">
        <f>IFERROR(__xludf.DUMMYFUNCTION("""COMPUTED_VALUE"""),"binary-tree-pruning")</f>
        <v>binary-tree-pruning</v>
      </c>
      <c r="D815" s="20" t="b">
        <f>IFERROR(__xludf.DUMMYFUNCTION("""COMPUTED_VALUE"""),FALSE)</f>
        <v>0</v>
      </c>
      <c r="E815" s="20" t="str">
        <f>IFERROR(__xludf.DUMMYFUNCTION("""COMPUTED_VALUE"""),"Medium")</f>
        <v>Medium</v>
      </c>
      <c r="F815" s="20">
        <f>IFERROR(__xludf.DUMMYFUNCTION("""COMPUTED_VALUE"""),4074.0)</f>
        <v>4074</v>
      </c>
      <c r="G815" s="20">
        <f>IFERROR(__xludf.DUMMYFUNCTION("""COMPUTED_VALUE"""),106.0)</f>
        <v>106</v>
      </c>
      <c r="H815" s="20" t="str">
        <f>IFERROR(__xludf.DUMMYFUNCTION("""COMPUTED_VALUE"""),"Algorithms")</f>
        <v>Algorithms</v>
      </c>
      <c r="I815" s="20">
        <f>IFERROR(__xludf.DUMMYFUNCTION("""COMPUTED_VALUE"""),0.725)</f>
        <v>0.725</v>
      </c>
      <c r="J815" s="20">
        <f>IFERROR(__xludf.DUMMYFUNCTION("""COMPUTED_VALUE"""),814.0)</f>
        <v>814</v>
      </c>
      <c r="K815" s="20" t="b">
        <f>IFERROR(__xludf.DUMMYFUNCTION("""COMPUTED_VALUE"""),FALSE)</f>
        <v>0</v>
      </c>
      <c r="L815" s="20" t="str">
        <f>IFERROR(__xludf.DUMMYFUNCTION("""COMPUTED_VALUE"""),"Tree;Depth-First Search;Binary Tree;")</f>
        <v>Tree;Depth-First Search;Binary Tree;</v>
      </c>
      <c r="M815" s="20" t="b">
        <f>IFERROR(__xludf.DUMMYFUNCTION("""COMPUTED_VALUE"""),TRUE)</f>
        <v>1</v>
      </c>
      <c r="N815" s="20" t="b">
        <f>IFERROR(__xludf.DUMMYFUNCTION("""COMPUTED_VALUE"""),FALSE)</f>
        <v>0</v>
      </c>
      <c r="O815" s="20">
        <f>IFERROR(__xludf.DUMMYFUNCTION("""COMPUTED_VALUE"""),72.4886007056155)</f>
        <v>72.48860071</v>
      </c>
      <c r="P815" s="20">
        <f>IFERROR(__xludf.DUMMYFUNCTION("""COMPUTED_VALUE"""),219228.0)</f>
        <v>219228</v>
      </c>
      <c r="Q815" s="20">
        <f>IFERROR(__xludf.DUMMYFUNCTION("""COMPUTED_VALUE"""),302431.0)</f>
        <v>302431</v>
      </c>
    </row>
    <row r="816">
      <c r="A816" s="20">
        <f>IFERROR(__xludf.DUMMYFUNCTION("""COMPUTED_VALUE"""),833.0)</f>
        <v>833</v>
      </c>
      <c r="B816" s="20" t="str">
        <f>IFERROR(__xludf.DUMMYFUNCTION("""COMPUTED_VALUE"""),"Bus Routes")</f>
        <v>Bus Routes</v>
      </c>
      <c r="C816" s="20" t="str">
        <f>IFERROR(__xludf.DUMMYFUNCTION("""COMPUTED_VALUE"""),"bus-routes")</f>
        <v>bus-routes</v>
      </c>
      <c r="D816" s="20" t="b">
        <f>IFERROR(__xludf.DUMMYFUNCTION("""COMPUTED_VALUE"""),FALSE)</f>
        <v>0</v>
      </c>
      <c r="E816" s="20" t="str">
        <f>IFERROR(__xludf.DUMMYFUNCTION("""COMPUTED_VALUE"""),"Hard")</f>
        <v>Hard</v>
      </c>
      <c r="F816" s="20">
        <f>IFERROR(__xludf.DUMMYFUNCTION("""COMPUTED_VALUE"""),2755.0)</f>
        <v>2755</v>
      </c>
      <c r="G816" s="20">
        <f>IFERROR(__xludf.DUMMYFUNCTION("""COMPUTED_VALUE"""),72.0)</f>
        <v>72</v>
      </c>
      <c r="H816" s="20" t="str">
        <f>IFERROR(__xludf.DUMMYFUNCTION("""COMPUTED_VALUE"""),"Algorithms")</f>
        <v>Algorithms</v>
      </c>
      <c r="I816" s="20">
        <f>IFERROR(__xludf.DUMMYFUNCTION("""COMPUTED_VALUE"""),0.457)</f>
        <v>0.457</v>
      </c>
      <c r="J816" s="20">
        <f>IFERROR(__xludf.DUMMYFUNCTION("""COMPUTED_VALUE"""),815.0)</f>
        <v>815</v>
      </c>
      <c r="K816" s="20" t="b">
        <f>IFERROR(__xludf.DUMMYFUNCTION("""COMPUTED_VALUE"""),FALSE)</f>
        <v>0</v>
      </c>
      <c r="L816" s="20" t="str">
        <f>IFERROR(__xludf.DUMMYFUNCTION("""COMPUTED_VALUE"""),"Array;Hash Table;Breadth-First Search;")</f>
        <v>Array;Hash Table;Breadth-First Search;</v>
      </c>
      <c r="M816" s="20" t="b">
        <f>IFERROR(__xludf.DUMMYFUNCTION("""COMPUTED_VALUE"""),TRUE)</f>
        <v>1</v>
      </c>
      <c r="N816" s="20" t="b">
        <f>IFERROR(__xludf.DUMMYFUNCTION("""COMPUTED_VALUE"""),FALSE)</f>
        <v>0</v>
      </c>
      <c r="O816" s="20">
        <f>IFERROR(__xludf.DUMMYFUNCTION("""COMPUTED_VALUE"""),45.669846173445)</f>
        <v>45.66984617</v>
      </c>
      <c r="P816" s="20">
        <f>IFERROR(__xludf.DUMMYFUNCTION("""COMPUTED_VALUE"""),114719.0)</f>
        <v>114719</v>
      </c>
      <c r="Q816" s="20">
        <f>IFERROR(__xludf.DUMMYFUNCTION("""COMPUTED_VALUE"""),251192.0)</f>
        <v>251192</v>
      </c>
    </row>
    <row r="817">
      <c r="A817" s="20">
        <f>IFERROR(__xludf.DUMMYFUNCTION("""COMPUTED_VALUE"""),834.0)</f>
        <v>834</v>
      </c>
      <c r="B817" s="20" t="str">
        <f>IFERROR(__xludf.DUMMYFUNCTION("""COMPUTED_VALUE"""),"Ambiguous Coordinates")</f>
        <v>Ambiguous Coordinates</v>
      </c>
      <c r="C817" s="20" t="str">
        <f>IFERROR(__xludf.DUMMYFUNCTION("""COMPUTED_VALUE"""),"ambiguous-coordinates")</f>
        <v>ambiguous-coordinates</v>
      </c>
      <c r="D817" s="20" t="b">
        <f>IFERROR(__xludf.DUMMYFUNCTION("""COMPUTED_VALUE"""),FALSE)</f>
        <v>0</v>
      </c>
      <c r="E817" s="20" t="str">
        <f>IFERROR(__xludf.DUMMYFUNCTION("""COMPUTED_VALUE"""),"Medium")</f>
        <v>Medium</v>
      </c>
      <c r="F817" s="20">
        <f>IFERROR(__xludf.DUMMYFUNCTION("""COMPUTED_VALUE"""),283.0)</f>
        <v>283</v>
      </c>
      <c r="G817" s="20">
        <f>IFERROR(__xludf.DUMMYFUNCTION("""COMPUTED_VALUE"""),622.0)</f>
        <v>622</v>
      </c>
      <c r="H817" s="20" t="str">
        <f>IFERROR(__xludf.DUMMYFUNCTION("""COMPUTED_VALUE"""),"Algorithms")</f>
        <v>Algorithms</v>
      </c>
      <c r="I817" s="20">
        <f>IFERROR(__xludf.DUMMYFUNCTION("""COMPUTED_VALUE"""),0.562)</f>
        <v>0.562</v>
      </c>
      <c r="J817" s="20">
        <f>IFERROR(__xludf.DUMMYFUNCTION("""COMPUTED_VALUE"""),816.0)</f>
        <v>816</v>
      </c>
      <c r="K817" s="20" t="b">
        <f>IFERROR(__xludf.DUMMYFUNCTION("""COMPUTED_VALUE"""),FALSE)</f>
        <v>0</v>
      </c>
      <c r="L817" s="20" t="str">
        <f>IFERROR(__xludf.DUMMYFUNCTION("""COMPUTED_VALUE"""),"String;Backtracking;")</f>
        <v>String;Backtracking;</v>
      </c>
      <c r="M817" s="20" t="b">
        <f>IFERROR(__xludf.DUMMYFUNCTION("""COMPUTED_VALUE"""),TRUE)</f>
        <v>1</v>
      </c>
      <c r="N817" s="20" t="b">
        <f>IFERROR(__xludf.DUMMYFUNCTION("""COMPUTED_VALUE"""),FALSE)</f>
        <v>0</v>
      </c>
      <c r="O817" s="20">
        <f>IFERROR(__xludf.DUMMYFUNCTION("""COMPUTED_VALUE"""),56.151118667966)</f>
        <v>56.15111867</v>
      </c>
      <c r="P817" s="20">
        <f>IFERROR(__xludf.DUMMYFUNCTION("""COMPUTED_VALUE"""),27080.0)</f>
        <v>27080</v>
      </c>
      <c r="Q817" s="20">
        <f>IFERROR(__xludf.DUMMYFUNCTION("""COMPUTED_VALUE"""),48227.0)</f>
        <v>48227</v>
      </c>
    </row>
    <row r="818">
      <c r="A818" s="20">
        <f>IFERROR(__xludf.DUMMYFUNCTION("""COMPUTED_VALUE"""),835.0)</f>
        <v>835</v>
      </c>
      <c r="B818" s="20" t="str">
        <f>IFERROR(__xludf.DUMMYFUNCTION("""COMPUTED_VALUE"""),"Linked List Components")</f>
        <v>Linked List Components</v>
      </c>
      <c r="C818" s="20" t="str">
        <f>IFERROR(__xludf.DUMMYFUNCTION("""COMPUTED_VALUE"""),"linked-list-components")</f>
        <v>linked-list-components</v>
      </c>
      <c r="D818" s="20" t="b">
        <f>IFERROR(__xludf.DUMMYFUNCTION("""COMPUTED_VALUE"""),FALSE)</f>
        <v>0</v>
      </c>
      <c r="E818" s="20" t="str">
        <f>IFERROR(__xludf.DUMMYFUNCTION("""COMPUTED_VALUE"""),"Medium")</f>
        <v>Medium</v>
      </c>
      <c r="F818" s="20">
        <f>IFERROR(__xludf.DUMMYFUNCTION("""COMPUTED_VALUE"""),845.0)</f>
        <v>845</v>
      </c>
      <c r="G818" s="20">
        <f>IFERROR(__xludf.DUMMYFUNCTION("""COMPUTED_VALUE"""),1959.0)</f>
        <v>1959</v>
      </c>
      <c r="H818" s="20" t="str">
        <f>IFERROR(__xludf.DUMMYFUNCTION("""COMPUTED_VALUE"""),"Algorithms")</f>
        <v>Algorithms</v>
      </c>
      <c r="I818" s="20">
        <f>IFERROR(__xludf.DUMMYFUNCTION("""COMPUTED_VALUE"""),0.58)</f>
        <v>0.58</v>
      </c>
      <c r="J818" s="20">
        <f>IFERROR(__xludf.DUMMYFUNCTION("""COMPUTED_VALUE"""),817.0)</f>
        <v>817</v>
      </c>
      <c r="K818" s="20" t="b">
        <f>IFERROR(__xludf.DUMMYFUNCTION("""COMPUTED_VALUE"""),FALSE)</f>
        <v>0</v>
      </c>
      <c r="L818" s="20" t="str">
        <f>IFERROR(__xludf.DUMMYFUNCTION("""COMPUTED_VALUE"""),"Array;Hash Table;Linked List;")</f>
        <v>Array;Hash Table;Linked List;</v>
      </c>
      <c r="M818" s="20" t="b">
        <f>IFERROR(__xludf.DUMMYFUNCTION("""COMPUTED_VALUE"""),FALSE)</f>
        <v>0</v>
      </c>
      <c r="N818" s="20" t="b">
        <f>IFERROR(__xludf.DUMMYFUNCTION("""COMPUTED_VALUE"""),FALSE)</f>
        <v>0</v>
      </c>
      <c r="O818" s="20">
        <f>IFERROR(__xludf.DUMMYFUNCTION("""COMPUTED_VALUE"""),57.9990865460208)</f>
        <v>57.99908655</v>
      </c>
      <c r="P818" s="20">
        <f>IFERROR(__xludf.DUMMYFUNCTION("""COMPUTED_VALUE"""),77462.0)</f>
        <v>77462</v>
      </c>
      <c r="Q818" s="20">
        <f>IFERROR(__xludf.DUMMYFUNCTION("""COMPUTED_VALUE"""),133558.0)</f>
        <v>133558</v>
      </c>
    </row>
    <row r="819">
      <c r="A819" s="20">
        <f>IFERROR(__xludf.DUMMYFUNCTION("""COMPUTED_VALUE"""),836.0)</f>
        <v>836</v>
      </c>
      <c r="B819" s="20" t="str">
        <f>IFERROR(__xludf.DUMMYFUNCTION("""COMPUTED_VALUE"""),"Race Car")</f>
        <v>Race Car</v>
      </c>
      <c r="C819" s="20" t="str">
        <f>IFERROR(__xludf.DUMMYFUNCTION("""COMPUTED_VALUE"""),"race-car")</f>
        <v>race-car</v>
      </c>
      <c r="D819" s="20" t="b">
        <f>IFERROR(__xludf.DUMMYFUNCTION("""COMPUTED_VALUE"""),FALSE)</f>
        <v>0</v>
      </c>
      <c r="E819" s="20" t="str">
        <f>IFERROR(__xludf.DUMMYFUNCTION("""COMPUTED_VALUE"""),"Hard")</f>
        <v>Hard</v>
      </c>
      <c r="F819" s="20">
        <f>IFERROR(__xludf.DUMMYFUNCTION("""COMPUTED_VALUE"""),1585.0)</f>
        <v>1585</v>
      </c>
      <c r="G819" s="20">
        <f>IFERROR(__xludf.DUMMYFUNCTION("""COMPUTED_VALUE"""),155.0)</f>
        <v>155</v>
      </c>
      <c r="H819" s="20" t="str">
        <f>IFERROR(__xludf.DUMMYFUNCTION("""COMPUTED_VALUE"""),"Algorithms")</f>
        <v>Algorithms</v>
      </c>
      <c r="I819" s="20">
        <f>IFERROR(__xludf.DUMMYFUNCTION("""COMPUTED_VALUE"""),0.433)</f>
        <v>0.433</v>
      </c>
      <c r="J819" s="20">
        <f>IFERROR(__xludf.DUMMYFUNCTION("""COMPUTED_VALUE"""),818.0)</f>
        <v>818</v>
      </c>
      <c r="K819" s="20" t="b">
        <f>IFERROR(__xludf.DUMMYFUNCTION("""COMPUTED_VALUE"""),FALSE)</f>
        <v>0</v>
      </c>
      <c r="L819" s="20" t="str">
        <f>IFERROR(__xludf.DUMMYFUNCTION("""COMPUTED_VALUE"""),"Dynamic Programming;")</f>
        <v>Dynamic Programming;</v>
      </c>
      <c r="M819" s="20" t="b">
        <f>IFERROR(__xludf.DUMMYFUNCTION("""COMPUTED_VALUE"""),TRUE)</f>
        <v>1</v>
      </c>
      <c r="N819" s="20" t="b">
        <f>IFERROR(__xludf.DUMMYFUNCTION("""COMPUTED_VALUE"""),FALSE)</f>
        <v>0</v>
      </c>
      <c r="O819" s="20">
        <f>IFERROR(__xludf.DUMMYFUNCTION("""COMPUTED_VALUE"""),43.3385110260393)</f>
        <v>43.33851103</v>
      </c>
      <c r="P819" s="20">
        <f>IFERROR(__xludf.DUMMYFUNCTION("""COMPUTED_VALUE"""),70867.0)</f>
        <v>70867</v>
      </c>
      <c r="Q819" s="20">
        <f>IFERROR(__xludf.DUMMYFUNCTION("""COMPUTED_VALUE"""),163520.0)</f>
        <v>163520</v>
      </c>
    </row>
    <row r="820">
      <c r="A820" s="20">
        <f>IFERROR(__xludf.DUMMYFUNCTION("""COMPUTED_VALUE"""),837.0)</f>
        <v>837</v>
      </c>
      <c r="B820" s="20" t="str">
        <f>IFERROR(__xludf.DUMMYFUNCTION("""COMPUTED_VALUE"""),"Most Common Word")</f>
        <v>Most Common Word</v>
      </c>
      <c r="C820" s="20" t="str">
        <f>IFERROR(__xludf.DUMMYFUNCTION("""COMPUTED_VALUE"""),"most-common-word")</f>
        <v>most-common-word</v>
      </c>
      <c r="D820" s="20" t="b">
        <f>IFERROR(__xludf.DUMMYFUNCTION("""COMPUTED_VALUE"""),FALSE)</f>
        <v>0</v>
      </c>
      <c r="E820" s="20" t="str">
        <f>IFERROR(__xludf.DUMMYFUNCTION("""COMPUTED_VALUE"""),"Easy")</f>
        <v>Easy</v>
      </c>
      <c r="F820" s="20">
        <f>IFERROR(__xludf.DUMMYFUNCTION("""COMPUTED_VALUE"""),1450.0)</f>
        <v>1450</v>
      </c>
      <c r="G820" s="20">
        <f>IFERROR(__xludf.DUMMYFUNCTION("""COMPUTED_VALUE"""),2823.0)</f>
        <v>2823</v>
      </c>
      <c r="H820" s="20" t="str">
        <f>IFERROR(__xludf.DUMMYFUNCTION("""COMPUTED_VALUE"""),"Algorithms")</f>
        <v>Algorithms</v>
      </c>
      <c r="I820" s="20">
        <f>IFERROR(__xludf.DUMMYFUNCTION("""COMPUTED_VALUE"""),0.449)</f>
        <v>0.449</v>
      </c>
      <c r="J820" s="20">
        <f>IFERROR(__xludf.DUMMYFUNCTION("""COMPUTED_VALUE"""),819.0)</f>
        <v>819</v>
      </c>
      <c r="K820" s="20" t="b">
        <f>IFERROR(__xludf.DUMMYFUNCTION("""COMPUTED_VALUE"""),FALSE)</f>
        <v>0</v>
      </c>
      <c r="L820" s="20" t="str">
        <f>IFERROR(__xludf.DUMMYFUNCTION("""COMPUTED_VALUE"""),"Hash Table;String;Counting;")</f>
        <v>Hash Table;String;Counting;</v>
      </c>
      <c r="M820" s="20" t="b">
        <f>IFERROR(__xludf.DUMMYFUNCTION("""COMPUTED_VALUE"""),TRUE)</f>
        <v>1</v>
      </c>
      <c r="N820" s="20" t="b">
        <f>IFERROR(__xludf.DUMMYFUNCTION("""COMPUTED_VALUE"""),FALSE)</f>
        <v>0</v>
      </c>
      <c r="O820" s="20">
        <f>IFERROR(__xludf.DUMMYFUNCTION("""COMPUTED_VALUE"""),44.8845692358194)</f>
        <v>44.88456924</v>
      </c>
      <c r="P820" s="20">
        <f>IFERROR(__xludf.DUMMYFUNCTION("""COMPUTED_VALUE"""),317219.0)</f>
        <v>317219</v>
      </c>
      <c r="Q820" s="20">
        <f>IFERROR(__xludf.DUMMYFUNCTION("""COMPUTED_VALUE"""),706744.0)</f>
        <v>706744</v>
      </c>
    </row>
    <row r="821">
      <c r="A821" s="20">
        <f>IFERROR(__xludf.DUMMYFUNCTION("""COMPUTED_VALUE"""),839.0)</f>
        <v>839</v>
      </c>
      <c r="B821" s="20" t="str">
        <f>IFERROR(__xludf.DUMMYFUNCTION("""COMPUTED_VALUE"""),"Short Encoding of Words")</f>
        <v>Short Encoding of Words</v>
      </c>
      <c r="C821" s="20" t="str">
        <f>IFERROR(__xludf.DUMMYFUNCTION("""COMPUTED_VALUE"""),"short-encoding-of-words")</f>
        <v>short-encoding-of-words</v>
      </c>
      <c r="D821" s="20" t="b">
        <f>IFERROR(__xludf.DUMMYFUNCTION("""COMPUTED_VALUE"""),FALSE)</f>
        <v>0</v>
      </c>
      <c r="E821" s="20" t="str">
        <f>IFERROR(__xludf.DUMMYFUNCTION("""COMPUTED_VALUE"""),"Medium")</f>
        <v>Medium</v>
      </c>
      <c r="F821" s="20">
        <f>IFERROR(__xludf.DUMMYFUNCTION("""COMPUTED_VALUE"""),1640.0)</f>
        <v>1640</v>
      </c>
      <c r="G821" s="20">
        <f>IFERROR(__xludf.DUMMYFUNCTION("""COMPUTED_VALUE"""),629.0)</f>
        <v>629</v>
      </c>
      <c r="H821" s="20" t="str">
        <f>IFERROR(__xludf.DUMMYFUNCTION("""COMPUTED_VALUE"""),"Algorithms")</f>
        <v>Algorithms</v>
      </c>
      <c r="I821" s="20">
        <f>IFERROR(__xludf.DUMMYFUNCTION("""COMPUTED_VALUE"""),0.606)</f>
        <v>0.606</v>
      </c>
      <c r="J821" s="20">
        <f>IFERROR(__xludf.DUMMYFUNCTION("""COMPUTED_VALUE"""),820.0)</f>
        <v>820</v>
      </c>
      <c r="K821" s="20" t="b">
        <f>IFERROR(__xludf.DUMMYFUNCTION("""COMPUTED_VALUE"""),FALSE)</f>
        <v>0</v>
      </c>
      <c r="L821" s="20" t="str">
        <f>IFERROR(__xludf.DUMMYFUNCTION("""COMPUTED_VALUE"""),"Array;Hash Table;String;Trie;")</f>
        <v>Array;Hash Table;String;Trie;</v>
      </c>
      <c r="M821" s="20" t="b">
        <f>IFERROR(__xludf.DUMMYFUNCTION("""COMPUTED_VALUE"""),TRUE)</f>
        <v>1</v>
      </c>
      <c r="N821" s="20" t="b">
        <f>IFERROR(__xludf.DUMMYFUNCTION("""COMPUTED_VALUE"""),FALSE)</f>
        <v>0</v>
      </c>
      <c r="O821" s="20">
        <f>IFERROR(__xludf.DUMMYFUNCTION("""COMPUTED_VALUE"""),60.6171205497399)</f>
        <v>60.61712055</v>
      </c>
      <c r="P821" s="20">
        <f>IFERROR(__xludf.DUMMYFUNCTION("""COMPUTED_VALUE"""),90682.0)</f>
        <v>90682</v>
      </c>
      <c r="Q821" s="20">
        <f>IFERROR(__xludf.DUMMYFUNCTION("""COMPUTED_VALUE"""),149598.0)</f>
        <v>149598</v>
      </c>
    </row>
    <row r="822">
      <c r="A822" s="20">
        <f>IFERROR(__xludf.DUMMYFUNCTION("""COMPUTED_VALUE"""),841.0)</f>
        <v>841</v>
      </c>
      <c r="B822" s="20" t="str">
        <f>IFERROR(__xludf.DUMMYFUNCTION("""COMPUTED_VALUE"""),"Shortest Distance to a Character")</f>
        <v>Shortest Distance to a Character</v>
      </c>
      <c r="C822" s="20" t="str">
        <f>IFERROR(__xludf.DUMMYFUNCTION("""COMPUTED_VALUE"""),"shortest-distance-to-a-character")</f>
        <v>shortest-distance-to-a-character</v>
      </c>
      <c r="D822" s="20" t="b">
        <f>IFERROR(__xludf.DUMMYFUNCTION("""COMPUTED_VALUE"""),FALSE)</f>
        <v>0</v>
      </c>
      <c r="E822" s="20" t="str">
        <f>IFERROR(__xludf.DUMMYFUNCTION("""COMPUTED_VALUE"""),"Easy")</f>
        <v>Easy</v>
      </c>
      <c r="F822" s="20">
        <f>IFERROR(__xludf.DUMMYFUNCTION("""COMPUTED_VALUE"""),2644.0)</f>
        <v>2644</v>
      </c>
      <c r="G822" s="20">
        <f>IFERROR(__xludf.DUMMYFUNCTION("""COMPUTED_VALUE"""),138.0)</f>
        <v>138</v>
      </c>
      <c r="H822" s="20" t="str">
        <f>IFERROR(__xludf.DUMMYFUNCTION("""COMPUTED_VALUE"""),"Algorithms")</f>
        <v>Algorithms</v>
      </c>
      <c r="I822" s="20">
        <f>IFERROR(__xludf.DUMMYFUNCTION("""COMPUTED_VALUE"""),0.715)</f>
        <v>0.715</v>
      </c>
      <c r="J822" s="20">
        <f>IFERROR(__xludf.DUMMYFUNCTION("""COMPUTED_VALUE"""),821.0)</f>
        <v>821</v>
      </c>
      <c r="K822" s="20" t="b">
        <f>IFERROR(__xludf.DUMMYFUNCTION("""COMPUTED_VALUE"""),FALSE)</f>
        <v>0</v>
      </c>
      <c r="L822" s="20" t="str">
        <f>IFERROR(__xludf.DUMMYFUNCTION("""COMPUTED_VALUE"""),"Array;Two Pointers;String;")</f>
        <v>Array;Two Pointers;String;</v>
      </c>
      <c r="M822" s="20" t="b">
        <f>IFERROR(__xludf.DUMMYFUNCTION("""COMPUTED_VALUE"""),TRUE)</f>
        <v>1</v>
      </c>
      <c r="N822" s="20" t="b">
        <f>IFERROR(__xludf.DUMMYFUNCTION("""COMPUTED_VALUE"""),FALSE)</f>
        <v>0</v>
      </c>
      <c r="O822" s="20">
        <f>IFERROR(__xludf.DUMMYFUNCTION("""COMPUTED_VALUE"""),71.4551599390708)</f>
        <v>71.45515994</v>
      </c>
      <c r="P822" s="20">
        <f>IFERROR(__xludf.DUMMYFUNCTION("""COMPUTED_VALUE"""),150111.0)</f>
        <v>150111</v>
      </c>
      <c r="Q822" s="20">
        <f>IFERROR(__xludf.DUMMYFUNCTION("""COMPUTED_VALUE"""),210077.0)</f>
        <v>210077</v>
      </c>
    </row>
    <row r="823">
      <c r="A823" s="20">
        <f>IFERROR(__xludf.DUMMYFUNCTION("""COMPUTED_VALUE"""),842.0)</f>
        <v>842</v>
      </c>
      <c r="B823" s="20" t="str">
        <f>IFERROR(__xludf.DUMMYFUNCTION("""COMPUTED_VALUE"""),"Card Flipping Game")</f>
        <v>Card Flipping Game</v>
      </c>
      <c r="C823" s="20" t="str">
        <f>IFERROR(__xludf.DUMMYFUNCTION("""COMPUTED_VALUE"""),"card-flipping-game")</f>
        <v>card-flipping-game</v>
      </c>
      <c r="D823" s="20" t="b">
        <f>IFERROR(__xludf.DUMMYFUNCTION("""COMPUTED_VALUE"""),FALSE)</f>
        <v>0</v>
      </c>
      <c r="E823" s="20" t="str">
        <f>IFERROR(__xludf.DUMMYFUNCTION("""COMPUTED_VALUE"""),"Medium")</f>
        <v>Medium</v>
      </c>
      <c r="F823" s="20">
        <f>IFERROR(__xludf.DUMMYFUNCTION("""COMPUTED_VALUE"""),137.0)</f>
        <v>137</v>
      </c>
      <c r="G823" s="20">
        <f>IFERROR(__xludf.DUMMYFUNCTION("""COMPUTED_VALUE"""),673.0)</f>
        <v>673</v>
      </c>
      <c r="H823" s="20" t="str">
        <f>IFERROR(__xludf.DUMMYFUNCTION("""COMPUTED_VALUE"""),"Algorithms")</f>
        <v>Algorithms</v>
      </c>
      <c r="I823" s="20">
        <f>IFERROR(__xludf.DUMMYFUNCTION("""COMPUTED_VALUE"""),0.458)</f>
        <v>0.458</v>
      </c>
      <c r="J823" s="20">
        <f>IFERROR(__xludf.DUMMYFUNCTION("""COMPUTED_VALUE"""),822.0)</f>
        <v>822</v>
      </c>
      <c r="K823" s="20" t="b">
        <f>IFERROR(__xludf.DUMMYFUNCTION("""COMPUTED_VALUE"""),FALSE)</f>
        <v>0</v>
      </c>
      <c r="L823" s="20" t="str">
        <f>IFERROR(__xludf.DUMMYFUNCTION("""COMPUTED_VALUE"""),"Array;Hash Table;")</f>
        <v>Array;Hash Table;</v>
      </c>
      <c r="M823" s="20" t="b">
        <f>IFERROR(__xludf.DUMMYFUNCTION("""COMPUTED_VALUE"""),FALSE)</f>
        <v>0</v>
      </c>
      <c r="N823" s="20" t="b">
        <f>IFERROR(__xludf.DUMMYFUNCTION("""COMPUTED_VALUE"""),FALSE)</f>
        <v>0</v>
      </c>
      <c r="O823" s="20">
        <f>IFERROR(__xludf.DUMMYFUNCTION("""COMPUTED_VALUE"""),45.7598708716165)</f>
        <v>45.75987087</v>
      </c>
      <c r="P823" s="20">
        <f>IFERROR(__xludf.DUMMYFUNCTION("""COMPUTED_VALUE"""),14742.0)</f>
        <v>14742</v>
      </c>
      <c r="Q823" s="20">
        <f>IFERROR(__xludf.DUMMYFUNCTION("""COMPUTED_VALUE"""),32216.0)</f>
        <v>32216</v>
      </c>
    </row>
    <row r="824">
      <c r="A824" s="20">
        <f>IFERROR(__xludf.DUMMYFUNCTION("""COMPUTED_VALUE"""),843.0)</f>
        <v>843</v>
      </c>
      <c r="B824" s="20" t="str">
        <f>IFERROR(__xludf.DUMMYFUNCTION("""COMPUTED_VALUE"""),"Binary Trees With Factors")</f>
        <v>Binary Trees With Factors</v>
      </c>
      <c r="C824" s="20" t="str">
        <f>IFERROR(__xludf.DUMMYFUNCTION("""COMPUTED_VALUE"""),"binary-trees-with-factors")</f>
        <v>binary-trees-with-factors</v>
      </c>
      <c r="D824" s="20" t="b">
        <f>IFERROR(__xludf.DUMMYFUNCTION("""COMPUTED_VALUE"""),FALSE)</f>
        <v>0</v>
      </c>
      <c r="E824" s="20" t="str">
        <f>IFERROR(__xludf.DUMMYFUNCTION("""COMPUTED_VALUE"""),"Medium")</f>
        <v>Medium</v>
      </c>
      <c r="F824" s="20">
        <f>IFERROR(__xludf.DUMMYFUNCTION("""COMPUTED_VALUE"""),2439.0)</f>
        <v>2439</v>
      </c>
      <c r="G824" s="20">
        <f>IFERROR(__xludf.DUMMYFUNCTION("""COMPUTED_VALUE"""),176.0)</f>
        <v>176</v>
      </c>
      <c r="H824" s="20" t="str">
        <f>IFERROR(__xludf.DUMMYFUNCTION("""COMPUTED_VALUE"""),"Algorithms")</f>
        <v>Algorithms</v>
      </c>
      <c r="I824" s="20">
        <f>IFERROR(__xludf.DUMMYFUNCTION("""COMPUTED_VALUE"""),0.498)</f>
        <v>0.498</v>
      </c>
      <c r="J824" s="20">
        <f>IFERROR(__xludf.DUMMYFUNCTION("""COMPUTED_VALUE"""),823.0)</f>
        <v>823</v>
      </c>
      <c r="K824" s="20" t="b">
        <f>IFERROR(__xludf.DUMMYFUNCTION("""COMPUTED_VALUE"""),FALSE)</f>
        <v>0</v>
      </c>
      <c r="L824" s="20" t="str">
        <f>IFERROR(__xludf.DUMMYFUNCTION("""COMPUTED_VALUE"""),"Array;Hash Table;Dynamic Programming;")</f>
        <v>Array;Hash Table;Dynamic Programming;</v>
      </c>
      <c r="M824" s="20" t="b">
        <f>IFERROR(__xludf.DUMMYFUNCTION("""COMPUTED_VALUE"""),TRUE)</f>
        <v>1</v>
      </c>
      <c r="N824" s="20" t="b">
        <f>IFERROR(__xludf.DUMMYFUNCTION("""COMPUTED_VALUE"""),FALSE)</f>
        <v>0</v>
      </c>
      <c r="O824" s="20">
        <f>IFERROR(__xludf.DUMMYFUNCTION("""COMPUTED_VALUE"""),49.8455025975936)</f>
        <v>49.8455026</v>
      </c>
      <c r="P824" s="20">
        <f>IFERROR(__xludf.DUMMYFUNCTION("""COMPUTED_VALUE"""),88078.0)</f>
        <v>88078</v>
      </c>
      <c r="Q824" s="20">
        <f>IFERROR(__xludf.DUMMYFUNCTION("""COMPUTED_VALUE"""),176702.0)</f>
        <v>176702</v>
      </c>
    </row>
    <row r="825">
      <c r="A825" s="20">
        <f>IFERROR(__xludf.DUMMYFUNCTION("""COMPUTED_VALUE"""),851.0)</f>
        <v>851</v>
      </c>
      <c r="B825" s="20" t="str">
        <f>IFERROR(__xludf.DUMMYFUNCTION("""COMPUTED_VALUE"""),"Goat Latin")</f>
        <v>Goat Latin</v>
      </c>
      <c r="C825" s="20" t="str">
        <f>IFERROR(__xludf.DUMMYFUNCTION("""COMPUTED_VALUE"""),"goat-latin")</f>
        <v>goat-latin</v>
      </c>
      <c r="D825" s="20" t="b">
        <f>IFERROR(__xludf.DUMMYFUNCTION("""COMPUTED_VALUE"""),FALSE)</f>
        <v>0</v>
      </c>
      <c r="E825" s="20" t="str">
        <f>IFERROR(__xludf.DUMMYFUNCTION("""COMPUTED_VALUE"""),"Easy")</f>
        <v>Easy</v>
      </c>
      <c r="F825" s="20">
        <f>IFERROR(__xludf.DUMMYFUNCTION("""COMPUTED_VALUE"""),766.0)</f>
        <v>766</v>
      </c>
      <c r="G825" s="20">
        <f>IFERROR(__xludf.DUMMYFUNCTION("""COMPUTED_VALUE"""),1162.0)</f>
        <v>1162</v>
      </c>
      <c r="H825" s="20" t="str">
        <f>IFERROR(__xludf.DUMMYFUNCTION("""COMPUTED_VALUE"""),"Algorithms")</f>
        <v>Algorithms</v>
      </c>
      <c r="I825" s="20">
        <f>IFERROR(__xludf.DUMMYFUNCTION("""COMPUTED_VALUE"""),0.679)</f>
        <v>0.679</v>
      </c>
      <c r="J825" s="20">
        <f>IFERROR(__xludf.DUMMYFUNCTION("""COMPUTED_VALUE"""),824.0)</f>
        <v>824</v>
      </c>
      <c r="K825" s="20" t="b">
        <f>IFERROR(__xludf.DUMMYFUNCTION("""COMPUTED_VALUE"""),FALSE)</f>
        <v>0</v>
      </c>
      <c r="L825" s="20" t="str">
        <f>IFERROR(__xludf.DUMMYFUNCTION("""COMPUTED_VALUE"""),"String;")</f>
        <v>String;</v>
      </c>
      <c r="M825" s="20" t="b">
        <f>IFERROR(__xludf.DUMMYFUNCTION("""COMPUTED_VALUE"""),FALSE)</f>
        <v>0</v>
      </c>
      <c r="N825" s="20" t="b">
        <f>IFERROR(__xludf.DUMMYFUNCTION("""COMPUTED_VALUE"""),FALSE)</f>
        <v>0</v>
      </c>
      <c r="O825" s="20">
        <f>IFERROR(__xludf.DUMMYFUNCTION("""COMPUTED_VALUE"""),67.8667974662754)</f>
        <v>67.86679747</v>
      </c>
      <c r="P825" s="20">
        <f>IFERROR(__xludf.DUMMYFUNCTION("""COMPUTED_VALUE"""),152891.0)</f>
        <v>152891</v>
      </c>
      <c r="Q825" s="20">
        <f>IFERROR(__xludf.DUMMYFUNCTION("""COMPUTED_VALUE"""),225281.0)</f>
        <v>225281</v>
      </c>
    </row>
    <row r="826">
      <c r="A826" s="20">
        <f>IFERROR(__xludf.DUMMYFUNCTION("""COMPUTED_VALUE"""),852.0)</f>
        <v>852</v>
      </c>
      <c r="B826" s="20" t="str">
        <f>IFERROR(__xludf.DUMMYFUNCTION("""COMPUTED_VALUE"""),"Friends Of Appropriate Ages")</f>
        <v>Friends Of Appropriate Ages</v>
      </c>
      <c r="C826" s="20" t="str">
        <f>IFERROR(__xludf.DUMMYFUNCTION("""COMPUTED_VALUE"""),"friends-of-appropriate-ages")</f>
        <v>friends-of-appropriate-ages</v>
      </c>
      <c r="D826" s="20" t="b">
        <f>IFERROR(__xludf.DUMMYFUNCTION("""COMPUTED_VALUE"""),FALSE)</f>
        <v>0</v>
      </c>
      <c r="E826" s="20" t="str">
        <f>IFERROR(__xludf.DUMMYFUNCTION("""COMPUTED_VALUE"""),"Medium")</f>
        <v>Medium</v>
      </c>
      <c r="F826" s="20">
        <f>IFERROR(__xludf.DUMMYFUNCTION("""COMPUTED_VALUE"""),613.0)</f>
        <v>613</v>
      </c>
      <c r="G826" s="20">
        <f>IFERROR(__xludf.DUMMYFUNCTION("""COMPUTED_VALUE"""),1105.0)</f>
        <v>1105</v>
      </c>
      <c r="H826" s="20" t="str">
        <f>IFERROR(__xludf.DUMMYFUNCTION("""COMPUTED_VALUE"""),"Algorithms")</f>
        <v>Algorithms</v>
      </c>
      <c r="I826" s="20">
        <f>IFERROR(__xludf.DUMMYFUNCTION("""COMPUTED_VALUE"""),0.464)</f>
        <v>0.464</v>
      </c>
      <c r="J826" s="20">
        <f>IFERROR(__xludf.DUMMYFUNCTION("""COMPUTED_VALUE"""),825.0)</f>
        <v>825</v>
      </c>
      <c r="K826" s="20" t="b">
        <f>IFERROR(__xludf.DUMMYFUNCTION("""COMPUTED_VALUE"""),FALSE)</f>
        <v>0</v>
      </c>
      <c r="L826" s="20" t="str">
        <f>IFERROR(__xludf.DUMMYFUNCTION("""COMPUTED_VALUE"""),"Array;Two Pointers;Binary Search;Sorting;")</f>
        <v>Array;Two Pointers;Binary Search;Sorting;</v>
      </c>
      <c r="M826" s="20" t="b">
        <f>IFERROR(__xludf.DUMMYFUNCTION("""COMPUTED_VALUE"""),FALSE)</f>
        <v>0</v>
      </c>
      <c r="N826" s="20" t="b">
        <f>IFERROR(__xludf.DUMMYFUNCTION("""COMPUTED_VALUE"""),FALSE)</f>
        <v>0</v>
      </c>
      <c r="O826" s="20">
        <f>IFERROR(__xludf.DUMMYFUNCTION("""COMPUTED_VALUE"""),46.3531300586471)</f>
        <v>46.35313006</v>
      </c>
      <c r="P826" s="20">
        <f>IFERROR(__xludf.DUMMYFUNCTION("""COMPUTED_VALUE"""),69869.0)</f>
        <v>69869</v>
      </c>
      <c r="Q826" s="20">
        <f>IFERROR(__xludf.DUMMYFUNCTION("""COMPUTED_VALUE"""),150732.0)</f>
        <v>150732</v>
      </c>
    </row>
    <row r="827">
      <c r="A827" s="20">
        <f>IFERROR(__xludf.DUMMYFUNCTION("""COMPUTED_VALUE"""),853.0)</f>
        <v>853</v>
      </c>
      <c r="B827" s="20" t="str">
        <f>IFERROR(__xludf.DUMMYFUNCTION("""COMPUTED_VALUE"""),"Most Profit Assigning Work")</f>
        <v>Most Profit Assigning Work</v>
      </c>
      <c r="C827" s="20" t="str">
        <f>IFERROR(__xludf.DUMMYFUNCTION("""COMPUTED_VALUE"""),"most-profit-assigning-work")</f>
        <v>most-profit-assigning-work</v>
      </c>
      <c r="D827" s="20" t="b">
        <f>IFERROR(__xludf.DUMMYFUNCTION("""COMPUTED_VALUE"""),FALSE)</f>
        <v>0</v>
      </c>
      <c r="E827" s="20" t="str">
        <f>IFERROR(__xludf.DUMMYFUNCTION("""COMPUTED_VALUE"""),"Medium")</f>
        <v>Medium</v>
      </c>
      <c r="F827" s="20">
        <f>IFERROR(__xludf.DUMMYFUNCTION("""COMPUTED_VALUE"""),1204.0)</f>
        <v>1204</v>
      </c>
      <c r="G827" s="20">
        <f>IFERROR(__xludf.DUMMYFUNCTION("""COMPUTED_VALUE"""),118.0)</f>
        <v>118</v>
      </c>
      <c r="H827" s="20" t="str">
        <f>IFERROR(__xludf.DUMMYFUNCTION("""COMPUTED_VALUE"""),"Algorithms")</f>
        <v>Algorithms</v>
      </c>
      <c r="I827" s="20">
        <f>IFERROR(__xludf.DUMMYFUNCTION("""COMPUTED_VALUE"""),0.447)</f>
        <v>0.447</v>
      </c>
      <c r="J827" s="20">
        <f>IFERROR(__xludf.DUMMYFUNCTION("""COMPUTED_VALUE"""),826.0)</f>
        <v>826</v>
      </c>
      <c r="K827" s="20" t="b">
        <f>IFERROR(__xludf.DUMMYFUNCTION("""COMPUTED_VALUE"""),FALSE)</f>
        <v>0</v>
      </c>
      <c r="L827" s="20" t="str">
        <f>IFERROR(__xludf.DUMMYFUNCTION("""COMPUTED_VALUE"""),"Array;Two Pointers;Binary Search;Greedy;Sorting;")</f>
        <v>Array;Two Pointers;Binary Search;Greedy;Sorting;</v>
      </c>
      <c r="M827" s="20" t="b">
        <f>IFERROR(__xludf.DUMMYFUNCTION("""COMPUTED_VALUE"""),TRUE)</f>
        <v>1</v>
      </c>
      <c r="N827" s="20" t="b">
        <f>IFERROR(__xludf.DUMMYFUNCTION("""COMPUTED_VALUE"""),FALSE)</f>
        <v>0</v>
      </c>
      <c r="O827" s="20">
        <f>IFERROR(__xludf.DUMMYFUNCTION("""COMPUTED_VALUE"""),44.6840698001688)</f>
        <v>44.6840698</v>
      </c>
      <c r="P827" s="20">
        <f>IFERROR(__xludf.DUMMYFUNCTION("""COMPUTED_VALUE"""),50804.0)</f>
        <v>50804</v>
      </c>
      <c r="Q827" s="20">
        <f>IFERROR(__xludf.DUMMYFUNCTION("""COMPUTED_VALUE"""),113696.0)</f>
        <v>113696</v>
      </c>
    </row>
    <row r="828">
      <c r="A828" s="20">
        <f>IFERROR(__xludf.DUMMYFUNCTION("""COMPUTED_VALUE"""),854.0)</f>
        <v>854</v>
      </c>
      <c r="B828" s="20" t="str">
        <f>IFERROR(__xludf.DUMMYFUNCTION("""COMPUTED_VALUE"""),"Making A Large Island")</f>
        <v>Making A Large Island</v>
      </c>
      <c r="C828" s="20" t="str">
        <f>IFERROR(__xludf.DUMMYFUNCTION("""COMPUTED_VALUE"""),"making-a-large-island")</f>
        <v>making-a-large-island</v>
      </c>
      <c r="D828" s="20" t="b">
        <f>IFERROR(__xludf.DUMMYFUNCTION("""COMPUTED_VALUE"""),FALSE)</f>
        <v>0</v>
      </c>
      <c r="E828" s="20" t="str">
        <f>IFERROR(__xludf.DUMMYFUNCTION("""COMPUTED_VALUE"""),"Hard")</f>
        <v>Hard</v>
      </c>
      <c r="F828" s="20">
        <f>IFERROR(__xludf.DUMMYFUNCTION("""COMPUTED_VALUE"""),2877.0)</f>
        <v>2877</v>
      </c>
      <c r="G828" s="20">
        <f>IFERROR(__xludf.DUMMYFUNCTION("""COMPUTED_VALUE"""),58.0)</f>
        <v>58</v>
      </c>
      <c r="H828" s="20" t="str">
        <f>IFERROR(__xludf.DUMMYFUNCTION("""COMPUTED_VALUE"""),"Algorithms")</f>
        <v>Algorithms</v>
      </c>
      <c r="I828" s="20">
        <f>IFERROR(__xludf.DUMMYFUNCTION("""COMPUTED_VALUE"""),0.448)</f>
        <v>0.448</v>
      </c>
      <c r="J828" s="20">
        <f>IFERROR(__xludf.DUMMYFUNCTION("""COMPUTED_VALUE"""),827.0)</f>
        <v>827</v>
      </c>
      <c r="K828" s="20" t="b">
        <f>IFERROR(__xludf.DUMMYFUNCTION("""COMPUTED_VALUE"""),FALSE)</f>
        <v>0</v>
      </c>
      <c r="L828" s="20" t="str">
        <f>IFERROR(__xludf.DUMMYFUNCTION("""COMPUTED_VALUE"""),"Array;Depth-First Search;Breadth-First Search;Union Find;Matrix;")</f>
        <v>Array;Depth-First Search;Breadth-First Search;Union Find;Matrix;</v>
      </c>
      <c r="M828" s="20" t="b">
        <f>IFERROR(__xludf.DUMMYFUNCTION("""COMPUTED_VALUE"""),TRUE)</f>
        <v>1</v>
      </c>
      <c r="N828" s="20" t="b">
        <f>IFERROR(__xludf.DUMMYFUNCTION("""COMPUTED_VALUE"""),FALSE)</f>
        <v>0</v>
      </c>
      <c r="O828" s="20">
        <f>IFERROR(__xludf.DUMMYFUNCTION("""COMPUTED_VALUE"""),44.7795990100785)</f>
        <v>44.77959901</v>
      </c>
      <c r="P828" s="20">
        <f>IFERROR(__xludf.DUMMYFUNCTION("""COMPUTED_VALUE"""),124849.0)</f>
        <v>124849</v>
      </c>
      <c r="Q828" s="20">
        <f>IFERROR(__xludf.DUMMYFUNCTION("""COMPUTED_VALUE"""),278809.0)</f>
        <v>278809</v>
      </c>
    </row>
    <row r="829">
      <c r="A829" s="20">
        <f>IFERROR(__xludf.DUMMYFUNCTION("""COMPUTED_VALUE"""),855.0)</f>
        <v>855</v>
      </c>
      <c r="B829" s="20" t="str">
        <f>IFERROR(__xludf.DUMMYFUNCTION("""COMPUTED_VALUE"""),"Count Unique Characters of All Substrings of a Given String")</f>
        <v>Count Unique Characters of All Substrings of a Given String</v>
      </c>
      <c r="C829" s="20" t="str">
        <f>IFERROR(__xludf.DUMMYFUNCTION("""COMPUTED_VALUE"""),"count-unique-characters-of-all-substrings-of-a-given-string")</f>
        <v>count-unique-characters-of-all-substrings-of-a-given-string</v>
      </c>
      <c r="D829" s="20" t="b">
        <f>IFERROR(__xludf.DUMMYFUNCTION("""COMPUTED_VALUE"""),FALSE)</f>
        <v>0</v>
      </c>
      <c r="E829" s="20" t="str">
        <f>IFERROR(__xludf.DUMMYFUNCTION("""COMPUTED_VALUE"""),"Hard")</f>
        <v>Hard</v>
      </c>
      <c r="F829" s="20">
        <f>IFERROR(__xludf.DUMMYFUNCTION("""COMPUTED_VALUE"""),1829.0)</f>
        <v>1829</v>
      </c>
      <c r="G829" s="20">
        <f>IFERROR(__xludf.DUMMYFUNCTION("""COMPUTED_VALUE"""),237.0)</f>
        <v>237</v>
      </c>
      <c r="H829" s="20" t="str">
        <f>IFERROR(__xludf.DUMMYFUNCTION("""COMPUTED_VALUE"""),"Algorithms")</f>
        <v>Algorithms</v>
      </c>
      <c r="I829" s="20">
        <f>IFERROR(__xludf.DUMMYFUNCTION("""COMPUTED_VALUE"""),0.518)</f>
        <v>0.518</v>
      </c>
      <c r="J829" s="20">
        <f>IFERROR(__xludf.DUMMYFUNCTION("""COMPUTED_VALUE"""),828.0)</f>
        <v>828</v>
      </c>
      <c r="K829" s="20" t="b">
        <f>IFERROR(__xludf.DUMMYFUNCTION("""COMPUTED_VALUE"""),FALSE)</f>
        <v>0</v>
      </c>
      <c r="L829" s="20" t="str">
        <f>IFERROR(__xludf.DUMMYFUNCTION("""COMPUTED_VALUE"""),"Hash Table;String;Dynamic Programming;")</f>
        <v>Hash Table;String;Dynamic Programming;</v>
      </c>
      <c r="M829" s="20" t="b">
        <f>IFERROR(__xludf.DUMMYFUNCTION("""COMPUTED_VALUE"""),FALSE)</f>
        <v>0</v>
      </c>
      <c r="N829" s="20" t="b">
        <f>IFERROR(__xludf.DUMMYFUNCTION("""COMPUTED_VALUE"""),FALSE)</f>
        <v>0</v>
      </c>
      <c r="O829" s="20">
        <f>IFERROR(__xludf.DUMMYFUNCTION("""COMPUTED_VALUE"""),51.7909171654118)</f>
        <v>51.79091717</v>
      </c>
      <c r="P829" s="20">
        <f>IFERROR(__xludf.DUMMYFUNCTION("""COMPUTED_VALUE"""),62390.0)</f>
        <v>62390</v>
      </c>
      <c r="Q829" s="20">
        <f>IFERROR(__xludf.DUMMYFUNCTION("""COMPUTED_VALUE"""),120467.0)</f>
        <v>120467</v>
      </c>
    </row>
    <row r="830">
      <c r="A830" s="20">
        <f>IFERROR(__xludf.DUMMYFUNCTION("""COMPUTED_VALUE"""),856.0)</f>
        <v>856</v>
      </c>
      <c r="B830" s="20" t="str">
        <f>IFERROR(__xludf.DUMMYFUNCTION("""COMPUTED_VALUE"""),"Consecutive Numbers Sum")</f>
        <v>Consecutive Numbers Sum</v>
      </c>
      <c r="C830" s="20" t="str">
        <f>IFERROR(__xludf.DUMMYFUNCTION("""COMPUTED_VALUE"""),"consecutive-numbers-sum")</f>
        <v>consecutive-numbers-sum</v>
      </c>
      <c r="D830" s="20" t="b">
        <f>IFERROR(__xludf.DUMMYFUNCTION("""COMPUTED_VALUE"""),FALSE)</f>
        <v>0</v>
      </c>
      <c r="E830" s="20" t="str">
        <f>IFERROR(__xludf.DUMMYFUNCTION("""COMPUTED_VALUE"""),"Hard")</f>
        <v>Hard</v>
      </c>
      <c r="F830" s="20">
        <f>IFERROR(__xludf.DUMMYFUNCTION("""COMPUTED_VALUE"""),1185.0)</f>
        <v>1185</v>
      </c>
      <c r="G830" s="20">
        <f>IFERROR(__xludf.DUMMYFUNCTION("""COMPUTED_VALUE"""),1326.0)</f>
        <v>1326</v>
      </c>
      <c r="H830" s="20" t="str">
        <f>IFERROR(__xludf.DUMMYFUNCTION("""COMPUTED_VALUE"""),"Algorithms")</f>
        <v>Algorithms</v>
      </c>
      <c r="I830" s="20">
        <f>IFERROR(__xludf.DUMMYFUNCTION("""COMPUTED_VALUE"""),0.415)</f>
        <v>0.415</v>
      </c>
      <c r="J830" s="20">
        <f>IFERROR(__xludf.DUMMYFUNCTION("""COMPUTED_VALUE"""),829.0)</f>
        <v>829</v>
      </c>
      <c r="K830" s="20" t="b">
        <f>IFERROR(__xludf.DUMMYFUNCTION("""COMPUTED_VALUE"""),FALSE)</f>
        <v>0</v>
      </c>
      <c r="L830" s="20" t="str">
        <f>IFERROR(__xludf.DUMMYFUNCTION("""COMPUTED_VALUE"""),"Math;Enumeration;")</f>
        <v>Math;Enumeration;</v>
      </c>
      <c r="M830" s="20" t="b">
        <f>IFERROR(__xludf.DUMMYFUNCTION("""COMPUTED_VALUE"""),TRUE)</f>
        <v>1</v>
      </c>
      <c r="N830" s="20" t="b">
        <f>IFERROR(__xludf.DUMMYFUNCTION("""COMPUTED_VALUE"""),FALSE)</f>
        <v>0</v>
      </c>
      <c r="O830" s="20">
        <f>IFERROR(__xludf.DUMMYFUNCTION("""COMPUTED_VALUE"""),41.5435460900383)</f>
        <v>41.54354609</v>
      </c>
      <c r="P830" s="20">
        <f>IFERROR(__xludf.DUMMYFUNCTION("""COMPUTED_VALUE"""),76426.0)</f>
        <v>76426</v>
      </c>
      <c r="Q830" s="20">
        <f>IFERROR(__xludf.DUMMYFUNCTION("""COMPUTED_VALUE"""),183966.0)</f>
        <v>183966</v>
      </c>
    </row>
    <row r="831">
      <c r="A831" s="20">
        <f>IFERROR(__xludf.DUMMYFUNCTION("""COMPUTED_VALUE"""),857.0)</f>
        <v>857</v>
      </c>
      <c r="B831" s="20" t="str">
        <f>IFERROR(__xludf.DUMMYFUNCTION("""COMPUTED_VALUE"""),"Positions of Large Groups")</f>
        <v>Positions of Large Groups</v>
      </c>
      <c r="C831" s="20" t="str">
        <f>IFERROR(__xludf.DUMMYFUNCTION("""COMPUTED_VALUE"""),"positions-of-large-groups")</f>
        <v>positions-of-large-groups</v>
      </c>
      <c r="D831" s="20" t="b">
        <f>IFERROR(__xludf.DUMMYFUNCTION("""COMPUTED_VALUE"""),FALSE)</f>
        <v>0</v>
      </c>
      <c r="E831" s="20" t="str">
        <f>IFERROR(__xludf.DUMMYFUNCTION("""COMPUTED_VALUE"""),"Easy")</f>
        <v>Easy</v>
      </c>
      <c r="F831" s="20">
        <f>IFERROR(__xludf.DUMMYFUNCTION("""COMPUTED_VALUE"""),727.0)</f>
        <v>727</v>
      </c>
      <c r="G831" s="20">
        <f>IFERROR(__xludf.DUMMYFUNCTION("""COMPUTED_VALUE"""),115.0)</f>
        <v>115</v>
      </c>
      <c r="H831" s="20" t="str">
        <f>IFERROR(__xludf.DUMMYFUNCTION("""COMPUTED_VALUE"""),"Algorithms")</f>
        <v>Algorithms</v>
      </c>
      <c r="I831" s="20">
        <f>IFERROR(__xludf.DUMMYFUNCTION("""COMPUTED_VALUE"""),0.518)</f>
        <v>0.518</v>
      </c>
      <c r="J831" s="20">
        <f>IFERROR(__xludf.DUMMYFUNCTION("""COMPUTED_VALUE"""),830.0)</f>
        <v>830</v>
      </c>
      <c r="K831" s="20" t="b">
        <f>IFERROR(__xludf.DUMMYFUNCTION("""COMPUTED_VALUE"""),FALSE)</f>
        <v>0</v>
      </c>
      <c r="L831" s="20" t="str">
        <f>IFERROR(__xludf.DUMMYFUNCTION("""COMPUTED_VALUE"""),"String;")</f>
        <v>String;</v>
      </c>
      <c r="M831" s="20" t="b">
        <f>IFERROR(__xludf.DUMMYFUNCTION("""COMPUTED_VALUE"""),TRUE)</f>
        <v>1</v>
      </c>
      <c r="N831" s="20" t="b">
        <f>IFERROR(__xludf.DUMMYFUNCTION("""COMPUTED_VALUE"""),FALSE)</f>
        <v>0</v>
      </c>
      <c r="O831" s="20">
        <f>IFERROR(__xludf.DUMMYFUNCTION("""COMPUTED_VALUE"""),51.7773608016366)</f>
        <v>51.7773608</v>
      </c>
      <c r="P831" s="20">
        <f>IFERROR(__xludf.DUMMYFUNCTION("""COMPUTED_VALUE"""),79471.0)</f>
        <v>79471</v>
      </c>
      <c r="Q831" s="20">
        <f>IFERROR(__xludf.DUMMYFUNCTION("""COMPUTED_VALUE"""),153486.0)</f>
        <v>153486</v>
      </c>
    </row>
    <row r="832">
      <c r="A832" s="20">
        <f>IFERROR(__xludf.DUMMYFUNCTION("""COMPUTED_VALUE"""),858.0)</f>
        <v>858</v>
      </c>
      <c r="B832" s="20" t="str">
        <f>IFERROR(__xludf.DUMMYFUNCTION("""COMPUTED_VALUE"""),"Masking Personal Information")</f>
        <v>Masking Personal Information</v>
      </c>
      <c r="C832" s="20" t="str">
        <f>IFERROR(__xludf.DUMMYFUNCTION("""COMPUTED_VALUE"""),"masking-personal-information")</f>
        <v>masking-personal-information</v>
      </c>
      <c r="D832" s="20" t="b">
        <f>IFERROR(__xludf.DUMMYFUNCTION("""COMPUTED_VALUE"""),FALSE)</f>
        <v>0</v>
      </c>
      <c r="E832" s="20" t="str">
        <f>IFERROR(__xludf.DUMMYFUNCTION("""COMPUTED_VALUE"""),"Medium")</f>
        <v>Medium</v>
      </c>
      <c r="F832" s="20">
        <f>IFERROR(__xludf.DUMMYFUNCTION("""COMPUTED_VALUE"""),136.0)</f>
        <v>136</v>
      </c>
      <c r="G832" s="20">
        <f>IFERROR(__xludf.DUMMYFUNCTION("""COMPUTED_VALUE"""),413.0)</f>
        <v>413</v>
      </c>
      <c r="H832" s="20" t="str">
        <f>IFERROR(__xludf.DUMMYFUNCTION("""COMPUTED_VALUE"""),"Algorithms")</f>
        <v>Algorithms</v>
      </c>
      <c r="I832" s="20">
        <f>IFERROR(__xludf.DUMMYFUNCTION("""COMPUTED_VALUE"""),0.471)</f>
        <v>0.471</v>
      </c>
      <c r="J832" s="20">
        <f>IFERROR(__xludf.DUMMYFUNCTION("""COMPUTED_VALUE"""),831.0)</f>
        <v>831</v>
      </c>
      <c r="K832" s="20" t="b">
        <f>IFERROR(__xludf.DUMMYFUNCTION("""COMPUTED_VALUE"""),FALSE)</f>
        <v>0</v>
      </c>
      <c r="L832" s="20" t="str">
        <f>IFERROR(__xludf.DUMMYFUNCTION("""COMPUTED_VALUE"""),"String;")</f>
        <v>String;</v>
      </c>
      <c r="M832" s="20" t="b">
        <f>IFERROR(__xludf.DUMMYFUNCTION("""COMPUTED_VALUE"""),FALSE)</f>
        <v>0</v>
      </c>
      <c r="N832" s="20" t="b">
        <f>IFERROR(__xludf.DUMMYFUNCTION("""COMPUTED_VALUE"""),FALSE)</f>
        <v>0</v>
      </c>
      <c r="O832" s="20">
        <f>IFERROR(__xludf.DUMMYFUNCTION("""COMPUTED_VALUE"""),47.1179941002949)</f>
        <v>47.1179941</v>
      </c>
      <c r="P832" s="20">
        <f>IFERROR(__xludf.DUMMYFUNCTION("""COMPUTED_VALUE"""),15973.0)</f>
        <v>15973</v>
      </c>
      <c r="Q832" s="20">
        <f>IFERROR(__xludf.DUMMYFUNCTION("""COMPUTED_VALUE"""),33900.0)</f>
        <v>33900</v>
      </c>
    </row>
    <row r="833">
      <c r="A833" s="20">
        <f>IFERROR(__xludf.DUMMYFUNCTION("""COMPUTED_VALUE"""),861.0)</f>
        <v>861</v>
      </c>
      <c r="B833" s="20" t="str">
        <f>IFERROR(__xludf.DUMMYFUNCTION("""COMPUTED_VALUE"""),"Flipping an Image")</f>
        <v>Flipping an Image</v>
      </c>
      <c r="C833" s="20" t="str">
        <f>IFERROR(__xludf.DUMMYFUNCTION("""COMPUTED_VALUE"""),"flipping-an-image")</f>
        <v>flipping-an-image</v>
      </c>
      <c r="D833" s="20" t="b">
        <f>IFERROR(__xludf.DUMMYFUNCTION("""COMPUTED_VALUE"""),FALSE)</f>
        <v>0</v>
      </c>
      <c r="E833" s="20" t="str">
        <f>IFERROR(__xludf.DUMMYFUNCTION("""COMPUTED_VALUE"""),"Easy")</f>
        <v>Easy</v>
      </c>
      <c r="F833" s="20">
        <f>IFERROR(__xludf.DUMMYFUNCTION("""COMPUTED_VALUE"""),2740.0)</f>
        <v>2740</v>
      </c>
      <c r="G833" s="20">
        <f>IFERROR(__xludf.DUMMYFUNCTION("""COMPUTED_VALUE"""),216.0)</f>
        <v>216</v>
      </c>
      <c r="H833" s="20" t="str">
        <f>IFERROR(__xludf.DUMMYFUNCTION("""COMPUTED_VALUE"""),"Algorithms")</f>
        <v>Algorithms</v>
      </c>
      <c r="I833" s="20">
        <f>IFERROR(__xludf.DUMMYFUNCTION("""COMPUTED_VALUE"""),0.806)</f>
        <v>0.806</v>
      </c>
      <c r="J833" s="20">
        <f>IFERROR(__xludf.DUMMYFUNCTION("""COMPUTED_VALUE"""),832.0)</f>
        <v>832</v>
      </c>
      <c r="K833" s="20" t="b">
        <f>IFERROR(__xludf.DUMMYFUNCTION("""COMPUTED_VALUE"""),FALSE)</f>
        <v>0</v>
      </c>
      <c r="L833" s="20" t="str">
        <f>IFERROR(__xludf.DUMMYFUNCTION("""COMPUTED_VALUE"""),"Array;Two Pointers;Matrix;Simulation;")</f>
        <v>Array;Two Pointers;Matrix;Simulation;</v>
      </c>
      <c r="M833" s="20" t="b">
        <f>IFERROR(__xludf.DUMMYFUNCTION("""COMPUTED_VALUE"""),TRUE)</f>
        <v>1</v>
      </c>
      <c r="N833" s="20" t="b">
        <f>IFERROR(__xludf.DUMMYFUNCTION("""COMPUTED_VALUE"""),FALSE)</f>
        <v>0</v>
      </c>
      <c r="O833" s="20">
        <f>IFERROR(__xludf.DUMMYFUNCTION("""COMPUTED_VALUE"""),80.5715217576267)</f>
        <v>80.57152176</v>
      </c>
      <c r="P833" s="20">
        <f>IFERROR(__xludf.DUMMYFUNCTION("""COMPUTED_VALUE"""),340910.0)</f>
        <v>340910</v>
      </c>
      <c r="Q833" s="20">
        <f>IFERROR(__xludf.DUMMYFUNCTION("""COMPUTED_VALUE"""),423115.0)</f>
        <v>423115</v>
      </c>
    </row>
    <row r="834">
      <c r="A834" s="20">
        <f>IFERROR(__xludf.DUMMYFUNCTION("""COMPUTED_VALUE"""),862.0)</f>
        <v>862</v>
      </c>
      <c r="B834" s="20" t="str">
        <f>IFERROR(__xludf.DUMMYFUNCTION("""COMPUTED_VALUE"""),"Find And Replace in String")</f>
        <v>Find And Replace in String</v>
      </c>
      <c r="C834" s="20" t="str">
        <f>IFERROR(__xludf.DUMMYFUNCTION("""COMPUTED_VALUE"""),"find-and-replace-in-string")</f>
        <v>find-and-replace-in-string</v>
      </c>
      <c r="D834" s="20" t="b">
        <f>IFERROR(__xludf.DUMMYFUNCTION("""COMPUTED_VALUE"""),FALSE)</f>
        <v>0</v>
      </c>
      <c r="E834" s="20" t="str">
        <f>IFERROR(__xludf.DUMMYFUNCTION("""COMPUTED_VALUE"""),"Medium")</f>
        <v>Medium</v>
      </c>
      <c r="F834" s="20">
        <f>IFERROR(__xludf.DUMMYFUNCTION("""COMPUTED_VALUE"""),1004.0)</f>
        <v>1004</v>
      </c>
      <c r="G834" s="20">
        <f>IFERROR(__xludf.DUMMYFUNCTION("""COMPUTED_VALUE"""),902.0)</f>
        <v>902</v>
      </c>
      <c r="H834" s="20" t="str">
        <f>IFERROR(__xludf.DUMMYFUNCTION("""COMPUTED_VALUE"""),"Algorithms")</f>
        <v>Algorithms</v>
      </c>
      <c r="I834" s="20">
        <f>IFERROR(__xludf.DUMMYFUNCTION("""COMPUTED_VALUE"""),0.541)</f>
        <v>0.541</v>
      </c>
      <c r="J834" s="20">
        <f>IFERROR(__xludf.DUMMYFUNCTION("""COMPUTED_VALUE"""),833.0)</f>
        <v>833</v>
      </c>
      <c r="K834" s="20" t="b">
        <f>IFERROR(__xludf.DUMMYFUNCTION("""COMPUTED_VALUE"""),FALSE)</f>
        <v>0</v>
      </c>
      <c r="L834" s="20" t="str">
        <f>IFERROR(__xludf.DUMMYFUNCTION("""COMPUTED_VALUE"""),"Array;String;Sorting;")</f>
        <v>Array;String;Sorting;</v>
      </c>
      <c r="M834" s="20" t="b">
        <f>IFERROR(__xludf.DUMMYFUNCTION("""COMPUTED_VALUE"""),FALSE)</f>
        <v>0</v>
      </c>
      <c r="N834" s="20" t="b">
        <f>IFERROR(__xludf.DUMMYFUNCTION("""COMPUTED_VALUE"""),FALSE)</f>
        <v>0</v>
      </c>
      <c r="O834" s="20">
        <f>IFERROR(__xludf.DUMMYFUNCTION("""COMPUTED_VALUE"""),54.0783108202774)</f>
        <v>54.07831082</v>
      </c>
      <c r="P834" s="20">
        <f>IFERROR(__xludf.DUMMYFUNCTION("""COMPUTED_VALUE"""),131234.0)</f>
        <v>131234</v>
      </c>
      <c r="Q834" s="20">
        <f>IFERROR(__xludf.DUMMYFUNCTION("""COMPUTED_VALUE"""),242674.0)</f>
        <v>242674</v>
      </c>
    </row>
    <row r="835">
      <c r="A835" s="20">
        <f>IFERROR(__xludf.DUMMYFUNCTION("""COMPUTED_VALUE"""),863.0)</f>
        <v>863</v>
      </c>
      <c r="B835" s="20" t="str">
        <f>IFERROR(__xludf.DUMMYFUNCTION("""COMPUTED_VALUE"""),"Sum of Distances in Tree")</f>
        <v>Sum of Distances in Tree</v>
      </c>
      <c r="C835" s="20" t="str">
        <f>IFERROR(__xludf.DUMMYFUNCTION("""COMPUTED_VALUE"""),"sum-of-distances-in-tree")</f>
        <v>sum-of-distances-in-tree</v>
      </c>
      <c r="D835" s="20" t="b">
        <f>IFERROR(__xludf.DUMMYFUNCTION("""COMPUTED_VALUE"""),FALSE)</f>
        <v>0</v>
      </c>
      <c r="E835" s="20" t="str">
        <f>IFERROR(__xludf.DUMMYFUNCTION("""COMPUTED_VALUE"""),"Hard")</f>
        <v>Hard</v>
      </c>
      <c r="F835" s="20">
        <f>IFERROR(__xludf.DUMMYFUNCTION("""COMPUTED_VALUE"""),4355.0)</f>
        <v>4355</v>
      </c>
      <c r="G835" s="20">
        <f>IFERROR(__xludf.DUMMYFUNCTION("""COMPUTED_VALUE"""),101.0)</f>
        <v>101</v>
      </c>
      <c r="H835" s="20" t="str">
        <f>IFERROR(__xludf.DUMMYFUNCTION("""COMPUTED_VALUE"""),"Algorithms")</f>
        <v>Algorithms</v>
      </c>
      <c r="I835" s="20">
        <f>IFERROR(__xludf.DUMMYFUNCTION("""COMPUTED_VALUE"""),0.593)</f>
        <v>0.593</v>
      </c>
      <c r="J835" s="20">
        <f>IFERROR(__xludf.DUMMYFUNCTION("""COMPUTED_VALUE"""),834.0)</f>
        <v>834</v>
      </c>
      <c r="K835" s="20" t="b">
        <f>IFERROR(__xludf.DUMMYFUNCTION("""COMPUTED_VALUE"""),FALSE)</f>
        <v>0</v>
      </c>
      <c r="L835" s="20" t="str">
        <f>IFERROR(__xludf.DUMMYFUNCTION("""COMPUTED_VALUE"""),"Dynamic Programming;Tree;Depth-First Search;Graph;")</f>
        <v>Dynamic Programming;Tree;Depth-First Search;Graph;</v>
      </c>
      <c r="M835" s="20" t="b">
        <f>IFERROR(__xludf.DUMMYFUNCTION("""COMPUTED_VALUE"""),TRUE)</f>
        <v>1</v>
      </c>
      <c r="N835" s="20" t="b">
        <f>IFERROR(__xludf.DUMMYFUNCTION("""COMPUTED_VALUE"""),FALSE)</f>
        <v>0</v>
      </c>
      <c r="O835" s="20">
        <f>IFERROR(__xludf.DUMMYFUNCTION("""COMPUTED_VALUE"""),59.3070647037028)</f>
        <v>59.3070647</v>
      </c>
      <c r="P835" s="20">
        <f>IFERROR(__xludf.DUMMYFUNCTION("""COMPUTED_VALUE"""),78429.0)</f>
        <v>78429</v>
      </c>
      <c r="Q835" s="20">
        <f>IFERROR(__xludf.DUMMYFUNCTION("""COMPUTED_VALUE"""),132244.0)</f>
        <v>132244</v>
      </c>
    </row>
    <row r="836">
      <c r="A836" s="20">
        <f>IFERROR(__xludf.DUMMYFUNCTION("""COMPUTED_VALUE"""),864.0)</f>
        <v>864</v>
      </c>
      <c r="B836" s="20" t="str">
        <f>IFERROR(__xludf.DUMMYFUNCTION("""COMPUTED_VALUE"""),"Image Overlap")</f>
        <v>Image Overlap</v>
      </c>
      <c r="C836" s="20" t="str">
        <f>IFERROR(__xludf.DUMMYFUNCTION("""COMPUTED_VALUE"""),"image-overlap")</f>
        <v>image-overlap</v>
      </c>
      <c r="D836" s="20" t="b">
        <f>IFERROR(__xludf.DUMMYFUNCTION("""COMPUTED_VALUE"""),FALSE)</f>
        <v>0</v>
      </c>
      <c r="E836" s="20" t="str">
        <f>IFERROR(__xludf.DUMMYFUNCTION("""COMPUTED_VALUE"""),"Medium")</f>
        <v>Medium</v>
      </c>
      <c r="F836" s="20">
        <f>IFERROR(__xludf.DUMMYFUNCTION("""COMPUTED_VALUE"""),1198.0)</f>
        <v>1198</v>
      </c>
      <c r="G836" s="20">
        <f>IFERROR(__xludf.DUMMYFUNCTION("""COMPUTED_VALUE"""),434.0)</f>
        <v>434</v>
      </c>
      <c r="H836" s="20" t="str">
        <f>IFERROR(__xludf.DUMMYFUNCTION("""COMPUTED_VALUE"""),"Algorithms")</f>
        <v>Algorithms</v>
      </c>
      <c r="I836" s="20">
        <f>IFERROR(__xludf.DUMMYFUNCTION("""COMPUTED_VALUE"""),0.64)</f>
        <v>0.64</v>
      </c>
      <c r="J836" s="20">
        <f>IFERROR(__xludf.DUMMYFUNCTION("""COMPUTED_VALUE"""),835.0)</f>
        <v>835</v>
      </c>
      <c r="K836" s="20" t="b">
        <f>IFERROR(__xludf.DUMMYFUNCTION("""COMPUTED_VALUE"""),FALSE)</f>
        <v>0</v>
      </c>
      <c r="L836" s="20" t="str">
        <f>IFERROR(__xludf.DUMMYFUNCTION("""COMPUTED_VALUE"""),"Array;Matrix;")</f>
        <v>Array;Matrix;</v>
      </c>
      <c r="M836" s="20" t="b">
        <f>IFERROR(__xludf.DUMMYFUNCTION("""COMPUTED_VALUE"""),TRUE)</f>
        <v>1</v>
      </c>
      <c r="N836" s="20" t="b">
        <f>IFERROR(__xludf.DUMMYFUNCTION("""COMPUTED_VALUE"""),FALSE)</f>
        <v>0</v>
      </c>
      <c r="O836" s="20">
        <f>IFERROR(__xludf.DUMMYFUNCTION("""COMPUTED_VALUE"""),63.978787655594)</f>
        <v>63.97878766</v>
      </c>
      <c r="P836" s="20">
        <f>IFERROR(__xludf.DUMMYFUNCTION("""COMPUTED_VALUE"""),86864.0)</f>
        <v>86864</v>
      </c>
      <c r="Q836" s="20">
        <f>IFERROR(__xludf.DUMMYFUNCTION("""COMPUTED_VALUE"""),135770.0)</f>
        <v>135770</v>
      </c>
    </row>
    <row r="837">
      <c r="A837" s="20">
        <f>IFERROR(__xludf.DUMMYFUNCTION("""COMPUTED_VALUE"""),866.0)</f>
        <v>866</v>
      </c>
      <c r="B837" s="20" t="str">
        <f>IFERROR(__xludf.DUMMYFUNCTION("""COMPUTED_VALUE"""),"Rectangle Overlap")</f>
        <v>Rectangle Overlap</v>
      </c>
      <c r="C837" s="20" t="str">
        <f>IFERROR(__xludf.DUMMYFUNCTION("""COMPUTED_VALUE"""),"rectangle-overlap")</f>
        <v>rectangle-overlap</v>
      </c>
      <c r="D837" s="20" t="b">
        <f>IFERROR(__xludf.DUMMYFUNCTION("""COMPUTED_VALUE"""),FALSE)</f>
        <v>0</v>
      </c>
      <c r="E837" s="20" t="str">
        <f>IFERROR(__xludf.DUMMYFUNCTION("""COMPUTED_VALUE"""),"Easy")</f>
        <v>Easy</v>
      </c>
      <c r="F837" s="20">
        <f>IFERROR(__xludf.DUMMYFUNCTION("""COMPUTED_VALUE"""),1701.0)</f>
        <v>1701</v>
      </c>
      <c r="G837" s="20">
        <f>IFERROR(__xludf.DUMMYFUNCTION("""COMPUTED_VALUE"""),421.0)</f>
        <v>421</v>
      </c>
      <c r="H837" s="20" t="str">
        <f>IFERROR(__xludf.DUMMYFUNCTION("""COMPUTED_VALUE"""),"Algorithms")</f>
        <v>Algorithms</v>
      </c>
      <c r="I837" s="20">
        <f>IFERROR(__xludf.DUMMYFUNCTION("""COMPUTED_VALUE"""),0.437)</f>
        <v>0.437</v>
      </c>
      <c r="J837" s="20">
        <f>IFERROR(__xludf.DUMMYFUNCTION("""COMPUTED_VALUE"""),836.0)</f>
        <v>836</v>
      </c>
      <c r="K837" s="20" t="b">
        <f>IFERROR(__xludf.DUMMYFUNCTION("""COMPUTED_VALUE"""),FALSE)</f>
        <v>0</v>
      </c>
      <c r="L837" s="20" t="str">
        <f>IFERROR(__xludf.DUMMYFUNCTION("""COMPUTED_VALUE"""),"Math;Geometry;")</f>
        <v>Math;Geometry;</v>
      </c>
      <c r="M837" s="20" t="b">
        <f>IFERROR(__xludf.DUMMYFUNCTION("""COMPUTED_VALUE"""),TRUE)</f>
        <v>1</v>
      </c>
      <c r="N837" s="20" t="b">
        <f>IFERROR(__xludf.DUMMYFUNCTION("""COMPUTED_VALUE"""),FALSE)</f>
        <v>0</v>
      </c>
      <c r="O837" s="20">
        <f>IFERROR(__xludf.DUMMYFUNCTION("""COMPUTED_VALUE"""),43.7058374298403)</f>
        <v>43.70583743</v>
      </c>
      <c r="P837" s="20">
        <f>IFERROR(__xludf.DUMMYFUNCTION("""COMPUTED_VALUE"""),117892.0)</f>
        <v>117892</v>
      </c>
      <c r="Q837" s="20">
        <f>IFERROR(__xludf.DUMMYFUNCTION("""COMPUTED_VALUE"""),269740.0)</f>
        <v>269740</v>
      </c>
    </row>
    <row r="838">
      <c r="A838" s="20">
        <f>IFERROR(__xludf.DUMMYFUNCTION("""COMPUTED_VALUE"""),867.0)</f>
        <v>867</v>
      </c>
      <c r="B838" s="20" t="str">
        <f>IFERROR(__xludf.DUMMYFUNCTION("""COMPUTED_VALUE"""),"New 21 Game")</f>
        <v>New 21 Game</v>
      </c>
      <c r="C838" s="20" t="str">
        <f>IFERROR(__xludf.DUMMYFUNCTION("""COMPUTED_VALUE"""),"new-21-game")</f>
        <v>new-21-game</v>
      </c>
      <c r="D838" s="20" t="b">
        <f>IFERROR(__xludf.DUMMYFUNCTION("""COMPUTED_VALUE"""),FALSE)</f>
        <v>0</v>
      </c>
      <c r="E838" s="20" t="str">
        <f>IFERROR(__xludf.DUMMYFUNCTION("""COMPUTED_VALUE"""),"Medium")</f>
        <v>Medium</v>
      </c>
      <c r="F838" s="20">
        <f>IFERROR(__xludf.DUMMYFUNCTION("""COMPUTED_VALUE"""),1043.0)</f>
        <v>1043</v>
      </c>
      <c r="G838" s="20">
        <f>IFERROR(__xludf.DUMMYFUNCTION("""COMPUTED_VALUE"""),702.0)</f>
        <v>702</v>
      </c>
      <c r="H838" s="20" t="str">
        <f>IFERROR(__xludf.DUMMYFUNCTION("""COMPUTED_VALUE"""),"Algorithms")</f>
        <v>Algorithms</v>
      </c>
      <c r="I838" s="20">
        <f>IFERROR(__xludf.DUMMYFUNCTION("""COMPUTED_VALUE"""),0.361)</f>
        <v>0.361</v>
      </c>
      <c r="J838" s="20">
        <f>IFERROR(__xludf.DUMMYFUNCTION("""COMPUTED_VALUE"""),837.0)</f>
        <v>837</v>
      </c>
      <c r="K838" s="20" t="b">
        <f>IFERROR(__xludf.DUMMYFUNCTION("""COMPUTED_VALUE"""),FALSE)</f>
        <v>0</v>
      </c>
      <c r="L838" s="20" t="str">
        <f>IFERROR(__xludf.DUMMYFUNCTION("""COMPUTED_VALUE"""),"Math;Dynamic Programming;Sliding Window;Probability and Statistics;")</f>
        <v>Math;Dynamic Programming;Sliding Window;Probability and Statistics;</v>
      </c>
      <c r="M838" s="20" t="b">
        <f>IFERROR(__xludf.DUMMYFUNCTION("""COMPUTED_VALUE"""),TRUE)</f>
        <v>1</v>
      </c>
      <c r="N838" s="20" t="b">
        <f>IFERROR(__xludf.DUMMYFUNCTION("""COMPUTED_VALUE"""),FALSE)</f>
        <v>0</v>
      </c>
      <c r="O838" s="20">
        <f>IFERROR(__xludf.DUMMYFUNCTION("""COMPUTED_VALUE"""),36.0988629690919)</f>
        <v>36.09886297</v>
      </c>
      <c r="P838" s="20">
        <f>IFERROR(__xludf.DUMMYFUNCTION("""COMPUTED_VALUE"""),33812.0)</f>
        <v>33812</v>
      </c>
      <c r="Q838" s="20">
        <f>IFERROR(__xludf.DUMMYFUNCTION("""COMPUTED_VALUE"""),93665.0)</f>
        <v>93665</v>
      </c>
    </row>
    <row r="839">
      <c r="A839" s="20">
        <f>IFERROR(__xludf.DUMMYFUNCTION("""COMPUTED_VALUE"""),868.0)</f>
        <v>868</v>
      </c>
      <c r="B839" s="20" t="str">
        <f>IFERROR(__xludf.DUMMYFUNCTION("""COMPUTED_VALUE"""),"Push Dominoes")</f>
        <v>Push Dominoes</v>
      </c>
      <c r="C839" s="20" t="str">
        <f>IFERROR(__xludf.DUMMYFUNCTION("""COMPUTED_VALUE"""),"push-dominoes")</f>
        <v>push-dominoes</v>
      </c>
      <c r="D839" s="20" t="b">
        <f>IFERROR(__xludf.DUMMYFUNCTION("""COMPUTED_VALUE"""),FALSE)</f>
        <v>0</v>
      </c>
      <c r="E839" s="20" t="str">
        <f>IFERROR(__xludf.DUMMYFUNCTION("""COMPUTED_VALUE"""),"Medium")</f>
        <v>Medium</v>
      </c>
      <c r="F839" s="20">
        <f>IFERROR(__xludf.DUMMYFUNCTION("""COMPUTED_VALUE"""),3065.0)</f>
        <v>3065</v>
      </c>
      <c r="G839" s="20">
        <f>IFERROR(__xludf.DUMMYFUNCTION("""COMPUTED_VALUE"""),186.0)</f>
        <v>186</v>
      </c>
      <c r="H839" s="20" t="str">
        <f>IFERROR(__xludf.DUMMYFUNCTION("""COMPUTED_VALUE"""),"Algorithms")</f>
        <v>Algorithms</v>
      </c>
      <c r="I839" s="20">
        <f>IFERROR(__xludf.DUMMYFUNCTION("""COMPUTED_VALUE"""),0.569)</f>
        <v>0.569</v>
      </c>
      <c r="J839" s="20">
        <f>IFERROR(__xludf.DUMMYFUNCTION("""COMPUTED_VALUE"""),838.0)</f>
        <v>838</v>
      </c>
      <c r="K839" s="20" t="b">
        <f>IFERROR(__xludf.DUMMYFUNCTION("""COMPUTED_VALUE"""),FALSE)</f>
        <v>0</v>
      </c>
      <c r="L839" s="20" t="str">
        <f>IFERROR(__xludf.DUMMYFUNCTION("""COMPUTED_VALUE"""),"Two Pointers;String;Dynamic Programming;")</f>
        <v>Two Pointers;String;Dynamic Programming;</v>
      </c>
      <c r="M839" s="20" t="b">
        <f>IFERROR(__xludf.DUMMYFUNCTION("""COMPUTED_VALUE"""),TRUE)</f>
        <v>1</v>
      </c>
      <c r="N839" s="20" t="b">
        <f>IFERROR(__xludf.DUMMYFUNCTION("""COMPUTED_VALUE"""),FALSE)</f>
        <v>0</v>
      </c>
      <c r="O839" s="20">
        <f>IFERROR(__xludf.DUMMYFUNCTION("""COMPUTED_VALUE"""),56.9459073322835)</f>
        <v>56.94590733</v>
      </c>
      <c r="P839" s="20">
        <f>IFERROR(__xludf.DUMMYFUNCTION("""COMPUTED_VALUE"""),109211.0)</f>
        <v>109211</v>
      </c>
      <c r="Q839" s="20">
        <f>IFERROR(__xludf.DUMMYFUNCTION("""COMPUTED_VALUE"""),191780.0)</f>
        <v>191780</v>
      </c>
    </row>
    <row r="840">
      <c r="A840" s="20">
        <f>IFERROR(__xludf.DUMMYFUNCTION("""COMPUTED_VALUE"""),869.0)</f>
        <v>869</v>
      </c>
      <c r="B840" s="20" t="str">
        <f>IFERROR(__xludf.DUMMYFUNCTION("""COMPUTED_VALUE"""),"Similar String Groups")</f>
        <v>Similar String Groups</v>
      </c>
      <c r="C840" s="20" t="str">
        <f>IFERROR(__xludf.DUMMYFUNCTION("""COMPUTED_VALUE"""),"similar-string-groups")</f>
        <v>similar-string-groups</v>
      </c>
      <c r="D840" s="20" t="b">
        <f>IFERROR(__xludf.DUMMYFUNCTION("""COMPUTED_VALUE"""),FALSE)</f>
        <v>0</v>
      </c>
      <c r="E840" s="20" t="str">
        <f>IFERROR(__xludf.DUMMYFUNCTION("""COMPUTED_VALUE"""),"Hard")</f>
        <v>Hard</v>
      </c>
      <c r="F840" s="20">
        <f>IFERROR(__xludf.DUMMYFUNCTION("""COMPUTED_VALUE"""),1021.0)</f>
        <v>1021</v>
      </c>
      <c r="G840" s="20">
        <f>IFERROR(__xludf.DUMMYFUNCTION("""COMPUTED_VALUE"""),180.0)</f>
        <v>180</v>
      </c>
      <c r="H840" s="20" t="str">
        <f>IFERROR(__xludf.DUMMYFUNCTION("""COMPUTED_VALUE"""),"Algorithms")</f>
        <v>Algorithms</v>
      </c>
      <c r="I840" s="20">
        <f>IFERROR(__xludf.DUMMYFUNCTION("""COMPUTED_VALUE"""),0.478)</f>
        <v>0.478</v>
      </c>
      <c r="J840" s="20">
        <f>IFERROR(__xludf.DUMMYFUNCTION("""COMPUTED_VALUE"""),839.0)</f>
        <v>839</v>
      </c>
      <c r="K840" s="20" t="b">
        <f>IFERROR(__xludf.DUMMYFUNCTION("""COMPUTED_VALUE"""),FALSE)</f>
        <v>0</v>
      </c>
      <c r="L840" s="20" t="str">
        <f>IFERROR(__xludf.DUMMYFUNCTION("""COMPUTED_VALUE"""),"Array;String;Depth-First Search;Breadth-First Search;Union Find;")</f>
        <v>Array;String;Depth-First Search;Breadth-First Search;Union Find;</v>
      </c>
      <c r="M840" s="20" t="b">
        <f>IFERROR(__xludf.DUMMYFUNCTION("""COMPUTED_VALUE"""),FALSE)</f>
        <v>0</v>
      </c>
      <c r="N840" s="20" t="b">
        <f>IFERROR(__xludf.DUMMYFUNCTION("""COMPUTED_VALUE"""),FALSE)</f>
        <v>0</v>
      </c>
      <c r="O840" s="20">
        <f>IFERROR(__xludf.DUMMYFUNCTION("""COMPUTED_VALUE"""),47.8181915291352)</f>
        <v>47.81819153</v>
      </c>
      <c r="P840" s="20">
        <f>IFERROR(__xludf.DUMMYFUNCTION("""COMPUTED_VALUE"""),62671.0)</f>
        <v>62671</v>
      </c>
      <c r="Q840" s="20">
        <f>IFERROR(__xludf.DUMMYFUNCTION("""COMPUTED_VALUE"""),131061.0)</f>
        <v>131061</v>
      </c>
    </row>
    <row r="841">
      <c r="A841" s="20">
        <f>IFERROR(__xludf.DUMMYFUNCTION("""COMPUTED_VALUE"""),870.0)</f>
        <v>870</v>
      </c>
      <c r="B841" s="20" t="str">
        <f>IFERROR(__xludf.DUMMYFUNCTION("""COMPUTED_VALUE"""),"Magic Squares In Grid")</f>
        <v>Magic Squares In Grid</v>
      </c>
      <c r="C841" s="20" t="str">
        <f>IFERROR(__xludf.DUMMYFUNCTION("""COMPUTED_VALUE"""),"magic-squares-in-grid")</f>
        <v>magic-squares-in-grid</v>
      </c>
      <c r="D841" s="20" t="b">
        <f>IFERROR(__xludf.DUMMYFUNCTION("""COMPUTED_VALUE"""),FALSE)</f>
        <v>0</v>
      </c>
      <c r="E841" s="20" t="str">
        <f>IFERROR(__xludf.DUMMYFUNCTION("""COMPUTED_VALUE"""),"Medium")</f>
        <v>Medium</v>
      </c>
      <c r="F841" s="20">
        <f>IFERROR(__xludf.DUMMYFUNCTION("""COMPUTED_VALUE"""),280.0)</f>
        <v>280</v>
      </c>
      <c r="G841" s="20">
        <f>IFERROR(__xludf.DUMMYFUNCTION("""COMPUTED_VALUE"""),1520.0)</f>
        <v>1520</v>
      </c>
      <c r="H841" s="20" t="str">
        <f>IFERROR(__xludf.DUMMYFUNCTION("""COMPUTED_VALUE"""),"Algorithms")</f>
        <v>Algorithms</v>
      </c>
      <c r="I841" s="20">
        <f>IFERROR(__xludf.DUMMYFUNCTION("""COMPUTED_VALUE"""),0.386)</f>
        <v>0.386</v>
      </c>
      <c r="J841" s="20">
        <f>IFERROR(__xludf.DUMMYFUNCTION("""COMPUTED_VALUE"""),840.0)</f>
        <v>840</v>
      </c>
      <c r="K841" s="20" t="b">
        <f>IFERROR(__xludf.DUMMYFUNCTION("""COMPUTED_VALUE"""),FALSE)</f>
        <v>0</v>
      </c>
      <c r="L841" s="20" t="str">
        <f>IFERROR(__xludf.DUMMYFUNCTION("""COMPUTED_VALUE"""),"Array;Math;Matrix;")</f>
        <v>Array;Math;Matrix;</v>
      </c>
      <c r="M841" s="20" t="b">
        <f>IFERROR(__xludf.DUMMYFUNCTION("""COMPUTED_VALUE"""),TRUE)</f>
        <v>1</v>
      </c>
      <c r="N841" s="20" t="b">
        <f>IFERROR(__xludf.DUMMYFUNCTION("""COMPUTED_VALUE"""),FALSE)</f>
        <v>0</v>
      </c>
      <c r="O841" s="20">
        <f>IFERROR(__xludf.DUMMYFUNCTION("""COMPUTED_VALUE"""),38.5744611548527)</f>
        <v>38.57446115</v>
      </c>
      <c r="P841" s="20">
        <f>IFERROR(__xludf.DUMMYFUNCTION("""COMPUTED_VALUE"""),34344.0)</f>
        <v>34344</v>
      </c>
      <c r="Q841" s="20">
        <f>IFERROR(__xludf.DUMMYFUNCTION("""COMPUTED_VALUE"""),89033.0)</f>
        <v>89033</v>
      </c>
    </row>
    <row r="842">
      <c r="A842" s="20">
        <f>IFERROR(__xludf.DUMMYFUNCTION("""COMPUTED_VALUE"""),871.0)</f>
        <v>871</v>
      </c>
      <c r="B842" s="20" t="str">
        <f>IFERROR(__xludf.DUMMYFUNCTION("""COMPUTED_VALUE"""),"Keys and Rooms")</f>
        <v>Keys and Rooms</v>
      </c>
      <c r="C842" s="20" t="str">
        <f>IFERROR(__xludf.DUMMYFUNCTION("""COMPUTED_VALUE"""),"keys-and-rooms")</f>
        <v>keys-and-rooms</v>
      </c>
      <c r="D842" s="20" t="b">
        <f>IFERROR(__xludf.DUMMYFUNCTION("""COMPUTED_VALUE"""),FALSE)</f>
        <v>0</v>
      </c>
      <c r="E842" s="20" t="str">
        <f>IFERROR(__xludf.DUMMYFUNCTION("""COMPUTED_VALUE"""),"Medium")</f>
        <v>Medium</v>
      </c>
      <c r="F842" s="20">
        <f>IFERROR(__xludf.DUMMYFUNCTION("""COMPUTED_VALUE"""),4938.0)</f>
        <v>4938</v>
      </c>
      <c r="G842" s="20">
        <f>IFERROR(__xludf.DUMMYFUNCTION("""COMPUTED_VALUE"""),230.0)</f>
        <v>230</v>
      </c>
      <c r="H842" s="20" t="str">
        <f>IFERROR(__xludf.DUMMYFUNCTION("""COMPUTED_VALUE"""),"Algorithms")</f>
        <v>Algorithms</v>
      </c>
      <c r="I842" s="20">
        <f>IFERROR(__xludf.DUMMYFUNCTION("""COMPUTED_VALUE"""),0.713)</f>
        <v>0.713</v>
      </c>
      <c r="J842" s="20">
        <f>IFERROR(__xludf.DUMMYFUNCTION("""COMPUTED_VALUE"""),841.0)</f>
        <v>841</v>
      </c>
      <c r="K842" s="20" t="b">
        <f>IFERROR(__xludf.DUMMYFUNCTION("""COMPUTED_VALUE"""),FALSE)</f>
        <v>0</v>
      </c>
      <c r="L842" s="20" t="str">
        <f>IFERROR(__xludf.DUMMYFUNCTION("""COMPUTED_VALUE"""),"Depth-First Search;Breadth-First Search;Graph;")</f>
        <v>Depth-First Search;Breadth-First Search;Graph;</v>
      </c>
      <c r="M842" s="20" t="b">
        <f>IFERROR(__xludf.DUMMYFUNCTION("""COMPUTED_VALUE"""),TRUE)</f>
        <v>1</v>
      </c>
      <c r="N842" s="20" t="b">
        <f>IFERROR(__xludf.DUMMYFUNCTION("""COMPUTED_VALUE"""),FALSE)</f>
        <v>0</v>
      </c>
      <c r="O842" s="20">
        <f>IFERROR(__xludf.DUMMYFUNCTION("""COMPUTED_VALUE"""),71.2620430280696)</f>
        <v>71.26204303</v>
      </c>
      <c r="P842" s="20">
        <f>IFERROR(__xludf.DUMMYFUNCTION("""COMPUTED_VALUE"""),300888.0)</f>
        <v>300888</v>
      </c>
      <c r="Q842" s="20">
        <f>IFERROR(__xludf.DUMMYFUNCTION("""COMPUTED_VALUE"""),422230.0)</f>
        <v>422230</v>
      </c>
    </row>
    <row r="843">
      <c r="A843" s="20">
        <f>IFERROR(__xludf.DUMMYFUNCTION("""COMPUTED_VALUE"""),872.0)</f>
        <v>872</v>
      </c>
      <c r="B843" s="20" t="str">
        <f>IFERROR(__xludf.DUMMYFUNCTION("""COMPUTED_VALUE"""),"Split Array into Fibonacci Sequence")</f>
        <v>Split Array into Fibonacci Sequence</v>
      </c>
      <c r="C843" s="20" t="str">
        <f>IFERROR(__xludf.DUMMYFUNCTION("""COMPUTED_VALUE"""),"split-array-into-fibonacci-sequence")</f>
        <v>split-array-into-fibonacci-sequence</v>
      </c>
      <c r="D843" s="20" t="b">
        <f>IFERROR(__xludf.DUMMYFUNCTION("""COMPUTED_VALUE"""),FALSE)</f>
        <v>0</v>
      </c>
      <c r="E843" s="20" t="str">
        <f>IFERROR(__xludf.DUMMYFUNCTION("""COMPUTED_VALUE"""),"Medium")</f>
        <v>Medium</v>
      </c>
      <c r="F843" s="20">
        <f>IFERROR(__xludf.DUMMYFUNCTION("""COMPUTED_VALUE"""),986.0)</f>
        <v>986</v>
      </c>
      <c r="G843" s="20">
        <f>IFERROR(__xludf.DUMMYFUNCTION("""COMPUTED_VALUE"""),281.0)</f>
        <v>281</v>
      </c>
      <c r="H843" s="20" t="str">
        <f>IFERROR(__xludf.DUMMYFUNCTION("""COMPUTED_VALUE"""),"Algorithms")</f>
        <v>Algorithms</v>
      </c>
      <c r="I843" s="20">
        <f>IFERROR(__xludf.DUMMYFUNCTION("""COMPUTED_VALUE"""),0.383)</f>
        <v>0.383</v>
      </c>
      <c r="J843" s="20">
        <f>IFERROR(__xludf.DUMMYFUNCTION("""COMPUTED_VALUE"""),842.0)</f>
        <v>842</v>
      </c>
      <c r="K843" s="20" t="b">
        <f>IFERROR(__xludf.DUMMYFUNCTION("""COMPUTED_VALUE"""),FALSE)</f>
        <v>0</v>
      </c>
      <c r="L843" s="20" t="str">
        <f>IFERROR(__xludf.DUMMYFUNCTION("""COMPUTED_VALUE"""),"String;Backtracking;")</f>
        <v>String;Backtracking;</v>
      </c>
      <c r="M843" s="20" t="b">
        <f>IFERROR(__xludf.DUMMYFUNCTION("""COMPUTED_VALUE"""),TRUE)</f>
        <v>1</v>
      </c>
      <c r="N843" s="20" t="b">
        <f>IFERROR(__xludf.DUMMYFUNCTION("""COMPUTED_VALUE"""),FALSE)</f>
        <v>0</v>
      </c>
      <c r="O843" s="20">
        <f>IFERROR(__xludf.DUMMYFUNCTION("""COMPUTED_VALUE"""),38.3216015064562)</f>
        <v>38.32160151</v>
      </c>
      <c r="P843" s="20">
        <f>IFERROR(__xludf.DUMMYFUNCTION("""COMPUTED_VALUE"""),34189.0)</f>
        <v>34189</v>
      </c>
      <c r="Q843" s="20">
        <f>IFERROR(__xludf.DUMMYFUNCTION("""COMPUTED_VALUE"""),89216.0)</f>
        <v>89216</v>
      </c>
    </row>
    <row r="844">
      <c r="A844" s="20">
        <f>IFERROR(__xludf.DUMMYFUNCTION("""COMPUTED_VALUE"""),873.0)</f>
        <v>873</v>
      </c>
      <c r="B844" s="20" t="str">
        <f>IFERROR(__xludf.DUMMYFUNCTION("""COMPUTED_VALUE"""),"Guess the Word")</f>
        <v>Guess the Word</v>
      </c>
      <c r="C844" s="20" t="str">
        <f>IFERROR(__xludf.DUMMYFUNCTION("""COMPUTED_VALUE"""),"guess-the-word")</f>
        <v>guess-the-word</v>
      </c>
      <c r="D844" s="20" t="b">
        <f>IFERROR(__xludf.DUMMYFUNCTION("""COMPUTED_VALUE"""),FALSE)</f>
        <v>0</v>
      </c>
      <c r="E844" s="20" t="str">
        <f>IFERROR(__xludf.DUMMYFUNCTION("""COMPUTED_VALUE"""),"Hard")</f>
        <v>Hard</v>
      </c>
      <c r="F844" s="20">
        <f>IFERROR(__xludf.DUMMYFUNCTION("""COMPUTED_VALUE"""),1349.0)</f>
        <v>1349</v>
      </c>
      <c r="G844" s="20">
        <f>IFERROR(__xludf.DUMMYFUNCTION("""COMPUTED_VALUE"""),1611.0)</f>
        <v>1611</v>
      </c>
      <c r="H844" s="20" t="str">
        <f>IFERROR(__xludf.DUMMYFUNCTION("""COMPUTED_VALUE"""),"Algorithms")</f>
        <v>Algorithms</v>
      </c>
      <c r="I844" s="20">
        <f>IFERROR(__xludf.DUMMYFUNCTION("""COMPUTED_VALUE"""),0.416)</f>
        <v>0.416</v>
      </c>
      <c r="J844" s="20">
        <f>IFERROR(__xludf.DUMMYFUNCTION("""COMPUTED_VALUE"""),843.0)</f>
        <v>843</v>
      </c>
      <c r="K844" s="20" t="b">
        <f>IFERROR(__xludf.DUMMYFUNCTION("""COMPUTED_VALUE"""),FALSE)</f>
        <v>0</v>
      </c>
      <c r="L844" s="20" t="str">
        <f>IFERROR(__xludf.DUMMYFUNCTION("""COMPUTED_VALUE"""),"Array;Math;String;Interactive;Game Theory;")</f>
        <v>Array;Math;String;Interactive;Game Theory;</v>
      </c>
      <c r="M844" s="20" t="b">
        <f>IFERROR(__xludf.DUMMYFUNCTION("""COMPUTED_VALUE"""),FALSE)</f>
        <v>0</v>
      </c>
      <c r="N844" s="20" t="b">
        <f>IFERROR(__xludf.DUMMYFUNCTION("""COMPUTED_VALUE"""),FALSE)</f>
        <v>0</v>
      </c>
      <c r="O844" s="20">
        <f>IFERROR(__xludf.DUMMYFUNCTION("""COMPUTED_VALUE"""),41.5997159503558)</f>
        <v>41.59971595</v>
      </c>
      <c r="P844" s="20">
        <f>IFERROR(__xludf.DUMMYFUNCTION("""COMPUTED_VALUE"""),128878.0)</f>
        <v>128878</v>
      </c>
      <c r="Q844" s="20">
        <f>IFERROR(__xludf.DUMMYFUNCTION("""COMPUTED_VALUE"""),309804.0)</f>
        <v>309804</v>
      </c>
    </row>
    <row r="845">
      <c r="A845" s="20">
        <f>IFERROR(__xludf.DUMMYFUNCTION("""COMPUTED_VALUE"""),874.0)</f>
        <v>874</v>
      </c>
      <c r="B845" s="20" t="str">
        <f>IFERROR(__xludf.DUMMYFUNCTION("""COMPUTED_VALUE"""),"Backspace String Compare")</f>
        <v>Backspace String Compare</v>
      </c>
      <c r="C845" s="20" t="str">
        <f>IFERROR(__xludf.DUMMYFUNCTION("""COMPUTED_VALUE"""),"backspace-string-compare")</f>
        <v>backspace-string-compare</v>
      </c>
      <c r="D845" s="20" t="b">
        <f>IFERROR(__xludf.DUMMYFUNCTION("""COMPUTED_VALUE"""),FALSE)</f>
        <v>0</v>
      </c>
      <c r="E845" s="20" t="str">
        <f>IFERROR(__xludf.DUMMYFUNCTION("""COMPUTED_VALUE"""),"Easy")</f>
        <v>Easy</v>
      </c>
      <c r="F845" s="20">
        <f>IFERROR(__xludf.DUMMYFUNCTION("""COMPUTED_VALUE"""),5897.0)</f>
        <v>5897</v>
      </c>
      <c r="G845" s="20">
        <f>IFERROR(__xludf.DUMMYFUNCTION("""COMPUTED_VALUE"""),270.0)</f>
        <v>270</v>
      </c>
      <c r="H845" s="20" t="str">
        <f>IFERROR(__xludf.DUMMYFUNCTION("""COMPUTED_VALUE"""),"Algorithms")</f>
        <v>Algorithms</v>
      </c>
      <c r="I845" s="20">
        <f>IFERROR(__xludf.DUMMYFUNCTION("""COMPUTED_VALUE"""),0.48)</f>
        <v>0.48</v>
      </c>
      <c r="J845" s="20">
        <f>IFERROR(__xludf.DUMMYFUNCTION("""COMPUTED_VALUE"""),844.0)</f>
        <v>844</v>
      </c>
      <c r="K845" s="20" t="b">
        <f>IFERROR(__xludf.DUMMYFUNCTION("""COMPUTED_VALUE"""),FALSE)</f>
        <v>0</v>
      </c>
      <c r="L845" s="20" t="str">
        <f>IFERROR(__xludf.DUMMYFUNCTION("""COMPUTED_VALUE"""),"Two Pointers;String;Stack;Simulation;")</f>
        <v>Two Pointers;String;Stack;Simulation;</v>
      </c>
      <c r="M845" s="20" t="b">
        <f>IFERROR(__xludf.DUMMYFUNCTION("""COMPUTED_VALUE"""),TRUE)</f>
        <v>1</v>
      </c>
      <c r="N845" s="20" t="b">
        <f>IFERROR(__xludf.DUMMYFUNCTION("""COMPUTED_VALUE"""),FALSE)</f>
        <v>0</v>
      </c>
      <c r="O845" s="20">
        <f>IFERROR(__xludf.DUMMYFUNCTION("""COMPUTED_VALUE"""),48.0117333604498)</f>
        <v>48.01173336</v>
      </c>
      <c r="P845" s="20">
        <f>IFERROR(__xludf.DUMMYFUNCTION("""COMPUTED_VALUE"""),585463.0)</f>
        <v>585463</v>
      </c>
      <c r="Q845" s="20">
        <f>IFERROR(__xludf.DUMMYFUNCTION("""COMPUTED_VALUE"""),1219420.0)</f>
        <v>1219420</v>
      </c>
    </row>
    <row r="846">
      <c r="A846" s="20">
        <f>IFERROR(__xludf.DUMMYFUNCTION("""COMPUTED_VALUE"""),875.0)</f>
        <v>875</v>
      </c>
      <c r="B846" s="20" t="str">
        <f>IFERROR(__xludf.DUMMYFUNCTION("""COMPUTED_VALUE"""),"Longest Mountain in Array")</f>
        <v>Longest Mountain in Array</v>
      </c>
      <c r="C846" s="20" t="str">
        <f>IFERROR(__xludf.DUMMYFUNCTION("""COMPUTED_VALUE"""),"longest-mountain-in-array")</f>
        <v>longest-mountain-in-array</v>
      </c>
      <c r="D846" s="20" t="b">
        <f>IFERROR(__xludf.DUMMYFUNCTION("""COMPUTED_VALUE"""),FALSE)</f>
        <v>0</v>
      </c>
      <c r="E846" s="20" t="str">
        <f>IFERROR(__xludf.DUMMYFUNCTION("""COMPUTED_VALUE"""),"Medium")</f>
        <v>Medium</v>
      </c>
      <c r="F846" s="20">
        <f>IFERROR(__xludf.DUMMYFUNCTION("""COMPUTED_VALUE"""),2316.0)</f>
        <v>2316</v>
      </c>
      <c r="G846" s="20">
        <f>IFERROR(__xludf.DUMMYFUNCTION("""COMPUTED_VALUE"""),65.0)</f>
        <v>65</v>
      </c>
      <c r="H846" s="20" t="str">
        <f>IFERROR(__xludf.DUMMYFUNCTION("""COMPUTED_VALUE"""),"Algorithms")</f>
        <v>Algorithms</v>
      </c>
      <c r="I846" s="20">
        <f>IFERROR(__xludf.DUMMYFUNCTION("""COMPUTED_VALUE"""),0.402)</f>
        <v>0.402</v>
      </c>
      <c r="J846" s="20">
        <f>IFERROR(__xludf.DUMMYFUNCTION("""COMPUTED_VALUE"""),845.0)</f>
        <v>845</v>
      </c>
      <c r="K846" s="20" t="b">
        <f>IFERROR(__xludf.DUMMYFUNCTION("""COMPUTED_VALUE"""),FALSE)</f>
        <v>0</v>
      </c>
      <c r="L846" s="20" t="str">
        <f>IFERROR(__xludf.DUMMYFUNCTION("""COMPUTED_VALUE"""),"Array;Two Pointers;Dynamic Programming;Enumeration;")</f>
        <v>Array;Two Pointers;Dynamic Programming;Enumeration;</v>
      </c>
      <c r="M846" s="20" t="b">
        <f>IFERROR(__xludf.DUMMYFUNCTION("""COMPUTED_VALUE"""),TRUE)</f>
        <v>1</v>
      </c>
      <c r="N846" s="20" t="b">
        <f>IFERROR(__xludf.DUMMYFUNCTION("""COMPUTED_VALUE"""),FALSE)</f>
        <v>0</v>
      </c>
      <c r="O846" s="20">
        <f>IFERROR(__xludf.DUMMYFUNCTION("""COMPUTED_VALUE"""),40.1918357048375)</f>
        <v>40.1918357</v>
      </c>
      <c r="P846" s="20">
        <f>IFERROR(__xludf.DUMMYFUNCTION("""COMPUTED_VALUE"""),105133.0)</f>
        <v>105133</v>
      </c>
      <c r="Q846" s="20">
        <f>IFERROR(__xludf.DUMMYFUNCTION("""COMPUTED_VALUE"""),261578.0)</f>
        <v>261578</v>
      </c>
    </row>
    <row r="847">
      <c r="A847" s="20">
        <f>IFERROR(__xludf.DUMMYFUNCTION("""COMPUTED_VALUE"""),876.0)</f>
        <v>876</v>
      </c>
      <c r="B847" s="20" t="str">
        <f>IFERROR(__xludf.DUMMYFUNCTION("""COMPUTED_VALUE"""),"Hand of Straights")</f>
        <v>Hand of Straights</v>
      </c>
      <c r="C847" s="20" t="str">
        <f>IFERROR(__xludf.DUMMYFUNCTION("""COMPUTED_VALUE"""),"hand-of-straights")</f>
        <v>hand-of-straights</v>
      </c>
      <c r="D847" s="20" t="b">
        <f>IFERROR(__xludf.DUMMYFUNCTION("""COMPUTED_VALUE"""),FALSE)</f>
        <v>0</v>
      </c>
      <c r="E847" s="20" t="str">
        <f>IFERROR(__xludf.DUMMYFUNCTION("""COMPUTED_VALUE"""),"Medium")</f>
        <v>Medium</v>
      </c>
      <c r="F847" s="20">
        <f>IFERROR(__xludf.DUMMYFUNCTION("""COMPUTED_VALUE"""),1777.0)</f>
        <v>1777</v>
      </c>
      <c r="G847" s="20">
        <f>IFERROR(__xludf.DUMMYFUNCTION("""COMPUTED_VALUE"""),137.0)</f>
        <v>137</v>
      </c>
      <c r="H847" s="20" t="str">
        <f>IFERROR(__xludf.DUMMYFUNCTION("""COMPUTED_VALUE"""),"Algorithms")</f>
        <v>Algorithms</v>
      </c>
      <c r="I847" s="20">
        <f>IFERROR(__xludf.DUMMYFUNCTION("""COMPUTED_VALUE"""),0.563)</f>
        <v>0.563</v>
      </c>
      <c r="J847" s="20">
        <f>IFERROR(__xludf.DUMMYFUNCTION("""COMPUTED_VALUE"""),846.0)</f>
        <v>846</v>
      </c>
      <c r="K847" s="20" t="b">
        <f>IFERROR(__xludf.DUMMYFUNCTION("""COMPUTED_VALUE"""),FALSE)</f>
        <v>0</v>
      </c>
      <c r="L847" s="20" t="str">
        <f>IFERROR(__xludf.DUMMYFUNCTION("""COMPUTED_VALUE"""),"Array;Hash Table;Greedy;Sorting;")</f>
        <v>Array;Hash Table;Greedy;Sorting;</v>
      </c>
      <c r="M847" s="20" t="b">
        <f>IFERROR(__xludf.DUMMYFUNCTION("""COMPUTED_VALUE"""),FALSE)</f>
        <v>0</v>
      </c>
      <c r="N847" s="20" t="b">
        <f>IFERROR(__xludf.DUMMYFUNCTION("""COMPUTED_VALUE"""),FALSE)</f>
        <v>0</v>
      </c>
      <c r="O847" s="20">
        <f>IFERROR(__xludf.DUMMYFUNCTION("""COMPUTED_VALUE"""),56.3148730476363)</f>
        <v>56.31487305</v>
      </c>
      <c r="P847" s="20">
        <f>IFERROR(__xludf.DUMMYFUNCTION("""COMPUTED_VALUE"""),108347.0)</f>
        <v>108347</v>
      </c>
      <c r="Q847" s="20">
        <f>IFERROR(__xludf.DUMMYFUNCTION("""COMPUTED_VALUE"""),192395.0)</f>
        <v>192395</v>
      </c>
    </row>
    <row r="848">
      <c r="A848" s="20">
        <f>IFERROR(__xludf.DUMMYFUNCTION("""COMPUTED_VALUE"""),877.0)</f>
        <v>877</v>
      </c>
      <c r="B848" s="20" t="str">
        <f>IFERROR(__xludf.DUMMYFUNCTION("""COMPUTED_VALUE"""),"Shortest Path Visiting All Nodes")</f>
        <v>Shortest Path Visiting All Nodes</v>
      </c>
      <c r="C848" s="20" t="str">
        <f>IFERROR(__xludf.DUMMYFUNCTION("""COMPUTED_VALUE"""),"shortest-path-visiting-all-nodes")</f>
        <v>shortest-path-visiting-all-nodes</v>
      </c>
      <c r="D848" s="20" t="b">
        <f>IFERROR(__xludf.DUMMYFUNCTION("""COMPUTED_VALUE"""),FALSE)</f>
        <v>0</v>
      </c>
      <c r="E848" s="20" t="str">
        <f>IFERROR(__xludf.DUMMYFUNCTION("""COMPUTED_VALUE"""),"Hard")</f>
        <v>Hard</v>
      </c>
      <c r="F848" s="20">
        <f>IFERROR(__xludf.DUMMYFUNCTION("""COMPUTED_VALUE"""),3011.0)</f>
        <v>3011</v>
      </c>
      <c r="G848" s="20">
        <f>IFERROR(__xludf.DUMMYFUNCTION("""COMPUTED_VALUE"""),136.0)</f>
        <v>136</v>
      </c>
      <c r="H848" s="20" t="str">
        <f>IFERROR(__xludf.DUMMYFUNCTION("""COMPUTED_VALUE"""),"Algorithms")</f>
        <v>Algorithms</v>
      </c>
      <c r="I848" s="20">
        <f>IFERROR(__xludf.DUMMYFUNCTION("""COMPUTED_VALUE"""),0.612)</f>
        <v>0.612</v>
      </c>
      <c r="J848" s="20">
        <f>IFERROR(__xludf.DUMMYFUNCTION("""COMPUTED_VALUE"""),847.0)</f>
        <v>847</v>
      </c>
      <c r="K848" s="20" t="b">
        <f>IFERROR(__xludf.DUMMYFUNCTION("""COMPUTED_VALUE"""),FALSE)</f>
        <v>0</v>
      </c>
      <c r="L848" s="20" t="str">
        <f>IFERROR(__xludf.DUMMYFUNCTION("""COMPUTED_VALUE"""),"Dynamic Programming;Bit Manipulation;Breadth-First Search;Graph;Bitmask;")</f>
        <v>Dynamic Programming;Bit Manipulation;Breadth-First Search;Graph;Bitmask;</v>
      </c>
      <c r="M848" s="20" t="b">
        <f>IFERROR(__xludf.DUMMYFUNCTION("""COMPUTED_VALUE"""),TRUE)</f>
        <v>1</v>
      </c>
      <c r="N848" s="20" t="b">
        <f>IFERROR(__xludf.DUMMYFUNCTION("""COMPUTED_VALUE"""),FALSE)</f>
        <v>0</v>
      </c>
      <c r="O848" s="20">
        <f>IFERROR(__xludf.DUMMYFUNCTION("""COMPUTED_VALUE"""),61.1727621294794)</f>
        <v>61.17276213</v>
      </c>
      <c r="P848" s="20">
        <f>IFERROR(__xludf.DUMMYFUNCTION("""COMPUTED_VALUE"""),66370.0)</f>
        <v>66370</v>
      </c>
      <c r="Q848" s="20">
        <f>IFERROR(__xludf.DUMMYFUNCTION("""COMPUTED_VALUE"""),108496.0)</f>
        <v>108496</v>
      </c>
    </row>
    <row r="849">
      <c r="A849" s="20">
        <f>IFERROR(__xludf.DUMMYFUNCTION("""COMPUTED_VALUE"""),878.0)</f>
        <v>878</v>
      </c>
      <c r="B849" s="20" t="str">
        <f>IFERROR(__xludf.DUMMYFUNCTION("""COMPUTED_VALUE"""),"Shifting Letters")</f>
        <v>Shifting Letters</v>
      </c>
      <c r="C849" s="20" t="str">
        <f>IFERROR(__xludf.DUMMYFUNCTION("""COMPUTED_VALUE"""),"shifting-letters")</f>
        <v>shifting-letters</v>
      </c>
      <c r="D849" s="20" t="b">
        <f>IFERROR(__xludf.DUMMYFUNCTION("""COMPUTED_VALUE"""),FALSE)</f>
        <v>0</v>
      </c>
      <c r="E849" s="20" t="str">
        <f>IFERROR(__xludf.DUMMYFUNCTION("""COMPUTED_VALUE"""),"Medium")</f>
        <v>Medium</v>
      </c>
      <c r="F849" s="20">
        <f>IFERROR(__xludf.DUMMYFUNCTION("""COMPUTED_VALUE"""),1122.0)</f>
        <v>1122</v>
      </c>
      <c r="G849" s="20">
        <f>IFERROR(__xludf.DUMMYFUNCTION("""COMPUTED_VALUE"""),110.0)</f>
        <v>110</v>
      </c>
      <c r="H849" s="20" t="str">
        <f>IFERROR(__xludf.DUMMYFUNCTION("""COMPUTED_VALUE"""),"Algorithms")</f>
        <v>Algorithms</v>
      </c>
      <c r="I849" s="20">
        <f>IFERROR(__xludf.DUMMYFUNCTION("""COMPUTED_VALUE"""),0.453)</f>
        <v>0.453</v>
      </c>
      <c r="J849" s="20">
        <f>IFERROR(__xludf.DUMMYFUNCTION("""COMPUTED_VALUE"""),848.0)</f>
        <v>848</v>
      </c>
      <c r="K849" s="20" t="b">
        <f>IFERROR(__xludf.DUMMYFUNCTION("""COMPUTED_VALUE"""),FALSE)</f>
        <v>0</v>
      </c>
      <c r="L849" s="20" t="str">
        <f>IFERROR(__xludf.DUMMYFUNCTION("""COMPUTED_VALUE"""),"Array;String;")</f>
        <v>Array;String;</v>
      </c>
      <c r="M849" s="20" t="b">
        <f>IFERROR(__xludf.DUMMYFUNCTION("""COMPUTED_VALUE"""),TRUE)</f>
        <v>1</v>
      </c>
      <c r="N849" s="20" t="b">
        <f>IFERROR(__xludf.DUMMYFUNCTION("""COMPUTED_VALUE"""),FALSE)</f>
        <v>0</v>
      </c>
      <c r="O849" s="20">
        <f>IFERROR(__xludf.DUMMYFUNCTION("""COMPUTED_VALUE"""),45.3407977452631)</f>
        <v>45.34079775</v>
      </c>
      <c r="P849" s="20">
        <f>IFERROR(__xludf.DUMMYFUNCTION("""COMPUTED_VALUE"""),82367.0)</f>
        <v>82367</v>
      </c>
      <c r="Q849" s="20">
        <f>IFERROR(__xludf.DUMMYFUNCTION("""COMPUTED_VALUE"""),181662.0)</f>
        <v>181662</v>
      </c>
    </row>
    <row r="850">
      <c r="A850" s="20">
        <f>IFERROR(__xludf.DUMMYFUNCTION("""COMPUTED_VALUE"""),879.0)</f>
        <v>879</v>
      </c>
      <c r="B850" s="20" t="str">
        <f>IFERROR(__xludf.DUMMYFUNCTION("""COMPUTED_VALUE"""),"Maximize Distance to Closest Person")</f>
        <v>Maximize Distance to Closest Person</v>
      </c>
      <c r="C850" s="20" t="str">
        <f>IFERROR(__xludf.DUMMYFUNCTION("""COMPUTED_VALUE"""),"maximize-distance-to-closest-person")</f>
        <v>maximize-distance-to-closest-person</v>
      </c>
      <c r="D850" s="20" t="b">
        <f>IFERROR(__xludf.DUMMYFUNCTION("""COMPUTED_VALUE"""),FALSE)</f>
        <v>0</v>
      </c>
      <c r="E850" s="20" t="str">
        <f>IFERROR(__xludf.DUMMYFUNCTION("""COMPUTED_VALUE"""),"Medium")</f>
        <v>Medium</v>
      </c>
      <c r="F850" s="20">
        <f>IFERROR(__xludf.DUMMYFUNCTION("""COMPUTED_VALUE"""),2856.0)</f>
        <v>2856</v>
      </c>
      <c r="G850" s="20">
        <f>IFERROR(__xludf.DUMMYFUNCTION("""COMPUTED_VALUE"""),184.0)</f>
        <v>184</v>
      </c>
      <c r="H850" s="20" t="str">
        <f>IFERROR(__xludf.DUMMYFUNCTION("""COMPUTED_VALUE"""),"Algorithms")</f>
        <v>Algorithms</v>
      </c>
      <c r="I850" s="20">
        <f>IFERROR(__xludf.DUMMYFUNCTION("""COMPUTED_VALUE"""),0.476)</f>
        <v>0.476</v>
      </c>
      <c r="J850" s="20">
        <f>IFERROR(__xludf.DUMMYFUNCTION("""COMPUTED_VALUE"""),849.0)</f>
        <v>849</v>
      </c>
      <c r="K850" s="20" t="b">
        <f>IFERROR(__xludf.DUMMYFUNCTION("""COMPUTED_VALUE"""),FALSE)</f>
        <v>0</v>
      </c>
      <c r="L850" s="20" t="str">
        <f>IFERROR(__xludf.DUMMYFUNCTION("""COMPUTED_VALUE"""),"Array;")</f>
        <v>Array;</v>
      </c>
      <c r="M850" s="20" t="b">
        <f>IFERROR(__xludf.DUMMYFUNCTION("""COMPUTED_VALUE"""),TRUE)</f>
        <v>1</v>
      </c>
      <c r="N850" s="20" t="b">
        <f>IFERROR(__xludf.DUMMYFUNCTION("""COMPUTED_VALUE"""),FALSE)</f>
        <v>0</v>
      </c>
      <c r="O850" s="20">
        <f>IFERROR(__xludf.DUMMYFUNCTION("""COMPUTED_VALUE"""),47.6024508280424)</f>
        <v>47.60245083</v>
      </c>
      <c r="P850" s="20">
        <f>IFERROR(__xludf.DUMMYFUNCTION("""COMPUTED_VALUE"""),192987.0)</f>
        <v>192987</v>
      </c>
      <c r="Q850" s="20">
        <f>IFERROR(__xludf.DUMMYFUNCTION("""COMPUTED_VALUE"""),405414.0)</f>
        <v>405414</v>
      </c>
    </row>
    <row r="851">
      <c r="A851" s="20">
        <f>IFERROR(__xludf.DUMMYFUNCTION("""COMPUTED_VALUE"""),880.0)</f>
        <v>880</v>
      </c>
      <c r="B851" s="20" t="str">
        <f>IFERROR(__xludf.DUMMYFUNCTION("""COMPUTED_VALUE"""),"Rectangle Area II")</f>
        <v>Rectangle Area II</v>
      </c>
      <c r="C851" s="20" t="str">
        <f>IFERROR(__xludf.DUMMYFUNCTION("""COMPUTED_VALUE"""),"rectangle-area-ii")</f>
        <v>rectangle-area-ii</v>
      </c>
      <c r="D851" s="20" t="b">
        <f>IFERROR(__xludf.DUMMYFUNCTION("""COMPUTED_VALUE"""),FALSE)</f>
        <v>0</v>
      </c>
      <c r="E851" s="20" t="str">
        <f>IFERROR(__xludf.DUMMYFUNCTION("""COMPUTED_VALUE"""),"Hard")</f>
        <v>Hard</v>
      </c>
      <c r="F851" s="20">
        <f>IFERROR(__xludf.DUMMYFUNCTION("""COMPUTED_VALUE"""),871.0)</f>
        <v>871</v>
      </c>
      <c r="G851" s="20">
        <f>IFERROR(__xludf.DUMMYFUNCTION("""COMPUTED_VALUE"""),56.0)</f>
        <v>56</v>
      </c>
      <c r="H851" s="20" t="str">
        <f>IFERROR(__xludf.DUMMYFUNCTION("""COMPUTED_VALUE"""),"Algorithms")</f>
        <v>Algorithms</v>
      </c>
      <c r="I851" s="20">
        <f>IFERROR(__xludf.DUMMYFUNCTION("""COMPUTED_VALUE"""),0.538)</f>
        <v>0.538</v>
      </c>
      <c r="J851" s="20">
        <f>IFERROR(__xludf.DUMMYFUNCTION("""COMPUTED_VALUE"""),850.0)</f>
        <v>850</v>
      </c>
      <c r="K851" s="20" t="b">
        <f>IFERROR(__xludf.DUMMYFUNCTION("""COMPUTED_VALUE"""),FALSE)</f>
        <v>0</v>
      </c>
      <c r="L851" s="20" t="str">
        <f>IFERROR(__xludf.DUMMYFUNCTION("""COMPUTED_VALUE"""),"Array;Segment Tree;Line Sweep;Ordered Set;")</f>
        <v>Array;Segment Tree;Line Sweep;Ordered Set;</v>
      </c>
      <c r="M851" s="20" t="b">
        <f>IFERROR(__xludf.DUMMYFUNCTION("""COMPUTED_VALUE"""),TRUE)</f>
        <v>1</v>
      </c>
      <c r="N851" s="20" t="b">
        <f>IFERROR(__xludf.DUMMYFUNCTION("""COMPUTED_VALUE"""),FALSE)</f>
        <v>0</v>
      </c>
      <c r="O851" s="20">
        <f>IFERROR(__xludf.DUMMYFUNCTION("""COMPUTED_VALUE"""),53.7697233215007)</f>
        <v>53.76972332</v>
      </c>
      <c r="P851" s="20">
        <f>IFERROR(__xludf.DUMMYFUNCTION("""COMPUTED_VALUE"""),31658.0)</f>
        <v>31658</v>
      </c>
      <c r="Q851" s="20">
        <f>IFERROR(__xludf.DUMMYFUNCTION("""COMPUTED_VALUE"""),58877.0)</f>
        <v>58877</v>
      </c>
    </row>
    <row r="852">
      <c r="A852" s="20">
        <f>IFERROR(__xludf.DUMMYFUNCTION("""COMPUTED_VALUE"""),881.0)</f>
        <v>881</v>
      </c>
      <c r="B852" s="20" t="str">
        <f>IFERROR(__xludf.DUMMYFUNCTION("""COMPUTED_VALUE"""),"Loud and Rich")</f>
        <v>Loud and Rich</v>
      </c>
      <c r="C852" s="20" t="str">
        <f>IFERROR(__xludf.DUMMYFUNCTION("""COMPUTED_VALUE"""),"loud-and-rich")</f>
        <v>loud-and-rich</v>
      </c>
      <c r="D852" s="20" t="b">
        <f>IFERROR(__xludf.DUMMYFUNCTION("""COMPUTED_VALUE"""),FALSE)</f>
        <v>0</v>
      </c>
      <c r="E852" s="20" t="str">
        <f>IFERROR(__xludf.DUMMYFUNCTION("""COMPUTED_VALUE"""),"Medium")</f>
        <v>Medium</v>
      </c>
      <c r="F852" s="20">
        <f>IFERROR(__xludf.DUMMYFUNCTION("""COMPUTED_VALUE"""),885.0)</f>
        <v>885</v>
      </c>
      <c r="G852" s="20">
        <f>IFERROR(__xludf.DUMMYFUNCTION("""COMPUTED_VALUE"""),663.0)</f>
        <v>663</v>
      </c>
      <c r="H852" s="20" t="str">
        <f>IFERROR(__xludf.DUMMYFUNCTION("""COMPUTED_VALUE"""),"Algorithms")</f>
        <v>Algorithms</v>
      </c>
      <c r="I852" s="20">
        <f>IFERROR(__xludf.DUMMYFUNCTION("""COMPUTED_VALUE"""),0.584)</f>
        <v>0.584</v>
      </c>
      <c r="J852" s="20">
        <f>IFERROR(__xludf.DUMMYFUNCTION("""COMPUTED_VALUE"""),851.0)</f>
        <v>851</v>
      </c>
      <c r="K852" s="20" t="b">
        <f>IFERROR(__xludf.DUMMYFUNCTION("""COMPUTED_VALUE"""),FALSE)</f>
        <v>0</v>
      </c>
      <c r="L852" s="20" t="str">
        <f>IFERROR(__xludf.DUMMYFUNCTION("""COMPUTED_VALUE"""),"Array;Depth-First Search;Graph;Topological Sort;")</f>
        <v>Array;Depth-First Search;Graph;Topological Sort;</v>
      </c>
      <c r="M852" s="20" t="b">
        <f>IFERROR(__xludf.DUMMYFUNCTION("""COMPUTED_VALUE"""),TRUE)</f>
        <v>1</v>
      </c>
      <c r="N852" s="20" t="b">
        <f>IFERROR(__xludf.DUMMYFUNCTION("""COMPUTED_VALUE"""),FALSE)</f>
        <v>0</v>
      </c>
      <c r="O852" s="20">
        <f>IFERROR(__xludf.DUMMYFUNCTION("""COMPUTED_VALUE"""),58.3734405375309)</f>
        <v>58.37344054</v>
      </c>
      <c r="P852" s="20">
        <f>IFERROR(__xludf.DUMMYFUNCTION("""COMPUTED_VALUE"""),30928.0)</f>
        <v>30928</v>
      </c>
      <c r="Q852" s="20">
        <f>IFERROR(__xludf.DUMMYFUNCTION("""COMPUTED_VALUE"""),52983.0)</f>
        <v>52983</v>
      </c>
    </row>
    <row r="853">
      <c r="A853" s="20">
        <f>IFERROR(__xludf.DUMMYFUNCTION("""COMPUTED_VALUE"""),882.0)</f>
        <v>882</v>
      </c>
      <c r="B853" s="20" t="str">
        <f>IFERROR(__xludf.DUMMYFUNCTION("""COMPUTED_VALUE"""),"Peak Index in a Mountain Array")</f>
        <v>Peak Index in a Mountain Array</v>
      </c>
      <c r="C853" s="20" t="str">
        <f>IFERROR(__xludf.DUMMYFUNCTION("""COMPUTED_VALUE"""),"peak-index-in-a-mountain-array")</f>
        <v>peak-index-in-a-mountain-array</v>
      </c>
      <c r="D853" s="20" t="b">
        <f>IFERROR(__xludf.DUMMYFUNCTION("""COMPUTED_VALUE"""),FALSE)</f>
        <v>0</v>
      </c>
      <c r="E853" s="20" t="str">
        <f>IFERROR(__xludf.DUMMYFUNCTION("""COMPUTED_VALUE"""),"Medium")</f>
        <v>Medium</v>
      </c>
      <c r="F853" s="20">
        <f>IFERROR(__xludf.DUMMYFUNCTION("""COMPUTED_VALUE"""),4364.0)</f>
        <v>4364</v>
      </c>
      <c r="G853" s="20">
        <f>IFERROR(__xludf.DUMMYFUNCTION("""COMPUTED_VALUE"""),1763.0)</f>
        <v>1763</v>
      </c>
      <c r="H853" s="20" t="str">
        <f>IFERROR(__xludf.DUMMYFUNCTION("""COMPUTED_VALUE"""),"Algorithms")</f>
        <v>Algorithms</v>
      </c>
      <c r="I853" s="20">
        <f>IFERROR(__xludf.DUMMYFUNCTION("""COMPUTED_VALUE"""),0.693)</f>
        <v>0.693</v>
      </c>
      <c r="J853" s="20">
        <f>IFERROR(__xludf.DUMMYFUNCTION("""COMPUTED_VALUE"""),852.0)</f>
        <v>852</v>
      </c>
      <c r="K853" s="20" t="b">
        <f>IFERROR(__xludf.DUMMYFUNCTION("""COMPUTED_VALUE"""),FALSE)</f>
        <v>0</v>
      </c>
      <c r="L853" s="20" t="str">
        <f>IFERROR(__xludf.DUMMYFUNCTION("""COMPUTED_VALUE"""),"Array;Binary Search;")</f>
        <v>Array;Binary Search;</v>
      </c>
      <c r="M853" s="20" t="b">
        <f>IFERROR(__xludf.DUMMYFUNCTION("""COMPUTED_VALUE"""),TRUE)</f>
        <v>1</v>
      </c>
      <c r="N853" s="20" t="b">
        <f>IFERROR(__xludf.DUMMYFUNCTION("""COMPUTED_VALUE"""),FALSE)</f>
        <v>0</v>
      </c>
      <c r="O853" s="20">
        <f>IFERROR(__xludf.DUMMYFUNCTION("""COMPUTED_VALUE"""),69.3113884685335)</f>
        <v>69.31138847</v>
      </c>
      <c r="P853" s="20">
        <f>IFERROR(__xludf.DUMMYFUNCTION("""COMPUTED_VALUE"""),499225.0)</f>
        <v>499225</v>
      </c>
      <c r="Q853" s="20">
        <f>IFERROR(__xludf.DUMMYFUNCTION("""COMPUTED_VALUE"""),720260.0)</f>
        <v>720260</v>
      </c>
    </row>
    <row r="854">
      <c r="A854" s="20">
        <f>IFERROR(__xludf.DUMMYFUNCTION("""COMPUTED_VALUE"""),883.0)</f>
        <v>883</v>
      </c>
      <c r="B854" s="20" t="str">
        <f>IFERROR(__xludf.DUMMYFUNCTION("""COMPUTED_VALUE"""),"Car Fleet")</f>
        <v>Car Fleet</v>
      </c>
      <c r="C854" s="20" t="str">
        <f>IFERROR(__xludf.DUMMYFUNCTION("""COMPUTED_VALUE"""),"car-fleet")</f>
        <v>car-fleet</v>
      </c>
      <c r="D854" s="20" t="b">
        <f>IFERROR(__xludf.DUMMYFUNCTION("""COMPUTED_VALUE"""),FALSE)</f>
        <v>0</v>
      </c>
      <c r="E854" s="20" t="str">
        <f>IFERROR(__xludf.DUMMYFUNCTION("""COMPUTED_VALUE"""),"Medium")</f>
        <v>Medium</v>
      </c>
      <c r="F854" s="20">
        <f>IFERROR(__xludf.DUMMYFUNCTION("""COMPUTED_VALUE"""),2100.0)</f>
        <v>2100</v>
      </c>
      <c r="G854" s="20">
        <f>IFERROR(__xludf.DUMMYFUNCTION("""COMPUTED_VALUE"""),523.0)</f>
        <v>523</v>
      </c>
      <c r="H854" s="20" t="str">
        <f>IFERROR(__xludf.DUMMYFUNCTION("""COMPUTED_VALUE"""),"Algorithms")</f>
        <v>Algorithms</v>
      </c>
      <c r="I854" s="20">
        <f>IFERROR(__xludf.DUMMYFUNCTION("""COMPUTED_VALUE"""),0.501)</f>
        <v>0.501</v>
      </c>
      <c r="J854" s="20">
        <f>IFERROR(__xludf.DUMMYFUNCTION("""COMPUTED_VALUE"""),853.0)</f>
        <v>853</v>
      </c>
      <c r="K854" s="20" t="b">
        <f>IFERROR(__xludf.DUMMYFUNCTION("""COMPUTED_VALUE"""),FALSE)</f>
        <v>0</v>
      </c>
      <c r="L854" s="20" t="str">
        <f>IFERROR(__xludf.DUMMYFUNCTION("""COMPUTED_VALUE"""),"Array;Stack;Sorting;Monotonic Stack;")</f>
        <v>Array;Stack;Sorting;Monotonic Stack;</v>
      </c>
      <c r="M854" s="20" t="b">
        <f>IFERROR(__xludf.DUMMYFUNCTION("""COMPUTED_VALUE"""),FALSE)</f>
        <v>0</v>
      </c>
      <c r="N854" s="20" t="b">
        <f>IFERROR(__xludf.DUMMYFUNCTION("""COMPUTED_VALUE"""),FALSE)</f>
        <v>0</v>
      </c>
      <c r="O854" s="20">
        <f>IFERROR(__xludf.DUMMYFUNCTION("""COMPUTED_VALUE"""),50.1501885890806)</f>
        <v>50.15018859</v>
      </c>
      <c r="P854" s="20">
        <f>IFERROR(__xludf.DUMMYFUNCTION("""COMPUTED_VALUE"""),117536.0)</f>
        <v>117536</v>
      </c>
      <c r="Q854" s="20">
        <f>IFERROR(__xludf.DUMMYFUNCTION("""COMPUTED_VALUE"""),234369.0)</f>
        <v>234369</v>
      </c>
    </row>
    <row r="855">
      <c r="A855" s="20">
        <f>IFERROR(__xludf.DUMMYFUNCTION("""COMPUTED_VALUE"""),884.0)</f>
        <v>884</v>
      </c>
      <c r="B855" s="20" t="str">
        <f>IFERROR(__xludf.DUMMYFUNCTION("""COMPUTED_VALUE"""),"K-Similar Strings")</f>
        <v>K-Similar Strings</v>
      </c>
      <c r="C855" s="20" t="str">
        <f>IFERROR(__xludf.DUMMYFUNCTION("""COMPUTED_VALUE"""),"k-similar-strings")</f>
        <v>k-similar-strings</v>
      </c>
      <c r="D855" s="20" t="b">
        <f>IFERROR(__xludf.DUMMYFUNCTION("""COMPUTED_VALUE"""),FALSE)</f>
        <v>0</v>
      </c>
      <c r="E855" s="20" t="str">
        <f>IFERROR(__xludf.DUMMYFUNCTION("""COMPUTED_VALUE"""),"Hard")</f>
        <v>Hard</v>
      </c>
      <c r="F855" s="20">
        <f>IFERROR(__xludf.DUMMYFUNCTION("""COMPUTED_VALUE"""),982.0)</f>
        <v>982</v>
      </c>
      <c r="G855" s="20">
        <f>IFERROR(__xludf.DUMMYFUNCTION("""COMPUTED_VALUE"""),56.0)</f>
        <v>56</v>
      </c>
      <c r="H855" s="20" t="str">
        <f>IFERROR(__xludf.DUMMYFUNCTION("""COMPUTED_VALUE"""),"Algorithms")</f>
        <v>Algorithms</v>
      </c>
      <c r="I855" s="20">
        <f>IFERROR(__xludf.DUMMYFUNCTION("""COMPUTED_VALUE"""),0.401)</f>
        <v>0.401</v>
      </c>
      <c r="J855" s="20">
        <f>IFERROR(__xludf.DUMMYFUNCTION("""COMPUTED_VALUE"""),854.0)</f>
        <v>854</v>
      </c>
      <c r="K855" s="20" t="b">
        <f>IFERROR(__xludf.DUMMYFUNCTION("""COMPUTED_VALUE"""),FALSE)</f>
        <v>0</v>
      </c>
      <c r="L855" s="20" t="str">
        <f>IFERROR(__xludf.DUMMYFUNCTION("""COMPUTED_VALUE"""),"String;Breadth-First Search;")</f>
        <v>String;Breadth-First Search;</v>
      </c>
      <c r="M855" s="20" t="b">
        <f>IFERROR(__xludf.DUMMYFUNCTION("""COMPUTED_VALUE"""),FALSE)</f>
        <v>0</v>
      </c>
      <c r="N855" s="20" t="b">
        <f>IFERROR(__xludf.DUMMYFUNCTION("""COMPUTED_VALUE"""),FALSE)</f>
        <v>0</v>
      </c>
      <c r="O855" s="20">
        <f>IFERROR(__xludf.DUMMYFUNCTION("""COMPUTED_VALUE"""),40.1324663297968)</f>
        <v>40.13246633</v>
      </c>
      <c r="P855" s="20">
        <f>IFERROR(__xludf.DUMMYFUNCTION("""COMPUTED_VALUE"""),39870.0)</f>
        <v>39870</v>
      </c>
      <c r="Q855" s="20">
        <f>IFERROR(__xludf.DUMMYFUNCTION("""COMPUTED_VALUE"""),99344.0)</f>
        <v>99344</v>
      </c>
    </row>
    <row r="856">
      <c r="A856" s="20">
        <f>IFERROR(__xludf.DUMMYFUNCTION("""COMPUTED_VALUE"""),885.0)</f>
        <v>885</v>
      </c>
      <c r="B856" s="20" t="str">
        <f>IFERROR(__xludf.DUMMYFUNCTION("""COMPUTED_VALUE"""),"Exam Room")</f>
        <v>Exam Room</v>
      </c>
      <c r="C856" s="20" t="str">
        <f>IFERROR(__xludf.DUMMYFUNCTION("""COMPUTED_VALUE"""),"exam-room")</f>
        <v>exam-room</v>
      </c>
      <c r="D856" s="20" t="b">
        <f>IFERROR(__xludf.DUMMYFUNCTION("""COMPUTED_VALUE"""),FALSE)</f>
        <v>0</v>
      </c>
      <c r="E856" s="20" t="str">
        <f>IFERROR(__xludf.DUMMYFUNCTION("""COMPUTED_VALUE"""),"Medium")</f>
        <v>Medium</v>
      </c>
      <c r="F856" s="20">
        <f>IFERROR(__xludf.DUMMYFUNCTION("""COMPUTED_VALUE"""),1121.0)</f>
        <v>1121</v>
      </c>
      <c r="G856" s="20">
        <f>IFERROR(__xludf.DUMMYFUNCTION("""COMPUTED_VALUE"""),428.0)</f>
        <v>428</v>
      </c>
      <c r="H856" s="20" t="str">
        <f>IFERROR(__xludf.DUMMYFUNCTION("""COMPUTED_VALUE"""),"Algorithms")</f>
        <v>Algorithms</v>
      </c>
      <c r="I856" s="20">
        <f>IFERROR(__xludf.DUMMYFUNCTION("""COMPUTED_VALUE"""),0.434)</f>
        <v>0.434</v>
      </c>
      <c r="J856" s="20">
        <f>IFERROR(__xludf.DUMMYFUNCTION("""COMPUTED_VALUE"""),855.0)</f>
        <v>855</v>
      </c>
      <c r="K856" s="20" t="b">
        <f>IFERROR(__xludf.DUMMYFUNCTION("""COMPUTED_VALUE"""),FALSE)</f>
        <v>0</v>
      </c>
      <c r="L856" s="20" t="str">
        <f>IFERROR(__xludf.DUMMYFUNCTION("""COMPUTED_VALUE"""),"Design;Heap (Priority Queue);Ordered Set;")</f>
        <v>Design;Heap (Priority Queue);Ordered Set;</v>
      </c>
      <c r="M856" s="20" t="b">
        <f>IFERROR(__xludf.DUMMYFUNCTION("""COMPUTED_VALUE"""),FALSE)</f>
        <v>0</v>
      </c>
      <c r="N856" s="20" t="b">
        <f>IFERROR(__xludf.DUMMYFUNCTION("""COMPUTED_VALUE"""),FALSE)</f>
        <v>0</v>
      </c>
      <c r="O856" s="20">
        <f>IFERROR(__xludf.DUMMYFUNCTION("""COMPUTED_VALUE"""),43.4046625200046)</f>
        <v>43.40466252</v>
      </c>
      <c r="P856" s="20">
        <f>IFERROR(__xludf.DUMMYFUNCTION("""COMPUTED_VALUE"""),52616.0)</f>
        <v>52616</v>
      </c>
      <c r="Q856" s="20">
        <f>IFERROR(__xludf.DUMMYFUNCTION("""COMPUTED_VALUE"""),121222.0)</f>
        <v>121222</v>
      </c>
    </row>
    <row r="857">
      <c r="A857" s="20">
        <f>IFERROR(__xludf.DUMMYFUNCTION("""COMPUTED_VALUE"""),886.0)</f>
        <v>886</v>
      </c>
      <c r="B857" s="20" t="str">
        <f>IFERROR(__xludf.DUMMYFUNCTION("""COMPUTED_VALUE"""),"Score of Parentheses")</f>
        <v>Score of Parentheses</v>
      </c>
      <c r="C857" s="20" t="str">
        <f>IFERROR(__xludf.DUMMYFUNCTION("""COMPUTED_VALUE"""),"score-of-parentheses")</f>
        <v>score-of-parentheses</v>
      </c>
      <c r="D857" s="20" t="b">
        <f>IFERROR(__xludf.DUMMYFUNCTION("""COMPUTED_VALUE"""),FALSE)</f>
        <v>0</v>
      </c>
      <c r="E857" s="20" t="str">
        <f>IFERROR(__xludf.DUMMYFUNCTION("""COMPUTED_VALUE"""),"Medium")</f>
        <v>Medium</v>
      </c>
      <c r="F857" s="20">
        <f>IFERROR(__xludf.DUMMYFUNCTION("""COMPUTED_VALUE"""),4846.0)</f>
        <v>4846</v>
      </c>
      <c r="G857" s="20">
        <f>IFERROR(__xludf.DUMMYFUNCTION("""COMPUTED_VALUE"""),163.0)</f>
        <v>163</v>
      </c>
      <c r="H857" s="20" t="str">
        <f>IFERROR(__xludf.DUMMYFUNCTION("""COMPUTED_VALUE"""),"Algorithms")</f>
        <v>Algorithms</v>
      </c>
      <c r="I857" s="20">
        <f>IFERROR(__xludf.DUMMYFUNCTION("""COMPUTED_VALUE"""),0.65)</f>
        <v>0.65</v>
      </c>
      <c r="J857" s="20">
        <f>IFERROR(__xludf.DUMMYFUNCTION("""COMPUTED_VALUE"""),856.0)</f>
        <v>856</v>
      </c>
      <c r="K857" s="20" t="b">
        <f>IFERROR(__xludf.DUMMYFUNCTION("""COMPUTED_VALUE"""),FALSE)</f>
        <v>0</v>
      </c>
      <c r="L857" s="20" t="str">
        <f>IFERROR(__xludf.DUMMYFUNCTION("""COMPUTED_VALUE"""),"String;Stack;")</f>
        <v>String;Stack;</v>
      </c>
      <c r="M857" s="20" t="b">
        <f>IFERROR(__xludf.DUMMYFUNCTION("""COMPUTED_VALUE"""),TRUE)</f>
        <v>1</v>
      </c>
      <c r="N857" s="20" t="b">
        <f>IFERROR(__xludf.DUMMYFUNCTION("""COMPUTED_VALUE"""),FALSE)</f>
        <v>0</v>
      </c>
      <c r="O857" s="20">
        <f>IFERROR(__xludf.DUMMYFUNCTION("""COMPUTED_VALUE"""),64.9591517543224)</f>
        <v>64.95915175</v>
      </c>
      <c r="P857" s="20">
        <f>IFERROR(__xludf.DUMMYFUNCTION("""COMPUTED_VALUE"""),152425.0)</f>
        <v>152425</v>
      </c>
      <c r="Q857" s="20">
        <f>IFERROR(__xludf.DUMMYFUNCTION("""COMPUTED_VALUE"""),234648.0)</f>
        <v>234648</v>
      </c>
    </row>
    <row r="858">
      <c r="A858" s="20">
        <f>IFERROR(__xludf.DUMMYFUNCTION("""COMPUTED_VALUE"""),887.0)</f>
        <v>887</v>
      </c>
      <c r="B858" s="20" t="str">
        <f>IFERROR(__xludf.DUMMYFUNCTION("""COMPUTED_VALUE"""),"Minimum Cost to Hire K Workers")</f>
        <v>Minimum Cost to Hire K Workers</v>
      </c>
      <c r="C858" s="20" t="str">
        <f>IFERROR(__xludf.DUMMYFUNCTION("""COMPUTED_VALUE"""),"minimum-cost-to-hire-k-workers")</f>
        <v>minimum-cost-to-hire-k-workers</v>
      </c>
      <c r="D858" s="20" t="b">
        <f>IFERROR(__xludf.DUMMYFUNCTION("""COMPUTED_VALUE"""),FALSE)</f>
        <v>0</v>
      </c>
      <c r="E858" s="20" t="str">
        <f>IFERROR(__xludf.DUMMYFUNCTION("""COMPUTED_VALUE"""),"Hard")</f>
        <v>Hard</v>
      </c>
      <c r="F858" s="20">
        <f>IFERROR(__xludf.DUMMYFUNCTION("""COMPUTED_VALUE"""),1887.0)</f>
        <v>1887</v>
      </c>
      <c r="G858" s="20">
        <f>IFERROR(__xludf.DUMMYFUNCTION("""COMPUTED_VALUE"""),237.0)</f>
        <v>237</v>
      </c>
      <c r="H858" s="20" t="str">
        <f>IFERROR(__xludf.DUMMYFUNCTION("""COMPUTED_VALUE"""),"Algorithms")</f>
        <v>Algorithms</v>
      </c>
      <c r="I858" s="20">
        <f>IFERROR(__xludf.DUMMYFUNCTION("""COMPUTED_VALUE"""),0.52)</f>
        <v>0.52</v>
      </c>
      <c r="J858" s="20">
        <f>IFERROR(__xludf.DUMMYFUNCTION("""COMPUTED_VALUE"""),857.0)</f>
        <v>857</v>
      </c>
      <c r="K858" s="20" t="b">
        <f>IFERROR(__xludf.DUMMYFUNCTION("""COMPUTED_VALUE"""),FALSE)</f>
        <v>0</v>
      </c>
      <c r="L858" s="20" t="str">
        <f>IFERROR(__xludf.DUMMYFUNCTION("""COMPUTED_VALUE"""),"Array;Greedy;Sorting;Heap (Priority Queue);")</f>
        <v>Array;Greedy;Sorting;Heap (Priority Queue);</v>
      </c>
      <c r="M858" s="20" t="b">
        <f>IFERROR(__xludf.DUMMYFUNCTION("""COMPUTED_VALUE"""),TRUE)</f>
        <v>1</v>
      </c>
      <c r="N858" s="20" t="b">
        <f>IFERROR(__xludf.DUMMYFUNCTION("""COMPUTED_VALUE"""),FALSE)</f>
        <v>0</v>
      </c>
      <c r="O858" s="20">
        <f>IFERROR(__xludf.DUMMYFUNCTION("""COMPUTED_VALUE"""),52.0428426955962)</f>
        <v>52.0428427</v>
      </c>
      <c r="P858" s="20">
        <f>IFERROR(__xludf.DUMMYFUNCTION("""COMPUTED_VALUE"""),56607.0)</f>
        <v>56607</v>
      </c>
      <c r="Q858" s="20">
        <f>IFERROR(__xludf.DUMMYFUNCTION("""COMPUTED_VALUE"""),108770.0)</f>
        <v>108770</v>
      </c>
    </row>
    <row r="859">
      <c r="A859" s="20">
        <f>IFERROR(__xludf.DUMMYFUNCTION("""COMPUTED_VALUE"""),888.0)</f>
        <v>888</v>
      </c>
      <c r="B859" s="20" t="str">
        <f>IFERROR(__xludf.DUMMYFUNCTION("""COMPUTED_VALUE"""),"Mirror Reflection")</f>
        <v>Mirror Reflection</v>
      </c>
      <c r="C859" s="20" t="str">
        <f>IFERROR(__xludf.DUMMYFUNCTION("""COMPUTED_VALUE"""),"mirror-reflection")</f>
        <v>mirror-reflection</v>
      </c>
      <c r="D859" s="20" t="b">
        <f>IFERROR(__xludf.DUMMYFUNCTION("""COMPUTED_VALUE"""),FALSE)</f>
        <v>0</v>
      </c>
      <c r="E859" s="20" t="str">
        <f>IFERROR(__xludf.DUMMYFUNCTION("""COMPUTED_VALUE"""),"Medium")</f>
        <v>Medium</v>
      </c>
      <c r="F859" s="20">
        <f>IFERROR(__xludf.DUMMYFUNCTION("""COMPUTED_VALUE"""),1033.0)</f>
        <v>1033</v>
      </c>
      <c r="G859" s="20">
        <f>IFERROR(__xludf.DUMMYFUNCTION("""COMPUTED_VALUE"""),2475.0)</f>
        <v>2475</v>
      </c>
      <c r="H859" s="20" t="str">
        <f>IFERROR(__xludf.DUMMYFUNCTION("""COMPUTED_VALUE"""),"Algorithms")</f>
        <v>Algorithms</v>
      </c>
      <c r="I859" s="20">
        <f>IFERROR(__xludf.DUMMYFUNCTION("""COMPUTED_VALUE"""),0.633)</f>
        <v>0.633</v>
      </c>
      <c r="J859" s="20">
        <f>IFERROR(__xludf.DUMMYFUNCTION("""COMPUTED_VALUE"""),858.0)</f>
        <v>858</v>
      </c>
      <c r="K859" s="20" t="b">
        <f>IFERROR(__xludf.DUMMYFUNCTION("""COMPUTED_VALUE"""),FALSE)</f>
        <v>0</v>
      </c>
      <c r="L859" s="20" t="str">
        <f>IFERROR(__xludf.DUMMYFUNCTION("""COMPUTED_VALUE"""),"Math;Geometry;")</f>
        <v>Math;Geometry;</v>
      </c>
      <c r="M859" s="20" t="b">
        <f>IFERROR(__xludf.DUMMYFUNCTION("""COMPUTED_VALUE"""),FALSE)</f>
        <v>0</v>
      </c>
      <c r="N859" s="20" t="b">
        <f>IFERROR(__xludf.DUMMYFUNCTION("""COMPUTED_VALUE"""),FALSE)</f>
        <v>0</v>
      </c>
      <c r="O859" s="20">
        <f>IFERROR(__xludf.DUMMYFUNCTION("""COMPUTED_VALUE"""),63.3023562868169)</f>
        <v>63.30235629</v>
      </c>
      <c r="P859" s="20">
        <f>IFERROR(__xludf.DUMMYFUNCTION("""COMPUTED_VALUE"""),74793.0)</f>
        <v>74793</v>
      </c>
      <c r="Q859" s="20">
        <f>IFERROR(__xludf.DUMMYFUNCTION("""COMPUTED_VALUE"""),118152.0)</f>
        <v>118152</v>
      </c>
    </row>
    <row r="860">
      <c r="A860" s="20">
        <f>IFERROR(__xludf.DUMMYFUNCTION("""COMPUTED_VALUE"""),889.0)</f>
        <v>889</v>
      </c>
      <c r="B860" s="20" t="str">
        <f>IFERROR(__xludf.DUMMYFUNCTION("""COMPUTED_VALUE"""),"Buddy Strings")</f>
        <v>Buddy Strings</v>
      </c>
      <c r="C860" s="20" t="str">
        <f>IFERROR(__xludf.DUMMYFUNCTION("""COMPUTED_VALUE"""),"buddy-strings")</f>
        <v>buddy-strings</v>
      </c>
      <c r="D860" s="20" t="b">
        <f>IFERROR(__xludf.DUMMYFUNCTION("""COMPUTED_VALUE"""),FALSE)</f>
        <v>0</v>
      </c>
      <c r="E860" s="20" t="str">
        <f>IFERROR(__xludf.DUMMYFUNCTION("""COMPUTED_VALUE"""),"Easy")</f>
        <v>Easy</v>
      </c>
      <c r="F860" s="20">
        <f>IFERROR(__xludf.DUMMYFUNCTION("""COMPUTED_VALUE"""),1703.0)</f>
        <v>1703</v>
      </c>
      <c r="G860" s="20">
        <f>IFERROR(__xludf.DUMMYFUNCTION("""COMPUTED_VALUE"""),1082.0)</f>
        <v>1082</v>
      </c>
      <c r="H860" s="20" t="str">
        <f>IFERROR(__xludf.DUMMYFUNCTION("""COMPUTED_VALUE"""),"Algorithms")</f>
        <v>Algorithms</v>
      </c>
      <c r="I860" s="20">
        <f>IFERROR(__xludf.DUMMYFUNCTION("""COMPUTED_VALUE"""),0.291)</f>
        <v>0.291</v>
      </c>
      <c r="J860" s="20">
        <f>IFERROR(__xludf.DUMMYFUNCTION("""COMPUTED_VALUE"""),859.0)</f>
        <v>859</v>
      </c>
      <c r="K860" s="20" t="b">
        <f>IFERROR(__xludf.DUMMYFUNCTION("""COMPUTED_VALUE"""),FALSE)</f>
        <v>0</v>
      </c>
      <c r="L860" s="20" t="str">
        <f>IFERROR(__xludf.DUMMYFUNCTION("""COMPUTED_VALUE"""),"Hash Table;String;")</f>
        <v>Hash Table;String;</v>
      </c>
      <c r="M860" s="20" t="b">
        <f>IFERROR(__xludf.DUMMYFUNCTION("""COMPUTED_VALUE"""),TRUE)</f>
        <v>1</v>
      </c>
      <c r="N860" s="20" t="b">
        <f>IFERROR(__xludf.DUMMYFUNCTION("""COMPUTED_VALUE"""),FALSE)</f>
        <v>0</v>
      </c>
      <c r="O860" s="20">
        <f>IFERROR(__xludf.DUMMYFUNCTION("""COMPUTED_VALUE"""),29.1338075035354)</f>
        <v>29.1338075</v>
      </c>
      <c r="P860" s="20">
        <f>IFERROR(__xludf.DUMMYFUNCTION("""COMPUTED_VALUE"""),140086.0)</f>
        <v>140086</v>
      </c>
      <c r="Q860" s="20">
        <f>IFERROR(__xludf.DUMMYFUNCTION("""COMPUTED_VALUE"""),480838.0)</f>
        <v>480838</v>
      </c>
    </row>
    <row r="861">
      <c r="A861" s="20">
        <f>IFERROR(__xludf.DUMMYFUNCTION("""COMPUTED_VALUE"""),890.0)</f>
        <v>890</v>
      </c>
      <c r="B861" s="20" t="str">
        <f>IFERROR(__xludf.DUMMYFUNCTION("""COMPUTED_VALUE"""),"Lemonade Change")</f>
        <v>Lemonade Change</v>
      </c>
      <c r="C861" s="20" t="str">
        <f>IFERROR(__xludf.DUMMYFUNCTION("""COMPUTED_VALUE"""),"lemonade-change")</f>
        <v>lemonade-change</v>
      </c>
      <c r="D861" s="20" t="b">
        <f>IFERROR(__xludf.DUMMYFUNCTION("""COMPUTED_VALUE"""),FALSE)</f>
        <v>0</v>
      </c>
      <c r="E861" s="20" t="str">
        <f>IFERROR(__xludf.DUMMYFUNCTION("""COMPUTED_VALUE"""),"Easy")</f>
        <v>Easy</v>
      </c>
      <c r="F861" s="20">
        <f>IFERROR(__xludf.DUMMYFUNCTION("""COMPUTED_VALUE"""),1576.0)</f>
        <v>1576</v>
      </c>
      <c r="G861" s="20">
        <f>IFERROR(__xludf.DUMMYFUNCTION("""COMPUTED_VALUE"""),134.0)</f>
        <v>134</v>
      </c>
      <c r="H861" s="20" t="str">
        <f>IFERROR(__xludf.DUMMYFUNCTION("""COMPUTED_VALUE"""),"Algorithms")</f>
        <v>Algorithms</v>
      </c>
      <c r="I861" s="20">
        <f>IFERROR(__xludf.DUMMYFUNCTION("""COMPUTED_VALUE"""),0.528)</f>
        <v>0.528</v>
      </c>
      <c r="J861" s="20">
        <f>IFERROR(__xludf.DUMMYFUNCTION("""COMPUTED_VALUE"""),860.0)</f>
        <v>860</v>
      </c>
      <c r="K861" s="20" t="b">
        <f>IFERROR(__xludf.DUMMYFUNCTION("""COMPUTED_VALUE"""),FALSE)</f>
        <v>0</v>
      </c>
      <c r="L861" s="20" t="str">
        <f>IFERROR(__xludf.DUMMYFUNCTION("""COMPUTED_VALUE"""),"Array;Greedy;")</f>
        <v>Array;Greedy;</v>
      </c>
      <c r="M861" s="20" t="b">
        <f>IFERROR(__xludf.DUMMYFUNCTION("""COMPUTED_VALUE"""),TRUE)</f>
        <v>1</v>
      </c>
      <c r="N861" s="20" t="b">
        <f>IFERROR(__xludf.DUMMYFUNCTION("""COMPUTED_VALUE"""),FALSE)</f>
        <v>0</v>
      </c>
      <c r="O861" s="20">
        <f>IFERROR(__xludf.DUMMYFUNCTION("""COMPUTED_VALUE"""),52.8290715980498)</f>
        <v>52.8290716</v>
      </c>
      <c r="P861" s="20">
        <f>IFERROR(__xludf.DUMMYFUNCTION("""COMPUTED_VALUE"""),117783.0)</f>
        <v>117783</v>
      </c>
      <c r="Q861" s="20">
        <f>IFERROR(__xludf.DUMMYFUNCTION("""COMPUTED_VALUE"""),222951.0)</f>
        <v>222951</v>
      </c>
    </row>
    <row r="862">
      <c r="A862" s="20">
        <f>IFERROR(__xludf.DUMMYFUNCTION("""COMPUTED_VALUE"""),891.0)</f>
        <v>891</v>
      </c>
      <c r="B862" s="20" t="str">
        <f>IFERROR(__xludf.DUMMYFUNCTION("""COMPUTED_VALUE"""),"Score After Flipping Matrix")</f>
        <v>Score After Flipping Matrix</v>
      </c>
      <c r="C862" s="20" t="str">
        <f>IFERROR(__xludf.DUMMYFUNCTION("""COMPUTED_VALUE"""),"score-after-flipping-matrix")</f>
        <v>score-after-flipping-matrix</v>
      </c>
      <c r="D862" s="20" t="b">
        <f>IFERROR(__xludf.DUMMYFUNCTION("""COMPUTED_VALUE"""),FALSE)</f>
        <v>0</v>
      </c>
      <c r="E862" s="20" t="str">
        <f>IFERROR(__xludf.DUMMYFUNCTION("""COMPUTED_VALUE"""),"Medium")</f>
        <v>Medium</v>
      </c>
      <c r="F862" s="20">
        <f>IFERROR(__xludf.DUMMYFUNCTION("""COMPUTED_VALUE"""),1295.0)</f>
        <v>1295</v>
      </c>
      <c r="G862" s="20">
        <f>IFERROR(__xludf.DUMMYFUNCTION("""COMPUTED_VALUE"""),170.0)</f>
        <v>170</v>
      </c>
      <c r="H862" s="20" t="str">
        <f>IFERROR(__xludf.DUMMYFUNCTION("""COMPUTED_VALUE"""),"Algorithms")</f>
        <v>Algorithms</v>
      </c>
      <c r="I862" s="20">
        <f>IFERROR(__xludf.DUMMYFUNCTION("""COMPUTED_VALUE"""),0.751)</f>
        <v>0.751</v>
      </c>
      <c r="J862" s="20">
        <f>IFERROR(__xludf.DUMMYFUNCTION("""COMPUTED_VALUE"""),861.0)</f>
        <v>861</v>
      </c>
      <c r="K862" s="20" t="b">
        <f>IFERROR(__xludf.DUMMYFUNCTION("""COMPUTED_VALUE"""),FALSE)</f>
        <v>0</v>
      </c>
      <c r="L862" s="20" t="str">
        <f>IFERROR(__xludf.DUMMYFUNCTION("""COMPUTED_VALUE"""),"Array;Greedy;Bit Manipulation;Matrix;")</f>
        <v>Array;Greedy;Bit Manipulation;Matrix;</v>
      </c>
      <c r="M862" s="20" t="b">
        <f>IFERROR(__xludf.DUMMYFUNCTION("""COMPUTED_VALUE"""),TRUE)</f>
        <v>1</v>
      </c>
      <c r="N862" s="20" t="b">
        <f>IFERROR(__xludf.DUMMYFUNCTION("""COMPUTED_VALUE"""),FALSE)</f>
        <v>0</v>
      </c>
      <c r="O862" s="20">
        <f>IFERROR(__xludf.DUMMYFUNCTION("""COMPUTED_VALUE"""),75.0536653938944)</f>
        <v>75.05366539</v>
      </c>
      <c r="P862" s="20">
        <f>IFERROR(__xludf.DUMMYFUNCTION("""COMPUTED_VALUE"""),39509.0)</f>
        <v>39509</v>
      </c>
      <c r="Q862" s="20">
        <f>IFERROR(__xludf.DUMMYFUNCTION("""COMPUTED_VALUE"""),52641.0)</f>
        <v>52641</v>
      </c>
    </row>
    <row r="863">
      <c r="A863" s="20">
        <f>IFERROR(__xludf.DUMMYFUNCTION("""COMPUTED_VALUE"""),892.0)</f>
        <v>892</v>
      </c>
      <c r="B863" s="20" t="str">
        <f>IFERROR(__xludf.DUMMYFUNCTION("""COMPUTED_VALUE"""),"Shortest Subarray with Sum at Least K")</f>
        <v>Shortest Subarray with Sum at Least K</v>
      </c>
      <c r="C863" s="20" t="str">
        <f>IFERROR(__xludf.DUMMYFUNCTION("""COMPUTED_VALUE"""),"shortest-subarray-with-sum-at-least-k")</f>
        <v>shortest-subarray-with-sum-at-least-k</v>
      </c>
      <c r="D863" s="20" t="b">
        <f>IFERROR(__xludf.DUMMYFUNCTION("""COMPUTED_VALUE"""),FALSE)</f>
        <v>0</v>
      </c>
      <c r="E863" s="20" t="str">
        <f>IFERROR(__xludf.DUMMYFUNCTION("""COMPUTED_VALUE"""),"Hard")</f>
        <v>Hard</v>
      </c>
      <c r="F863" s="20">
        <f>IFERROR(__xludf.DUMMYFUNCTION("""COMPUTED_VALUE"""),3525.0)</f>
        <v>3525</v>
      </c>
      <c r="G863" s="20">
        <f>IFERROR(__xludf.DUMMYFUNCTION("""COMPUTED_VALUE"""),93.0)</f>
        <v>93</v>
      </c>
      <c r="H863" s="20" t="str">
        <f>IFERROR(__xludf.DUMMYFUNCTION("""COMPUTED_VALUE"""),"Algorithms")</f>
        <v>Algorithms</v>
      </c>
      <c r="I863" s="20">
        <f>IFERROR(__xludf.DUMMYFUNCTION("""COMPUTED_VALUE"""),0.261)</f>
        <v>0.261</v>
      </c>
      <c r="J863" s="20">
        <f>IFERROR(__xludf.DUMMYFUNCTION("""COMPUTED_VALUE"""),862.0)</f>
        <v>862</v>
      </c>
      <c r="K863" s="20" t="b">
        <f>IFERROR(__xludf.DUMMYFUNCTION("""COMPUTED_VALUE"""),FALSE)</f>
        <v>0</v>
      </c>
      <c r="L863" s="20" t="str">
        <f>IFERROR(__xludf.DUMMYFUNCTION("""COMPUTED_VALUE"""),"Array;Binary Search;Queue;Sliding Window;Heap (Priority Queue);Prefix Sum;Monotonic Queue;")</f>
        <v>Array;Binary Search;Queue;Sliding Window;Heap (Priority Queue);Prefix Sum;Monotonic Queue;</v>
      </c>
      <c r="M863" s="20" t="b">
        <f>IFERROR(__xludf.DUMMYFUNCTION("""COMPUTED_VALUE"""),TRUE)</f>
        <v>1</v>
      </c>
      <c r="N863" s="20" t="b">
        <f>IFERROR(__xludf.DUMMYFUNCTION("""COMPUTED_VALUE"""),FALSE)</f>
        <v>0</v>
      </c>
      <c r="O863" s="20">
        <f>IFERROR(__xludf.DUMMYFUNCTION("""COMPUTED_VALUE"""),26.0888557290072)</f>
        <v>26.08885573</v>
      </c>
      <c r="P863" s="20">
        <f>IFERROR(__xludf.DUMMYFUNCTION("""COMPUTED_VALUE"""),81823.0)</f>
        <v>81823</v>
      </c>
      <c r="Q863" s="20">
        <f>IFERROR(__xludf.DUMMYFUNCTION("""COMPUTED_VALUE"""),313632.0)</f>
        <v>313632</v>
      </c>
    </row>
    <row r="864">
      <c r="A864" s="20">
        <f>IFERROR(__xludf.DUMMYFUNCTION("""COMPUTED_VALUE"""),893.0)</f>
        <v>893</v>
      </c>
      <c r="B864" s="20" t="str">
        <f>IFERROR(__xludf.DUMMYFUNCTION("""COMPUTED_VALUE"""),"All Nodes Distance K in Binary Tree")</f>
        <v>All Nodes Distance K in Binary Tree</v>
      </c>
      <c r="C864" s="20" t="str">
        <f>IFERROR(__xludf.DUMMYFUNCTION("""COMPUTED_VALUE"""),"all-nodes-distance-k-in-binary-tree")</f>
        <v>all-nodes-distance-k-in-binary-tree</v>
      </c>
      <c r="D864" s="20" t="b">
        <f>IFERROR(__xludf.DUMMYFUNCTION("""COMPUTED_VALUE"""),FALSE)</f>
        <v>0</v>
      </c>
      <c r="E864" s="20" t="str">
        <f>IFERROR(__xludf.DUMMYFUNCTION("""COMPUTED_VALUE"""),"Medium")</f>
        <v>Medium</v>
      </c>
      <c r="F864" s="20">
        <f>IFERROR(__xludf.DUMMYFUNCTION("""COMPUTED_VALUE"""),7890.0)</f>
        <v>7890</v>
      </c>
      <c r="G864" s="20">
        <f>IFERROR(__xludf.DUMMYFUNCTION("""COMPUTED_VALUE"""),156.0)</f>
        <v>156</v>
      </c>
      <c r="H864" s="20" t="str">
        <f>IFERROR(__xludf.DUMMYFUNCTION("""COMPUTED_VALUE"""),"Algorithms")</f>
        <v>Algorithms</v>
      </c>
      <c r="I864" s="20">
        <f>IFERROR(__xludf.DUMMYFUNCTION("""COMPUTED_VALUE"""),0.622)</f>
        <v>0.622</v>
      </c>
      <c r="J864" s="20">
        <f>IFERROR(__xludf.DUMMYFUNCTION("""COMPUTED_VALUE"""),863.0)</f>
        <v>863</v>
      </c>
      <c r="K864" s="20" t="b">
        <f>IFERROR(__xludf.DUMMYFUNCTION("""COMPUTED_VALUE"""),FALSE)</f>
        <v>0</v>
      </c>
      <c r="L864" s="20" t="str">
        <f>IFERROR(__xludf.DUMMYFUNCTION("""COMPUTED_VALUE"""),"Tree;Depth-First Search;Breadth-First Search;Binary Tree;")</f>
        <v>Tree;Depth-First Search;Breadth-First Search;Binary Tree;</v>
      </c>
      <c r="M864" s="20" t="b">
        <f>IFERROR(__xludf.DUMMYFUNCTION("""COMPUTED_VALUE"""),TRUE)</f>
        <v>1</v>
      </c>
      <c r="N864" s="20" t="b">
        <f>IFERROR(__xludf.DUMMYFUNCTION("""COMPUTED_VALUE"""),FALSE)</f>
        <v>0</v>
      </c>
      <c r="O864" s="20">
        <f>IFERROR(__xludf.DUMMYFUNCTION("""COMPUTED_VALUE"""),62.1764297793001)</f>
        <v>62.17642978</v>
      </c>
      <c r="P864" s="20">
        <f>IFERROR(__xludf.DUMMYFUNCTION("""COMPUTED_VALUE"""),286793.0)</f>
        <v>286793</v>
      </c>
      <c r="Q864" s="20">
        <f>IFERROR(__xludf.DUMMYFUNCTION("""COMPUTED_VALUE"""),461257.0)</f>
        <v>461257</v>
      </c>
    </row>
    <row r="865">
      <c r="A865" s="20">
        <f>IFERROR(__xludf.DUMMYFUNCTION("""COMPUTED_VALUE"""),895.0)</f>
        <v>895</v>
      </c>
      <c r="B865" s="20" t="str">
        <f>IFERROR(__xludf.DUMMYFUNCTION("""COMPUTED_VALUE"""),"Shortest Path to Get All Keys")</f>
        <v>Shortest Path to Get All Keys</v>
      </c>
      <c r="C865" s="20" t="str">
        <f>IFERROR(__xludf.DUMMYFUNCTION("""COMPUTED_VALUE"""),"shortest-path-to-get-all-keys")</f>
        <v>shortest-path-to-get-all-keys</v>
      </c>
      <c r="D865" s="20" t="b">
        <f>IFERROR(__xludf.DUMMYFUNCTION("""COMPUTED_VALUE"""),FALSE)</f>
        <v>0</v>
      </c>
      <c r="E865" s="20" t="str">
        <f>IFERROR(__xludf.DUMMYFUNCTION("""COMPUTED_VALUE"""),"Hard")</f>
        <v>Hard</v>
      </c>
      <c r="F865" s="20">
        <f>IFERROR(__xludf.DUMMYFUNCTION("""COMPUTED_VALUE"""),924.0)</f>
        <v>924</v>
      </c>
      <c r="G865" s="20">
        <f>IFERROR(__xludf.DUMMYFUNCTION("""COMPUTED_VALUE"""),39.0)</f>
        <v>39</v>
      </c>
      <c r="H865" s="20" t="str">
        <f>IFERROR(__xludf.DUMMYFUNCTION("""COMPUTED_VALUE"""),"Algorithms")</f>
        <v>Algorithms</v>
      </c>
      <c r="I865" s="20">
        <f>IFERROR(__xludf.DUMMYFUNCTION("""COMPUTED_VALUE"""),0.455)</f>
        <v>0.455</v>
      </c>
      <c r="J865" s="20">
        <f>IFERROR(__xludf.DUMMYFUNCTION("""COMPUTED_VALUE"""),864.0)</f>
        <v>864</v>
      </c>
      <c r="K865" s="20" t="b">
        <f>IFERROR(__xludf.DUMMYFUNCTION("""COMPUTED_VALUE"""),FALSE)</f>
        <v>0</v>
      </c>
      <c r="L865" s="20" t="str">
        <f>IFERROR(__xludf.DUMMYFUNCTION("""COMPUTED_VALUE"""),"Array;Bit Manipulation;Breadth-First Search;Matrix;")</f>
        <v>Array;Bit Manipulation;Breadth-First Search;Matrix;</v>
      </c>
      <c r="M865" s="20" t="b">
        <f>IFERROR(__xludf.DUMMYFUNCTION("""COMPUTED_VALUE"""),FALSE)</f>
        <v>0</v>
      </c>
      <c r="N865" s="20" t="b">
        <f>IFERROR(__xludf.DUMMYFUNCTION("""COMPUTED_VALUE"""),FALSE)</f>
        <v>0</v>
      </c>
      <c r="O865" s="20">
        <f>IFERROR(__xludf.DUMMYFUNCTION("""COMPUTED_VALUE"""),45.539468988098)</f>
        <v>45.53946899</v>
      </c>
      <c r="P865" s="20">
        <f>IFERROR(__xludf.DUMMYFUNCTION("""COMPUTED_VALUE"""),29347.0)</f>
        <v>29347</v>
      </c>
      <c r="Q865" s="20">
        <f>IFERROR(__xludf.DUMMYFUNCTION("""COMPUTED_VALUE"""),64443.0)</f>
        <v>64443</v>
      </c>
    </row>
    <row r="866">
      <c r="A866" s="20">
        <f>IFERROR(__xludf.DUMMYFUNCTION("""COMPUTED_VALUE"""),896.0)</f>
        <v>896</v>
      </c>
      <c r="B866" s="20" t="str">
        <f>IFERROR(__xludf.DUMMYFUNCTION("""COMPUTED_VALUE"""),"Smallest Subtree with all the Deepest Nodes")</f>
        <v>Smallest Subtree with all the Deepest Nodes</v>
      </c>
      <c r="C866" s="20" t="str">
        <f>IFERROR(__xludf.DUMMYFUNCTION("""COMPUTED_VALUE"""),"smallest-subtree-with-all-the-deepest-nodes")</f>
        <v>smallest-subtree-with-all-the-deepest-nodes</v>
      </c>
      <c r="D866" s="20" t="b">
        <f>IFERROR(__xludf.DUMMYFUNCTION("""COMPUTED_VALUE"""),FALSE)</f>
        <v>0</v>
      </c>
      <c r="E866" s="20" t="str">
        <f>IFERROR(__xludf.DUMMYFUNCTION("""COMPUTED_VALUE"""),"Medium")</f>
        <v>Medium</v>
      </c>
      <c r="F866" s="20">
        <f>IFERROR(__xludf.DUMMYFUNCTION("""COMPUTED_VALUE"""),2270.0)</f>
        <v>2270</v>
      </c>
      <c r="G866" s="20">
        <f>IFERROR(__xludf.DUMMYFUNCTION("""COMPUTED_VALUE"""),342.0)</f>
        <v>342</v>
      </c>
      <c r="H866" s="20" t="str">
        <f>IFERROR(__xludf.DUMMYFUNCTION("""COMPUTED_VALUE"""),"Algorithms")</f>
        <v>Algorithms</v>
      </c>
      <c r="I866" s="20">
        <f>IFERROR(__xludf.DUMMYFUNCTION("""COMPUTED_VALUE"""),0.687)</f>
        <v>0.687</v>
      </c>
      <c r="J866" s="20">
        <f>IFERROR(__xludf.DUMMYFUNCTION("""COMPUTED_VALUE"""),865.0)</f>
        <v>865</v>
      </c>
      <c r="K866" s="20" t="b">
        <f>IFERROR(__xludf.DUMMYFUNCTION("""COMPUTED_VALUE"""),FALSE)</f>
        <v>0</v>
      </c>
      <c r="L866" s="20" t="str">
        <f>IFERROR(__xludf.DUMMYFUNCTION("""COMPUTED_VALUE"""),"Hash Table;Tree;Depth-First Search;Breadth-First Search;Binary Tree;")</f>
        <v>Hash Table;Tree;Depth-First Search;Breadth-First Search;Binary Tree;</v>
      </c>
      <c r="M866" s="20" t="b">
        <f>IFERROR(__xludf.DUMMYFUNCTION("""COMPUTED_VALUE"""),TRUE)</f>
        <v>1</v>
      </c>
      <c r="N866" s="20" t="b">
        <f>IFERROR(__xludf.DUMMYFUNCTION("""COMPUTED_VALUE"""),FALSE)</f>
        <v>0</v>
      </c>
      <c r="O866" s="20">
        <f>IFERROR(__xludf.DUMMYFUNCTION("""COMPUTED_VALUE"""),68.6996610663654)</f>
        <v>68.69966107</v>
      </c>
      <c r="P866" s="20">
        <f>IFERROR(__xludf.DUMMYFUNCTION("""COMPUTED_VALUE"""),113102.0)</f>
        <v>113102</v>
      </c>
      <c r="Q866" s="20">
        <f>IFERROR(__xludf.DUMMYFUNCTION("""COMPUTED_VALUE"""),164633.0)</f>
        <v>164633</v>
      </c>
    </row>
    <row r="867">
      <c r="A867" s="20">
        <f>IFERROR(__xludf.DUMMYFUNCTION("""COMPUTED_VALUE"""),897.0)</f>
        <v>897</v>
      </c>
      <c r="B867" s="20" t="str">
        <f>IFERROR(__xludf.DUMMYFUNCTION("""COMPUTED_VALUE"""),"Prime Palindrome")</f>
        <v>Prime Palindrome</v>
      </c>
      <c r="C867" s="20" t="str">
        <f>IFERROR(__xludf.DUMMYFUNCTION("""COMPUTED_VALUE"""),"prime-palindrome")</f>
        <v>prime-palindrome</v>
      </c>
      <c r="D867" s="20" t="b">
        <f>IFERROR(__xludf.DUMMYFUNCTION("""COMPUTED_VALUE"""),FALSE)</f>
        <v>0</v>
      </c>
      <c r="E867" s="20" t="str">
        <f>IFERROR(__xludf.DUMMYFUNCTION("""COMPUTED_VALUE"""),"Medium")</f>
        <v>Medium</v>
      </c>
      <c r="F867" s="20">
        <f>IFERROR(__xludf.DUMMYFUNCTION("""COMPUTED_VALUE"""),357.0)</f>
        <v>357</v>
      </c>
      <c r="G867" s="20">
        <f>IFERROR(__xludf.DUMMYFUNCTION("""COMPUTED_VALUE"""),750.0)</f>
        <v>750</v>
      </c>
      <c r="H867" s="20" t="str">
        <f>IFERROR(__xludf.DUMMYFUNCTION("""COMPUTED_VALUE"""),"Algorithms")</f>
        <v>Algorithms</v>
      </c>
      <c r="I867" s="20">
        <f>IFERROR(__xludf.DUMMYFUNCTION("""COMPUTED_VALUE"""),0.258)</f>
        <v>0.258</v>
      </c>
      <c r="J867" s="20">
        <f>IFERROR(__xludf.DUMMYFUNCTION("""COMPUTED_VALUE"""),866.0)</f>
        <v>866</v>
      </c>
      <c r="K867" s="20" t="b">
        <f>IFERROR(__xludf.DUMMYFUNCTION("""COMPUTED_VALUE"""),FALSE)</f>
        <v>0</v>
      </c>
      <c r="L867" s="20" t="str">
        <f>IFERROR(__xludf.DUMMYFUNCTION("""COMPUTED_VALUE"""),"Math;")</f>
        <v>Math;</v>
      </c>
      <c r="M867" s="20" t="b">
        <f>IFERROR(__xludf.DUMMYFUNCTION("""COMPUTED_VALUE"""),TRUE)</f>
        <v>1</v>
      </c>
      <c r="N867" s="20" t="b">
        <f>IFERROR(__xludf.DUMMYFUNCTION("""COMPUTED_VALUE"""),FALSE)</f>
        <v>0</v>
      </c>
      <c r="O867" s="20">
        <f>IFERROR(__xludf.DUMMYFUNCTION("""COMPUTED_VALUE"""),25.7942696101456)</f>
        <v>25.79426961</v>
      </c>
      <c r="P867" s="20">
        <f>IFERROR(__xludf.DUMMYFUNCTION("""COMPUTED_VALUE"""),27458.0)</f>
        <v>27458</v>
      </c>
      <c r="Q867" s="20">
        <f>IFERROR(__xludf.DUMMYFUNCTION("""COMPUTED_VALUE"""),106450.0)</f>
        <v>106450</v>
      </c>
    </row>
    <row r="868">
      <c r="A868" s="20">
        <f>IFERROR(__xludf.DUMMYFUNCTION("""COMPUTED_VALUE"""),898.0)</f>
        <v>898</v>
      </c>
      <c r="B868" s="20" t="str">
        <f>IFERROR(__xludf.DUMMYFUNCTION("""COMPUTED_VALUE"""),"Transpose Matrix")</f>
        <v>Transpose Matrix</v>
      </c>
      <c r="C868" s="20" t="str">
        <f>IFERROR(__xludf.DUMMYFUNCTION("""COMPUTED_VALUE"""),"transpose-matrix")</f>
        <v>transpose-matrix</v>
      </c>
      <c r="D868" s="20" t="b">
        <f>IFERROR(__xludf.DUMMYFUNCTION("""COMPUTED_VALUE"""),FALSE)</f>
        <v>0</v>
      </c>
      <c r="E868" s="20" t="str">
        <f>IFERROR(__xludf.DUMMYFUNCTION("""COMPUTED_VALUE"""),"Easy")</f>
        <v>Easy</v>
      </c>
      <c r="F868" s="20">
        <f>IFERROR(__xludf.DUMMYFUNCTION("""COMPUTED_VALUE"""),2551.0)</f>
        <v>2551</v>
      </c>
      <c r="G868" s="20">
        <f>IFERROR(__xludf.DUMMYFUNCTION("""COMPUTED_VALUE"""),416.0)</f>
        <v>416</v>
      </c>
      <c r="H868" s="20" t="str">
        <f>IFERROR(__xludf.DUMMYFUNCTION("""COMPUTED_VALUE"""),"Algorithms")</f>
        <v>Algorithms</v>
      </c>
      <c r="I868" s="20">
        <f>IFERROR(__xludf.DUMMYFUNCTION("""COMPUTED_VALUE"""),0.636)</f>
        <v>0.636</v>
      </c>
      <c r="J868" s="20">
        <f>IFERROR(__xludf.DUMMYFUNCTION("""COMPUTED_VALUE"""),867.0)</f>
        <v>867</v>
      </c>
      <c r="K868" s="20" t="b">
        <f>IFERROR(__xludf.DUMMYFUNCTION("""COMPUTED_VALUE"""),FALSE)</f>
        <v>0</v>
      </c>
      <c r="L868" s="20" t="str">
        <f>IFERROR(__xludf.DUMMYFUNCTION("""COMPUTED_VALUE"""),"Array;Matrix;Simulation;")</f>
        <v>Array;Matrix;Simulation;</v>
      </c>
      <c r="M868" s="20" t="b">
        <f>IFERROR(__xludf.DUMMYFUNCTION("""COMPUTED_VALUE"""),TRUE)</f>
        <v>1</v>
      </c>
      <c r="N868" s="20" t="b">
        <f>IFERROR(__xludf.DUMMYFUNCTION("""COMPUTED_VALUE"""),FALSE)</f>
        <v>0</v>
      </c>
      <c r="O868" s="20">
        <f>IFERROR(__xludf.DUMMYFUNCTION("""COMPUTED_VALUE"""),63.6489535603371)</f>
        <v>63.64895356</v>
      </c>
      <c r="P868" s="20">
        <f>IFERROR(__xludf.DUMMYFUNCTION("""COMPUTED_VALUE"""),229335.0)</f>
        <v>229335</v>
      </c>
      <c r="Q868" s="20">
        <f>IFERROR(__xludf.DUMMYFUNCTION("""COMPUTED_VALUE"""),360314.0)</f>
        <v>360314</v>
      </c>
    </row>
    <row r="869">
      <c r="A869" s="20">
        <f>IFERROR(__xludf.DUMMYFUNCTION("""COMPUTED_VALUE"""),899.0)</f>
        <v>899</v>
      </c>
      <c r="B869" s="20" t="str">
        <f>IFERROR(__xludf.DUMMYFUNCTION("""COMPUTED_VALUE"""),"Binary Gap")</f>
        <v>Binary Gap</v>
      </c>
      <c r="C869" s="20" t="str">
        <f>IFERROR(__xludf.DUMMYFUNCTION("""COMPUTED_VALUE"""),"binary-gap")</f>
        <v>binary-gap</v>
      </c>
      <c r="D869" s="20" t="b">
        <f>IFERROR(__xludf.DUMMYFUNCTION("""COMPUTED_VALUE"""),FALSE)</f>
        <v>0</v>
      </c>
      <c r="E869" s="20" t="str">
        <f>IFERROR(__xludf.DUMMYFUNCTION("""COMPUTED_VALUE"""),"Easy")</f>
        <v>Easy</v>
      </c>
      <c r="F869" s="20">
        <f>IFERROR(__xludf.DUMMYFUNCTION("""COMPUTED_VALUE"""),498.0)</f>
        <v>498</v>
      </c>
      <c r="G869" s="20">
        <f>IFERROR(__xludf.DUMMYFUNCTION("""COMPUTED_VALUE"""),622.0)</f>
        <v>622</v>
      </c>
      <c r="H869" s="20" t="str">
        <f>IFERROR(__xludf.DUMMYFUNCTION("""COMPUTED_VALUE"""),"Algorithms")</f>
        <v>Algorithms</v>
      </c>
      <c r="I869" s="20">
        <f>IFERROR(__xludf.DUMMYFUNCTION("""COMPUTED_VALUE"""),0.62)</f>
        <v>0.62</v>
      </c>
      <c r="J869" s="20">
        <f>IFERROR(__xludf.DUMMYFUNCTION("""COMPUTED_VALUE"""),868.0)</f>
        <v>868</v>
      </c>
      <c r="K869" s="20" t="b">
        <f>IFERROR(__xludf.DUMMYFUNCTION("""COMPUTED_VALUE"""),FALSE)</f>
        <v>0</v>
      </c>
      <c r="L869" s="20" t="str">
        <f>IFERROR(__xludf.DUMMYFUNCTION("""COMPUTED_VALUE"""),"Bit Manipulation;")</f>
        <v>Bit Manipulation;</v>
      </c>
      <c r="M869" s="20" t="b">
        <f>IFERROR(__xludf.DUMMYFUNCTION("""COMPUTED_VALUE"""),TRUE)</f>
        <v>1</v>
      </c>
      <c r="N869" s="20" t="b">
        <f>IFERROR(__xludf.DUMMYFUNCTION("""COMPUTED_VALUE"""),FALSE)</f>
        <v>0</v>
      </c>
      <c r="O869" s="20">
        <f>IFERROR(__xludf.DUMMYFUNCTION("""COMPUTED_VALUE"""),62.0325279684121)</f>
        <v>62.03252797</v>
      </c>
      <c r="P869" s="20">
        <f>IFERROR(__xludf.DUMMYFUNCTION("""COMPUTED_VALUE"""),65983.0)</f>
        <v>65983</v>
      </c>
      <c r="Q869" s="20">
        <f>IFERROR(__xludf.DUMMYFUNCTION("""COMPUTED_VALUE"""),106365.0)</f>
        <v>106365</v>
      </c>
    </row>
    <row r="870">
      <c r="A870" s="20">
        <f>IFERROR(__xludf.DUMMYFUNCTION("""COMPUTED_VALUE"""),900.0)</f>
        <v>900</v>
      </c>
      <c r="B870" s="20" t="str">
        <f>IFERROR(__xludf.DUMMYFUNCTION("""COMPUTED_VALUE"""),"Reordered Power of 2")</f>
        <v>Reordered Power of 2</v>
      </c>
      <c r="C870" s="20" t="str">
        <f>IFERROR(__xludf.DUMMYFUNCTION("""COMPUTED_VALUE"""),"reordered-power-of-2")</f>
        <v>reordered-power-of-2</v>
      </c>
      <c r="D870" s="20" t="b">
        <f>IFERROR(__xludf.DUMMYFUNCTION("""COMPUTED_VALUE"""),FALSE)</f>
        <v>0</v>
      </c>
      <c r="E870" s="20" t="str">
        <f>IFERROR(__xludf.DUMMYFUNCTION("""COMPUTED_VALUE"""),"Medium")</f>
        <v>Medium</v>
      </c>
      <c r="F870" s="20">
        <f>IFERROR(__xludf.DUMMYFUNCTION("""COMPUTED_VALUE"""),1964.0)</f>
        <v>1964</v>
      </c>
      <c r="G870" s="20">
        <f>IFERROR(__xludf.DUMMYFUNCTION("""COMPUTED_VALUE"""),405.0)</f>
        <v>405</v>
      </c>
      <c r="H870" s="20" t="str">
        <f>IFERROR(__xludf.DUMMYFUNCTION("""COMPUTED_VALUE"""),"Algorithms")</f>
        <v>Algorithms</v>
      </c>
      <c r="I870" s="20">
        <f>IFERROR(__xludf.DUMMYFUNCTION("""COMPUTED_VALUE"""),0.639)</f>
        <v>0.639</v>
      </c>
      <c r="J870" s="20">
        <f>IFERROR(__xludf.DUMMYFUNCTION("""COMPUTED_VALUE"""),869.0)</f>
        <v>869</v>
      </c>
      <c r="K870" s="20" t="b">
        <f>IFERROR(__xludf.DUMMYFUNCTION("""COMPUTED_VALUE"""),FALSE)</f>
        <v>0</v>
      </c>
      <c r="L870" s="20" t="str">
        <f>IFERROR(__xludf.DUMMYFUNCTION("""COMPUTED_VALUE"""),"Math;Sorting;Counting;Enumeration;")</f>
        <v>Math;Sorting;Counting;Enumeration;</v>
      </c>
      <c r="M870" s="20" t="b">
        <f>IFERROR(__xludf.DUMMYFUNCTION("""COMPUTED_VALUE"""),TRUE)</f>
        <v>1</v>
      </c>
      <c r="N870" s="20" t="b">
        <f>IFERROR(__xludf.DUMMYFUNCTION("""COMPUTED_VALUE"""),FALSE)</f>
        <v>0</v>
      </c>
      <c r="O870" s="20">
        <f>IFERROR(__xludf.DUMMYFUNCTION("""COMPUTED_VALUE"""),63.8502325524241)</f>
        <v>63.85023255</v>
      </c>
      <c r="P870" s="20">
        <f>IFERROR(__xludf.DUMMYFUNCTION("""COMPUTED_VALUE"""),103921.0)</f>
        <v>103921</v>
      </c>
      <c r="Q870" s="20">
        <f>IFERROR(__xludf.DUMMYFUNCTION("""COMPUTED_VALUE"""),162758.0)</f>
        <v>162758</v>
      </c>
    </row>
    <row r="871">
      <c r="A871" s="20">
        <f>IFERROR(__xludf.DUMMYFUNCTION("""COMPUTED_VALUE"""),901.0)</f>
        <v>901</v>
      </c>
      <c r="B871" s="20" t="str">
        <f>IFERROR(__xludf.DUMMYFUNCTION("""COMPUTED_VALUE"""),"Advantage Shuffle")</f>
        <v>Advantage Shuffle</v>
      </c>
      <c r="C871" s="20" t="str">
        <f>IFERROR(__xludf.DUMMYFUNCTION("""COMPUTED_VALUE"""),"advantage-shuffle")</f>
        <v>advantage-shuffle</v>
      </c>
      <c r="D871" s="20" t="b">
        <f>IFERROR(__xludf.DUMMYFUNCTION("""COMPUTED_VALUE"""),FALSE)</f>
        <v>0</v>
      </c>
      <c r="E871" s="20" t="str">
        <f>IFERROR(__xludf.DUMMYFUNCTION("""COMPUTED_VALUE"""),"Medium")</f>
        <v>Medium</v>
      </c>
      <c r="F871" s="20">
        <f>IFERROR(__xludf.DUMMYFUNCTION("""COMPUTED_VALUE"""),1415.0)</f>
        <v>1415</v>
      </c>
      <c r="G871" s="20">
        <f>IFERROR(__xludf.DUMMYFUNCTION("""COMPUTED_VALUE"""),89.0)</f>
        <v>89</v>
      </c>
      <c r="H871" s="20" t="str">
        <f>IFERROR(__xludf.DUMMYFUNCTION("""COMPUTED_VALUE"""),"Algorithms")</f>
        <v>Algorithms</v>
      </c>
      <c r="I871" s="20">
        <f>IFERROR(__xludf.DUMMYFUNCTION("""COMPUTED_VALUE"""),0.518)</f>
        <v>0.518</v>
      </c>
      <c r="J871" s="20">
        <f>IFERROR(__xludf.DUMMYFUNCTION("""COMPUTED_VALUE"""),870.0)</f>
        <v>870</v>
      </c>
      <c r="K871" s="20" t="b">
        <f>IFERROR(__xludf.DUMMYFUNCTION("""COMPUTED_VALUE"""),FALSE)</f>
        <v>0</v>
      </c>
      <c r="L871" s="20" t="str">
        <f>IFERROR(__xludf.DUMMYFUNCTION("""COMPUTED_VALUE"""),"Array;Two Pointers;Greedy;Sorting;")</f>
        <v>Array;Two Pointers;Greedy;Sorting;</v>
      </c>
      <c r="M871" s="20" t="b">
        <f>IFERROR(__xludf.DUMMYFUNCTION("""COMPUTED_VALUE"""),TRUE)</f>
        <v>1</v>
      </c>
      <c r="N871" s="20" t="b">
        <f>IFERROR(__xludf.DUMMYFUNCTION("""COMPUTED_VALUE"""),FALSE)</f>
        <v>0</v>
      </c>
      <c r="O871" s="20">
        <f>IFERROR(__xludf.DUMMYFUNCTION("""COMPUTED_VALUE"""),51.7638328135629)</f>
        <v>51.76383281</v>
      </c>
      <c r="P871" s="20">
        <f>IFERROR(__xludf.DUMMYFUNCTION("""COMPUTED_VALUE"""),58592.0)</f>
        <v>58592</v>
      </c>
      <c r="Q871" s="20">
        <f>IFERROR(__xludf.DUMMYFUNCTION("""COMPUTED_VALUE"""),113191.0)</f>
        <v>113191</v>
      </c>
    </row>
    <row r="872">
      <c r="A872" s="20">
        <f>IFERROR(__xludf.DUMMYFUNCTION("""COMPUTED_VALUE"""),902.0)</f>
        <v>902</v>
      </c>
      <c r="B872" s="20" t="str">
        <f>IFERROR(__xludf.DUMMYFUNCTION("""COMPUTED_VALUE"""),"Minimum Number of Refueling Stops")</f>
        <v>Minimum Number of Refueling Stops</v>
      </c>
      <c r="C872" s="20" t="str">
        <f>IFERROR(__xludf.DUMMYFUNCTION("""COMPUTED_VALUE"""),"minimum-number-of-refueling-stops")</f>
        <v>minimum-number-of-refueling-stops</v>
      </c>
      <c r="D872" s="20" t="b">
        <f>IFERROR(__xludf.DUMMYFUNCTION("""COMPUTED_VALUE"""),FALSE)</f>
        <v>0</v>
      </c>
      <c r="E872" s="20" t="str">
        <f>IFERROR(__xludf.DUMMYFUNCTION("""COMPUTED_VALUE"""),"Hard")</f>
        <v>Hard</v>
      </c>
      <c r="F872" s="20">
        <f>IFERROR(__xludf.DUMMYFUNCTION("""COMPUTED_VALUE"""),4179.0)</f>
        <v>4179</v>
      </c>
      <c r="G872" s="20">
        <f>IFERROR(__xludf.DUMMYFUNCTION("""COMPUTED_VALUE"""),77.0)</f>
        <v>77</v>
      </c>
      <c r="H872" s="20" t="str">
        <f>IFERROR(__xludf.DUMMYFUNCTION("""COMPUTED_VALUE"""),"Algorithms")</f>
        <v>Algorithms</v>
      </c>
      <c r="I872" s="20">
        <f>IFERROR(__xludf.DUMMYFUNCTION("""COMPUTED_VALUE"""),0.399)</f>
        <v>0.399</v>
      </c>
      <c r="J872" s="20">
        <f>IFERROR(__xludf.DUMMYFUNCTION("""COMPUTED_VALUE"""),871.0)</f>
        <v>871</v>
      </c>
      <c r="K872" s="20" t="b">
        <f>IFERROR(__xludf.DUMMYFUNCTION("""COMPUTED_VALUE"""),FALSE)</f>
        <v>0</v>
      </c>
      <c r="L872" s="20" t="str">
        <f>IFERROR(__xludf.DUMMYFUNCTION("""COMPUTED_VALUE"""),"Array;Dynamic Programming;Greedy;Heap (Priority Queue);")</f>
        <v>Array;Dynamic Programming;Greedy;Heap (Priority Queue);</v>
      </c>
      <c r="M872" s="20" t="b">
        <f>IFERROR(__xludf.DUMMYFUNCTION("""COMPUTED_VALUE"""),TRUE)</f>
        <v>1</v>
      </c>
      <c r="N872" s="20" t="b">
        <f>IFERROR(__xludf.DUMMYFUNCTION("""COMPUTED_VALUE"""),FALSE)</f>
        <v>0</v>
      </c>
      <c r="O872" s="20">
        <f>IFERROR(__xludf.DUMMYFUNCTION("""COMPUTED_VALUE"""),39.8558612539738)</f>
        <v>39.85586125</v>
      </c>
      <c r="P872" s="20">
        <f>IFERROR(__xludf.DUMMYFUNCTION("""COMPUTED_VALUE"""),119729.0)</f>
        <v>119729</v>
      </c>
      <c r="Q872" s="20">
        <f>IFERROR(__xludf.DUMMYFUNCTION("""COMPUTED_VALUE"""),300405.0)</f>
        <v>300405</v>
      </c>
    </row>
    <row r="873">
      <c r="A873" s="20">
        <f>IFERROR(__xludf.DUMMYFUNCTION("""COMPUTED_VALUE"""),904.0)</f>
        <v>904</v>
      </c>
      <c r="B873" s="20" t="str">
        <f>IFERROR(__xludf.DUMMYFUNCTION("""COMPUTED_VALUE"""),"Leaf-Similar Trees")</f>
        <v>Leaf-Similar Trees</v>
      </c>
      <c r="C873" s="20" t="str">
        <f>IFERROR(__xludf.DUMMYFUNCTION("""COMPUTED_VALUE"""),"leaf-similar-trees")</f>
        <v>leaf-similar-trees</v>
      </c>
      <c r="D873" s="20" t="b">
        <f>IFERROR(__xludf.DUMMYFUNCTION("""COMPUTED_VALUE"""),FALSE)</f>
        <v>0</v>
      </c>
      <c r="E873" s="20" t="str">
        <f>IFERROR(__xludf.DUMMYFUNCTION("""COMPUTED_VALUE"""),"Easy")</f>
        <v>Easy</v>
      </c>
      <c r="F873" s="20">
        <f>IFERROR(__xludf.DUMMYFUNCTION("""COMPUTED_VALUE"""),2850.0)</f>
        <v>2850</v>
      </c>
      <c r="G873" s="20">
        <f>IFERROR(__xludf.DUMMYFUNCTION("""COMPUTED_VALUE"""),66.0)</f>
        <v>66</v>
      </c>
      <c r="H873" s="20" t="str">
        <f>IFERROR(__xludf.DUMMYFUNCTION("""COMPUTED_VALUE"""),"Algorithms")</f>
        <v>Algorithms</v>
      </c>
      <c r="I873" s="20">
        <f>IFERROR(__xludf.DUMMYFUNCTION("""COMPUTED_VALUE"""),0.676)</f>
        <v>0.676</v>
      </c>
      <c r="J873" s="20">
        <f>IFERROR(__xludf.DUMMYFUNCTION("""COMPUTED_VALUE"""),872.0)</f>
        <v>872</v>
      </c>
      <c r="K873" s="20" t="b">
        <f>IFERROR(__xludf.DUMMYFUNCTION("""COMPUTED_VALUE"""),FALSE)</f>
        <v>0</v>
      </c>
      <c r="L873" s="20" t="str">
        <f>IFERROR(__xludf.DUMMYFUNCTION("""COMPUTED_VALUE"""),"Tree;Depth-First Search;Binary Tree;")</f>
        <v>Tree;Depth-First Search;Binary Tree;</v>
      </c>
      <c r="M873" s="20" t="b">
        <f>IFERROR(__xludf.DUMMYFUNCTION("""COMPUTED_VALUE"""),TRUE)</f>
        <v>1</v>
      </c>
      <c r="N873" s="20" t="b">
        <f>IFERROR(__xludf.DUMMYFUNCTION("""COMPUTED_VALUE"""),FALSE)</f>
        <v>0</v>
      </c>
      <c r="O873" s="20">
        <f>IFERROR(__xludf.DUMMYFUNCTION("""COMPUTED_VALUE"""),67.6013760897497)</f>
        <v>67.60137609</v>
      </c>
      <c r="P873" s="20">
        <f>IFERROR(__xludf.DUMMYFUNCTION("""COMPUTED_VALUE"""),244646.0)</f>
        <v>244646</v>
      </c>
      <c r="Q873" s="20">
        <f>IFERROR(__xludf.DUMMYFUNCTION("""COMPUTED_VALUE"""),361895.0)</f>
        <v>361895</v>
      </c>
    </row>
    <row r="874">
      <c r="A874" s="20">
        <f>IFERROR(__xludf.DUMMYFUNCTION("""COMPUTED_VALUE"""),905.0)</f>
        <v>905</v>
      </c>
      <c r="B874" s="20" t="str">
        <f>IFERROR(__xludf.DUMMYFUNCTION("""COMPUTED_VALUE"""),"Length of Longest Fibonacci Subsequence")</f>
        <v>Length of Longest Fibonacci Subsequence</v>
      </c>
      <c r="C874" s="20" t="str">
        <f>IFERROR(__xludf.DUMMYFUNCTION("""COMPUTED_VALUE"""),"length-of-longest-fibonacci-subsequence")</f>
        <v>length-of-longest-fibonacci-subsequence</v>
      </c>
      <c r="D874" s="20" t="b">
        <f>IFERROR(__xludf.DUMMYFUNCTION("""COMPUTED_VALUE"""),FALSE)</f>
        <v>0</v>
      </c>
      <c r="E874" s="20" t="str">
        <f>IFERROR(__xludf.DUMMYFUNCTION("""COMPUTED_VALUE"""),"Medium")</f>
        <v>Medium</v>
      </c>
      <c r="F874" s="20">
        <f>IFERROR(__xludf.DUMMYFUNCTION("""COMPUTED_VALUE"""),1742.0)</f>
        <v>1742</v>
      </c>
      <c r="G874" s="20">
        <f>IFERROR(__xludf.DUMMYFUNCTION("""COMPUTED_VALUE"""),61.0)</f>
        <v>61</v>
      </c>
      <c r="H874" s="20" t="str">
        <f>IFERROR(__xludf.DUMMYFUNCTION("""COMPUTED_VALUE"""),"Algorithms")</f>
        <v>Algorithms</v>
      </c>
      <c r="I874" s="20">
        <f>IFERROR(__xludf.DUMMYFUNCTION("""COMPUTED_VALUE"""),0.484)</f>
        <v>0.484</v>
      </c>
      <c r="J874" s="20">
        <f>IFERROR(__xludf.DUMMYFUNCTION("""COMPUTED_VALUE"""),873.0)</f>
        <v>873</v>
      </c>
      <c r="K874" s="20" t="b">
        <f>IFERROR(__xludf.DUMMYFUNCTION("""COMPUTED_VALUE"""),FALSE)</f>
        <v>0</v>
      </c>
      <c r="L874" s="20" t="str">
        <f>IFERROR(__xludf.DUMMYFUNCTION("""COMPUTED_VALUE"""),"Array;Hash Table;Dynamic Programming;")</f>
        <v>Array;Hash Table;Dynamic Programming;</v>
      </c>
      <c r="M874" s="20" t="b">
        <f>IFERROR(__xludf.DUMMYFUNCTION("""COMPUTED_VALUE"""),TRUE)</f>
        <v>1</v>
      </c>
      <c r="N874" s="20" t="b">
        <f>IFERROR(__xludf.DUMMYFUNCTION("""COMPUTED_VALUE"""),FALSE)</f>
        <v>0</v>
      </c>
      <c r="O874" s="20">
        <f>IFERROR(__xludf.DUMMYFUNCTION("""COMPUTED_VALUE"""),48.4314529792584)</f>
        <v>48.43145298</v>
      </c>
      <c r="P874" s="20">
        <f>IFERROR(__xludf.DUMMYFUNCTION("""COMPUTED_VALUE"""),54312.0)</f>
        <v>54312</v>
      </c>
      <c r="Q874" s="20">
        <f>IFERROR(__xludf.DUMMYFUNCTION("""COMPUTED_VALUE"""),112142.0)</f>
        <v>112142</v>
      </c>
    </row>
    <row r="875">
      <c r="A875" s="20">
        <f>IFERROR(__xludf.DUMMYFUNCTION("""COMPUTED_VALUE"""),906.0)</f>
        <v>906</v>
      </c>
      <c r="B875" s="20" t="str">
        <f>IFERROR(__xludf.DUMMYFUNCTION("""COMPUTED_VALUE"""),"Walking Robot Simulation")</f>
        <v>Walking Robot Simulation</v>
      </c>
      <c r="C875" s="20" t="str">
        <f>IFERROR(__xludf.DUMMYFUNCTION("""COMPUTED_VALUE"""),"walking-robot-simulation")</f>
        <v>walking-robot-simulation</v>
      </c>
      <c r="D875" s="20" t="b">
        <f>IFERROR(__xludf.DUMMYFUNCTION("""COMPUTED_VALUE"""),FALSE)</f>
        <v>0</v>
      </c>
      <c r="E875" s="20" t="str">
        <f>IFERROR(__xludf.DUMMYFUNCTION("""COMPUTED_VALUE"""),"Medium")</f>
        <v>Medium</v>
      </c>
      <c r="F875" s="20">
        <f>IFERROR(__xludf.DUMMYFUNCTION("""COMPUTED_VALUE"""),139.0)</f>
        <v>139</v>
      </c>
      <c r="G875" s="20">
        <f>IFERROR(__xludf.DUMMYFUNCTION("""COMPUTED_VALUE"""),21.0)</f>
        <v>21</v>
      </c>
      <c r="H875" s="20" t="str">
        <f>IFERROR(__xludf.DUMMYFUNCTION("""COMPUTED_VALUE"""),"Algorithms")</f>
        <v>Algorithms</v>
      </c>
      <c r="I875" s="20">
        <f>IFERROR(__xludf.DUMMYFUNCTION("""COMPUTED_VALUE"""),0.386)</f>
        <v>0.386</v>
      </c>
      <c r="J875" s="20">
        <f>IFERROR(__xludf.DUMMYFUNCTION("""COMPUTED_VALUE"""),874.0)</f>
        <v>874</v>
      </c>
      <c r="K875" s="20" t="b">
        <f>IFERROR(__xludf.DUMMYFUNCTION("""COMPUTED_VALUE"""),FALSE)</f>
        <v>0</v>
      </c>
      <c r="L875" s="20" t="str">
        <f>IFERROR(__xludf.DUMMYFUNCTION("""COMPUTED_VALUE"""),"Array;Simulation;")</f>
        <v>Array;Simulation;</v>
      </c>
      <c r="M875" s="20" t="b">
        <f>IFERROR(__xludf.DUMMYFUNCTION("""COMPUTED_VALUE"""),TRUE)</f>
        <v>1</v>
      </c>
      <c r="N875" s="20" t="b">
        <f>IFERROR(__xludf.DUMMYFUNCTION("""COMPUTED_VALUE"""),FALSE)</f>
        <v>0</v>
      </c>
      <c r="O875" s="20">
        <f>IFERROR(__xludf.DUMMYFUNCTION("""COMPUTED_VALUE"""),38.558475487936)</f>
        <v>38.55847549</v>
      </c>
      <c r="P875" s="20">
        <f>IFERROR(__xludf.DUMMYFUNCTION("""COMPUTED_VALUE"""),35126.0)</f>
        <v>35126</v>
      </c>
      <c r="Q875" s="20">
        <f>IFERROR(__xludf.DUMMYFUNCTION("""COMPUTED_VALUE"""),91098.0)</f>
        <v>91098</v>
      </c>
    </row>
    <row r="876">
      <c r="A876" s="20">
        <f>IFERROR(__xludf.DUMMYFUNCTION("""COMPUTED_VALUE"""),907.0)</f>
        <v>907</v>
      </c>
      <c r="B876" s="20" t="str">
        <f>IFERROR(__xludf.DUMMYFUNCTION("""COMPUTED_VALUE"""),"Koko Eating Bananas")</f>
        <v>Koko Eating Bananas</v>
      </c>
      <c r="C876" s="20" t="str">
        <f>IFERROR(__xludf.DUMMYFUNCTION("""COMPUTED_VALUE"""),"koko-eating-bananas")</f>
        <v>koko-eating-bananas</v>
      </c>
      <c r="D876" s="20" t="b">
        <f>IFERROR(__xludf.DUMMYFUNCTION("""COMPUTED_VALUE"""),FALSE)</f>
        <v>0</v>
      </c>
      <c r="E876" s="20" t="str">
        <f>IFERROR(__xludf.DUMMYFUNCTION("""COMPUTED_VALUE"""),"Medium")</f>
        <v>Medium</v>
      </c>
      <c r="F876" s="20">
        <f>IFERROR(__xludf.DUMMYFUNCTION("""COMPUTED_VALUE"""),5685.0)</f>
        <v>5685</v>
      </c>
      <c r="G876" s="20">
        <f>IFERROR(__xludf.DUMMYFUNCTION("""COMPUTED_VALUE"""),266.0)</f>
        <v>266</v>
      </c>
      <c r="H876" s="20" t="str">
        <f>IFERROR(__xludf.DUMMYFUNCTION("""COMPUTED_VALUE"""),"Algorithms")</f>
        <v>Algorithms</v>
      </c>
      <c r="I876" s="20">
        <f>IFERROR(__xludf.DUMMYFUNCTION("""COMPUTED_VALUE"""),0.519)</f>
        <v>0.519</v>
      </c>
      <c r="J876" s="20">
        <f>IFERROR(__xludf.DUMMYFUNCTION("""COMPUTED_VALUE"""),875.0)</f>
        <v>875</v>
      </c>
      <c r="K876" s="20" t="b">
        <f>IFERROR(__xludf.DUMMYFUNCTION("""COMPUTED_VALUE"""),FALSE)</f>
        <v>0</v>
      </c>
      <c r="L876" s="20" t="str">
        <f>IFERROR(__xludf.DUMMYFUNCTION("""COMPUTED_VALUE"""),"Array;Binary Search;")</f>
        <v>Array;Binary Search;</v>
      </c>
      <c r="M876" s="20" t="b">
        <f>IFERROR(__xludf.DUMMYFUNCTION("""COMPUTED_VALUE"""),TRUE)</f>
        <v>1</v>
      </c>
      <c r="N876" s="20" t="b">
        <f>IFERROR(__xludf.DUMMYFUNCTION("""COMPUTED_VALUE"""),FALSE)</f>
        <v>0</v>
      </c>
      <c r="O876" s="20">
        <f>IFERROR(__xludf.DUMMYFUNCTION("""COMPUTED_VALUE"""),51.8531405941072)</f>
        <v>51.85314059</v>
      </c>
      <c r="P876" s="20">
        <f>IFERROR(__xludf.DUMMYFUNCTION("""COMPUTED_VALUE"""),257795.0)</f>
        <v>257795</v>
      </c>
      <c r="Q876" s="20">
        <f>IFERROR(__xludf.DUMMYFUNCTION("""COMPUTED_VALUE"""),497166.0)</f>
        <v>497166</v>
      </c>
    </row>
    <row r="877">
      <c r="A877" s="20">
        <f>IFERROR(__xludf.DUMMYFUNCTION("""COMPUTED_VALUE"""),908.0)</f>
        <v>908</v>
      </c>
      <c r="B877" s="20" t="str">
        <f>IFERROR(__xludf.DUMMYFUNCTION("""COMPUTED_VALUE"""),"Middle of the Linked List")</f>
        <v>Middle of the Linked List</v>
      </c>
      <c r="C877" s="20" t="str">
        <f>IFERROR(__xludf.DUMMYFUNCTION("""COMPUTED_VALUE"""),"middle-of-the-linked-list")</f>
        <v>middle-of-the-linked-list</v>
      </c>
      <c r="D877" s="20" t="b">
        <f>IFERROR(__xludf.DUMMYFUNCTION("""COMPUTED_VALUE"""),FALSE)</f>
        <v>0</v>
      </c>
      <c r="E877" s="20" t="str">
        <f>IFERROR(__xludf.DUMMYFUNCTION("""COMPUTED_VALUE"""),"Easy")</f>
        <v>Easy</v>
      </c>
      <c r="F877" s="20">
        <f>IFERROR(__xludf.DUMMYFUNCTION("""COMPUTED_VALUE"""),8399.0)</f>
        <v>8399</v>
      </c>
      <c r="G877" s="20">
        <f>IFERROR(__xludf.DUMMYFUNCTION("""COMPUTED_VALUE"""),235.0)</f>
        <v>235</v>
      </c>
      <c r="H877" s="20" t="str">
        <f>IFERROR(__xludf.DUMMYFUNCTION("""COMPUTED_VALUE"""),"Algorithms")</f>
        <v>Algorithms</v>
      </c>
      <c r="I877" s="20">
        <f>IFERROR(__xludf.DUMMYFUNCTION("""COMPUTED_VALUE"""),0.748)</f>
        <v>0.748</v>
      </c>
      <c r="J877" s="20">
        <f>IFERROR(__xludf.DUMMYFUNCTION("""COMPUTED_VALUE"""),876.0)</f>
        <v>876</v>
      </c>
      <c r="K877" s="20" t="b">
        <f>IFERROR(__xludf.DUMMYFUNCTION("""COMPUTED_VALUE"""),FALSE)</f>
        <v>0</v>
      </c>
      <c r="L877" s="20" t="str">
        <f>IFERROR(__xludf.DUMMYFUNCTION("""COMPUTED_VALUE"""),"Linked List;Two Pointers;")</f>
        <v>Linked List;Two Pointers;</v>
      </c>
      <c r="M877" s="20" t="b">
        <f>IFERROR(__xludf.DUMMYFUNCTION("""COMPUTED_VALUE"""),TRUE)</f>
        <v>1</v>
      </c>
      <c r="N877" s="20" t="b">
        <f>IFERROR(__xludf.DUMMYFUNCTION("""COMPUTED_VALUE"""),TRUE)</f>
        <v>1</v>
      </c>
      <c r="O877" s="20">
        <f>IFERROR(__xludf.DUMMYFUNCTION("""COMPUTED_VALUE"""),74.80872169429)</f>
        <v>74.80872169</v>
      </c>
      <c r="P877" s="20">
        <f>IFERROR(__xludf.DUMMYFUNCTION("""COMPUTED_VALUE"""),1128775.0)</f>
        <v>1128775</v>
      </c>
      <c r="Q877" s="20">
        <f>IFERROR(__xludf.DUMMYFUNCTION("""COMPUTED_VALUE"""),1508883.0)</f>
        <v>1508883</v>
      </c>
    </row>
    <row r="878">
      <c r="A878" s="20">
        <f>IFERROR(__xludf.DUMMYFUNCTION("""COMPUTED_VALUE"""),909.0)</f>
        <v>909</v>
      </c>
      <c r="B878" s="20" t="str">
        <f>IFERROR(__xludf.DUMMYFUNCTION("""COMPUTED_VALUE"""),"Stone Game")</f>
        <v>Stone Game</v>
      </c>
      <c r="C878" s="20" t="str">
        <f>IFERROR(__xludf.DUMMYFUNCTION("""COMPUTED_VALUE"""),"stone-game")</f>
        <v>stone-game</v>
      </c>
      <c r="D878" s="20" t="b">
        <f>IFERROR(__xludf.DUMMYFUNCTION("""COMPUTED_VALUE"""),FALSE)</f>
        <v>0</v>
      </c>
      <c r="E878" s="20" t="str">
        <f>IFERROR(__xludf.DUMMYFUNCTION("""COMPUTED_VALUE"""),"Medium")</f>
        <v>Medium</v>
      </c>
      <c r="F878" s="20">
        <f>IFERROR(__xludf.DUMMYFUNCTION("""COMPUTED_VALUE"""),2425.0)</f>
        <v>2425</v>
      </c>
      <c r="G878" s="20">
        <f>IFERROR(__xludf.DUMMYFUNCTION("""COMPUTED_VALUE"""),2347.0)</f>
        <v>2347</v>
      </c>
      <c r="H878" s="20" t="str">
        <f>IFERROR(__xludf.DUMMYFUNCTION("""COMPUTED_VALUE"""),"Algorithms")</f>
        <v>Algorithms</v>
      </c>
      <c r="I878" s="20">
        <f>IFERROR(__xludf.DUMMYFUNCTION("""COMPUTED_VALUE"""),0.697)</f>
        <v>0.697</v>
      </c>
      <c r="J878" s="20">
        <f>IFERROR(__xludf.DUMMYFUNCTION("""COMPUTED_VALUE"""),877.0)</f>
        <v>877</v>
      </c>
      <c r="K878" s="20" t="b">
        <f>IFERROR(__xludf.DUMMYFUNCTION("""COMPUTED_VALUE"""),FALSE)</f>
        <v>0</v>
      </c>
      <c r="L878" s="20" t="str">
        <f>IFERROR(__xludf.DUMMYFUNCTION("""COMPUTED_VALUE"""),"Array;Math;Dynamic Programming;Game Theory;")</f>
        <v>Array;Math;Dynamic Programming;Game Theory;</v>
      </c>
      <c r="M878" s="20" t="b">
        <f>IFERROR(__xludf.DUMMYFUNCTION("""COMPUTED_VALUE"""),TRUE)</f>
        <v>1</v>
      </c>
      <c r="N878" s="20" t="b">
        <f>IFERROR(__xludf.DUMMYFUNCTION("""COMPUTED_VALUE"""),FALSE)</f>
        <v>0</v>
      </c>
      <c r="O878" s="20">
        <f>IFERROR(__xludf.DUMMYFUNCTION("""COMPUTED_VALUE"""),69.7173790387809)</f>
        <v>69.71737904</v>
      </c>
      <c r="P878" s="20">
        <f>IFERROR(__xludf.DUMMYFUNCTION("""COMPUTED_VALUE"""),176698.0)</f>
        <v>176698</v>
      </c>
      <c r="Q878" s="20">
        <f>IFERROR(__xludf.DUMMYFUNCTION("""COMPUTED_VALUE"""),253449.0)</f>
        <v>253449</v>
      </c>
    </row>
    <row r="879">
      <c r="A879" s="20">
        <f>IFERROR(__xludf.DUMMYFUNCTION("""COMPUTED_VALUE"""),910.0)</f>
        <v>910</v>
      </c>
      <c r="B879" s="20" t="str">
        <f>IFERROR(__xludf.DUMMYFUNCTION("""COMPUTED_VALUE"""),"Nth Magical Number")</f>
        <v>Nth Magical Number</v>
      </c>
      <c r="C879" s="20" t="str">
        <f>IFERROR(__xludf.DUMMYFUNCTION("""COMPUTED_VALUE"""),"nth-magical-number")</f>
        <v>nth-magical-number</v>
      </c>
      <c r="D879" s="20" t="b">
        <f>IFERROR(__xludf.DUMMYFUNCTION("""COMPUTED_VALUE"""),FALSE)</f>
        <v>0</v>
      </c>
      <c r="E879" s="20" t="str">
        <f>IFERROR(__xludf.DUMMYFUNCTION("""COMPUTED_VALUE"""),"Hard")</f>
        <v>Hard</v>
      </c>
      <c r="F879" s="20">
        <f>IFERROR(__xludf.DUMMYFUNCTION("""COMPUTED_VALUE"""),1091.0)</f>
        <v>1091</v>
      </c>
      <c r="G879" s="20">
        <f>IFERROR(__xludf.DUMMYFUNCTION("""COMPUTED_VALUE"""),144.0)</f>
        <v>144</v>
      </c>
      <c r="H879" s="20" t="str">
        <f>IFERROR(__xludf.DUMMYFUNCTION("""COMPUTED_VALUE"""),"Algorithms")</f>
        <v>Algorithms</v>
      </c>
      <c r="I879" s="20">
        <f>IFERROR(__xludf.DUMMYFUNCTION("""COMPUTED_VALUE"""),0.355)</f>
        <v>0.355</v>
      </c>
      <c r="J879" s="20">
        <f>IFERROR(__xludf.DUMMYFUNCTION("""COMPUTED_VALUE"""),878.0)</f>
        <v>878</v>
      </c>
      <c r="K879" s="20" t="b">
        <f>IFERROR(__xludf.DUMMYFUNCTION("""COMPUTED_VALUE"""),FALSE)</f>
        <v>0</v>
      </c>
      <c r="L879" s="20" t="str">
        <f>IFERROR(__xludf.DUMMYFUNCTION("""COMPUTED_VALUE"""),"Math;Binary Search;")</f>
        <v>Math;Binary Search;</v>
      </c>
      <c r="M879" s="20" t="b">
        <f>IFERROR(__xludf.DUMMYFUNCTION("""COMPUTED_VALUE"""),TRUE)</f>
        <v>1</v>
      </c>
      <c r="N879" s="20" t="b">
        <f>IFERROR(__xludf.DUMMYFUNCTION("""COMPUTED_VALUE"""),FALSE)</f>
        <v>0</v>
      </c>
      <c r="O879" s="20">
        <f>IFERROR(__xludf.DUMMYFUNCTION("""COMPUTED_VALUE"""),35.5407631832104)</f>
        <v>35.54076318</v>
      </c>
      <c r="P879" s="20">
        <f>IFERROR(__xludf.DUMMYFUNCTION("""COMPUTED_VALUE"""),32142.0)</f>
        <v>32142</v>
      </c>
      <c r="Q879" s="20">
        <f>IFERROR(__xludf.DUMMYFUNCTION("""COMPUTED_VALUE"""),90436.0)</f>
        <v>90436</v>
      </c>
    </row>
    <row r="880">
      <c r="A880" s="20">
        <f>IFERROR(__xludf.DUMMYFUNCTION("""COMPUTED_VALUE"""),911.0)</f>
        <v>911</v>
      </c>
      <c r="B880" s="20" t="str">
        <f>IFERROR(__xludf.DUMMYFUNCTION("""COMPUTED_VALUE"""),"Profitable Schemes")</f>
        <v>Profitable Schemes</v>
      </c>
      <c r="C880" s="20" t="str">
        <f>IFERROR(__xludf.DUMMYFUNCTION("""COMPUTED_VALUE"""),"profitable-schemes")</f>
        <v>profitable-schemes</v>
      </c>
      <c r="D880" s="20" t="b">
        <f>IFERROR(__xludf.DUMMYFUNCTION("""COMPUTED_VALUE"""),FALSE)</f>
        <v>0</v>
      </c>
      <c r="E880" s="20" t="str">
        <f>IFERROR(__xludf.DUMMYFUNCTION("""COMPUTED_VALUE"""),"Hard")</f>
        <v>Hard</v>
      </c>
      <c r="F880" s="20">
        <f>IFERROR(__xludf.DUMMYFUNCTION("""COMPUTED_VALUE"""),564.0)</f>
        <v>564</v>
      </c>
      <c r="G880" s="20">
        <f>IFERROR(__xludf.DUMMYFUNCTION("""COMPUTED_VALUE"""),46.0)</f>
        <v>46</v>
      </c>
      <c r="H880" s="20" t="str">
        <f>IFERROR(__xludf.DUMMYFUNCTION("""COMPUTED_VALUE"""),"Algorithms")</f>
        <v>Algorithms</v>
      </c>
      <c r="I880" s="20">
        <f>IFERROR(__xludf.DUMMYFUNCTION("""COMPUTED_VALUE"""),0.406)</f>
        <v>0.406</v>
      </c>
      <c r="J880" s="20">
        <f>IFERROR(__xludf.DUMMYFUNCTION("""COMPUTED_VALUE"""),879.0)</f>
        <v>879</v>
      </c>
      <c r="K880" s="20" t="b">
        <f>IFERROR(__xludf.DUMMYFUNCTION("""COMPUTED_VALUE"""),FALSE)</f>
        <v>0</v>
      </c>
      <c r="L880" s="20" t="str">
        <f>IFERROR(__xludf.DUMMYFUNCTION("""COMPUTED_VALUE"""),"Array;Dynamic Programming;")</f>
        <v>Array;Dynamic Programming;</v>
      </c>
      <c r="M880" s="20" t="b">
        <f>IFERROR(__xludf.DUMMYFUNCTION("""COMPUTED_VALUE"""),TRUE)</f>
        <v>1</v>
      </c>
      <c r="N880" s="20" t="b">
        <f>IFERROR(__xludf.DUMMYFUNCTION("""COMPUTED_VALUE"""),FALSE)</f>
        <v>0</v>
      </c>
      <c r="O880" s="20">
        <f>IFERROR(__xludf.DUMMYFUNCTION("""COMPUTED_VALUE"""),40.61543532514)</f>
        <v>40.61543533</v>
      </c>
      <c r="P880" s="20">
        <f>IFERROR(__xludf.DUMMYFUNCTION("""COMPUTED_VALUE"""),17251.0)</f>
        <v>17251</v>
      </c>
      <c r="Q880" s="20">
        <f>IFERROR(__xludf.DUMMYFUNCTION("""COMPUTED_VALUE"""),42474.0)</f>
        <v>42474</v>
      </c>
    </row>
    <row r="881">
      <c r="A881" s="20">
        <f>IFERROR(__xludf.DUMMYFUNCTION("""COMPUTED_VALUE"""),916.0)</f>
        <v>916</v>
      </c>
      <c r="B881" s="20" t="str">
        <f>IFERROR(__xludf.DUMMYFUNCTION("""COMPUTED_VALUE"""),"Decoded String at Index")</f>
        <v>Decoded String at Index</v>
      </c>
      <c r="C881" s="20" t="str">
        <f>IFERROR(__xludf.DUMMYFUNCTION("""COMPUTED_VALUE"""),"decoded-string-at-index")</f>
        <v>decoded-string-at-index</v>
      </c>
      <c r="D881" s="20" t="b">
        <f>IFERROR(__xludf.DUMMYFUNCTION("""COMPUTED_VALUE"""),FALSE)</f>
        <v>0</v>
      </c>
      <c r="E881" s="20" t="str">
        <f>IFERROR(__xludf.DUMMYFUNCTION("""COMPUTED_VALUE"""),"Medium")</f>
        <v>Medium</v>
      </c>
      <c r="F881" s="20">
        <f>IFERROR(__xludf.DUMMYFUNCTION("""COMPUTED_VALUE"""),1280.0)</f>
        <v>1280</v>
      </c>
      <c r="G881" s="20">
        <f>IFERROR(__xludf.DUMMYFUNCTION("""COMPUTED_VALUE"""),202.0)</f>
        <v>202</v>
      </c>
      <c r="H881" s="20" t="str">
        <f>IFERROR(__xludf.DUMMYFUNCTION("""COMPUTED_VALUE"""),"Algorithms")</f>
        <v>Algorithms</v>
      </c>
      <c r="I881" s="20">
        <f>IFERROR(__xludf.DUMMYFUNCTION("""COMPUTED_VALUE"""),0.283)</f>
        <v>0.283</v>
      </c>
      <c r="J881" s="20">
        <f>IFERROR(__xludf.DUMMYFUNCTION("""COMPUTED_VALUE"""),880.0)</f>
        <v>880</v>
      </c>
      <c r="K881" s="20" t="b">
        <f>IFERROR(__xludf.DUMMYFUNCTION("""COMPUTED_VALUE"""),FALSE)</f>
        <v>0</v>
      </c>
      <c r="L881" s="20" t="str">
        <f>IFERROR(__xludf.DUMMYFUNCTION("""COMPUTED_VALUE"""),"String;Stack;")</f>
        <v>String;Stack;</v>
      </c>
      <c r="M881" s="20" t="b">
        <f>IFERROR(__xludf.DUMMYFUNCTION("""COMPUTED_VALUE"""),TRUE)</f>
        <v>1</v>
      </c>
      <c r="N881" s="20" t="b">
        <f>IFERROR(__xludf.DUMMYFUNCTION("""COMPUTED_VALUE"""),FALSE)</f>
        <v>0</v>
      </c>
      <c r="O881" s="20">
        <f>IFERROR(__xludf.DUMMYFUNCTION("""COMPUTED_VALUE"""),28.3242193407678)</f>
        <v>28.32421934</v>
      </c>
      <c r="P881" s="20">
        <f>IFERROR(__xludf.DUMMYFUNCTION("""COMPUTED_VALUE"""),35584.0)</f>
        <v>35584</v>
      </c>
      <c r="Q881" s="20">
        <f>IFERROR(__xludf.DUMMYFUNCTION("""COMPUTED_VALUE"""),125631.0)</f>
        <v>125631</v>
      </c>
    </row>
    <row r="882">
      <c r="A882" s="20">
        <f>IFERROR(__xludf.DUMMYFUNCTION("""COMPUTED_VALUE"""),917.0)</f>
        <v>917</v>
      </c>
      <c r="B882" s="20" t="str">
        <f>IFERROR(__xludf.DUMMYFUNCTION("""COMPUTED_VALUE"""),"Boats to Save People")</f>
        <v>Boats to Save People</v>
      </c>
      <c r="C882" s="20" t="str">
        <f>IFERROR(__xludf.DUMMYFUNCTION("""COMPUTED_VALUE"""),"boats-to-save-people")</f>
        <v>boats-to-save-people</v>
      </c>
      <c r="D882" s="20" t="b">
        <f>IFERROR(__xludf.DUMMYFUNCTION("""COMPUTED_VALUE"""),FALSE)</f>
        <v>0</v>
      </c>
      <c r="E882" s="20" t="str">
        <f>IFERROR(__xludf.DUMMYFUNCTION("""COMPUTED_VALUE"""),"Medium")</f>
        <v>Medium</v>
      </c>
      <c r="F882" s="20">
        <f>IFERROR(__xludf.DUMMYFUNCTION("""COMPUTED_VALUE"""),3547.0)</f>
        <v>3547</v>
      </c>
      <c r="G882" s="20">
        <f>IFERROR(__xludf.DUMMYFUNCTION("""COMPUTED_VALUE"""),93.0)</f>
        <v>93</v>
      </c>
      <c r="H882" s="20" t="str">
        <f>IFERROR(__xludf.DUMMYFUNCTION("""COMPUTED_VALUE"""),"Algorithms")</f>
        <v>Algorithms</v>
      </c>
      <c r="I882" s="20">
        <f>IFERROR(__xludf.DUMMYFUNCTION("""COMPUTED_VALUE"""),0.528)</f>
        <v>0.528</v>
      </c>
      <c r="J882" s="20">
        <f>IFERROR(__xludf.DUMMYFUNCTION("""COMPUTED_VALUE"""),881.0)</f>
        <v>881</v>
      </c>
      <c r="K882" s="20" t="b">
        <f>IFERROR(__xludf.DUMMYFUNCTION("""COMPUTED_VALUE"""),FALSE)</f>
        <v>0</v>
      </c>
      <c r="L882" s="20" t="str">
        <f>IFERROR(__xludf.DUMMYFUNCTION("""COMPUTED_VALUE"""),"Array;Two Pointers;Greedy;Sorting;")</f>
        <v>Array;Two Pointers;Greedy;Sorting;</v>
      </c>
      <c r="M882" s="20" t="b">
        <f>IFERROR(__xludf.DUMMYFUNCTION("""COMPUTED_VALUE"""),TRUE)</f>
        <v>1</v>
      </c>
      <c r="N882" s="20" t="b">
        <f>IFERROR(__xludf.DUMMYFUNCTION("""COMPUTED_VALUE"""),FALSE)</f>
        <v>0</v>
      </c>
      <c r="O882" s="20">
        <f>IFERROR(__xludf.DUMMYFUNCTION("""COMPUTED_VALUE"""),52.8345137220184)</f>
        <v>52.83451372</v>
      </c>
      <c r="P882" s="20">
        <f>IFERROR(__xludf.DUMMYFUNCTION("""COMPUTED_VALUE"""),167103.0)</f>
        <v>167103</v>
      </c>
      <c r="Q882" s="20">
        <f>IFERROR(__xludf.DUMMYFUNCTION("""COMPUTED_VALUE"""),316276.0)</f>
        <v>316276</v>
      </c>
    </row>
    <row r="883">
      <c r="A883" s="20">
        <f>IFERROR(__xludf.DUMMYFUNCTION("""COMPUTED_VALUE"""),918.0)</f>
        <v>918</v>
      </c>
      <c r="B883" s="20" t="str">
        <f>IFERROR(__xludf.DUMMYFUNCTION("""COMPUTED_VALUE"""),"Reachable Nodes In Subdivided Graph")</f>
        <v>Reachable Nodes In Subdivided Graph</v>
      </c>
      <c r="C883" s="20" t="str">
        <f>IFERROR(__xludf.DUMMYFUNCTION("""COMPUTED_VALUE"""),"reachable-nodes-in-subdivided-graph")</f>
        <v>reachable-nodes-in-subdivided-graph</v>
      </c>
      <c r="D883" s="20" t="b">
        <f>IFERROR(__xludf.DUMMYFUNCTION("""COMPUTED_VALUE"""),FALSE)</f>
        <v>0</v>
      </c>
      <c r="E883" s="20" t="str">
        <f>IFERROR(__xludf.DUMMYFUNCTION("""COMPUTED_VALUE"""),"Hard")</f>
        <v>Hard</v>
      </c>
      <c r="F883" s="20">
        <f>IFERROR(__xludf.DUMMYFUNCTION("""COMPUTED_VALUE"""),652.0)</f>
        <v>652</v>
      </c>
      <c r="G883" s="20">
        <f>IFERROR(__xludf.DUMMYFUNCTION("""COMPUTED_VALUE"""),209.0)</f>
        <v>209</v>
      </c>
      <c r="H883" s="20" t="str">
        <f>IFERROR(__xludf.DUMMYFUNCTION("""COMPUTED_VALUE"""),"Algorithms")</f>
        <v>Algorithms</v>
      </c>
      <c r="I883" s="20">
        <f>IFERROR(__xludf.DUMMYFUNCTION("""COMPUTED_VALUE"""),0.502)</f>
        <v>0.502</v>
      </c>
      <c r="J883" s="20">
        <f>IFERROR(__xludf.DUMMYFUNCTION("""COMPUTED_VALUE"""),882.0)</f>
        <v>882</v>
      </c>
      <c r="K883" s="20" t="b">
        <f>IFERROR(__xludf.DUMMYFUNCTION("""COMPUTED_VALUE"""),FALSE)</f>
        <v>0</v>
      </c>
      <c r="L883" s="20" t="str">
        <f>IFERROR(__xludf.DUMMYFUNCTION("""COMPUTED_VALUE"""),"Graph;Heap (Priority Queue);Shortest Path;")</f>
        <v>Graph;Heap (Priority Queue);Shortest Path;</v>
      </c>
      <c r="M883" s="20" t="b">
        <f>IFERROR(__xludf.DUMMYFUNCTION("""COMPUTED_VALUE"""),TRUE)</f>
        <v>1</v>
      </c>
      <c r="N883" s="20" t="b">
        <f>IFERROR(__xludf.DUMMYFUNCTION("""COMPUTED_VALUE"""),FALSE)</f>
        <v>0</v>
      </c>
      <c r="O883" s="20">
        <f>IFERROR(__xludf.DUMMYFUNCTION("""COMPUTED_VALUE"""),50.2149405623546)</f>
        <v>50.21494056</v>
      </c>
      <c r="P883" s="20">
        <f>IFERROR(__xludf.DUMMYFUNCTION("""COMPUTED_VALUE"""),22895.0)</f>
        <v>22895</v>
      </c>
      <c r="Q883" s="20">
        <f>IFERROR(__xludf.DUMMYFUNCTION("""COMPUTED_VALUE"""),45594.0)</f>
        <v>45594</v>
      </c>
    </row>
    <row r="884">
      <c r="A884" s="20">
        <f>IFERROR(__xludf.DUMMYFUNCTION("""COMPUTED_VALUE"""),919.0)</f>
        <v>919</v>
      </c>
      <c r="B884" s="20" t="str">
        <f>IFERROR(__xludf.DUMMYFUNCTION("""COMPUTED_VALUE"""),"Projection Area of 3D Shapes")</f>
        <v>Projection Area of 3D Shapes</v>
      </c>
      <c r="C884" s="20" t="str">
        <f>IFERROR(__xludf.DUMMYFUNCTION("""COMPUTED_VALUE"""),"projection-area-of-3d-shapes")</f>
        <v>projection-area-of-3d-shapes</v>
      </c>
      <c r="D884" s="20" t="b">
        <f>IFERROR(__xludf.DUMMYFUNCTION("""COMPUTED_VALUE"""),FALSE)</f>
        <v>0</v>
      </c>
      <c r="E884" s="20" t="str">
        <f>IFERROR(__xludf.DUMMYFUNCTION("""COMPUTED_VALUE"""),"Easy")</f>
        <v>Easy</v>
      </c>
      <c r="F884" s="20">
        <f>IFERROR(__xludf.DUMMYFUNCTION("""COMPUTED_VALUE"""),468.0)</f>
        <v>468</v>
      </c>
      <c r="G884" s="20">
        <f>IFERROR(__xludf.DUMMYFUNCTION("""COMPUTED_VALUE"""),1266.0)</f>
        <v>1266</v>
      </c>
      <c r="H884" s="20" t="str">
        <f>IFERROR(__xludf.DUMMYFUNCTION("""COMPUTED_VALUE"""),"Algorithms")</f>
        <v>Algorithms</v>
      </c>
      <c r="I884" s="20">
        <f>IFERROR(__xludf.DUMMYFUNCTION("""COMPUTED_VALUE"""),0.709)</f>
        <v>0.709</v>
      </c>
      <c r="J884" s="20">
        <f>IFERROR(__xludf.DUMMYFUNCTION("""COMPUTED_VALUE"""),883.0)</f>
        <v>883</v>
      </c>
      <c r="K884" s="20" t="b">
        <f>IFERROR(__xludf.DUMMYFUNCTION("""COMPUTED_VALUE"""),FALSE)</f>
        <v>0</v>
      </c>
      <c r="L884" s="20" t="str">
        <f>IFERROR(__xludf.DUMMYFUNCTION("""COMPUTED_VALUE"""),"Array;Math;Geometry;Matrix;")</f>
        <v>Array;Math;Geometry;Matrix;</v>
      </c>
      <c r="M884" s="20" t="b">
        <f>IFERROR(__xludf.DUMMYFUNCTION("""COMPUTED_VALUE"""),TRUE)</f>
        <v>1</v>
      </c>
      <c r="N884" s="20" t="b">
        <f>IFERROR(__xludf.DUMMYFUNCTION("""COMPUTED_VALUE"""),FALSE)</f>
        <v>0</v>
      </c>
      <c r="O884" s="20">
        <f>IFERROR(__xludf.DUMMYFUNCTION("""COMPUTED_VALUE"""),70.9114676543363)</f>
        <v>70.91146765</v>
      </c>
      <c r="P884" s="20">
        <f>IFERROR(__xludf.DUMMYFUNCTION("""COMPUTED_VALUE"""),45566.0)</f>
        <v>45566</v>
      </c>
      <c r="Q884" s="20">
        <f>IFERROR(__xludf.DUMMYFUNCTION("""COMPUTED_VALUE"""),64258.0)</f>
        <v>64258</v>
      </c>
    </row>
    <row r="885">
      <c r="A885" s="20">
        <f>IFERROR(__xludf.DUMMYFUNCTION("""COMPUTED_VALUE"""),920.0)</f>
        <v>920</v>
      </c>
      <c r="B885" s="20" t="str">
        <f>IFERROR(__xludf.DUMMYFUNCTION("""COMPUTED_VALUE"""),"Uncommon Words from Two Sentences")</f>
        <v>Uncommon Words from Two Sentences</v>
      </c>
      <c r="C885" s="20" t="str">
        <f>IFERROR(__xludf.DUMMYFUNCTION("""COMPUTED_VALUE"""),"uncommon-words-from-two-sentences")</f>
        <v>uncommon-words-from-two-sentences</v>
      </c>
      <c r="D885" s="20" t="b">
        <f>IFERROR(__xludf.DUMMYFUNCTION("""COMPUTED_VALUE"""),FALSE)</f>
        <v>0</v>
      </c>
      <c r="E885" s="20" t="str">
        <f>IFERROR(__xludf.DUMMYFUNCTION("""COMPUTED_VALUE"""),"Easy")</f>
        <v>Easy</v>
      </c>
      <c r="F885" s="20">
        <f>IFERROR(__xludf.DUMMYFUNCTION("""COMPUTED_VALUE"""),1092.0)</f>
        <v>1092</v>
      </c>
      <c r="G885" s="20">
        <f>IFERROR(__xludf.DUMMYFUNCTION("""COMPUTED_VALUE"""),151.0)</f>
        <v>151</v>
      </c>
      <c r="H885" s="20" t="str">
        <f>IFERROR(__xludf.DUMMYFUNCTION("""COMPUTED_VALUE"""),"Algorithms")</f>
        <v>Algorithms</v>
      </c>
      <c r="I885" s="20">
        <f>IFERROR(__xludf.DUMMYFUNCTION("""COMPUTED_VALUE"""),0.661)</f>
        <v>0.661</v>
      </c>
      <c r="J885" s="20">
        <f>IFERROR(__xludf.DUMMYFUNCTION("""COMPUTED_VALUE"""),884.0)</f>
        <v>884</v>
      </c>
      <c r="K885" s="20" t="b">
        <f>IFERROR(__xludf.DUMMYFUNCTION("""COMPUTED_VALUE"""),FALSE)</f>
        <v>0</v>
      </c>
      <c r="L885" s="20" t="str">
        <f>IFERROR(__xludf.DUMMYFUNCTION("""COMPUTED_VALUE"""),"Hash Table;String;")</f>
        <v>Hash Table;String;</v>
      </c>
      <c r="M885" s="20" t="b">
        <f>IFERROR(__xludf.DUMMYFUNCTION("""COMPUTED_VALUE"""),TRUE)</f>
        <v>1</v>
      </c>
      <c r="N885" s="20" t="b">
        <f>IFERROR(__xludf.DUMMYFUNCTION("""COMPUTED_VALUE"""),FALSE)</f>
        <v>0</v>
      </c>
      <c r="O885" s="20">
        <f>IFERROR(__xludf.DUMMYFUNCTION("""COMPUTED_VALUE"""),66.107422338155)</f>
        <v>66.10742234</v>
      </c>
      <c r="P885" s="20">
        <f>IFERROR(__xludf.DUMMYFUNCTION("""COMPUTED_VALUE"""),111509.0)</f>
        <v>111509</v>
      </c>
      <c r="Q885" s="20">
        <f>IFERROR(__xludf.DUMMYFUNCTION("""COMPUTED_VALUE"""),168679.0)</f>
        <v>168679</v>
      </c>
    </row>
    <row r="886">
      <c r="A886" s="20">
        <f>IFERROR(__xludf.DUMMYFUNCTION("""COMPUTED_VALUE"""),921.0)</f>
        <v>921</v>
      </c>
      <c r="B886" s="20" t="str">
        <f>IFERROR(__xludf.DUMMYFUNCTION("""COMPUTED_VALUE"""),"Spiral Matrix III")</f>
        <v>Spiral Matrix III</v>
      </c>
      <c r="C886" s="20" t="str">
        <f>IFERROR(__xludf.DUMMYFUNCTION("""COMPUTED_VALUE"""),"spiral-matrix-iii")</f>
        <v>spiral-matrix-iii</v>
      </c>
      <c r="D886" s="20" t="b">
        <f>IFERROR(__xludf.DUMMYFUNCTION("""COMPUTED_VALUE"""),FALSE)</f>
        <v>0</v>
      </c>
      <c r="E886" s="20" t="str">
        <f>IFERROR(__xludf.DUMMYFUNCTION("""COMPUTED_VALUE"""),"Medium")</f>
        <v>Medium</v>
      </c>
      <c r="F886" s="20">
        <f>IFERROR(__xludf.DUMMYFUNCTION("""COMPUTED_VALUE"""),673.0)</f>
        <v>673</v>
      </c>
      <c r="G886" s="20">
        <f>IFERROR(__xludf.DUMMYFUNCTION("""COMPUTED_VALUE"""),696.0)</f>
        <v>696</v>
      </c>
      <c r="H886" s="20" t="str">
        <f>IFERROR(__xludf.DUMMYFUNCTION("""COMPUTED_VALUE"""),"Algorithms")</f>
        <v>Algorithms</v>
      </c>
      <c r="I886" s="20">
        <f>IFERROR(__xludf.DUMMYFUNCTION("""COMPUTED_VALUE"""),0.733)</f>
        <v>0.733</v>
      </c>
      <c r="J886" s="20">
        <f>IFERROR(__xludf.DUMMYFUNCTION("""COMPUTED_VALUE"""),885.0)</f>
        <v>885</v>
      </c>
      <c r="K886" s="20" t="b">
        <f>IFERROR(__xludf.DUMMYFUNCTION("""COMPUTED_VALUE"""),FALSE)</f>
        <v>0</v>
      </c>
      <c r="L886" s="20" t="str">
        <f>IFERROR(__xludf.DUMMYFUNCTION("""COMPUTED_VALUE"""),"Array;Matrix;Simulation;")</f>
        <v>Array;Matrix;Simulation;</v>
      </c>
      <c r="M886" s="20" t="b">
        <f>IFERROR(__xludf.DUMMYFUNCTION("""COMPUTED_VALUE"""),TRUE)</f>
        <v>1</v>
      </c>
      <c r="N886" s="20" t="b">
        <f>IFERROR(__xludf.DUMMYFUNCTION("""COMPUTED_VALUE"""),FALSE)</f>
        <v>0</v>
      </c>
      <c r="O886" s="20">
        <f>IFERROR(__xludf.DUMMYFUNCTION("""COMPUTED_VALUE"""),73.2755427131955)</f>
        <v>73.27554271</v>
      </c>
      <c r="P886" s="20">
        <f>IFERROR(__xludf.DUMMYFUNCTION("""COMPUTED_VALUE"""),39560.0)</f>
        <v>39560</v>
      </c>
      <c r="Q886" s="20">
        <f>IFERROR(__xludf.DUMMYFUNCTION("""COMPUTED_VALUE"""),53987.0)</f>
        <v>53987</v>
      </c>
    </row>
    <row r="887">
      <c r="A887" s="20">
        <f>IFERROR(__xludf.DUMMYFUNCTION("""COMPUTED_VALUE"""),922.0)</f>
        <v>922</v>
      </c>
      <c r="B887" s="20" t="str">
        <f>IFERROR(__xludf.DUMMYFUNCTION("""COMPUTED_VALUE"""),"Possible Bipartition")</f>
        <v>Possible Bipartition</v>
      </c>
      <c r="C887" s="20" t="str">
        <f>IFERROR(__xludf.DUMMYFUNCTION("""COMPUTED_VALUE"""),"possible-bipartition")</f>
        <v>possible-bipartition</v>
      </c>
      <c r="D887" s="20" t="b">
        <f>IFERROR(__xludf.DUMMYFUNCTION("""COMPUTED_VALUE"""),FALSE)</f>
        <v>0</v>
      </c>
      <c r="E887" s="20" t="str">
        <f>IFERROR(__xludf.DUMMYFUNCTION("""COMPUTED_VALUE"""),"Medium")</f>
        <v>Medium</v>
      </c>
      <c r="F887" s="20">
        <f>IFERROR(__xludf.DUMMYFUNCTION("""COMPUTED_VALUE"""),4094.0)</f>
        <v>4094</v>
      </c>
      <c r="G887" s="20">
        <f>IFERROR(__xludf.DUMMYFUNCTION("""COMPUTED_VALUE"""),94.0)</f>
        <v>94</v>
      </c>
      <c r="H887" s="20" t="str">
        <f>IFERROR(__xludf.DUMMYFUNCTION("""COMPUTED_VALUE"""),"Algorithms")</f>
        <v>Algorithms</v>
      </c>
      <c r="I887" s="20">
        <f>IFERROR(__xludf.DUMMYFUNCTION("""COMPUTED_VALUE"""),0.499)</f>
        <v>0.499</v>
      </c>
      <c r="J887" s="20">
        <f>IFERROR(__xludf.DUMMYFUNCTION("""COMPUTED_VALUE"""),886.0)</f>
        <v>886</v>
      </c>
      <c r="K887" s="20" t="b">
        <f>IFERROR(__xludf.DUMMYFUNCTION("""COMPUTED_VALUE"""),FALSE)</f>
        <v>0</v>
      </c>
      <c r="L887" s="20" t="str">
        <f>IFERROR(__xludf.DUMMYFUNCTION("""COMPUTED_VALUE"""),"Depth-First Search;Breadth-First Search;Union Find;Graph;")</f>
        <v>Depth-First Search;Breadth-First Search;Union Find;Graph;</v>
      </c>
      <c r="M887" s="20" t="b">
        <f>IFERROR(__xludf.DUMMYFUNCTION("""COMPUTED_VALUE"""),TRUE)</f>
        <v>1</v>
      </c>
      <c r="N887" s="20" t="b">
        <f>IFERROR(__xludf.DUMMYFUNCTION("""COMPUTED_VALUE"""),FALSE)</f>
        <v>0</v>
      </c>
      <c r="O887" s="20">
        <f>IFERROR(__xludf.DUMMYFUNCTION("""COMPUTED_VALUE"""),49.8966343450769)</f>
        <v>49.89663435</v>
      </c>
      <c r="P887" s="20">
        <f>IFERROR(__xludf.DUMMYFUNCTION("""COMPUTED_VALUE"""),173053.0)</f>
        <v>173053</v>
      </c>
      <c r="Q887" s="20">
        <f>IFERROR(__xludf.DUMMYFUNCTION("""COMPUTED_VALUE"""),346825.0)</f>
        <v>346825</v>
      </c>
    </row>
    <row r="888">
      <c r="A888" s="20">
        <f>IFERROR(__xludf.DUMMYFUNCTION("""COMPUTED_VALUE"""),923.0)</f>
        <v>923</v>
      </c>
      <c r="B888" s="20" t="str">
        <f>IFERROR(__xludf.DUMMYFUNCTION("""COMPUTED_VALUE"""),"Super Egg Drop")</f>
        <v>Super Egg Drop</v>
      </c>
      <c r="C888" s="20" t="str">
        <f>IFERROR(__xludf.DUMMYFUNCTION("""COMPUTED_VALUE"""),"super-egg-drop")</f>
        <v>super-egg-drop</v>
      </c>
      <c r="D888" s="20" t="b">
        <f>IFERROR(__xludf.DUMMYFUNCTION("""COMPUTED_VALUE"""),FALSE)</f>
        <v>0</v>
      </c>
      <c r="E888" s="20" t="str">
        <f>IFERROR(__xludf.DUMMYFUNCTION("""COMPUTED_VALUE"""),"Hard")</f>
        <v>Hard</v>
      </c>
      <c r="F888" s="20">
        <f>IFERROR(__xludf.DUMMYFUNCTION("""COMPUTED_VALUE"""),3050.0)</f>
        <v>3050</v>
      </c>
      <c r="G888" s="20">
        <f>IFERROR(__xludf.DUMMYFUNCTION("""COMPUTED_VALUE"""),151.0)</f>
        <v>151</v>
      </c>
      <c r="H888" s="20" t="str">
        <f>IFERROR(__xludf.DUMMYFUNCTION("""COMPUTED_VALUE"""),"Algorithms")</f>
        <v>Algorithms</v>
      </c>
      <c r="I888" s="20">
        <f>IFERROR(__xludf.DUMMYFUNCTION("""COMPUTED_VALUE"""),0.272)</f>
        <v>0.272</v>
      </c>
      <c r="J888" s="20">
        <f>IFERROR(__xludf.DUMMYFUNCTION("""COMPUTED_VALUE"""),887.0)</f>
        <v>887</v>
      </c>
      <c r="K888" s="20" t="b">
        <f>IFERROR(__xludf.DUMMYFUNCTION("""COMPUTED_VALUE"""),FALSE)</f>
        <v>0</v>
      </c>
      <c r="L888" s="20" t="str">
        <f>IFERROR(__xludf.DUMMYFUNCTION("""COMPUTED_VALUE"""),"Math;Binary Search;Dynamic Programming;")</f>
        <v>Math;Binary Search;Dynamic Programming;</v>
      </c>
      <c r="M888" s="20" t="b">
        <f>IFERROR(__xludf.DUMMYFUNCTION("""COMPUTED_VALUE"""),TRUE)</f>
        <v>1</v>
      </c>
      <c r="N888" s="20" t="b">
        <f>IFERROR(__xludf.DUMMYFUNCTION("""COMPUTED_VALUE"""),FALSE)</f>
        <v>0</v>
      </c>
      <c r="O888" s="20">
        <f>IFERROR(__xludf.DUMMYFUNCTION("""COMPUTED_VALUE"""),27.1877439406927)</f>
        <v>27.18774394</v>
      </c>
      <c r="P888" s="20">
        <f>IFERROR(__xludf.DUMMYFUNCTION("""COMPUTED_VALUE"""),56771.0)</f>
        <v>56771</v>
      </c>
      <c r="Q888" s="20">
        <f>IFERROR(__xludf.DUMMYFUNCTION("""COMPUTED_VALUE"""),208810.0)</f>
        <v>208810</v>
      </c>
    </row>
    <row r="889">
      <c r="A889" s="20">
        <f>IFERROR(__xludf.DUMMYFUNCTION("""COMPUTED_VALUE"""),924.0)</f>
        <v>924</v>
      </c>
      <c r="B889" s="20" t="str">
        <f>IFERROR(__xludf.DUMMYFUNCTION("""COMPUTED_VALUE"""),"Fair Candy Swap")</f>
        <v>Fair Candy Swap</v>
      </c>
      <c r="C889" s="20" t="str">
        <f>IFERROR(__xludf.DUMMYFUNCTION("""COMPUTED_VALUE"""),"fair-candy-swap")</f>
        <v>fair-candy-swap</v>
      </c>
      <c r="D889" s="20" t="b">
        <f>IFERROR(__xludf.DUMMYFUNCTION("""COMPUTED_VALUE"""),FALSE)</f>
        <v>0</v>
      </c>
      <c r="E889" s="20" t="str">
        <f>IFERROR(__xludf.DUMMYFUNCTION("""COMPUTED_VALUE"""),"Easy")</f>
        <v>Easy</v>
      </c>
      <c r="F889" s="20">
        <f>IFERROR(__xludf.DUMMYFUNCTION("""COMPUTED_VALUE"""),1640.0)</f>
        <v>1640</v>
      </c>
      <c r="G889" s="20">
        <f>IFERROR(__xludf.DUMMYFUNCTION("""COMPUTED_VALUE"""),299.0)</f>
        <v>299</v>
      </c>
      <c r="H889" s="20" t="str">
        <f>IFERROR(__xludf.DUMMYFUNCTION("""COMPUTED_VALUE"""),"Algorithms")</f>
        <v>Algorithms</v>
      </c>
      <c r="I889" s="20">
        <f>IFERROR(__xludf.DUMMYFUNCTION("""COMPUTED_VALUE"""),0.606)</f>
        <v>0.606</v>
      </c>
      <c r="J889" s="20">
        <f>IFERROR(__xludf.DUMMYFUNCTION("""COMPUTED_VALUE"""),888.0)</f>
        <v>888</v>
      </c>
      <c r="K889" s="20" t="b">
        <f>IFERROR(__xludf.DUMMYFUNCTION("""COMPUTED_VALUE"""),FALSE)</f>
        <v>0</v>
      </c>
      <c r="L889" s="20" t="str">
        <f>IFERROR(__xludf.DUMMYFUNCTION("""COMPUTED_VALUE"""),"Array;Hash Table;Binary Search;Sorting;")</f>
        <v>Array;Hash Table;Binary Search;Sorting;</v>
      </c>
      <c r="M889" s="20" t="b">
        <f>IFERROR(__xludf.DUMMYFUNCTION("""COMPUTED_VALUE"""),TRUE)</f>
        <v>1</v>
      </c>
      <c r="N889" s="20" t="b">
        <f>IFERROR(__xludf.DUMMYFUNCTION("""COMPUTED_VALUE"""),FALSE)</f>
        <v>0</v>
      </c>
      <c r="O889" s="20">
        <f>IFERROR(__xludf.DUMMYFUNCTION("""COMPUTED_VALUE"""),60.6098587715466)</f>
        <v>60.60985877</v>
      </c>
      <c r="P889" s="20">
        <f>IFERROR(__xludf.DUMMYFUNCTION("""COMPUTED_VALUE"""),95745.0)</f>
        <v>95745</v>
      </c>
      <c r="Q889" s="20">
        <f>IFERROR(__xludf.DUMMYFUNCTION("""COMPUTED_VALUE"""),157969.0)</f>
        <v>157969</v>
      </c>
    </row>
    <row r="890">
      <c r="A890" s="20">
        <f>IFERROR(__xludf.DUMMYFUNCTION("""COMPUTED_VALUE"""),925.0)</f>
        <v>925</v>
      </c>
      <c r="B890" s="20" t="str">
        <f>IFERROR(__xludf.DUMMYFUNCTION("""COMPUTED_VALUE"""),"Construct Binary Tree from Preorder and Postorder Traversal")</f>
        <v>Construct Binary Tree from Preorder and Postorder Traversal</v>
      </c>
      <c r="C890" s="20" t="str">
        <f>IFERROR(__xludf.DUMMYFUNCTION("""COMPUTED_VALUE"""),"construct-binary-tree-from-preorder-and-postorder-traversal")</f>
        <v>construct-binary-tree-from-preorder-and-postorder-traversal</v>
      </c>
      <c r="D890" s="20" t="b">
        <f>IFERROR(__xludf.DUMMYFUNCTION("""COMPUTED_VALUE"""),FALSE)</f>
        <v>0</v>
      </c>
      <c r="E890" s="20" t="str">
        <f>IFERROR(__xludf.DUMMYFUNCTION("""COMPUTED_VALUE"""),"Medium")</f>
        <v>Medium</v>
      </c>
      <c r="F890" s="20">
        <f>IFERROR(__xludf.DUMMYFUNCTION("""COMPUTED_VALUE"""),2323.0)</f>
        <v>2323</v>
      </c>
      <c r="G890" s="20">
        <f>IFERROR(__xludf.DUMMYFUNCTION("""COMPUTED_VALUE"""),97.0)</f>
        <v>97</v>
      </c>
      <c r="H890" s="20" t="str">
        <f>IFERROR(__xludf.DUMMYFUNCTION("""COMPUTED_VALUE"""),"Algorithms")</f>
        <v>Algorithms</v>
      </c>
      <c r="I890" s="20">
        <f>IFERROR(__xludf.DUMMYFUNCTION("""COMPUTED_VALUE"""),0.709)</f>
        <v>0.709</v>
      </c>
      <c r="J890" s="20">
        <f>IFERROR(__xludf.DUMMYFUNCTION("""COMPUTED_VALUE"""),889.0)</f>
        <v>889</v>
      </c>
      <c r="K890" s="20" t="b">
        <f>IFERROR(__xludf.DUMMYFUNCTION("""COMPUTED_VALUE"""),FALSE)</f>
        <v>0</v>
      </c>
      <c r="L890" s="20" t="str">
        <f>IFERROR(__xludf.DUMMYFUNCTION("""COMPUTED_VALUE"""),"Array;Hash Table;Divide and Conquer;Tree;Binary Tree;")</f>
        <v>Array;Hash Table;Divide and Conquer;Tree;Binary Tree;</v>
      </c>
      <c r="M890" s="20" t="b">
        <f>IFERROR(__xludf.DUMMYFUNCTION("""COMPUTED_VALUE"""),FALSE)</f>
        <v>0</v>
      </c>
      <c r="N890" s="20" t="b">
        <f>IFERROR(__xludf.DUMMYFUNCTION("""COMPUTED_VALUE"""),FALSE)</f>
        <v>0</v>
      </c>
      <c r="O890" s="20">
        <f>IFERROR(__xludf.DUMMYFUNCTION("""COMPUTED_VALUE"""),70.9056978093108)</f>
        <v>70.90569781</v>
      </c>
      <c r="P890" s="20">
        <f>IFERROR(__xludf.DUMMYFUNCTION("""COMPUTED_VALUE"""),84346.0)</f>
        <v>84346</v>
      </c>
      <c r="Q890" s="20">
        <f>IFERROR(__xludf.DUMMYFUNCTION("""COMPUTED_VALUE"""),118956.0)</f>
        <v>118956</v>
      </c>
    </row>
    <row r="891">
      <c r="A891" s="20">
        <f>IFERROR(__xludf.DUMMYFUNCTION("""COMPUTED_VALUE"""),926.0)</f>
        <v>926</v>
      </c>
      <c r="B891" s="20" t="str">
        <f>IFERROR(__xludf.DUMMYFUNCTION("""COMPUTED_VALUE"""),"Find and Replace Pattern")</f>
        <v>Find and Replace Pattern</v>
      </c>
      <c r="C891" s="20" t="str">
        <f>IFERROR(__xludf.DUMMYFUNCTION("""COMPUTED_VALUE"""),"find-and-replace-pattern")</f>
        <v>find-and-replace-pattern</v>
      </c>
      <c r="D891" s="20" t="b">
        <f>IFERROR(__xludf.DUMMYFUNCTION("""COMPUTED_VALUE"""),FALSE)</f>
        <v>0</v>
      </c>
      <c r="E891" s="20" t="str">
        <f>IFERROR(__xludf.DUMMYFUNCTION("""COMPUTED_VALUE"""),"Medium")</f>
        <v>Medium</v>
      </c>
      <c r="F891" s="20">
        <f>IFERROR(__xludf.DUMMYFUNCTION("""COMPUTED_VALUE"""),3508.0)</f>
        <v>3508</v>
      </c>
      <c r="G891" s="20">
        <f>IFERROR(__xludf.DUMMYFUNCTION("""COMPUTED_VALUE"""),159.0)</f>
        <v>159</v>
      </c>
      <c r="H891" s="20" t="str">
        <f>IFERROR(__xludf.DUMMYFUNCTION("""COMPUTED_VALUE"""),"Algorithms")</f>
        <v>Algorithms</v>
      </c>
      <c r="I891" s="20">
        <f>IFERROR(__xludf.DUMMYFUNCTION("""COMPUTED_VALUE"""),0.778)</f>
        <v>0.778</v>
      </c>
      <c r="J891" s="20">
        <f>IFERROR(__xludf.DUMMYFUNCTION("""COMPUTED_VALUE"""),890.0)</f>
        <v>890</v>
      </c>
      <c r="K891" s="20" t="b">
        <f>IFERROR(__xludf.DUMMYFUNCTION("""COMPUTED_VALUE"""),FALSE)</f>
        <v>0</v>
      </c>
      <c r="L891" s="20" t="str">
        <f>IFERROR(__xludf.DUMMYFUNCTION("""COMPUTED_VALUE"""),"Array;Hash Table;String;")</f>
        <v>Array;Hash Table;String;</v>
      </c>
      <c r="M891" s="20" t="b">
        <f>IFERROR(__xludf.DUMMYFUNCTION("""COMPUTED_VALUE"""),TRUE)</f>
        <v>1</v>
      </c>
      <c r="N891" s="20" t="b">
        <f>IFERROR(__xludf.DUMMYFUNCTION("""COMPUTED_VALUE"""),FALSE)</f>
        <v>0</v>
      </c>
      <c r="O891" s="20">
        <f>IFERROR(__xludf.DUMMYFUNCTION("""COMPUTED_VALUE"""),77.8062766882061)</f>
        <v>77.80627669</v>
      </c>
      <c r="P891" s="20">
        <f>IFERROR(__xludf.DUMMYFUNCTION("""COMPUTED_VALUE"""),164717.0)</f>
        <v>164717</v>
      </c>
      <c r="Q891" s="20">
        <f>IFERROR(__xludf.DUMMYFUNCTION("""COMPUTED_VALUE"""),211699.0)</f>
        <v>211699</v>
      </c>
    </row>
    <row r="892">
      <c r="A892" s="20">
        <f>IFERROR(__xludf.DUMMYFUNCTION("""COMPUTED_VALUE"""),927.0)</f>
        <v>927</v>
      </c>
      <c r="B892" s="20" t="str">
        <f>IFERROR(__xludf.DUMMYFUNCTION("""COMPUTED_VALUE"""),"Sum of Subsequence Widths")</f>
        <v>Sum of Subsequence Widths</v>
      </c>
      <c r="C892" s="20" t="str">
        <f>IFERROR(__xludf.DUMMYFUNCTION("""COMPUTED_VALUE"""),"sum-of-subsequence-widths")</f>
        <v>sum-of-subsequence-widths</v>
      </c>
      <c r="D892" s="20" t="b">
        <f>IFERROR(__xludf.DUMMYFUNCTION("""COMPUTED_VALUE"""),FALSE)</f>
        <v>0</v>
      </c>
      <c r="E892" s="20" t="str">
        <f>IFERROR(__xludf.DUMMYFUNCTION("""COMPUTED_VALUE"""),"Hard")</f>
        <v>Hard</v>
      </c>
      <c r="F892" s="20">
        <f>IFERROR(__xludf.DUMMYFUNCTION("""COMPUTED_VALUE"""),612.0)</f>
        <v>612</v>
      </c>
      <c r="G892" s="20">
        <f>IFERROR(__xludf.DUMMYFUNCTION("""COMPUTED_VALUE"""),162.0)</f>
        <v>162</v>
      </c>
      <c r="H892" s="20" t="str">
        <f>IFERROR(__xludf.DUMMYFUNCTION("""COMPUTED_VALUE"""),"Algorithms")</f>
        <v>Algorithms</v>
      </c>
      <c r="I892" s="20">
        <f>IFERROR(__xludf.DUMMYFUNCTION("""COMPUTED_VALUE"""),0.365)</f>
        <v>0.365</v>
      </c>
      <c r="J892" s="20">
        <f>IFERROR(__xludf.DUMMYFUNCTION("""COMPUTED_VALUE"""),891.0)</f>
        <v>891</v>
      </c>
      <c r="K892" s="20" t="b">
        <f>IFERROR(__xludf.DUMMYFUNCTION("""COMPUTED_VALUE"""),FALSE)</f>
        <v>0</v>
      </c>
      <c r="L892" s="20" t="str">
        <f>IFERROR(__xludf.DUMMYFUNCTION("""COMPUTED_VALUE"""),"Array;Math;Sorting;")</f>
        <v>Array;Math;Sorting;</v>
      </c>
      <c r="M892" s="20" t="b">
        <f>IFERROR(__xludf.DUMMYFUNCTION("""COMPUTED_VALUE"""),TRUE)</f>
        <v>1</v>
      </c>
      <c r="N892" s="20" t="b">
        <f>IFERROR(__xludf.DUMMYFUNCTION("""COMPUTED_VALUE"""),FALSE)</f>
        <v>0</v>
      </c>
      <c r="O892" s="20">
        <f>IFERROR(__xludf.DUMMYFUNCTION("""COMPUTED_VALUE"""),36.4888825483522)</f>
        <v>36.48888255</v>
      </c>
      <c r="P892" s="20">
        <f>IFERROR(__xludf.DUMMYFUNCTION("""COMPUTED_VALUE"""),17904.0)</f>
        <v>17904</v>
      </c>
      <c r="Q892" s="20">
        <f>IFERROR(__xludf.DUMMYFUNCTION("""COMPUTED_VALUE"""),49067.0)</f>
        <v>49067</v>
      </c>
    </row>
    <row r="893">
      <c r="A893" s="20">
        <f>IFERROR(__xludf.DUMMYFUNCTION("""COMPUTED_VALUE"""),928.0)</f>
        <v>928</v>
      </c>
      <c r="B893" s="20" t="str">
        <f>IFERROR(__xludf.DUMMYFUNCTION("""COMPUTED_VALUE"""),"Surface Area of 3D Shapes")</f>
        <v>Surface Area of 3D Shapes</v>
      </c>
      <c r="C893" s="20" t="str">
        <f>IFERROR(__xludf.DUMMYFUNCTION("""COMPUTED_VALUE"""),"surface-area-of-3d-shapes")</f>
        <v>surface-area-of-3d-shapes</v>
      </c>
      <c r="D893" s="20" t="b">
        <f>IFERROR(__xludf.DUMMYFUNCTION("""COMPUTED_VALUE"""),FALSE)</f>
        <v>0</v>
      </c>
      <c r="E893" s="20" t="str">
        <f>IFERROR(__xludf.DUMMYFUNCTION("""COMPUTED_VALUE"""),"Easy")</f>
        <v>Easy</v>
      </c>
      <c r="F893" s="20">
        <f>IFERROR(__xludf.DUMMYFUNCTION("""COMPUTED_VALUE"""),471.0)</f>
        <v>471</v>
      </c>
      <c r="G893" s="20">
        <f>IFERROR(__xludf.DUMMYFUNCTION("""COMPUTED_VALUE"""),664.0)</f>
        <v>664</v>
      </c>
      <c r="H893" s="20" t="str">
        <f>IFERROR(__xludf.DUMMYFUNCTION("""COMPUTED_VALUE"""),"Algorithms")</f>
        <v>Algorithms</v>
      </c>
      <c r="I893" s="20">
        <f>IFERROR(__xludf.DUMMYFUNCTION("""COMPUTED_VALUE"""),0.635)</f>
        <v>0.635</v>
      </c>
      <c r="J893" s="20">
        <f>IFERROR(__xludf.DUMMYFUNCTION("""COMPUTED_VALUE"""),892.0)</f>
        <v>892</v>
      </c>
      <c r="K893" s="20" t="b">
        <f>IFERROR(__xludf.DUMMYFUNCTION("""COMPUTED_VALUE"""),FALSE)</f>
        <v>0</v>
      </c>
      <c r="L893" s="20" t="str">
        <f>IFERROR(__xludf.DUMMYFUNCTION("""COMPUTED_VALUE"""),"Array;Math;Geometry;Matrix;")</f>
        <v>Array;Math;Geometry;Matrix;</v>
      </c>
      <c r="M893" s="20" t="b">
        <f>IFERROR(__xludf.DUMMYFUNCTION("""COMPUTED_VALUE"""),FALSE)</f>
        <v>0</v>
      </c>
      <c r="N893" s="20" t="b">
        <f>IFERROR(__xludf.DUMMYFUNCTION("""COMPUTED_VALUE"""),FALSE)</f>
        <v>0</v>
      </c>
      <c r="O893" s="20">
        <f>IFERROR(__xludf.DUMMYFUNCTION("""COMPUTED_VALUE"""),63.480210567362)</f>
        <v>63.48021057</v>
      </c>
      <c r="P893" s="20">
        <f>IFERROR(__xludf.DUMMYFUNCTION("""COMPUTED_VALUE"""),32558.0)</f>
        <v>32558</v>
      </c>
      <c r="Q893" s="20">
        <f>IFERROR(__xludf.DUMMYFUNCTION("""COMPUTED_VALUE"""),51287.0)</f>
        <v>51287</v>
      </c>
    </row>
    <row r="894">
      <c r="A894" s="20">
        <f>IFERROR(__xludf.DUMMYFUNCTION("""COMPUTED_VALUE"""),929.0)</f>
        <v>929</v>
      </c>
      <c r="B894" s="20" t="str">
        <f>IFERROR(__xludf.DUMMYFUNCTION("""COMPUTED_VALUE"""),"Groups of Special-Equivalent Strings")</f>
        <v>Groups of Special-Equivalent Strings</v>
      </c>
      <c r="C894" s="20" t="str">
        <f>IFERROR(__xludf.DUMMYFUNCTION("""COMPUTED_VALUE"""),"groups-of-special-equivalent-strings")</f>
        <v>groups-of-special-equivalent-strings</v>
      </c>
      <c r="D894" s="20" t="b">
        <f>IFERROR(__xludf.DUMMYFUNCTION("""COMPUTED_VALUE"""),FALSE)</f>
        <v>0</v>
      </c>
      <c r="E894" s="20" t="str">
        <f>IFERROR(__xludf.DUMMYFUNCTION("""COMPUTED_VALUE"""),"Medium")</f>
        <v>Medium</v>
      </c>
      <c r="F894" s="20">
        <f>IFERROR(__xludf.DUMMYFUNCTION("""COMPUTED_VALUE"""),471.0)</f>
        <v>471</v>
      </c>
      <c r="G894" s="20">
        <f>IFERROR(__xludf.DUMMYFUNCTION("""COMPUTED_VALUE"""),1434.0)</f>
        <v>1434</v>
      </c>
      <c r="H894" s="20" t="str">
        <f>IFERROR(__xludf.DUMMYFUNCTION("""COMPUTED_VALUE"""),"Algorithms")</f>
        <v>Algorithms</v>
      </c>
      <c r="I894" s="20">
        <f>IFERROR(__xludf.DUMMYFUNCTION("""COMPUTED_VALUE"""),0.71)</f>
        <v>0.71</v>
      </c>
      <c r="J894" s="20">
        <f>IFERROR(__xludf.DUMMYFUNCTION("""COMPUTED_VALUE"""),893.0)</f>
        <v>893</v>
      </c>
      <c r="K894" s="20" t="b">
        <f>IFERROR(__xludf.DUMMYFUNCTION("""COMPUTED_VALUE"""),FALSE)</f>
        <v>0</v>
      </c>
      <c r="L894" s="20" t="str">
        <f>IFERROR(__xludf.DUMMYFUNCTION("""COMPUTED_VALUE"""),"Array;Hash Table;String;")</f>
        <v>Array;Hash Table;String;</v>
      </c>
      <c r="M894" s="20" t="b">
        <f>IFERROR(__xludf.DUMMYFUNCTION("""COMPUTED_VALUE"""),FALSE)</f>
        <v>0</v>
      </c>
      <c r="N894" s="20" t="b">
        <f>IFERROR(__xludf.DUMMYFUNCTION("""COMPUTED_VALUE"""),FALSE)</f>
        <v>0</v>
      </c>
      <c r="O894" s="20">
        <f>IFERROR(__xludf.DUMMYFUNCTION("""COMPUTED_VALUE"""),70.964609932521)</f>
        <v>70.96460993</v>
      </c>
      <c r="P894" s="20">
        <f>IFERROR(__xludf.DUMMYFUNCTION("""COMPUTED_VALUE"""),43854.0)</f>
        <v>43854</v>
      </c>
      <c r="Q894" s="20">
        <f>IFERROR(__xludf.DUMMYFUNCTION("""COMPUTED_VALUE"""),61797.0)</f>
        <v>61797</v>
      </c>
    </row>
    <row r="895">
      <c r="A895" s="20">
        <f>IFERROR(__xludf.DUMMYFUNCTION("""COMPUTED_VALUE"""),930.0)</f>
        <v>930</v>
      </c>
      <c r="B895" s="20" t="str">
        <f>IFERROR(__xludf.DUMMYFUNCTION("""COMPUTED_VALUE"""),"All Possible Full Binary Trees")</f>
        <v>All Possible Full Binary Trees</v>
      </c>
      <c r="C895" s="20" t="str">
        <f>IFERROR(__xludf.DUMMYFUNCTION("""COMPUTED_VALUE"""),"all-possible-full-binary-trees")</f>
        <v>all-possible-full-binary-trees</v>
      </c>
      <c r="D895" s="20" t="b">
        <f>IFERROR(__xludf.DUMMYFUNCTION("""COMPUTED_VALUE"""),FALSE)</f>
        <v>0</v>
      </c>
      <c r="E895" s="20" t="str">
        <f>IFERROR(__xludf.DUMMYFUNCTION("""COMPUTED_VALUE"""),"Medium")</f>
        <v>Medium</v>
      </c>
      <c r="F895" s="20">
        <f>IFERROR(__xludf.DUMMYFUNCTION("""COMPUTED_VALUE"""),3334.0)</f>
        <v>3334</v>
      </c>
      <c r="G895" s="20">
        <f>IFERROR(__xludf.DUMMYFUNCTION("""COMPUTED_VALUE"""),237.0)</f>
        <v>237</v>
      </c>
      <c r="H895" s="20" t="str">
        <f>IFERROR(__xludf.DUMMYFUNCTION("""COMPUTED_VALUE"""),"Algorithms")</f>
        <v>Algorithms</v>
      </c>
      <c r="I895" s="20">
        <f>IFERROR(__xludf.DUMMYFUNCTION("""COMPUTED_VALUE"""),0.8)</f>
        <v>0.8</v>
      </c>
      <c r="J895" s="20">
        <f>IFERROR(__xludf.DUMMYFUNCTION("""COMPUTED_VALUE"""),894.0)</f>
        <v>894</v>
      </c>
      <c r="K895" s="20" t="b">
        <f>IFERROR(__xludf.DUMMYFUNCTION("""COMPUTED_VALUE"""),FALSE)</f>
        <v>0</v>
      </c>
      <c r="L895" s="20" t="str">
        <f>IFERROR(__xludf.DUMMYFUNCTION("""COMPUTED_VALUE"""),"Dynamic Programming;Tree;Recursion;Memoization;Binary Tree;")</f>
        <v>Dynamic Programming;Tree;Recursion;Memoization;Binary Tree;</v>
      </c>
      <c r="M895" s="20" t="b">
        <f>IFERROR(__xludf.DUMMYFUNCTION("""COMPUTED_VALUE"""),TRUE)</f>
        <v>1</v>
      </c>
      <c r="N895" s="20" t="b">
        <f>IFERROR(__xludf.DUMMYFUNCTION("""COMPUTED_VALUE"""),FALSE)</f>
        <v>0</v>
      </c>
      <c r="O895" s="20">
        <f>IFERROR(__xludf.DUMMYFUNCTION("""COMPUTED_VALUE"""),80.0023574712192)</f>
        <v>80.00235747</v>
      </c>
      <c r="P895" s="20">
        <f>IFERROR(__xludf.DUMMYFUNCTION("""COMPUTED_VALUE"""),101806.0)</f>
        <v>101806</v>
      </c>
      <c r="Q895" s="20">
        <f>IFERROR(__xludf.DUMMYFUNCTION("""COMPUTED_VALUE"""),127254.0)</f>
        <v>127254</v>
      </c>
    </row>
    <row r="896">
      <c r="A896" s="20">
        <f>IFERROR(__xludf.DUMMYFUNCTION("""COMPUTED_VALUE"""),931.0)</f>
        <v>931</v>
      </c>
      <c r="B896" s="20" t="str">
        <f>IFERROR(__xludf.DUMMYFUNCTION("""COMPUTED_VALUE"""),"Maximum Frequency Stack")</f>
        <v>Maximum Frequency Stack</v>
      </c>
      <c r="C896" s="20" t="str">
        <f>IFERROR(__xludf.DUMMYFUNCTION("""COMPUTED_VALUE"""),"maximum-frequency-stack")</f>
        <v>maximum-frequency-stack</v>
      </c>
      <c r="D896" s="20" t="b">
        <f>IFERROR(__xludf.DUMMYFUNCTION("""COMPUTED_VALUE"""),FALSE)</f>
        <v>0</v>
      </c>
      <c r="E896" s="20" t="str">
        <f>IFERROR(__xludf.DUMMYFUNCTION("""COMPUTED_VALUE"""),"Hard")</f>
        <v>Hard</v>
      </c>
      <c r="F896" s="20">
        <f>IFERROR(__xludf.DUMMYFUNCTION("""COMPUTED_VALUE"""),4143.0)</f>
        <v>4143</v>
      </c>
      <c r="G896" s="20">
        <f>IFERROR(__xludf.DUMMYFUNCTION("""COMPUTED_VALUE"""),63.0)</f>
        <v>63</v>
      </c>
      <c r="H896" s="20" t="str">
        <f>IFERROR(__xludf.DUMMYFUNCTION("""COMPUTED_VALUE"""),"Algorithms")</f>
        <v>Algorithms</v>
      </c>
      <c r="I896" s="20">
        <f>IFERROR(__xludf.DUMMYFUNCTION("""COMPUTED_VALUE"""),0.667)</f>
        <v>0.667</v>
      </c>
      <c r="J896" s="20">
        <f>IFERROR(__xludf.DUMMYFUNCTION("""COMPUTED_VALUE"""),895.0)</f>
        <v>895</v>
      </c>
      <c r="K896" s="20" t="b">
        <f>IFERROR(__xludf.DUMMYFUNCTION("""COMPUTED_VALUE"""),FALSE)</f>
        <v>0</v>
      </c>
      <c r="L896" s="20" t="str">
        <f>IFERROR(__xludf.DUMMYFUNCTION("""COMPUTED_VALUE"""),"Hash Table;Stack;Design;Ordered Set;")</f>
        <v>Hash Table;Stack;Design;Ordered Set;</v>
      </c>
      <c r="M896" s="20" t="b">
        <f>IFERROR(__xludf.DUMMYFUNCTION("""COMPUTED_VALUE"""),TRUE)</f>
        <v>1</v>
      </c>
      <c r="N896" s="20" t="b">
        <f>IFERROR(__xludf.DUMMYFUNCTION("""COMPUTED_VALUE"""),FALSE)</f>
        <v>0</v>
      </c>
      <c r="O896" s="20">
        <f>IFERROR(__xludf.DUMMYFUNCTION("""COMPUTED_VALUE"""),66.7089833047163)</f>
        <v>66.7089833</v>
      </c>
      <c r="P896" s="20">
        <f>IFERROR(__xludf.DUMMYFUNCTION("""COMPUTED_VALUE"""),146075.0)</f>
        <v>146075</v>
      </c>
      <c r="Q896" s="20">
        <f>IFERROR(__xludf.DUMMYFUNCTION("""COMPUTED_VALUE"""),218976.0)</f>
        <v>218976</v>
      </c>
    </row>
    <row r="897">
      <c r="A897" s="20">
        <f>IFERROR(__xludf.DUMMYFUNCTION("""COMPUTED_VALUE"""),932.0)</f>
        <v>932</v>
      </c>
      <c r="B897" s="20" t="str">
        <f>IFERROR(__xludf.DUMMYFUNCTION("""COMPUTED_VALUE"""),"Monotonic Array")</f>
        <v>Monotonic Array</v>
      </c>
      <c r="C897" s="20" t="str">
        <f>IFERROR(__xludf.DUMMYFUNCTION("""COMPUTED_VALUE"""),"monotonic-array")</f>
        <v>monotonic-array</v>
      </c>
      <c r="D897" s="20" t="b">
        <f>IFERROR(__xludf.DUMMYFUNCTION("""COMPUTED_VALUE"""),FALSE)</f>
        <v>0</v>
      </c>
      <c r="E897" s="20" t="str">
        <f>IFERROR(__xludf.DUMMYFUNCTION("""COMPUTED_VALUE"""),"Easy")</f>
        <v>Easy</v>
      </c>
      <c r="F897" s="20">
        <f>IFERROR(__xludf.DUMMYFUNCTION("""COMPUTED_VALUE"""),1870.0)</f>
        <v>1870</v>
      </c>
      <c r="G897" s="20">
        <f>IFERROR(__xludf.DUMMYFUNCTION("""COMPUTED_VALUE"""),60.0)</f>
        <v>60</v>
      </c>
      <c r="H897" s="20" t="str">
        <f>IFERROR(__xludf.DUMMYFUNCTION("""COMPUTED_VALUE"""),"Algorithms")</f>
        <v>Algorithms</v>
      </c>
      <c r="I897" s="20">
        <f>IFERROR(__xludf.DUMMYFUNCTION("""COMPUTED_VALUE"""),0.583)</f>
        <v>0.583</v>
      </c>
      <c r="J897" s="20">
        <f>IFERROR(__xludf.DUMMYFUNCTION("""COMPUTED_VALUE"""),896.0)</f>
        <v>896</v>
      </c>
      <c r="K897" s="20" t="b">
        <f>IFERROR(__xludf.DUMMYFUNCTION("""COMPUTED_VALUE"""),FALSE)</f>
        <v>0</v>
      </c>
      <c r="L897" s="20" t="str">
        <f>IFERROR(__xludf.DUMMYFUNCTION("""COMPUTED_VALUE"""),"Array;")</f>
        <v>Array;</v>
      </c>
      <c r="M897" s="20" t="b">
        <f>IFERROR(__xludf.DUMMYFUNCTION("""COMPUTED_VALUE"""),TRUE)</f>
        <v>1</v>
      </c>
      <c r="N897" s="20" t="b">
        <f>IFERROR(__xludf.DUMMYFUNCTION("""COMPUTED_VALUE"""),FALSE)</f>
        <v>0</v>
      </c>
      <c r="O897" s="20">
        <f>IFERROR(__xludf.DUMMYFUNCTION("""COMPUTED_VALUE"""),58.2783566131307)</f>
        <v>58.27835661</v>
      </c>
      <c r="P897" s="20">
        <f>IFERROR(__xludf.DUMMYFUNCTION("""COMPUTED_VALUE"""),243368.0)</f>
        <v>243368</v>
      </c>
      <c r="Q897" s="20">
        <f>IFERROR(__xludf.DUMMYFUNCTION("""COMPUTED_VALUE"""),417597.0)</f>
        <v>417597</v>
      </c>
    </row>
    <row r="898">
      <c r="A898" s="20">
        <f>IFERROR(__xludf.DUMMYFUNCTION("""COMPUTED_VALUE"""),933.0)</f>
        <v>933</v>
      </c>
      <c r="B898" s="20" t="str">
        <f>IFERROR(__xludf.DUMMYFUNCTION("""COMPUTED_VALUE"""),"Increasing Order Search Tree")</f>
        <v>Increasing Order Search Tree</v>
      </c>
      <c r="C898" s="20" t="str">
        <f>IFERROR(__xludf.DUMMYFUNCTION("""COMPUTED_VALUE"""),"increasing-order-search-tree")</f>
        <v>increasing-order-search-tree</v>
      </c>
      <c r="D898" s="20" t="b">
        <f>IFERROR(__xludf.DUMMYFUNCTION("""COMPUTED_VALUE"""),FALSE)</f>
        <v>0</v>
      </c>
      <c r="E898" s="20" t="str">
        <f>IFERROR(__xludf.DUMMYFUNCTION("""COMPUTED_VALUE"""),"Easy")</f>
        <v>Easy</v>
      </c>
      <c r="F898" s="20">
        <f>IFERROR(__xludf.DUMMYFUNCTION("""COMPUTED_VALUE"""),3704.0)</f>
        <v>3704</v>
      </c>
      <c r="G898" s="20">
        <f>IFERROR(__xludf.DUMMYFUNCTION("""COMPUTED_VALUE"""),640.0)</f>
        <v>640</v>
      </c>
      <c r="H898" s="20" t="str">
        <f>IFERROR(__xludf.DUMMYFUNCTION("""COMPUTED_VALUE"""),"Algorithms")</f>
        <v>Algorithms</v>
      </c>
      <c r="I898" s="20">
        <f>IFERROR(__xludf.DUMMYFUNCTION("""COMPUTED_VALUE"""),0.785)</f>
        <v>0.785</v>
      </c>
      <c r="J898" s="20">
        <f>IFERROR(__xludf.DUMMYFUNCTION("""COMPUTED_VALUE"""),897.0)</f>
        <v>897</v>
      </c>
      <c r="K898" s="20" t="b">
        <f>IFERROR(__xludf.DUMMYFUNCTION("""COMPUTED_VALUE"""),FALSE)</f>
        <v>0</v>
      </c>
      <c r="L898" s="20" t="str">
        <f>IFERROR(__xludf.DUMMYFUNCTION("""COMPUTED_VALUE"""),"Stack;Tree;Depth-First Search;Binary Search Tree;Binary Tree;")</f>
        <v>Stack;Tree;Depth-First Search;Binary Search Tree;Binary Tree;</v>
      </c>
      <c r="M898" s="20" t="b">
        <f>IFERROR(__xludf.DUMMYFUNCTION("""COMPUTED_VALUE"""),TRUE)</f>
        <v>1</v>
      </c>
      <c r="N898" s="20" t="b">
        <f>IFERROR(__xludf.DUMMYFUNCTION("""COMPUTED_VALUE"""),FALSE)</f>
        <v>0</v>
      </c>
      <c r="O898" s="20">
        <f>IFERROR(__xludf.DUMMYFUNCTION("""COMPUTED_VALUE"""),78.4783566725645)</f>
        <v>78.47835667</v>
      </c>
      <c r="P898" s="20">
        <f>IFERROR(__xludf.DUMMYFUNCTION("""COMPUTED_VALUE"""),238624.0)</f>
        <v>238624</v>
      </c>
      <c r="Q898" s="20">
        <f>IFERROR(__xludf.DUMMYFUNCTION("""COMPUTED_VALUE"""),304064.0)</f>
        <v>304064</v>
      </c>
    </row>
    <row r="899">
      <c r="A899" s="20">
        <f>IFERROR(__xludf.DUMMYFUNCTION("""COMPUTED_VALUE"""),934.0)</f>
        <v>934</v>
      </c>
      <c r="B899" s="20" t="str">
        <f>IFERROR(__xludf.DUMMYFUNCTION("""COMPUTED_VALUE"""),"Bitwise ORs of Subarrays")</f>
        <v>Bitwise ORs of Subarrays</v>
      </c>
      <c r="C899" s="20" t="str">
        <f>IFERROR(__xludf.DUMMYFUNCTION("""COMPUTED_VALUE"""),"bitwise-ors-of-subarrays")</f>
        <v>bitwise-ors-of-subarrays</v>
      </c>
      <c r="D899" s="20" t="b">
        <f>IFERROR(__xludf.DUMMYFUNCTION("""COMPUTED_VALUE"""),FALSE)</f>
        <v>0</v>
      </c>
      <c r="E899" s="20" t="str">
        <f>IFERROR(__xludf.DUMMYFUNCTION("""COMPUTED_VALUE"""),"Medium")</f>
        <v>Medium</v>
      </c>
      <c r="F899" s="20">
        <f>IFERROR(__xludf.DUMMYFUNCTION("""COMPUTED_VALUE"""),1183.0)</f>
        <v>1183</v>
      </c>
      <c r="G899" s="20">
        <f>IFERROR(__xludf.DUMMYFUNCTION("""COMPUTED_VALUE"""),192.0)</f>
        <v>192</v>
      </c>
      <c r="H899" s="20" t="str">
        <f>IFERROR(__xludf.DUMMYFUNCTION("""COMPUTED_VALUE"""),"Algorithms")</f>
        <v>Algorithms</v>
      </c>
      <c r="I899" s="20">
        <f>IFERROR(__xludf.DUMMYFUNCTION("""COMPUTED_VALUE"""),0.37)</f>
        <v>0.37</v>
      </c>
      <c r="J899" s="20">
        <f>IFERROR(__xludf.DUMMYFUNCTION("""COMPUTED_VALUE"""),898.0)</f>
        <v>898</v>
      </c>
      <c r="K899" s="20" t="b">
        <f>IFERROR(__xludf.DUMMYFUNCTION("""COMPUTED_VALUE"""),FALSE)</f>
        <v>0</v>
      </c>
      <c r="L899" s="20" t="str">
        <f>IFERROR(__xludf.DUMMYFUNCTION("""COMPUTED_VALUE"""),"Array;Dynamic Programming;Bit Manipulation;")</f>
        <v>Array;Dynamic Programming;Bit Manipulation;</v>
      </c>
      <c r="M899" s="20" t="b">
        <f>IFERROR(__xludf.DUMMYFUNCTION("""COMPUTED_VALUE"""),TRUE)</f>
        <v>1</v>
      </c>
      <c r="N899" s="20" t="b">
        <f>IFERROR(__xludf.DUMMYFUNCTION("""COMPUTED_VALUE"""),FALSE)</f>
        <v>0</v>
      </c>
      <c r="O899" s="20">
        <f>IFERROR(__xludf.DUMMYFUNCTION("""COMPUTED_VALUE"""),36.975573373112)</f>
        <v>36.97557337</v>
      </c>
      <c r="P899" s="20">
        <f>IFERROR(__xludf.DUMMYFUNCTION("""COMPUTED_VALUE"""),29745.0)</f>
        <v>29745</v>
      </c>
      <c r="Q899" s="20">
        <f>IFERROR(__xludf.DUMMYFUNCTION("""COMPUTED_VALUE"""),80445.0)</f>
        <v>80445</v>
      </c>
    </row>
    <row r="900">
      <c r="A900" s="20">
        <f>IFERROR(__xludf.DUMMYFUNCTION("""COMPUTED_VALUE"""),935.0)</f>
        <v>935</v>
      </c>
      <c r="B900" s="20" t="str">
        <f>IFERROR(__xludf.DUMMYFUNCTION("""COMPUTED_VALUE"""),"Orderly Queue")</f>
        <v>Orderly Queue</v>
      </c>
      <c r="C900" s="20" t="str">
        <f>IFERROR(__xludf.DUMMYFUNCTION("""COMPUTED_VALUE"""),"orderly-queue")</f>
        <v>orderly-queue</v>
      </c>
      <c r="D900" s="20" t="b">
        <f>IFERROR(__xludf.DUMMYFUNCTION("""COMPUTED_VALUE"""),FALSE)</f>
        <v>0</v>
      </c>
      <c r="E900" s="20" t="str">
        <f>IFERROR(__xludf.DUMMYFUNCTION("""COMPUTED_VALUE"""),"Hard")</f>
        <v>Hard</v>
      </c>
      <c r="F900" s="20">
        <f>IFERROR(__xludf.DUMMYFUNCTION("""COMPUTED_VALUE"""),1590.0)</f>
        <v>1590</v>
      </c>
      <c r="G900" s="20">
        <f>IFERROR(__xludf.DUMMYFUNCTION("""COMPUTED_VALUE"""),582.0)</f>
        <v>582</v>
      </c>
      <c r="H900" s="20" t="str">
        <f>IFERROR(__xludf.DUMMYFUNCTION("""COMPUTED_VALUE"""),"Algorithms")</f>
        <v>Algorithms</v>
      </c>
      <c r="I900" s="20">
        <f>IFERROR(__xludf.DUMMYFUNCTION("""COMPUTED_VALUE"""),0.665)</f>
        <v>0.665</v>
      </c>
      <c r="J900" s="20">
        <f>IFERROR(__xludf.DUMMYFUNCTION("""COMPUTED_VALUE"""),899.0)</f>
        <v>899</v>
      </c>
      <c r="K900" s="20" t="b">
        <f>IFERROR(__xludf.DUMMYFUNCTION("""COMPUTED_VALUE"""),FALSE)</f>
        <v>0</v>
      </c>
      <c r="L900" s="20" t="str">
        <f>IFERROR(__xludf.DUMMYFUNCTION("""COMPUTED_VALUE"""),"Math;String;Sorting;")</f>
        <v>Math;String;Sorting;</v>
      </c>
      <c r="M900" s="20" t="b">
        <f>IFERROR(__xludf.DUMMYFUNCTION("""COMPUTED_VALUE"""),TRUE)</f>
        <v>1</v>
      </c>
      <c r="N900" s="20" t="b">
        <f>IFERROR(__xludf.DUMMYFUNCTION("""COMPUTED_VALUE"""),FALSE)</f>
        <v>0</v>
      </c>
      <c r="O900" s="20">
        <f>IFERROR(__xludf.DUMMYFUNCTION("""COMPUTED_VALUE"""),66.4846495381183)</f>
        <v>66.48464954</v>
      </c>
      <c r="P900" s="20">
        <f>IFERROR(__xludf.DUMMYFUNCTION("""COMPUTED_VALUE"""),63191.0)</f>
        <v>63191</v>
      </c>
      <c r="Q900" s="20">
        <f>IFERROR(__xludf.DUMMYFUNCTION("""COMPUTED_VALUE"""),95046.0)</f>
        <v>95046</v>
      </c>
    </row>
    <row r="901">
      <c r="A901" s="20">
        <f>IFERROR(__xludf.DUMMYFUNCTION("""COMPUTED_VALUE"""),936.0)</f>
        <v>936</v>
      </c>
      <c r="B901" s="20" t="str">
        <f>IFERROR(__xludf.DUMMYFUNCTION("""COMPUTED_VALUE"""),"RLE Iterator")</f>
        <v>RLE Iterator</v>
      </c>
      <c r="C901" s="20" t="str">
        <f>IFERROR(__xludf.DUMMYFUNCTION("""COMPUTED_VALUE"""),"rle-iterator")</f>
        <v>rle-iterator</v>
      </c>
      <c r="D901" s="20" t="b">
        <f>IFERROR(__xludf.DUMMYFUNCTION("""COMPUTED_VALUE"""),FALSE)</f>
        <v>0</v>
      </c>
      <c r="E901" s="20" t="str">
        <f>IFERROR(__xludf.DUMMYFUNCTION("""COMPUTED_VALUE"""),"Medium")</f>
        <v>Medium</v>
      </c>
      <c r="F901" s="20">
        <f>IFERROR(__xludf.DUMMYFUNCTION("""COMPUTED_VALUE"""),633.0)</f>
        <v>633</v>
      </c>
      <c r="G901" s="20">
        <f>IFERROR(__xludf.DUMMYFUNCTION("""COMPUTED_VALUE"""),165.0)</f>
        <v>165</v>
      </c>
      <c r="H901" s="20" t="str">
        <f>IFERROR(__xludf.DUMMYFUNCTION("""COMPUTED_VALUE"""),"Algorithms")</f>
        <v>Algorithms</v>
      </c>
      <c r="I901" s="20">
        <f>IFERROR(__xludf.DUMMYFUNCTION("""COMPUTED_VALUE"""),0.595)</f>
        <v>0.595</v>
      </c>
      <c r="J901" s="20">
        <f>IFERROR(__xludf.DUMMYFUNCTION("""COMPUTED_VALUE"""),900.0)</f>
        <v>900</v>
      </c>
      <c r="K901" s="20" t="b">
        <f>IFERROR(__xludf.DUMMYFUNCTION("""COMPUTED_VALUE"""),FALSE)</f>
        <v>0</v>
      </c>
      <c r="L901" s="20" t="str">
        <f>IFERROR(__xludf.DUMMYFUNCTION("""COMPUTED_VALUE"""),"Array;Design;Counting;Iterator;")</f>
        <v>Array;Design;Counting;Iterator;</v>
      </c>
      <c r="M901" s="20" t="b">
        <f>IFERROR(__xludf.DUMMYFUNCTION("""COMPUTED_VALUE"""),FALSE)</f>
        <v>0</v>
      </c>
      <c r="N901" s="20" t="b">
        <f>IFERROR(__xludf.DUMMYFUNCTION("""COMPUTED_VALUE"""),FALSE)</f>
        <v>0</v>
      </c>
      <c r="O901" s="20">
        <f>IFERROR(__xludf.DUMMYFUNCTION("""COMPUTED_VALUE"""),59.4872089570822)</f>
        <v>59.48720896</v>
      </c>
      <c r="P901" s="20">
        <f>IFERROR(__xludf.DUMMYFUNCTION("""COMPUTED_VALUE"""),62110.0)</f>
        <v>62110</v>
      </c>
      <c r="Q901" s="20">
        <f>IFERROR(__xludf.DUMMYFUNCTION("""COMPUTED_VALUE"""),104409.0)</f>
        <v>104409</v>
      </c>
    </row>
    <row r="902">
      <c r="A902" s="20">
        <f>IFERROR(__xludf.DUMMYFUNCTION("""COMPUTED_VALUE"""),937.0)</f>
        <v>937</v>
      </c>
      <c r="B902" s="20" t="str">
        <f>IFERROR(__xludf.DUMMYFUNCTION("""COMPUTED_VALUE"""),"Online Stock Span")</f>
        <v>Online Stock Span</v>
      </c>
      <c r="C902" s="20" t="str">
        <f>IFERROR(__xludf.DUMMYFUNCTION("""COMPUTED_VALUE"""),"online-stock-span")</f>
        <v>online-stock-span</v>
      </c>
      <c r="D902" s="20" t="b">
        <f>IFERROR(__xludf.DUMMYFUNCTION("""COMPUTED_VALUE"""),FALSE)</f>
        <v>0</v>
      </c>
      <c r="E902" s="20" t="str">
        <f>IFERROR(__xludf.DUMMYFUNCTION("""COMPUTED_VALUE"""),"Medium")</f>
        <v>Medium</v>
      </c>
      <c r="F902" s="20">
        <f>IFERROR(__xludf.DUMMYFUNCTION("""COMPUTED_VALUE"""),4820.0)</f>
        <v>4820</v>
      </c>
      <c r="G902" s="20">
        <f>IFERROR(__xludf.DUMMYFUNCTION("""COMPUTED_VALUE"""),309.0)</f>
        <v>309</v>
      </c>
      <c r="H902" s="20" t="str">
        <f>IFERROR(__xludf.DUMMYFUNCTION("""COMPUTED_VALUE"""),"Algorithms")</f>
        <v>Algorithms</v>
      </c>
      <c r="I902" s="20">
        <f>IFERROR(__xludf.DUMMYFUNCTION("""COMPUTED_VALUE"""),0.653)</f>
        <v>0.653</v>
      </c>
      <c r="J902" s="20">
        <f>IFERROR(__xludf.DUMMYFUNCTION("""COMPUTED_VALUE"""),901.0)</f>
        <v>901</v>
      </c>
      <c r="K902" s="20" t="b">
        <f>IFERROR(__xludf.DUMMYFUNCTION("""COMPUTED_VALUE"""),FALSE)</f>
        <v>0</v>
      </c>
      <c r="L902" s="20" t="str">
        <f>IFERROR(__xludf.DUMMYFUNCTION("""COMPUTED_VALUE"""),"Stack;Design;Monotonic Stack;Data Stream;")</f>
        <v>Stack;Design;Monotonic Stack;Data Stream;</v>
      </c>
      <c r="M902" s="20" t="b">
        <f>IFERROR(__xludf.DUMMYFUNCTION("""COMPUTED_VALUE"""),TRUE)</f>
        <v>1</v>
      </c>
      <c r="N902" s="20" t="b">
        <f>IFERROR(__xludf.DUMMYFUNCTION("""COMPUTED_VALUE"""),FALSE)</f>
        <v>0</v>
      </c>
      <c r="O902" s="20">
        <f>IFERROR(__xludf.DUMMYFUNCTION("""COMPUTED_VALUE"""),65.2526577385061)</f>
        <v>65.25265774</v>
      </c>
      <c r="P902" s="20">
        <f>IFERROR(__xludf.DUMMYFUNCTION("""COMPUTED_VALUE"""),207948.0)</f>
        <v>207948</v>
      </c>
      <c r="Q902" s="20">
        <f>IFERROR(__xludf.DUMMYFUNCTION("""COMPUTED_VALUE"""),318682.0)</f>
        <v>318682</v>
      </c>
    </row>
    <row r="903">
      <c r="A903" s="20">
        <f>IFERROR(__xludf.DUMMYFUNCTION("""COMPUTED_VALUE"""),938.0)</f>
        <v>938</v>
      </c>
      <c r="B903" s="20" t="str">
        <f>IFERROR(__xludf.DUMMYFUNCTION("""COMPUTED_VALUE"""),"Numbers At Most N Given Digit Set")</f>
        <v>Numbers At Most N Given Digit Set</v>
      </c>
      <c r="C903" s="20" t="str">
        <f>IFERROR(__xludf.DUMMYFUNCTION("""COMPUTED_VALUE"""),"numbers-at-most-n-given-digit-set")</f>
        <v>numbers-at-most-n-given-digit-set</v>
      </c>
      <c r="D903" s="20" t="b">
        <f>IFERROR(__xludf.DUMMYFUNCTION("""COMPUTED_VALUE"""),FALSE)</f>
        <v>0</v>
      </c>
      <c r="E903" s="20" t="str">
        <f>IFERROR(__xludf.DUMMYFUNCTION("""COMPUTED_VALUE"""),"Hard")</f>
        <v>Hard</v>
      </c>
      <c r="F903" s="20">
        <f>IFERROR(__xludf.DUMMYFUNCTION("""COMPUTED_VALUE"""),1170.0)</f>
        <v>1170</v>
      </c>
      <c r="G903" s="20">
        <f>IFERROR(__xludf.DUMMYFUNCTION("""COMPUTED_VALUE"""),94.0)</f>
        <v>94</v>
      </c>
      <c r="H903" s="20" t="str">
        <f>IFERROR(__xludf.DUMMYFUNCTION("""COMPUTED_VALUE"""),"Algorithms")</f>
        <v>Algorithms</v>
      </c>
      <c r="I903" s="20">
        <f>IFERROR(__xludf.DUMMYFUNCTION("""COMPUTED_VALUE"""),0.415)</f>
        <v>0.415</v>
      </c>
      <c r="J903" s="20">
        <f>IFERROR(__xludf.DUMMYFUNCTION("""COMPUTED_VALUE"""),902.0)</f>
        <v>902</v>
      </c>
      <c r="K903" s="20" t="b">
        <f>IFERROR(__xludf.DUMMYFUNCTION("""COMPUTED_VALUE"""),FALSE)</f>
        <v>0</v>
      </c>
      <c r="L903" s="20" t="str">
        <f>IFERROR(__xludf.DUMMYFUNCTION("""COMPUTED_VALUE"""),"Array;Math;String;Binary Search;Dynamic Programming;")</f>
        <v>Array;Math;String;Binary Search;Dynamic Programming;</v>
      </c>
      <c r="M903" s="20" t="b">
        <f>IFERROR(__xludf.DUMMYFUNCTION("""COMPUTED_VALUE"""),TRUE)</f>
        <v>1</v>
      </c>
      <c r="N903" s="20" t="b">
        <f>IFERROR(__xludf.DUMMYFUNCTION("""COMPUTED_VALUE"""),FALSE)</f>
        <v>0</v>
      </c>
      <c r="O903" s="20">
        <f>IFERROR(__xludf.DUMMYFUNCTION("""COMPUTED_VALUE"""),41.4509309398412)</f>
        <v>41.45093094</v>
      </c>
      <c r="P903" s="20">
        <f>IFERROR(__xludf.DUMMYFUNCTION("""COMPUTED_VALUE"""),39115.0)</f>
        <v>39115</v>
      </c>
      <c r="Q903" s="20">
        <f>IFERROR(__xludf.DUMMYFUNCTION("""COMPUTED_VALUE"""),94366.0)</f>
        <v>94366</v>
      </c>
    </row>
    <row r="904">
      <c r="A904" s="20">
        <f>IFERROR(__xludf.DUMMYFUNCTION("""COMPUTED_VALUE"""),939.0)</f>
        <v>939</v>
      </c>
      <c r="B904" s="20" t="str">
        <f>IFERROR(__xludf.DUMMYFUNCTION("""COMPUTED_VALUE"""),"Valid Permutations for DI Sequence")</f>
        <v>Valid Permutations for DI Sequence</v>
      </c>
      <c r="C904" s="20" t="str">
        <f>IFERROR(__xludf.DUMMYFUNCTION("""COMPUTED_VALUE"""),"valid-permutations-for-di-sequence")</f>
        <v>valid-permutations-for-di-sequence</v>
      </c>
      <c r="D904" s="20" t="b">
        <f>IFERROR(__xludf.DUMMYFUNCTION("""COMPUTED_VALUE"""),FALSE)</f>
        <v>0</v>
      </c>
      <c r="E904" s="20" t="str">
        <f>IFERROR(__xludf.DUMMYFUNCTION("""COMPUTED_VALUE"""),"Hard")</f>
        <v>Hard</v>
      </c>
      <c r="F904" s="20">
        <f>IFERROR(__xludf.DUMMYFUNCTION("""COMPUTED_VALUE"""),635.0)</f>
        <v>635</v>
      </c>
      <c r="G904" s="20">
        <f>IFERROR(__xludf.DUMMYFUNCTION("""COMPUTED_VALUE"""),39.0)</f>
        <v>39</v>
      </c>
      <c r="H904" s="20" t="str">
        <f>IFERROR(__xludf.DUMMYFUNCTION("""COMPUTED_VALUE"""),"Algorithms")</f>
        <v>Algorithms</v>
      </c>
      <c r="I904" s="20">
        <f>IFERROR(__xludf.DUMMYFUNCTION("""COMPUTED_VALUE"""),0.58)</f>
        <v>0.58</v>
      </c>
      <c r="J904" s="20">
        <f>IFERROR(__xludf.DUMMYFUNCTION("""COMPUTED_VALUE"""),903.0)</f>
        <v>903</v>
      </c>
      <c r="K904" s="20" t="b">
        <f>IFERROR(__xludf.DUMMYFUNCTION("""COMPUTED_VALUE"""),FALSE)</f>
        <v>0</v>
      </c>
      <c r="L904" s="20" t="str">
        <f>IFERROR(__xludf.DUMMYFUNCTION("""COMPUTED_VALUE"""),"Dynamic Programming;")</f>
        <v>Dynamic Programming;</v>
      </c>
      <c r="M904" s="20" t="b">
        <f>IFERROR(__xludf.DUMMYFUNCTION("""COMPUTED_VALUE"""),FALSE)</f>
        <v>0</v>
      </c>
      <c r="N904" s="20" t="b">
        <f>IFERROR(__xludf.DUMMYFUNCTION("""COMPUTED_VALUE"""),FALSE)</f>
        <v>0</v>
      </c>
      <c r="O904" s="20">
        <f>IFERROR(__xludf.DUMMYFUNCTION("""COMPUTED_VALUE"""),57.9654510556621)</f>
        <v>57.96545106</v>
      </c>
      <c r="P904" s="20">
        <f>IFERROR(__xludf.DUMMYFUNCTION("""COMPUTED_VALUE"""),13288.0)</f>
        <v>13288</v>
      </c>
      <c r="Q904" s="20">
        <f>IFERROR(__xludf.DUMMYFUNCTION("""COMPUTED_VALUE"""),22924.0)</f>
        <v>22924</v>
      </c>
    </row>
    <row r="905">
      <c r="A905" s="20">
        <f>IFERROR(__xludf.DUMMYFUNCTION("""COMPUTED_VALUE"""),940.0)</f>
        <v>940</v>
      </c>
      <c r="B905" s="20" t="str">
        <f>IFERROR(__xludf.DUMMYFUNCTION("""COMPUTED_VALUE"""),"Fruit Into Baskets")</f>
        <v>Fruit Into Baskets</v>
      </c>
      <c r="C905" s="20" t="str">
        <f>IFERROR(__xludf.DUMMYFUNCTION("""COMPUTED_VALUE"""),"fruit-into-baskets")</f>
        <v>fruit-into-baskets</v>
      </c>
      <c r="D905" s="20" t="b">
        <f>IFERROR(__xludf.DUMMYFUNCTION("""COMPUTED_VALUE"""),FALSE)</f>
        <v>0</v>
      </c>
      <c r="E905" s="20" t="str">
        <f>IFERROR(__xludf.DUMMYFUNCTION("""COMPUTED_VALUE"""),"Medium")</f>
        <v>Medium</v>
      </c>
      <c r="F905" s="20">
        <f>IFERROR(__xludf.DUMMYFUNCTION("""COMPUTED_VALUE"""),1866.0)</f>
        <v>1866</v>
      </c>
      <c r="G905" s="20">
        <f>IFERROR(__xludf.DUMMYFUNCTION("""COMPUTED_VALUE"""),132.0)</f>
        <v>132</v>
      </c>
      <c r="H905" s="20" t="str">
        <f>IFERROR(__xludf.DUMMYFUNCTION("""COMPUTED_VALUE"""),"Algorithms")</f>
        <v>Algorithms</v>
      </c>
      <c r="I905" s="20">
        <f>IFERROR(__xludf.DUMMYFUNCTION("""COMPUTED_VALUE"""),0.426)</f>
        <v>0.426</v>
      </c>
      <c r="J905" s="20">
        <f>IFERROR(__xludf.DUMMYFUNCTION("""COMPUTED_VALUE"""),904.0)</f>
        <v>904</v>
      </c>
      <c r="K905" s="20" t="b">
        <f>IFERROR(__xludf.DUMMYFUNCTION("""COMPUTED_VALUE"""),FALSE)</f>
        <v>0</v>
      </c>
      <c r="L905" s="20" t="str">
        <f>IFERROR(__xludf.DUMMYFUNCTION("""COMPUTED_VALUE"""),"Array;Hash Table;Sliding Window;")</f>
        <v>Array;Hash Table;Sliding Window;</v>
      </c>
      <c r="M905" s="20" t="b">
        <f>IFERROR(__xludf.DUMMYFUNCTION("""COMPUTED_VALUE"""),TRUE)</f>
        <v>1</v>
      </c>
      <c r="N905" s="20" t="b">
        <f>IFERROR(__xludf.DUMMYFUNCTION("""COMPUTED_VALUE"""),FALSE)</f>
        <v>0</v>
      </c>
      <c r="O905" s="20">
        <f>IFERROR(__xludf.DUMMYFUNCTION("""COMPUTED_VALUE"""),42.5776950359428)</f>
        <v>42.57769504</v>
      </c>
      <c r="P905" s="20">
        <f>IFERROR(__xludf.DUMMYFUNCTION("""COMPUTED_VALUE"""),250660.0)</f>
        <v>250660</v>
      </c>
      <c r="Q905" s="20">
        <f>IFERROR(__xludf.DUMMYFUNCTION("""COMPUTED_VALUE"""),588701.0)</f>
        <v>588701</v>
      </c>
    </row>
    <row r="906">
      <c r="A906" s="20">
        <f>IFERROR(__xludf.DUMMYFUNCTION("""COMPUTED_VALUE"""),941.0)</f>
        <v>941</v>
      </c>
      <c r="B906" s="20" t="str">
        <f>IFERROR(__xludf.DUMMYFUNCTION("""COMPUTED_VALUE"""),"Sort Array By Parity")</f>
        <v>Sort Array By Parity</v>
      </c>
      <c r="C906" s="20" t="str">
        <f>IFERROR(__xludf.DUMMYFUNCTION("""COMPUTED_VALUE"""),"sort-array-by-parity")</f>
        <v>sort-array-by-parity</v>
      </c>
      <c r="D906" s="20" t="b">
        <f>IFERROR(__xludf.DUMMYFUNCTION("""COMPUTED_VALUE"""),FALSE)</f>
        <v>0</v>
      </c>
      <c r="E906" s="20" t="str">
        <f>IFERROR(__xludf.DUMMYFUNCTION("""COMPUTED_VALUE"""),"Easy")</f>
        <v>Easy</v>
      </c>
      <c r="F906" s="20">
        <f>IFERROR(__xludf.DUMMYFUNCTION("""COMPUTED_VALUE"""),4057.0)</f>
        <v>4057</v>
      </c>
      <c r="G906" s="20">
        <f>IFERROR(__xludf.DUMMYFUNCTION("""COMPUTED_VALUE"""),132.0)</f>
        <v>132</v>
      </c>
      <c r="H906" s="20" t="str">
        <f>IFERROR(__xludf.DUMMYFUNCTION("""COMPUTED_VALUE"""),"Algorithms")</f>
        <v>Algorithms</v>
      </c>
      <c r="I906" s="20">
        <f>IFERROR(__xludf.DUMMYFUNCTION("""COMPUTED_VALUE"""),0.756)</f>
        <v>0.756</v>
      </c>
      <c r="J906" s="20">
        <f>IFERROR(__xludf.DUMMYFUNCTION("""COMPUTED_VALUE"""),905.0)</f>
        <v>905</v>
      </c>
      <c r="K906" s="20" t="b">
        <f>IFERROR(__xludf.DUMMYFUNCTION("""COMPUTED_VALUE"""),FALSE)</f>
        <v>0</v>
      </c>
      <c r="L906" s="20" t="str">
        <f>IFERROR(__xludf.DUMMYFUNCTION("""COMPUTED_VALUE"""),"Array;Two Pointers;Sorting;")</f>
        <v>Array;Two Pointers;Sorting;</v>
      </c>
      <c r="M906" s="20" t="b">
        <f>IFERROR(__xludf.DUMMYFUNCTION("""COMPUTED_VALUE"""),TRUE)</f>
        <v>1</v>
      </c>
      <c r="N906" s="20" t="b">
        <f>IFERROR(__xludf.DUMMYFUNCTION("""COMPUTED_VALUE"""),FALSE)</f>
        <v>0</v>
      </c>
      <c r="O906" s="20">
        <f>IFERROR(__xludf.DUMMYFUNCTION("""COMPUTED_VALUE"""),75.6341669507589)</f>
        <v>75.63416695</v>
      </c>
      <c r="P906" s="20">
        <f>IFERROR(__xludf.DUMMYFUNCTION("""COMPUTED_VALUE"""),570177.0)</f>
        <v>570177</v>
      </c>
      <c r="Q906" s="20">
        <f>IFERROR(__xludf.DUMMYFUNCTION("""COMPUTED_VALUE"""),753862.0)</f>
        <v>753862</v>
      </c>
    </row>
    <row r="907">
      <c r="A907" s="20">
        <f>IFERROR(__xludf.DUMMYFUNCTION("""COMPUTED_VALUE"""),942.0)</f>
        <v>942</v>
      </c>
      <c r="B907" s="20" t="str">
        <f>IFERROR(__xludf.DUMMYFUNCTION("""COMPUTED_VALUE"""),"Super Palindromes")</f>
        <v>Super Palindromes</v>
      </c>
      <c r="C907" s="20" t="str">
        <f>IFERROR(__xludf.DUMMYFUNCTION("""COMPUTED_VALUE"""),"super-palindromes")</f>
        <v>super-palindromes</v>
      </c>
      <c r="D907" s="20" t="b">
        <f>IFERROR(__xludf.DUMMYFUNCTION("""COMPUTED_VALUE"""),FALSE)</f>
        <v>0</v>
      </c>
      <c r="E907" s="20" t="str">
        <f>IFERROR(__xludf.DUMMYFUNCTION("""COMPUTED_VALUE"""),"Hard")</f>
        <v>Hard</v>
      </c>
      <c r="F907" s="20">
        <f>IFERROR(__xludf.DUMMYFUNCTION("""COMPUTED_VALUE"""),322.0)</f>
        <v>322</v>
      </c>
      <c r="G907" s="20">
        <f>IFERROR(__xludf.DUMMYFUNCTION("""COMPUTED_VALUE"""),393.0)</f>
        <v>393</v>
      </c>
      <c r="H907" s="20" t="str">
        <f>IFERROR(__xludf.DUMMYFUNCTION("""COMPUTED_VALUE"""),"Algorithms")</f>
        <v>Algorithms</v>
      </c>
      <c r="I907" s="20">
        <f>IFERROR(__xludf.DUMMYFUNCTION("""COMPUTED_VALUE"""),0.392)</f>
        <v>0.392</v>
      </c>
      <c r="J907" s="20">
        <f>IFERROR(__xludf.DUMMYFUNCTION("""COMPUTED_VALUE"""),906.0)</f>
        <v>906</v>
      </c>
      <c r="K907" s="20" t="b">
        <f>IFERROR(__xludf.DUMMYFUNCTION("""COMPUTED_VALUE"""),FALSE)</f>
        <v>0</v>
      </c>
      <c r="L907" s="20" t="str">
        <f>IFERROR(__xludf.DUMMYFUNCTION("""COMPUTED_VALUE"""),"Math;Enumeration;")</f>
        <v>Math;Enumeration;</v>
      </c>
      <c r="M907" s="20" t="b">
        <f>IFERROR(__xludf.DUMMYFUNCTION("""COMPUTED_VALUE"""),TRUE)</f>
        <v>1</v>
      </c>
      <c r="N907" s="20" t="b">
        <f>IFERROR(__xludf.DUMMYFUNCTION("""COMPUTED_VALUE"""),FALSE)</f>
        <v>0</v>
      </c>
      <c r="O907" s="20">
        <f>IFERROR(__xludf.DUMMYFUNCTION("""COMPUTED_VALUE"""),39.1725134858794)</f>
        <v>39.17251349</v>
      </c>
      <c r="P907" s="20">
        <f>IFERROR(__xludf.DUMMYFUNCTION("""COMPUTED_VALUE"""),22221.0)</f>
        <v>22221</v>
      </c>
      <c r="Q907" s="20">
        <f>IFERROR(__xludf.DUMMYFUNCTION("""COMPUTED_VALUE"""),56726.0)</f>
        <v>56726</v>
      </c>
    </row>
    <row r="908">
      <c r="A908" s="20">
        <f>IFERROR(__xludf.DUMMYFUNCTION("""COMPUTED_VALUE"""),943.0)</f>
        <v>943</v>
      </c>
      <c r="B908" s="20" t="str">
        <f>IFERROR(__xludf.DUMMYFUNCTION("""COMPUTED_VALUE"""),"Sum of Subarray Minimums")</f>
        <v>Sum of Subarray Minimums</v>
      </c>
      <c r="C908" s="20" t="str">
        <f>IFERROR(__xludf.DUMMYFUNCTION("""COMPUTED_VALUE"""),"sum-of-subarray-minimums")</f>
        <v>sum-of-subarray-minimums</v>
      </c>
      <c r="D908" s="20" t="b">
        <f>IFERROR(__xludf.DUMMYFUNCTION("""COMPUTED_VALUE"""),FALSE)</f>
        <v>0</v>
      </c>
      <c r="E908" s="20" t="str">
        <f>IFERROR(__xludf.DUMMYFUNCTION("""COMPUTED_VALUE"""),"Medium")</f>
        <v>Medium</v>
      </c>
      <c r="F908" s="20">
        <f>IFERROR(__xludf.DUMMYFUNCTION("""COMPUTED_VALUE"""),5726.0)</f>
        <v>5726</v>
      </c>
      <c r="G908" s="20">
        <f>IFERROR(__xludf.DUMMYFUNCTION("""COMPUTED_VALUE"""),394.0)</f>
        <v>394</v>
      </c>
      <c r="H908" s="20" t="str">
        <f>IFERROR(__xludf.DUMMYFUNCTION("""COMPUTED_VALUE"""),"Algorithms")</f>
        <v>Algorithms</v>
      </c>
      <c r="I908" s="20">
        <f>IFERROR(__xludf.DUMMYFUNCTION("""COMPUTED_VALUE"""),0.36)</f>
        <v>0.36</v>
      </c>
      <c r="J908" s="20">
        <f>IFERROR(__xludf.DUMMYFUNCTION("""COMPUTED_VALUE"""),907.0)</f>
        <v>907</v>
      </c>
      <c r="K908" s="20" t="b">
        <f>IFERROR(__xludf.DUMMYFUNCTION("""COMPUTED_VALUE"""),FALSE)</f>
        <v>0</v>
      </c>
      <c r="L908" s="20" t="str">
        <f>IFERROR(__xludf.DUMMYFUNCTION("""COMPUTED_VALUE"""),"Array;Dynamic Programming;Stack;Monotonic Stack;")</f>
        <v>Array;Dynamic Programming;Stack;Monotonic Stack;</v>
      </c>
      <c r="M908" s="20" t="b">
        <f>IFERROR(__xludf.DUMMYFUNCTION("""COMPUTED_VALUE"""),TRUE)</f>
        <v>1</v>
      </c>
      <c r="N908" s="20" t="b">
        <f>IFERROR(__xludf.DUMMYFUNCTION("""COMPUTED_VALUE"""),FALSE)</f>
        <v>0</v>
      </c>
      <c r="O908" s="20">
        <f>IFERROR(__xludf.DUMMYFUNCTION("""COMPUTED_VALUE"""),35.9636068897755)</f>
        <v>35.96360689</v>
      </c>
      <c r="P908" s="20">
        <f>IFERROR(__xludf.DUMMYFUNCTION("""COMPUTED_VALUE"""),137989.0)</f>
        <v>137989</v>
      </c>
      <c r="Q908" s="20">
        <f>IFERROR(__xludf.DUMMYFUNCTION("""COMPUTED_VALUE"""),383685.0)</f>
        <v>383685</v>
      </c>
    </row>
    <row r="909">
      <c r="A909" s="20">
        <f>IFERROR(__xludf.DUMMYFUNCTION("""COMPUTED_VALUE"""),944.0)</f>
        <v>944</v>
      </c>
      <c r="B909" s="20" t="str">
        <f>IFERROR(__xludf.DUMMYFUNCTION("""COMPUTED_VALUE"""),"Smallest Range I")</f>
        <v>Smallest Range I</v>
      </c>
      <c r="C909" s="20" t="str">
        <f>IFERROR(__xludf.DUMMYFUNCTION("""COMPUTED_VALUE"""),"smallest-range-i")</f>
        <v>smallest-range-i</v>
      </c>
      <c r="D909" s="20" t="b">
        <f>IFERROR(__xludf.DUMMYFUNCTION("""COMPUTED_VALUE"""),FALSE)</f>
        <v>0</v>
      </c>
      <c r="E909" s="20" t="str">
        <f>IFERROR(__xludf.DUMMYFUNCTION("""COMPUTED_VALUE"""),"Easy")</f>
        <v>Easy</v>
      </c>
      <c r="F909" s="20">
        <f>IFERROR(__xludf.DUMMYFUNCTION("""COMPUTED_VALUE"""),530.0)</f>
        <v>530</v>
      </c>
      <c r="G909" s="20">
        <f>IFERROR(__xludf.DUMMYFUNCTION("""COMPUTED_VALUE"""),1779.0)</f>
        <v>1779</v>
      </c>
      <c r="H909" s="20" t="str">
        <f>IFERROR(__xludf.DUMMYFUNCTION("""COMPUTED_VALUE"""),"Algorithms")</f>
        <v>Algorithms</v>
      </c>
      <c r="I909" s="20">
        <f>IFERROR(__xludf.DUMMYFUNCTION("""COMPUTED_VALUE"""),0.679)</f>
        <v>0.679</v>
      </c>
      <c r="J909" s="20">
        <f>IFERROR(__xludf.DUMMYFUNCTION("""COMPUTED_VALUE"""),908.0)</f>
        <v>908</v>
      </c>
      <c r="K909" s="20" t="b">
        <f>IFERROR(__xludf.DUMMYFUNCTION("""COMPUTED_VALUE"""),FALSE)</f>
        <v>0</v>
      </c>
      <c r="L909" s="20" t="str">
        <f>IFERROR(__xludf.DUMMYFUNCTION("""COMPUTED_VALUE"""),"Array;Math;")</f>
        <v>Array;Math;</v>
      </c>
      <c r="M909" s="20" t="b">
        <f>IFERROR(__xludf.DUMMYFUNCTION("""COMPUTED_VALUE"""),FALSE)</f>
        <v>0</v>
      </c>
      <c r="N909" s="20" t="b">
        <f>IFERROR(__xludf.DUMMYFUNCTION("""COMPUTED_VALUE"""),FALSE)</f>
        <v>0</v>
      </c>
      <c r="O909" s="20">
        <f>IFERROR(__xludf.DUMMYFUNCTION("""COMPUTED_VALUE"""),67.8789564111986)</f>
        <v>67.87895641</v>
      </c>
      <c r="P909" s="20">
        <f>IFERROR(__xludf.DUMMYFUNCTION("""COMPUTED_VALUE"""),68348.0)</f>
        <v>68348</v>
      </c>
      <c r="Q909" s="20">
        <f>IFERROR(__xludf.DUMMYFUNCTION("""COMPUTED_VALUE"""),100691.0)</f>
        <v>100691</v>
      </c>
    </row>
    <row r="910">
      <c r="A910" s="20">
        <f>IFERROR(__xludf.DUMMYFUNCTION("""COMPUTED_VALUE"""),945.0)</f>
        <v>945</v>
      </c>
      <c r="B910" s="20" t="str">
        <f>IFERROR(__xludf.DUMMYFUNCTION("""COMPUTED_VALUE"""),"Snakes and Ladders")</f>
        <v>Snakes and Ladders</v>
      </c>
      <c r="C910" s="20" t="str">
        <f>IFERROR(__xludf.DUMMYFUNCTION("""COMPUTED_VALUE"""),"snakes-and-ladders")</f>
        <v>snakes-and-ladders</v>
      </c>
      <c r="D910" s="20" t="b">
        <f>IFERROR(__xludf.DUMMYFUNCTION("""COMPUTED_VALUE"""),FALSE)</f>
        <v>0</v>
      </c>
      <c r="E910" s="20" t="str">
        <f>IFERROR(__xludf.DUMMYFUNCTION("""COMPUTED_VALUE"""),"Medium")</f>
        <v>Medium</v>
      </c>
      <c r="F910" s="20">
        <f>IFERROR(__xludf.DUMMYFUNCTION("""COMPUTED_VALUE"""),1083.0)</f>
        <v>1083</v>
      </c>
      <c r="G910" s="20">
        <f>IFERROR(__xludf.DUMMYFUNCTION("""COMPUTED_VALUE"""),281.0)</f>
        <v>281</v>
      </c>
      <c r="H910" s="20" t="str">
        <f>IFERROR(__xludf.DUMMYFUNCTION("""COMPUTED_VALUE"""),"Algorithms")</f>
        <v>Algorithms</v>
      </c>
      <c r="I910" s="20">
        <f>IFERROR(__xludf.DUMMYFUNCTION("""COMPUTED_VALUE"""),0.409)</f>
        <v>0.409</v>
      </c>
      <c r="J910" s="20">
        <f>IFERROR(__xludf.DUMMYFUNCTION("""COMPUTED_VALUE"""),909.0)</f>
        <v>909</v>
      </c>
      <c r="K910" s="20" t="b">
        <f>IFERROR(__xludf.DUMMYFUNCTION("""COMPUTED_VALUE"""),FALSE)</f>
        <v>0</v>
      </c>
      <c r="L910" s="20" t="str">
        <f>IFERROR(__xludf.DUMMYFUNCTION("""COMPUTED_VALUE"""),"Array;Breadth-First Search;Matrix;")</f>
        <v>Array;Breadth-First Search;Matrix;</v>
      </c>
      <c r="M910" s="20" t="b">
        <f>IFERROR(__xludf.DUMMYFUNCTION("""COMPUTED_VALUE"""),TRUE)</f>
        <v>1</v>
      </c>
      <c r="N910" s="20" t="b">
        <f>IFERROR(__xludf.DUMMYFUNCTION("""COMPUTED_VALUE"""),FALSE)</f>
        <v>0</v>
      </c>
      <c r="O910" s="20">
        <f>IFERROR(__xludf.DUMMYFUNCTION("""COMPUTED_VALUE"""),40.8597499528343)</f>
        <v>40.85974995</v>
      </c>
      <c r="P910" s="20">
        <f>IFERROR(__xludf.DUMMYFUNCTION("""COMPUTED_VALUE"""),88796.0)</f>
        <v>88796</v>
      </c>
      <c r="Q910" s="20">
        <f>IFERROR(__xludf.DUMMYFUNCTION("""COMPUTED_VALUE"""),217319.0)</f>
        <v>217319</v>
      </c>
    </row>
    <row r="911">
      <c r="A911" s="20">
        <f>IFERROR(__xludf.DUMMYFUNCTION("""COMPUTED_VALUE"""),946.0)</f>
        <v>946</v>
      </c>
      <c r="B911" s="20" t="str">
        <f>IFERROR(__xludf.DUMMYFUNCTION("""COMPUTED_VALUE"""),"Smallest Range II")</f>
        <v>Smallest Range II</v>
      </c>
      <c r="C911" s="20" t="str">
        <f>IFERROR(__xludf.DUMMYFUNCTION("""COMPUTED_VALUE"""),"smallest-range-ii")</f>
        <v>smallest-range-ii</v>
      </c>
      <c r="D911" s="20" t="b">
        <f>IFERROR(__xludf.DUMMYFUNCTION("""COMPUTED_VALUE"""),FALSE)</f>
        <v>0</v>
      </c>
      <c r="E911" s="20" t="str">
        <f>IFERROR(__xludf.DUMMYFUNCTION("""COMPUTED_VALUE"""),"Medium")</f>
        <v>Medium</v>
      </c>
      <c r="F911" s="20">
        <f>IFERROR(__xludf.DUMMYFUNCTION("""COMPUTED_VALUE"""),1392.0)</f>
        <v>1392</v>
      </c>
      <c r="G911" s="20">
        <f>IFERROR(__xludf.DUMMYFUNCTION("""COMPUTED_VALUE"""),397.0)</f>
        <v>397</v>
      </c>
      <c r="H911" s="20" t="str">
        <f>IFERROR(__xludf.DUMMYFUNCTION("""COMPUTED_VALUE"""),"Algorithms")</f>
        <v>Algorithms</v>
      </c>
      <c r="I911" s="20">
        <f>IFERROR(__xludf.DUMMYFUNCTION("""COMPUTED_VALUE"""),0.347)</f>
        <v>0.347</v>
      </c>
      <c r="J911" s="20">
        <f>IFERROR(__xludf.DUMMYFUNCTION("""COMPUTED_VALUE"""),910.0)</f>
        <v>910</v>
      </c>
      <c r="K911" s="20" t="b">
        <f>IFERROR(__xludf.DUMMYFUNCTION("""COMPUTED_VALUE"""),FALSE)</f>
        <v>0</v>
      </c>
      <c r="L911" s="20" t="str">
        <f>IFERROR(__xludf.DUMMYFUNCTION("""COMPUTED_VALUE"""),"Array;Math;Greedy;Sorting;")</f>
        <v>Array;Math;Greedy;Sorting;</v>
      </c>
      <c r="M911" s="20" t="b">
        <f>IFERROR(__xludf.DUMMYFUNCTION("""COMPUTED_VALUE"""),TRUE)</f>
        <v>1</v>
      </c>
      <c r="N911" s="20" t="b">
        <f>IFERROR(__xludf.DUMMYFUNCTION("""COMPUTED_VALUE"""),FALSE)</f>
        <v>0</v>
      </c>
      <c r="O911" s="20">
        <f>IFERROR(__xludf.DUMMYFUNCTION("""COMPUTED_VALUE"""),34.7455594813666)</f>
        <v>34.74555948</v>
      </c>
      <c r="P911" s="20">
        <f>IFERROR(__xludf.DUMMYFUNCTION("""COMPUTED_VALUE"""),43466.0)</f>
        <v>43466</v>
      </c>
      <c r="Q911" s="20">
        <f>IFERROR(__xludf.DUMMYFUNCTION("""COMPUTED_VALUE"""),125096.0)</f>
        <v>125096</v>
      </c>
    </row>
    <row r="912">
      <c r="A912" s="20">
        <f>IFERROR(__xludf.DUMMYFUNCTION("""COMPUTED_VALUE"""),947.0)</f>
        <v>947</v>
      </c>
      <c r="B912" s="20" t="str">
        <f>IFERROR(__xludf.DUMMYFUNCTION("""COMPUTED_VALUE"""),"Online Election")</f>
        <v>Online Election</v>
      </c>
      <c r="C912" s="20" t="str">
        <f>IFERROR(__xludf.DUMMYFUNCTION("""COMPUTED_VALUE"""),"online-election")</f>
        <v>online-election</v>
      </c>
      <c r="D912" s="20" t="b">
        <f>IFERROR(__xludf.DUMMYFUNCTION("""COMPUTED_VALUE"""),FALSE)</f>
        <v>0</v>
      </c>
      <c r="E912" s="20" t="str">
        <f>IFERROR(__xludf.DUMMYFUNCTION("""COMPUTED_VALUE"""),"Medium")</f>
        <v>Medium</v>
      </c>
      <c r="F912" s="20">
        <f>IFERROR(__xludf.DUMMYFUNCTION("""COMPUTED_VALUE"""),826.0)</f>
        <v>826</v>
      </c>
      <c r="G912" s="20">
        <f>IFERROR(__xludf.DUMMYFUNCTION("""COMPUTED_VALUE"""),581.0)</f>
        <v>581</v>
      </c>
      <c r="H912" s="20" t="str">
        <f>IFERROR(__xludf.DUMMYFUNCTION("""COMPUTED_VALUE"""),"Algorithms")</f>
        <v>Algorithms</v>
      </c>
      <c r="I912" s="20">
        <f>IFERROR(__xludf.DUMMYFUNCTION("""COMPUTED_VALUE"""),0.521)</f>
        <v>0.521</v>
      </c>
      <c r="J912" s="20">
        <f>IFERROR(__xludf.DUMMYFUNCTION("""COMPUTED_VALUE"""),911.0)</f>
        <v>911</v>
      </c>
      <c r="K912" s="20" t="b">
        <f>IFERROR(__xludf.DUMMYFUNCTION("""COMPUTED_VALUE"""),FALSE)</f>
        <v>0</v>
      </c>
      <c r="L912" s="20" t="str">
        <f>IFERROR(__xludf.DUMMYFUNCTION("""COMPUTED_VALUE"""),"Array;Hash Table;Binary Search;Design;")</f>
        <v>Array;Hash Table;Binary Search;Design;</v>
      </c>
      <c r="M912" s="20" t="b">
        <f>IFERROR(__xludf.DUMMYFUNCTION("""COMPUTED_VALUE"""),TRUE)</f>
        <v>1</v>
      </c>
      <c r="N912" s="20" t="b">
        <f>IFERROR(__xludf.DUMMYFUNCTION("""COMPUTED_VALUE"""),FALSE)</f>
        <v>0</v>
      </c>
      <c r="O912" s="20">
        <f>IFERROR(__xludf.DUMMYFUNCTION("""COMPUTED_VALUE"""),52.0560446042044)</f>
        <v>52.0560446</v>
      </c>
      <c r="P912" s="20">
        <f>IFERROR(__xludf.DUMMYFUNCTION("""COMPUTED_VALUE"""),46776.0)</f>
        <v>46776</v>
      </c>
      <c r="Q912" s="20">
        <f>IFERROR(__xludf.DUMMYFUNCTION("""COMPUTED_VALUE"""),89857.0)</f>
        <v>89857</v>
      </c>
    </row>
    <row r="913">
      <c r="A913" s="20">
        <f>IFERROR(__xludf.DUMMYFUNCTION("""COMPUTED_VALUE"""),948.0)</f>
        <v>948</v>
      </c>
      <c r="B913" s="20" t="str">
        <f>IFERROR(__xludf.DUMMYFUNCTION("""COMPUTED_VALUE"""),"Sort an Array")</f>
        <v>Sort an Array</v>
      </c>
      <c r="C913" s="20" t="str">
        <f>IFERROR(__xludf.DUMMYFUNCTION("""COMPUTED_VALUE"""),"sort-an-array")</f>
        <v>sort-an-array</v>
      </c>
      <c r="D913" s="20" t="b">
        <f>IFERROR(__xludf.DUMMYFUNCTION("""COMPUTED_VALUE"""),FALSE)</f>
        <v>0</v>
      </c>
      <c r="E913" s="20" t="str">
        <f>IFERROR(__xludf.DUMMYFUNCTION("""COMPUTED_VALUE"""),"Medium")</f>
        <v>Medium</v>
      </c>
      <c r="F913" s="20">
        <f>IFERROR(__xludf.DUMMYFUNCTION("""COMPUTED_VALUE"""),3107.0)</f>
        <v>3107</v>
      </c>
      <c r="G913" s="20">
        <f>IFERROR(__xludf.DUMMYFUNCTION("""COMPUTED_VALUE"""),592.0)</f>
        <v>592</v>
      </c>
      <c r="H913" s="20" t="str">
        <f>IFERROR(__xludf.DUMMYFUNCTION("""COMPUTED_VALUE"""),"Algorithms")</f>
        <v>Algorithms</v>
      </c>
      <c r="I913" s="20">
        <f>IFERROR(__xludf.DUMMYFUNCTION("""COMPUTED_VALUE"""),0.589)</f>
        <v>0.589</v>
      </c>
      <c r="J913" s="20">
        <f>IFERROR(__xludf.DUMMYFUNCTION("""COMPUTED_VALUE"""),912.0)</f>
        <v>912</v>
      </c>
      <c r="K913" s="20" t="b">
        <f>IFERROR(__xludf.DUMMYFUNCTION("""COMPUTED_VALUE"""),FALSE)</f>
        <v>0</v>
      </c>
      <c r="L913" s="20" t="str">
        <f>IFERROR(__xludf.DUMMYFUNCTION("""COMPUTED_VALUE"""),"Array;Divide and Conquer;Sorting;Heap (Priority Queue);Merge Sort;Bucket Sort;Radix Sort;Counting Sort;")</f>
        <v>Array;Divide and Conquer;Sorting;Heap (Priority Queue);Merge Sort;Bucket Sort;Radix Sort;Counting Sort;</v>
      </c>
      <c r="M913" s="20" t="b">
        <f>IFERROR(__xludf.DUMMYFUNCTION("""COMPUTED_VALUE"""),FALSE)</f>
        <v>0</v>
      </c>
      <c r="N913" s="20" t="b">
        <f>IFERROR(__xludf.DUMMYFUNCTION("""COMPUTED_VALUE"""),FALSE)</f>
        <v>0</v>
      </c>
      <c r="O913" s="20">
        <f>IFERROR(__xludf.DUMMYFUNCTION("""COMPUTED_VALUE"""),58.9262247316587)</f>
        <v>58.92622473</v>
      </c>
      <c r="P913" s="20">
        <f>IFERROR(__xludf.DUMMYFUNCTION("""COMPUTED_VALUE"""),344810.0)</f>
        <v>344810</v>
      </c>
      <c r="Q913" s="20">
        <f>IFERROR(__xludf.DUMMYFUNCTION("""COMPUTED_VALUE"""),585160.0)</f>
        <v>585160</v>
      </c>
    </row>
    <row r="914">
      <c r="A914" s="20">
        <f>IFERROR(__xludf.DUMMYFUNCTION("""COMPUTED_VALUE"""),949.0)</f>
        <v>949</v>
      </c>
      <c r="B914" s="20" t="str">
        <f>IFERROR(__xludf.DUMMYFUNCTION("""COMPUTED_VALUE"""),"Cat and Mouse")</f>
        <v>Cat and Mouse</v>
      </c>
      <c r="C914" s="20" t="str">
        <f>IFERROR(__xludf.DUMMYFUNCTION("""COMPUTED_VALUE"""),"cat-and-mouse")</f>
        <v>cat-and-mouse</v>
      </c>
      <c r="D914" s="20" t="b">
        <f>IFERROR(__xludf.DUMMYFUNCTION("""COMPUTED_VALUE"""),FALSE)</f>
        <v>0</v>
      </c>
      <c r="E914" s="20" t="str">
        <f>IFERROR(__xludf.DUMMYFUNCTION("""COMPUTED_VALUE"""),"Hard")</f>
        <v>Hard</v>
      </c>
      <c r="F914" s="20">
        <f>IFERROR(__xludf.DUMMYFUNCTION("""COMPUTED_VALUE"""),759.0)</f>
        <v>759</v>
      </c>
      <c r="G914" s="20">
        <f>IFERROR(__xludf.DUMMYFUNCTION("""COMPUTED_VALUE"""),129.0)</f>
        <v>129</v>
      </c>
      <c r="H914" s="20" t="str">
        <f>IFERROR(__xludf.DUMMYFUNCTION("""COMPUTED_VALUE"""),"Algorithms")</f>
        <v>Algorithms</v>
      </c>
      <c r="I914" s="20">
        <f>IFERROR(__xludf.DUMMYFUNCTION("""COMPUTED_VALUE"""),0.351)</f>
        <v>0.351</v>
      </c>
      <c r="J914" s="20">
        <f>IFERROR(__xludf.DUMMYFUNCTION("""COMPUTED_VALUE"""),913.0)</f>
        <v>913</v>
      </c>
      <c r="K914" s="20" t="b">
        <f>IFERROR(__xludf.DUMMYFUNCTION("""COMPUTED_VALUE"""),FALSE)</f>
        <v>0</v>
      </c>
      <c r="L914" s="20" t="str">
        <f>IFERROR(__xludf.DUMMYFUNCTION("""COMPUTED_VALUE"""),"Math;Dynamic Programming;Graph;Topological Sort;Memoization;Game Theory;")</f>
        <v>Math;Dynamic Programming;Graph;Topological Sort;Memoization;Game Theory;</v>
      </c>
      <c r="M914" s="20" t="b">
        <f>IFERROR(__xludf.DUMMYFUNCTION("""COMPUTED_VALUE"""),TRUE)</f>
        <v>1</v>
      </c>
      <c r="N914" s="20" t="b">
        <f>IFERROR(__xludf.DUMMYFUNCTION("""COMPUTED_VALUE"""),FALSE)</f>
        <v>0</v>
      </c>
      <c r="O914" s="20">
        <f>IFERROR(__xludf.DUMMYFUNCTION("""COMPUTED_VALUE"""),35.0901820656797)</f>
        <v>35.09018207</v>
      </c>
      <c r="P914" s="20">
        <f>IFERROR(__xludf.DUMMYFUNCTION("""COMPUTED_VALUE"""),16498.0)</f>
        <v>16498</v>
      </c>
      <c r="Q914" s="20">
        <f>IFERROR(__xludf.DUMMYFUNCTION("""COMPUTED_VALUE"""),47016.0)</f>
        <v>47016</v>
      </c>
    </row>
    <row r="915">
      <c r="A915" s="20">
        <f>IFERROR(__xludf.DUMMYFUNCTION("""COMPUTED_VALUE"""),950.0)</f>
        <v>950</v>
      </c>
      <c r="B915" s="20" t="str">
        <f>IFERROR(__xludf.DUMMYFUNCTION("""COMPUTED_VALUE"""),"X of a Kind in a Deck of Cards")</f>
        <v>X of a Kind in a Deck of Cards</v>
      </c>
      <c r="C915" s="20" t="str">
        <f>IFERROR(__xludf.DUMMYFUNCTION("""COMPUTED_VALUE"""),"x-of-a-kind-in-a-deck-of-cards")</f>
        <v>x-of-a-kind-in-a-deck-of-cards</v>
      </c>
      <c r="D915" s="20" t="b">
        <f>IFERROR(__xludf.DUMMYFUNCTION("""COMPUTED_VALUE"""),FALSE)</f>
        <v>0</v>
      </c>
      <c r="E915" s="20" t="str">
        <f>IFERROR(__xludf.DUMMYFUNCTION("""COMPUTED_VALUE"""),"Easy")</f>
        <v>Easy</v>
      </c>
      <c r="F915" s="20">
        <f>IFERROR(__xludf.DUMMYFUNCTION("""COMPUTED_VALUE"""),1517.0)</f>
        <v>1517</v>
      </c>
      <c r="G915" s="20">
        <f>IFERROR(__xludf.DUMMYFUNCTION("""COMPUTED_VALUE"""),371.0)</f>
        <v>371</v>
      </c>
      <c r="H915" s="20" t="str">
        <f>IFERROR(__xludf.DUMMYFUNCTION("""COMPUTED_VALUE"""),"Algorithms")</f>
        <v>Algorithms</v>
      </c>
      <c r="I915" s="20">
        <f>IFERROR(__xludf.DUMMYFUNCTION("""COMPUTED_VALUE"""),0.317)</f>
        <v>0.317</v>
      </c>
      <c r="J915" s="20">
        <f>IFERROR(__xludf.DUMMYFUNCTION("""COMPUTED_VALUE"""),914.0)</f>
        <v>914</v>
      </c>
      <c r="K915" s="20" t="b">
        <f>IFERROR(__xludf.DUMMYFUNCTION("""COMPUTED_VALUE"""),FALSE)</f>
        <v>0</v>
      </c>
      <c r="L915" s="20" t="str">
        <f>IFERROR(__xludf.DUMMYFUNCTION("""COMPUTED_VALUE"""),"Array;Hash Table;Math;Counting;Number Theory;")</f>
        <v>Array;Hash Table;Math;Counting;Number Theory;</v>
      </c>
      <c r="M915" s="20" t="b">
        <f>IFERROR(__xludf.DUMMYFUNCTION("""COMPUTED_VALUE"""),TRUE)</f>
        <v>1</v>
      </c>
      <c r="N915" s="20" t="b">
        <f>IFERROR(__xludf.DUMMYFUNCTION("""COMPUTED_VALUE"""),FALSE)</f>
        <v>0</v>
      </c>
      <c r="O915" s="20">
        <f>IFERROR(__xludf.DUMMYFUNCTION("""COMPUTED_VALUE"""),31.735470200028)</f>
        <v>31.7354702</v>
      </c>
      <c r="P915" s="20">
        <f>IFERROR(__xludf.DUMMYFUNCTION("""COMPUTED_VALUE"""),99445.0)</f>
        <v>99445</v>
      </c>
      <c r="Q915" s="20">
        <f>IFERROR(__xludf.DUMMYFUNCTION("""COMPUTED_VALUE"""),313354.0)</f>
        <v>313354</v>
      </c>
    </row>
    <row r="916">
      <c r="A916" s="20">
        <f>IFERROR(__xludf.DUMMYFUNCTION("""COMPUTED_VALUE"""),951.0)</f>
        <v>951</v>
      </c>
      <c r="B916" s="20" t="str">
        <f>IFERROR(__xludf.DUMMYFUNCTION("""COMPUTED_VALUE"""),"Partition Array into Disjoint Intervals")</f>
        <v>Partition Array into Disjoint Intervals</v>
      </c>
      <c r="C916" s="20" t="str">
        <f>IFERROR(__xludf.DUMMYFUNCTION("""COMPUTED_VALUE"""),"partition-array-into-disjoint-intervals")</f>
        <v>partition-array-into-disjoint-intervals</v>
      </c>
      <c r="D916" s="20" t="b">
        <f>IFERROR(__xludf.DUMMYFUNCTION("""COMPUTED_VALUE"""),FALSE)</f>
        <v>0</v>
      </c>
      <c r="E916" s="20" t="str">
        <f>IFERROR(__xludf.DUMMYFUNCTION("""COMPUTED_VALUE"""),"Medium")</f>
        <v>Medium</v>
      </c>
      <c r="F916" s="20">
        <f>IFERROR(__xludf.DUMMYFUNCTION("""COMPUTED_VALUE"""),1385.0)</f>
        <v>1385</v>
      </c>
      <c r="G916" s="20">
        <f>IFERROR(__xludf.DUMMYFUNCTION("""COMPUTED_VALUE"""),70.0)</f>
        <v>70</v>
      </c>
      <c r="H916" s="20" t="str">
        <f>IFERROR(__xludf.DUMMYFUNCTION("""COMPUTED_VALUE"""),"Algorithms")</f>
        <v>Algorithms</v>
      </c>
      <c r="I916" s="20">
        <f>IFERROR(__xludf.DUMMYFUNCTION("""COMPUTED_VALUE"""),0.486)</f>
        <v>0.486</v>
      </c>
      <c r="J916" s="20">
        <f>IFERROR(__xludf.DUMMYFUNCTION("""COMPUTED_VALUE"""),915.0)</f>
        <v>915</v>
      </c>
      <c r="K916" s="20" t="b">
        <f>IFERROR(__xludf.DUMMYFUNCTION("""COMPUTED_VALUE"""),FALSE)</f>
        <v>0</v>
      </c>
      <c r="L916" s="20" t="str">
        <f>IFERROR(__xludf.DUMMYFUNCTION("""COMPUTED_VALUE"""),"Array;")</f>
        <v>Array;</v>
      </c>
      <c r="M916" s="20" t="b">
        <f>IFERROR(__xludf.DUMMYFUNCTION("""COMPUTED_VALUE"""),TRUE)</f>
        <v>1</v>
      </c>
      <c r="N916" s="20" t="b">
        <f>IFERROR(__xludf.DUMMYFUNCTION("""COMPUTED_VALUE"""),FALSE)</f>
        <v>0</v>
      </c>
      <c r="O916" s="20">
        <f>IFERROR(__xludf.DUMMYFUNCTION("""COMPUTED_VALUE"""),48.5914166554554)</f>
        <v>48.59141666</v>
      </c>
      <c r="P916" s="20">
        <f>IFERROR(__xludf.DUMMYFUNCTION("""COMPUTED_VALUE"""),72236.0)</f>
        <v>72236</v>
      </c>
      <c r="Q916" s="20">
        <f>IFERROR(__xludf.DUMMYFUNCTION("""COMPUTED_VALUE"""),148660.0)</f>
        <v>148660</v>
      </c>
    </row>
    <row r="917">
      <c r="A917" s="20">
        <f>IFERROR(__xludf.DUMMYFUNCTION("""COMPUTED_VALUE"""),952.0)</f>
        <v>952</v>
      </c>
      <c r="B917" s="20" t="str">
        <f>IFERROR(__xludf.DUMMYFUNCTION("""COMPUTED_VALUE"""),"Word Subsets")</f>
        <v>Word Subsets</v>
      </c>
      <c r="C917" s="20" t="str">
        <f>IFERROR(__xludf.DUMMYFUNCTION("""COMPUTED_VALUE"""),"word-subsets")</f>
        <v>word-subsets</v>
      </c>
      <c r="D917" s="20" t="b">
        <f>IFERROR(__xludf.DUMMYFUNCTION("""COMPUTED_VALUE"""),FALSE)</f>
        <v>0</v>
      </c>
      <c r="E917" s="20" t="str">
        <f>IFERROR(__xludf.DUMMYFUNCTION("""COMPUTED_VALUE"""),"Medium")</f>
        <v>Medium</v>
      </c>
      <c r="F917" s="20">
        <f>IFERROR(__xludf.DUMMYFUNCTION("""COMPUTED_VALUE"""),2524.0)</f>
        <v>2524</v>
      </c>
      <c r="G917" s="20">
        <f>IFERROR(__xludf.DUMMYFUNCTION("""COMPUTED_VALUE"""),212.0)</f>
        <v>212</v>
      </c>
      <c r="H917" s="20" t="str">
        <f>IFERROR(__xludf.DUMMYFUNCTION("""COMPUTED_VALUE"""),"Algorithms")</f>
        <v>Algorithms</v>
      </c>
      <c r="I917" s="20">
        <f>IFERROR(__xludf.DUMMYFUNCTION("""COMPUTED_VALUE"""),0.539)</f>
        <v>0.539</v>
      </c>
      <c r="J917" s="20">
        <f>IFERROR(__xludf.DUMMYFUNCTION("""COMPUTED_VALUE"""),916.0)</f>
        <v>916</v>
      </c>
      <c r="K917" s="20" t="b">
        <f>IFERROR(__xludf.DUMMYFUNCTION("""COMPUTED_VALUE"""),FALSE)</f>
        <v>0</v>
      </c>
      <c r="L917" s="20" t="str">
        <f>IFERROR(__xludf.DUMMYFUNCTION("""COMPUTED_VALUE"""),"Array;Hash Table;String;")</f>
        <v>Array;Hash Table;String;</v>
      </c>
      <c r="M917" s="20" t="b">
        <f>IFERROR(__xludf.DUMMYFUNCTION("""COMPUTED_VALUE"""),TRUE)</f>
        <v>1</v>
      </c>
      <c r="N917" s="20" t="b">
        <f>IFERROR(__xludf.DUMMYFUNCTION("""COMPUTED_VALUE"""),FALSE)</f>
        <v>0</v>
      </c>
      <c r="O917" s="20">
        <f>IFERROR(__xludf.DUMMYFUNCTION("""COMPUTED_VALUE"""),53.9198747916581)</f>
        <v>53.91987479</v>
      </c>
      <c r="P917" s="20">
        <f>IFERROR(__xludf.DUMMYFUNCTION("""COMPUTED_VALUE"""),106109.0)</f>
        <v>106109</v>
      </c>
      <c r="Q917" s="20">
        <f>IFERROR(__xludf.DUMMYFUNCTION("""COMPUTED_VALUE"""),196790.0)</f>
        <v>196790</v>
      </c>
    </row>
    <row r="918">
      <c r="A918" s="20">
        <f>IFERROR(__xludf.DUMMYFUNCTION("""COMPUTED_VALUE"""),953.0)</f>
        <v>953</v>
      </c>
      <c r="B918" s="20" t="str">
        <f>IFERROR(__xludf.DUMMYFUNCTION("""COMPUTED_VALUE"""),"Reverse Only Letters")</f>
        <v>Reverse Only Letters</v>
      </c>
      <c r="C918" s="20" t="str">
        <f>IFERROR(__xludf.DUMMYFUNCTION("""COMPUTED_VALUE"""),"reverse-only-letters")</f>
        <v>reverse-only-letters</v>
      </c>
      <c r="D918" s="20" t="b">
        <f>IFERROR(__xludf.DUMMYFUNCTION("""COMPUTED_VALUE"""),FALSE)</f>
        <v>0</v>
      </c>
      <c r="E918" s="20" t="str">
        <f>IFERROR(__xludf.DUMMYFUNCTION("""COMPUTED_VALUE"""),"Easy")</f>
        <v>Easy</v>
      </c>
      <c r="F918" s="20">
        <f>IFERROR(__xludf.DUMMYFUNCTION("""COMPUTED_VALUE"""),1704.0)</f>
        <v>1704</v>
      </c>
      <c r="G918" s="20">
        <f>IFERROR(__xludf.DUMMYFUNCTION("""COMPUTED_VALUE"""),58.0)</f>
        <v>58</v>
      </c>
      <c r="H918" s="20" t="str">
        <f>IFERROR(__xludf.DUMMYFUNCTION("""COMPUTED_VALUE"""),"Algorithms")</f>
        <v>Algorithms</v>
      </c>
      <c r="I918" s="20">
        <f>IFERROR(__xludf.DUMMYFUNCTION("""COMPUTED_VALUE"""),0.616)</f>
        <v>0.616</v>
      </c>
      <c r="J918" s="20">
        <f>IFERROR(__xludf.DUMMYFUNCTION("""COMPUTED_VALUE"""),917.0)</f>
        <v>917</v>
      </c>
      <c r="K918" s="20" t="b">
        <f>IFERROR(__xludf.DUMMYFUNCTION("""COMPUTED_VALUE"""),FALSE)</f>
        <v>0</v>
      </c>
      <c r="L918" s="20" t="str">
        <f>IFERROR(__xludf.DUMMYFUNCTION("""COMPUTED_VALUE"""),"Two Pointers;String;")</f>
        <v>Two Pointers;String;</v>
      </c>
      <c r="M918" s="20" t="b">
        <f>IFERROR(__xludf.DUMMYFUNCTION("""COMPUTED_VALUE"""),TRUE)</f>
        <v>1</v>
      </c>
      <c r="N918" s="20" t="b">
        <f>IFERROR(__xludf.DUMMYFUNCTION("""COMPUTED_VALUE"""),FALSE)</f>
        <v>0</v>
      </c>
      <c r="O918" s="20">
        <f>IFERROR(__xludf.DUMMYFUNCTION("""COMPUTED_VALUE"""),61.5985907739733)</f>
        <v>61.59859077</v>
      </c>
      <c r="P918" s="20">
        <f>IFERROR(__xludf.DUMMYFUNCTION("""COMPUTED_VALUE"""),151063.0)</f>
        <v>151063</v>
      </c>
      <c r="Q918" s="20">
        <f>IFERROR(__xludf.DUMMYFUNCTION("""COMPUTED_VALUE"""),245239.0)</f>
        <v>245239</v>
      </c>
    </row>
    <row r="919">
      <c r="A919" s="20">
        <f>IFERROR(__xludf.DUMMYFUNCTION("""COMPUTED_VALUE"""),954.0)</f>
        <v>954</v>
      </c>
      <c r="B919" s="20" t="str">
        <f>IFERROR(__xludf.DUMMYFUNCTION("""COMPUTED_VALUE"""),"Maximum Sum Circular Subarray")</f>
        <v>Maximum Sum Circular Subarray</v>
      </c>
      <c r="C919" s="20" t="str">
        <f>IFERROR(__xludf.DUMMYFUNCTION("""COMPUTED_VALUE"""),"maximum-sum-circular-subarray")</f>
        <v>maximum-sum-circular-subarray</v>
      </c>
      <c r="D919" s="20" t="b">
        <f>IFERROR(__xludf.DUMMYFUNCTION("""COMPUTED_VALUE"""),FALSE)</f>
        <v>0</v>
      </c>
      <c r="E919" s="20" t="str">
        <f>IFERROR(__xludf.DUMMYFUNCTION("""COMPUTED_VALUE"""),"Medium")</f>
        <v>Medium</v>
      </c>
      <c r="F919" s="20">
        <f>IFERROR(__xludf.DUMMYFUNCTION("""COMPUTED_VALUE"""),3969.0)</f>
        <v>3969</v>
      </c>
      <c r="G919" s="20">
        <f>IFERROR(__xludf.DUMMYFUNCTION("""COMPUTED_VALUE"""),181.0)</f>
        <v>181</v>
      </c>
      <c r="H919" s="20" t="str">
        <f>IFERROR(__xludf.DUMMYFUNCTION("""COMPUTED_VALUE"""),"Algorithms")</f>
        <v>Algorithms</v>
      </c>
      <c r="I919" s="20">
        <f>IFERROR(__xludf.DUMMYFUNCTION("""COMPUTED_VALUE"""),0.383)</f>
        <v>0.383</v>
      </c>
      <c r="J919" s="20">
        <f>IFERROR(__xludf.DUMMYFUNCTION("""COMPUTED_VALUE"""),918.0)</f>
        <v>918</v>
      </c>
      <c r="K919" s="20" t="b">
        <f>IFERROR(__xludf.DUMMYFUNCTION("""COMPUTED_VALUE"""),FALSE)</f>
        <v>0</v>
      </c>
      <c r="L919" s="20" t="str">
        <f>IFERROR(__xludf.DUMMYFUNCTION("""COMPUTED_VALUE"""),"Array;Divide and Conquer;Dynamic Programming;Queue;Monotonic Queue;")</f>
        <v>Array;Divide and Conquer;Dynamic Programming;Queue;Monotonic Queue;</v>
      </c>
      <c r="M919" s="20" t="b">
        <f>IFERROR(__xludf.DUMMYFUNCTION("""COMPUTED_VALUE"""),TRUE)</f>
        <v>1</v>
      </c>
      <c r="N919" s="20" t="b">
        <f>IFERROR(__xludf.DUMMYFUNCTION("""COMPUTED_VALUE"""),FALSE)</f>
        <v>0</v>
      </c>
      <c r="O919" s="20">
        <f>IFERROR(__xludf.DUMMYFUNCTION("""COMPUTED_VALUE"""),38.3057736720554)</f>
        <v>38.30577367</v>
      </c>
      <c r="P919" s="20">
        <f>IFERROR(__xludf.DUMMYFUNCTION("""COMPUTED_VALUE"""),145127.0)</f>
        <v>145127</v>
      </c>
      <c r="Q919" s="20">
        <f>IFERROR(__xludf.DUMMYFUNCTION("""COMPUTED_VALUE"""),378871.0)</f>
        <v>378871</v>
      </c>
    </row>
    <row r="920">
      <c r="A920" s="20">
        <f>IFERROR(__xludf.DUMMYFUNCTION("""COMPUTED_VALUE"""),955.0)</f>
        <v>955</v>
      </c>
      <c r="B920" s="20" t="str">
        <f>IFERROR(__xludf.DUMMYFUNCTION("""COMPUTED_VALUE"""),"Complete Binary Tree Inserter")</f>
        <v>Complete Binary Tree Inserter</v>
      </c>
      <c r="C920" s="20" t="str">
        <f>IFERROR(__xludf.DUMMYFUNCTION("""COMPUTED_VALUE"""),"complete-binary-tree-inserter")</f>
        <v>complete-binary-tree-inserter</v>
      </c>
      <c r="D920" s="20" t="b">
        <f>IFERROR(__xludf.DUMMYFUNCTION("""COMPUTED_VALUE"""),FALSE)</f>
        <v>0</v>
      </c>
      <c r="E920" s="20" t="str">
        <f>IFERROR(__xludf.DUMMYFUNCTION("""COMPUTED_VALUE"""),"Medium")</f>
        <v>Medium</v>
      </c>
      <c r="F920" s="20">
        <f>IFERROR(__xludf.DUMMYFUNCTION("""COMPUTED_VALUE"""),911.0)</f>
        <v>911</v>
      </c>
      <c r="G920" s="20">
        <f>IFERROR(__xludf.DUMMYFUNCTION("""COMPUTED_VALUE"""),86.0)</f>
        <v>86</v>
      </c>
      <c r="H920" s="20" t="str">
        <f>IFERROR(__xludf.DUMMYFUNCTION("""COMPUTED_VALUE"""),"Algorithms")</f>
        <v>Algorithms</v>
      </c>
      <c r="I920" s="20">
        <f>IFERROR(__xludf.DUMMYFUNCTION("""COMPUTED_VALUE"""),0.65)</f>
        <v>0.65</v>
      </c>
      <c r="J920" s="20">
        <f>IFERROR(__xludf.DUMMYFUNCTION("""COMPUTED_VALUE"""),919.0)</f>
        <v>919</v>
      </c>
      <c r="K920" s="20" t="b">
        <f>IFERROR(__xludf.DUMMYFUNCTION("""COMPUTED_VALUE"""),FALSE)</f>
        <v>0</v>
      </c>
      <c r="L920" s="20" t="str">
        <f>IFERROR(__xludf.DUMMYFUNCTION("""COMPUTED_VALUE"""),"Tree;Breadth-First Search;Design;Binary Tree;")</f>
        <v>Tree;Breadth-First Search;Design;Binary Tree;</v>
      </c>
      <c r="M920" s="20" t="b">
        <f>IFERROR(__xludf.DUMMYFUNCTION("""COMPUTED_VALUE"""),TRUE)</f>
        <v>1</v>
      </c>
      <c r="N920" s="20" t="b">
        <f>IFERROR(__xludf.DUMMYFUNCTION("""COMPUTED_VALUE"""),FALSE)</f>
        <v>0</v>
      </c>
      <c r="O920" s="20">
        <f>IFERROR(__xludf.DUMMYFUNCTION("""COMPUTED_VALUE"""),65.0234776775732)</f>
        <v>65.02347768</v>
      </c>
      <c r="P920" s="20">
        <f>IFERROR(__xludf.DUMMYFUNCTION("""COMPUTED_VALUE"""),43620.0)</f>
        <v>43620</v>
      </c>
      <c r="Q920" s="20">
        <f>IFERROR(__xludf.DUMMYFUNCTION("""COMPUTED_VALUE"""),67084.0)</f>
        <v>67084</v>
      </c>
    </row>
    <row r="921">
      <c r="A921" s="20">
        <f>IFERROR(__xludf.DUMMYFUNCTION("""COMPUTED_VALUE"""),956.0)</f>
        <v>956</v>
      </c>
      <c r="B921" s="20" t="str">
        <f>IFERROR(__xludf.DUMMYFUNCTION("""COMPUTED_VALUE"""),"Number of Music Playlists")</f>
        <v>Number of Music Playlists</v>
      </c>
      <c r="C921" s="20" t="str">
        <f>IFERROR(__xludf.DUMMYFUNCTION("""COMPUTED_VALUE"""),"number-of-music-playlists")</f>
        <v>number-of-music-playlists</v>
      </c>
      <c r="D921" s="20" t="b">
        <f>IFERROR(__xludf.DUMMYFUNCTION("""COMPUTED_VALUE"""),FALSE)</f>
        <v>0</v>
      </c>
      <c r="E921" s="20" t="str">
        <f>IFERROR(__xludf.DUMMYFUNCTION("""COMPUTED_VALUE"""),"Hard")</f>
        <v>Hard</v>
      </c>
      <c r="F921" s="20">
        <f>IFERROR(__xludf.DUMMYFUNCTION("""COMPUTED_VALUE"""),852.0)</f>
        <v>852</v>
      </c>
      <c r="G921" s="20">
        <f>IFERROR(__xludf.DUMMYFUNCTION("""COMPUTED_VALUE"""),87.0)</f>
        <v>87</v>
      </c>
      <c r="H921" s="20" t="str">
        <f>IFERROR(__xludf.DUMMYFUNCTION("""COMPUTED_VALUE"""),"Algorithms")</f>
        <v>Algorithms</v>
      </c>
      <c r="I921" s="20">
        <f>IFERROR(__xludf.DUMMYFUNCTION("""COMPUTED_VALUE"""),0.507)</f>
        <v>0.507</v>
      </c>
      <c r="J921" s="20">
        <f>IFERROR(__xludf.DUMMYFUNCTION("""COMPUTED_VALUE"""),920.0)</f>
        <v>920</v>
      </c>
      <c r="K921" s="20" t="b">
        <f>IFERROR(__xludf.DUMMYFUNCTION("""COMPUTED_VALUE"""),FALSE)</f>
        <v>0</v>
      </c>
      <c r="L921" s="20" t="str">
        <f>IFERROR(__xludf.DUMMYFUNCTION("""COMPUTED_VALUE"""),"Math;Dynamic Programming;Combinatorics;")</f>
        <v>Math;Dynamic Programming;Combinatorics;</v>
      </c>
      <c r="M921" s="20" t="b">
        <f>IFERROR(__xludf.DUMMYFUNCTION("""COMPUTED_VALUE"""),TRUE)</f>
        <v>1</v>
      </c>
      <c r="N921" s="20" t="b">
        <f>IFERROR(__xludf.DUMMYFUNCTION("""COMPUTED_VALUE"""),FALSE)</f>
        <v>0</v>
      </c>
      <c r="O921" s="20">
        <f>IFERROR(__xludf.DUMMYFUNCTION("""COMPUTED_VALUE"""),50.6765978117554)</f>
        <v>50.67659781</v>
      </c>
      <c r="P921" s="20">
        <f>IFERROR(__xludf.DUMMYFUNCTION("""COMPUTED_VALUE"""),21908.0)</f>
        <v>21908</v>
      </c>
      <c r="Q921" s="20">
        <f>IFERROR(__xludf.DUMMYFUNCTION("""COMPUTED_VALUE"""),43231.0)</f>
        <v>43231</v>
      </c>
    </row>
    <row r="922">
      <c r="A922" s="20">
        <f>IFERROR(__xludf.DUMMYFUNCTION("""COMPUTED_VALUE"""),957.0)</f>
        <v>957</v>
      </c>
      <c r="B922" s="20" t="str">
        <f>IFERROR(__xludf.DUMMYFUNCTION("""COMPUTED_VALUE"""),"Minimum Add to Make Parentheses Valid")</f>
        <v>Minimum Add to Make Parentheses Valid</v>
      </c>
      <c r="C922" s="20" t="str">
        <f>IFERROR(__xludf.DUMMYFUNCTION("""COMPUTED_VALUE"""),"minimum-add-to-make-parentheses-valid")</f>
        <v>minimum-add-to-make-parentheses-valid</v>
      </c>
      <c r="D922" s="20" t="b">
        <f>IFERROR(__xludf.DUMMYFUNCTION("""COMPUTED_VALUE"""),FALSE)</f>
        <v>0</v>
      </c>
      <c r="E922" s="20" t="str">
        <f>IFERROR(__xludf.DUMMYFUNCTION("""COMPUTED_VALUE"""),"Medium")</f>
        <v>Medium</v>
      </c>
      <c r="F922" s="20">
        <f>IFERROR(__xludf.DUMMYFUNCTION("""COMPUTED_VALUE"""),3142.0)</f>
        <v>3142</v>
      </c>
      <c r="G922" s="20">
        <f>IFERROR(__xludf.DUMMYFUNCTION("""COMPUTED_VALUE"""),170.0)</f>
        <v>170</v>
      </c>
      <c r="H922" s="20" t="str">
        <f>IFERROR(__xludf.DUMMYFUNCTION("""COMPUTED_VALUE"""),"Algorithms")</f>
        <v>Algorithms</v>
      </c>
      <c r="I922" s="20">
        <f>IFERROR(__xludf.DUMMYFUNCTION("""COMPUTED_VALUE"""),0.761)</f>
        <v>0.761</v>
      </c>
      <c r="J922" s="20">
        <f>IFERROR(__xludf.DUMMYFUNCTION("""COMPUTED_VALUE"""),921.0)</f>
        <v>921</v>
      </c>
      <c r="K922" s="20" t="b">
        <f>IFERROR(__xludf.DUMMYFUNCTION("""COMPUTED_VALUE"""),FALSE)</f>
        <v>0</v>
      </c>
      <c r="L922" s="20" t="str">
        <f>IFERROR(__xludf.DUMMYFUNCTION("""COMPUTED_VALUE"""),"String;Stack;Greedy;")</f>
        <v>String;Stack;Greedy;</v>
      </c>
      <c r="M922" s="20" t="b">
        <f>IFERROR(__xludf.DUMMYFUNCTION("""COMPUTED_VALUE"""),TRUE)</f>
        <v>1</v>
      </c>
      <c r="N922" s="20" t="b">
        <f>IFERROR(__xludf.DUMMYFUNCTION("""COMPUTED_VALUE"""),FALSE)</f>
        <v>0</v>
      </c>
      <c r="O922" s="20">
        <f>IFERROR(__xludf.DUMMYFUNCTION("""COMPUTED_VALUE"""),76.1356891607364)</f>
        <v>76.13568916</v>
      </c>
      <c r="P922" s="20">
        <f>IFERROR(__xludf.DUMMYFUNCTION("""COMPUTED_VALUE"""),243720.0)</f>
        <v>243720</v>
      </c>
      <c r="Q922" s="20">
        <f>IFERROR(__xludf.DUMMYFUNCTION("""COMPUTED_VALUE"""),320113.0)</f>
        <v>320113</v>
      </c>
    </row>
    <row r="923">
      <c r="A923" s="20">
        <f>IFERROR(__xludf.DUMMYFUNCTION("""COMPUTED_VALUE"""),958.0)</f>
        <v>958</v>
      </c>
      <c r="B923" s="20" t="str">
        <f>IFERROR(__xludf.DUMMYFUNCTION("""COMPUTED_VALUE"""),"Sort Array By Parity II")</f>
        <v>Sort Array By Parity II</v>
      </c>
      <c r="C923" s="20" t="str">
        <f>IFERROR(__xludf.DUMMYFUNCTION("""COMPUTED_VALUE"""),"sort-array-by-parity-ii")</f>
        <v>sort-array-by-parity-ii</v>
      </c>
      <c r="D923" s="20" t="b">
        <f>IFERROR(__xludf.DUMMYFUNCTION("""COMPUTED_VALUE"""),FALSE)</f>
        <v>0</v>
      </c>
      <c r="E923" s="20" t="str">
        <f>IFERROR(__xludf.DUMMYFUNCTION("""COMPUTED_VALUE"""),"Easy")</f>
        <v>Easy</v>
      </c>
      <c r="F923" s="20">
        <f>IFERROR(__xludf.DUMMYFUNCTION("""COMPUTED_VALUE"""),2151.0)</f>
        <v>2151</v>
      </c>
      <c r="G923" s="20">
        <f>IFERROR(__xludf.DUMMYFUNCTION("""COMPUTED_VALUE"""),79.0)</f>
        <v>79</v>
      </c>
      <c r="H923" s="20" t="str">
        <f>IFERROR(__xludf.DUMMYFUNCTION("""COMPUTED_VALUE"""),"Algorithms")</f>
        <v>Algorithms</v>
      </c>
      <c r="I923" s="20">
        <f>IFERROR(__xludf.DUMMYFUNCTION("""COMPUTED_VALUE"""),0.707)</f>
        <v>0.707</v>
      </c>
      <c r="J923" s="20">
        <f>IFERROR(__xludf.DUMMYFUNCTION("""COMPUTED_VALUE"""),922.0)</f>
        <v>922</v>
      </c>
      <c r="K923" s="20" t="b">
        <f>IFERROR(__xludf.DUMMYFUNCTION("""COMPUTED_VALUE"""),FALSE)</f>
        <v>0</v>
      </c>
      <c r="L923" s="20" t="str">
        <f>IFERROR(__xludf.DUMMYFUNCTION("""COMPUTED_VALUE"""),"Array;Two Pointers;Sorting;")</f>
        <v>Array;Two Pointers;Sorting;</v>
      </c>
      <c r="M923" s="20" t="b">
        <f>IFERROR(__xludf.DUMMYFUNCTION("""COMPUTED_VALUE"""),TRUE)</f>
        <v>1</v>
      </c>
      <c r="N923" s="20" t="b">
        <f>IFERROR(__xludf.DUMMYFUNCTION("""COMPUTED_VALUE"""),TRUE)</f>
        <v>1</v>
      </c>
      <c r="O923" s="20">
        <f>IFERROR(__xludf.DUMMYFUNCTION("""COMPUTED_VALUE"""),70.7162306305569)</f>
        <v>70.71623063</v>
      </c>
      <c r="P923" s="20">
        <f>IFERROR(__xludf.DUMMYFUNCTION("""COMPUTED_VALUE"""),207509.0)</f>
        <v>207509</v>
      </c>
      <c r="Q923" s="20">
        <f>IFERROR(__xludf.DUMMYFUNCTION("""COMPUTED_VALUE"""),293439.0)</f>
        <v>293439</v>
      </c>
    </row>
    <row r="924">
      <c r="A924" s="20">
        <f>IFERROR(__xludf.DUMMYFUNCTION("""COMPUTED_VALUE"""),959.0)</f>
        <v>959</v>
      </c>
      <c r="B924" s="20" t="str">
        <f>IFERROR(__xludf.DUMMYFUNCTION("""COMPUTED_VALUE"""),"3Sum With Multiplicity")</f>
        <v>3Sum With Multiplicity</v>
      </c>
      <c r="C924" s="20" t="str">
        <f>IFERROR(__xludf.DUMMYFUNCTION("""COMPUTED_VALUE"""),"3sum-with-multiplicity")</f>
        <v>3sum-with-multiplicity</v>
      </c>
      <c r="D924" s="20" t="b">
        <f>IFERROR(__xludf.DUMMYFUNCTION("""COMPUTED_VALUE"""),FALSE)</f>
        <v>0</v>
      </c>
      <c r="E924" s="20" t="str">
        <f>IFERROR(__xludf.DUMMYFUNCTION("""COMPUTED_VALUE"""),"Medium")</f>
        <v>Medium</v>
      </c>
      <c r="F924" s="20">
        <f>IFERROR(__xludf.DUMMYFUNCTION("""COMPUTED_VALUE"""),2421.0)</f>
        <v>2421</v>
      </c>
      <c r="G924" s="20">
        <f>IFERROR(__xludf.DUMMYFUNCTION("""COMPUTED_VALUE"""),288.0)</f>
        <v>288</v>
      </c>
      <c r="H924" s="20" t="str">
        <f>IFERROR(__xludf.DUMMYFUNCTION("""COMPUTED_VALUE"""),"Algorithms")</f>
        <v>Algorithms</v>
      </c>
      <c r="I924" s="20">
        <f>IFERROR(__xludf.DUMMYFUNCTION("""COMPUTED_VALUE"""),0.454)</f>
        <v>0.454</v>
      </c>
      <c r="J924" s="20">
        <f>IFERROR(__xludf.DUMMYFUNCTION("""COMPUTED_VALUE"""),923.0)</f>
        <v>923</v>
      </c>
      <c r="K924" s="20" t="b">
        <f>IFERROR(__xludf.DUMMYFUNCTION("""COMPUTED_VALUE"""),FALSE)</f>
        <v>0</v>
      </c>
      <c r="L924" s="20" t="str">
        <f>IFERROR(__xludf.DUMMYFUNCTION("""COMPUTED_VALUE"""),"Array;Hash Table;Two Pointers;Sorting;Counting;")</f>
        <v>Array;Hash Table;Two Pointers;Sorting;Counting;</v>
      </c>
      <c r="M924" s="20" t="b">
        <f>IFERROR(__xludf.DUMMYFUNCTION("""COMPUTED_VALUE"""),TRUE)</f>
        <v>1</v>
      </c>
      <c r="N924" s="20" t="b">
        <f>IFERROR(__xludf.DUMMYFUNCTION("""COMPUTED_VALUE"""),FALSE)</f>
        <v>0</v>
      </c>
      <c r="O924" s="20">
        <f>IFERROR(__xludf.DUMMYFUNCTION("""COMPUTED_VALUE"""),45.3788181201694)</f>
        <v>45.37881812</v>
      </c>
      <c r="P924" s="20">
        <f>IFERROR(__xludf.DUMMYFUNCTION("""COMPUTED_VALUE"""),94352.0)</f>
        <v>94352</v>
      </c>
      <c r="Q924" s="20">
        <f>IFERROR(__xludf.DUMMYFUNCTION("""COMPUTED_VALUE"""),207922.0)</f>
        <v>207922</v>
      </c>
    </row>
    <row r="925">
      <c r="A925" s="20">
        <f>IFERROR(__xludf.DUMMYFUNCTION("""COMPUTED_VALUE"""),960.0)</f>
        <v>960</v>
      </c>
      <c r="B925" s="20" t="str">
        <f>IFERROR(__xludf.DUMMYFUNCTION("""COMPUTED_VALUE"""),"Minimize Malware Spread")</f>
        <v>Minimize Malware Spread</v>
      </c>
      <c r="C925" s="20" t="str">
        <f>IFERROR(__xludf.DUMMYFUNCTION("""COMPUTED_VALUE"""),"minimize-malware-spread")</f>
        <v>minimize-malware-spread</v>
      </c>
      <c r="D925" s="20" t="b">
        <f>IFERROR(__xludf.DUMMYFUNCTION("""COMPUTED_VALUE"""),FALSE)</f>
        <v>0</v>
      </c>
      <c r="E925" s="20" t="str">
        <f>IFERROR(__xludf.DUMMYFUNCTION("""COMPUTED_VALUE"""),"Hard")</f>
        <v>Hard</v>
      </c>
      <c r="F925" s="20">
        <f>IFERROR(__xludf.DUMMYFUNCTION("""COMPUTED_VALUE"""),781.0)</f>
        <v>781</v>
      </c>
      <c r="G925" s="20">
        <f>IFERROR(__xludf.DUMMYFUNCTION("""COMPUTED_VALUE"""),473.0)</f>
        <v>473</v>
      </c>
      <c r="H925" s="20" t="str">
        <f>IFERROR(__xludf.DUMMYFUNCTION("""COMPUTED_VALUE"""),"Algorithms")</f>
        <v>Algorithms</v>
      </c>
      <c r="I925" s="20">
        <f>IFERROR(__xludf.DUMMYFUNCTION("""COMPUTED_VALUE"""),0.421)</f>
        <v>0.421</v>
      </c>
      <c r="J925" s="20">
        <f>IFERROR(__xludf.DUMMYFUNCTION("""COMPUTED_VALUE"""),924.0)</f>
        <v>924</v>
      </c>
      <c r="K925" s="20" t="b">
        <f>IFERROR(__xludf.DUMMYFUNCTION("""COMPUTED_VALUE"""),FALSE)</f>
        <v>0</v>
      </c>
      <c r="L925" s="20" t="str">
        <f>IFERROR(__xludf.DUMMYFUNCTION("""COMPUTED_VALUE"""),"Array;Depth-First Search;Breadth-First Search;Union Find;Matrix;")</f>
        <v>Array;Depth-First Search;Breadth-First Search;Union Find;Matrix;</v>
      </c>
      <c r="M925" s="20" t="b">
        <f>IFERROR(__xludf.DUMMYFUNCTION("""COMPUTED_VALUE"""),TRUE)</f>
        <v>1</v>
      </c>
      <c r="N925" s="20" t="b">
        <f>IFERROR(__xludf.DUMMYFUNCTION("""COMPUTED_VALUE"""),FALSE)</f>
        <v>0</v>
      </c>
      <c r="O925" s="20">
        <f>IFERROR(__xludf.DUMMYFUNCTION("""COMPUTED_VALUE"""),42.0747254512236)</f>
        <v>42.07472545</v>
      </c>
      <c r="P925" s="20">
        <f>IFERROR(__xludf.DUMMYFUNCTION("""COMPUTED_VALUE"""),41914.0)</f>
        <v>41914</v>
      </c>
      <c r="Q925" s="20">
        <f>IFERROR(__xludf.DUMMYFUNCTION("""COMPUTED_VALUE"""),99618.0)</f>
        <v>99618</v>
      </c>
    </row>
    <row r="926">
      <c r="A926" s="20">
        <f>IFERROR(__xludf.DUMMYFUNCTION("""COMPUTED_VALUE"""),961.0)</f>
        <v>961</v>
      </c>
      <c r="B926" s="20" t="str">
        <f>IFERROR(__xludf.DUMMYFUNCTION("""COMPUTED_VALUE"""),"Long Pressed Name")</f>
        <v>Long Pressed Name</v>
      </c>
      <c r="C926" s="20" t="str">
        <f>IFERROR(__xludf.DUMMYFUNCTION("""COMPUTED_VALUE"""),"long-pressed-name")</f>
        <v>long-pressed-name</v>
      </c>
      <c r="D926" s="20" t="b">
        <f>IFERROR(__xludf.DUMMYFUNCTION("""COMPUTED_VALUE"""),FALSE)</f>
        <v>0</v>
      </c>
      <c r="E926" s="20" t="str">
        <f>IFERROR(__xludf.DUMMYFUNCTION("""COMPUTED_VALUE"""),"Easy")</f>
        <v>Easy</v>
      </c>
      <c r="F926" s="20">
        <f>IFERROR(__xludf.DUMMYFUNCTION("""COMPUTED_VALUE"""),1997.0)</f>
        <v>1997</v>
      </c>
      <c r="G926" s="20">
        <f>IFERROR(__xludf.DUMMYFUNCTION("""COMPUTED_VALUE"""),286.0)</f>
        <v>286</v>
      </c>
      <c r="H926" s="20" t="str">
        <f>IFERROR(__xludf.DUMMYFUNCTION("""COMPUTED_VALUE"""),"Algorithms")</f>
        <v>Algorithms</v>
      </c>
      <c r="I926" s="20">
        <f>IFERROR(__xludf.DUMMYFUNCTION("""COMPUTED_VALUE"""),0.335)</f>
        <v>0.335</v>
      </c>
      <c r="J926" s="20">
        <f>IFERROR(__xludf.DUMMYFUNCTION("""COMPUTED_VALUE"""),925.0)</f>
        <v>925</v>
      </c>
      <c r="K926" s="20" t="b">
        <f>IFERROR(__xludf.DUMMYFUNCTION("""COMPUTED_VALUE"""),FALSE)</f>
        <v>0</v>
      </c>
      <c r="L926" s="20" t="str">
        <f>IFERROR(__xludf.DUMMYFUNCTION("""COMPUTED_VALUE"""),"Two Pointers;String;")</f>
        <v>Two Pointers;String;</v>
      </c>
      <c r="M926" s="20" t="b">
        <f>IFERROR(__xludf.DUMMYFUNCTION("""COMPUTED_VALUE"""),FALSE)</f>
        <v>0</v>
      </c>
      <c r="N926" s="20" t="b">
        <f>IFERROR(__xludf.DUMMYFUNCTION("""COMPUTED_VALUE"""),FALSE)</f>
        <v>0</v>
      </c>
      <c r="O926" s="20">
        <f>IFERROR(__xludf.DUMMYFUNCTION("""COMPUTED_VALUE"""),33.5101736250136)</f>
        <v>33.51017363</v>
      </c>
      <c r="P926" s="20">
        <f>IFERROR(__xludf.DUMMYFUNCTION("""COMPUTED_VALUE"""),110473.0)</f>
        <v>110473</v>
      </c>
      <c r="Q926" s="20">
        <f>IFERROR(__xludf.DUMMYFUNCTION("""COMPUTED_VALUE"""),329672.0)</f>
        <v>329672</v>
      </c>
    </row>
    <row r="927">
      <c r="A927" s="20">
        <f>IFERROR(__xludf.DUMMYFUNCTION("""COMPUTED_VALUE"""),962.0)</f>
        <v>962</v>
      </c>
      <c r="B927" s="20" t="str">
        <f>IFERROR(__xludf.DUMMYFUNCTION("""COMPUTED_VALUE"""),"Flip String to Monotone Increasing")</f>
        <v>Flip String to Monotone Increasing</v>
      </c>
      <c r="C927" s="20" t="str">
        <f>IFERROR(__xludf.DUMMYFUNCTION("""COMPUTED_VALUE"""),"flip-string-to-monotone-increasing")</f>
        <v>flip-string-to-monotone-increasing</v>
      </c>
      <c r="D927" s="20" t="b">
        <f>IFERROR(__xludf.DUMMYFUNCTION("""COMPUTED_VALUE"""),FALSE)</f>
        <v>0</v>
      </c>
      <c r="E927" s="20" t="str">
        <f>IFERROR(__xludf.DUMMYFUNCTION("""COMPUTED_VALUE"""),"Medium")</f>
        <v>Medium</v>
      </c>
      <c r="F927" s="20">
        <f>IFERROR(__xludf.DUMMYFUNCTION("""COMPUTED_VALUE"""),2325.0)</f>
        <v>2325</v>
      </c>
      <c r="G927" s="20">
        <f>IFERROR(__xludf.DUMMYFUNCTION("""COMPUTED_VALUE"""),102.0)</f>
        <v>102</v>
      </c>
      <c r="H927" s="20" t="str">
        <f>IFERROR(__xludf.DUMMYFUNCTION("""COMPUTED_VALUE"""),"Algorithms")</f>
        <v>Algorithms</v>
      </c>
      <c r="I927" s="20">
        <f>IFERROR(__xludf.DUMMYFUNCTION("""COMPUTED_VALUE"""),0.596)</f>
        <v>0.596</v>
      </c>
      <c r="J927" s="20">
        <f>IFERROR(__xludf.DUMMYFUNCTION("""COMPUTED_VALUE"""),926.0)</f>
        <v>926</v>
      </c>
      <c r="K927" s="20" t="b">
        <f>IFERROR(__xludf.DUMMYFUNCTION("""COMPUTED_VALUE"""),FALSE)</f>
        <v>0</v>
      </c>
      <c r="L927" s="20" t="str">
        <f>IFERROR(__xludf.DUMMYFUNCTION("""COMPUTED_VALUE"""),"String;Dynamic Programming;")</f>
        <v>String;Dynamic Programming;</v>
      </c>
      <c r="M927" s="20" t="b">
        <f>IFERROR(__xludf.DUMMYFUNCTION("""COMPUTED_VALUE"""),TRUE)</f>
        <v>1</v>
      </c>
      <c r="N927" s="20" t="b">
        <f>IFERROR(__xludf.DUMMYFUNCTION("""COMPUTED_VALUE"""),FALSE)</f>
        <v>0</v>
      </c>
      <c r="O927" s="20">
        <f>IFERROR(__xludf.DUMMYFUNCTION("""COMPUTED_VALUE"""),59.6028681144642)</f>
        <v>59.60286811</v>
      </c>
      <c r="P927" s="20">
        <f>IFERROR(__xludf.DUMMYFUNCTION("""COMPUTED_VALUE"""),109891.0)</f>
        <v>109891</v>
      </c>
      <c r="Q927" s="20">
        <f>IFERROR(__xludf.DUMMYFUNCTION("""COMPUTED_VALUE"""),184372.0)</f>
        <v>184372</v>
      </c>
    </row>
    <row r="928">
      <c r="A928" s="20">
        <f>IFERROR(__xludf.DUMMYFUNCTION("""COMPUTED_VALUE"""),963.0)</f>
        <v>963</v>
      </c>
      <c r="B928" s="20" t="str">
        <f>IFERROR(__xludf.DUMMYFUNCTION("""COMPUTED_VALUE"""),"Three Equal Parts")</f>
        <v>Three Equal Parts</v>
      </c>
      <c r="C928" s="20" t="str">
        <f>IFERROR(__xludf.DUMMYFUNCTION("""COMPUTED_VALUE"""),"three-equal-parts")</f>
        <v>three-equal-parts</v>
      </c>
      <c r="D928" s="20" t="b">
        <f>IFERROR(__xludf.DUMMYFUNCTION("""COMPUTED_VALUE"""),FALSE)</f>
        <v>0</v>
      </c>
      <c r="E928" s="20" t="str">
        <f>IFERROR(__xludf.DUMMYFUNCTION("""COMPUTED_VALUE"""),"Hard")</f>
        <v>Hard</v>
      </c>
      <c r="F928" s="20">
        <f>IFERROR(__xludf.DUMMYFUNCTION("""COMPUTED_VALUE"""),746.0)</f>
        <v>746</v>
      </c>
      <c r="G928" s="20">
        <f>IFERROR(__xludf.DUMMYFUNCTION("""COMPUTED_VALUE"""),113.0)</f>
        <v>113</v>
      </c>
      <c r="H928" s="20" t="str">
        <f>IFERROR(__xludf.DUMMYFUNCTION("""COMPUTED_VALUE"""),"Algorithms")</f>
        <v>Algorithms</v>
      </c>
      <c r="I928" s="20">
        <f>IFERROR(__xludf.DUMMYFUNCTION("""COMPUTED_VALUE"""),0.396)</f>
        <v>0.396</v>
      </c>
      <c r="J928" s="20">
        <f>IFERROR(__xludf.DUMMYFUNCTION("""COMPUTED_VALUE"""),927.0)</f>
        <v>927</v>
      </c>
      <c r="K928" s="20" t="b">
        <f>IFERROR(__xludf.DUMMYFUNCTION("""COMPUTED_VALUE"""),FALSE)</f>
        <v>0</v>
      </c>
      <c r="L928" s="20" t="str">
        <f>IFERROR(__xludf.DUMMYFUNCTION("""COMPUTED_VALUE"""),"Array;Math;")</f>
        <v>Array;Math;</v>
      </c>
      <c r="M928" s="20" t="b">
        <f>IFERROR(__xludf.DUMMYFUNCTION("""COMPUTED_VALUE"""),TRUE)</f>
        <v>1</v>
      </c>
      <c r="N928" s="20" t="b">
        <f>IFERROR(__xludf.DUMMYFUNCTION("""COMPUTED_VALUE"""),FALSE)</f>
        <v>0</v>
      </c>
      <c r="O928" s="20">
        <f>IFERROR(__xludf.DUMMYFUNCTION("""COMPUTED_VALUE"""),39.6425504664599)</f>
        <v>39.64255047</v>
      </c>
      <c r="P928" s="20">
        <f>IFERROR(__xludf.DUMMYFUNCTION("""COMPUTED_VALUE"""),27238.0)</f>
        <v>27238</v>
      </c>
      <c r="Q928" s="20">
        <f>IFERROR(__xludf.DUMMYFUNCTION("""COMPUTED_VALUE"""),68709.0)</f>
        <v>68709</v>
      </c>
    </row>
    <row r="929">
      <c r="A929" s="20">
        <f>IFERROR(__xludf.DUMMYFUNCTION("""COMPUTED_VALUE"""),964.0)</f>
        <v>964</v>
      </c>
      <c r="B929" s="20" t="str">
        <f>IFERROR(__xludf.DUMMYFUNCTION("""COMPUTED_VALUE"""),"Minimize Malware Spread II")</f>
        <v>Minimize Malware Spread II</v>
      </c>
      <c r="C929" s="20" t="str">
        <f>IFERROR(__xludf.DUMMYFUNCTION("""COMPUTED_VALUE"""),"minimize-malware-spread-ii")</f>
        <v>minimize-malware-spread-ii</v>
      </c>
      <c r="D929" s="20" t="b">
        <f>IFERROR(__xludf.DUMMYFUNCTION("""COMPUTED_VALUE"""),FALSE)</f>
        <v>0</v>
      </c>
      <c r="E929" s="20" t="str">
        <f>IFERROR(__xludf.DUMMYFUNCTION("""COMPUTED_VALUE"""),"Hard")</f>
        <v>Hard</v>
      </c>
      <c r="F929" s="20">
        <f>IFERROR(__xludf.DUMMYFUNCTION("""COMPUTED_VALUE"""),551.0)</f>
        <v>551</v>
      </c>
      <c r="G929" s="20">
        <f>IFERROR(__xludf.DUMMYFUNCTION("""COMPUTED_VALUE"""),79.0)</f>
        <v>79</v>
      </c>
      <c r="H929" s="20" t="str">
        <f>IFERROR(__xludf.DUMMYFUNCTION("""COMPUTED_VALUE"""),"Algorithms")</f>
        <v>Algorithms</v>
      </c>
      <c r="I929" s="20">
        <f>IFERROR(__xludf.DUMMYFUNCTION("""COMPUTED_VALUE"""),0.427)</f>
        <v>0.427</v>
      </c>
      <c r="J929" s="20">
        <f>IFERROR(__xludf.DUMMYFUNCTION("""COMPUTED_VALUE"""),928.0)</f>
        <v>928</v>
      </c>
      <c r="K929" s="20" t="b">
        <f>IFERROR(__xludf.DUMMYFUNCTION("""COMPUTED_VALUE"""),FALSE)</f>
        <v>0</v>
      </c>
      <c r="L929" s="20" t="str">
        <f>IFERROR(__xludf.DUMMYFUNCTION("""COMPUTED_VALUE"""),"Array;Depth-First Search;Breadth-First Search;Union Find;Matrix;")</f>
        <v>Array;Depth-First Search;Breadth-First Search;Union Find;Matrix;</v>
      </c>
      <c r="M929" s="20" t="b">
        <f>IFERROR(__xludf.DUMMYFUNCTION("""COMPUTED_VALUE"""),TRUE)</f>
        <v>1</v>
      </c>
      <c r="N929" s="20" t="b">
        <f>IFERROR(__xludf.DUMMYFUNCTION("""COMPUTED_VALUE"""),FALSE)</f>
        <v>0</v>
      </c>
      <c r="O929" s="20">
        <f>IFERROR(__xludf.DUMMYFUNCTION("""COMPUTED_VALUE"""),42.7074256946461)</f>
        <v>42.70742569</v>
      </c>
      <c r="P929" s="20">
        <f>IFERROR(__xludf.DUMMYFUNCTION("""COMPUTED_VALUE"""),17645.0)</f>
        <v>17645</v>
      </c>
      <c r="Q929" s="20">
        <f>IFERROR(__xludf.DUMMYFUNCTION("""COMPUTED_VALUE"""),41316.0)</f>
        <v>41316</v>
      </c>
    </row>
    <row r="930">
      <c r="A930" s="20">
        <f>IFERROR(__xludf.DUMMYFUNCTION("""COMPUTED_VALUE"""),965.0)</f>
        <v>965</v>
      </c>
      <c r="B930" s="20" t="str">
        <f>IFERROR(__xludf.DUMMYFUNCTION("""COMPUTED_VALUE"""),"Unique Email Addresses")</f>
        <v>Unique Email Addresses</v>
      </c>
      <c r="C930" s="20" t="str">
        <f>IFERROR(__xludf.DUMMYFUNCTION("""COMPUTED_VALUE"""),"unique-email-addresses")</f>
        <v>unique-email-addresses</v>
      </c>
      <c r="D930" s="20" t="b">
        <f>IFERROR(__xludf.DUMMYFUNCTION("""COMPUTED_VALUE"""),FALSE)</f>
        <v>0</v>
      </c>
      <c r="E930" s="20" t="str">
        <f>IFERROR(__xludf.DUMMYFUNCTION("""COMPUTED_VALUE"""),"Easy")</f>
        <v>Easy</v>
      </c>
      <c r="F930" s="20">
        <f>IFERROR(__xludf.DUMMYFUNCTION("""COMPUTED_VALUE"""),2133.0)</f>
        <v>2133</v>
      </c>
      <c r="G930" s="20">
        <f>IFERROR(__xludf.DUMMYFUNCTION("""COMPUTED_VALUE"""),268.0)</f>
        <v>268</v>
      </c>
      <c r="H930" s="20" t="str">
        <f>IFERROR(__xludf.DUMMYFUNCTION("""COMPUTED_VALUE"""),"Algorithms")</f>
        <v>Algorithms</v>
      </c>
      <c r="I930" s="20">
        <f>IFERROR(__xludf.DUMMYFUNCTION("""COMPUTED_VALUE"""),0.671)</f>
        <v>0.671</v>
      </c>
      <c r="J930" s="20">
        <f>IFERROR(__xludf.DUMMYFUNCTION("""COMPUTED_VALUE"""),929.0)</f>
        <v>929</v>
      </c>
      <c r="K930" s="20" t="b">
        <f>IFERROR(__xludf.DUMMYFUNCTION("""COMPUTED_VALUE"""),FALSE)</f>
        <v>0</v>
      </c>
      <c r="L930" s="20" t="str">
        <f>IFERROR(__xludf.DUMMYFUNCTION("""COMPUTED_VALUE"""),"Array;Hash Table;String;")</f>
        <v>Array;Hash Table;String;</v>
      </c>
      <c r="M930" s="20" t="b">
        <f>IFERROR(__xludf.DUMMYFUNCTION("""COMPUTED_VALUE"""),TRUE)</f>
        <v>1</v>
      </c>
      <c r="N930" s="20" t="b">
        <f>IFERROR(__xludf.DUMMYFUNCTION("""COMPUTED_VALUE"""),FALSE)</f>
        <v>0</v>
      </c>
      <c r="O930" s="20">
        <f>IFERROR(__xludf.DUMMYFUNCTION("""COMPUTED_VALUE"""),67.1358653548831)</f>
        <v>67.13586535</v>
      </c>
      <c r="P930" s="20">
        <f>IFERROR(__xludf.DUMMYFUNCTION("""COMPUTED_VALUE"""),403835.0)</f>
        <v>403835</v>
      </c>
      <c r="Q930" s="20">
        <f>IFERROR(__xludf.DUMMYFUNCTION("""COMPUTED_VALUE"""),601518.0)</f>
        <v>601518</v>
      </c>
    </row>
    <row r="931">
      <c r="A931" s="20">
        <f>IFERROR(__xludf.DUMMYFUNCTION("""COMPUTED_VALUE"""),966.0)</f>
        <v>966</v>
      </c>
      <c r="B931" s="20" t="str">
        <f>IFERROR(__xludf.DUMMYFUNCTION("""COMPUTED_VALUE"""),"Binary Subarrays With Sum")</f>
        <v>Binary Subarrays With Sum</v>
      </c>
      <c r="C931" s="20" t="str">
        <f>IFERROR(__xludf.DUMMYFUNCTION("""COMPUTED_VALUE"""),"binary-subarrays-with-sum")</f>
        <v>binary-subarrays-with-sum</v>
      </c>
      <c r="D931" s="20" t="b">
        <f>IFERROR(__xludf.DUMMYFUNCTION("""COMPUTED_VALUE"""),FALSE)</f>
        <v>0</v>
      </c>
      <c r="E931" s="20" t="str">
        <f>IFERROR(__xludf.DUMMYFUNCTION("""COMPUTED_VALUE"""),"Medium")</f>
        <v>Medium</v>
      </c>
      <c r="F931" s="20">
        <f>IFERROR(__xludf.DUMMYFUNCTION("""COMPUTED_VALUE"""),1805.0)</f>
        <v>1805</v>
      </c>
      <c r="G931" s="20">
        <f>IFERROR(__xludf.DUMMYFUNCTION("""COMPUTED_VALUE"""),59.0)</f>
        <v>59</v>
      </c>
      <c r="H931" s="20" t="str">
        <f>IFERROR(__xludf.DUMMYFUNCTION("""COMPUTED_VALUE"""),"Algorithms")</f>
        <v>Algorithms</v>
      </c>
      <c r="I931" s="20">
        <f>IFERROR(__xludf.DUMMYFUNCTION("""COMPUTED_VALUE"""),0.513)</f>
        <v>0.513</v>
      </c>
      <c r="J931" s="20">
        <f>IFERROR(__xludf.DUMMYFUNCTION("""COMPUTED_VALUE"""),930.0)</f>
        <v>930</v>
      </c>
      <c r="K931" s="20" t="b">
        <f>IFERROR(__xludf.DUMMYFUNCTION("""COMPUTED_VALUE"""),FALSE)</f>
        <v>0</v>
      </c>
      <c r="L931" s="20" t="str">
        <f>IFERROR(__xludf.DUMMYFUNCTION("""COMPUTED_VALUE"""),"Array;Hash Table;Sliding Window;Prefix Sum;")</f>
        <v>Array;Hash Table;Sliding Window;Prefix Sum;</v>
      </c>
      <c r="M931" s="20" t="b">
        <f>IFERROR(__xludf.DUMMYFUNCTION("""COMPUTED_VALUE"""),TRUE)</f>
        <v>1</v>
      </c>
      <c r="N931" s="20" t="b">
        <f>IFERROR(__xludf.DUMMYFUNCTION("""COMPUTED_VALUE"""),FALSE)</f>
        <v>0</v>
      </c>
      <c r="O931" s="20">
        <f>IFERROR(__xludf.DUMMYFUNCTION("""COMPUTED_VALUE"""),51.2825305657748)</f>
        <v>51.28253057</v>
      </c>
      <c r="P931" s="20">
        <f>IFERROR(__xludf.DUMMYFUNCTION("""COMPUTED_VALUE"""),60357.0)</f>
        <v>60357</v>
      </c>
      <c r="Q931" s="20">
        <f>IFERROR(__xludf.DUMMYFUNCTION("""COMPUTED_VALUE"""),117695.0)</f>
        <v>117695</v>
      </c>
    </row>
    <row r="932">
      <c r="A932" s="20">
        <f>IFERROR(__xludf.DUMMYFUNCTION("""COMPUTED_VALUE"""),967.0)</f>
        <v>967</v>
      </c>
      <c r="B932" s="20" t="str">
        <f>IFERROR(__xludf.DUMMYFUNCTION("""COMPUTED_VALUE"""),"Minimum Falling Path Sum")</f>
        <v>Minimum Falling Path Sum</v>
      </c>
      <c r="C932" s="20" t="str">
        <f>IFERROR(__xludf.DUMMYFUNCTION("""COMPUTED_VALUE"""),"minimum-falling-path-sum")</f>
        <v>minimum-falling-path-sum</v>
      </c>
      <c r="D932" s="20" t="b">
        <f>IFERROR(__xludf.DUMMYFUNCTION("""COMPUTED_VALUE"""),FALSE)</f>
        <v>0</v>
      </c>
      <c r="E932" s="20" t="str">
        <f>IFERROR(__xludf.DUMMYFUNCTION("""COMPUTED_VALUE"""),"Medium")</f>
        <v>Medium</v>
      </c>
      <c r="F932" s="20">
        <f>IFERROR(__xludf.DUMMYFUNCTION("""COMPUTED_VALUE"""),4317.0)</f>
        <v>4317</v>
      </c>
      <c r="G932" s="20">
        <f>IFERROR(__xludf.DUMMYFUNCTION("""COMPUTED_VALUE"""),117.0)</f>
        <v>117</v>
      </c>
      <c r="H932" s="20" t="str">
        <f>IFERROR(__xludf.DUMMYFUNCTION("""COMPUTED_VALUE"""),"Algorithms")</f>
        <v>Algorithms</v>
      </c>
      <c r="I932" s="20">
        <f>IFERROR(__xludf.DUMMYFUNCTION("""COMPUTED_VALUE"""),0.691)</f>
        <v>0.691</v>
      </c>
      <c r="J932" s="20">
        <f>IFERROR(__xludf.DUMMYFUNCTION("""COMPUTED_VALUE"""),931.0)</f>
        <v>931</v>
      </c>
      <c r="K932" s="20" t="b">
        <f>IFERROR(__xludf.DUMMYFUNCTION("""COMPUTED_VALUE"""),FALSE)</f>
        <v>0</v>
      </c>
      <c r="L932" s="20" t="str">
        <f>IFERROR(__xludf.DUMMYFUNCTION("""COMPUTED_VALUE"""),"Array;Dynamic Programming;Matrix;")</f>
        <v>Array;Dynamic Programming;Matrix;</v>
      </c>
      <c r="M932" s="20" t="b">
        <f>IFERROR(__xludf.DUMMYFUNCTION("""COMPUTED_VALUE"""),TRUE)</f>
        <v>1</v>
      </c>
      <c r="N932" s="20" t="b">
        <f>IFERROR(__xludf.DUMMYFUNCTION("""COMPUTED_VALUE"""),FALSE)</f>
        <v>0</v>
      </c>
      <c r="O932" s="20">
        <f>IFERROR(__xludf.DUMMYFUNCTION("""COMPUTED_VALUE"""),69.1333380713859)</f>
        <v>69.13333807</v>
      </c>
      <c r="P932" s="20">
        <f>IFERROR(__xludf.DUMMYFUNCTION("""COMPUTED_VALUE"""),223729.0)</f>
        <v>223729</v>
      </c>
      <c r="Q932" s="20">
        <f>IFERROR(__xludf.DUMMYFUNCTION("""COMPUTED_VALUE"""),323619.0)</f>
        <v>323619</v>
      </c>
    </row>
    <row r="933">
      <c r="A933" s="20">
        <f>IFERROR(__xludf.DUMMYFUNCTION("""COMPUTED_VALUE"""),968.0)</f>
        <v>968</v>
      </c>
      <c r="B933" s="20" t="str">
        <f>IFERROR(__xludf.DUMMYFUNCTION("""COMPUTED_VALUE"""),"Beautiful Array")</f>
        <v>Beautiful Array</v>
      </c>
      <c r="C933" s="20" t="str">
        <f>IFERROR(__xludf.DUMMYFUNCTION("""COMPUTED_VALUE"""),"beautiful-array")</f>
        <v>beautiful-array</v>
      </c>
      <c r="D933" s="20" t="b">
        <f>IFERROR(__xludf.DUMMYFUNCTION("""COMPUTED_VALUE"""),FALSE)</f>
        <v>0</v>
      </c>
      <c r="E933" s="20" t="str">
        <f>IFERROR(__xludf.DUMMYFUNCTION("""COMPUTED_VALUE"""),"Medium")</f>
        <v>Medium</v>
      </c>
      <c r="F933" s="20">
        <f>IFERROR(__xludf.DUMMYFUNCTION("""COMPUTED_VALUE"""),913.0)</f>
        <v>913</v>
      </c>
      <c r="G933" s="20">
        <f>IFERROR(__xludf.DUMMYFUNCTION("""COMPUTED_VALUE"""),1338.0)</f>
        <v>1338</v>
      </c>
      <c r="H933" s="20" t="str">
        <f>IFERROR(__xludf.DUMMYFUNCTION("""COMPUTED_VALUE"""),"Algorithms")</f>
        <v>Algorithms</v>
      </c>
      <c r="I933" s="20">
        <f>IFERROR(__xludf.DUMMYFUNCTION("""COMPUTED_VALUE"""),0.651)</f>
        <v>0.651</v>
      </c>
      <c r="J933" s="20">
        <f>IFERROR(__xludf.DUMMYFUNCTION("""COMPUTED_VALUE"""),932.0)</f>
        <v>932</v>
      </c>
      <c r="K933" s="20" t="b">
        <f>IFERROR(__xludf.DUMMYFUNCTION("""COMPUTED_VALUE"""),FALSE)</f>
        <v>0</v>
      </c>
      <c r="L933" s="20" t="str">
        <f>IFERROR(__xludf.DUMMYFUNCTION("""COMPUTED_VALUE"""),"Array;Math;Divide and Conquer;")</f>
        <v>Array;Math;Divide and Conquer;</v>
      </c>
      <c r="M933" s="20" t="b">
        <f>IFERROR(__xludf.DUMMYFUNCTION("""COMPUTED_VALUE"""),TRUE)</f>
        <v>1</v>
      </c>
      <c r="N933" s="20" t="b">
        <f>IFERROR(__xludf.DUMMYFUNCTION("""COMPUTED_VALUE"""),FALSE)</f>
        <v>0</v>
      </c>
      <c r="O933" s="20">
        <f>IFERROR(__xludf.DUMMYFUNCTION("""COMPUTED_VALUE"""),65.0796591330122)</f>
        <v>65.07965913</v>
      </c>
      <c r="P933" s="20">
        <f>IFERROR(__xludf.DUMMYFUNCTION("""COMPUTED_VALUE"""),38643.0)</f>
        <v>38643</v>
      </c>
      <c r="Q933" s="20">
        <f>IFERROR(__xludf.DUMMYFUNCTION("""COMPUTED_VALUE"""),59378.0)</f>
        <v>59378</v>
      </c>
    </row>
    <row r="934">
      <c r="A934" s="20">
        <f>IFERROR(__xludf.DUMMYFUNCTION("""COMPUTED_VALUE"""),969.0)</f>
        <v>969</v>
      </c>
      <c r="B934" s="20" t="str">
        <f>IFERROR(__xludf.DUMMYFUNCTION("""COMPUTED_VALUE"""),"Number of Recent Calls")</f>
        <v>Number of Recent Calls</v>
      </c>
      <c r="C934" s="20" t="str">
        <f>IFERROR(__xludf.DUMMYFUNCTION("""COMPUTED_VALUE"""),"number-of-recent-calls")</f>
        <v>number-of-recent-calls</v>
      </c>
      <c r="D934" s="20" t="b">
        <f>IFERROR(__xludf.DUMMYFUNCTION("""COMPUTED_VALUE"""),FALSE)</f>
        <v>0</v>
      </c>
      <c r="E934" s="20" t="str">
        <f>IFERROR(__xludf.DUMMYFUNCTION("""COMPUTED_VALUE"""),"Easy")</f>
        <v>Easy</v>
      </c>
      <c r="F934" s="20">
        <f>IFERROR(__xludf.DUMMYFUNCTION("""COMPUTED_VALUE"""),881.0)</f>
        <v>881</v>
      </c>
      <c r="G934" s="20">
        <f>IFERROR(__xludf.DUMMYFUNCTION("""COMPUTED_VALUE"""),2595.0)</f>
        <v>2595</v>
      </c>
      <c r="H934" s="20" t="str">
        <f>IFERROR(__xludf.DUMMYFUNCTION("""COMPUTED_VALUE"""),"Algorithms")</f>
        <v>Algorithms</v>
      </c>
      <c r="I934" s="20">
        <f>IFERROR(__xludf.DUMMYFUNCTION("""COMPUTED_VALUE"""),0.732)</f>
        <v>0.732</v>
      </c>
      <c r="J934" s="20">
        <f>IFERROR(__xludf.DUMMYFUNCTION("""COMPUTED_VALUE"""),933.0)</f>
        <v>933</v>
      </c>
      <c r="K934" s="20" t="b">
        <f>IFERROR(__xludf.DUMMYFUNCTION("""COMPUTED_VALUE"""),FALSE)</f>
        <v>0</v>
      </c>
      <c r="L934" s="20" t="str">
        <f>IFERROR(__xludf.DUMMYFUNCTION("""COMPUTED_VALUE"""),"Design;Queue;Data Stream;")</f>
        <v>Design;Queue;Data Stream;</v>
      </c>
      <c r="M934" s="20" t="b">
        <f>IFERROR(__xludf.DUMMYFUNCTION("""COMPUTED_VALUE"""),TRUE)</f>
        <v>1</v>
      </c>
      <c r="N934" s="20" t="b">
        <f>IFERROR(__xludf.DUMMYFUNCTION("""COMPUTED_VALUE"""),FALSE)</f>
        <v>0</v>
      </c>
      <c r="O934" s="20">
        <f>IFERROR(__xludf.DUMMYFUNCTION("""COMPUTED_VALUE"""),73.1800704122523)</f>
        <v>73.18007041</v>
      </c>
      <c r="P934" s="20">
        <f>IFERROR(__xludf.DUMMYFUNCTION("""COMPUTED_VALUE"""),135318.0)</f>
        <v>135318</v>
      </c>
      <c r="Q934" s="20">
        <f>IFERROR(__xludf.DUMMYFUNCTION("""COMPUTED_VALUE"""),184911.0)</f>
        <v>184911</v>
      </c>
    </row>
    <row r="935">
      <c r="A935" s="20">
        <f>IFERROR(__xludf.DUMMYFUNCTION("""COMPUTED_VALUE"""),971.0)</f>
        <v>971</v>
      </c>
      <c r="B935" s="20" t="str">
        <f>IFERROR(__xludf.DUMMYFUNCTION("""COMPUTED_VALUE"""),"Shortest Bridge")</f>
        <v>Shortest Bridge</v>
      </c>
      <c r="C935" s="20" t="str">
        <f>IFERROR(__xludf.DUMMYFUNCTION("""COMPUTED_VALUE"""),"shortest-bridge")</f>
        <v>shortest-bridge</v>
      </c>
      <c r="D935" s="20" t="b">
        <f>IFERROR(__xludf.DUMMYFUNCTION("""COMPUTED_VALUE"""),FALSE)</f>
        <v>0</v>
      </c>
      <c r="E935" s="20" t="str">
        <f>IFERROR(__xludf.DUMMYFUNCTION("""COMPUTED_VALUE"""),"Medium")</f>
        <v>Medium</v>
      </c>
      <c r="F935" s="20">
        <f>IFERROR(__xludf.DUMMYFUNCTION("""COMPUTED_VALUE"""),3383.0)</f>
        <v>3383</v>
      </c>
      <c r="G935" s="20">
        <f>IFERROR(__xludf.DUMMYFUNCTION("""COMPUTED_VALUE"""),145.0)</f>
        <v>145</v>
      </c>
      <c r="H935" s="20" t="str">
        <f>IFERROR(__xludf.DUMMYFUNCTION("""COMPUTED_VALUE"""),"Algorithms")</f>
        <v>Algorithms</v>
      </c>
      <c r="I935" s="20">
        <f>IFERROR(__xludf.DUMMYFUNCTION("""COMPUTED_VALUE"""),0.542)</f>
        <v>0.542</v>
      </c>
      <c r="J935" s="20">
        <f>IFERROR(__xludf.DUMMYFUNCTION("""COMPUTED_VALUE"""),934.0)</f>
        <v>934</v>
      </c>
      <c r="K935" s="20" t="b">
        <f>IFERROR(__xludf.DUMMYFUNCTION("""COMPUTED_VALUE"""),FALSE)</f>
        <v>0</v>
      </c>
      <c r="L935" s="20" t="str">
        <f>IFERROR(__xludf.DUMMYFUNCTION("""COMPUTED_VALUE"""),"Array;Depth-First Search;Breadth-First Search;Matrix;")</f>
        <v>Array;Depth-First Search;Breadth-First Search;Matrix;</v>
      </c>
      <c r="M935" s="20" t="b">
        <f>IFERROR(__xludf.DUMMYFUNCTION("""COMPUTED_VALUE"""),FALSE)</f>
        <v>0</v>
      </c>
      <c r="N935" s="20" t="b">
        <f>IFERROR(__xludf.DUMMYFUNCTION("""COMPUTED_VALUE"""),FALSE)</f>
        <v>0</v>
      </c>
      <c r="O935" s="20">
        <f>IFERROR(__xludf.DUMMYFUNCTION("""COMPUTED_VALUE"""),54.1582804414296)</f>
        <v>54.15828044</v>
      </c>
      <c r="P935" s="20">
        <f>IFERROR(__xludf.DUMMYFUNCTION("""COMPUTED_VALUE"""),119202.0)</f>
        <v>119202</v>
      </c>
      <c r="Q935" s="20">
        <f>IFERROR(__xludf.DUMMYFUNCTION("""COMPUTED_VALUE"""),220101.0)</f>
        <v>220101</v>
      </c>
    </row>
    <row r="936">
      <c r="A936" s="20">
        <f>IFERROR(__xludf.DUMMYFUNCTION("""COMPUTED_VALUE"""),972.0)</f>
        <v>972</v>
      </c>
      <c r="B936" s="20" t="str">
        <f>IFERROR(__xludf.DUMMYFUNCTION("""COMPUTED_VALUE"""),"Knight Dialer")</f>
        <v>Knight Dialer</v>
      </c>
      <c r="C936" s="20" t="str">
        <f>IFERROR(__xludf.DUMMYFUNCTION("""COMPUTED_VALUE"""),"knight-dialer")</f>
        <v>knight-dialer</v>
      </c>
      <c r="D936" s="20" t="b">
        <f>IFERROR(__xludf.DUMMYFUNCTION("""COMPUTED_VALUE"""),FALSE)</f>
        <v>0</v>
      </c>
      <c r="E936" s="20" t="str">
        <f>IFERROR(__xludf.DUMMYFUNCTION("""COMPUTED_VALUE"""),"Medium")</f>
        <v>Medium</v>
      </c>
      <c r="F936" s="20">
        <f>IFERROR(__xludf.DUMMYFUNCTION("""COMPUTED_VALUE"""),1862.0)</f>
        <v>1862</v>
      </c>
      <c r="G936" s="20">
        <f>IFERROR(__xludf.DUMMYFUNCTION("""COMPUTED_VALUE"""),377.0)</f>
        <v>377</v>
      </c>
      <c r="H936" s="20" t="str">
        <f>IFERROR(__xludf.DUMMYFUNCTION("""COMPUTED_VALUE"""),"Algorithms")</f>
        <v>Algorithms</v>
      </c>
      <c r="I936" s="20">
        <f>IFERROR(__xludf.DUMMYFUNCTION("""COMPUTED_VALUE"""),0.501)</f>
        <v>0.501</v>
      </c>
      <c r="J936" s="20">
        <f>IFERROR(__xludf.DUMMYFUNCTION("""COMPUTED_VALUE"""),935.0)</f>
        <v>935</v>
      </c>
      <c r="K936" s="20" t="b">
        <f>IFERROR(__xludf.DUMMYFUNCTION("""COMPUTED_VALUE"""),FALSE)</f>
        <v>0</v>
      </c>
      <c r="L936" s="20" t="str">
        <f>IFERROR(__xludf.DUMMYFUNCTION("""COMPUTED_VALUE"""),"Dynamic Programming;")</f>
        <v>Dynamic Programming;</v>
      </c>
      <c r="M936" s="20" t="b">
        <f>IFERROR(__xludf.DUMMYFUNCTION("""COMPUTED_VALUE"""),FALSE)</f>
        <v>0</v>
      </c>
      <c r="N936" s="20" t="b">
        <f>IFERROR(__xludf.DUMMYFUNCTION("""COMPUTED_VALUE"""),FALSE)</f>
        <v>0</v>
      </c>
      <c r="O936" s="20">
        <f>IFERROR(__xludf.DUMMYFUNCTION("""COMPUTED_VALUE"""),50.1494987088747)</f>
        <v>50.14949871</v>
      </c>
      <c r="P936" s="20">
        <f>IFERROR(__xludf.DUMMYFUNCTION("""COMPUTED_VALUE"""),95939.0)</f>
        <v>95939</v>
      </c>
      <c r="Q936" s="20">
        <f>IFERROR(__xludf.DUMMYFUNCTION("""COMPUTED_VALUE"""),191306.0)</f>
        <v>191306</v>
      </c>
    </row>
    <row r="937">
      <c r="A937" s="20">
        <f>IFERROR(__xludf.DUMMYFUNCTION("""COMPUTED_VALUE"""),973.0)</f>
        <v>973</v>
      </c>
      <c r="B937" s="20" t="str">
        <f>IFERROR(__xludf.DUMMYFUNCTION("""COMPUTED_VALUE"""),"Stamping The Sequence")</f>
        <v>Stamping The Sequence</v>
      </c>
      <c r="C937" s="20" t="str">
        <f>IFERROR(__xludf.DUMMYFUNCTION("""COMPUTED_VALUE"""),"stamping-the-sequence")</f>
        <v>stamping-the-sequence</v>
      </c>
      <c r="D937" s="20" t="b">
        <f>IFERROR(__xludf.DUMMYFUNCTION("""COMPUTED_VALUE"""),FALSE)</f>
        <v>0</v>
      </c>
      <c r="E937" s="20" t="str">
        <f>IFERROR(__xludf.DUMMYFUNCTION("""COMPUTED_VALUE"""),"Hard")</f>
        <v>Hard</v>
      </c>
      <c r="F937" s="20">
        <f>IFERROR(__xludf.DUMMYFUNCTION("""COMPUTED_VALUE"""),1445.0)</f>
        <v>1445</v>
      </c>
      <c r="G937" s="20">
        <f>IFERROR(__xludf.DUMMYFUNCTION("""COMPUTED_VALUE"""),213.0)</f>
        <v>213</v>
      </c>
      <c r="H937" s="20" t="str">
        <f>IFERROR(__xludf.DUMMYFUNCTION("""COMPUTED_VALUE"""),"Algorithms")</f>
        <v>Algorithms</v>
      </c>
      <c r="I937" s="20">
        <f>IFERROR(__xludf.DUMMYFUNCTION("""COMPUTED_VALUE"""),0.632)</f>
        <v>0.632</v>
      </c>
      <c r="J937" s="20">
        <f>IFERROR(__xludf.DUMMYFUNCTION("""COMPUTED_VALUE"""),936.0)</f>
        <v>936</v>
      </c>
      <c r="K937" s="20" t="b">
        <f>IFERROR(__xludf.DUMMYFUNCTION("""COMPUTED_VALUE"""),FALSE)</f>
        <v>0</v>
      </c>
      <c r="L937" s="20" t="str">
        <f>IFERROR(__xludf.DUMMYFUNCTION("""COMPUTED_VALUE"""),"String;Stack;Greedy;Queue;")</f>
        <v>String;Stack;Greedy;Queue;</v>
      </c>
      <c r="M937" s="20" t="b">
        <f>IFERROR(__xludf.DUMMYFUNCTION("""COMPUTED_VALUE"""),TRUE)</f>
        <v>1</v>
      </c>
      <c r="N937" s="20" t="b">
        <f>IFERROR(__xludf.DUMMYFUNCTION("""COMPUTED_VALUE"""),FALSE)</f>
        <v>0</v>
      </c>
      <c r="O937" s="20">
        <f>IFERROR(__xludf.DUMMYFUNCTION("""COMPUTED_VALUE"""),63.1617179696722)</f>
        <v>63.16171797</v>
      </c>
      <c r="P937" s="20">
        <f>IFERROR(__xludf.DUMMYFUNCTION("""COMPUTED_VALUE"""),55648.0)</f>
        <v>55648</v>
      </c>
      <c r="Q937" s="20">
        <f>IFERROR(__xludf.DUMMYFUNCTION("""COMPUTED_VALUE"""),88103.0)</f>
        <v>88103</v>
      </c>
    </row>
    <row r="938">
      <c r="A938" s="20">
        <f>IFERROR(__xludf.DUMMYFUNCTION("""COMPUTED_VALUE"""),974.0)</f>
        <v>974</v>
      </c>
      <c r="B938" s="20" t="str">
        <f>IFERROR(__xludf.DUMMYFUNCTION("""COMPUTED_VALUE"""),"Reorder Data in Log Files")</f>
        <v>Reorder Data in Log Files</v>
      </c>
      <c r="C938" s="20" t="str">
        <f>IFERROR(__xludf.DUMMYFUNCTION("""COMPUTED_VALUE"""),"reorder-data-in-log-files")</f>
        <v>reorder-data-in-log-files</v>
      </c>
      <c r="D938" s="20" t="b">
        <f>IFERROR(__xludf.DUMMYFUNCTION("""COMPUTED_VALUE"""),FALSE)</f>
        <v>0</v>
      </c>
      <c r="E938" s="20" t="str">
        <f>IFERROR(__xludf.DUMMYFUNCTION("""COMPUTED_VALUE"""),"Medium")</f>
        <v>Medium</v>
      </c>
      <c r="F938" s="20">
        <f>IFERROR(__xludf.DUMMYFUNCTION("""COMPUTED_VALUE"""),1936.0)</f>
        <v>1936</v>
      </c>
      <c r="G938" s="20">
        <f>IFERROR(__xludf.DUMMYFUNCTION("""COMPUTED_VALUE"""),4254.0)</f>
        <v>4254</v>
      </c>
      <c r="H938" s="20" t="str">
        <f>IFERROR(__xludf.DUMMYFUNCTION("""COMPUTED_VALUE"""),"Algorithms")</f>
        <v>Algorithms</v>
      </c>
      <c r="I938" s="20">
        <f>IFERROR(__xludf.DUMMYFUNCTION("""COMPUTED_VALUE"""),0.564)</f>
        <v>0.564</v>
      </c>
      <c r="J938" s="20">
        <f>IFERROR(__xludf.DUMMYFUNCTION("""COMPUTED_VALUE"""),937.0)</f>
        <v>937</v>
      </c>
      <c r="K938" s="20" t="b">
        <f>IFERROR(__xludf.DUMMYFUNCTION("""COMPUTED_VALUE"""),FALSE)</f>
        <v>0</v>
      </c>
      <c r="L938" s="20" t="str">
        <f>IFERROR(__xludf.DUMMYFUNCTION("""COMPUTED_VALUE"""),"Array;String;Sorting;")</f>
        <v>Array;String;Sorting;</v>
      </c>
      <c r="M938" s="20" t="b">
        <f>IFERROR(__xludf.DUMMYFUNCTION("""COMPUTED_VALUE"""),TRUE)</f>
        <v>1</v>
      </c>
      <c r="N938" s="20" t="b">
        <f>IFERROR(__xludf.DUMMYFUNCTION("""COMPUTED_VALUE"""),FALSE)</f>
        <v>0</v>
      </c>
      <c r="O938" s="20">
        <f>IFERROR(__xludf.DUMMYFUNCTION("""COMPUTED_VALUE"""),56.4136430215526)</f>
        <v>56.41364302</v>
      </c>
      <c r="P938" s="20">
        <f>IFERROR(__xludf.DUMMYFUNCTION("""COMPUTED_VALUE"""),337001.0)</f>
        <v>337001</v>
      </c>
      <c r="Q938" s="20">
        <f>IFERROR(__xludf.DUMMYFUNCTION("""COMPUTED_VALUE"""),597375.0)</f>
        <v>597375</v>
      </c>
    </row>
    <row r="939">
      <c r="A939" s="20">
        <f>IFERROR(__xludf.DUMMYFUNCTION("""COMPUTED_VALUE"""),975.0)</f>
        <v>975</v>
      </c>
      <c r="B939" s="20" t="str">
        <f>IFERROR(__xludf.DUMMYFUNCTION("""COMPUTED_VALUE"""),"Range Sum of BST")</f>
        <v>Range Sum of BST</v>
      </c>
      <c r="C939" s="20" t="str">
        <f>IFERROR(__xludf.DUMMYFUNCTION("""COMPUTED_VALUE"""),"range-sum-of-bst")</f>
        <v>range-sum-of-bst</v>
      </c>
      <c r="D939" s="20" t="b">
        <f>IFERROR(__xludf.DUMMYFUNCTION("""COMPUTED_VALUE"""),FALSE)</f>
        <v>0</v>
      </c>
      <c r="E939" s="20" t="str">
        <f>IFERROR(__xludf.DUMMYFUNCTION("""COMPUTED_VALUE"""),"Easy")</f>
        <v>Easy</v>
      </c>
      <c r="F939" s="20">
        <f>IFERROR(__xludf.DUMMYFUNCTION("""COMPUTED_VALUE"""),5521.0)</f>
        <v>5521</v>
      </c>
      <c r="G939" s="20">
        <f>IFERROR(__xludf.DUMMYFUNCTION("""COMPUTED_VALUE"""),351.0)</f>
        <v>351</v>
      </c>
      <c r="H939" s="20" t="str">
        <f>IFERROR(__xludf.DUMMYFUNCTION("""COMPUTED_VALUE"""),"Algorithms")</f>
        <v>Algorithms</v>
      </c>
      <c r="I939" s="20">
        <f>IFERROR(__xludf.DUMMYFUNCTION("""COMPUTED_VALUE"""),0.858)</f>
        <v>0.858</v>
      </c>
      <c r="J939" s="20">
        <f>IFERROR(__xludf.DUMMYFUNCTION("""COMPUTED_VALUE"""),938.0)</f>
        <v>938</v>
      </c>
      <c r="K939" s="20" t="b">
        <f>IFERROR(__xludf.DUMMYFUNCTION("""COMPUTED_VALUE"""),FALSE)</f>
        <v>0</v>
      </c>
      <c r="L939" s="20" t="str">
        <f>IFERROR(__xludf.DUMMYFUNCTION("""COMPUTED_VALUE"""),"Tree;Depth-First Search;Binary Search Tree;Binary Tree;")</f>
        <v>Tree;Depth-First Search;Binary Search Tree;Binary Tree;</v>
      </c>
      <c r="M939" s="20" t="b">
        <f>IFERROR(__xludf.DUMMYFUNCTION("""COMPUTED_VALUE"""),TRUE)</f>
        <v>1</v>
      </c>
      <c r="N939" s="20" t="b">
        <f>IFERROR(__xludf.DUMMYFUNCTION("""COMPUTED_VALUE"""),TRUE)</f>
        <v>1</v>
      </c>
      <c r="O939" s="20">
        <f>IFERROR(__xludf.DUMMYFUNCTION("""COMPUTED_VALUE"""),85.8462737874878)</f>
        <v>85.84627379</v>
      </c>
      <c r="P939" s="20">
        <f>IFERROR(__xludf.DUMMYFUNCTION("""COMPUTED_VALUE"""),753168.0)</f>
        <v>753168</v>
      </c>
      <c r="Q939" s="20">
        <f>IFERROR(__xludf.DUMMYFUNCTION("""COMPUTED_VALUE"""),877346.0)</f>
        <v>877346</v>
      </c>
    </row>
    <row r="940">
      <c r="A940" s="20">
        <f>IFERROR(__xludf.DUMMYFUNCTION("""COMPUTED_VALUE"""),976.0)</f>
        <v>976</v>
      </c>
      <c r="B940" s="20" t="str">
        <f>IFERROR(__xludf.DUMMYFUNCTION("""COMPUTED_VALUE"""),"Minimum Area Rectangle")</f>
        <v>Minimum Area Rectangle</v>
      </c>
      <c r="C940" s="20" t="str">
        <f>IFERROR(__xludf.DUMMYFUNCTION("""COMPUTED_VALUE"""),"minimum-area-rectangle")</f>
        <v>minimum-area-rectangle</v>
      </c>
      <c r="D940" s="20" t="b">
        <f>IFERROR(__xludf.DUMMYFUNCTION("""COMPUTED_VALUE"""),FALSE)</f>
        <v>0</v>
      </c>
      <c r="E940" s="20" t="str">
        <f>IFERROR(__xludf.DUMMYFUNCTION("""COMPUTED_VALUE"""),"Medium")</f>
        <v>Medium</v>
      </c>
      <c r="F940" s="20">
        <f>IFERROR(__xludf.DUMMYFUNCTION("""COMPUTED_VALUE"""),1712.0)</f>
        <v>1712</v>
      </c>
      <c r="G940" s="20">
        <f>IFERROR(__xludf.DUMMYFUNCTION("""COMPUTED_VALUE"""),258.0)</f>
        <v>258</v>
      </c>
      <c r="H940" s="20" t="str">
        <f>IFERROR(__xludf.DUMMYFUNCTION("""COMPUTED_VALUE"""),"Algorithms")</f>
        <v>Algorithms</v>
      </c>
      <c r="I940" s="20">
        <f>IFERROR(__xludf.DUMMYFUNCTION("""COMPUTED_VALUE"""),0.53)</f>
        <v>0.53</v>
      </c>
      <c r="J940" s="20">
        <f>IFERROR(__xludf.DUMMYFUNCTION("""COMPUTED_VALUE"""),939.0)</f>
        <v>939</v>
      </c>
      <c r="K940" s="20" t="b">
        <f>IFERROR(__xludf.DUMMYFUNCTION("""COMPUTED_VALUE"""),FALSE)</f>
        <v>0</v>
      </c>
      <c r="L940" s="20" t="str">
        <f>IFERROR(__xludf.DUMMYFUNCTION("""COMPUTED_VALUE"""),"Array;Hash Table;Math;Geometry;Sorting;")</f>
        <v>Array;Hash Table;Math;Geometry;Sorting;</v>
      </c>
      <c r="M940" s="20" t="b">
        <f>IFERROR(__xludf.DUMMYFUNCTION("""COMPUTED_VALUE"""),TRUE)</f>
        <v>1</v>
      </c>
      <c r="N940" s="20" t="b">
        <f>IFERROR(__xludf.DUMMYFUNCTION("""COMPUTED_VALUE"""),FALSE)</f>
        <v>0</v>
      </c>
      <c r="O940" s="20">
        <f>IFERROR(__xludf.DUMMYFUNCTION("""COMPUTED_VALUE"""),52.9534780682321)</f>
        <v>52.95347807</v>
      </c>
      <c r="P940" s="20">
        <f>IFERROR(__xludf.DUMMYFUNCTION("""COMPUTED_VALUE"""),119516.0)</f>
        <v>119516</v>
      </c>
      <c r="Q940" s="20">
        <f>IFERROR(__xludf.DUMMYFUNCTION("""COMPUTED_VALUE"""),225698.0)</f>
        <v>225698</v>
      </c>
    </row>
    <row r="941">
      <c r="A941" s="20">
        <f>IFERROR(__xludf.DUMMYFUNCTION("""COMPUTED_VALUE"""),977.0)</f>
        <v>977</v>
      </c>
      <c r="B941" s="20" t="str">
        <f>IFERROR(__xludf.DUMMYFUNCTION("""COMPUTED_VALUE"""),"Distinct Subsequences II")</f>
        <v>Distinct Subsequences II</v>
      </c>
      <c r="C941" s="20" t="str">
        <f>IFERROR(__xludf.DUMMYFUNCTION("""COMPUTED_VALUE"""),"distinct-subsequences-ii")</f>
        <v>distinct-subsequences-ii</v>
      </c>
      <c r="D941" s="20" t="b">
        <f>IFERROR(__xludf.DUMMYFUNCTION("""COMPUTED_VALUE"""),FALSE)</f>
        <v>0</v>
      </c>
      <c r="E941" s="20" t="str">
        <f>IFERROR(__xludf.DUMMYFUNCTION("""COMPUTED_VALUE"""),"Hard")</f>
        <v>Hard</v>
      </c>
      <c r="F941" s="20">
        <f>IFERROR(__xludf.DUMMYFUNCTION("""COMPUTED_VALUE"""),1380.0)</f>
        <v>1380</v>
      </c>
      <c r="G941" s="20">
        <f>IFERROR(__xludf.DUMMYFUNCTION("""COMPUTED_VALUE"""),29.0)</f>
        <v>29</v>
      </c>
      <c r="H941" s="20" t="str">
        <f>IFERROR(__xludf.DUMMYFUNCTION("""COMPUTED_VALUE"""),"Algorithms")</f>
        <v>Algorithms</v>
      </c>
      <c r="I941" s="20">
        <f>IFERROR(__xludf.DUMMYFUNCTION("""COMPUTED_VALUE"""),0.442)</f>
        <v>0.442</v>
      </c>
      <c r="J941" s="20">
        <f>IFERROR(__xludf.DUMMYFUNCTION("""COMPUTED_VALUE"""),940.0)</f>
        <v>940</v>
      </c>
      <c r="K941" s="20" t="b">
        <f>IFERROR(__xludf.DUMMYFUNCTION("""COMPUTED_VALUE"""),FALSE)</f>
        <v>0</v>
      </c>
      <c r="L941" s="20" t="str">
        <f>IFERROR(__xludf.DUMMYFUNCTION("""COMPUTED_VALUE"""),"String;Dynamic Programming;")</f>
        <v>String;Dynamic Programming;</v>
      </c>
      <c r="M941" s="20" t="b">
        <f>IFERROR(__xludf.DUMMYFUNCTION("""COMPUTED_VALUE"""),TRUE)</f>
        <v>1</v>
      </c>
      <c r="N941" s="20" t="b">
        <f>IFERROR(__xludf.DUMMYFUNCTION("""COMPUTED_VALUE"""),FALSE)</f>
        <v>0</v>
      </c>
      <c r="O941" s="20">
        <f>IFERROR(__xludf.DUMMYFUNCTION("""COMPUTED_VALUE"""),44.1975790162838)</f>
        <v>44.19757902</v>
      </c>
      <c r="P941" s="20">
        <f>IFERROR(__xludf.DUMMYFUNCTION("""COMPUTED_VALUE"""),31729.0)</f>
        <v>31729</v>
      </c>
      <c r="Q941" s="20">
        <f>IFERROR(__xludf.DUMMYFUNCTION("""COMPUTED_VALUE"""),71789.0)</f>
        <v>71789</v>
      </c>
    </row>
    <row r="942">
      <c r="A942" s="20">
        <f>IFERROR(__xludf.DUMMYFUNCTION("""COMPUTED_VALUE"""),978.0)</f>
        <v>978</v>
      </c>
      <c r="B942" s="20" t="str">
        <f>IFERROR(__xludf.DUMMYFUNCTION("""COMPUTED_VALUE"""),"Valid Mountain Array")</f>
        <v>Valid Mountain Array</v>
      </c>
      <c r="C942" s="20" t="str">
        <f>IFERROR(__xludf.DUMMYFUNCTION("""COMPUTED_VALUE"""),"valid-mountain-array")</f>
        <v>valid-mountain-array</v>
      </c>
      <c r="D942" s="20" t="b">
        <f>IFERROR(__xludf.DUMMYFUNCTION("""COMPUTED_VALUE"""),FALSE)</f>
        <v>0</v>
      </c>
      <c r="E942" s="20" t="str">
        <f>IFERROR(__xludf.DUMMYFUNCTION("""COMPUTED_VALUE"""),"Easy")</f>
        <v>Easy</v>
      </c>
      <c r="F942" s="20">
        <f>IFERROR(__xludf.DUMMYFUNCTION("""COMPUTED_VALUE"""),2475.0)</f>
        <v>2475</v>
      </c>
      <c r="G942" s="20">
        <f>IFERROR(__xludf.DUMMYFUNCTION("""COMPUTED_VALUE"""),152.0)</f>
        <v>152</v>
      </c>
      <c r="H942" s="20" t="str">
        <f>IFERROR(__xludf.DUMMYFUNCTION("""COMPUTED_VALUE"""),"Algorithms")</f>
        <v>Algorithms</v>
      </c>
      <c r="I942" s="20">
        <f>IFERROR(__xludf.DUMMYFUNCTION("""COMPUTED_VALUE"""),0.335)</f>
        <v>0.335</v>
      </c>
      <c r="J942" s="20">
        <f>IFERROR(__xludf.DUMMYFUNCTION("""COMPUTED_VALUE"""),941.0)</f>
        <v>941</v>
      </c>
      <c r="K942" s="20" t="b">
        <f>IFERROR(__xludf.DUMMYFUNCTION("""COMPUTED_VALUE"""),FALSE)</f>
        <v>0</v>
      </c>
      <c r="L942" s="20" t="str">
        <f>IFERROR(__xludf.DUMMYFUNCTION("""COMPUTED_VALUE"""),"Array;")</f>
        <v>Array;</v>
      </c>
      <c r="M942" s="20" t="b">
        <f>IFERROR(__xludf.DUMMYFUNCTION("""COMPUTED_VALUE"""),TRUE)</f>
        <v>1</v>
      </c>
      <c r="N942" s="20" t="b">
        <f>IFERROR(__xludf.DUMMYFUNCTION("""COMPUTED_VALUE"""),FALSE)</f>
        <v>0</v>
      </c>
      <c r="O942" s="20">
        <f>IFERROR(__xludf.DUMMYFUNCTION("""COMPUTED_VALUE"""),33.4805416090793)</f>
        <v>33.48054161</v>
      </c>
      <c r="P942" s="20">
        <f>IFERROR(__xludf.DUMMYFUNCTION("""COMPUTED_VALUE"""),342290.0)</f>
        <v>342290</v>
      </c>
      <c r="Q942" s="20">
        <f>IFERROR(__xludf.DUMMYFUNCTION("""COMPUTED_VALUE"""),1022354.0)</f>
        <v>1022354</v>
      </c>
    </row>
    <row r="943">
      <c r="A943" s="20">
        <f>IFERROR(__xludf.DUMMYFUNCTION("""COMPUTED_VALUE"""),979.0)</f>
        <v>979</v>
      </c>
      <c r="B943" s="20" t="str">
        <f>IFERROR(__xludf.DUMMYFUNCTION("""COMPUTED_VALUE"""),"DI String Match")</f>
        <v>DI String Match</v>
      </c>
      <c r="C943" s="20" t="str">
        <f>IFERROR(__xludf.DUMMYFUNCTION("""COMPUTED_VALUE"""),"di-string-match")</f>
        <v>di-string-match</v>
      </c>
      <c r="D943" s="20" t="b">
        <f>IFERROR(__xludf.DUMMYFUNCTION("""COMPUTED_VALUE"""),FALSE)</f>
        <v>0</v>
      </c>
      <c r="E943" s="20" t="str">
        <f>IFERROR(__xludf.DUMMYFUNCTION("""COMPUTED_VALUE"""),"Easy")</f>
        <v>Easy</v>
      </c>
      <c r="F943" s="20">
        <f>IFERROR(__xludf.DUMMYFUNCTION("""COMPUTED_VALUE"""),2035.0)</f>
        <v>2035</v>
      </c>
      <c r="G943" s="20">
        <f>IFERROR(__xludf.DUMMYFUNCTION("""COMPUTED_VALUE"""),810.0)</f>
        <v>810</v>
      </c>
      <c r="H943" s="20" t="str">
        <f>IFERROR(__xludf.DUMMYFUNCTION("""COMPUTED_VALUE"""),"Algorithms")</f>
        <v>Algorithms</v>
      </c>
      <c r="I943" s="20">
        <f>IFERROR(__xludf.DUMMYFUNCTION("""COMPUTED_VALUE"""),0.769)</f>
        <v>0.769</v>
      </c>
      <c r="J943" s="20">
        <f>IFERROR(__xludf.DUMMYFUNCTION("""COMPUTED_VALUE"""),942.0)</f>
        <v>942</v>
      </c>
      <c r="K943" s="20" t="b">
        <f>IFERROR(__xludf.DUMMYFUNCTION("""COMPUTED_VALUE"""),FALSE)</f>
        <v>0</v>
      </c>
      <c r="L943" s="20" t="str">
        <f>IFERROR(__xludf.DUMMYFUNCTION("""COMPUTED_VALUE"""),"Array;Two Pointers;String;Greedy;")</f>
        <v>Array;Two Pointers;String;Greedy;</v>
      </c>
      <c r="M943" s="20" t="b">
        <f>IFERROR(__xludf.DUMMYFUNCTION("""COMPUTED_VALUE"""),TRUE)</f>
        <v>1</v>
      </c>
      <c r="N943" s="20" t="b">
        <f>IFERROR(__xludf.DUMMYFUNCTION("""COMPUTED_VALUE"""),FALSE)</f>
        <v>0</v>
      </c>
      <c r="O943" s="20">
        <f>IFERROR(__xludf.DUMMYFUNCTION("""COMPUTED_VALUE"""),76.9024294548828)</f>
        <v>76.90242945</v>
      </c>
      <c r="P943" s="20">
        <f>IFERROR(__xludf.DUMMYFUNCTION("""COMPUTED_VALUE"""),123479.0)</f>
        <v>123479</v>
      </c>
      <c r="Q943" s="20">
        <f>IFERROR(__xludf.DUMMYFUNCTION("""COMPUTED_VALUE"""),160566.0)</f>
        <v>160566</v>
      </c>
    </row>
    <row r="944">
      <c r="A944" s="20">
        <f>IFERROR(__xludf.DUMMYFUNCTION("""COMPUTED_VALUE"""),980.0)</f>
        <v>980</v>
      </c>
      <c r="B944" s="20" t="str">
        <f>IFERROR(__xludf.DUMMYFUNCTION("""COMPUTED_VALUE"""),"Find the Shortest Superstring")</f>
        <v>Find the Shortest Superstring</v>
      </c>
      <c r="C944" s="20" t="str">
        <f>IFERROR(__xludf.DUMMYFUNCTION("""COMPUTED_VALUE"""),"find-the-shortest-superstring")</f>
        <v>find-the-shortest-superstring</v>
      </c>
      <c r="D944" s="20" t="b">
        <f>IFERROR(__xludf.DUMMYFUNCTION("""COMPUTED_VALUE"""),FALSE)</f>
        <v>0</v>
      </c>
      <c r="E944" s="20" t="str">
        <f>IFERROR(__xludf.DUMMYFUNCTION("""COMPUTED_VALUE"""),"Hard")</f>
        <v>Hard</v>
      </c>
      <c r="F944" s="20">
        <f>IFERROR(__xludf.DUMMYFUNCTION("""COMPUTED_VALUE"""),1213.0)</f>
        <v>1213</v>
      </c>
      <c r="G944" s="20">
        <f>IFERROR(__xludf.DUMMYFUNCTION("""COMPUTED_VALUE"""),135.0)</f>
        <v>135</v>
      </c>
      <c r="H944" s="20" t="str">
        <f>IFERROR(__xludf.DUMMYFUNCTION("""COMPUTED_VALUE"""),"Algorithms")</f>
        <v>Algorithms</v>
      </c>
      <c r="I944" s="20">
        <f>IFERROR(__xludf.DUMMYFUNCTION("""COMPUTED_VALUE"""),0.447)</f>
        <v>0.447</v>
      </c>
      <c r="J944" s="20">
        <f>IFERROR(__xludf.DUMMYFUNCTION("""COMPUTED_VALUE"""),943.0)</f>
        <v>943</v>
      </c>
      <c r="K944" s="20" t="b">
        <f>IFERROR(__xludf.DUMMYFUNCTION("""COMPUTED_VALUE"""),FALSE)</f>
        <v>0</v>
      </c>
      <c r="L944" s="20" t="str">
        <f>IFERROR(__xludf.DUMMYFUNCTION("""COMPUTED_VALUE"""),"Array;String;Dynamic Programming;Bit Manipulation;Bitmask;")</f>
        <v>Array;String;Dynamic Programming;Bit Manipulation;Bitmask;</v>
      </c>
      <c r="M944" s="20" t="b">
        <f>IFERROR(__xludf.DUMMYFUNCTION("""COMPUTED_VALUE"""),TRUE)</f>
        <v>1</v>
      </c>
      <c r="N944" s="20" t="b">
        <f>IFERROR(__xludf.DUMMYFUNCTION("""COMPUTED_VALUE"""),FALSE)</f>
        <v>0</v>
      </c>
      <c r="O944" s="20">
        <f>IFERROR(__xludf.DUMMYFUNCTION("""COMPUTED_VALUE"""),44.6850185283218)</f>
        <v>44.68501853</v>
      </c>
      <c r="P944" s="20">
        <f>IFERROR(__xludf.DUMMYFUNCTION("""COMPUTED_VALUE"""),25323.0)</f>
        <v>25323</v>
      </c>
      <c r="Q944" s="20">
        <f>IFERROR(__xludf.DUMMYFUNCTION("""COMPUTED_VALUE"""),56670.0)</f>
        <v>56670</v>
      </c>
    </row>
    <row r="945">
      <c r="A945" s="20">
        <f>IFERROR(__xludf.DUMMYFUNCTION("""COMPUTED_VALUE"""),981.0)</f>
        <v>981</v>
      </c>
      <c r="B945" s="20" t="str">
        <f>IFERROR(__xludf.DUMMYFUNCTION("""COMPUTED_VALUE"""),"Delete Columns to Make Sorted")</f>
        <v>Delete Columns to Make Sorted</v>
      </c>
      <c r="C945" s="20" t="str">
        <f>IFERROR(__xludf.DUMMYFUNCTION("""COMPUTED_VALUE"""),"delete-columns-to-make-sorted")</f>
        <v>delete-columns-to-make-sorted</v>
      </c>
      <c r="D945" s="20" t="b">
        <f>IFERROR(__xludf.DUMMYFUNCTION("""COMPUTED_VALUE"""),FALSE)</f>
        <v>0</v>
      </c>
      <c r="E945" s="20" t="str">
        <f>IFERROR(__xludf.DUMMYFUNCTION("""COMPUTED_VALUE"""),"Easy")</f>
        <v>Easy</v>
      </c>
      <c r="F945" s="20">
        <f>IFERROR(__xludf.DUMMYFUNCTION("""COMPUTED_VALUE"""),447.0)</f>
        <v>447</v>
      </c>
      <c r="G945" s="20">
        <f>IFERROR(__xludf.DUMMYFUNCTION("""COMPUTED_VALUE"""),2115.0)</f>
        <v>2115</v>
      </c>
      <c r="H945" s="20" t="str">
        <f>IFERROR(__xludf.DUMMYFUNCTION("""COMPUTED_VALUE"""),"Algorithms")</f>
        <v>Algorithms</v>
      </c>
      <c r="I945" s="20">
        <f>IFERROR(__xludf.DUMMYFUNCTION("""COMPUTED_VALUE"""),0.696)</f>
        <v>0.696</v>
      </c>
      <c r="J945" s="20">
        <f>IFERROR(__xludf.DUMMYFUNCTION("""COMPUTED_VALUE"""),944.0)</f>
        <v>944</v>
      </c>
      <c r="K945" s="20" t="b">
        <f>IFERROR(__xludf.DUMMYFUNCTION("""COMPUTED_VALUE"""),FALSE)</f>
        <v>0</v>
      </c>
      <c r="L945" s="20" t="str">
        <f>IFERROR(__xludf.DUMMYFUNCTION("""COMPUTED_VALUE"""),"Array;String;")</f>
        <v>Array;String;</v>
      </c>
      <c r="M945" s="20" t="b">
        <f>IFERROR(__xludf.DUMMYFUNCTION("""COMPUTED_VALUE"""),TRUE)</f>
        <v>1</v>
      </c>
      <c r="N945" s="20" t="b">
        <f>IFERROR(__xludf.DUMMYFUNCTION("""COMPUTED_VALUE"""),FALSE)</f>
        <v>0</v>
      </c>
      <c r="O945" s="20">
        <f>IFERROR(__xludf.DUMMYFUNCTION("""COMPUTED_VALUE"""),69.6429070775425)</f>
        <v>69.64290708</v>
      </c>
      <c r="P945" s="20">
        <f>IFERROR(__xludf.DUMMYFUNCTION("""COMPUTED_VALUE"""),74714.0)</f>
        <v>74714</v>
      </c>
      <c r="Q945" s="20">
        <f>IFERROR(__xludf.DUMMYFUNCTION("""COMPUTED_VALUE"""),107282.0)</f>
        <v>107282</v>
      </c>
    </row>
    <row r="946">
      <c r="A946" s="20">
        <f>IFERROR(__xludf.DUMMYFUNCTION("""COMPUTED_VALUE"""),982.0)</f>
        <v>982</v>
      </c>
      <c r="B946" s="20" t="str">
        <f>IFERROR(__xludf.DUMMYFUNCTION("""COMPUTED_VALUE"""),"Minimum Increment to Make Array Unique")</f>
        <v>Minimum Increment to Make Array Unique</v>
      </c>
      <c r="C946" s="20" t="str">
        <f>IFERROR(__xludf.DUMMYFUNCTION("""COMPUTED_VALUE"""),"minimum-increment-to-make-array-unique")</f>
        <v>minimum-increment-to-make-array-unique</v>
      </c>
      <c r="D946" s="20" t="b">
        <f>IFERROR(__xludf.DUMMYFUNCTION("""COMPUTED_VALUE"""),FALSE)</f>
        <v>0</v>
      </c>
      <c r="E946" s="20" t="str">
        <f>IFERROR(__xludf.DUMMYFUNCTION("""COMPUTED_VALUE"""),"Medium")</f>
        <v>Medium</v>
      </c>
      <c r="F946" s="20">
        <f>IFERROR(__xludf.DUMMYFUNCTION("""COMPUTED_VALUE"""),1346.0)</f>
        <v>1346</v>
      </c>
      <c r="G946" s="20">
        <f>IFERROR(__xludf.DUMMYFUNCTION("""COMPUTED_VALUE"""),48.0)</f>
        <v>48</v>
      </c>
      <c r="H946" s="20" t="str">
        <f>IFERROR(__xludf.DUMMYFUNCTION("""COMPUTED_VALUE"""),"Algorithms")</f>
        <v>Algorithms</v>
      </c>
      <c r="I946" s="20">
        <f>IFERROR(__xludf.DUMMYFUNCTION("""COMPUTED_VALUE"""),0.506)</f>
        <v>0.506</v>
      </c>
      <c r="J946" s="20">
        <f>IFERROR(__xludf.DUMMYFUNCTION("""COMPUTED_VALUE"""),945.0)</f>
        <v>945</v>
      </c>
      <c r="K946" s="20" t="b">
        <f>IFERROR(__xludf.DUMMYFUNCTION("""COMPUTED_VALUE"""),FALSE)</f>
        <v>0</v>
      </c>
      <c r="L946" s="20" t="str">
        <f>IFERROR(__xludf.DUMMYFUNCTION("""COMPUTED_VALUE"""),"Array;Greedy;Sorting;Counting;")</f>
        <v>Array;Greedy;Sorting;Counting;</v>
      </c>
      <c r="M946" s="20" t="b">
        <f>IFERROR(__xludf.DUMMYFUNCTION("""COMPUTED_VALUE"""),TRUE)</f>
        <v>1</v>
      </c>
      <c r="N946" s="20" t="b">
        <f>IFERROR(__xludf.DUMMYFUNCTION("""COMPUTED_VALUE"""),FALSE)</f>
        <v>0</v>
      </c>
      <c r="O946" s="20">
        <f>IFERROR(__xludf.DUMMYFUNCTION("""COMPUTED_VALUE"""),50.6216050364781)</f>
        <v>50.62160504</v>
      </c>
      <c r="P946" s="20">
        <f>IFERROR(__xludf.DUMMYFUNCTION("""COMPUTED_VALUE"""),66816.0)</f>
        <v>66816</v>
      </c>
      <c r="Q946" s="20">
        <f>IFERROR(__xludf.DUMMYFUNCTION("""COMPUTED_VALUE"""),131993.0)</f>
        <v>131993</v>
      </c>
    </row>
    <row r="947">
      <c r="A947" s="20">
        <f>IFERROR(__xludf.DUMMYFUNCTION("""COMPUTED_VALUE"""),983.0)</f>
        <v>983</v>
      </c>
      <c r="B947" s="20" t="str">
        <f>IFERROR(__xludf.DUMMYFUNCTION("""COMPUTED_VALUE"""),"Validate Stack Sequences")</f>
        <v>Validate Stack Sequences</v>
      </c>
      <c r="C947" s="20" t="str">
        <f>IFERROR(__xludf.DUMMYFUNCTION("""COMPUTED_VALUE"""),"validate-stack-sequences")</f>
        <v>validate-stack-sequences</v>
      </c>
      <c r="D947" s="20" t="b">
        <f>IFERROR(__xludf.DUMMYFUNCTION("""COMPUTED_VALUE"""),FALSE)</f>
        <v>0</v>
      </c>
      <c r="E947" s="20" t="str">
        <f>IFERROR(__xludf.DUMMYFUNCTION("""COMPUTED_VALUE"""),"Medium")</f>
        <v>Medium</v>
      </c>
      <c r="F947" s="20">
        <f>IFERROR(__xludf.DUMMYFUNCTION("""COMPUTED_VALUE"""),3901.0)</f>
        <v>3901</v>
      </c>
      <c r="G947" s="20">
        <f>IFERROR(__xludf.DUMMYFUNCTION("""COMPUTED_VALUE"""),68.0)</f>
        <v>68</v>
      </c>
      <c r="H947" s="20" t="str">
        <f>IFERROR(__xludf.DUMMYFUNCTION("""COMPUTED_VALUE"""),"Algorithms")</f>
        <v>Algorithms</v>
      </c>
      <c r="I947" s="20">
        <f>IFERROR(__xludf.DUMMYFUNCTION("""COMPUTED_VALUE"""),0.676)</f>
        <v>0.676</v>
      </c>
      <c r="J947" s="20">
        <f>IFERROR(__xludf.DUMMYFUNCTION("""COMPUTED_VALUE"""),946.0)</f>
        <v>946</v>
      </c>
      <c r="K947" s="20" t="b">
        <f>IFERROR(__xludf.DUMMYFUNCTION("""COMPUTED_VALUE"""),FALSE)</f>
        <v>0</v>
      </c>
      <c r="L947" s="20" t="str">
        <f>IFERROR(__xludf.DUMMYFUNCTION("""COMPUTED_VALUE"""),"Array;Stack;Simulation;")</f>
        <v>Array;Stack;Simulation;</v>
      </c>
      <c r="M947" s="20" t="b">
        <f>IFERROR(__xludf.DUMMYFUNCTION("""COMPUTED_VALUE"""),TRUE)</f>
        <v>1</v>
      </c>
      <c r="N947" s="20" t="b">
        <f>IFERROR(__xludf.DUMMYFUNCTION("""COMPUTED_VALUE"""),FALSE)</f>
        <v>0</v>
      </c>
      <c r="O947" s="20">
        <f>IFERROR(__xludf.DUMMYFUNCTION("""COMPUTED_VALUE"""),67.636728374567)</f>
        <v>67.63672837</v>
      </c>
      <c r="P947" s="20">
        <f>IFERROR(__xludf.DUMMYFUNCTION("""COMPUTED_VALUE"""),193530.0)</f>
        <v>193530</v>
      </c>
      <c r="Q947" s="20">
        <f>IFERROR(__xludf.DUMMYFUNCTION("""COMPUTED_VALUE"""),286132.0)</f>
        <v>286132</v>
      </c>
    </row>
    <row r="948">
      <c r="A948" s="20">
        <f>IFERROR(__xludf.DUMMYFUNCTION("""COMPUTED_VALUE"""),984.0)</f>
        <v>984</v>
      </c>
      <c r="B948" s="20" t="str">
        <f>IFERROR(__xludf.DUMMYFUNCTION("""COMPUTED_VALUE"""),"Most Stones Removed with Same Row or Column")</f>
        <v>Most Stones Removed with Same Row or Column</v>
      </c>
      <c r="C948" s="20" t="str">
        <f>IFERROR(__xludf.DUMMYFUNCTION("""COMPUTED_VALUE"""),"most-stones-removed-with-same-row-or-column")</f>
        <v>most-stones-removed-with-same-row-or-column</v>
      </c>
      <c r="D948" s="20" t="b">
        <f>IFERROR(__xludf.DUMMYFUNCTION("""COMPUTED_VALUE"""),FALSE)</f>
        <v>0</v>
      </c>
      <c r="E948" s="20" t="str">
        <f>IFERROR(__xludf.DUMMYFUNCTION("""COMPUTED_VALUE"""),"Medium")</f>
        <v>Medium</v>
      </c>
      <c r="F948" s="20">
        <f>IFERROR(__xludf.DUMMYFUNCTION("""COMPUTED_VALUE"""),4382.0)</f>
        <v>4382</v>
      </c>
      <c r="G948" s="20">
        <f>IFERROR(__xludf.DUMMYFUNCTION("""COMPUTED_VALUE"""),598.0)</f>
        <v>598</v>
      </c>
      <c r="H948" s="20" t="str">
        <f>IFERROR(__xludf.DUMMYFUNCTION("""COMPUTED_VALUE"""),"Algorithms")</f>
        <v>Algorithms</v>
      </c>
      <c r="I948" s="20">
        <f>IFERROR(__xludf.DUMMYFUNCTION("""COMPUTED_VALUE"""),0.589)</f>
        <v>0.589</v>
      </c>
      <c r="J948" s="20">
        <f>IFERROR(__xludf.DUMMYFUNCTION("""COMPUTED_VALUE"""),947.0)</f>
        <v>947</v>
      </c>
      <c r="K948" s="20" t="b">
        <f>IFERROR(__xludf.DUMMYFUNCTION("""COMPUTED_VALUE"""),FALSE)</f>
        <v>0</v>
      </c>
      <c r="L948" s="20" t="str">
        <f>IFERROR(__xludf.DUMMYFUNCTION("""COMPUTED_VALUE"""),"Depth-First Search;Union Find;Graph;")</f>
        <v>Depth-First Search;Union Find;Graph;</v>
      </c>
      <c r="M948" s="20" t="b">
        <f>IFERROR(__xludf.DUMMYFUNCTION("""COMPUTED_VALUE"""),TRUE)</f>
        <v>1</v>
      </c>
      <c r="N948" s="20" t="b">
        <f>IFERROR(__xludf.DUMMYFUNCTION("""COMPUTED_VALUE"""),FALSE)</f>
        <v>0</v>
      </c>
      <c r="O948" s="20">
        <f>IFERROR(__xludf.DUMMYFUNCTION("""COMPUTED_VALUE"""),58.8509173497994)</f>
        <v>58.85091735</v>
      </c>
      <c r="P948" s="20">
        <f>IFERROR(__xludf.DUMMYFUNCTION("""COMPUTED_VALUE"""),165835.0)</f>
        <v>165835</v>
      </c>
      <c r="Q948" s="20">
        <f>IFERROR(__xludf.DUMMYFUNCTION("""COMPUTED_VALUE"""),281789.0)</f>
        <v>281789</v>
      </c>
    </row>
    <row r="949">
      <c r="A949" s="20">
        <f>IFERROR(__xludf.DUMMYFUNCTION("""COMPUTED_VALUE"""),985.0)</f>
        <v>985</v>
      </c>
      <c r="B949" s="20" t="str">
        <f>IFERROR(__xludf.DUMMYFUNCTION("""COMPUTED_VALUE"""),"Bag of Tokens")</f>
        <v>Bag of Tokens</v>
      </c>
      <c r="C949" s="20" t="str">
        <f>IFERROR(__xludf.DUMMYFUNCTION("""COMPUTED_VALUE"""),"bag-of-tokens")</f>
        <v>bag-of-tokens</v>
      </c>
      <c r="D949" s="20" t="b">
        <f>IFERROR(__xludf.DUMMYFUNCTION("""COMPUTED_VALUE"""),FALSE)</f>
        <v>0</v>
      </c>
      <c r="E949" s="20" t="str">
        <f>IFERROR(__xludf.DUMMYFUNCTION("""COMPUTED_VALUE"""),"Medium")</f>
        <v>Medium</v>
      </c>
      <c r="F949" s="20">
        <f>IFERROR(__xludf.DUMMYFUNCTION("""COMPUTED_VALUE"""),2116.0)</f>
        <v>2116</v>
      </c>
      <c r="G949" s="20">
        <f>IFERROR(__xludf.DUMMYFUNCTION("""COMPUTED_VALUE"""),412.0)</f>
        <v>412</v>
      </c>
      <c r="H949" s="20" t="str">
        <f>IFERROR(__xludf.DUMMYFUNCTION("""COMPUTED_VALUE"""),"Algorithms")</f>
        <v>Algorithms</v>
      </c>
      <c r="I949" s="20">
        <f>IFERROR(__xludf.DUMMYFUNCTION("""COMPUTED_VALUE"""),0.521)</f>
        <v>0.521</v>
      </c>
      <c r="J949" s="20">
        <f>IFERROR(__xludf.DUMMYFUNCTION("""COMPUTED_VALUE"""),948.0)</f>
        <v>948</v>
      </c>
      <c r="K949" s="20" t="b">
        <f>IFERROR(__xludf.DUMMYFUNCTION("""COMPUTED_VALUE"""),FALSE)</f>
        <v>0</v>
      </c>
      <c r="L949" s="20" t="str">
        <f>IFERROR(__xludf.DUMMYFUNCTION("""COMPUTED_VALUE"""),"Array;Two Pointers;Greedy;Sorting;")</f>
        <v>Array;Two Pointers;Greedy;Sorting;</v>
      </c>
      <c r="M949" s="20" t="b">
        <f>IFERROR(__xludf.DUMMYFUNCTION("""COMPUTED_VALUE"""),TRUE)</f>
        <v>1</v>
      </c>
      <c r="N949" s="20" t="b">
        <f>IFERROR(__xludf.DUMMYFUNCTION("""COMPUTED_VALUE"""),FALSE)</f>
        <v>0</v>
      </c>
      <c r="O949" s="20">
        <f>IFERROR(__xludf.DUMMYFUNCTION("""COMPUTED_VALUE"""),52.090064460179)</f>
        <v>52.09006446</v>
      </c>
      <c r="P949" s="20">
        <f>IFERROR(__xludf.DUMMYFUNCTION("""COMPUTED_VALUE"""),98507.0)</f>
        <v>98507</v>
      </c>
      <c r="Q949" s="20">
        <f>IFERROR(__xludf.DUMMYFUNCTION("""COMPUTED_VALUE"""),189109.0)</f>
        <v>189109</v>
      </c>
    </row>
    <row r="950">
      <c r="A950" s="20">
        <f>IFERROR(__xludf.DUMMYFUNCTION("""COMPUTED_VALUE"""),986.0)</f>
        <v>986</v>
      </c>
      <c r="B950" s="20" t="str">
        <f>IFERROR(__xludf.DUMMYFUNCTION("""COMPUTED_VALUE"""),"Largest Time for Given Digits")</f>
        <v>Largest Time for Given Digits</v>
      </c>
      <c r="C950" s="20" t="str">
        <f>IFERROR(__xludf.DUMMYFUNCTION("""COMPUTED_VALUE"""),"largest-time-for-given-digits")</f>
        <v>largest-time-for-given-digits</v>
      </c>
      <c r="D950" s="20" t="b">
        <f>IFERROR(__xludf.DUMMYFUNCTION("""COMPUTED_VALUE"""),FALSE)</f>
        <v>0</v>
      </c>
      <c r="E950" s="20" t="str">
        <f>IFERROR(__xludf.DUMMYFUNCTION("""COMPUTED_VALUE"""),"Medium")</f>
        <v>Medium</v>
      </c>
      <c r="F950" s="20">
        <f>IFERROR(__xludf.DUMMYFUNCTION("""COMPUTED_VALUE"""),621.0)</f>
        <v>621</v>
      </c>
      <c r="G950" s="20">
        <f>IFERROR(__xludf.DUMMYFUNCTION("""COMPUTED_VALUE"""),966.0)</f>
        <v>966</v>
      </c>
      <c r="H950" s="20" t="str">
        <f>IFERROR(__xludf.DUMMYFUNCTION("""COMPUTED_VALUE"""),"Algorithms")</f>
        <v>Algorithms</v>
      </c>
      <c r="I950" s="20">
        <f>IFERROR(__xludf.DUMMYFUNCTION("""COMPUTED_VALUE"""),0.352)</f>
        <v>0.352</v>
      </c>
      <c r="J950" s="20">
        <f>IFERROR(__xludf.DUMMYFUNCTION("""COMPUTED_VALUE"""),949.0)</f>
        <v>949</v>
      </c>
      <c r="K950" s="20" t="b">
        <f>IFERROR(__xludf.DUMMYFUNCTION("""COMPUTED_VALUE"""),FALSE)</f>
        <v>0</v>
      </c>
      <c r="L950" s="20" t="str">
        <f>IFERROR(__xludf.DUMMYFUNCTION("""COMPUTED_VALUE"""),"String;Enumeration;")</f>
        <v>String;Enumeration;</v>
      </c>
      <c r="M950" s="20" t="b">
        <f>IFERROR(__xludf.DUMMYFUNCTION("""COMPUTED_VALUE"""),TRUE)</f>
        <v>1</v>
      </c>
      <c r="N950" s="20" t="b">
        <f>IFERROR(__xludf.DUMMYFUNCTION("""COMPUTED_VALUE"""),FALSE)</f>
        <v>0</v>
      </c>
      <c r="O950" s="20">
        <f>IFERROR(__xludf.DUMMYFUNCTION("""COMPUTED_VALUE"""),35.1822533052484)</f>
        <v>35.18225331</v>
      </c>
      <c r="P950" s="20">
        <f>IFERROR(__xludf.DUMMYFUNCTION("""COMPUTED_VALUE"""),76665.0)</f>
        <v>76665</v>
      </c>
      <c r="Q950" s="20">
        <f>IFERROR(__xludf.DUMMYFUNCTION("""COMPUTED_VALUE"""),217910.0)</f>
        <v>217910</v>
      </c>
    </row>
    <row r="951">
      <c r="A951" s="20">
        <f>IFERROR(__xludf.DUMMYFUNCTION("""COMPUTED_VALUE"""),987.0)</f>
        <v>987</v>
      </c>
      <c r="B951" s="20" t="str">
        <f>IFERROR(__xludf.DUMMYFUNCTION("""COMPUTED_VALUE"""),"Reveal Cards In Increasing Order")</f>
        <v>Reveal Cards In Increasing Order</v>
      </c>
      <c r="C951" s="20" t="str">
        <f>IFERROR(__xludf.DUMMYFUNCTION("""COMPUTED_VALUE"""),"reveal-cards-in-increasing-order")</f>
        <v>reveal-cards-in-increasing-order</v>
      </c>
      <c r="D951" s="20" t="b">
        <f>IFERROR(__xludf.DUMMYFUNCTION("""COMPUTED_VALUE"""),FALSE)</f>
        <v>0</v>
      </c>
      <c r="E951" s="20" t="str">
        <f>IFERROR(__xludf.DUMMYFUNCTION("""COMPUTED_VALUE"""),"Medium")</f>
        <v>Medium</v>
      </c>
      <c r="F951" s="20">
        <f>IFERROR(__xludf.DUMMYFUNCTION("""COMPUTED_VALUE"""),2155.0)</f>
        <v>2155</v>
      </c>
      <c r="G951" s="20">
        <f>IFERROR(__xludf.DUMMYFUNCTION("""COMPUTED_VALUE"""),307.0)</f>
        <v>307</v>
      </c>
      <c r="H951" s="20" t="str">
        <f>IFERROR(__xludf.DUMMYFUNCTION("""COMPUTED_VALUE"""),"Algorithms")</f>
        <v>Algorithms</v>
      </c>
      <c r="I951" s="20">
        <f>IFERROR(__xludf.DUMMYFUNCTION("""COMPUTED_VALUE"""),0.777)</f>
        <v>0.777</v>
      </c>
      <c r="J951" s="20">
        <f>IFERROR(__xludf.DUMMYFUNCTION("""COMPUTED_VALUE"""),950.0)</f>
        <v>950</v>
      </c>
      <c r="K951" s="20" t="b">
        <f>IFERROR(__xludf.DUMMYFUNCTION("""COMPUTED_VALUE"""),FALSE)</f>
        <v>0</v>
      </c>
      <c r="L951" s="20" t="str">
        <f>IFERROR(__xludf.DUMMYFUNCTION("""COMPUTED_VALUE"""),"Array;Queue;Sorting;Simulation;")</f>
        <v>Array;Queue;Sorting;Simulation;</v>
      </c>
      <c r="M951" s="20" t="b">
        <f>IFERROR(__xludf.DUMMYFUNCTION("""COMPUTED_VALUE"""),TRUE)</f>
        <v>1</v>
      </c>
      <c r="N951" s="20" t="b">
        <f>IFERROR(__xludf.DUMMYFUNCTION("""COMPUTED_VALUE"""),FALSE)</f>
        <v>0</v>
      </c>
      <c r="O951" s="20">
        <f>IFERROR(__xludf.DUMMYFUNCTION("""COMPUTED_VALUE"""),77.7365110089523)</f>
        <v>77.73651101</v>
      </c>
      <c r="P951" s="20">
        <f>IFERROR(__xludf.DUMMYFUNCTION("""COMPUTED_VALUE"""),64257.0)</f>
        <v>64257</v>
      </c>
      <c r="Q951" s="20">
        <f>IFERROR(__xludf.DUMMYFUNCTION("""COMPUTED_VALUE"""),82660.0)</f>
        <v>82660</v>
      </c>
    </row>
    <row r="952">
      <c r="A952" s="20">
        <f>IFERROR(__xludf.DUMMYFUNCTION("""COMPUTED_VALUE"""),988.0)</f>
        <v>988</v>
      </c>
      <c r="B952" s="20" t="str">
        <f>IFERROR(__xludf.DUMMYFUNCTION("""COMPUTED_VALUE"""),"Flip Equivalent Binary Trees")</f>
        <v>Flip Equivalent Binary Trees</v>
      </c>
      <c r="C952" s="20" t="str">
        <f>IFERROR(__xludf.DUMMYFUNCTION("""COMPUTED_VALUE"""),"flip-equivalent-binary-trees")</f>
        <v>flip-equivalent-binary-trees</v>
      </c>
      <c r="D952" s="20" t="b">
        <f>IFERROR(__xludf.DUMMYFUNCTION("""COMPUTED_VALUE"""),FALSE)</f>
        <v>0</v>
      </c>
      <c r="E952" s="20" t="str">
        <f>IFERROR(__xludf.DUMMYFUNCTION("""COMPUTED_VALUE"""),"Medium")</f>
        <v>Medium</v>
      </c>
      <c r="F952" s="20">
        <f>IFERROR(__xludf.DUMMYFUNCTION("""COMPUTED_VALUE"""),1947.0)</f>
        <v>1947</v>
      </c>
      <c r="G952" s="20">
        <f>IFERROR(__xludf.DUMMYFUNCTION("""COMPUTED_VALUE"""),87.0)</f>
        <v>87</v>
      </c>
      <c r="H952" s="20" t="str">
        <f>IFERROR(__xludf.DUMMYFUNCTION("""COMPUTED_VALUE"""),"Algorithms")</f>
        <v>Algorithms</v>
      </c>
      <c r="I952" s="20">
        <f>IFERROR(__xludf.DUMMYFUNCTION("""COMPUTED_VALUE"""),0.668)</f>
        <v>0.668</v>
      </c>
      <c r="J952" s="20">
        <f>IFERROR(__xludf.DUMMYFUNCTION("""COMPUTED_VALUE"""),951.0)</f>
        <v>951</v>
      </c>
      <c r="K952" s="20" t="b">
        <f>IFERROR(__xludf.DUMMYFUNCTION("""COMPUTED_VALUE"""),FALSE)</f>
        <v>0</v>
      </c>
      <c r="L952" s="20" t="str">
        <f>IFERROR(__xludf.DUMMYFUNCTION("""COMPUTED_VALUE"""),"Tree;Depth-First Search;Binary Tree;")</f>
        <v>Tree;Depth-First Search;Binary Tree;</v>
      </c>
      <c r="M952" s="20" t="b">
        <f>IFERROR(__xludf.DUMMYFUNCTION("""COMPUTED_VALUE"""),TRUE)</f>
        <v>1</v>
      </c>
      <c r="N952" s="20" t="b">
        <f>IFERROR(__xludf.DUMMYFUNCTION("""COMPUTED_VALUE"""),FALSE)</f>
        <v>0</v>
      </c>
      <c r="O952" s="20">
        <f>IFERROR(__xludf.DUMMYFUNCTION("""COMPUTED_VALUE"""),66.821717903321)</f>
        <v>66.8217179</v>
      </c>
      <c r="P952" s="20">
        <f>IFERROR(__xludf.DUMMYFUNCTION("""COMPUTED_VALUE"""),124546.0)</f>
        <v>124546</v>
      </c>
      <c r="Q952" s="20">
        <f>IFERROR(__xludf.DUMMYFUNCTION("""COMPUTED_VALUE"""),186385.0)</f>
        <v>186385</v>
      </c>
    </row>
    <row r="953">
      <c r="A953" s="20">
        <f>IFERROR(__xludf.DUMMYFUNCTION("""COMPUTED_VALUE"""),989.0)</f>
        <v>989</v>
      </c>
      <c r="B953" s="20" t="str">
        <f>IFERROR(__xludf.DUMMYFUNCTION("""COMPUTED_VALUE"""),"Largest Component Size by Common Factor")</f>
        <v>Largest Component Size by Common Factor</v>
      </c>
      <c r="C953" s="20" t="str">
        <f>IFERROR(__xludf.DUMMYFUNCTION("""COMPUTED_VALUE"""),"largest-component-size-by-common-factor")</f>
        <v>largest-component-size-by-common-factor</v>
      </c>
      <c r="D953" s="20" t="b">
        <f>IFERROR(__xludf.DUMMYFUNCTION("""COMPUTED_VALUE"""),FALSE)</f>
        <v>0</v>
      </c>
      <c r="E953" s="20" t="str">
        <f>IFERROR(__xludf.DUMMYFUNCTION("""COMPUTED_VALUE"""),"Hard")</f>
        <v>Hard</v>
      </c>
      <c r="F953" s="20">
        <f>IFERROR(__xludf.DUMMYFUNCTION("""COMPUTED_VALUE"""),1417.0)</f>
        <v>1417</v>
      </c>
      <c r="G953" s="20">
        <f>IFERROR(__xludf.DUMMYFUNCTION("""COMPUTED_VALUE"""),87.0)</f>
        <v>87</v>
      </c>
      <c r="H953" s="20" t="str">
        <f>IFERROR(__xludf.DUMMYFUNCTION("""COMPUTED_VALUE"""),"Algorithms")</f>
        <v>Algorithms</v>
      </c>
      <c r="I953" s="20">
        <f>IFERROR(__xludf.DUMMYFUNCTION("""COMPUTED_VALUE"""),0.403)</f>
        <v>0.403</v>
      </c>
      <c r="J953" s="20">
        <f>IFERROR(__xludf.DUMMYFUNCTION("""COMPUTED_VALUE"""),952.0)</f>
        <v>952</v>
      </c>
      <c r="K953" s="20" t="b">
        <f>IFERROR(__xludf.DUMMYFUNCTION("""COMPUTED_VALUE"""),FALSE)</f>
        <v>0</v>
      </c>
      <c r="L953" s="20" t="str">
        <f>IFERROR(__xludf.DUMMYFUNCTION("""COMPUTED_VALUE"""),"Array;Math;Union Find;")</f>
        <v>Array;Math;Union Find;</v>
      </c>
      <c r="M953" s="20" t="b">
        <f>IFERROR(__xludf.DUMMYFUNCTION("""COMPUTED_VALUE"""),TRUE)</f>
        <v>1</v>
      </c>
      <c r="N953" s="20" t="b">
        <f>IFERROR(__xludf.DUMMYFUNCTION("""COMPUTED_VALUE"""),FALSE)</f>
        <v>0</v>
      </c>
      <c r="O953" s="20">
        <f>IFERROR(__xludf.DUMMYFUNCTION("""COMPUTED_VALUE"""),40.2808167679037)</f>
        <v>40.28081677</v>
      </c>
      <c r="P953" s="20">
        <f>IFERROR(__xludf.DUMMYFUNCTION("""COMPUTED_VALUE"""),47680.0)</f>
        <v>47680</v>
      </c>
      <c r="Q953" s="20">
        <f>IFERROR(__xludf.DUMMYFUNCTION("""COMPUTED_VALUE"""),118369.0)</f>
        <v>118369</v>
      </c>
    </row>
    <row r="954">
      <c r="A954" s="20">
        <f>IFERROR(__xludf.DUMMYFUNCTION("""COMPUTED_VALUE"""),990.0)</f>
        <v>990</v>
      </c>
      <c r="B954" s="20" t="str">
        <f>IFERROR(__xludf.DUMMYFUNCTION("""COMPUTED_VALUE"""),"Verifying an Alien Dictionary")</f>
        <v>Verifying an Alien Dictionary</v>
      </c>
      <c r="C954" s="20" t="str">
        <f>IFERROR(__xludf.DUMMYFUNCTION("""COMPUTED_VALUE"""),"verifying-an-alien-dictionary")</f>
        <v>verifying-an-alien-dictionary</v>
      </c>
      <c r="D954" s="20" t="b">
        <f>IFERROR(__xludf.DUMMYFUNCTION("""COMPUTED_VALUE"""),FALSE)</f>
        <v>0</v>
      </c>
      <c r="E954" s="20" t="str">
        <f>IFERROR(__xludf.DUMMYFUNCTION("""COMPUTED_VALUE"""),"Easy")</f>
        <v>Easy</v>
      </c>
      <c r="F954" s="20">
        <f>IFERROR(__xludf.DUMMYFUNCTION("""COMPUTED_VALUE"""),3259.0)</f>
        <v>3259</v>
      </c>
      <c r="G954" s="20">
        <f>IFERROR(__xludf.DUMMYFUNCTION("""COMPUTED_VALUE"""),1048.0)</f>
        <v>1048</v>
      </c>
      <c r="H954" s="20" t="str">
        <f>IFERROR(__xludf.DUMMYFUNCTION("""COMPUTED_VALUE"""),"Algorithms")</f>
        <v>Algorithms</v>
      </c>
      <c r="I954" s="20">
        <f>IFERROR(__xludf.DUMMYFUNCTION("""COMPUTED_VALUE"""),0.527)</f>
        <v>0.527</v>
      </c>
      <c r="J954" s="20">
        <f>IFERROR(__xludf.DUMMYFUNCTION("""COMPUTED_VALUE"""),953.0)</f>
        <v>953</v>
      </c>
      <c r="K954" s="20" t="b">
        <f>IFERROR(__xludf.DUMMYFUNCTION("""COMPUTED_VALUE"""),FALSE)</f>
        <v>0</v>
      </c>
      <c r="L954" s="20" t="str">
        <f>IFERROR(__xludf.DUMMYFUNCTION("""COMPUTED_VALUE"""),"Array;Hash Table;String;")</f>
        <v>Array;Hash Table;String;</v>
      </c>
      <c r="M954" s="20" t="b">
        <f>IFERROR(__xludf.DUMMYFUNCTION("""COMPUTED_VALUE"""),TRUE)</f>
        <v>1</v>
      </c>
      <c r="N954" s="20" t="b">
        <f>IFERROR(__xludf.DUMMYFUNCTION("""COMPUTED_VALUE"""),FALSE)</f>
        <v>0</v>
      </c>
      <c r="O954" s="20">
        <f>IFERROR(__xludf.DUMMYFUNCTION("""COMPUTED_VALUE"""),52.7457721097865)</f>
        <v>52.74577211</v>
      </c>
      <c r="P954" s="20">
        <f>IFERROR(__xludf.DUMMYFUNCTION("""COMPUTED_VALUE"""),380508.0)</f>
        <v>380508</v>
      </c>
      <c r="Q954" s="20">
        <f>IFERROR(__xludf.DUMMYFUNCTION("""COMPUTED_VALUE"""),721398.0)</f>
        <v>721398</v>
      </c>
    </row>
    <row r="955">
      <c r="A955" s="20">
        <f>IFERROR(__xludf.DUMMYFUNCTION("""COMPUTED_VALUE"""),991.0)</f>
        <v>991</v>
      </c>
      <c r="B955" s="20" t="str">
        <f>IFERROR(__xludf.DUMMYFUNCTION("""COMPUTED_VALUE"""),"Array of Doubled Pairs")</f>
        <v>Array of Doubled Pairs</v>
      </c>
      <c r="C955" s="20" t="str">
        <f>IFERROR(__xludf.DUMMYFUNCTION("""COMPUTED_VALUE"""),"array-of-doubled-pairs")</f>
        <v>array-of-doubled-pairs</v>
      </c>
      <c r="D955" s="20" t="b">
        <f>IFERROR(__xludf.DUMMYFUNCTION("""COMPUTED_VALUE"""),FALSE)</f>
        <v>0</v>
      </c>
      <c r="E955" s="20" t="str">
        <f>IFERROR(__xludf.DUMMYFUNCTION("""COMPUTED_VALUE"""),"Medium")</f>
        <v>Medium</v>
      </c>
      <c r="F955" s="20">
        <f>IFERROR(__xludf.DUMMYFUNCTION("""COMPUTED_VALUE"""),1313.0)</f>
        <v>1313</v>
      </c>
      <c r="G955" s="20">
        <f>IFERROR(__xludf.DUMMYFUNCTION("""COMPUTED_VALUE"""),132.0)</f>
        <v>132</v>
      </c>
      <c r="H955" s="20" t="str">
        <f>IFERROR(__xludf.DUMMYFUNCTION("""COMPUTED_VALUE"""),"Algorithms")</f>
        <v>Algorithms</v>
      </c>
      <c r="I955" s="20">
        <f>IFERROR(__xludf.DUMMYFUNCTION("""COMPUTED_VALUE"""),0.391)</f>
        <v>0.391</v>
      </c>
      <c r="J955" s="20">
        <f>IFERROR(__xludf.DUMMYFUNCTION("""COMPUTED_VALUE"""),954.0)</f>
        <v>954</v>
      </c>
      <c r="K955" s="20" t="b">
        <f>IFERROR(__xludf.DUMMYFUNCTION("""COMPUTED_VALUE"""),FALSE)</f>
        <v>0</v>
      </c>
      <c r="L955" s="20" t="str">
        <f>IFERROR(__xludf.DUMMYFUNCTION("""COMPUTED_VALUE"""),"Array;Hash Table;Greedy;Sorting;")</f>
        <v>Array;Hash Table;Greedy;Sorting;</v>
      </c>
      <c r="M955" s="20" t="b">
        <f>IFERROR(__xludf.DUMMYFUNCTION("""COMPUTED_VALUE"""),TRUE)</f>
        <v>1</v>
      </c>
      <c r="N955" s="20" t="b">
        <f>IFERROR(__xludf.DUMMYFUNCTION("""COMPUTED_VALUE"""),FALSE)</f>
        <v>0</v>
      </c>
      <c r="O955" s="20">
        <f>IFERROR(__xludf.DUMMYFUNCTION("""COMPUTED_VALUE"""),39.0990551236009)</f>
        <v>39.09905512</v>
      </c>
      <c r="P955" s="20">
        <f>IFERROR(__xludf.DUMMYFUNCTION("""COMPUTED_VALUE"""),78498.0)</f>
        <v>78498</v>
      </c>
      <c r="Q955" s="20">
        <f>IFERROR(__xludf.DUMMYFUNCTION("""COMPUTED_VALUE"""),200767.0)</f>
        <v>200767</v>
      </c>
    </row>
    <row r="956">
      <c r="A956" s="20">
        <f>IFERROR(__xludf.DUMMYFUNCTION("""COMPUTED_VALUE"""),992.0)</f>
        <v>992</v>
      </c>
      <c r="B956" s="20" t="str">
        <f>IFERROR(__xludf.DUMMYFUNCTION("""COMPUTED_VALUE"""),"Delete Columns to Make Sorted II")</f>
        <v>Delete Columns to Make Sorted II</v>
      </c>
      <c r="C956" s="20" t="str">
        <f>IFERROR(__xludf.DUMMYFUNCTION("""COMPUTED_VALUE"""),"delete-columns-to-make-sorted-ii")</f>
        <v>delete-columns-to-make-sorted-ii</v>
      </c>
      <c r="D956" s="20" t="b">
        <f>IFERROR(__xludf.DUMMYFUNCTION("""COMPUTED_VALUE"""),FALSE)</f>
        <v>0</v>
      </c>
      <c r="E956" s="20" t="str">
        <f>IFERROR(__xludf.DUMMYFUNCTION("""COMPUTED_VALUE"""),"Medium")</f>
        <v>Medium</v>
      </c>
      <c r="F956" s="20">
        <f>IFERROR(__xludf.DUMMYFUNCTION("""COMPUTED_VALUE"""),547.0)</f>
        <v>547</v>
      </c>
      <c r="G956" s="20">
        <f>IFERROR(__xludf.DUMMYFUNCTION("""COMPUTED_VALUE"""),79.0)</f>
        <v>79</v>
      </c>
      <c r="H956" s="20" t="str">
        <f>IFERROR(__xludf.DUMMYFUNCTION("""COMPUTED_VALUE"""),"Algorithms")</f>
        <v>Algorithms</v>
      </c>
      <c r="I956" s="20">
        <f>IFERROR(__xludf.DUMMYFUNCTION("""COMPUTED_VALUE"""),0.347)</f>
        <v>0.347</v>
      </c>
      <c r="J956" s="20">
        <f>IFERROR(__xludf.DUMMYFUNCTION("""COMPUTED_VALUE"""),955.0)</f>
        <v>955</v>
      </c>
      <c r="K956" s="20" t="b">
        <f>IFERROR(__xludf.DUMMYFUNCTION("""COMPUTED_VALUE"""),FALSE)</f>
        <v>0</v>
      </c>
      <c r="L956" s="20" t="str">
        <f>IFERROR(__xludf.DUMMYFUNCTION("""COMPUTED_VALUE"""),"Array;String;Greedy;")</f>
        <v>Array;String;Greedy;</v>
      </c>
      <c r="M956" s="20" t="b">
        <f>IFERROR(__xludf.DUMMYFUNCTION("""COMPUTED_VALUE"""),FALSE)</f>
        <v>0</v>
      </c>
      <c r="N956" s="20" t="b">
        <f>IFERROR(__xludf.DUMMYFUNCTION("""COMPUTED_VALUE"""),FALSE)</f>
        <v>0</v>
      </c>
      <c r="O956" s="20">
        <f>IFERROR(__xludf.DUMMYFUNCTION("""COMPUTED_VALUE"""),34.6702443157746)</f>
        <v>34.67024432</v>
      </c>
      <c r="P956" s="20">
        <f>IFERROR(__xludf.DUMMYFUNCTION("""COMPUTED_VALUE"""),17185.0)</f>
        <v>17185</v>
      </c>
      <c r="Q956" s="20">
        <f>IFERROR(__xludf.DUMMYFUNCTION("""COMPUTED_VALUE"""),49567.0)</f>
        <v>49567</v>
      </c>
    </row>
    <row r="957">
      <c r="A957" s="20">
        <f>IFERROR(__xludf.DUMMYFUNCTION("""COMPUTED_VALUE"""),993.0)</f>
        <v>993</v>
      </c>
      <c r="B957" s="20" t="str">
        <f>IFERROR(__xludf.DUMMYFUNCTION("""COMPUTED_VALUE"""),"Tallest Billboard")</f>
        <v>Tallest Billboard</v>
      </c>
      <c r="C957" s="20" t="str">
        <f>IFERROR(__xludf.DUMMYFUNCTION("""COMPUTED_VALUE"""),"tallest-billboard")</f>
        <v>tallest-billboard</v>
      </c>
      <c r="D957" s="20" t="b">
        <f>IFERROR(__xludf.DUMMYFUNCTION("""COMPUTED_VALUE"""),FALSE)</f>
        <v>0</v>
      </c>
      <c r="E957" s="20" t="str">
        <f>IFERROR(__xludf.DUMMYFUNCTION("""COMPUTED_VALUE"""),"Hard")</f>
        <v>Hard</v>
      </c>
      <c r="F957" s="20">
        <f>IFERROR(__xludf.DUMMYFUNCTION("""COMPUTED_VALUE"""),815.0)</f>
        <v>815</v>
      </c>
      <c r="G957" s="20">
        <f>IFERROR(__xludf.DUMMYFUNCTION("""COMPUTED_VALUE"""),28.0)</f>
        <v>28</v>
      </c>
      <c r="H957" s="20" t="str">
        <f>IFERROR(__xludf.DUMMYFUNCTION("""COMPUTED_VALUE"""),"Algorithms")</f>
        <v>Algorithms</v>
      </c>
      <c r="I957" s="20">
        <f>IFERROR(__xludf.DUMMYFUNCTION("""COMPUTED_VALUE"""),0.4)</f>
        <v>0.4</v>
      </c>
      <c r="J957" s="20">
        <f>IFERROR(__xludf.DUMMYFUNCTION("""COMPUTED_VALUE"""),956.0)</f>
        <v>956</v>
      </c>
      <c r="K957" s="20" t="b">
        <f>IFERROR(__xludf.DUMMYFUNCTION("""COMPUTED_VALUE"""),FALSE)</f>
        <v>0</v>
      </c>
      <c r="L957" s="20" t="str">
        <f>IFERROR(__xludf.DUMMYFUNCTION("""COMPUTED_VALUE"""),"Array;Dynamic Programming;")</f>
        <v>Array;Dynamic Programming;</v>
      </c>
      <c r="M957" s="20" t="b">
        <f>IFERROR(__xludf.DUMMYFUNCTION("""COMPUTED_VALUE"""),FALSE)</f>
        <v>0</v>
      </c>
      <c r="N957" s="20" t="b">
        <f>IFERROR(__xludf.DUMMYFUNCTION("""COMPUTED_VALUE"""),FALSE)</f>
        <v>0</v>
      </c>
      <c r="O957" s="20">
        <f>IFERROR(__xludf.DUMMYFUNCTION("""COMPUTED_VALUE"""),40.0130838675912)</f>
        <v>40.01308387</v>
      </c>
      <c r="P957" s="20">
        <f>IFERROR(__xludf.DUMMYFUNCTION("""COMPUTED_VALUE"""),15291.0)</f>
        <v>15291</v>
      </c>
      <c r="Q957" s="20">
        <f>IFERROR(__xludf.DUMMYFUNCTION("""COMPUTED_VALUE"""),38215.0)</f>
        <v>38215</v>
      </c>
    </row>
    <row r="958">
      <c r="A958" s="20">
        <f>IFERROR(__xludf.DUMMYFUNCTION("""COMPUTED_VALUE"""),994.0)</f>
        <v>994</v>
      </c>
      <c r="B958" s="20" t="str">
        <f>IFERROR(__xludf.DUMMYFUNCTION("""COMPUTED_VALUE"""),"Prison Cells After N Days")</f>
        <v>Prison Cells After N Days</v>
      </c>
      <c r="C958" s="20" t="str">
        <f>IFERROR(__xludf.DUMMYFUNCTION("""COMPUTED_VALUE"""),"prison-cells-after-n-days")</f>
        <v>prison-cells-after-n-days</v>
      </c>
      <c r="D958" s="20" t="b">
        <f>IFERROR(__xludf.DUMMYFUNCTION("""COMPUTED_VALUE"""),FALSE)</f>
        <v>0</v>
      </c>
      <c r="E958" s="20" t="str">
        <f>IFERROR(__xludf.DUMMYFUNCTION("""COMPUTED_VALUE"""),"Medium")</f>
        <v>Medium</v>
      </c>
      <c r="F958" s="20">
        <f>IFERROR(__xludf.DUMMYFUNCTION("""COMPUTED_VALUE"""),1360.0)</f>
        <v>1360</v>
      </c>
      <c r="G958" s="20">
        <f>IFERROR(__xludf.DUMMYFUNCTION("""COMPUTED_VALUE"""),1641.0)</f>
        <v>1641</v>
      </c>
      <c r="H958" s="20" t="str">
        <f>IFERROR(__xludf.DUMMYFUNCTION("""COMPUTED_VALUE"""),"Algorithms")</f>
        <v>Algorithms</v>
      </c>
      <c r="I958" s="20">
        <f>IFERROR(__xludf.DUMMYFUNCTION("""COMPUTED_VALUE"""),0.391)</f>
        <v>0.391</v>
      </c>
      <c r="J958" s="20">
        <f>IFERROR(__xludf.DUMMYFUNCTION("""COMPUTED_VALUE"""),957.0)</f>
        <v>957</v>
      </c>
      <c r="K958" s="20" t="b">
        <f>IFERROR(__xludf.DUMMYFUNCTION("""COMPUTED_VALUE"""),FALSE)</f>
        <v>0</v>
      </c>
      <c r="L958" s="20" t="str">
        <f>IFERROR(__xludf.DUMMYFUNCTION("""COMPUTED_VALUE"""),"Array;Hash Table;Math;Bit Manipulation;")</f>
        <v>Array;Hash Table;Math;Bit Manipulation;</v>
      </c>
      <c r="M958" s="20" t="b">
        <f>IFERROR(__xludf.DUMMYFUNCTION("""COMPUTED_VALUE"""),TRUE)</f>
        <v>1</v>
      </c>
      <c r="N958" s="20" t="b">
        <f>IFERROR(__xludf.DUMMYFUNCTION("""COMPUTED_VALUE"""),FALSE)</f>
        <v>0</v>
      </c>
      <c r="O958" s="20">
        <f>IFERROR(__xludf.DUMMYFUNCTION("""COMPUTED_VALUE"""),39.0868162181856)</f>
        <v>39.08681622</v>
      </c>
      <c r="P958" s="20">
        <f>IFERROR(__xludf.DUMMYFUNCTION("""COMPUTED_VALUE"""),150195.0)</f>
        <v>150195</v>
      </c>
      <c r="Q958" s="20">
        <f>IFERROR(__xludf.DUMMYFUNCTION("""COMPUTED_VALUE"""),384260.0)</f>
        <v>384260</v>
      </c>
    </row>
    <row r="959">
      <c r="A959" s="20">
        <f>IFERROR(__xludf.DUMMYFUNCTION("""COMPUTED_VALUE"""),998.0)</f>
        <v>998</v>
      </c>
      <c r="B959" s="20" t="str">
        <f>IFERROR(__xludf.DUMMYFUNCTION("""COMPUTED_VALUE"""),"Check Completeness of a Binary Tree")</f>
        <v>Check Completeness of a Binary Tree</v>
      </c>
      <c r="C959" s="20" t="str">
        <f>IFERROR(__xludf.DUMMYFUNCTION("""COMPUTED_VALUE"""),"check-completeness-of-a-binary-tree")</f>
        <v>check-completeness-of-a-binary-tree</v>
      </c>
      <c r="D959" s="20" t="b">
        <f>IFERROR(__xludf.DUMMYFUNCTION("""COMPUTED_VALUE"""),FALSE)</f>
        <v>0</v>
      </c>
      <c r="E959" s="20" t="str">
        <f>IFERROR(__xludf.DUMMYFUNCTION("""COMPUTED_VALUE"""),"Medium")</f>
        <v>Medium</v>
      </c>
      <c r="F959" s="20">
        <f>IFERROR(__xludf.DUMMYFUNCTION("""COMPUTED_VALUE"""),2321.0)</f>
        <v>2321</v>
      </c>
      <c r="G959" s="20">
        <f>IFERROR(__xludf.DUMMYFUNCTION("""COMPUTED_VALUE"""),32.0)</f>
        <v>32</v>
      </c>
      <c r="H959" s="20" t="str">
        <f>IFERROR(__xludf.DUMMYFUNCTION("""COMPUTED_VALUE"""),"Algorithms")</f>
        <v>Algorithms</v>
      </c>
      <c r="I959" s="20">
        <f>IFERROR(__xludf.DUMMYFUNCTION("""COMPUTED_VALUE"""),0.539)</f>
        <v>0.539</v>
      </c>
      <c r="J959" s="20">
        <f>IFERROR(__xludf.DUMMYFUNCTION("""COMPUTED_VALUE"""),958.0)</f>
        <v>958</v>
      </c>
      <c r="K959" s="20" t="b">
        <f>IFERROR(__xludf.DUMMYFUNCTION("""COMPUTED_VALUE"""),FALSE)</f>
        <v>0</v>
      </c>
      <c r="L959" s="20" t="str">
        <f>IFERROR(__xludf.DUMMYFUNCTION("""COMPUTED_VALUE"""),"Tree;Breadth-First Search;Binary Tree;")</f>
        <v>Tree;Breadth-First Search;Binary Tree;</v>
      </c>
      <c r="M959" s="20" t="b">
        <f>IFERROR(__xludf.DUMMYFUNCTION("""COMPUTED_VALUE"""),FALSE)</f>
        <v>0</v>
      </c>
      <c r="N959" s="20" t="b">
        <f>IFERROR(__xludf.DUMMYFUNCTION("""COMPUTED_VALUE"""),FALSE)</f>
        <v>0</v>
      </c>
      <c r="O959" s="20">
        <f>IFERROR(__xludf.DUMMYFUNCTION("""COMPUTED_VALUE"""),53.8638102524866)</f>
        <v>53.86381025</v>
      </c>
      <c r="P959" s="20">
        <f>IFERROR(__xludf.DUMMYFUNCTION("""COMPUTED_VALUE"""),130940.0)</f>
        <v>130940</v>
      </c>
      <c r="Q959" s="20">
        <f>IFERROR(__xludf.DUMMYFUNCTION("""COMPUTED_VALUE"""),243098.0)</f>
        <v>243098</v>
      </c>
    </row>
    <row r="960">
      <c r="A960" s="20">
        <f>IFERROR(__xludf.DUMMYFUNCTION("""COMPUTED_VALUE"""),999.0)</f>
        <v>999</v>
      </c>
      <c r="B960" s="20" t="str">
        <f>IFERROR(__xludf.DUMMYFUNCTION("""COMPUTED_VALUE"""),"Regions Cut By Slashes")</f>
        <v>Regions Cut By Slashes</v>
      </c>
      <c r="C960" s="20" t="str">
        <f>IFERROR(__xludf.DUMMYFUNCTION("""COMPUTED_VALUE"""),"regions-cut-by-slashes")</f>
        <v>regions-cut-by-slashes</v>
      </c>
      <c r="D960" s="20" t="b">
        <f>IFERROR(__xludf.DUMMYFUNCTION("""COMPUTED_VALUE"""),FALSE)</f>
        <v>0</v>
      </c>
      <c r="E960" s="20" t="str">
        <f>IFERROR(__xludf.DUMMYFUNCTION("""COMPUTED_VALUE"""),"Medium")</f>
        <v>Medium</v>
      </c>
      <c r="F960" s="20">
        <f>IFERROR(__xludf.DUMMYFUNCTION("""COMPUTED_VALUE"""),2576.0)</f>
        <v>2576</v>
      </c>
      <c r="G960" s="20">
        <f>IFERROR(__xludf.DUMMYFUNCTION("""COMPUTED_VALUE"""),488.0)</f>
        <v>488</v>
      </c>
      <c r="H960" s="20" t="str">
        <f>IFERROR(__xludf.DUMMYFUNCTION("""COMPUTED_VALUE"""),"Algorithms")</f>
        <v>Algorithms</v>
      </c>
      <c r="I960" s="20">
        <f>IFERROR(__xludf.DUMMYFUNCTION("""COMPUTED_VALUE"""),0.691)</f>
        <v>0.691</v>
      </c>
      <c r="J960" s="20">
        <f>IFERROR(__xludf.DUMMYFUNCTION("""COMPUTED_VALUE"""),959.0)</f>
        <v>959</v>
      </c>
      <c r="K960" s="20" t="b">
        <f>IFERROR(__xludf.DUMMYFUNCTION("""COMPUTED_VALUE"""),FALSE)</f>
        <v>0</v>
      </c>
      <c r="L960" s="20" t="str">
        <f>IFERROR(__xludf.DUMMYFUNCTION("""COMPUTED_VALUE"""),"Depth-First Search;Breadth-First Search;Union Find;Graph;")</f>
        <v>Depth-First Search;Breadth-First Search;Union Find;Graph;</v>
      </c>
      <c r="M960" s="20" t="b">
        <f>IFERROR(__xludf.DUMMYFUNCTION("""COMPUTED_VALUE"""),TRUE)</f>
        <v>1</v>
      </c>
      <c r="N960" s="20" t="b">
        <f>IFERROR(__xludf.DUMMYFUNCTION("""COMPUTED_VALUE"""),FALSE)</f>
        <v>0</v>
      </c>
      <c r="O960" s="20">
        <f>IFERROR(__xludf.DUMMYFUNCTION("""COMPUTED_VALUE"""),69.1201326657524)</f>
        <v>69.12013267</v>
      </c>
      <c r="P960" s="20">
        <f>IFERROR(__xludf.DUMMYFUNCTION("""COMPUTED_VALUE"""),43348.0)</f>
        <v>43348</v>
      </c>
      <c r="Q960" s="20">
        <f>IFERROR(__xludf.DUMMYFUNCTION("""COMPUTED_VALUE"""),62714.0)</f>
        <v>62714</v>
      </c>
    </row>
    <row r="961">
      <c r="A961" s="20">
        <f>IFERROR(__xludf.DUMMYFUNCTION("""COMPUTED_VALUE"""),1000.0)</f>
        <v>1000</v>
      </c>
      <c r="B961" s="20" t="str">
        <f>IFERROR(__xludf.DUMMYFUNCTION("""COMPUTED_VALUE"""),"Delete Columns to Make Sorted III")</f>
        <v>Delete Columns to Make Sorted III</v>
      </c>
      <c r="C961" s="20" t="str">
        <f>IFERROR(__xludf.DUMMYFUNCTION("""COMPUTED_VALUE"""),"delete-columns-to-make-sorted-iii")</f>
        <v>delete-columns-to-make-sorted-iii</v>
      </c>
      <c r="D961" s="20" t="b">
        <f>IFERROR(__xludf.DUMMYFUNCTION("""COMPUTED_VALUE"""),FALSE)</f>
        <v>0</v>
      </c>
      <c r="E961" s="20" t="str">
        <f>IFERROR(__xludf.DUMMYFUNCTION("""COMPUTED_VALUE"""),"Hard")</f>
        <v>Hard</v>
      </c>
      <c r="F961" s="20">
        <f>IFERROR(__xludf.DUMMYFUNCTION("""COMPUTED_VALUE"""),500.0)</f>
        <v>500</v>
      </c>
      <c r="G961" s="20">
        <f>IFERROR(__xludf.DUMMYFUNCTION("""COMPUTED_VALUE"""),11.0)</f>
        <v>11</v>
      </c>
      <c r="H961" s="20" t="str">
        <f>IFERROR(__xludf.DUMMYFUNCTION("""COMPUTED_VALUE"""),"Algorithms")</f>
        <v>Algorithms</v>
      </c>
      <c r="I961" s="20">
        <f>IFERROR(__xludf.DUMMYFUNCTION("""COMPUTED_VALUE"""),0.573)</f>
        <v>0.573</v>
      </c>
      <c r="J961" s="20">
        <f>IFERROR(__xludf.DUMMYFUNCTION("""COMPUTED_VALUE"""),960.0)</f>
        <v>960</v>
      </c>
      <c r="K961" s="20" t="b">
        <f>IFERROR(__xludf.DUMMYFUNCTION("""COMPUTED_VALUE"""),FALSE)</f>
        <v>0</v>
      </c>
      <c r="L961" s="20" t="str">
        <f>IFERROR(__xludf.DUMMYFUNCTION("""COMPUTED_VALUE"""),"Array;String;Dynamic Programming;")</f>
        <v>Array;String;Dynamic Programming;</v>
      </c>
      <c r="M961" s="20" t="b">
        <f>IFERROR(__xludf.DUMMYFUNCTION("""COMPUTED_VALUE"""),TRUE)</f>
        <v>1</v>
      </c>
      <c r="N961" s="20" t="b">
        <f>IFERROR(__xludf.DUMMYFUNCTION("""COMPUTED_VALUE"""),FALSE)</f>
        <v>0</v>
      </c>
      <c r="O961" s="20">
        <f>IFERROR(__xludf.DUMMYFUNCTION("""COMPUTED_VALUE"""),57.2865554465161)</f>
        <v>57.28655545</v>
      </c>
      <c r="P961" s="20">
        <f>IFERROR(__xludf.DUMMYFUNCTION("""COMPUTED_VALUE"""),11675.0)</f>
        <v>11675</v>
      </c>
      <c r="Q961" s="20">
        <f>IFERROR(__xludf.DUMMYFUNCTION("""COMPUTED_VALUE"""),20380.0)</f>
        <v>20380</v>
      </c>
    </row>
    <row r="962">
      <c r="A962" s="20">
        <f>IFERROR(__xludf.DUMMYFUNCTION("""COMPUTED_VALUE"""),1001.0)</f>
        <v>1001</v>
      </c>
      <c r="B962" s="20" t="str">
        <f>IFERROR(__xludf.DUMMYFUNCTION("""COMPUTED_VALUE"""),"N-Repeated Element in Size 2N Array")</f>
        <v>N-Repeated Element in Size 2N Array</v>
      </c>
      <c r="C962" s="20" t="str">
        <f>IFERROR(__xludf.DUMMYFUNCTION("""COMPUTED_VALUE"""),"n-repeated-element-in-size-2n-array")</f>
        <v>n-repeated-element-in-size-2n-array</v>
      </c>
      <c r="D962" s="20" t="b">
        <f>IFERROR(__xludf.DUMMYFUNCTION("""COMPUTED_VALUE"""),FALSE)</f>
        <v>0</v>
      </c>
      <c r="E962" s="20" t="str">
        <f>IFERROR(__xludf.DUMMYFUNCTION("""COMPUTED_VALUE"""),"Easy")</f>
        <v>Easy</v>
      </c>
      <c r="F962" s="20">
        <f>IFERROR(__xludf.DUMMYFUNCTION("""COMPUTED_VALUE"""),1090.0)</f>
        <v>1090</v>
      </c>
      <c r="G962" s="20">
        <f>IFERROR(__xludf.DUMMYFUNCTION("""COMPUTED_VALUE"""),311.0)</f>
        <v>311</v>
      </c>
      <c r="H962" s="20" t="str">
        <f>IFERROR(__xludf.DUMMYFUNCTION("""COMPUTED_VALUE"""),"Algorithms")</f>
        <v>Algorithms</v>
      </c>
      <c r="I962" s="20">
        <f>IFERROR(__xludf.DUMMYFUNCTION("""COMPUTED_VALUE"""),0.759)</f>
        <v>0.759</v>
      </c>
      <c r="J962" s="20">
        <f>IFERROR(__xludf.DUMMYFUNCTION("""COMPUTED_VALUE"""),961.0)</f>
        <v>961</v>
      </c>
      <c r="K962" s="20" t="b">
        <f>IFERROR(__xludf.DUMMYFUNCTION("""COMPUTED_VALUE"""),FALSE)</f>
        <v>0</v>
      </c>
      <c r="L962" s="20" t="str">
        <f>IFERROR(__xludf.DUMMYFUNCTION("""COMPUTED_VALUE"""),"Array;Hash Table;")</f>
        <v>Array;Hash Table;</v>
      </c>
      <c r="M962" s="20" t="b">
        <f>IFERROR(__xludf.DUMMYFUNCTION("""COMPUTED_VALUE"""),TRUE)</f>
        <v>1</v>
      </c>
      <c r="N962" s="20" t="b">
        <f>IFERROR(__xludf.DUMMYFUNCTION("""COMPUTED_VALUE"""),FALSE)</f>
        <v>0</v>
      </c>
      <c r="O962" s="20">
        <f>IFERROR(__xludf.DUMMYFUNCTION("""COMPUTED_VALUE"""),75.9033346750472)</f>
        <v>75.90333468</v>
      </c>
      <c r="P962" s="20">
        <f>IFERROR(__xludf.DUMMYFUNCTION("""COMPUTED_VALUE"""),196115.0)</f>
        <v>196115</v>
      </c>
      <c r="Q962" s="20">
        <f>IFERROR(__xludf.DUMMYFUNCTION("""COMPUTED_VALUE"""),258375.0)</f>
        <v>258375</v>
      </c>
    </row>
    <row r="963">
      <c r="A963" s="20">
        <f>IFERROR(__xludf.DUMMYFUNCTION("""COMPUTED_VALUE"""),1002.0)</f>
        <v>1002</v>
      </c>
      <c r="B963" s="20" t="str">
        <f>IFERROR(__xludf.DUMMYFUNCTION("""COMPUTED_VALUE"""),"Maximum Width Ramp")</f>
        <v>Maximum Width Ramp</v>
      </c>
      <c r="C963" s="20" t="str">
        <f>IFERROR(__xludf.DUMMYFUNCTION("""COMPUTED_VALUE"""),"maximum-width-ramp")</f>
        <v>maximum-width-ramp</v>
      </c>
      <c r="D963" s="20" t="b">
        <f>IFERROR(__xludf.DUMMYFUNCTION("""COMPUTED_VALUE"""),FALSE)</f>
        <v>0</v>
      </c>
      <c r="E963" s="20" t="str">
        <f>IFERROR(__xludf.DUMMYFUNCTION("""COMPUTED_VALUE"""),"Medium")</f>
        <v>Medium</v>
      </c>
      <c r="F963" s="20">
        <f>IFERROR(__xludf.DUMMYFUNCTION("""COMPUTED_VALUE"""),1390.0)</f>
        <v>1390</v>
      </c>
      <c r="G963" s="20">
        <f>IFERROR(__xludf.DUMMYFUNCTION("""COMPUTED_VALUE"""),43.0)</f>
        <v>43</v>
      </c>
      <c r="H963" s="20" t="str">
        <f>IFERROR(__xludf.DUMMYFUNCTION("""COMPUTED_VALUE"""),"Algorithms")</f>
        <v>Algorithms</v>
      </c>
      <c r="I963" s="20">
        <f>IFERROR(__xludf.DUMMYFUNCTION("""COMPUTED_VALUE"""),0.489)</f>
        <v>0.489</v>
      </c>
      <c r="J963" s="20">
        <f>IFERROR(__xludf.DUMMYFUNCTION("""COMPUTED_VALUE"""),962.0)</f>
        <v>962</v>
      </c>
      <c r="K963" s="20" t="b">
        <f>IFERROR(__xludf.DUMMYFUNCTION("""COMPUTED_VALUE"""),FALSE)</f>
        <v>0</v>
      </c>
      <c r="L963" s="20" t="str">
        <f>IFERROR(__xludf.DUMMYFUNCTION("""COMPUTED_VALUE"""),"Array;Stack;Monotonic Stack;")</f>
        <v>Array;Stack;Monotonic Stack;</v>
      </c>
      <c r="M963" s="20" t="b">
        <f>IFERROR(__xludf.DUMMYFUNCTION("""COMPUTED_VALUE"""),FALSE)</f>
        <v>0</v>
      </c>
      <c r="N963" s="20" t="b">
        <f>IFERROR(__xludf.DUMMYFUNCTION("""COMPUTED_VALUE"""),FALSE)</f>
        <v>0</v>
      </c>
      <c r="O963" s="20">
        <f>IFERROR(__xludf.DUMMYFUNCTION("""COMPUTED_VALUE"""),48.9329189994349)</f>
        <v>48.932919</v>
      </c>
      <c r="P963" s="20">
        <f>IFERROR(__xludf.DUMMYFUNCTION("""COMPUTED_VALUE"""),38107.0)</f>
        <v>38107</v>
      </c>
      <c r="Q963" s="20">
        <f>IFERROR(__xludf.DUMMYFUNCTION("""COMPUTED_VALUE"""),77876.0)</f>
        <v>77876</v>
      </c>
    </row>
    <row r="964">
      <c r="A964" s="20">
        <f>IFERROR(__xludf.DUMMYFUNCTION("""COMPUTED_VALUE"""),1003.0)</f>
        <v>1003</v>
      </c>
      <c r="B964" s="20" t="str">
        <f>IFERROR(__xludf.DUMMYFUNCTION("""COMPUTED_VALUE"""),"Minimum Area Rectangle II")</f>
        <v>Minimum Area Rectangle II</v>
      </c>
      <c r="C964" s="20" t="str">
        <f>IFERROR(__xludf.DUMMYFUNCTION("""COMPUTED_VALUE"""),"minimum-area-rectangle-ii")</f>
        <v>minimum-area-rectangle-ii</v>
      </c>
      <c r="D964" s="20" t="b">
        <f>IFERROR(__xludf.DUMMYFUNCTION("""COMPUTED_VALUE"""),FALSE)</f>
        <v>0</v>
      </c>
      <c r="E964" s="20" t="str">
        <f>IFERROR(__xludf.DUMMYFUNCTION("""COMPUTED_VALUE"""),"Medium")</f>
        <v>Medium</v>
      </c>
      <c r="F964" s="20">
        <f>IFERROR(__xludf.DUMMYFUNCTION("""COMPUTED_VALUE"""),339.0)</f>
        <v>339</v>
      </c>
      <c r="G964" s="20">
        <f>IFERROR(__xludf.DUMMYFUNCTION("""COMPUTED_VALUE"""),425.0)</f>
        <v>425</v>
      </c>
      <c r="H964" s="20" t="str">
        <f>IFERROR(__xludf.DUMMYFUNCTION("""COMPUTED_VALUE"""),"Algorithms")</f>
        <v>Algorithms</v>
      </c>
      <c r="I964" s="20">
        <f>IFERROR(__xludf.DUMMYFUNCTION("""COMPUTED_VALUE"""),0.547)</f>
        <v>0.547</v>
      </c>
      <c r="J964" s="20">
        <f>IFERROR(__xludf.DUMMYFUNCTION("""COMPUTED_VALUE"""),963.0)</f>
        <v>963</v>
      </c>
      <c r="K964" s="20" t="b">
        <f>IFERROR(__xludf.DUMMYFUNCTION("""COMPUTED_VALUE"""),FALSE)</f>
        <v>0</v>
      </c>
      <c r="L964" s="20" t="str">
        <f>IFERROR(__xludf.DUMMYFUNCTION("""COMPUTED_VALUE"""),"Array;Math;Geometry;")</f>
        <v>Array;Math;Geometry;</v>
      </c>
      <c r="M964" s="20" t="b">
        <f>IFERROR(__xludf.DUMMYFUNCTION("""COMPUTED_VALUE"""),FALSE)</f>
        <v>0</v>
      </c>
      <c r="N964" s="20" t="b">
        <f>IFERROR(__xludf.DUMMYFUNCTION("""COMPUTED_VALUE"""),FALSE)</f>
        <v>0</v>
      </c>
      <c r="O964" s="20">
        <f>IFERROR(__xludf.DUMMYFUNCTION("""COMPUTED_VALUE"""),54.7003823964987)</f>
        <v>54.7003824</v>
      </c>
      <c r="P964" s="20">
        <f>IFERROR(__xludf.DUMMYFUNCTION("""COMPUTED_VALUE"""),24747.0)</f>
        <v>24747</v>
      </c>
      <c r="Q964" s="20">
        <f>IFERROR(__xludf.DUMMYFUNCTION("""COMPUTED_VALUE"""),45241.0)</f>
        <v>45241</v>
      </c>
    </row>
    <row r="965">
      <c r="A965" s="20">
        <f>IFERROR(__xludf.DUMMYFUNCTION("""COMPUTED_VALUE"""),1004.0)</f>
        <v>1004</v>
      </c>
      <c r="B965" s="20" t="str">
        <f>IFERROR(__xludf.DUMMYFUNCTION("""COMPUTED_VALUE"""),"Least Operators to Express Number")</f>
        <v>Least Operators to Express Number</v>
      </c>
      <c r="C965" s="20" t="str">
        <f>IFERROR(__xludf.DUMMYFUNCTION("""COMPUTED_VALUE"""),"least-operators-to-express-number")</f>
        <v>least-operators-to-express-number</v>
      </c>
      <c r="D965" s="20" t="b">
        <f>IFERROR(__xludf.DUMMYFUNCTION("""COMPUTED_VALUE"""),FALSE)</f>
        <v>0</v>
      </c>
      <c r="E965" s="20" t="str">
        <f>IFERROR(__xludf.DUMMYFUNCTION("""COMPUTED_VALUE"""),"Hard")</f>
        <v>Hard</v>
      </c>
      <c r="F965" s="20">
        <f>IFERROR(__xludf.DUMMYFUNCTION("""COMPUTED_VALUE"""),279.0)</f>
        <v>279</v>
      </c>
      <c r="G965" s="20">
        <f>IFERROR(__xludf.DUMMYFUNCTION("""COMPUTED_VALUE"""),66.0)</f>
        <v>66</v>
      </c>
      <c r="H965" s="20" t="str">
        <f>IFERROR(__xludf.DUMMYFUNCTION("""COMPUTED_VALUE"""),"Algorithms")</f>
        <v>Algorithms</v>
      </c>
      <c r="I965" s="20">
        <f>IFERROR(__xludf.DUMMYFUNCTION("""COMPUTED_VALUE"""),0.479)</f>
        <v>0.479</v>
      </c>
      <c r="J965" s="20">
        <f>IFERROR(__xludf.DUMMYFUNCTION("""COMPUTED_VALUE"""),964.0)</f>
        <v>964</v>
      </c>
      <c r="K965" s="20" t="b">
        <f>IFERROR(__xludf.DUMMYFUNCTION("""COMPUTED_VALUE"""),FALSE)</f>
        <v>0</v>
      </c>
      <c r="L965" s="20" t="str">
        <f>IFERROR(__xludf.DUMMYFUNCTION("""COMPUTED_VALUE"""),"Math;Dynamic Programming;")</f>
        <v>Math;Dynamic Programming;</v>
      </c>
      <c r="M965" s="20" t="b">
        <f>IFERROR(__xludf.DUMMYFUNCTION("""COMPUTED_VALUE"""),FALSE)</f>
        <v>0</v>
      </c>
      <c r="N965" s="20" t="b">
        <f>IFERROR(__xludf.DUMMYFUNCTION("""COMPUTED_VALUE"""),FALSE)</f>
        <v>0</v>
      </c>
      <c r="O965" s="20">
        <f>IFERROR(__xludf.DUMMYFUNCTION("""COMPUTED_VALUE"""),47.9481040147001)</f>
        <v>47.94810401</v>
      </c>
      <c r="P965" s="20">
        <f>IFERROR(__xludf.DUMMYFUNCTION("""COMPUTED_VALUE"""),8611.0)</f>
        <v>8611</v>
      </c>
      <c r="Q965" s="20">
        <f>IFERROR(__xludf.DUMMYFUNCTION("""COMPUTED_VALUE"""),17959.0)</f>
        <v>17959</v>
      </c>
    </row>
    <row r="966">
      <c r="A966" s="20">
        <f>IFERROR(__xludf.DUMMYFUNCTION("""COMPUTED_VALUE"""),1005.0)</f>
        <v>1005</v>
      </c>
      <c r="B966" s="20" t="str">
        <f>IFERROR(__xludf.DUMMYFUNCTION("""COMPUTED_VALUE"""),"Univalued Binary Tree")</f>
        <v>Univalued Binary Tree</v>
      </c>
      <c r="C966" s="20" t="str">
        <f>IFERROR(__xludf.DUMMYFUNCTION("""COMPUTED_VALUE"""),"univalued-binary-tree")</f>
        <v>univalued-binary-tree</v>
      </c>
      <c r="D966" s="20" t="b">
        <f>IFERROR(__xludf.DUMMYFUNCTION("""COMPUTED_VALUE"""),FALSE)</f>
        <v>0</v>
      </c>
      <c r="E966" s="20" t="str">
        <f>IFERROR(__xludf.DUMMYFUNCTION("""COMPUTED_VALUE"""),"Easy")</f>
        <v>Easy</v>
      </c>
      <c r="F966" s="20">
        <f>IFERROR(__xludf.DUMMYFUNCTION("""COMPUTED_VALUE"""),1550.0)</f>
        <v>1550</v>
      </c>
      <c r="G966" s="20">
        <f>IFERROR(__xludf.DUMMYFUNCTION("""COMPUTED_VALUE"""),59.0)</f>
        <v>59</v>
      </c>
      <c r="H966" s="20" t="str">
        <f>IFERROR(__xludf.DUMMYFUNCTION("""COMPUTED_VALUE"""),"Algorithms")</f>
        <v>Algorithms</v>
      </c>
      <c r="I966" s="20">
        <f>IFERROR(__xludf.DUMMYFUNCTION("""COMPUTED_VALUE"""),0.694)</f>
        <v>0.694</v>
      </c>
      <c r="J966" s="20">
        <f>IFERROR(__xludf.DUMMYFUNCTION("""COMPUTED_VALUE"""),965.0)</f>
        <v>965</v>
      </c>
      <c r="K966" s="20" t="b">
        <f>IFERROR(__xludf.DUMMYFUNCTION("""COMPUTED_VALUE"""),FALSE)</f>
        <v>0</v>
      </c>
      <c r="L966" s="20" t="str">
        <f>IFERROR(__xludf.DUMMYFUNCTION("""COMPUTED_VALUE"""),"Tree;Depth-First Search;Breadth-First Search;Binary Tree;")</f>
        <v>Tree;Depth-First Search;Breadth-First Search;Binary Tree;</v>
      </c>
      <c r="M966" s="20" t="b">
        <f>IFERROR(__xludf.DUMMYFUNCTION("""COMPUTED_VALUE"""),TRUE)</f>
        <v>1</v>
      </c>
      <c r="N966" s="20" t="b">
        <f>IFERROR(__xludf.DUMMYFUNCTION("""COMPUTED_VALUE"""),FALSE)</f>
        <v>0</v>
      </c>
      <c r="O966" s="20">
        <f>IFERROR(__xludf.DUMMYFUNCTION("""COMPUTED_VALUE"""),69.4218140522391)</f>
        <v>69.42181405</v>
      </c>
      <c r="P966" s="20">
        <f>IFERROR(__xludf.DUMMYFUNCTION("""COMPUTED_VALUE"""),182778.0)</f>
        <v>182778</v>
      </c>
      <c r="Q966" s="20">
        <f>IFERROR(__xludf.DUMMYFUNCTION("""COMPUTED_VALUE"""),263287.0)</f>
        <v>263287</v>
      </c>
    </row>
    <row r="967">
      <c r="A967" s="20">
        <f>IFERROR(__xludf.DUMMYFUNCTION("""COMPUTED_VALUE"""),1006.0)</f>
        <v>1006</v>
      </c>
      <c r="B967" s="20" t="str">
        <f>IFERROR(__xludf.DUMMYFUNCTION("""COMPUTED_VALUE"""),"Vowel Spellchecker")</f>
        <v>Vowel Spellchecker</v>
      </c>
      <c r="C967" s="20" t="str">
        <f>IFERROR(__xludf.DUMMYFUNCTION("""COMPUTED_VALUE"""),"vowel-spellchecker")</f>
        <v>vowel-spellchecker</v>
      </c>
      <c r="D967" s="20" t="b">
        <f>IFERROR(__xludf.DUMMYFUNCTION("""COMPUTED_VALUE"""),FALSE)</f>
        <v>0</v>
      </c>
      <c r="E967" s="20" t="str">
        <f>IFERROR(__xludf.DUMMYFUNCTION("""COMPUTED_VALUE"""),"Medium")</f>
        <v>Medium</v>
      </c>
      <c r="F967" s="20">
        <f>IFERROR(__xludf.DUMMYFUNCTION("""COMPUTED_VALUE"""),375.0)</f>
        <v>375</v>
      </c>
      <c r="G967" s="20">
        <f>IFERROR(__xludf.DUMMYFUNCTION("""COMPUTED_VALUE"""),769.0)</f>
        <v>769</v>
      </c>
      <c r="H967" s="20" t="str">
        <f>IFERROR(__xludf.DUMMYFUNCTION("""COMPUTED_VALUE"""),"Algorithms")</f>
        <v>Algorithms</v>
      </c>
      <c r="I967" s="20">
        <f>IFERROR(__xludf.DUMMYFUNCTION("""COMPUTED_VALUE"""),0.514)</f>
        <v>0.514</v>
      </c>
      <c r="J967" s="20">
        <f>IFERROR(__xludf.DUMMYFUNCTION("""COMPUTED_VALUE"""),966.0)</f>
        <v>966</v>
      </c>
      <c r="K967" s="20" t="b">
        <f>IFERROR(__xludf.DUMMYFUNCTION("""COMPUTED_VALUE"""),FALSE)</f>
        <v>0</v>
      </c>
      <c r="L967" s="20" t="str">
        <f>IFERROR(__xludf.DUMMYFUNCTION("""COMPUTED_VALUE"""),"Array;Hash Table;String;")</f>
        <v>Array;Hash Table;String;</v>
      </c>
      <c r="M967" s="20" t="b">
        <f>IFERROR(__xludf.DUMMYFUNCTION("""COMPUTED_VALUE"""),TRUE)</f>
        <v>1</v>
      </c>
      <c r="N967" s="20" t="b">
        <f>IFERROR(__xludf.DUMMYFUNCTION("""COMPUTED_VALUE"""),FALSE)</f>
        <v>0</v>
      </c>
      <c r="O967" s="20">
        <f>IFERROR(__xludf.DUMMYFUNCTION("""COMPUTED_VALUE"""),51.4193820952069)</f>
        <v>51.4193821</v>
      </c>
      <c r="P967" s="20">
        <f>IFERROR(__xludf.DUMMYFUNCTION("""COMPUTED_VALUE"""),37730.0)</f>
        <v>37730</v>
      </c>
      <c r="Q967" s="20">
        <f>IFERROR(__xludf.DUMMYFUNCTION("""COMPUTED_VALUE"""),73374.0)</f>
        <v>73374</v>
      </c>
    </row>
    <row r="968">
      <c r="A968" s="20">
        <f>IFERROR(__xludf.DUMMYFUNCTION("""COMPUTED_VALUE"""),1007.0)</f>
        <v>1007</v>
      </c>
      <c r="B968" s="20" t="str">
        <f>IFERROR(__xludf.DUMMYFUNCTION("""COMPUTED_VALUE"""),"Numbers With Same Consecutive Differences")</f>
        <v>Numbers With Same Consecutive Differences</v>
      </c>
      <c r="C968" s="20" t="str">
        <f>IFERROR(__xludf.DUMMYFUNCTION("""COMPUTED_VALUE"""),"numbers-with-same-consecutive-differences")</f>
        <v>numbers-with-same-consecutive-differences</v>
      </c>
      <c r="D968" s="20" t="b">
        <f>IFERROR(__xludf.DUMMYFUNCTION("""COMPUTED_VALUE"""),FALSE)</f>
        <v>0</v>
      </c>
      <c r="E968" s="20" t="str">
        <f>IFERROR(__xludf.DUMMYFUNCTION("""COMPUTED_VALUE"""),"Medium")</f>
        <v>Medium</v>
      </c>
      <c r="F968" s="20">
        <f>IFERROR(__xludf.DUMMYFUNCTION("""COMPUTED_VALUE"""),2579.0)</f>
        <v>2579</v>
      </c>
      <c r="G968" s="20">
        <f>IFERROR(__xludf.DUMMYFUNCTION("""COMPUTED_VALUE"""),187.0)</f>
        <v>187</v>
      </c>
      <c r="H968" s="20" t="str">
        <f>IFERROR(__xludf.DUMMYFUNCTION("""COMPUTED_VALUE"""),"Algorithms")</f>
        <v>Algorithms</v>
      </c>
      <c r="I968" s="20">
        <f>IFERROR(__xludf.DUMMYFUNCTION("""COMPUTED_VALUE"""),0.572)</f>
        <v>0.572</v>
      </c>
      <c r="J968" s="20">
        <f>IFERROR(__xludf.DUMMYFUNCTION("""COMPUTED_VALUE"""),967.0)</f>
        <v>967</v>
      </c>
      <c r="K968" s="20" t="b">
        <f>IFERROR(__xludf.DUMMYFUNCTION("""COMPUTED_VALUE"""),FALSE)</f>
        <v>0</v>
      </c>
      <c r="L968" s="20" t="str">
        <f>IFERROR(__xludf.DUMMYFUNCTION("""COMPUTED_VALUE"""),"Backtracking;Breadth-First Search;")</f>
        <v>Backtracking;Breadth-First Search;</v>
      </c>
      <c r="M968" s="20" t="b">
        <f>IFERROR(__xludf.DUMMYFUNCTION("""COMPUTED_VALUE"""),TRUE)</f>
        <v>1</v>
      </c>
      <c r="N968" s="20" t="b">
        <f>IFERROR(__xludf.DUMMYFUNCTION("""COMPUTED_VALUE"""),FALSE)</f>
        <v>0</v>
      </c>
      <c r="O968" s="20">
        <f>IFERROR(__xludf.DUMMYFUNCTION("""COMPUTED_VALUE"""),57.2251038887621)</f>
        <v>57.22510389</v>
      </c>
      <c r="P968" s="20">
        <f>IFERROR(__xludf.DUMMYFUNCTION("""COMPUTED_VALUE"""),115397.0)</f>
        <v>115397</v>
      </c>
      <c r="Q968" s="20">
        <f>IFERROR(__xludf.DUMMYFUNCTION("""COMPUTED_VALUE"""),201656.0)</f>
        <v>201656</v>
      </c>
    </row>
    <row r="969">
      <c r="A969" s="20">
        <f>IFERROR(__xludf.DUMMYFUNCTION("""COMPUTED_VALUE"""),1008.0)</f>
        <v>1008</v>
      </c>
      <c r="B969" s="20" t="str">
        <f>IFERROR(__xludf.DUMMYFUNCTION("""COMPUTED_VALUE"""),"Binary Tree Cameras")</f>
        <v>Binary Tree Cameras</v>
      </c>
      <c r="C969" s="20" t="str">
        <f>IFERROR(__xludf.DUMMYFUNCTION("""COMPUTED_VALUE"""),"binary-tree-cameras")</f>
        <v>binary-tree-cameras</v>
      </c>
      <c r="D969" s="20" t="b">
        <f>IFERROR(__xludf.DUMMYFUNCTION("""COMPUTED_VALUE"""),FALSE)</f>
        <v>0</v>
      </c>
      <c r="E969" s="20" t="str">
        <f>IFERROR(__xludf.DUMMYFUNCTION("""COMPUTED_VALUE"""),"Hard")</f>
        <v>Hard</v>
      </c>
      <c r="F969" s="20">
        <f>IFERROR(__xludf.DUMMYFUNCTION("""COMPUTED_VALUE"""),4628.0)</f>
        <v>4628</v>
      </c>
      <c r="G969" s="20">
        <f>IFERROR(__xludf.DUMMYFUNCTION("""COMPUTED_VALUE"""),62.0)</f>
        <v>62</v>
      </c>
      <c r="H969" s="20" t="str">
        <f>IFERROR(__xludf.DUMMYFUNCTION("""COMPUTED_VALUE"""),"Algorithms")</f>
        <v>Algorithms</v>
      </c>
      <c r="I969" s="20">
        <f>IFERROR(__xludf.DUMMYFUNCTION("""COMPUTED_VALUE"""),0.468)</f>
        <v>0.468</v>
      </c>
      <c r="J969" s="20">
        <f>IFERROR(__xludf.DUMMYFUNCTION("""COMPUTED_VALUE"""),968.0)</f>
        <v>968</v>
      </c>
      <c r="K969" s="20" t="b">
        <f>IFERROR(__xludf.DUMMYFUNCTION("""COMPUTED_VALUE"""),FALSE)</f>
        <v>0</v>
      </c>
      <c r="L969" s="20" t="str">
        <f>IFERROR(__xludf.DUMMYFUNCTION("""COMPUTED_VALUE"""),"Dynamic Programming;Tree;Depth-First Search;Binary Tree;")</f>
        <v>Dynamic Programming;Tree;Depth-First Search;Binary Tree;</v>
      </c>
      <c r="M969" s="20" t="b">
        <f>IFERROR(__xludf.DUMMYFUNCTION("""COMPUTED_VALUE"""),TRUE)</f>
        <v>1</v>
      </c>
      <c r="N969" s="20" t="b">
        <f>IFERROR(__xludf.DUMMYFUNCTION("""COMPUTED_VALUE"""),FALSE)</f>
        <v>0</v>
      </c>
      <c r="O969" s="20">
        <f>IFERROR(__xludf.DUMMYFUNCTION("""COMPUTED_VALUE"""),46.765848909344)</f>
        <v>46.76584891</v>
      </c>
      <c r="P969" s="20">
        <f>IFERROR(__xludf.DUMMYFUNCTION("""COMPUTED_VALUE"""),116244.0)</f>
        <v>116244</v>
      </c>
      <c r="Q969" s="20">
        <f>IFERROR(__xludf.DUMMYFUNCTION("""COMPUTED_VALUE"""),248566.0)</f>
        <v>248566</v>
      </c>
    </row>
    <row r="970">
      <c r="A970" s="20">
        <f>IFERROR(__xludf.DUMMYFUNCTION("""COMPUTED_VALUE"""),1009.0)</f>
        <v>1009</v>
      </c>
      <c r="B970" s="20" t="str">
        <f>IFERROR(__xludf.DUMMYFUNCTION("""COMPUTED_VALUE"""),"Pancake Sorting")</f>
        <v>Pancake Sorting</v>
      </c>
      <c r="C970" s="20" t="str">
        <f>IFERROR(__xludf.DUMMYFUNCTION("""COMPUTED_VALUE"""),"pancake-sorting")</f>
        <v>pancake-sorting</v>
      </c>
      <c r="D970" s="20" t="b">
        <f>IFERROR(__xludf.DUMMYFUNCTION("""COMPUTED_VALUE"""),FALSE)</f>
        <v>0</v>
      </c>
      <c r="E970" s="20" t="str">
        <f>IFERROR(__xludf.DUMMYFUNCTION("""COMPUTED_VALUE"""),"Medium")</f>
        <v>Medium</v>
      </c>
      <c r="F970" s="20">
        <f>IFERROR(__xludf.DUMMYFUNCTION("""COMPUTED_VALUE"""),1260.0)</f>
        <v>1260</v>
      </c>
      <c r="G970" s="20">
        <f>IFERROR(__xludf.DUMMYFUNCTION("""COMPUTED_VALUE"""),1354.0)</f>
        <v>1354</v>
      </c>
      <c r="H970" s="20" t="str">
        <f>IFERROR(__xludf.DUMMYFUNCTION("""COMPUTED_VALUE"""),"Algorithms")</f>
        <v>Algorithms</v>
      </c>
      <c r="I970" s="20">
        <f>IFERROR(__xludf.DUMMYFUNCTION("""COMPUTED_VALUE"""),0.7)</f>
        <v>0.7</v>
      </c>
      <c r="J970" s="20">
        <f>IFERROR(__xludf.DUMMYFUNCTION("""COMPUTED_VALUE"""),969.0)</f>
        <v>969</v>
      </c>
      <c r="K970" s="20" t="b">
        <f>IFERROR(__xludf.DUMMYFUNCTION("""COMPUTED_VALUE"""),FALSE)</f>
        <v>0</v>
      </c>
      <c r="L970" s="20" t="str">
        <f>IFERROR(__xludf.DUMMYFUNCTION("""COMPUTED_VALUE"""),"Array;Two Pointers;Greedy;Sorting;")</f>
        <v>Array;Two Pointers;Greedy;Sorting;</v>
      </c>
      <c r="M970" s="20" t="b">
        <f>IFERROR(__xludf.DUMMYFUNCTION("""COMPUTED_VALUE"""),TRUE)</f>
        <v>1</v>
      </c>
      <c r="N970" s="20" t="b">
        <f>IFERROR(__xludf.DUMMYFUNCTION("""COMPUTED_VALUE"""),FALSE)</f>
        <v>0</v>
      </c>
      <c r="O970" s="20">
        <f>IFERROR(__xludf.DUMMYFUNCTION("""COMPUTED_VALUE"""),69.9850792879697)</f>
        <v>69.98507929</v>
      </c>
      <c r="P970" s="20">
        <f>IFERROR(__xludf.DUMMYFUNCTION("""COMPUTED_VALUE"""),80676.0)</f>
        <v>80676</v>
      </c>
      <c r="Q970" s="20">
        <f>IFERROR(__xludf.DUMMYFUNCTION("""COMPUTED_VALUE"""),115276.0)</f>
        <v>115276</v>
      </c>
    </row>
    <row r="971">
      <c r="A971" s="20">
        <f>IFERROR(__xludf.DUMMYFUNCTION("""COMPUTED_VALUE"""),1010.0)</f>
        <v>1010</v>
      </c>
      <c r="B971" s="20" t="str">
        <f>IFERROR(__xludf.DUMMYFUNCTION("""COMPUTED_VALUE"""),"Powerful Integers")</f>
        <v>Powerful Integers</v>
      </c>
      <c r="C971" s="20" t="str">
        <f>IFERROR(__xludf.DUMMYFUNCTION("""COMPUTED_VALUE"""),"powerful-integers")</f>
        <v>powerful-integers</v>
      </c>
      <c r="D971" s="20" t="b">
        <f>IFERROR(__xludf.DUMMYFUNCTION("""COMPUTED_VALUE"""),FALSE)</f>
        <v>0</v>
      </c>
      <c r="E971" s="20" t="str">
        <f>IFERROR(__xludf.DUMMYFUNCTION("""COMPUTED_VALUE"""),"Medium")</f>
        <v>Medium</v>
      </c>
      <c r="F971" s="20">
        <f>IFERROR(__xludf.DUMMYFUNCTION("""COMPUTED_VALUE"""),301.0)</f>
        <v>301</v>
      </c>
      <c r="G971" s="20">
        <f>IFERROR(__xludf.DUMMYFUNCTION("""COMPUTED_VALUE"""),71.0)</f>
        <v>71</v>
      </c>
      <c r="H971" s="20" t="str">
        <f>IFERROR(__xludf.DUMMYFUNCTION("""COMPUTED_VALUE"""),"Algorithms")</f>
        <v>Algorithms</v>
      </c>
      <c r="I971" s="20">
        <f>IFERROR(__xludf.DUMMYFUNCTION("""COMPUTED_VALUE"""),0.436)</f>
        <v>0.436</v>
      </c>
      <c r="J971" s="20">
        <f>IFERROR(__xludf.DUMMYFUNCTION("""COMPUTED_VALUE"""),970.0)</f>
        <v>970</v>
      </c>
      <c r="K971" s="20" t="b">
        <f>IFERROR(__xludf.DUMMYFUNCTION("""COMPUTED_VALUE"""),FALSE)</f>
        <v>0</v>
      </c>
      <c r="L971" s="20" t="str">
        <f>IFERROR(__xludf.DUMMYFUNCTION("""COMPUTED_VALUE"""),"Hash Table;Math;")</f>
        <v>Hash Table;Math;</v>
      </c>
      <c r="M971" s="20" t="b">
        <f>IFERROR(__xludf.DUMMYFUNCTION("""COMPUTED_VALUE"""),TRUE)</f>
        <v>1</v>
      </c>
      <c r="N971" s="20" t="b">
        <f>IFERROR(__xludf.DUMMYFUNCTION("""COMPUTED_VALUE"""),FALSE)</f>
        <v>0</v>
      </c>
      <c r="O971" s="20">
        <f>IFERROR(__xludf.DUMMYFUNCTION("""COMPUTED_VALUE"""),43.6111628401926)</f>
        <v>43.61116284</v>
      </c>
      <c r="P971" s="20">
        <f>IFERROR(__xludf.DUMMYFUNCTION("""COMPUTED_VALUE"""),49179.0)</f>
        <v>49179</v>
      </c>
      <c r="Q971" s="20">
        <f>IFERROR(__xludf.DUMMYFUNCTION("""COMPUTED_VALUE"""),112767.0)</f>
        <v>112767</v>
      </c>
    </row>
    <row r="972">
      <c r="A972" s="20">
        <f>IFERROR(__xludf.DUMMYFUNCTION("""COMPUTED_VALUE"""),1011.0)</f>
        <v>1011</v>
      </c>
      <c r="B972" s="20" t="str">
        <f>IFERROR(__xludf.DUMMYFUNCTION("""COMPUTED_VALUE"""),"Flip Binary Tree To Match Preorder Traversal")</f>
        <v>Flip Binary Tree To Match Preorder Traversal</v>
      </c>
      <c r="C972" s="20" t="str">
        <f>IFERROR(__xludf.DUMMYFUNCTION("""COMPUTED_VALUE"""),"flip-binary-tree-to-match-preorder-traversal")</f>
        <v>flip-binary-tree-to-match-preorder-traversal</v>
      </c>
      <c r="D972" s="20" t="b">
        <f>IFERROR(__xludf.DUMMYFUNCTION("""COMPUTED_VALUE"""),FALSE)</f>
        <v>0</v>
      </c>
      <c r="E972" s="20" t="str">
        <f>IFERROR(__xludf.DUMMYFUNCTION("""COMPUTED_VALUE"""),"Medium")</f>
        <v>Medium</v>
      </c>
      <c r="F972" s="20">
        <f>IFERROR(__xludf.DUMMYFUNCTION("""COMPUTED_VALUE"""),827.0)</f>
        <v>827</v>
      </c>
      <c r="G972" s="20">
        <f>IFERROR(__xludf.DUMMYFUNCTION("""COMPUTED_VALUE"""),256.0)</f>
        <v>256</v>
      </c>
      <c r="H972" s="20" t="str">
        <f>IFERROR(__xludf.DUMMYFUNCTION("""COMPUTED_VALUE"""),"Algorithms")</f>
        <v>Algorithms</v>
      </c>
      <c r="I972" s="20">
        <f>IFERROR(__xludf.DUMMYFUNCTION("""COMPUTED_VALUE"""),0.499)</f>
        <v>0.499</v>
      </c>
      <c r="J972" s="20">
        <f>IFERROR(__xludf.DUMMYFUNCTION("""COMPUTED_VALUE"""),971.0)</f>
        <v>971</v>
      </c>
      <c r="K972" s="20" t="b">
        <f>IFERROR(__xludf.DUMMYFUNCTION("""COMPUTED_VALUE"""),FALSE)</f>
        <v>0</v>
      </c>
      <c r="L972" s="20" t="str">
        <f>IFERROR(__xludf.DUMMYFUNCTION("""COMPUTED_VALUE"""),"Tree;Depth-First Search;Binary Tree;")</f>
        <v>Tree;Depth-First Search;Binary Tree;</v>
      </c>
      <c r="M972" s="20" t="b">
        <f>IFERROR(__xludf.DUMMYFUNCTION("""COMPUTED_VALUE"""),TRUE)</f>
        <v>1</v>
      </c>
      <c r="N972" s="20" t="b">
        <f>IFERROR(__xludf.DUMMYFUNCTION("""COMPUTED_VALUE"""),FALSE)</f>
        <v>0</v>
      </c>
      <c r="O972" s="20">
        <f>IFERROR(__xludf.DUMMYFUNCTION("""COMPUTED_VALUE"""),49.9469692952219)</f>
        <v>49.9469693</v>
      </c>
      <c r="P972" s="20">
        <f>IFERROR(__xludf.DUMMYFUNCTION("""COMPUTED_VALUE"""),37674.0)</f>
        <v>37674</v>
      </c>
      <c r="Q972" s="20">
        <f>IFERROR(__xludf.DUMMYFUNCTION("""COMPUTED_VALUE"""),75428.0)</f>
        <v>75428</v>
      </c>
    </row>
    <row r="973">
      <c r="A973" s="20">
        <f>IFERROR(__xludf.DUMMYFUNCTION("""COMPUTED_VALUE"""),1012.0)</f>
        <v>1012</v>
      </c>
      <c r="B973" s="20" t="str">
        <f>IFERROR(__xludf.DUMMYFUNCTION("""COMPUTED_VALUE"""),"Equal Rational Numbers")</f>
        <v>Equal Rational Numbers</v>
      </c>
      <c r="C973" s="20" t="str">
        <f>IFERROR(__xludf.DUMMYFUNCTION("""COMPUTED_VALUE"""),"equal-rational-numbers")</f>
        <v>equal-rational-numbers</v>
      </c>
      <c r="D973" s="20" t="b">
        <f>IFERROR(__xludf.DUMMYFUNCTION("""COMPUTED_VALUE"""),FALSE)</f>
        <v>0</v>
      </c>
      <c r="E973" s="20" t="str">
        <f>IFERROR(__xludf.DUMMYFUNCTION("""COMPUTED_VALUE"""),"Hard")</f>
        <v>Hard</v>
      </c>
      <c r="F973" s="20">
        <f>IFERROR(__xludf.DUMMYFUNCTION("""COMPUTED_VALUE"""),78.0)</f>
        <v>78</v>
      </c>
      <c r="G973" s="20">
        <f>IFERROR(__xludf.DUMMYFUNCTION("""COMPUTED_VALUE"""),199.0)</f>
        <v>199</v>
      </c>
      <c r="H973" s="20" t="str">
        <f>IFERROR(__xludf.DUMMYFUNCTION("""COMPUTED_VALUE"""),"Algorithms")</f>
        <v>Algorithms</v>
      </c>
      <c r="I973" s="20">
        <f>IFERROR(__xludf.DUMMYFUNCTION("""COMPUTED_VALUE"""),0.432)</f>
        <v>0.432</v>
      </c>
      <c r="J973" s="20">
        <f>IFERROR(__xludf.DUMMYFUNCTION("""COMPUTED_VALUE"""),972.0)</f>
        <v>972</v>
      </c>
      <c r="K973" s="20" t="b">
        <f>IFERROR(__xludf.DUMMYFUNCTION("""COMPUTED_VALUE"""),FALSE)</f>
        <v>0</v>
      </c>
      <c r="L973" s="20" t="str">
        <f>IFERROR(__xludf.DUMMYFUNCTION("""COMPUTED_VALUE"""),"Math;String;")</f>
        <v>Math;String;</v>
      </c>
      <c r="M973" s="20" t="b">
        <f>IFERROR(__xludf.DUMMYFUNCTION("""COMPUTED_VALUE"""),TRUE)</f>
        <v>1</v>
      </c>
      <c r="N973" s="20" t="b">
        <f>IFERROR(__xludf.DUMMYFUNCTION("""COMPUTED_VALUE"""),FALSE)</f>
        <v>0</v>
      </c>
      <c r="O973" s="20">
        <f>IFERROR(__xludf.DUMMYFUNCTION("""COMPUTED_VALUE"""),43.2238935493202)</f>
        <v>43.22389355</v>
      </c>
      <c r="P973" s="20">
        <f>IFERROR(__xludf.DUMMYFUNCTION("""COMPUTED_VALUE"""),5977.0)</f>
        <v>5977</v>
      </c>
      <c r="Q973" s="20">
        <f>IFERROR(__xludf.DUMMYFUNCTION("""COMPUTED_VALUE"""),13828.0)</f>
        <v>13828</v>
      </c>
    </row>
    <row r="974">
      <c r="A974" s="20">
        <f>IFERROR(__xludf.DUMMYFUNCTION("""COMPUTED_VALUE"""),1014.0)</f>
        <v>1014</v>
      </c>
      <c r="B974" s="20" t="str">
        <f>IFERROR(__xludf.DUMMYFUNCTION("""COMPUTED_VALUE"""),"K Closest Points to Origin")</f>
        <v>K Closest Points to Origin</v>
      </c>
      <c r="C974" s="20" t="str">
        <f>IFERROR(__xludf.DUMMYFUNCTION("""COMPUTED_VALUE"""),"k-closest-points-to-origin")</f>
        <v>k-closest-points-to-origin</v>
      </c>
      <c r="D974" s="20" t="b">
        <f>IFERROR(__xludf.DUMMYFUNCTION("""COMPUTED_VALUE"""),FALSE)</f>
        <v>0</v>
      </c>
      <c r="E974" s="20" t="str">
        <f>IFERROR(__xludf.DUMMYFUNCTION("""COMPUTED_VALUE"""),"Medium")</f>
        <v>Medium</v>
      </c>
      <c r="F974" s="20">
        <f>IFERROR(__xludf.DUMMYFUNCTION("""COMPUTED_VALUE"""),6965.0)</f>
        <v>6965</v>
      </c>
      <c r="G974" s="20">
        <f>IFERROR(__xludf.DUMMYFUNCTION("""COMPUTED_VALUE"""),255.0)</f>
        <v>255</v>
      </c>
      <c r="H974" s="20" t="str">
        <f>IFERROR(__xludf.DUMMYFUNCTION("""COMPUTED_VALUE"""),"Algorithms")</f>
        <v>Algorithms</v>
      </c>
      <c r="I974" s="20">
        <f>IFERROR(__xludf.DUMMYFUNCTION("""COMPUTED_VALUE"""),0.658)</f>
        <v>0.658</v>
      </c>
      <c r="J974" s="20">
        <f>IFERROR(__xludf.DUMMYFUNCTION("""COMPUTED_VALUE"""),973.0)</f>
        <v>973</v>
      </c>
      <c r="K974" s="20" t="b">
        <f>IFERROR(__xludf.DUMMYFUNCTION("""COMPUTED_VALUE"""),FALSE)</f>
        <v>0</v>
      </c>
      <c r="L974" s="20" t="str">
        <f>IFERROR(__xludf.DUMMYFUNCTION("""COMPUTED_VALUE"""),"Array;Math;Divide and Conquer;Geometry;Sorting;Heap (Priority Queue);Quickselect;")</f>
        <v>Array;Math;Divide and Conquer;Geometry;Sorting;Heap (Priority Queue);Quickselect;</v>
      </c>
      <c r="M974" s="20" t="b">
        <f>IFERROR(__xludf.DUMMYFUNCTION("""COMPUTED_VALUE"""),TRUE)</f>
        <v>1</v>
      </c>
      <c r="N974" s="20" t="b">
        <f>IFERROR(__xludf.DUMMYFUNCTION("""COMPUTED_VALUE"""),FALSE)</f>
        <v>0</v>
      </c>
      <c r="O974" s="20">
        <f>IFERROR(__xludf.DUMMYFUNCTION("""COMPUTED_VALUE"""),65.8213549441956)</f>
        <v>65.82135494</v>
      </c>
      <c r="P974" s="20">
        <f>IFERROR(__xludf.DUMMYFUNCTION("""COMPUTED_VALUE"""),925905.0)</f>
        <v>925905</v>
      </c>
      <c r="Q974" s="20">
        <f>IFERROR(__xludf.DUMMYFUNCTION("""COMPUTED_VALUE"""),1406695.0)</f>
        <v>1406695</v>
      </c>
    </row>
    <row r="975">
      <c r="A975" s="20">
        <f>IFERROR(__xludf.DUMMYFUNCTION("""COMPUTED_VALUE"""),1016.0)</f>
        <v>1016</v>
      </c>
      <c r="B975" s="20" t="str">
        <f>IFERROR(__xludf.DUMMYFUNCTION("""COMPUTED_VALUE"""),"Subarray Sums Divisible by K")</f>
        <v>Subarray Sums Divisible by K</v>
      </c>
      <c r="C975" s="20" t="str">
        <f>IFERROR(__xludf.DUMMYFUNCTION("""COMPUTED_VALUE"""),"subarray-sums-divisible-by-k")</f>
        <v>subarray-sums-divisible-by-k</v>
      </c>
      <c r="D975" s="20" t="b">
        <f>IFERROR(__xludf.DUMMYFUNCTION("""COMPUTED_VALUE"""),FALSE)</f>
        <v>0</v>
      </c>
      <c r="E975" s="20" t="str">
        <f>IFERROR(__xludf.DUMMYFUNCTION("""COMPUTED_VALUE"""),"Medium")</f>
        <v>Medium</v>
      </c>
      <c r="F975" s="20">
        <f>IFERROR(__xludf.DUMMYFUNCTION("""COMPUTED_VALUE"""),3891.0)</f>
        <v>3891</v>
      </c>
      <c r="G975" s="20">
        <f>IFERROR(__xludf.DUMMYFUNCTION("""COMPUTED_VALUE"""),156.0)</f>
        <v>156</v>
      </c>
      <c r="H975" s="20" t="str">
        <f>IFERROR(__xludf.DUMMYFUNCTION("""COMPUTED_VALUE"""),"Algorithms")</f>
        <v>Algorithms</v>
      </c>
      <c r="I975" s="20">
        <f>IFERROR(__xludf.DUMMYFUNCTION("""COMPUTED_VALUE"""),0.536)</f>
        <v>0.536</v>
      </c>
      <c r="J975" s="20">
        <f>IFERROR(__xludf.DUMMYFUNCTION("""COMPUTED_VALUE"""),974.0)</f>
        <v>974</v>
      </c>
      <c r="K975" s="20" t="b">
        <f>IFERROR(__xludf.DUMMYFUNCTION("""COMPUTED_VALUE"""),FALSE)</f>
        <v>0</v>
      </c>
      <c r="L975" s="20" t="str">
        <f>IFERROR(__xludf.DUMMYFUNCTION("""COMPUTED_VALUE"""),"Array;Hash Table;Prefix Sum;")</f>
        <v>Array;Hash Table;Prefix Sum;</v>
      </c>
      <c r="M975" s="20" t="b">
        <f>IFERROR(__xludf.DUMMYFUNCTION("""COMPUTED_VALUE"""),TRUE)</f>
        <v>1</v>
      </c>
      <c r="N975" s="20" t="b">
        <f>IFERROR(__xludf.DUMMYFUNCTION("""COMPUTED_VALUE"""),FALSE)</f>
        <v>0</v>
      </c>
      <c r="O975" s="20">
        <f>IFERROR(__xludf.DUMMYFUNCTION("""COMPUTED_VALUE"""),53.565582872042)</f>
        <v>53.56558287</v>
      </c>
      <c r="P975" s="20">
        <f>IFERROR(__xludf.DUMMYFUNCTION("""COMPUTED_VALUE"""),130249.0)</f>
        <v>130249</v>
      </c>
      <c r="Q975" s="20">
        <f>IFERROR(__xludf.DUMMYFUNCTION("""COMPUTED_VALUE"""),243154.0)</f>
        <v>243154</v>
      </c>
    </row>
    <row r="976">
      <c r="A976" s="20">
        <f>IFERROR(__xludf.DUMMYFUNCTION("""COMPUTED_VALUE"""),1017.0)</f>
        <v>1017</v>
      </c>
      <c r="B976" s="20" t="str">
        <f>IFERROR(__xludf.DUMMYFUNCTION("""COMPUTED_VALUE"""),"Odd Even Jump")</f>
        <v>Odd Even Jump</v>
      </c>
      <c r="C976" s="20" t="str">
        <f>IFERROR(__xludf.DUMMYFUNCTION("""COMPUTED_VALUE"""),"odd-even-jump")</f>
        <v>odd-even-jump</v>
      </c>
      <c r="D976" s="20" t="b">
        <f>IFERROR(__xludf.DUMMYFUNCTION("""COMPUTED_VALUE"""),FALSE)</f>
        <v>0</v>
      </c>
      <c r="E976" s="20" t="str">
        <f>IFERROR(__xludf.DUMMYFUNCTION("""COMPUTED_VALUE"""),"Hard")</f>
        <v>Hard</v>
      </c>
      <c r="F976" s="20">
        <f>IFERROR(__xludf.DUMMYFUNCTION("""COMPUTED_VALUE"""),1678.0)</f>
        <v>1678</v>
      </c>
      <c r="G976" s="20">
        <f>IFERROR(__xludf.DUMMYFUNCTION("""COMPUTED_VALUE"""),435.0)</f>
        <v>435</v>
      </c>
      <c r="H976" s="20" t="str">
        <f>IFERROR(__xludf.DUMMYFUNCTION("""COMPUTED_VALUE"""),"Algorithms")</f>
        <v>Algorithms</v>
      </c>
      <c r="I976" s="20">
        <f>IFERROR(__xludf.DUMMYFUNCTION("""COMPUTED_VALUE"""),0.389)</f>
        <v>0.389</v>
      </c>
      <c r="J976" s="20">
        <f>IFERROR(__xludf.DUMMYFUNCTION("""COMPUTED_VALUE"""),975.0)</f>
        <v>975</v>
      </c>
      <c r="K976" s="20" t="b">
        <f>IFERROR(__xludf.DUMMYFUNCTION("""COMPUTED_VALUE"""),FALSE)</f>
        <v>0</v>
      </c>
      <c r="L976" s="20" t="str">
        <f>IFERROR(__xludf.DUMMYFUNCTION("""COMPUTED_VALUE"""),"Array;Dynamic Programming;Stack;Monotonic Stack;Ordered Set;")</f>
        <v>Array;Dynamic Programming;Stack;Monotonic Stack;Ordered Set;</v>
      </c>
      <c r="M976" s="20" t="b">
        <f>IFERROR(__xludf.DUMMYFUNCTION("""COMPUTED_VALUE"""),FALSE)</f>
        <v>0</v>
      </c>
      <c r="N976" s="20" t="b">
        <f>IFERROR(__xludf.DUMMYFUNCTION("""COMPUTED_VALUE"""),FALSE)</f>
        <v>0</v>
      </c>
      <c r="O976" s="20">
        <f>IFERROR(__xludf.DUMMYFUNCTION("""COMPUTED_VALUE"""),38.8673840675079)</f>
        <v>38.86738407</v>
      </c>
      <c r="P976" s="20">
        <f>IFERROR(__xludf.DUMMYFUNCTION("""COMPUTED_VALUE"""),70287.0)</f>
        <v>70287</v>
      </c>
      <c r="Q976" s="20">
        <f>IFERROR(__xludf.DUMMYFUNCTION("""COMPUTED_VALUE"""),180838.0)</f>
        <v>180838</v>
      </c>
    </row>
    <row r="977">
      <c r="A977" s="20">
        <f>IFERROR(__xludf.DUMMYFUNCTION("""COMPUTED_VALUE"""),1018.0)</f>
        <v>1018</v>
      </c>
      <c r="B977" s="20" t="str">
        <f>IFERROR(__xludf.DUMMYFUNCTION("""COMPUTED_VALUE"""),"Largest Perimeter Triangle")</f>
        <v>Largest Perimeter Triangle</v>
      </c>
      <c r="C977" s="20" t="str">
        <f>IFERROR(__xludf.DUMMYFUNCTION("""COMPUTED_VALUE"""),"largest-perimeter-triangle")</f>
        <v>largest-perimeter-triangle</v>
      </c>
      <c r="D977" s="20" t="b">
        <f>IFERROR(__xludf.DUMMYFUNCTION("""COMPUTED_VALUE"""),FALSE)</f>
        <v>0</v>
      </c>
      <c r="E977" s="20" t="str">
        <f>IFERROR(__xludf.DUMMYFUNCTION("""COMPUTED_VALUE"""),"Easy")</f>
        <v>Easy</v>
      </c>
      <c r="F977" s="20">
        <f>IFERROR(__xludf.DUMMYFUNCTION("""COMPUTED_VALUE"""),2524.0)</f>
        <v>2524</v>
      </c>
      <c r="G977" s="20">
        <f>IFERROR(__xludf.DUMMYFUNCTION("""COMPUTED_VALUE"""),350.0)</f>
        <v>350</v>
      </c>
      <c r="H977" s="20" t="str">
        <f>IFERROR(__xludf.DUMMYFUNCTION("""COMPUTED_VALUE"""),"Algorithms")</f>
        <v>Algorithms</v>
      </c>
      <c r="I977" s="20">
        <f>IFERROR(__xludf.DUMMYFUNCTION("""COMPUTED_VALUE"""),0.544)</f>
        <v>0.544</v>
      </c>
      <c r="J977" s="20">
        <f>IFERROR(__xludf.DUMMYFUNCTION("""COMPUTED_VALUE"""),976.0)</f>
        <v>976</v>
      </c>
      <c r="K977" s="20" t="b">
        <f>IFERROR(__xludf.DUMMYFUNCTION("""COMPUTED_VALUE"""),FALSE)</f>
        <v>0</v>
      </c>
      <c r="L977" s="20" t="str">
        <f>IFERROR(__xludf.DUMMYFUNCTION("""COMPUTED_VALUE"""),"Array;Math;Greedy;Sorting;")</f>
        <v>Array;Math;Greedy;Sorting;</v>
      </c>
      <c r="M977" s="20" t="b">
        <f>IFERROR(__xludf.DUMMYFUNCTION("""COMPUTED_VALUE"""),TRUE)</f>
        <v>1</v>
      </c>
      <c r="N977" s="20" t="b">
        <f>IFERROR(__xludf.DUMMYFUNCTION("""COMPUTED_VALUE"""),FALSE)</f>
        <v>0</v>
      </c>
      <c r="O977" s="20">
        <f>IFERROR(__xludf.DUMMYFUNCTION("""COMPUTED_VALUE"""),54.449725863002)</f>
        <v>54.44972586</v>
      </c>
      <c r="P977" s="20">
        <f>IFERROR(__xludf.DUMMYFUNCTION("""COMPUTED_VALUE"""),185115.0)</f>
        <v>185115</v>
      </c>
      <c r="Q977" s="20">
        <f>IFERROR(__xludf.DUMMYFUNCTION("""COMPUTED_VALUE"""),339975.0)</f>
        <v>339975</v>
      </c>
    </row>
    <row r="978">
      <c r="A978" s="20">
        <f>IFERROR(__xludf.DUMMYFUNCTION("""COMPUTED_VALUE"""),1019.0)</f>
        <v>1019</v>
      </c>
      <c r="B978" s="20" t="str">
        <f>IFERROR(__xludf.DUMMYFUNCTION("""COMPUTED_VALUE"""),"Squares of a Sorted Array")</f>
        <v>Squares of a Sorted Array</v>
      </c>
      <c r="C978" s="20" t="str">
        <f>IFERROR(__xludf.DUMMYFUNCTION("""COMPUTED_VALUE"""),"squares-of-a-sorted-array")</f>
        <v>squares-of-a-sorted-array</v>
      </c>
      <c r="D978" s="20" t="b">
        <f>IFERROR(__xludf.DUMMYFUNCTION("""COMPUTED_VALUE"""),FALSE)</f>
        <v>0</v>
      </c>
      <c r="E978" s="20" t="str">
        <f>IFERROR(__xludf.DUMMYFUNCTION("""COMPUTED_VALUE"""),"Easy")</f>
        <v>Easy</v>
      </c>
      <c r="F978" s="20">
        <f>IFERROR(__xludf.DUMMYFUNCTION("""COMPUTED_VALUE"""),7093.0)</f>
        <v>7093</v>
      </c>
      <c r="G978" s="20">
        <f>IFERROR(__xludf.DUMMYFUNCTION("""COMPUTED_VALUE"""),177.0)</f>
        <v>177</v>
      </c>
      <c r="H978" s="20" t="str">
        <f>IFERROR(__xludf.DUMMYFUNCTION("""COMPUTED_VALUE"""),"Algorithms")</f>
        <v>Algorithms</v>
      </c>
      <c r="I978" s="20">
        <f>IFERROR(__xludf.DUMMYFUNCTION("""COMPUTED_VALUE"""),0.719)</f>
        <v>0.719</v>
      </c>
      <c r="J978" s="20">
        <f>IFERROR(__xludf.DUMMYFUNCTION("""COMPUTED_VALUE"""),977.0)</f>
        <v>977</v>
      </c>
      <c r="K978" s="20" t="b">
        <f>IFERROR(__xludf.DUMMYFUNCTION("""COMPUTED_VALUE"""),FALSE)</f>
        <v>0</v>
      </c>
      <c r="L978" s="20" t="str">
        <f>IFERROR(__xludf.DUMMYFUNCTION("""COMPUTED_VALUE"""),"Array;Two Pointers;Sorting;")</f>
        <v>Array;Two Pointers;Sorting;</v>
      </c>
      <c r="M978" s="20" t="b">
        <f>IFERROR(__xludf.DUMMYFUNCTION("""COMPUTED_VALUE"""),TRUE)</f>
        <v>1</v>
      </c>
      <c r="N978" s="20" t="b">
        <f>IFERROR(__xludf.DUMMYFUNCTION("""COMPUTED_VALUE"""),TRUE)</f>
        <v>1</v>
      </c>
      <c r="O978" s="20">
        <f>IFERROR(__xludf.DUMMYFUNCTION("""COMPUTED_VALUE"""),71.9074086131835)</f>
        <v>71.90740861</v>
      </c>
      <c r="P978" s="20">
        <f>IFERROR(__xludf.DUMMYFUNCTION("""COMPUTED_VALUE"""),1281042.0)</f>
        <v>1281042</v>
      </c>
      <c r="Q978" s="20">
        <f>IFERROR(__xludf.DUMMYFUNCTION("""COMPUTED_VALUE"""),1781516.0)</f>
        <v>1781516</v>
      </c>
    </row>
    <row r="979">
      <c r="A979" s="20">
        <f>IFERROR(__xludf.DUMMYFUNCTION("""COMPUTED_VALUE"""),1020.0)</f>
        <v>1020</v>
      </c>
      <c r="B979" s="20" t="str">
        <f>IFERROR(__xludf.DUMMYFUNCTION("""COMPUTED_VALUE"""),"Longest Turbulent Subarray")</f>
        <v>Longest Turbulent Subarray</v>
      </c>
      <c r="C979" s="20" t="str">
        <f>IFERROR(__xludf.DUMMYFUNCTION("""COMPUTED_VALUE"""),"longest-turbulent-subarray")</f>
        <v>longest-turbulent-subarray</v>
      </c>
      <c r="D979" s="20" t="b">
        <f>IFERROR(__xludf.DUMMYFUNCTION("""COMPUTED_VALUE"""),FALSE)</f>
        <v>0</v>
      </c>
      <c r="E979" s="20" t="str">
        <f>IFERROR(__xludf.DUMMYFUNCTION("""COMPUTED_VALUE"""),"Medium")</f>
        <v>Medium</v>
      </c>
      <c r="F979" s="20">
        <f>IFERROR(__xludf.DUMMYFUNCTION("""COMPUTED_VALUE"""),1551.0)</f>
        <v>1551</v>
      </c>
      <c r="G979" s="20">
        <f>IFERROR(__xludf.DUMMYFUNCTION("""COMPUTED_VALUE"""),187.0)</f>
        <v>187</v>
      </c>
      <c r="H979" s="20" t="str">
        <f>IFERROR(__xludf.DUMMYFUNCTION("""COMPUTED_VALUE"""),"Algorithms")</f>
        <v>Algorithms</v>
      </c>
      <c r="I979" s="20">
        <f>IFERROR(__xludf.DUMMYFUNCTION("""COMPUTED_VALUE"""),0.473)</f>
        <v>0.473</v>
      </c>
      <c r="J979" s="20">
        <f>IFERROR(__xludf.DUMMYFUNCTION("""COMPUTED_VALUE"""),978.0)</f>
        <v>978</v>
      </c>
      <c r="K979" s="20" t="b">
        <f>IFERROR(__xludf.DUMMYFUNCTION("""COMPUTED_VALUE"""),FALSE)</f>
        <v>0</v>
      </c>
      <c r="L979" s="20" t="str">
        <f>IFERROR(__xludf.DUMMYFUNCTION("""COMPUTED_VALUE"""),"Array;Dynamic Programming;Sliding Window;")</f>
        <v>Array;Dynamic Programming;Sliding Window;</v>
      </c>
      <c r="M979" s="20" t="b">
        <f>IFERROR(__xludf.DUMMYFUNCTION("""COMPUTED_VALUE"""),TRUE)</f>
        <v>1</v>
      </c>
      <c r="N979" s="20" t="b">
        <f>IFERROR(__xludf.DUMMYFUNCTION("""COMPUTED_VALUE"""),FALSE)</f>
        <v>0</v>
      </c>
      <c r="O979" s="20">
        <f>IFERROR(__xludf.DUMMYFUNCTION("""COMPUTED_VALUE"""),47.3221119331699)</f>
        <v>47.32211193</v>
      </c>
      <c r="P979" s="20">
        <f>IFERROR(__xludf.DUMMYFUNCTION("""COMPUTED_VALUE"""),79760.0)</f>
        <v>79760</v>
      </c>
      <c r="Q979" s="20">
        <f>IFERROR(__xludf.DUMMYFUNCTION("""COMPUTED_VALUE"""),168547.0)</f>
        <v>168547</v>
      </c>
    </row>
    <row r="980">
      <c r="A980" s="20">
        <f>IFERROR(__xludf.DUMMYFUNCTION("""COMPUTED_VALUE"""),1021.0)</f>
        <v>1021</v>
      </c>
      <c r="B980" s="20" t="str">
        <f>IFERROR(__xludf.DUMMYFUNCTION("""COMPUTED_VALUE"""),"Distribute Coins in Binary Tree")</f>
        <v>Distribute Coins in Binary Tree</v>
      </c>
      <c r="C980" s="20" t="str">
        <f>IFERROR(__xludf.DUMMYFUNCTION("""COMPUTED_VALUE"""),"distribute-coins-in-binary-tree")</f>
        <v>distribute-coins-in-binary-tree</v>
      </c>
      <c r="D980" s="20" t="b">
        <f>IFERROR(__xludf.DUMMYFUNCTION("""COMPUTED_VALUE"""),FALSE)</f>
        <v>0</v>
      </c>
      <c r="E980" s="20" t="str">
        <f>IFERROR(__xludf.DUMMYFUNCTION("""COMPUTED_VALUE"""),"Medium")</f>
        <v>Medium</v>
      </c>
      <c r="F980" s="20">
        <f>IFERROR(__xludf.DUMMYFUNCTION("""COMPUTED_VALUE"""),4369.0)</f>
        <v>4369</v>
      </c>
      <c r="G980" s="20">
        <f>IFERROR(__xludf.DUMMYFUNCTION("""COMPUTED_VALUE"""),144.0)</f>
        <v>144</v>
      </c>
      <c r="H980" s="20" t="str">
        <f>IFERROR(__xludf.DUMMYFUNCTION("""COMPUTED_VALUE"""),"Algorithms")</f>
        <v>Algorithms</v>
      </c>
      <c r="I980" s="20">
        <f>IFERROR(__xludf.DUMMYFUNCTION("""COMPUTED_VALUE"""),0.721)</f>
        <v>0.721</v>
      </c>
      <c r="J980" s="20">
        <f>IFERROR(__xludf.DUMMYFUNCTION("""COMPUTED_VALUE"""),979.0)</f>
        <v>979</v>
      </c>
      <c r="K980" s="20" t="b">
        <f>IFERROR(__xludf.DUMMYFUNCTION("""COMPUTED_VALUE"""),FALSE)</f>
        <v>0</v>
      </c>
      <c r="L980" s="20" t="str">
        <f>IFERROR(__xludf.DUMMYFUNCTION("""COMPUTED_VALUE"""),"Tree;Depth-First Search;Binary Tree;")</f>
        <v>Tree;Depth-First Search;Binary Tree;</v>
      </c>
      <c r="M980" s="20" t="b">
        <f>IFERROR(__xludf.DUMMYFUNCTION("""COMPUTED_VALUE"""),TRUE)</f>
        <v>1</v>
      </c>
      <c r="N980" s="20" t="b">
        <f>IFERROR(__xludf.DUMMYFUNCTION("""COMPUTED_VALUE"""),FALSE)</f>
        <v>0</v>
      </c>
      <c r="O980" s="20">
        <f>IFERROR(__xludf.DUMMYFUNCTION("""COMPUTED_VALUE"""),72.1215281347766)</f>
        <v>72.12152813</v>
      </c>
      <c r="P980" s="20">
        <f>IFERROR(__xludf.DUMMYFUNCTION("""COMPUTED_VALUE"""),98204.0)</f>
        <v>98204</v>
      </c>
      <c r="Q980" s="20">
        <f>IFERROR(__xludf.DUMMYFUNCTION("""COMPUTED_VALUE"""),136165.0)</f>
        <v>136165</v>
      </c>
    </row>
    <row r="981">
      <c r="A981" s="20">
        <f>IFERROR(__xludf.DUMMYFUNCTION("""COMPUTED_VALUE"""),1022.0)</f>
        <v>1022</v>
      </c>
      <c r="B981" s="20" t="str">
        <f>IFERROR(__xludf.DUMMYFUNCTION("""COMPUTED_VALUE"""),"Unique Paths III")</f>
        <v>Unique Paths III</v>
      </c>
      <c r="C981" s="20" t="str">
        <f>IFERROR(__xludf.DUMMYFUNCTION("""COMPUTED_VALUE"""),"unique-paths-iii")</f>
        <v>unique-paths-iii</v>
      </c>
      <c r="D981" s="20" t="b">
        <f>IFERROR(__xludf.DUMMYFUNCTION("""COMPUTED_VALUE"""),FALSE)</f>
        <v>0</v>
      </c>
      <c r="E981" s="20" t="str">
        <f>IFERROR(__xludf.DUMMYFUNCTION("""COMPUTED_VALUE"""),"Hard")</f>
        <v>Hard</v>
      </c>
      <c r="F981" s="20">
        <f>IFERROR(__xludf.DUMMYFUNCTION("""COMPUTED_VALUE"""),4355.0)</f>
        <v>4355</v>
      </c>
      <c r="G981" s="20">
        <f>IFERROR(__xludf.DUMMYFUNCTION("""COMPUTED_VALUE"""),164.0)</f>
        <v>164</v>
      </c>
      <c r="H981" s="20" t="str">
        <f>IFERROR(__xludf.DUMMYFUNCTION("""COMPUTED_VALUE"""),"Algorithms")</f>
        <v>Algorithms</v>
      </c>
      <c r="I981" s="20">
        <f>IFERROR(__xludf.DUMMYFUNCTION("""COMPUTED_VALUE"""),0.819)</f>
        <v>0.819</v>
      </c>
      <c r="J981" s="20">
        <f>IFERROR(__xludf.DUMMYFUNCTION("""COMPUTED_VALUE"""),980.0)</f>
        <v>980</v>
      </c>
      <c r="K981" s="20" t="b">
        <f>IFERROR(__xludf.DUMMYFUNCTION("""COMPUTED_VALUE"""),FALSE)</f>
        <v>0</v>
      </c>
      <c r="L981" s="20" t="str">
        <f>IFERROR(__xludf.DUMMYFUNCTION("""COMPUTED_VALUE"""),"Array;Backtracking;Bit Manipulation;Matrix;")</f>
        <v>Array;Backtracking;Bit Manipulation;Matrix;</v>
      </c>
      <c r="M981" s="20" t="b">
        <f>IFERROR(__xludf.DUMMYFUNCTION("""COMPUTED_VALUE"""),TRUE)</f>
        <v>1</v>
      </c>
      <c r="N981" s="20" t="b">
        <f>IFERROR(__xludf.DUMMYFUNCTION("""COMPUTED_VALUE"""),FALSE)</f>
        <v>0</v>
      </c>
      <c r="O981" s="20">
        <f>IFERROR(__xludf.DUMMYFUNCTION("""COMPUTED_VALUE"""),81.8933401128396)</f>
        <v>81.89334011</v>
      </c>
      <c r="P981" s="20">
        <f>IFERROR(__xludf.DUMMYFUNCTION("""COMPUTED_VALUE"""),167488.0)</f>
        <v>167488</v>
      </c>
      <c r="Q981" s="20">
        <f>IFERROR(__xludf.DUMMYFUNCTION("""COMPUTED_VALUE"""),204521.0)</f>
        <v>204521</v>
      </c>
    </row>
    <row r="982">
      <c r="A982" s="20">
        <f>IFERROR(__xludf.DUMMYFUNCTION("""COMPUTED_VALUE"""),1023.0)</f>
        <v>1023</v>
      </c>
      <c r="B982" s="20" t="str">
        <f>IFERROR(__xludf.DUMMYFUNCTION("""COMPUTED_VALUE"""),"Time Based Key-Value Store")</f>
        <v>Time Based Key-Value Store</v>
      </c>
      <c r="C982" s="20" t="str">
        <f>IFERROR(__xludf.DUMMYFUNCTION("""COMPUTED_VALUE"""),"time-based-key-value-store")</f>
        <v>time-based-key-value-store</v>
      </c>
      <c r="D982" s="20" t="b">
        <f>IFERROR(__xludf.DUMMYFUNCTION("""COMPUTED_VALUE"""),FALSE)</f>
        <v>0</v>
      </c>
      <c r="E982" s="20" t="str">
        <f>IFERROR(__xludf.DUMMYFUNCTION("""COMPUTED_VALUE"""),"Medium")</f>
        <v>Medium</v>
      </c>
      <c r="F982" s="20">
        <f>IFERROR(__xludf.DUMMYFUNCTION("""COMPUTED_VALUE"""),3738.0)</f>
        <v>3738</v>
      </c>
      <c r="G982" s="20">
        <f>IFERROR(__xludf.DUMMYFUNCTION("""COMPUTED_VALUE"""),352.0)</f>
        <v>352</v>
      </c>
      <c r="H982" s="20" t="str">
        <f>IFERROR(__xludf.DUMMYFUNCTION("""COMPUTED_VALUE"""),"Algorithms")</f>
        <v>Algorithms</v>
      </c>
      <c r="I982" s="20">
        <f>IFERROR(__xludf.DUMMYFUNCTION("""COMPUTED_VALUE"""),0.53)</f>
        <v>0.53</v>
      </c>
      <c r="J982" s="20">
        <f>IFERROR(__xludf.DUMMYFUNCTION("""COMPUTED_VALUE"""),981.0)</f>
        <v>981</v>
      </c>
      <c r="K982" s="20" t="b">
        <f>IFERROR(__xludf.DUMMYFUNCTION("""COMPUTED_VALUE"""),FALSE)</f>
        <v>0</v>
      </c>
      <c r="L982" s="20" t="str">
        <f>IFERROR(__xludf.DUMMYFUNCTION("""COMPUTED_VALUE"""),"Hash Table;String;Binary Search;Design;")</f>
        <v>Hash Table;String;Binary Search;Design;</v>
      </c>
      <c r="M982" s="20" t="b">
        <f>IFERROR(__xludf.DUMMYFUNCTION("""COMPUTED_VALUE"""),TRUE)</f>
        <v>1</v>
      </c>
      <c r="N982" s="20" t="b">
        <f>IFERROR(__xludf.DUMMYFUNCTION("""COMPUTED_VALUE"""),FALSE)</f>
        <v>0</v>
      </c>
      <c r="O982" s="20">
        <f>IFERROR(__xludf.DUMMYFUNCTION("""COMPUTED_VALUE"""),53.0465897659324)</f>
        <v>53.04658977</v>
      </c>
      <c r="P982" s="20">
        <f>IFERROR(__xludf.DUMMYFUNCTION("""COMPUTED_VALUE"""),291601.0)</f>
        <v>291601</v>
      </c>
      <c r="Q982" s="20">
        <f>IFERROR(__xludf.DUMMYFUNCTION("""COMPUTED_VALUE"""),549709.0)</f>
        <v>549709</v>
      </c>
    </row>
    <row r="983">
      <c r="A983" s="20">
        <f>IFERROR(__xludf.DUMMYFUNCTION("""COMPUTED_VALUE"""),1024.0)</f>
        <v>1024</v>
      </c>
      <c r="B983" s="20" t="str">
        <f>IFERROR(__xludf.DUMMYFUNCTION("""COMPUTED_VALUE"""),"Triples with Bitwise AND Equal To Zero")</f>
        <v>Triples with Bitwise AND Equal To Zero</v>
      </c>
      <c r="C983" s="20" t="str">
        <f>IFERROR(__xludf.DUMMYFUNCTION("""COMPUTED_VALUE"""),"triples-with-bitwise-and-equal-to-zero")</f>
        <v>triples-with-bitwise-and-equal-to-zero</v>
      </c>
      <c r="D983" s="20" t="b">
        <f>IFERROR(__xludf.DUMMYFUNCTION("""COMPUTED_VALUE"""),FALSE)</f>
        <v>0</v>
      </c>
      <c r="E983" s="20" t="str">
        <f>IFERROR(__xludf.DUMMYFUNCTION("""COMPUTED_VALUE"""),"Hard")</f>
        <v>Hard</v>
      </c>
      <c r="F983" s="20">
        <f>IFERROR(__xludf.DUMMYFUNCTION("""COMPUTED_VALUE"""),331.0)</f>
        <v>331</v>
      </c>
      <c r="G983" s="20">
        <f>IFERROR(__xludf.DUMMYFUNCTION("""COMPUTED_VALUE"""),198.0)</f>
        <v>198</v>
      </c>
      <c r="H983" s="20" t="str">
        <f>IFERROR(__xludf.DUMMYFUNCTION("""COMPUTED_VALUE"""),"Algorithms")</f>
        <v>Algorithms</v>
      </c>
      <c r="I983" s="20">
        <f>IFERROR(__xludf.DUMMYFUNCTION("""COMPUTED_VALUE"""),0.577)</f>
        <v>0.577</v>
      </c>
      <c r="J983" s="20">
        <f>IFERROR(__xludf.DUMMYFUNCTION("""COMPUTED_VALUE"""),982.0)</f>
        <v>982</v>
      </c>
      <c r="K983" s="20" t="b">
        <f>IFERROR(__xludf.DUMMYFUNCTION("""COMPUTED_VALUE"""),FALSE)</f>
        <v>0</v>
      </c>
      <c r="L983" s="20" t="str">
        <f>IFERROR(__xludf.DUMMYFUNCTION("""COMPUTED_VALUE"""),"Array;Hash Table;Bit Manipulation;")</f>
        <v>Array;Hash Table;Bit Manipulation;</v>
      </c>
      <c r="M983" s="20" t="b">
        <f>IFERROR(__xludf.DUMMYFUNCTION("""COMPUTED_VALUE"""),FALSE)</f>
        <v>0</v>
      </c>
      <c r="N983" s="20" t="b">
        <f>IFERROR(__xludf.DUMMYFUNCTION("""COMPUTED_VALUE"""),FALSE)</f>
        <v>0</v>
      </c>
      <c r="O983" s="20">
        <f>IFERROR(__xludf.DUMMYFUNCTION("""COMPUTED_VALUE"""),57.690271612982)</f>
        <v>57.69027161</v>
      </c>
      <c r="P983" s="20">
        <f>IFERROR(__xludf.DUMMYFUNCTION("""COMPUTED_VALUE"""),14167.0)</f>
        <v>14167</v>
      </c>
      <c r="Q983" s="20">
        <f>IFERROR(__xludf.DUMMYFUNCTION("""COMPUTED_VALUE"""),24557.0)</f>
        <v>24557</v>
      </c>
    </row>
    <row r="984">
      <c r="A984" s="20">
        <f>IFERROR(__xludf.DUMMYFUNCTION("""COMPUTED_VALUE"""),1025.0)</f>
        <v>1025</v>
      </c>
      <c r="B984" s="20" t="str">
        <f>IFERROR(__xludf.DUMMYFUNCTION("""COMPUTED_VALUE"""),"Minimum Cost For Tickets")</f>
        <v>Minimum Cost For Tickets</v>
      </c>
      <c r="C984" s="20" t="str">
        <f>IFERROR(__xludf.DUMMYFUNCTION("""COMPUTED_VALUE"""),"minimum-cost-for-tickets")</f>
        <v>minimum-cost-for-tickets</v>
      </c>
      <c r="D984" s="20" t="b">
        <f>IFERROR(__xludf.DUMMYFUNCTION("""COMPUTED_VALUE"""),FALSE)</f>
        <v>0</v>
      </c>
      <c r="E984" s="20" t="str">
        <f>IFERROR(__xludf.DUMMYFUNCTION("""COMPUTED_VALUE"""),"Medium")</f>
        <v>Medium</v>
      </c>
      <c r="F984" s="20">
        <f>IFERROR(__xludf.DUMMYFUNCTION("""COMPUTED_VALUE"""),5425.0)</f>
        <v>5425</v>
      </c>
      <c r="G984" s="20">
        <f>IFERROR(__xludf.DUMMYFUNCTION("""COMPUTED_VALUE"""),93.0)</f>
        <v>93</v>
      </c>
      <c r="H984" s="20" t="str">
        <f>IFERROR(__xludf.DUMMYFUNCTION("""COMPUTED_VALUE"""),"Algorithms")</f>
        <v>Algorithms</v>
      </c>
      <c r="I984" s="20">
        <f>IFERROR(__xludf.DUMMYFUNCTION("""COMPUTED_VALUE"""),0.643)</f>
        <v>0.643</v>
      </c>
      <c r="J984" s="20">
        <f>IFERROR(__xludf.DUMMYFUNCTION("""COMPUTED_VALUE"""),983.0)</f>
        <v>983</v>
      </c>
      <c r="K984" s="20" t="b">
        <f>IFERROR(__xludf.DUMMYFUNCTION("""COMPUTED_VALUE"""),FALSE)</f>
        <v>0</v>
      </c>
      <c r="L984" s="20" t="str">
        <f>IFERROR(__xludf.DUMMYFUNCTION("""COMPUTED_VALUE"""),"Array;Dynamic Programming;")</f>
        <v>Array;Dynamic Programming;</v>
      </c>
      <c r="M984" s="20" t="b">
        <f>IFERROR(__xludf.DUMMYFUNCTION("""COMPUTED_VALUE"""),TRUE)</f>
        <v>1</v>
      </c>
      <c r="N984" s="20" t="b">
        <f>IFERROR(__xludf.DUMMYFUNCTION("""COMPUTED_VALUE"""),FALSE)</f>
        <v>0</v>
      </c>
      <c r="O984" s="20">
        <f>IFERROR(__xludf.DUMMYFUNCTION("""COMPUTED_VALUE"""),64.3446119857957)</f>
        <v>64.34461199</v>
      </c>
      <c r="P984" s="20">
        <f>IFERROR(__xludf.DUMMYFUNCTION("""COMPUTED_VALUE"""),181739.0)</f>
        <v>181739</v>
      </c>
      <c r="Q984" s="20">
        <f>IFERROR(__xludf.DUMMYFUNCTION("""COMPUTED_VALUE"""),282445.0)</f>
        <v>282445</v>
      </c>
    </row>
    <row r="985">
      <c r="A985" s="20">
        <f>IFERROR(__xludf.DUMMYFUNCTION("""COMPUTED_VALUE"""),1026.0)</f>
        <v>1026</v>
      </c>
      <c r="B985" s="20" t="str">
        <f>IFERROR(__xludf.DUMMYFUNCTION("""COMPUTED_VALUE"""),"String Without AAA or BBB")</f>
        <v>String Without AAA or BBB</v>
      </c>
      <c r="C985" s="20" t="str">
        <f>IFERROR(__xludf.DUMMYFUNCTION("""COMPUTED_VALUE"""),"string-without-aaa-or-bbb")</f>
        <v>string-without-aaa-or-bbb</v>
      </c>
      <c r="D985" s="20" t="b">
        <f>IFERROR(__xludf.DUMMYFUNCTION("""COMPUTED_VALUE"""),FALSE)</f>
        <v>0</v>
      </c>
      <c r="E985" s="20" t="str">
        <f>IFERROR(__xludf.DUMMYFUNCTION("""COMPUTED_VALUE"""),"Medium")</f>
        <v>Medium</v>
      </c>
      <c r="F985" s="20">
        <f>IFERROR(__xludf.DUMMYFUNCTION("""COMPUTED_VALUE"""),615.0)</f>
        <v>615</v>
      </c>
      <c r="G985" s="20">
        <f>IFERROR(__xludf.DUMMYFUNCTION("""COMPUTED_VALUE"""),345.0)</f>
        <v>345</v>
      </c>
      <c r="H985" s="20" t="str">
        <f>IFERROR(__xludf.DUMMYFUNCTION("""COMPUTED_VALUE"""),"Algorithms")</f>
        <v>Algorithms</v>
      </c>
      <c r="I985" s="20">
        <f>IFERROR(__xludf.DUMMYFUNCTION("""COMPUTED_VALUE"""),0.43)</f>
        <v>0.43</v>
      </c>
      <c r="J985" s="20">
        <f>IFERROR(__xludf.DUMMYFUNCTION("""COMPUTED_VALUE"""),984.0)</f>
        <v>984</v>
      </c>
      <c r="K985" s="20" t="b">
        <f>IFERROR(__xludf.DUMMYFUNCTION("""COMPUTED_VALUE"""),FALSE)</f>
        <v>0</v>
      </c>
      <c r="L985" s="20" t="str">
        <f>IFERROR(__xludf.DUMMYFUNCTION("""COMPUTED_VALUE"""),"String;Greedy;")</f>
        <v>String;Greedy;</v>
      </c>
      <c r="M985" s="20" t="b">
        <f>IFERROR(__xludf.DUMMYFUNCTION("""COMPUTED_VALUE"""),TRUE)</f>
        <v>1</v>
      </c>
      <c r="N985" s="20" t="b">
        <f>IFERROR(__xludf.DUMMYFUNCTION("""COMPUTED_VALUE"""),FALSE)</f>
        <v>0</v>
      </c>
      <c r="O985" s="20">
        <f>IFERROR(__xludf.DUMMYFUNCTION("""COMPUTED_VALUE"""),42.9984585186253)</f>
        <v>42.99845852</v>
      </c>
      <c r="P985" s="20">
        <f>IFERROR(__xludf.DUMMYFUNCTION("""COMPUTED_VALUE"""),38772.0)</f>
        <v>38772</v>
      </c>
      <c r="Q985" s="20">
        <f>IFERROR(__xludf.DUMMYFUNCTION("""COMPUTED_VALUE"""),90172.0)</f>
        <v>90172</v>
      </c>
    </row>
    <row r="986">
      <c r="A986" s="20">
        <f>IFERROR(__xludf.DUMMYFUNCTION("""COMPUTED_VALUE"""),1027.0)</f>
        <v>1027</v>
      </c>
      <c r="B986" s="20" t="str">
        <f>IFERROR(__xludf.DUMMYFUNCTION("""COMPUTED_VALUE"""),"Sum of Even Numbers After Queries")</f>
        <v>Sum of Even Numbers After Queries</v>
      </c>
      <c r="C986" s="20" t="str">
        <f>IFERROR(__xludf.DUMMYFUNCTION("""COMPUTED_VALUE"""),"sum-of-even-numbers-after-queries")</f>
        <v>sum-of-even-numbers-after-queries</v>
      </c>
      <c r="D986" s="20" t="b">
        <f>IFERROR(__xludf.DUMMYFUNCTION("""COMPUTED_VALUE"""),FALSE)</f>
        <v>0</v>
      </c>
      <c r="E986" s="20" t="str">
        <f>IFERROR(__xludf.DUMMYFUNCTION("""COMPUTED_VALUE"""),"Medium")</f>
        <v>Medium</v>
      </c>
      <c r="F986" s="20">
        <f>IFERROR(__xludf.DUMMYFUNCTION("""COMPUTED_VALUE"""),1921.0)</f>
        <v>1921</v>
      </c>
      <c r="G986" s="20">
        <f>IFERROR(__xludf.DUMMYFUNCTION("""COMPUTED_VALUE"""),312.0)</f>
        <v>312</v>
      </c>
      <c r="H986" s="20" t="str">
        <f>IFERROR(__xludf.DUMMYFUNCTION("""COMPUTED_VALUE"""),"Algorithms")</f>
        <v>Algorithms</v>
      </c>
      <c r="I986" s="20">
        <f>IFERROR(__xludf.DUMMYFUNCTION("""COMPUTED_VALUE"""),0.682)</f>
        <v>0.682</v>
      </c>
      <c r="J986" s="20">
        <f>IFERROR(__xludf.DUMMYFUNCTION("""COMPUTED_VALUE"""),985.0)</f>
        <v>985</v>
      </c>
      <c r="K986" s="20" t="b">
        <f>IFERROR(__xludf.DUMMYFUNCTION("""COMPUTED_VALUE"""),FALSE)</f>
        <v>0</v>
      </c>
      <c r="L986" s="20" t="str">
        <f>IFERROR(__xludf.DUMMYFUNCTION("""COMPUTED_VALUE"""),"Array;Simulation;")</f>
        <v>Array;Simulation;</v>
      </c>
      <c r="M986" s="20" t="b">
        <f>IFERROR(__xludf.DUMMYFUNCTION("""COMPUTED_VALUE"""),TRUE)</f>
        <v>1</v>
      </c>
      <c r="N986" s="20" t="b">
        <f>IFERROR(__xludf.DUMMYFUNCTION("""COMPUTED_VALUE"""),FALSE)</f>
        <v>0</v>
      </c>
      <c r="O986" s="20">
        <f>IFERROR(__xludf.DUMMYFUNCTION("""COMPUTED_VALUE"""),68.2233470387358)</f>
        <v>68.22334704</v>
      </c>
      <c r="P986" s="20">
        <f>IFERROR(__xludf.DUMMYFUNCTION("""COMPUTED_VALUE"""),129258.0)</f>
        <v>129258</v>
      </c>
      <c r="Q986" s="20">
        <f>IFERROR(__xludf.DUMMYFUNCTION("""COMPUTED_VALUE"""),189463.0)</f>
        <v>189463</v>
      </c>
    </row>
    <row r="987">
      <c r="A987" s="20">
        <f>IFERROR(__xludf.DUMMYFUNCTION("""COMPUTED_VALUE"""),1028.0)</f>
        <v>1028</v>
      </c>
      <c r="B987" s="20" t="str">
        <f>IFERROR(__xludf.DUMMYFUNCTION("""COMPUTED_VALUE"""),"Interval List Intersections")</f>
        <v>Interval List Intersections</v>
      </c>
      <c r="C987" s="20" t="str">
        <f>IFERROR(__xludf.DUMMYFUNCTION("""COMPUTED_VALUE"""),"interval-list-intersections")</f>
        <v>interval-list-intersections</v>
      </c>
      <c r="D987" s="20" t="b">
        <f>IFERROR(__xludf.DUMMYFUNCTION("""COMPUTED_VALUE"""),FALSE)</f>
        <v>0</v>
      </c>
      <c r="E987" s="20" t="str">
        <f>IFERROR(__xludf.DUMMYFUNCTION("""COMPUTED_VALUE"""),"Medium")</f>
        <v>Medium</v>
      </c>
      <c r="F987" s="20">
        <f>IFERROR(__xludf.DUMMYFUNCTION("""COMPUTED_VALUE"""),4866.0)</f>
        <v>4866</v>
      </c>
      <c r="G987" s="20">
        <f>IFERROR(__xludf.DUMMYFUNCTION("""COMPUTED_VALUE"""),96.0)</f>
        <v>96</v>
      </c>
      <c r="H987" s="20" t="str">
        <f>IFERROR(__xludf.DUMMYFUNCTION("""COMPUTED_VALUE"""),"Algorithms")</f>
        <v>Algorithms</v>
      </c>
      <c r="I987" s="20">
        <f>IFERROR(__xludf.DUMMYFUNCTION("""COMPUTED_VALUE"""),0.714)</f>
        <v>0.714</v>
      </c>
      <c r="J987" s="20">
        <f>IFERROR(__xludf.DUMMYFUNCTION("""COMPUTED_VALUE"""),986.0)</f>
        <v>986</v>
      </c>
      <c r="K987" s="20" t="b">
        <f>IFERROR(__xludf.DUMMYFUNCTION("""COMPUTED_VALUE"""),FALSE)</f>
        <v>0</v>
      </c>
      <c r="L987" s="20" t="str">
        <f>IFERROR(__xludf.DUMMYFUNCTION("""COMPUTED_VALUE"""),"Array;Two Pointers;")</f>
        <v>Array;Two Pointers;</v>
      </c>
      <c r="M987" s="20" t="b">
        <f>IFERROR(__xludf.DUMMYFUNCTION("""COMPUTED_VALUE"""),TRUE)</f>
        <v>1</v>
      </c>
      <c r="N987" s="20" t="b">
        <f>IFERROR(__xludf.DUMMYFUNCTION("""COMPUTED_VALUE"""),FALSE)</f>
        <v>0</v>
      </c>
      <c r="O987" s="20">
        <f>IFERROR(__xludf.DUMMYFUNCTION("""COMPUTED_VALUE"""),71.3795189930133)</f>
        <v>71.37951899</v>
      </c>
      <c r="P987" s="20">
        <f>IFERROR(__xludf.DUMMYFUNCTION("""COMPUTED_VALUE"""),340923.0)</f>
        <v>340923</v>
      </c>
      <c r="Q987" s="20">
        <f>IFERROR(__xludf.DUMMYFUNCTION("""COMPUTED_VALUE"""),477621.0)</f>
        <v>477621</v>
      </c>
    </row>
    <row r="988">
      <c r="A988" s="20">
        <f>IFERROR(__xludf.DUMMYFUNCTION("""COMPUTED_VALUE"""),1029.0)</f>
        <v>1029</v>
      </c>
      <c r="B988" s="20" t="str">
        <f>IFERROR(__xludf.DUMMYFUNCTION("""COMPUTED_VALUE"""),"Vertical Order Traversal of a Binary Tree")</f>
        <v>Vertical Order Traversal of a Binary Tree</v>
      </c>
      <c r="C988" s="20" t="str">
        <f>IFERROR(__xludf.DUMMYFUNCTION("""COMPUTED_VALUE"""),"vertical-order-traversal-of-a-binary-tree")</f>
        <v>vertical-order-traversal-of-a-binary-tree</v>
      </c>
      <c r="D988" s="20" t="b">
        <f>IFERROR(__xludf.DUMMYFUNCTION("""COMPUTED_VALUE"""),FALSE)</f>
        <v>0</v>
      </c>
      <c r="E988" s="20" t="str">
        <f>IFERROR(__xludf.DUMMYFUNCTION("""COMPUTED_VALUE"""),"Hard")</f>
        <v>Hard</v>
      </c>
      <c r="F988" s="20">
        <f>IFERROR(__xludf.DUMMYFUNCTION("""COMPUTED_VALUE"""),5587.0)</f>
        <v>5587</v>
      </c>
      <c r="G988" s="20">
        <f>IFERROR(__xludf.DUMMYFUNCTION("""COMPUTED_VALUE"""),4024.0)</f>
        <v>4024</v>
      </c>
      <c r="H988" s="20" t="str">
        <f>IFERROR(__xludf.DUMMYFUNCTION("""COMPUTED_VALUE"""),"Algorithms")</f>
        <v>Algorithms</v>
      </c>
      <c r="I988" s="20">
        <f>IFERROR(__xludf.DUMMYFUNCTION("""COMPUTED_VALUE"""),0.448)</f>
        <v>0.448</v>
      </c>
      <c r="J988" s="20">
        <f>IFERROR(__xludf.DUMMYFUNCTION("""COMPUTED_VALUE"""),987.0)</f>
        <v>987</v>
      </c>
      <c r="K988" s="20" t="b">
        <f>IFERROR(__xludf.DUMMYFUNCTION("""COMPUTED_VALUE"""),FALSE)</f>
        <v>0</v>
      </c>
      <c r="L988" s="20" t="str">
        <f>IFERROR(__xludf.DUMMYFUNCTION("""COMPUTED_VALUE"""),"Hash Table;Tree;Depth-First Search;Breadth-First Search;Binary Tree;")</f>
        <v>Hash Table;Tree;Depth-First Search;Breadth-First Search;Binary Tree;</v>
      </c>
      <c r="M988" s="20" t="b">
        <f>IFERROR(__xludf.DUMMYFUNCTION("""COMPUTED_VALUE"""),TRUE)</f>
        <v>1</v>
      </c>
      <c r="N988" s="20" t="b">
        <f>IFERROR(__xludf.DUMMYFUNCTION("""COMPUTED_VALUE"""),TRUE)</f>
        <v>1</v>
      </c>
      <c r="O988" s="20">
        <f>IFERROR(__xludf.DUMMYFUNCTION("""COMPUTED_VALUE"""),44.7778439378473)</f>
        <v>44.77784394</v>
      </c>
      <c r="P988" s="20">
        <f>IFERROR(__xludf.DUMMYFUNCTION("""COMPUTED_VALUE"""),315844.0)</f>
        <v>315844</v>
      </c>
      <c r="Q988" s="20">
        <f>IFERROR(__xludf.DUMMYFUNCTION("""COMPUTED_VALUE"""),705358.0)</f>
        <v>705358</v>
      </c>
    </row>
    <row r="989">
      <c r="A989" s="20">
        <f>IFERROR(__xludf.DUMMYFUNCTION("""COMPUTED_VALUE"""),1030.0)</f>
        <v>1030</v>
      </c>
      <c r="B989" s="20" t="str">
        <f>IFERROR(__xludf.DUMMYFUNCTION("""COMPUTED_VALUE"""),"Smallest String Starting From Leaf")</f>
        <v>Smallest String Starting From Leaf</v>
      </c>
      <c r="C989" s="20" t="str">
        <f>IFERROR(__xludf.DUMMYFUNCTION("""COMPUTED_VALUE"""),"smallest-string-starting-from-leaf")</f>
        <v>smallest-string-starting-from-leaf</v>
      </c>
      <c r="D989" s="20" t="b">
        <f>IFERROR(__xludf.DUMMYFUNCTION("""COMPUTED_VALUE"""),FALSE)</f>
        <v>0</v>
      </c>
      <c r="E989" s="20" t="str">
        <f>IFERROR(__xludf.DUMMYFUNCTION("""COMPUTED_VALUE"""),"Medium")</f>
        <v>Medium</v>
      </c>
      <c r="F989" s="20">
        <f>IFERROR(__xludf.DUMMYFUNCTION("""COMPUTED_VALUE"""),1364.0)</f>
        <v>1364</v>
      </c>
      <c r="G989" s="20">
        <f>IFERROR(__xludf.DUMMYFUNCTION("""COMPUTED_VALUE"""),193.0)</f>
        <v>193</v>
      </c>
      <c r="H989" s="20" t="str">
        <f>IFERROR(__xludf.DUMMYFUNCTION("""COMPUTED_VALUE"""),"Algorithms")</f>
        <v>Algorithms</v>
      </c>
      <c r="I989" s="20">
        <f>IFERROR(__xludf.DUMMYFUNCTION("""COMPUTED_VALUE"""),0.498)</f>
        <v>0.498</v>
      </c>
      <c r="J989" s="20">
        <f>IFERROR(__xludf.DUMMYFUNCTION("""COMPUTED_VALUE"""),988.0)</f>
        <v>988</v>
      </c>
      <c r="K989" s="20" t="b">
        <f>IFERROR(__xludf.DUMMYFUNCTION("""COMPUTED_VALUE"""),FALSE)</f>
        <v>0</v>
      </c>
      <c r="L989" s="20" t="str">
        <f>IFERROR(__xludf.DUMMYFUNCTION("""COMPUTED_VALUE"""),"String;Tree;Depth-First Search;Binary Tree;")</f>
        <v>String;Tree;Depth-First Search;Binary Tree;</v>
      </c>
      <c r="M989" s="20" t="b">
        <f>IFERROR(__xludf.DUMMYFUNCTION("""COMPUTED_VALUE"""),TRUE)</f>
        <v>1</v>
      </c>
      <c r="N989" s="20" t="b">
        <f>IFERROR(__xludf.DUMMYFUNCTION("""COMPUTED_VALUE"""),FALSE)</f>
        <v>0</v>
      </c>
      <c r="O989" s="20">
        <f>IFERROR(__xludf.DUMMYFUNCTION("""COMPUTED_VALUE"""),49.8418762433916)</f>
        <v>49.84187624</v>
      </c>
      <c r="P989" s="20">
        <f>IFERROR(__xludf.DUMMYFUNCTION("""COMPUTED_VALUE"""),62883.0)</f>
        <v>62883</v>
      </c>
      <c r="Q989" s="20">
        <f>IFERROR(__xludf.DUMMYFUNCTION("""COMPUTED_VALUE"""),126166.0)</f>
        <v>126166</v>
      </c>
    </row>
    <row r="990">
      <c r="A990" s="20">
        <f>IFERROR(__xludf.DUMMYFUNCTION("""COMPUTED_VALUE"""),1031.0)</f>
        <v>1031</v>
      </c>
      <c r="B990" s="20" t="str">
        <f>IFERROR(__xludf.DUMMYFUNCTION("""COMPUTED_VALUE"""),"Add to Array-Form of Integer")</f>
        <v>Add to Array-Form of Integer</v>
      </c>
      <c r="C990" s="20" t="str">
        <f>IFERROR(__xludf.DUMMYFUNCTION("""COMPUTED_VALUE"""),"add-to-array-form-of-integer")</f>
        <v>add-to-array-form-of-integer</v>
      </c>
      <c r="D990" s="20" t="b">
        <f>IFERROR(__xludf.DUMMYFUNCTION("""COMPUTED_VALUE"""),FALSE)</f>
        <v>0</v>
      </c>
      <c r="E990" s="20" t="str">
        <f>IFERROR(__xludf.DUMMYFUNCTION("""COMPUTED_VALUE"""),"Easy")</f>
        <v>Easy</v>
      </c>
      <c r="F990" s="20">
        <f>IFERROR(__xludf.DUMMYFUNCTION("""COMPUTED_VALUE"""),1712.0)</f>
        <v>1712</v>
      </c>
      <c r="G990" s="20">
        <f>IFERROR(__xludf.DUMMYFUNCTION("""COMPUTED_VALUE"""),166.0)</f>
        <v>166</v>
      </c>
      <c r="H990" s="20" t="str">
        <f>IFERROR(__xludf.DUMMYFUNCTION("""COMPUTED_VALUE"""),"Algorithms")</f>
        <v>Algorithms</v>
      </c>
      <c r="I990" s="20">
        <f>IFERROR(__xludf.DUMMYFUNCTION("""COMPUTED_VALUE"""),0.455)</f>
        <v>0.455</v>
      </c>
      <c r="J990" s="20">
        <f>IFERROR(__xludf.DUMMYFUNCTION("""COMPUTED_VALUE"""),989.0)</f>
        <v>989</v>
      </c>
      <c r="K990" s="20" t="b">
        <f>IFERROR(__xludf.DUMMYFUNCTION("""COMPUTED_VALUE"""),FALSE)</f>
        <v>0</v>
      </c>
      <c r="L990" s="20" t="str">
        <f>IFERROR(__xludf.DUMMYFUNCTION("""COMPUTED_VALUE"""),"Array;Math;")</f>
        <v>Array;Math;</v>
      </c>
      <c r="M990" s="20" t="b">
        <f>IFERROR(__xludf.DUMMYFUNCTION("""COMPUTED_VALUE"""),TRUE)</f>
        <v>1</v>
      </c>
      <c r="N990" s="20" t="b">
        <f>IFERROR(__xludf.DUMMYFUNCTION("""COMPUTED_VALUE"""),FALSE)</f>
        <v>0</v>
      </c>
      <c r="O990" s="20">
        <f>IFERROR(__xludf.DUMMYFUNCTION("""COMPUTED_VALUE"""),45.4916963458703)</f>
        <v>45.49169635</v>
      </c>
      <c r="P990" s="20">
        <f>IFERROR(__xludf.DUMMYFUNCTION("""COMPUTED_VALUE"""),139477.0)</f>
        <v>139477</v>
      </c>
      <c r="Q990" s="20">
        <f>IFERROR(__xludf.DUMMYFUNCTION("""COMPUTED_VALUE"""),306600.0)</f>
        <v>306600</v>
      </c>
    </row>
    <row r="991">
      <c r="A991" s="20">
        <f>IFERROR(__xludf.DUMMYFUNCTION("""COMPUTED_VALUE"""),1032.0)</f>
        <v>1032</v>
      </c>
      <c r="B991" s="20" t="str">
        <f>IFERROR(__xludf.DUMMYFUNCTION("""COMPUTED_VALUE"""),"Satisfiability of Equality Equations")</f>
        <v>Satisfiability of Equality Equations</v>
      </c>
      <c r="C991" s="20" t="str">
        <f>IFERROR(__xludf.DUMMYFUNCTION("""COMPUTED_VALUE"""),"satisfiability-of-equality-equations")</f>
        <v>satisfiability-of-equality-equations</v>
      </c>
      <c r="D991" s="20" t="b">
        <f>IFERROR(__xludf.DUMMYFUNCTION("""COMPUTED_VALUE"""),FALSE)</f>
        <v>0</v>
      </c>
      <c r="E991" s="20" t="str">
        <f>IFERROR(__xludf.DUMMYFUNCTION("""COMPUTED_VALUE"""),"Medium")</f>
        <v>Medium</v>
      </c>
      <c r="F991" s="20">
        <f>IFERROR(__xludf.DUMMYFUNCTION("""COMPUTED_VALUE"""),3230.0)</f>
        <v>3230</v>
      </c>
      <c r="G991" s="20">
        <f>IFERROR(__xludf.DUMMYFUNCTION("""COMPUTED_VALUE"""),48.0)</f>
        <v>48</v>
      </c>
      <c r="H991" s="20" t="str">
        <f>IFERROR(__xludf.DUMMYFUNCTION("""COMPUTED_VALUE"""),"Algorithms")</f>
        <v>Algorithms</v>
      </c>
      <c r="I991" s="20">
        <f>IFERROR(__xludf.DUMMYFUNCTION("""COMPUTED_VALUE"""),0.508)</f>
        <v>0.508</v>
      </c>
      <c r="J991" s="20">
        <f>IFERROR(__xludf.DUMMYFUNCTION("""COMPUTED_VALUE"""),990.0)</f>
        <v>990</v>
      </c>
      <c r="K991" s="20" t="b">
        <f>IFERROR(__xludf.DUMMYFUNCTION("""COMPUTED_VALUE"""),FALSE)</f>
        <v>0</v>
      </c>
      <c r="L991" s="20" t="str">
        <f>IFERROR(__xludf.DUMMYFUNCTION("""COMPUTED_VALUE"""),"Array;String;Union Find;Graph;")</f>
        <v>Array;String;Union Find;Graph;</v>
      </c>
      <c r="M991" s="20" t="b">
        <f>IFERROR(__xludf.DUMMYFUNCTION("""COMPUTED_VALUE"""),TRUE)</f>
        <v>1</v>
      </c>
      <c r="N991" s="20" t="b">
        <f>IFERROR(__xludf.DUMMYFUNCTION("""COMPUTED_VALUE"""),FALSE)</f>
        <v>0</v>
      </c>
      <c r="O991" s="20">
        <f>IFERROR(__xludf.DUMMYFUNCTION("""COMPUTED_VALUE"""),50.770592597909)</f>
        <v>50.7705926</v>
      </c>
      <c r="P991" s="20">
        <f>IFERROR(__xludf.DUMMYFUNCTION("""COMPUTED_VALUE"""),106107.0)</f>
        <v>106107</v>
      </c>
      <c r="Q991" s="20">
        <f>IFERROR(__xludf.DUMMYFUNCTION("""COMPUTED_VALUE"""),208992.0)</f>
        <v>208992</v>
      </c>
    </row>
    <row r="992">
      <c r="A992" s="20">
        <f>IFERROR(__xludf.DUMMYFUNCTION("""COMPUTED_VALUE"""),1033.0)</f>
        <v>1033</v>
      </c>
      <c r="B992" s="20" t="str">
        <f>IFERROR(__xludf.DUMMYFUNCTION("""COMPUTED_VALUE"""),"Broken Calculator")</f>
        <v>Broken Calculator</v>
      </c>
      <c r="C992" s="20" t="str">
        <f>IFERROR(__xludf.DUMMYFUNCTION("""COMPUTED_VALUE"""),"broken-calculator")</f>
        <v>broken-calculator</v>
      </c>
      <c r="D992" s="20" t="b">
        <f>IFERROR(__xludf.DUMMYFUNCTION("""COMPUTED_VALUE"""),FALSE)</f>
        <v>0</v>
      </c>
      <c r="E992" s="20" t="str">
        <f>IFERROR(__xludf.DUMMYFUNCTION("""COMPUTED_VALUE"""),"Medium")</f>
        <v>Medium</v>
      </c>
      <c r="F992" s="20">
        <f>IFERROR(__xludf.DUMMYFUNCTION("""COMPUTED_VALUE"""),2445.0)</f>
        <v>2445</v>
      </c>
      <c r="G992" s="20">
        <f>IFERROR(__xludf.DUMMYFUNCTION("""COMPUTED_VALUE"""),198.0)</f>
        <v>198</v>
      </c>
      <c r="H992" s="20" t="str">
        <f>IFERROR(__xludf.DUMMYFUNCTION("""COMPUTED_VALUE"""),"Algorithms")</f>
        <v>Algorithms</v>
      </c>
      <c r="I992" s="20">
        <f>IFERROR(__xludf.DUMMYFUNCTION("""COMPUTED_VALUE"""),0.541)</f>
        <v>0.541</v>
      </c>
      <c r="J992" s="20">
        <f>IFERROR(__xludf.DUMMYFUNCTION("""COMPUTED_VALUE"""),991.0)</f>
        <v>991</v>
      </c>
      <c r="K992" s="20" t="b">
        <f>IFERROR(__xludf.DUMMYFUNCTION("""COMPUTED_VALUE"""),FALSE)</f>
        <v>0</v>
      </c>
      <c r="L992" s="20" t="str">
        <f>IFERROR(__xludf.DUMMYFUNCTION("""COMPUTED_VALUE"""),"Math;Greedy;")</f>
        <v>Math;Greedy;</v>
      </c>
      <c r="M992" s="20" t="b">
        <f>IFERROR(__xludf.DUMMYFUNCTION("""COMPUTED_VALUE"""),TRUE)</f>
        <v>1</v>
      </c>
      <c r="N992" s="20" t="b">
        <f>IFERROR(__xludf.DUMMYFUNCTION("""COMPUTED_VALUE"""),FALSE)</f>
        <v>0</v>
      </c>
      <c r="O992" s="20">
        <f>IFERROR(__xludf.DUMMYFUNCTION("""COMPUTED_VALUE"""),54.0614777047537)</f>
        <v>54.0614777</v>
      </c>
      <c r="P992" s="20">
        <f>IFERROR(__xludf.DUMMYFUNCTION("""COMPUTED_VALUE"""),91717.0)</f>
        <v>91717</v>
      </c>
      <c r="Q992" s="20">
        <f>IFERROR(__xludf.DUMMYFUNCTION("""COMPUTED_VALUE"""),169654.0)</f>
        <v>169654</v>
      </c>
    </row>
    <row r="993">
      <c r="A993" s="20">
        <f>IFERROR(__xludf.DUMMYFUNCTION("""COMPUTED_VALUE"""),1034.0)</f>
        <v>1034</v>
      </c>
      <c r="B993" s="20" t="str">
        <f>IFERROR(__xludf.DUMMYFUNCTION("""COMPUTED_VALUE"""),"Subarrays with K Different Integers")</f>
        <v>Subarrays with K Different Integers</v>
      </c>
      <c r="C993" s="20" t="str">
        <f>IFERROR(__xludf.DUMMYFUNCTION("""COMPUTED_VALUE"""),"subarrays-with-k-different-integers")</f>
        <v>subarrays-with-k-different-integers</v>
      </c>
      <c r="D993" s="20" t="b">
        <f>IFERROR(__xludf.DUMMYFUNCTION("""COMPUTED_VALUE"""),FALSE)</f>
        <v>0</v>
      </c>
      <c r="E993" s="20" t="str">
        <f>IFERROR(__xludf.DUMMYFUNCTION("""COMPUTED_VALUE"""),"Hard")</f>
        <v>Hard</v>
      </c>
      <c r="F993" s="20">
        <f>IFERROR(__xludf.DUMMYFUNCTION("""COMPUTED_VALUE"""),3875.0)</f>
        <v>3875</v>
      </c>
      <c r="G993" s="20">
        <f>IFERROR(__xludf.DUMMYFUNCTION("""COMPUTED_VALUE"""),56.0)</f>
        <v>56</v>
      </c>
      <c r="H993" s="20" t="str">
        <f>IFERROR(__xludf.DUMMYFUNCTION("""COMPUTED_VALUE"""),"Algorithms")</f>
        <v>Algorithms</v>
      </c>
      <c r="I993" s="20">
        <f>IFERROR(__xludf.DUMMYFUNCTION("""COMPUTED_VALUE"""),0.545)</f>
        <v>0.545</v>
      </c>
      <c r="J993" s="20">
        <f>IFERROR(__xludf.DUMMYFUNCTION("""COMPUTED_VALUE"""),992.0)</f>
        <v>992</v>
      </c>
      <c r="K993" s="20" t="b">
        <f>IFERROR(__xludf.DUMMYFUNCTION("""COMPUTED_VALUE"""),FALSE)</f>
        <v>0</v>
      </c>
      <c r="L993" s="20" t="str">
        <f>IFERROR(__xludf.DUMMYFUNCTION("""COMPUTED_VALUE"""),"Array;Hash Table;Sliding Window;Counting;")</f>
        <v>Array;Hash Table;Sliding Window;Counting;</v>
      </c>
      <c r="M993" s="20" t="b">
        <f>IFERROR(__xludf.DUMMYFUNCTION("""COMPUTED_VALUE"""),TRUE)</f>
        <v>1</v>
      </c>
      <c r="N993" s="20" t="b">
        <f>IFERROR(__xludf.DUMMYFUNCTION("""COMPUTED_VALUE"""),FALSE)</f>
        <v>0</v>
      </c>
      <c r="O993" s="20">
        <f>IFERROR(__xludf.DUMMYFUNCTION("""COMPUTED_VALUE"""),54.4938475199796)</f>
        <v>54.49384752</v>
      </c>
      <c r="P993" s="20">
        <f>IFERROR(__xludf.DUMMYFUNCTION("""COMPUTED_VALUE"""),85915.0)</f>
        <v>85915</v>
      </c>
      <c r="Q993" s="20">
        <f>IFERROR(__xludf.DUMMYFUNCTION("""COMPUTED_VALUE"""),157660.0)</f>
        <v>157660</v>
      </c>
    </row>
    <row r="994">
      <c r="A994" s="20">
        <f>IFERROR(__xludf.DUMMYFUNCTION("""COMPUTED_VALUE"""),1035.0)</f>
        <v>1035</v>
      </c>
      <c r="B994" s="20" t="str">
        <f>IFERROR(__xludf.DUMMYFUNCTION("""COMPUTED_VALUE"""),"Cousins in Binary Tree")</f>
        <v>Cousins in Binary Tree</v>
      </c>
      <c r="C994" s="20" t="str">
        <f>IFERROR(__xludf.DUMMYFUNCTION("""COMPUTED_VALUE"""),"cousins-in-binary-tree")</f>
        <v>cousins-in-binary-tree</v>
      </c>
      <c r="D994" s="20" t="b">
        <f>IFERROR(__xludf.DUMMYFUNCTION("""COMPUTED_VALUE"""),FALSE)</f>
        <v>0</v>
      </c>
      <c r="E994" s="20" t="str">
        <f>IFERROR(__xludf.DUMMYFUNCTION("""COMPUTED_VALUE"""),"Easy")</f>
        <v>Easy</v>
      </c>
      <c r="F994" s="20">
        <f>IFERROR(__xludf.DUMMYFUNCTION("""COMPUTED_VALUE"""),3312.0)</f>
        <v>3312</v>
      </c>
      <c r="G994" s="20">
        <f>IFERROR(__xludf.DUMMYFUNCTION("""COMPUTED_VALUE"""),168.0)</f>
        <v>168</v>
      </c>
      <c r="H994" s="20" t="str">
        <f>IFERROR(__xludf.DUMMYFUNCTION("""COMPUTED_VALUE"""),"Algorithms")</f>
        <v>Algorithms</v>
      </c>
      <c r="I994" s="20">
        <f>IFERROR(__xludf.DUMMYFUNCTION("""COMPUTED_VALUE"""),0.544)</f>
        <v>0.544</v>
      </c>
      <c r="J994" s="20">
        <f>IFERROR(__xludf.DUMMYFUNCTION("""COMPUTED_VALUE"""),993.0)</f>
        <v>993</v>
      </c>
      <c r="K994" s="20" t="b">
        <f>IFERROR(__xludf.DUMMYFUNCTION("""COMPUTED_VALUE"""),FALSE)</f>
        <v>0</v>
      </c>
      <c r="L994" s="20" t="str">
        <f>IFERROR(__xludf.DUMMYFUNCTION("""COMPUTED_VALUE"""),"Tree;Depth-First Search;Breadth-First Search;Binary Tree;")</f>
        <v>Tree;Depth-First Search;Breadth-First Search;Binary Tree;</v>
      </c>
      <c r="M994" s="20" t="b">
        <f>IFERROR(__xludf.DUMMYFUNCTION("""COMPUTED_VALUE"""),TRUE)</f>
        <v>1</v>
      </c>
      <c r="N994" s="20" t="b">
        <f>IFERROR(__xludf.DUMMYFUNCTION("""COMPUTED_VALUE"""),FALSE)</f>
        <v>0</v>
      </c>
      <c r="O994" s="20">
        <f>IFERROR(__xludf.DUMMYFUNCTION("""COMPUTED_VALUE"""),54.3598683567402)</f>
        <v>54.35986836</v>
      </c>
      <c r="P994" s="20">
        <f>IFERROR(__xludf.DUMMYFUNCTION("""COMPUTED_VALUE"""),233554.0)</f>
        <v>233554</v>
      </c>
      <c r="Q994" s="20">
        <f>IFERROR(__xludf.DUMMYFUNCTION("""COMPUTED_VALUE"""),429645.0)</f>
        <v>429645</v>
      </c>
    </row>
    <row r="995">
      <c r="A995" s="20">
        <f>IFERROR(__xludf.DUMMYFUNCTION("""COMPUTED_VALUE"""),1036.0)</f>
        <v>1036</v>
      </c>
      <c r="B995" s="20" t="str">
        <f>IFERROR(__xludf.DUMMYFUNCTION("""COMPUTED_VALUE"""),"Rotting Oranges")</f>
        <v>Rotting Oranges</v>
      </c>
      <c r="C995" s="20" t="str">
        <f>IFERROR(__xludf.DUMMYFUNCTION("""COMPUTED_VALUE"""),"rotting-oranges")</f>
        <v>rotting-oranges</v>
      </c>
      <c r="D995" s="20" t="b">
        <f>IFERROR(__xludf.DUMMYFUNCTION("""COMPUTED_VALUE"""),FALSE)</f>
        <v>0</v>
      </c>
      <c r="E995" s="20" t="str">
        <f>IFERROR(__xludf.DUMMYFUNCTION("""COMPUTED_VALUE"""),"Medium")</f>
        <v>Medium</v>
      </c>
      <c r="F995" s="20">
        <f>IFERROR(__xludf.DUMMYFUNCTION("""COMPUTED_VALUE"""),9318.0)</f>
        <v>9318</v>
      </c>
      <c r="G995" s="20">
        <f>IFERROR(__xludf.DUMMYFUNCTION("""COMPUTED_VALUE"""),324.0)</f>
        <v>324</v>
      </c>
      <c r="H995" s="20" t="str">
        <f>IFERROR(__xludf.DUMMYFUNCTION("""COMPUTED_VALUE"""),"Algorithms")</f>
        <v>Algorithms</v>
      </c>
      <c r="I995" s="20">
        <f>IFERROR(__xludf.DUMMYFUNCTION("""COMPUTED_VALUE"""),0.526)</f>
        <v>0.526</v>
      </c>
      <c r="J995" s="20">
        <f>IFERROR(__xludf.DUMMYFUNCTION("""COMPUTED_VALUE"""),994.0)</f>
        <v>994</v>
      </c>
      <c r="K995" s="20" t="b">
        <f>IFERROR(__xludf.DUMMYFUNCTION("""COMPUTED_VALUE"""),FALSE)</f>
        <v>0</v>
      </c>
      <c r="L995" s="20" t="str">
        <f>IFERROR(__xludf.DUMMYFUNCTION("""COMPUTED_VALUE"""),"Array;Breadth-First Search;Matrix;")</f>
        <v>Array;Breadth-First Search;Matrix;</v>
      </c>
      <c r="M995" s="20" t="b">
        <f>IFERROR(__xludf.DUMMYFUNCTION("""COMPUTED_VALUE"""),TRUE)</f>
        <v>1</v>
      </c>
      <c r="N995" s="20" t="b">
        <f>IFERROR(__xludf.DUMMYFUNCTION("""COMPUTED_VALUE"""),FALSE)</f>
        <v>0</v>
      </c>
      <c r="O995" s="20">
        <f>IFERROR(__xludf.DUMMYFUNCTION("""COMPUTED_VALUE"""),52.6447232605057)</f>
        <v>52.64472326</v>
      </c>
      <c r="P995" s="20">
        <f>IFERROR(__xludf.DUMMYFUNCTION("""COMPUTED_VALUE"""),538580.0)</f>
        <v>538580</v>
      </c>
      <c r="Q995" s="20">
        <f>IFERROR(__xludf.DUMMYFUNCTION("""COMPUTED_VALUE"""),1023051.0)</f>
        <v>1023051</v>
      </c>
    </row>
    <row r="996">
      <c r="A996" s="20">
        <f>IFERROR(__xludf.DUMMYFUNCTION("""COMPUTED_VALUE"""),1037.0)</f>
        <v>1037</v>
      </c>
      <c r="B996" s="20" t="str">
        <f>IFERROR(__xludf.DUMMYFUNCTION("""COMPUTED_VALUE"""),"Minimum Number of K Consecutive Bit Flips")</f>
        <v>Minimum Number of K Consecutive Bit Flips</v>
      </c>
      <c r="C996" s="20" t="str">
        <f>IFERROR(__xludf.DUMMYFUNCTION("""COMPUTED_VALUE"""),"minimum-number-of-k-consecutive-bit-flips")</f>
        <v>minimum-number-of-k-consecutive-bit-flips</v>
      </c>
      <c r="D996" s="20" t="b">
        <f>IFERROR(__xludf.DUMMYFUNCTION("""COMPUTED_VALUE"""),FALSE)</f>
        <v>0</v>
      </c>
      <c r="E996" s="20" t="str">
        <f>IFERROR(__xludf.DUMMYFUNCTION("""COMPUTED_VALUE"""),"Hard")</f>
        <v>Hard</v>
      </c>
      <c r="F996" s="20">
        <f>IFERROR(__xludf.DUMMYFUNCTION("""COMPUTED_VALUE"""),977.0)</f>
        <v>977</v>
      </c>
      <c r="G996" s="20">
        <f>IFERROR(__xludf.DUMMYFUNCTION("""COMPUTED_VALUE"""),55.0)</f>
        <v>55</v>
      </c>
      <c r="H996" s="20" t="str">
        <f>IFERROR(__xludf.DUMMYFUNCTION("""COMPUTED_VALUE"""),"Algorithms")</f>
        <v>Algorithms</v>
      </c>
      <c r="I996" s="20">
        <f>IFERROR(__xludf.DUMMYFUNCTION("""COMPUTED_VALUE"""),0.511)</f>
        <v>0.511</v>
      </c>
      <c r="J996" s="20">
        <f>IFERROR(__xludf.DUMMYFUNCTION("""COMPUTED_VALUE"""),995.0)</f>
        <v>995</v>
      </c>
      <c r="K996" s="20" t="b">
        <f>IFERROR(__xludf.DUMMYFUNCTION("""COMPUTED_VALUE"""),FALSE)</f>
        <v>0</v>
      </c>
      <c r="L996" s="20" t="str">
        <f>IFERROR(__xludf.DUMMYFUNCTION("""COMPUTED_VALUE"""),"Array;Bit Manipulation;Queue;Sliding Window;Prefix Sum;")</f>
        <v>Array;Bit Manipulation;Queue;Sliding Window;Prefix Sum;</v>
      </c>
      <c r="M996" s="20" t="b">
        <f>IFERROR(__xludf.DUMMYFUNCTION("""COMPUTED_VALUE"""),FALSE)</f>
        <v>0</v>
      </c>
      <c r="N996" s="20" t="b">
        <f>IFERROR(__xludf.DUMMYFUNCTION("""COMPUTED_VALUE"""),FALSE)</f>
        <v>0</v>
      </c>
      <c r="O996" s="20">
        <f>IFERROR(__xludf.DUMMYFUNCTION("""COMPUTED_VALUE"""),51.1490639843531)</f>
        <v>51.14906398</v>
      </c>
      <c r="P996" s="20">
        <f>IFERROR(__xludf.DUMMYFUNCTION("""COMPUTED_VALUE"""),29290.0)</f>
        <v>29290</v>
      </c>
      <c r="Q996" s="20">
        <f>IFERROR(__xludf.DUMMYFUNCTION("""COMPUTED_VALUE"""),57264.0)</f>
        <v>57264</v>
      </c>
    </row>
    <row r="997">
      <c r="A997" s="20">
        <f>IFERROR(__xludf.DUMMYFUNCTION("""COMPUTED_VALUE"""),1038.0)</f>
        <v>1038</v>
      </c>
      <c r="B997" s="20" t="str">
        <f>IFERROR(__xludf.DUMMYFUNCTION("""COMPUTED_VALUE"""),"Number of Squareful Arrays")</f>
        <v>Number of Squareful Arrays</v>
      </c>
      <c r="C997" s="20" t="str">
        <f>IFERROR(__xludf.DUMMYFUNCTION("""COMPUTED_VALUE"""),"number-of-squareful-arrays")</f>
        <v>number-of-squareful-arrays</v>
      </c>
      <c r="D997" s="20" t="b">
        <f>IFERROR(__xludf.DUMMYFUNCTION("""COMPUTED_VALUE"""),FALSE)</f>
        <v>0</v>
      </c>
      <c r="E997" s="20" t="str">
        <f>IFERROR(__xludf.DUMMYFUNCTION("""COMPUTED_VALUE"""),"Hard")</f>
        <v>Hard</v>
      </c>
      <c r="F997" s="20">
        <f>IFERROR(__xludf.DUMMYFUNCTION("""COMPUTED_VALUE"""),810.0)</f>
        <v>810</v>
      </c>
      <c r="G997" s="20">
        <f>IFERROR(__xludf.DUMMYFUNCTION("""COMPUTED_VALUE"""),34.0)</f>
        <v>34</v>
      </c>
      <c r="H997" s="20" t="str">
        <f>IFERROR(__xludf.DUMMYFUNCTION("""COMPUTED_VALUE"""),"Algorithms")</f>
        <v>Algorithms</v>
      </c>
      <c r="I997" s="20">
        <f>IFERROR(__xludf.DUMMYFUNCTION("""COMPUTED_VALUE"""),0.492)</f>
        <v>0.492</v>
      </c>
      <c r="J997" s="20">
        <f>IFERROR(__xludf.DUMMYFUNCTION("""COMPUTED_VALUE"""),996.0)</f>
        <v>996</v>
      </c>
      <c r="K997" s="20" t="b">
        <f>IFERROR(__xludf.DUMMYFUNCTION("""COMPUTED_VALUE"""),FALSE)</f>
        <v>0</v>
      </c>
      <c r="L997" s="20" t="str">
        <f>IFERROR(__xludf.DUMMYFUNCTION("""COMPUTED_VALUE"""),"Array;Math;Dynamic Programming;Backtracking;Bit Manipulation;Bitmask;")</f>
        <v>Array;Math;Dynamic Programming;Backtracking;Bit Manipulation;Bitmask;</v>
      </c>
      <c r="M997" s="20" t="b">
        <f>IFERROR(__xludf.DUMMYFUNCTION("""COMPUTED_VALUE"""),FALSE)</f>
        <v>0</v>
      </c>
      <c r="N997" s="20" t="b">
        <f>IFERROR(__xludf.DUMMYFUNCTION("""COMPUTED_VALUE"""),FALSE)</f>
        <v>0</v>
      </c>
      <c r="O997" s="20">
        <f>IFERROR(__xludf.DUMMYFUNCTION("""COMPUTED_VALUE"""),49.2309486910296)</f>
        <v>49.23094869</v>
      </c>
      <c r="P997" s="20">
        <f>IFERROR(__xludf.DUMMYFUNCTION("""COMPUTED_VALUE"""),29543.0)</f>
        <v>29543</v>
      </c>
      <c r="Q997" s="20">
        <f>IFERROR(__xludf.DUMMYFUNCTION("""COMPUTED_VALUE"""),60008.0)</f>
        <v>60008</v>
      </c>
    </row>
    <row r="998">
      <c r="A998" s="20">
        <f>IFERROR(__xludf.DUMMYFUNCTION("""COMPUTED_VALUE"""),1039.0)</f>
        <v>1039</v>
      </c>
      <c r="B998" s="20" t="str">
        <f>IFERROR(__xludf.DUMMYFUNCTION("""COMPUTED_VALUE"""),"Find the Town Judge")</f>
        <v>Find the Town Judge</v>
      </c>
      <c r="C998" s="20" t="str">
        <f>IFERROR(__xludf.DUMMYFUNCTION("""COMPUTED_VALUE"""),"find-the-town-judge")</f>
        <v>find-the-town-judge</v>
      </c>
      <c r="D998" s="20" t="b">
        <f>IFERROR(__xludf.DUMMYFUNCTION("""COMPUTED_VALUE"""),FALSE)</f>
        <v>0</v>
      </c>
      <c r="E998" s="20" t="str">
        <f>IFERROR(__xludf.DUMMYFUNCTION("""COMPUTED_VALUE"""),"Easy")</f>
        <v>Easy</v>
      </c>
      <c r="F998" s="20">
        <f>IFERROR(__xludf.DUMMYFUNCTION("""COMPUTED_VALUE"""),4191.0)</f>
        <v>4191</v>
      </c>
      <c r="G998" s="20">
        <f>IFERROR(__xludf.DUMMYFUNCTION("""COMPUTED_VALUE"""),306.0)</f>
        <v>306</v>
      </c>
      <c r="H998" s="20" t="str">
        <f>IFERROR(__xludf.DUMMYFUNCTION("""COMPUTED_VALUE"""),"Algorithms")</f>
        <v>Algorithms</v>
      </c>
      <c r="I998" s="20">
        <f>IFERROR(__xludf.DUMMYFUNCTION("""COMPUTED_VALUE"""),0.492)</f>
        <v>0.492</v>
      </c>
      <c r="J998" s="20">
        <f>IFERROR(__xludf.DUMMYFUNCTION("""COMPUTED_VALUE"""),997.0)</f>
        <v>997</v>
      </c>
      <c r="K998" s="20" t="b">
        <f>IFERROR(__xludf.DUMMYFUNCTION("""COMPUTED_VALUE"""),FALSE)</f>
        <v>0</v>
      </c>
      <c r="L998" s="20" t="str">
        <f>IFERROR(__xludf.DUMMYFUNCTION("""COMPUTED_VALUE"""),"Array;Hash Table;Graph;")</f>
        <v>Array;Hash Table;Graph;</v>
      </c>
      <c r="M998" s="20" t="b">
        <f>IFERROR(__xludf.DUMMYFUNCTION("""COMPUTED_VALUE"""),TRUE)</f>
        <v>1</v>
      </c>
      <c r="N998" s="20" t="b">
        <f>IFERROR(__xludf.DUMMYFUNCTION("""COMPUTED_VALUE"""),FALSE)</f>
        <v>0</v>
      </c>
      <c r="O998" s="20">
        <f>IFERROR(__xludf.DUMMYFUNCTION("""COMPUTED_VALUE"""),49.2228502374815)</f>
        <v>49.22285024</v>
      </c>
      <c r="P998" s="20">
        <f>IFERROR(__xludf.DUMMYFUNCTION("""COMPUTED_VALUE"""),321782.0)</f>
        <v>321782</v>
      </c>
      <c r="Q998" s="20">
        <f>IFERROR(__xludf.DUMMYFUNCTION("""COMPUTED_VALUE"""),653728.0)</f>
        <v>653728</v>
      </c>
    </row>
    <row r="999">
      <c r="A999" s="20">
        <f>IFERROR(__xludf.DUMMYFUNCTION("""COMPUTED_VALUE"""),1040.0)</f>
        <v>1040</v>
      </c>
      <c r="B999" s="20" t="str">
        <f>IFERROR(__xludf.DUMMYFUNCTION("""COMPUTED_VALUE"""),"Maximum Binary Tree II")</f>
        <v>Maximum Binary Tree II</v>
      </c>
      <c r="C999" s="20" t="str">
        <f>IFERROR(__xludf.DUMMYFUNCTION("""COMPUTED_VALUE"""),"maximum-binary-tree-ii")</f>
        <v>maximum-binary-tree-ii</v>
      </c>
      <c r="D999" s="20" t="b">
        <f>IFERROR(__xludf.DUMMYFUNCTION("""COMPUTED_VALUE"""),FALSE)</f>
        <v>0</v>
      </c>
      <c r="E999" s="20" t="str">
        <f>IFERROR(__xludf.DUMMYFUNCTION("""COMPUTED_VALUE"""),"Medium")</f>
        <v>Medium</v>
      </c>
      <c r="F999" s="20">
        <f>IFERROR(__xludf.DUMMYFUNCTION("""COMPUTED_VALUE"""),441.0)</f>
        <v>441</v>
      </c>
      <c r="G999" s="20">
        <f>IFERROR(__xludf.DUMMYFUNCTION("""COMPUTED_VALUE"""),713.0)</f>
        <v>713</v>
      </c>
      <c r="H999" s="20" t="str">
        <f>IFERROR(__xludf.DUMMYFUNCTION("""COMPUTED_VALUE"""),"Algorithms")</f>
        <v>Algorithms</v>
      </c>
      <c r="I999" s="20">
        <f>IFERROR(__xludf.DUMMYFUNCTION("""COMPUTED_VALUE"""),0.666)</f>
        <v>0.666</v>
      </c>
      <c r="J999" s="20">
        <f>IFERROR(__xludf.DUMMYFUNCTION("""COMPUTED_VALUE"""),998.0)</f>
        <v>998</v>
      </c>
      <c r="K999" s="20" t="b">
        <f>IFERROR(__xludf.DUMMYFUNCTION("""COMPUTED_VALUE"""),FALSE)</f>
        <v>0</v>
      </c>
      <c r="L999" s="20" t="str">
        <f>IFERROR(__xludf.DUMMYFUNCTION("""COMPUTED_VALUE"""),"Tree;Binary Tree;")</f>
        <v>Tree;Binary Tree;</v>
      </c>
      <c r="M999" s="20" t="b">
        <f>IFERROR(__xludf.DUMMYFUNCTION("""COMPUTED_VALUE"""),FALSE)</f>
        <v>0</v>
      </c>
      <c r="N999" s="20" t="b">
        <f>IFERROR(__xludf.DUMMYFUNCTION("""COMPUTED_VALUE"""),FALSE)</f>
        <v>0</v>
      </c>
      <c r="O999" s="20">
        <f>IFERROR(__xludf.DUMMYFUNCTION("""COMPUTED_VALUE"""),66.5977134214155)</f>
        <v>66.59771342</v>
      </c>
      <c r="P999" s="20">
        <f>IFERROR(__xludf.DUMMYFUNCTION("""COMPUTED_VALUE"""),29941.0)</f>
        <v>29941</v>
      </c>
      <c r="Q999" s="20">
        <f>IFERROR(__xludf.DUMMYFUNCTION("""COMPUTED_VALUE"""),44958.0)</f>
        <v>44958</v>
      </c>
    </row>
    <row r="1000">
      <c r="A1000" s="20">
        <f>IFERROR(__xludf.DUMMYFUNCTION("""COMPUTED_VALUE"""),1041.0)</f>
        <v>1041</v>
      </c>
      <c r="B1000" s="20" t="str">
        <f>IFERROR(__xludf.DUMMYFUNCTION("""COMPUTED_VALUE"""),"Available Captures for Rook")</f>
        <v>Available Captures for Rook</v>
      </c>
      <c r="C1000" s="20" t="str">
        <f>IFERROR(__xludf.DUMMYFUNCTION("""COMPUTED_VALUE"""),"available-captures-for-rook")</f>
        <v>available-captures-for-rook</v>
      </c>
      <c r="D1000" s="20" t="b">
        <f>IFERROR(__xludf.DUMMYFUNCTION("""COMPUTED_VALUE"""),FALSE)</f>
        <v>0</v>
      </c>
      <c r="E1000" s="20" t="str">
        <f>IFERROR(__xludf.DUMMYFUNCTION("""COMPUTED_VALUE"""),"Easy")</f>
        <v>Easy</v>
      </c>
      <c r="F1000" s="20">
        <f>IFERROR(__xludf.DUMMYFUNCTION("""COMPUTED_VALUE"""),520.0)</f>
        <v>520</v>
      </c>
      <c r="G1000" s="20">
        <f>IFERROR(__xludf.DUMMYFUNCTION("""COMPUTED_VALUE"""),599.0)</f>
        <v>599</v>
      </c>
      <c r="H1000" s="20" t="str">
        <f>IFERROR(__xludf.DUMMYFUNCTION("""COMPUTED_VALUE"""),"Algorithms")</f>
        <v>Algorithms</v>
      </c>
      <c r="I1000" s="20">
        <f>IFERROR(__xludf.DUMMYFUNCTION("""COMPUTED_VALUE"""),0.68)</f>
        <v>0.68</v>
      </c>
      <c r="J1000" s="20">
        <f>IFERROR(__xludf.DUMMYFUNCTION("""COMPUTED_VALUE"""),999.0)</f>
        <v>999</v>
      </c>
      <c r="K1000" s="20" t="b">
        <f>IFERROR(__xludf.DUMMYFUNCTION("""COMPUTED_VALUE"""),FALSE)</f>
        <v>0</v>
      </c>
      <c r="L1000" s="20" t="str">
        <f>IFERROR(__xludf.DUMMYFUNCTION("""COMPUTED_VALUE"""),"Array;Matrix;Simulation;")</f>
        <v>Array;Matrix;Simulation;</v>
      </c>
      <c r="M1000" s="20" t="b">
        <f>IFERROR(__xludf.DUMMYFUNCTION("""COMPUTED_VALUE"""),FALSE)</f>
        <v>0</v>
      </c>
      <c r="N1000" s="20" t="b">
        <f>IFERROR(__xludf.DUMMYFUNCTION("""COMPUTED_VALUE"""),FALSE)</f>
        <v>0</v>
      </c>
      <c r="O1000" s="20">
        <f>IFERROR(__xludf.DUMMYFUNCTION("""COMPUTED_VALUE"""),67.9581190482049)</f>
        <v>67.95811905</v>
      </c>
      <c r="P1000" s="20">
        <f>IFERROR(__xludf.DUMMYFUNCTION("""COMPUTED_VALUE"""),55233.0)</f>
        <v>55233</v>
      </c>
      <c r="Q1000" s="20">
        <f>IFERROR(__xludf.DUMMYFUNCTION("""COMPUTED_VALUE"""),81276.0)</f>
        <v>81276</v>
      </c>
    </row>
    <row r="1001">
      <c r="A1001" s="20">
        <f>IFERROR(__xludf.DUMMYFUNCTION("""COMPUTED_VALUE"""),1042.0)</f>
        <v>1042</v>
      </c>
      <c r="B1001" s="20" t="str">
        <f>IFERROR(__xludf.DUMMYFUNCTION("""COMPUTED_VALUE"""),"Minimum Cost to Merge Stones")</f>
        <v>Minimum Cost to Merge Stones</v>
      </c>
      <c r="C1001" s="20" t="str">
        <f>IFERROR(__xludf.DUMMYFUNCTION("""COMPUTED_VALUE"""),"minimum-cost-to-merge-stones")</f>
        <v>minimum-cost-to-merge-stones</v>
      </c>
      <c r="D1001" s="20" t="b">
        <f>IFERROR(__xludf.DUMMYFUNCTION("""COMPUTED_VALUE"""),FALSE)</f>
        <v>0</v>
      </c>
      <c r="E1001" s="20" t="str">
        <f>IFERROR(__xludf.DUMMYFUNCTION("""COMPUTED_VALUE"""),"Hard")</f>
        <v>Hard</v>
      </c>
      <c r="F1001" s="20">
        <f>IFERROR(__xludf.DUMMYFUNCTION("""COMPUTED_VALUE"""),1998.0)</f>
        <v>1998</v>
      </c>
      <c r="G1001" s="20">
        <f>IFERROR(__xludf.DUMMYFUNCTION("""COMPUTED_VALUE"""),95.0)</f>
        <v>95</v>
      </c>
      <c r="H1001" s="20" t="str">
        <f>IFERROR(__xludf.DUMMYFUNCTION("""COMPUTED_VALUE"""),"Algorithms")</f>
        <v>Algorithms</v>
      </c>
      <c r="I1001" s="20">
        <f>IFERROR(__xludf.DUMMYFUNCTION("""COMPUTED_VALUE"""),0.424)</f>
        <v>0.424</v>
      </c>
      <c r="J1001" s="20">
        <f>IFERROR(__xludf.DUMMYFUNCTION("""COMPUTED_VALUE"""),1000.0)</f>
        <v>1000</v>
      </c>
      <c r="K1001" s="20" t="b">
        <f>IFERROR(__xludf.DUMMYFUNCTION("""COMPUTED_VALUE"""),FALSE)</f>
        <v>0</v>
      </c>
      <c r="L1001" s="20" t="str">
        <f>IFERROR(__xludf.DUMMYFUNCTION("""COMPUTED_VALUE"""),"Array;Dynamic Programming;")</f>
        <v>Array;Dynamic Programming;</v>
      </c>
      <c r="M1001" s="20" t="b">
        <f>IFERROR(__xludf.DUMMYFUNCTION("""COMPUTED_VALUE"""),FALSE)</f>
        <v>0</v>
      </c>
      <c r="N1001" s="20" t="b">
        <f>IFERROR(__xludf.DUMMYFUNCTION("""COMPUTED_VALUE"""),FALSE)</f>
        <v>0</v>
      </c>
      <c r="O1001" s="20">
        <f>IFERROR(__xludf.DUMMYFUNCTION("""COMPUTED_VALUE"""),42.3535091267304)</f>
        <v>42.35350913</v>
      </c>
      <c r="P1001" s="20">
        <f>IFERROR(__xludf.DUMMYFUNCTION("""COMPUTED_VALUE"""),32461.0)</f>
        <v>32461</v>
      </c>
      <c r="Q1001" s="20">
        <f>IFERROR(__xludf.DUMMYFUNCTION("""COMPUTED_VALUE"""),76641.0)</f>
        <v>76641</v>
      </c>
    </row>
    <row r="1002">
      <c r="A1002" s="20">
        <f>IFERROR(__xludf.DUMMYFUNCTION("""COMPUTED_VALUE"""),1043.0)</f>
        <v>1043</v>
      </c>
      <c r="B1002" s="20" t="str">
        <f>IFERROR(__xludf.DUMMYFUNCTION("""COMPUTED_VALUE"""),"Grid Illumination")</f>
        <v>Grid Illumination</v>
      </c>
      <c r="C1002" s="20" t="str">
        <f>IFERROR(__xludf.DUMMYFUNCTION("""COMPUTED_VALUE"""),"grid-illumination")</f>
        <v>grid-illumination</v>
      </c>
      <c r="D1002" s="20" t="b">
        <f>IFERROR(__xludf.DUMMYFUNCTION("""COMPUTED_VALUE"""),FALSE)</f>
        <v>0</v>
      </c>
      <c r="E1002" s="20" t="str">
        <f>IFERROR(__xludf.DUMMYFUNCTION("""COMPUTED_VALUE"""),"Hard")</f>
        <v>Hard</v>
      </c>
      <c r="F1002" s="20">
        <f>IFERROR(__xludf.DUMMYFUNCTION("""COMPUTED_VALUE"""),511.0)</f>
        <v>511</v>
      </c>
      <c r="G1002" s="20">
        <f>IFERROR(__xludf.DUMMYFUNCTION("""COMPUTED_VALUE"""),127.0)</f>
        <v>127</v>
      </c>
      <c r="H1002" s="20" t="str">
        <f>IFERROR(__xludf.DUMMYFUNCTION("""COMPUTED_VALUE"""),"Algorithms")</f>
        <v>Algorithms</v>
      </c>
      <c r="I1002" s="20">
        <f>IFERROR(__xludf.DUMMYFUNCTION("""COMPUTED_VALUE"""),0.362)</f>
        <v>0.362</v>
      </c>
      <c r="J1002" s="20">
        <f>IFERROR(__xludf.DUMMYFUNCTION("""COMPUTED_VALUE"""),1001.0)</f>
        <v>1001</v>
      </c>
      <c r="K1002" s="20" t="b">
        <f>IFERROR(__xludf.DUMMYFUNCTION("""COMPUTED_VALUE"""),FALSE)</f>
        <v>0</v>
      </c>
      <c r="L1002" s="20" t="str">
        <f>IFERROR(__xludf.DUMMYFUNCTION("""COMPUTED_VALUE"""),"Array;Hash Table;")</f>
        <v>Array;Hash Table;</v>
      </c>
      <c r="M1002" s="20" t="b">
        <f>IFERROR(__xludf.DUMMYFUNCTION("""COMPUTED_VALUE"""),FALSE)</f>
        <v>0</v>
      </c>
      <c r="N1002" s="20" t="b">
        <f>IFERROR(__xludf.DUMMYFUNCTION("""COMPUTED_VALUE"""),FALSE)</f>
        <v>0</v>
      </c>
      <c r="O1002" s="20">
        <f>IFERROR(__xludf.DUMMYFUNCTION("""COMPUTED_VALUE"""),36.2191931127616)</f>
        <v>36.21919311</v>
      </c>
      <c r="P1002" s="20">
        <f>IFERROR(__xludf.DUMMYFUNCTION("""COMPUTED_VALUE"""),17165.0)</f>
        <v>17165</v>
      </c>
      <c r="Q1002" s="20">
        <f>IFERROR(__xludf.DUMMYFUNCTION("""COMPUTED_VALUE"""),47392.0)</f>
        <v>47392</v>
      </c>
    </row>
    <row r="1003">
      <c r="A1003" s="20">
        <f>IFERROR(__xludf.DUMMYFUNCTION("""COMPUTED_VALUE"""),1044.0)</f>
        <v>1044</v>
      </c>
      <c r="B1003" s="20" t="str">
        <f>IFERROR(__xludf.DUMMYFUNCTION("""COMPUTED_VALUE"""),"Find Common Characters")</f>
        <v>Find Common Characters</v>
      </c>
      <c r="C1003" s="20" t="str">
        <f>IFERROR(__xludf.DUMMYFUNCTION("""COMPUTED_VALUE"""),"find-common-characters")</f>
        <v>find-common-characters</v>
      </c>
      <c r="D1003" s="20" t="b">
        <f>IFERROR(__xludf.DUMMYFUNCTION("""COMPUTED_VALUE"""),FALSE)</f>
        <v>0</v>
      </c>
      <c r="E1003" s="20" t="str">
        <f>IFERROR(__xludf.DUMMYFUNCTION("""COMPUTED_VALUE"""),"Easy")</f>
        <v>Easy</v>
      </c>
      <c r="F1003" s="20">
        <f>IFERROR(__xludf.DUMMYFUNCTION("""COMPUTED_VALUE"""),2804.0)</f>
        <v>2804</v>
      </c>
      <c r="G1003" s="20">
        <f>IFERROR(__xludf.DUMMYFUNCTION("""COMPUTED_VALUE"""),229.0)</f>
        <v>229</v>
      </c>
      <c r="H1003" s="20" t="str">
        <f>IFERROR(__xludf.DUMMYFUNCTION("""COMPUTED_VALUE"""),"Algorithms")</f>
        <v>Algorithms</v>
      </c>
      <c r="I1003" s="20">
        <f>IFERROR(__xludf.DUMMYFUNCTION("""COMPUTED_VALUE"""),0.684)</f>
        <v>0.684</v>
      </c>
      <c r="J1003" s="20">
        <f>IFERROR(__xludf.DUMMYFUNCTION("""COMPUTED_VALUE"""),1002.0)</f>
        <v>1002</v>
      </c>
      <c r="K1003" s="20" t="b">
        <f>IFERROR(__xludf.DUMMYFUNCTION("""COMPUTED_VALUE"""),FALSE)</f>
        <v>0</v>
      </c>
      <c r="L1003" s="20" t="str">
        <f>IFERROR(__xludf.DUMMYFUNCTION("""COMPUTED_VALUE"""),"Array;Hash Table;String;")</f>
        <v>Array;Hash Table;String;</v>
      </c>
      <c r="M1003" s="20" t="b">
        <f>IFERROR(__xludf.DUMMYFUNCTION("""COMPUTED_VALUE"""),FALSE)</f>
        <v>0</v>
      </c>
      <c r="N1003" s="20" t="b">
        <f>IFERROR(__xludf.DUMMYFUNCTION("""COMPUTED_VALUE"""),FALSE)</f>
        <v>0</v>
      </c>
      <c r="O1003" s="20">
        <f>IFERROR(__xludf.DUMMYFUNCTION("""COMPUTED_VALUE"""),68.3921597524132)</f>
        <v>68.39215975</v>
      </c>
      <c r="P1003" s="20">
        <f>IFERROR(__xludf.DUMMYFUNCTION("""COMPUTED_VALUE"""),167066.0)</f>
        <v>167066</v>
      </c>
      <c r="Q1003" s="20">
        <f>IFERROR(__xludf.DUMMYFUNCTION("""COMPUTED_VALUE"""),244276.0)</f>
        <v>244276</v>
      </c>
    </row>
    <row r="1004">
      <c r="A1004" s="20">
        <f>IFERROR(__xludf.DUMMYFUNCTION("""COMPUTED_VALUE"""),1045.0)</f>
        <v>1045</v>
      </c>
      <c r="B1004" s="20" t="str">
        <f>IFERROR(__xludf.DUMMYFUNCTION("""COMPUTED_VALUE"""),"Check If Word Is Valid After Substitutions")</f>
        <v>Check If Word Is Valid After Substitutions</v>
      </c>
      <c r="C1004" s="20" t="str">
        <f>IFERROR(__xludf.DUMMYFUNCTION("""COMPUTED_VALUE"""),"check-if-word-is-valid-after-substitutions")</f>
        <v>check-if-word-is-valid-after-substitutions</v>
      </c>
      <c r="D1004" s="20" t="b">
        <f>IFERROR(__xludf.DUMMYFUNCTION("""COMPUTED_VALUE"""),FALSE)</f>
        <v>0</v>
      </c>
      <c r="E1004" s="20" t="str">
        <f>IFERROR(__xludf.DUMMYFUNCTION("""COMPUTED_VALUE"""),"Medium")</f>
        <v>Medium</v>
      </c>
      <c r="F1004" s="20">
        <f>IFERROR(__xludf.DUMMYFUNCTION("""COMPUTED_VALUE"""),742.0)</f>
        <v>742</v>
      </c>
      <c r="G1004" s="20">
        <f>IFERROR(__xludf.DUMMYFUNCTION("""COMPUTED_VALUE"""),454.0)</f>
        <v>454</v>
      </c>
      <c r="H1004" s="20" t="str">
        <f>IFERROR(__xludf.DUMMYFUNCTION("""COMPUTED_VALUE"""),"Algorithms")</f>
        <v>Algorithms</v>
      </c>
      <c r="I1004" s="20">
        <f>IFERROR(__xludf.DUMMYFUNCTION("""COMPUTED_VALUE"""),0.582)</f>
        <v>0.582</v>
      </c>
      <c r="J1004" s="20">
        <f>IFERROR(__xludf.DUMMYFUNCTION("""COMPUTED_VALUE"""),1003.0)</f>
        <v>1003</v>
      </c>
      <c r="K1004" s="20" t="b">
        <f>IFERROR(__xludf.DUMMYFUNCTION("""COMPUTED_VALUE"""),FALSE)</f>
        <v>0</v>
      </c>
      <c r="L1004" s="20" t="str">
        <f>IFERROR(__xludf.DUMMYFUNCTION("""COMPUTED_VALUE"""),"String;Stack;")</f>
        <v>String;Stack;</v>
      </c>
      <c r="M1004" s="20" t="b">
        <f>IFERROR(__xludf.DUMMYFUNCTION("""COMPUTED_VALUE"""),FALSE)</f>
        <v>0</v>
      </c>
      <c r="N1004" s="20" t="b">
        <f>IFERROR(__xludf.DUMMYFUNCTION("""COMPUTED_VALUE"""),FALSE)</f>
        <v>0</v>
      </c>
      <c r="O1004" s="20">
        <f>IFERROR(__xludf.DUMMYFUNCTION("""COMPUTED_VALUE"""),58.1588719327897)</f>
        <v>58.15887193</v>
      </c>
      <c r="P1004" s="20">
        <f>IFERROR(__xludf.DUMMYFUNCTION("""COMPUTED_VALUE"""),47143.0)</f>
        <v>47143</v>
      </c>
      <c r="Q1004" s="20">
        <f>IFERROR(__xludf.DUMMYFUNCTION("""COMPUTED_VALUE"""),81059.0)</f>
        <v>81059</v>
      </c>
    </row>
    <row r="1005">
      <c r="A1005" s="20">
        <f>IFERROR(__xludf.DUMMYFUNCTION("""COMPUTED_VALUE"""),1046.0)</f>
        <v>1046</v>
      </c>
      <c r="B1005" s="20" t="str">
        <f>IFERROR(__xludf.DUMMYFUNCTION("""COMPUTED_VALUE"""),"Max Consecutive Ones III")</f>
        <v>Max Consecutive Ones III</v>
      </c>
      <c r="C1005" s="20" t="str">
        <f>IFERROR(__xludf.DUMMYFUNCTION("""COMPUTED_VALUE"""),"max-consecutive-ones-iii")</f>
        <v>max-consecutive-ones-iii</v>
      </c>
      <c r="D1005" s="20" t="b">
        <f>IFERROR(__xludf.DUMMYFUNCTION("""COMPUTED_VALUE"""),FALSE)</f>
        <v>0</v>
      </c>
      <c r="E1005" s="20" t="str">
        <f>IFERROR(__xludf.DUMMYFUNCTION("""COMPUTED_VALUE"""),"Medium")</f>
        <v>Medium</v>
      </c>
      <c r="F1005" s="20">
        <f>IFERROR(__xludf.DUMMYFUNCTION("""COMPUTED_VALUE"""),5711.0)</f>
        <v>5711</v>
      </c>
      <c r="G1005" s="20">
        <f>IFERROR(__xludf.DUMMYFUNCTION("""COMPUTED_VALUE"""),67.0)</f>
        <v>67</v>
      </c>
      <c r="H1005" s="20" t="str">
        <f>IFERROR(__xludf.DUMMYFUNCTION("""COMPUTED_VALUE"""),"Algorithms")</f>
        <v>Algorithms</v>
      </c>
      <c r="I1005" s="20">
        <f>IFERROR(__xludf.DUMMYFUNCTION("""COMPUTED_VALUE"""),0.633)</f>
        <v>0.633</v>
      </c>
      <c r="J1005" s="20">
        <f>IFERROR(__xludf.DUMMYFUNCTION("""COMPUTED_VALUE"""),1004.0)</f>
        <v>1004</v>
      </c>
      <c r="K1005" s="20" t="b">
        <f>IFERROR(__xludf.DUMMYFUNCTION("""COMPUTED_VALUE"""),FALSE)</f>
        <v>0</v>
      </c>
      <c r="L1005" s="20" t="str">
        <f>IFERROR(__xludf.DUMMYFUNCTION("""COMPUTED_VALUE"""),"Array;Binary Search;Sliding Window;Prefix Sum;")</f>
        <v>Array;Binary Search;Sliding Window;Prefix Sum;</v>
      </c>
      <c r="M1005" s="20" t="b">
        <f>IFERROR(__xludf.DUMMYFUNCTION("""COMPUTED_VALUE"""),TRUE)</f>
        <v>1</v>
      </c>
      <c r="N1005" s="20" t="b">
        <f>IFERROR(__xludf.DUMMYFUNCTION("""COMPUTED_VALUE"""),FALSE)</f>
        <v>0</v>
      </c>
      <c r="O1005" s="20">
        <f>IFERROR(__xludf.DUMMYFUNCTION("""COMPUTED_VALUE"""),63.3266023095972)</f>
        <v>63.32660231</v>
      </c>
      <c r="P1005" s="20">
        <f>IFERROR(__xludf.DUMMYFUNCTION("""COMPUTED_VALUE"""),268759.0)</f>
        <v>268759</v>
      </c>
      <c r="Q1005" s="20">
        <f>IFERROR(__xludf.DUMMYFUNCTION("""COMPUTED_VALUE"""),424399.0)</f>
        <v>424399</v>
      </c>
    </row>
    <row r="1006">
      <c r="A1006" s="20">
        <f>IFERROR(__xludf.DUMMYFUNCTION("""COMPUTED_VALUE"""),1047.0)</f>
        <v>1047</v>
      </c>
      <c r="B1006" s="20" t="str">
        <f>IFERROR(__xludf.DUMMYFUNCTION("""COMPUTED_VALUE"""),"Maximize Sum Of Array After K Negations")</f>
        <v>Maximize Sum Of Array After K Negations</v>
      </c>
      <c r="C1006" s="20" t="str">
        <f>IFERROR(__xludf.DUMMYFUNCTION("""COMPUTED_VALUE"""),"maximize-sum-of-array-after-k-negations")</f>
        <v>maximize-sum-of-array-after-k-negations</v>
      </c>
      <c r="D1006" s="20" t="b">
        <f>IFERROR(__xludf.DUMMYFUNCTION("""COMPUTED_VALUE"""),FALSE)</f>
        <v>0</v>
      </c>
      <c r="E1006" s="20" t="str">
        <f>IFERROR(__xludf.DUMMYFUNCTION("""COMPUTED_VALUE"""),"Easy")</f>
        <v>Easy</v>
      </c>
      <c r="F1006" s="20">
        <f>IFERROR(__xludf.DUMMYFUNCTION("""COMPUTED_VALUE"""),1214.0)</f>
        <v>1214</v>
      </c>
      <c r="G1006" s="20">
        <f>IFERROR(__xludf.DUMMYFUNCTION("""COMPUTED_VALUE"""),93.0)</f>
        <v>93</v>
      </c>
      <c r="H1006" s="20" t="str">
        <f>IFERROR(__xludf.DUMMYFUNCTION("""COMPUTED_VALUE"""),"Algorithms")</f>
        <v>Algorithms</v>
      </c>
      <c r="I1006" s="20">
        <f>IFERROR(__xludf.DUMMYFUNCTION("""COMPUTED_VALUE"""),0.51)</f>
        <v>0.51</v>
      </c>
      <c r="J1006" s="20">
        <f>IFERROR(__xludf.DUMMYFUNCTION("""COMPUTED_VALUE"""),1005.0)</f>
        <v>1005</v>
      </c>
      <c r="K1006" s="20" t="b">
        <f>IFERROR(__xludf.DUMMYFUNCTION("""COMPUTED_VALUE"""),FALSE)</f>
        <v>0</v>
      </c>
      <c r="L1006" s="20" t="str">
        <f>IFERROR(__xludf.DUMMYFUNCTION("""COMPUTED_VALUE"""),"Array;Greedy;Sorting;")</f>
        <v>Array;Greedy;Sorting;</v>
      </c>
      <c r="M1006" s="20" t="b">
        <f>IFERROR(__xludf.DUMMYFUNCTION("""COMPUTED_VALUE"""),FALSE)</f>
        <v>0</v>
      </c>
      <c r="N1006" s="20" t="b">
        <f>IFERROR(__xludf.DUMMYFUNCTION("""COMPUTED_VALUE"""),FALSE)</f>
        <v>0</v>
      </c>
      <c r="O1006" s="20">
        <f>IFERROR(__xludf.DUMMYFUNCTION("""COMPUTED_VALUE"""),50.9570189092141)</f>
        <v>50.95701891</v>
      </c>
      <c r="P1006" s="20">
        <f>IFERROR(__xludf.DUMMYFUNCTION("""COMPUTED_VALUE"""),66130.0)</f>
        <v>66130</v>
      </c>
      <c r="Q1006" s="20">
        <f>IFERROR(__xludf.DUMMYFUNCTION("""COMPUTED_VALUE"""),129776.0)</f>
        <v>129776</v>
      </c>
    </row>
    <row r="1007">
      <c r="A1007" s="20">
        <f>IFERROR(__xludf.DUMMYFUNCTION("""COMPUTED_VALUE"""),1048.0)</f>
        <v>1048</v>
      </c>
      <c r="B1007" s="20" t="str">
        <f>IFERROR(__xludf.DUMMYFUNCTION("""COMPUTED_VALUE"""),"Clumsy Factorial")</f>
        <v>Clumsy Factorial</v>
      </c>
      <c r="C1007" s="20" t="str">
        <f>IFERROR(__xludf.DUMMYFUNCTION("""COMPUTED_VALUE"""),"clumsy-factorial")</f>
        <v>clumsy-factorial</v>
      </c>
      <c r="D1007" s="20" t="b">
        <f>IFERROR(__xludf.DUMMYFUNCTION("""COMPUTED_VALUE"""),FALSE)</f>
        <v>0</v>
      </c>
      <c r="E1007" s="20" t="str">
        <f>IFERROR(__xludf.DUMMYFUNCTION("""COMPUTED_VALUE"""),"Medium")</f>
        <v>Medium</v>
      </c>
      <c r="F1007" s="20">
        <f>IFERROR(__xludf.DUMMYFUNCTION("""COMPUTED_VALUE"""),256.0)</f>
        <v>256</v>
      </c>
      <c r="G1007" s="20">
        <f>IFERROR(__xludf.DUMMYFUNCTION("""COMPUTED_VALUE"""),279.0)</f>
        <v>279</v>
      </c>
      <c r="H1007" s="20" t="str">
        <f>IFERROR(__xludf.DUMMYFUNCTION("""COMPUTED_VALUE"""),"Algorithms")</f>
        <v>Algorithms</v>
      </c>
      <c r="I1007" s="20">
        <f>IFERROR(__xludf.DUMMYFUNCTION("""COMPUTED_VALUE"""),0.551)</f>
        <v>0.551</v>
      </c>
      <c r="J1007" s="20">
        <f>IFERROR(__xludf.DUMMYFUNCTION("""COMPUTED_VALUE"""),1006.0)</f>
        <v>1006</v>
      </c>
      <c r="K1007" s="20" t="b">
        <f>IFERROR(__xludf.DUMMYFUNCTION("""COMPUTED_VALUE"""),FALSE)</f>
        <v>0</v>
      </c>
      <c r="L1007" s="20" t="str">
        <f>IFERROR(__xludf.DUMMYFUNCTION("""COMPUTED_VALUE"""),"Math;Stack;Simulation;")</f>
        <v>Math;Stack;Simulation;</v>
      </c>
      <c r="M1007" s="20" t="b">
        <f>IFERROR(__xludf.DUMMYFUNCTION("""COMPUTED_VALUE"""),FALSE)</f>
        <v>0</v>
      </c>
      <c r="N1007" s="20" t="b">
        <f>IFERROR(__xludf.DUMMYFUNCTION("""COMPUTED_VALUE"""),FALSE)</f>
        <v>0</v>
      </c>
      <c r="O1007" s="20">
        <f>IFERROR(__xludf.DUMMYFUNCTION("""COMPUTED_VALUE"""),55.1214909176692)</f>
        <v>55.12149092</v>
      </c>
      <c r="P1007" s="20">
        <f>IFERROR(__xludf.DUMMYFUNCTION("""COMPUTED_VALUE"""),23366.0)</f>
        <v>23366</v>
      </c>
      <c r="Q1007" s="20">
        <f>IFERROR(__xludf.DUMMYFUNCTION("""COMPUTED_VALUE"""),42390.0)</f>
        <v>42390</v>
      </c>
    </row>
    <row r="1008">
      <c r="A1008" s="20">
        <f>IFERROR(__xludf.DUMMYFUNCTION("""COMPUTED_VALUE"""),1049.0)</f>
        <v>1049</v>
      </c>
      <c r="B1008" s="20" t="str">
        <f>IFERROR(__xludf.DUMMYFUNCTION("""COMPUTED_VALUE"""),"Minimum Domino Rotations For Equal Row")</f>
        <v>Minimum Domino Rotations For Equal Row</v>
      </c>
      <c r="C1008" s="20" t="str">
        <f>IFERROR(__xludf.DUMMYFUNCTION("""COMPUTED_VALUE"""),"minimum-domino-rotations-for-equal-row")</f>
        <v>minimum-domino-rotations-for-equal-row</v>
      </c>
      <c r="D1008" s="20" t="b">
        <f>IFERROR(__xludf.DUMMYFUNCTION("""COMPUTED_VALUE"""),FALSE)</f>
        <v>0</v>
      </c>
      <c r="E1008" s="20" t="str">
        <f>IFERROR(__xludf.DUMMYFUNCTION("""COMPUTED_VALUE"""),"Medium")</f>
        <v>Medium</v>
      </c>
      <c r="F1008" s="20">
        <f>IFERROR(__xludf.DUMMYFUNCTION("""COMPUTED_VALUE"""),2639.0)</f>
        <v>2639</v>
      </c>
      <c r="G1008" s="20">
        <f>IFERROR(__xludf.DUMMYFUNCTION("""COMPUTED_VALUE"""),242.0)</f>
        <v>242</v>
      </c>
      <c r="H1008" s="20" t="str">
        <f>IFERROR(__xludf.DUMMYFUNCTION("""COMPUTED_VALUE"""),"Algorithms")</f>
        <v>Algorithms</v>
      </c>
      <c r="I1008" s="20">
        <f>IFERROR(__xludf.DUMMYFUNCTION("""COMPUTED_VALUE"""),0.523)</f>
        <v>0.523</v>
      </c>
      <c r="J1008" s="20">
        <f>IFERROR(__xludf.DUMMYFUNCTION("""COMPUTED_VALUE"""),1007.0)</f>
        <v>1007</v>
      </c>
      <c r="K1008" s="20" t="b">
        <f>IFERROR(__xludf.DUMMYFUNCTION("""COMPUTED_VALUE"""),FALSE)</f>
        <v>0</v>
      </c>
      <c r="L1008" s="20" t="str">
        <f>IFERROR(__xludf.DUMMYFUNCTION("""COMPUTED_VALUE"""),"Array;Greedy;")</f>
        <v>Array;Greedy;</v>
      </c>
      <c r="M1008" s="20" t="b">
        <f>IFERROR(__xludf.DUMMYFUNCTION("""COMPUTED_VALUE"""),TRUE)</f>
        <v>1</v>
      </c>
      <c r="N1008" s="20" t="b">
        <f>IFERROR(__xludf.DUMMYFUNCTION("""COMPUTED_VALUE"""),FALSE)</f>
        <v>0</v>
      </c>
      <c r="O1008" s="20">
        <f>IFERROR(__xludf.DUMMYFUNCTION("""COMPUTED_VALUE"""),52.3361020879102)</f>
        <v>52.33610209</v>
      </c>
      <c r="P1008" s="20">
        <f>IFERROR(__xludf.DUMMYFUNCTION("""COMPUTED_VALUE"""),189149.0)</f>
        <v>189149</v>
      </c>
      <c r="Q1008" s="20">
        <f>IFERROR(__xludf.DUMMYFUNCTION("""COMPUTED_VALUE"""),361413.0)</f>
        <v>361413</v>
      </c>
    </row>
    <row r="1009">
      <c r="A1009" s="20">
        <f>IFERROR(__xludf.DUMMYFUNCTION("""COMPUTED_VALUE"""),1050.0)</f>
        <v>1050</v>
      </c>
      <c r="B1009" s="20" t="str">
        <f>IFERROR(__xludf.DUMMYFUNCTION("""COMPUTED_VALUE"""),"Construct Binary Search Tree from Preorder Traversal")</f>
        <v>Construct Binary Search Tree from Preorder Traversal</v>
      </c>
      <c r="C1009" s="20" t="str">
        <f>IFERROR(__xludf.DUMMYFUNCTION("""COMPUTED_VALUE"""),"construct-binary-search-tree-from-preorder-traversal")</f>
        <v>construct-binary-search-tree-from-preorder-traversal</v>
      </c>
      <c r="D1009" s="20" t="b">
        <f>IFERROR(__xludf.DUMMYFUNCTION("""COMPUTED_VALUE"""),FALSE)</f>
        <v>0</v>
      </c>
      <c r="E1009" s="20" t="str">
        <f>IFERROR(__xludf.DUMMYFUNCTION("""COMPUTED_VALUE"""),"Medium")</f>
        <v>Medium</v>
      </c>
      <c r="F1009" s="20">
        <f>IFERROR(__xludf.DUMMYFUNCTION("""COMPUTED_VALUE"""),4797.0)</f>
        <v>4797</v>
      </c>
      <c r="G1009" s="20">
        <f>IFERROR(__xludf.DUMMYFUNCTION("""COMPUTED_VALUE"""),64.0)</f>
        <v>64</v>
      </c>
      <c r="H1009" s="20" t="str">
        <f>IFERROR(__xludf.DUMMYFUNCTION("""COMPUTED_VALUE"""),"Algorithms")</f>
        <v>Algorithms</v>
      </c>
      <c r="I1009" s="20">
        <f>IFERROR(__xludf.DUMMYFUNCTION("""COMPUTED_VALUE"""),0.81)</f>
        <v>0.81</v>
      </c>
      <c r="J1009" s="20">
        <f>IFERROR(__xludf.DUMMYFUNCTION("""COMPUTED_VALUE"""),1008.0)</f>
        <v>1008</v>
      </c>
      <c r="K1009" s="20" t="b">
        <f>IFERROR(__xludf.DUMMYFUNCTION("""COMPUTED_VALUE"""),FALSE)</f>
        <v>0</v>
      </c>
      <c r="L1009" s="20" t="str">
        <f>IFERROR(__xludf.DUMMYFUNCTION("""COMPUTED_VALUE"""),"Array;Stack;Tree;Binary Search Tree;Monotonic Stack;Binary Tree;")</f>
        <v>Array;Stack;Tree;Binary Search Tree;Monotonic Stack;Binary Tree;</v>
      </c>
      <c r="M1009" s="20" t="b">
        <f>IFERROR(__xludf.DUMMYFUNCTION("""COMPUTED_VALUE"""),TRUE)</f>
        <v>1</v>
      </c>
      <c r="N1009" s="20" t="b">
        <f>IFERROR(__xludf.DUMMYFUNCTION("""COMPUTED_VALUE"""),FALSE)</f>
        <v>0</v>
      </c>
      <c r="O1009" s="20">
        <f>IFERROR(__xludf.DUMMYFUNCTION("""COMPUTED_VALUE"""),80.9708783233204)</f>
        <v>80.97087832</v>
      </c>
      <c r="P1009" s="20">
        <f>IFERROR(__xludf.DUMMYFUNCTION("""COMPUTED_VALUE"""),277232.0)</f>
        <v>277232</v>
      </c>
      <c r="Q1009" s="20">
        <f>IFERROR(__xludf.DUMMYFUNCTION("""COMPUTED_VALUE"""),342386.0)</f>
        <v>342386</v>
      </c>
    </row>
    <row r="1010">
      <c r="A1010" s="20">
        <f>IFERROR(__xludf.DUMMYFUNCTION("""COMPUTED_VALUE"""),1054.0)</f>
        <v>1054</v>
      </c>
      <c r="B1010" s="20" t="str">
        <f>IFERROR(__xludf.DUMMYFUNCTION("""COMPUTED_VALUE"""),"Complement of Base 10 Integer")</f>
        <v>Complement of Base 10 Integer</v>
      </c>
      <c r="C1010" s="20" t="str">
        <f>IFERROR(__xludf.DUMMYFUNCTION("""COMPUTED_VALUE"""),"complement-of-base-10-integer")</f>
        <v>complement-of-base-10-integer</v>
      </c>
      <c r="D1010" s="20" t="b">
        <f>IFERROR(__xludf.DUMMYFUNCTION("""COMPUTED_VALUE"""),FALSE)</f>
        <v>0</v>
      </c>
      <c r="E1010" s="20" t="str">
        <f>IFERROR(__xludf.DUMMYFUNCTION("""COMPUTED_VALUE"""),"Easy")</f>
        <v>Easy</v>
      </c>
      <c r="F1010" s="20">
        <f>IFERROR(__xludf.DUMMYFUNCTION("""COMPUTED_VALUE"""),1783.0)</f>
        <v>1783</v>
      </c>
      <c r="G1010" s="20">
        <f>IFERROR(__xludf.DUMMYFUNCTION("""COMPUTED_VALUE"""),87.0)</f>
        <v>87</v>
      </c>
      <c r="H1010" s="20" t="str">
        <f>IFERROR(__xludf.DUMMYFUNCTION("""COMPUTED_VALUE"""),"Algorithms")</f>
        <v>Algorithms</v>
      </c>
      <c r="I1010" s="20">
        <f>IFERROR(__xludf.DUMMYFUNCTION("""COMPUTED_VALUE"""),0.618)</f>
        <v>0.618</v>
      </c>
      <c r="J1010" s="20">
        <f>IFERROR(__xludf.DUMMYFUNCTION("""COMPUTED_VALUE"""),1009.0)</f>
        <v>1009</v>
      </c>
      <c r="K1010" s="20" t="b">
        <f>IFERROR(__xludf.DUMMYFUNCTION("""COMPUTED_VALUE"""),FALSE)</f>
        <v>0</v>
      </c>
      <c r="L1010" s="20" t="str">
        <f>IFERROR(__xludf.DUMMYFUNCTION("""COMPUTED_VALUE"""),"Bit Manipulation;")</f>
        <v>Bit Manipulation;</v>
      </c>
      <c r="M1010" s="20" t="b">
        <f>IFERROR(__xludf.DUMMYFUNCTION("""COMPUTED_VALUE"""),TRUE)</f>
        <v>1</v>
      </c>
      <c r="N1010" s="20" t="b">
        <f>IFERROR(__xludf.DUMMYFUNCTION("""COMPUTED_VALUE"""),FALSE)</f>
        <v>0</v>
      </c>
      <c r="O1010" s="20">
        <f>IFERROR(__xludf.DUMMYFUNCTION("""COMPUTED_VALUE"""),61.7594029578236)</f>
        <v>61.75940296</v>
      </c>
      <c r="P1010" s="20">
        <f>IFERROR(__xludf.DUMMYFUNCTION("""COMPUTED_VALUE"""),162360.0)</f>
        <v>162360</v>
      </c>
      <c r="Q1010" s="20">
        <f>IFERROR(__xludf.DUMMYFUNCTION("""COMPUTED_VALUE"""),262892.0)</f>
        <v>262892</v>
      </c>
    </row>
    <row r="1011">
      <c r="A1011" s="20">
        <f>IFERROR(__xludf.DUMMYFUNCTION("""COMPUTED_VALUE"""),1055.0)</f>
        <v>1055</v>
      </c>
      <c r="B1011" s="20" t="str">
        <f>IFERROR(__xludf.DUMMYFUNCTION("""COMPUTED_VALUE"""),"Pairs of Songs With Total Durations Divisible by 60")</f>
        <v>Pairs of Songs With Total Durations Divisible by 60</v>
      </c>
      <c r="C1011" s="20" t="str">
        <f>IFERROR(__xludf.DUMMYFUNCTION("""COMPUTED_VALUE"""),"pairs-of-songs-with-total-durations-divisible-by-60")</f>
        <v>pairs-of-songs-with-total-durations-divisible-by-60</v>
      </c>
      <c r="D1011" s="20" t="b">
        <f>IFERROR(__xludf.DUMMYFUNCTION("""COMPUTED_VALUE"""),FALSE)</f>
        <v>0</v>
      </c>
      <c r="E1011" s="20" t="str">
        <f>IFERROR(__xludf.DUMMYFUNCTION("""COMPUTED_VALUE"""),"Medium")</f>
        <v>Medium</v>
      </c>
      <c r="F1011" s="20">
        <f>IFERROR(__xludf.DUMMYFUNCTION("""COMPUTED_VALUE"""),3679.0)</f>
        <v>3679</v>
      </c>
      <c r="G1011" s="20">
        <f>IFERROR(__xludf.DUMMYFUNCTION("""COMPUTED_VALUE"""),141.0)</f>
        <v>141</v>
      </c>
      <c r="H1011" s="20" t="str">
        <f>IFERROR(__xludf.DUMMYFUNCTION("""COMPUTED_VALUE"""),"Algorithms")</f>
        <v>Algorithms</v>
      </c>
      <c r="I1011" s="20">
        <f>IFERROR(__xludf.DUMMYFUNCTION("""COMPUTED_VALUE"""),0.529)</f>
        <v>0.529</v>
      </c>
      <c r="J1011" s="20">
        <f>IFERROR(__xludf.DUMMYFUNCTION("""COMPUTED_VALUE"""),1010.0)</f>
        <v>1010</v>
      </c>
      <c r="K1011" s="20" t="b">
        <f>IFERROR(__xludf.DUMMYFUNCTION("""COMPUTED_VALUE"""),FALSE)</f>
        <v>0</v>
      </c>
      <c r="L1011" s="20" t="str">
        <f>IFERROR(__xludf.DUMMYFUNCTION("""COMPUTED_VALUE"""),"Array;Hash Table;Counting;")</f>
        <v>Array;Hash Table;Counting;</v>
      </c>
      <c r="M1011" s="20" t="b">
        <f>IFERROR(__xludf.DUMMYFUNCTION("""COMPUTED_VALUE"""),TRUE)</f>
        <v>1</v>
      </c>
      <c r="N1011" s="20" t="b">
        <f>IFERROR(__xludf.DUMMYFUNCTION("""COMPUTED_VALUE"""),TRUE)</f>
        <v>1</v>
      </c>
      <c r="O1011" s="20">
        <f>IFERROR(__xludf.DUMMYFUNCTION("""COMPUTED_VALUE"""),52.8871834512893)</f>
        <v>52.88718345</v>
      </c>
      <c r="P1011" s="20">
        <f>IFERROR(__xludf.DUMMYFUNCTION("""COMPUTED_VALUE"""),228516.0)</f>
        <v>228516</v>
      </c>
      <c r="Q1011" s="20">
        <f>IFERROR(__xludf.DUMMYFUNCTION("""COMPUTED_VALUE"""),432079.0)</f>
        <v>432079</v>
      </c>
    </row>
    <row r="1012">
      <c r="A1012" s="20">
        <f>IFERROR(__xludf.DUMMYFUNCTION("""COMPUTED_VALUE"""),1056.0)</f>
        <v>1056</v>
      </c>
      <c r="B1012" s="20" t="str">
        <f>IFERROR(__xludf.DUMMYFUNCTION("""COMPUTED_VALUE"""),"Capacity To Ship Packages Within D Days")</f>
        <v>Capacity To Ship Packages Within D Days</v>
      </c>
      <c r="C1012" s="20" t="str">
        <f>IFERROR(__xludf.DUMMYFUNCTION("""COMPUTED_VALUE"""),"capacity-to-ship-packages-within-d-days")</f>
        <v>capacity-to-ship-packages-within-d-days</v>
      </c>
      <c r="D1012" s="20" t="b">
        <f>IFERROR(__xludf.DUMMYFUNCTION("""COMPUTED_VALUE"""),FALSE)</f>
        <v>0</v>
      </c>
      <c r="E1012" s="20" t="str">
        <f>IFERROR(__xludf.DUMMYFUNCTION("""COMPUTED_VALUE"""),"Medium")</f>
        <v>Medium</v>
      </c>
      <c r="F1012" s="20">
        <f>IFERROR(__xludf.DUMMYFUNCTION("""COMPUTED_VALUE"""),5687.0)</f>
        <v>5687</v>
      </c>
      <c r="G1012" s="20">
        <f>IFERROR(__xludf.DUMMYFUNCTION("""COMPUTED_VALUE"""),118.0)</f>
        <v>118</v>
      </c>
      <c r="H1012" s="20" t="str">
        <f>IFERROR(__xludf.DUMMYFUNCTION("""COMPUTED_VALUE"""),"Algorithms")</f>
        <v>Algorithms</v>
      </c>
      <c r="I1012" s="20">
        <f>IFERROR(__xludf.DUMMYFUNCTION("""COMPUTED_VALUE"""),0.647)</f>
        <v>0.647</v>
      </c>
      <c r="J1012" s="20">
        <f>IFERROR(__xludf.DUMMYFUNCTION("""COMPUTED_VALUE"""),1011.0)</f>
        <v>1011</v>
      </c>
      <c r="K1012" s="20" t="b">
        <f>IFERROR(__xludf.DUMMYFUNCTION("""COMPUTED_VALUE"""),FALSE)</f>
        <v>0</v>
      </c>
      <c r="L1012" s="20" t="str">
        <f>IFERROR(__xludf.DUMMYFUNCTION("""COMPUTED_VALUE"""),"Array;Binary Search;")</f>
        <v>Array;Binary Search;</v>
      </c>
      <c r="M1012" s="20" t="b">
        <f>IFERROR(__xludf.DUMMYFUNCTION("""COMPUTED_VALUE"""),TRUE)</f>
        <v>1</v>
      </c>
      <c r="N1012" s="20" t="b">
        <f>IFERROR(__xludf.DUMMYFUNCTION("""COMPUTED_VALUE"""),FALSE)</f>
        <v>0</v>
      </c>
      <c r="O1012" s="20">
        <f>IFERROR(__xludf.DUMMYFUNCTION("""COMPUTED_VALUE"""),64.7122491899408)</f>
        <v>64.71224919</v>
      </c>
      <c r="P1012" s="20">
        <f>IFERROR(__xludf.DUMMYFUNCTION("""COMPUTED_VALUE"""),188928.0)</f>
        <v>188928</v>
      </c>
      <c r="Q1012" s="20">
        <f>IFERROR(__xludf.DUMMYFUNCTION("""COMPUTED_VALUE"""),291950.0)</f>
        <v>291950</v>
      </c>
    </row>
    <row r="1013">
      <c r="A1013" s="20">
        <f>IFERROR(__xludf.DUMMYFUNCTION("""COMPUTED_VALUE"""),1057.0)</f>
        <v>1057</v>
      </c>
      <c r="B1013" s="20" t="str">
        <f>IFERROR(__xludf.DUMMYFUNCTION("""COMPUTED_VALUE"""),"Numbers With Repeated Digits")</f>
        <v>Numbers With Repeated Digits</v>
      </c>
      <c r="C1013" s="20" t="str">
        <f>IFERROR(__xludf.DUMMYFUNCTION("""COMPUTED_VALUE"""),"numbers-with-repeated-digits")</f>
        <v>numbers-with-repeated-digits</v>
      </c>
      <c r="D1013" s="20" t="b">
        <f>IFERROR(__xludf.DUMMYFUNCTION("""COMPUTED_VALUE"""),FALSE)</f>
        <v>0</v>
      </c>
      <c r="E1013" s="20" t="str">
        <f>IFERROR(__xludf.DUMMYFUNCTION("""COMPUTED_VALUE"""),"Hard")</f>
        <v>Hard</v>
      </c>
      <c r="F1013" s="20">
        <f>IFERROR(__xludf.DUMMYFUNCTION("""COMPUTED_VALUE"""),546.0)</f>
        <v>546</v>
      </c>
      <c r="G1013" s="20">
        <f>IFERROR(__xludf.DUMMYFUNCTION("""COMPUTED_VALUE"""),68.0)</f>
        <v>68</v>
      </c>
      <c r="H1013" s="20" t="str">
        <f>IFERROR(__xludf.DUMMYFUNCTION("""COMPUTED_VALUE"""),"Algorithms")</f>
        <v>Algorithms</v>
      </c>
      <c r="I1013" s="20">
        <f>IFERROR(__xludf.DUMMYFUNCTION("""COMPUTED_VALUE"""),0.403)</f>
        <v>0.403</v>
      </c>
      <c r="J1013" s="20">
        <f>IFERROR(__xludf.DUMMYFUNCTION("""COMPUTED_VALUE"""),1012.0)</f>
        <v>1012</v>
      </c>
      <c r="K1013" s="20" t="b">
        <f>IFERROR(__xludf.DUMMYFUNCTION("""COMPUTED_VALUE"""),FALSE)</f>
        <v>0</v>
      </c>
      <c r="L1013" s="20" t="str">
        <f>IFERROR(__xludf.DUMMYFUNCTION("""COMPUTED_VALUE"""),"Math;Dynamic Programming;")</f>
        <v>Math;Dynamic Programming;</v>
      </c>
      <c r="M1013" s="20" t="b">
        <f>IFERROR(__xludf.DUMMYFUNCTION("""COMPUTED_VALUE"""),FALSE)</f>
        <v>0</v>
      </c>
      <c r="N1013" s="20" t="b">
        <f>IFERROR(__xludf.DUMMYFUNCTION("""COMPUTED_VALUE"""),FALSE)</f>
        <v>0</v>
      </c>
      <c r="O1013" s="20">
        <f>IFERROR(__xludf.DUMMYFUNCTION("""COMPUTED_VALUE"""),40.2768529875591)</f>
        <v>40.27685299</v>
      </c>
      <c r="P1013" s="20">
        <f>IFERROR(__xludf.DUMMYFUNCTION("""COMPUTED_VALUE"""),11493.0)</f>
        <v>11493</v>
      </c>
      <c r="Q1013" s="20">
        <f>IFERROR(__xludf.DUMMYFUNCTION("""COMPUTED_VALUE"""),28535.0)</f>
        <v>28535</v>
      </c>
    </row>
    <row r="1014">
      <c r="A1014" s="20">
        <f>IFERROR(__xludf.DUMMYFUNCTION("""COMPUTED_VALUE"""),1062.0)</f>
        <v>1062</v>
      </c>
      <c r="B1014" s="20" t="str">
        <f>IFERROR(__xludf.DUMMYFUNCTION("""COMPUTED_VALUE"""),"Partition Array Into Three Parts With Equal Sum")</f>
        <v>Partition Array Into Three Parts With Equal Sum</v>
      </c>
      <c r="C1014" s="20" t="str">
        <f>IFERROR(__xludf.DUMMYFUNCTION("""COMPUTED_VALUE"""),"partition-array-into-three-parts-with-equal-sum")</f>
        <v>partition-array-into-three-parts-with-equal-sum</v>
      </c>
      <c r="D1014" s="20" t="b">
        <f>IFERROR(__xludf.DUMMYFUNCTION("""COMPUTED_VALUE"""),FALSE)</f>
        <v>0</v>
      </c>
      <c r="E1014" s="20" t="str">
        <f>IFERROR(__xludf.DUMMYFUNCTION("""COMPUTED_VALUE"""),"Easy")</f>
        <v>Easy</v>
      </c>
      <c r="F1014" s="20">
        <f>IFERROR(__xludf.DUMMYFUNCTION("""COMPUTED_VALUE"""),1390.0)</f>
        <v>1390</v>
      </c>
      <c r="G1014" s="20">
        <f>IFERROR(__xludf.DUMMYFUNCTION("""COMPUTED_VALUE"""),134.0)</f>
        <v>134</v>
      </c>
      <c r="H1014" s="20" t="str">
        <f>IFERROR(__xludf.DUMMYFUNCTION("""COMPUTED_VALUE"""),"Algorithms")</f>
        <v>Algorithms</v>
      </c>
      <c r="I1014" s="20">
        <f>IFERROR(__xludf.DUMMYFUNCTION("""COMPUTED_VALUE"""),0.43)</f>
        <v>0.43</v>
      </c>
      <c r="J1014" s="20">
        <f>IFERROR(__xludf.DUMMYFUNCTION("""COMPUTED_VALUE"""),1013.0)</f>
        <v>1013</v>
      </c>
      <c r="K1014" s="20" t="b">
        <f>IFERROR(__xludf.DUMMYFUNCTION("""COMPUTED_VALUE"""),FALSE)</f>
        <v>0</v>
      </c>
      <c r="L1014" s="20" t="str">
        <f>IFERROR(__xludf.DUMMYFUNCTION("""COMPUTED_VALUE"""),"Array;Greedy;")</f>
        <v>Array;Greedy;</v>
      </c>
      <c r="M1014" s="20" t="b">
        <f>IFERROR(__xludf.DUMMYFUNCTION("""COMPUTED_VALUE"""),FALSE)</f>
        <v>0</v>
      </c>
      <c r="N1014" s="20" t="b">
        <f>IFERROR(__xludf.DUMMYFUNCTION("""COMPUTED_VALUE"""),FALSE)</f>
        <v>0</v>
      </c>
      <c r="O1014" s="20">
        <f>IFERROR(__xludf.DUMMYFUNCTION("""COMPUTED_VALUE"""),43.0465982902038)</f>
        <v>43.04659829</v>
      </c>
      <c r="P1014" s="20">
        <f>IFERROR(__xludf.DUMMYFUNCTION("""COMPUTED_VALUE"""),74620.0)</f>
        <v>74620</v>
      </c>
      <c r="Q1014" s="20">
        <f>IFERROR(__xludf.DUMMYFUNCTION("""COMPUTED_VALUE"""),173350.0)</f>
        <v>173350</v>
      </c>
    </row>
    <row r="1015">
      <c r="A1015" s="20">
        <f>IFERROR(__xludf.DUMMYFUNCTION("""COMPUTED_VALUE"""),1063.0)</f>
        <v>1063</v>
      </c>
      <c r="B1015" s="20" t="str">
        <f>IFERROR(__xludf.DUMMYFUNCTION("""COMPUTED_VALUE"""),"Best Sightseeing Pair")</f>
        <v>Best Sightseeing Pair</v>
      </c>
      <c r="C1015" s="20" t="str">
        <f>IFERROR(__xludf.DUMMYFUNCTION("""COMPUTED_VALUE"""),"best-sightseeing-pair")</f>
        <v>best-sightseeing-pair</v>
      </c>
      <c r="D1015" s="20" t="b">
        <f>IFERROR(__xludf.DUMMYFUNCTION("""COMPUTED_VALUE"""),FALSE)</f>
        <v>0</v>
      </c>
      <c r="E1015" s="20" t="str">
        <f>IFERROR(__xludf.DUMMYFUNCTION("""COMPUTED_VALUE"""),"Medium")</f>
        <v>Medium</v>
      </c>
      <c r="F1015" s="20">
        <f>IFERROR(__xludf.DUMMYFUNCTION("""COMPUTED_VALUE"""),2155.0)</f>
        <v>2155</v>
      </c>
      <c r="G1015" s="20">
        <f>IFERROR(__xludf.DUMMYFUNCTION("""COMPUTED_VALUE"""),47.0)</f>
        <v>47</v>
      </c>
      <c r="H1015" s="20" t="str">
        <f>IFERROR(__xludf.DUMMYFUNCTION("""COMPUTED_VALUE"""),"Algorithms")</f>
        <v>Algorithms</v>
      </c>
      <c r="I1015" s="20">
        <f>IFERROR(__xludf.DUMMYFUNCTION("""COMPUTED_VALUE"""),0.595)</f>
        <v>0.595</v>
      </c>
      <c r="J1015" s="20">
        <f>IFERROR(__xludf.DUMMYFUNCTION("""COMPUTED_VALUE"""),1014.0)</f>
        <v>1014</v>
      </c>
      <c r="K1015" s="20" t="b">
        <f>IFERROR(__xludf.DUMMYFUNCTION("""COMPUTED_VALUE"""),FALSE)</f>
        <v>0</v>
      </c>
      <c r="L1015" s="20" t="str">
        <f>IFERROR(__xludf.DUMMYFUNCTION("""COMPUTED_VALUE"""),"Array;Dynamic Programming;")</f>
        <v>Array;Dynamic Programming;</v>
      </c>
      <c r="M1015" s="20" t="b">
        <f>IFERROR(__xludf.DUMMYFUNCTION("""COMPUTED_VALUE"""),FALSE)</f>
        <v>0</v>
      </c>
      <c r="N1015" s="20" t="b">
        <f>IFERROR(__xludf.DUMMYFUNCTION("""COMPUTED_VALUE"""),FALSE)</f>
        <v>0</v>
      </c>
      <c r="O1015" s="20">
        <f>IFERROR(__xludf.DUMMYFUNCTION("""COMPUTED_VALUE"""),59.5077106027457)</f>
        <v>59.5077106</v>
      </c>
      <c r="P1015" s="20">
        <f>IFERROR(__xludf.DUMMYFUNCTION("""COMPUTED_VALUE"""),78063.0)</f>
        <v>78063</v>
      </c>
      <c r="Q1015" s="20">
        <f>IFERROR(__xludf.DUMMYFUNCTION("""COMPUTED_VALUE"""),131182.0)</f>
        <v>131182</v>
      </c>
    </row>
    <row r="1016">
      <c r="A1016" s="20">
        <f>IFERROR(__xludf.DUMMYFUNCTION("""COMPUTED_VALUE"""),1064.0)</f>
        <v>1064</v>
      </c>
      <c r="B1016" s="20" t="str">
        <f>IFERROR(__xludf.DUMMYFUNCTION("""COMPUTED_VALUE"""),"Smallest Integer Divisible by K")</f>
        <v>Smallest Integer Divisible by K</v>
      </c>
      <c r="C1016" s="20" t="str">
        <f>IFERROR(__xludf.DUMMYFUNCTION("""COMPUTED_VALUE"""),"smallest-integer-divisible-by-k")</f>
        <v>smallest-integer-divisible-by-k</v>
      </c>
      <c r="D1016" s="20" t="b">
        <f>IFERROR(__xludf.DUMMYFUNCTION("""COMPUTED_VALUE"""),FALSE)</f>
        <v>0</v>
      </c>
      <c r="E1016" s="20" t="str">
        <f>IFERROR(__xludf.DUMMYFUNCTION("""COMPUTED_VALUE"""),"Medium")</f>
        <v>Medium</v>
      </c>
      <c r="F1016" s="20">
        <f>IFERROR(__xludf.DUMMYFUNCTION("""COMPUTED_VALUE"""),1028.0)</f>
        <v>1028</v>
      </c>
      <c r="G1016" s="20">
        <f>IFERROR(__xludf.DUMMYFUNCTION("""COMPUTED_VALUE"""),833.0)</f>
        <v>833</v>
      </c>
      <c r="H1016" s="20" t="str">
        <f>IFERROR(__xludf.DUMMYFUNCTION("""COMPUTED_VALUE"""),"Algorithms")</f>
        <v>Algorithms</v>
      </c>
      <c r="I1016" s="20">
        <f>IFERROR(__xludf.DUMMYFUNCTION("""COMPUTED_VALUE"""),0.47)</f>
        <v>0.47</v>
      </c>
      <c r="J1016" s="20">
        <f>IFERROR(__xludf.DUMMYFUNCTION("""COMPUTED_VALUE"""),1015.0)</f>
        <v>1015</v>
      </c>
      <c r="K1016" s="20" t="b">
        <f>IFERROR(__xludf.DUMMYFUNCTION("""COMPUTED_VALUE"""),FALSE)</f>
        <v>0</v>
      </c>
      <c r="L1016" s="20" t="str">
        <f>IFERROR(__xludf.DUMMYFUNCTION("""COMPUTED_VALUE"""),"Hash Table;Math;")</f>
        <v>Hash Table;Math;</v>
      </c>
      <c r="M1016" s="20" t="b">
        <f>IFERROR(__xludf.DUMMYFUNCTION("""COMPUTED_VALUE"""),TRUE)</f>
        <v>1</v>
      </c>
      <c r="N1016" s="20" t="b">
        <f>IFERROR(__xludf.DUMMYFUNCTION("""COMPUTED_VALUE"""),FALSE)</f>
        <v>0</v>
      </c>
      <c r="O1016" s="20">
        <f>IFERROR(__xludf.DUMMYFUNCTION("""COMPUTED_VALUE"""),47.0007137295613)</f>
        <v>47.00071373</v>
      </c>
      <c r="P1016" s="20">
        <f>IFERROR(__xludf.DUMMYFUNCTION("""COMPUTED_VALUE"""),57950.0)</f>
        <v>57950</v>
      </c>
      <c r="Q1016" s="20">
        <f>IFERROR(__xludf.DUMMYFUNCTION("""COMPUTED_VALUE"""),123296.0)</f>
        <v>123296</v>
      </c>
    </row>
    <row r="1017">
      <c r="A1017" s="20">
        <f>IFERROR(__xludf.DUMMYFUNCTION("""COMPUTED_VALUE"""),1065.0)</f>
        <v>1065</v>
      </c>
      <c r="B1017" s="20" t="str">
        <f>IFERROR(__xludf.DUMMYFUNCTION("""COMPUTED_VALUE"""),"Binary String With Substrings Representing 1 To N")</f>
        <v>Binary String With Substrings Representing 1 To N</v>
      </c>
      <c r="C1017" s="20" t="str">
        <f>IFERROR(__xludf.DUMMYFUNCTION("""COMPUTED_VALUE"""),"binary-string-with-substrings-representing-1-to-n")</f>
        <v>binary-string-with-substrings-representing-1-to-n</v>
      </c>
      <c r="D1017" s="20" t="b">
        <f>IFERROR(__xludf.DUMMYFUNCTION("""COMPUTED_VALUE"""),FALSE)</f>
        <v>0</v>
      </c>
      <c r="E1017" s="20" t="str">
        <f>IFERROR(__xludf.DUMMYFUNCTION("""COMPUTED_VALUE"""),"Medium")</f>
        <v>Medium</v>
      </c>
      <c r="F1017" s="20">
        <f>IFERROR(__xludf.DUMMYFUNCTION("""COMPUTED_VALUE"""),293.0)</f>
        <v>293</v>
      </c>
      <c r="G1017" s="20">
        <f>IFERROR(__xludf.DUMMYFUNCTION("""COMPUTED_VALUE"""),491.0)</f>
        <v>491</v>
      </c>
      <c r="H1017" s="20" t="str">
        <f>IFERROR(__xludf.DUMMYFUNCTION("""COMPUTED_VALUE"""),"Algorithms")</f>
        <v>Algorithms</v>
      </c>
      <c r="I1017" s="20">
        <f>IFERROR(__xludf.DUMMYFUNCTION("""COMPUTED_VALUE"""),0.575)</f>
        <v>0.575</v>
      </c>
      <c r="J1017" s="20">
        <f>IFERROR(__xludf.DUMMYFUNCTION("""COMPUTED_VALUE"""),1016.0)</f>
        <v>1016</v>
      </c>
      <c r="K1017" s="20" t="b">
        <f>IFERROR(__xludf.DUMMYFUNCTION("""COMPUTED_VALUE"""),FALSE)</f>
        <v>0</v>
      </c>
      <c r="L1017" s="20" t="str">
        <f>IFERROR(__xludf.DUMMYFUNCTION("""COMPUTED_VALUE"""),"String;")</f>
        <v>String;</v>
      </c>
      <c r="M1017" s="20" t="b">
        <f>IFERROR(__xludf.DUMMYFUNCTION("""COMPUTED_VALUE"""),FALSE)</f>
        <v>0</v>
      </c>
      <c r="N1017" s="20" t="b">
        <f>IFERROR(__xludf.DUMMYFUNCTION("""COMPUTED_VALUE"""),FALSE)</f>
        <v>0</v>
      </c>
      <c r="O1017" s="20">
        <f>IFERROR(__xludf.DUMMYFUNCTION("""COMPUTED_VALUE"""),57.4697631145781)</f>
        <v>57.46976311</v>
      </c>
      <c r="P1017" s="20">
        <f>IFERROR(__xludf.DUMMYFUNCTION("""COMPUTED_VALUE"""),32121.0)</f>
        <v>32121</v>
      </c>
      <c r="Q1017" s="20">
        <f>IFERROR(__xludf.DUMMYFUNCTION("""COMPUTED_VALUE"""),55892.0)</f>
        <v>55892</v>
      </c>
    </row>
    <row r="1018">
      <c r="A1018" s="20">
        <f>IFERROR(__xludf.DUMMYFUNCTION("""COMPUTED_VALUE"""),1070.0)</f>
        <v>1070</v>
      </c>
      <c r="B1018" s="20" t="str">
        <f>IFERROR(__xludf.DUMMYFUNCTION("""COMPUTED_VALUE"""),"Convert to Base -2")</f>
        <v>Convert to Base -2</v>
      </c>
      <c r="C1018" s="20" t="str">
        <f>IFERROR(__xludf.DUMMYFUNCTION("""COMPUTED_VALUE"""),"convert-to-base-2")</f>
        <v>convert-to-base-2</v>
      </c>
      <c r="D1018" s="20" t="b">
        <f>IFERROR(__xludf.DUMMYFUNCTION("""COMPUTED_VALUE"""),FALSE)</f>
        <v>0</v>
      </c>
      <c r="E1018" s="20" t="str">
        <f>IFERROR(__xludf.DUMMYFUNCTION("""COMPUTED_VALUE"""),"Medium")</f>
        <v>Medium</v>
      </c>
      <c r="F1018" s="20">
        <f>IFERROR(__xludf.DUMMYFUNCTION("""COMPUTED_VALUE"""),426.0)</f>
        <v>426</v>
      </c>
      <c r="G1018" s="20">
        <f>IFERROR(__xludf.DUMMYFUNCTION("""COMPUTED_VALUE"""),256.0)</f>
        <v>256</v>
      </c>
      <c r="H1018" s="20" t="str">
        <f>IFERROR(__xludf.DUMMYFUNCTION("""COMPUTED_VALUE"""),"Algorithms")</f>
        <v>Algorithms</v>
      </c>
      <c r="I1018" s="20">
        <f>IFERROR(__xludf.DUMMYFUNCTION("""COMPUTED_VALUE"""),0.61)</f>
        <v>0.61</v>
      </c>
      <c r="J1018" s="20">
        <f>IFERROR(__xludf.DUMMYFUNCTION("""COMPUTED_VALUE"""),1017.0)</f>
        <v>1017</v>
      </c>
      <c r="K1018" s="20" t="b">
        <f>IFERROR(__xludf.DUMMYFUNCTION("""COMPUTED_VALUE"""),FALSE)</f>
        <v>0</v>
      </c>
      <c r="L1018" s="20" t="str">
        <f>IFERROR(__xludf.DUMMYFUNCTION("""COMPUTED_VALUE"""),"Math;")</f>
        <v>Math;</v>
      </c>
      <c r="M1018" s="20" t="b">
        <f>IFERROR(__xludf.DUMMYFUNCTION("""COMPUTED_VALUE"""),FALSE)</f>
        <v>0</v>
      </c>
      <c r="N1018" s="20" t="b">
        <f>IFERROR(__xludf.DUMMYFUNCTION("""COMPUTED_VALUE"""),FALSE)</f>
        <v>0</v>
      </c>
      <c r="O1018" s="20">
        <f>IFERROR(__xludf.DUMMYFUNCTION("""COMPUTED_VALUE"""),60.9574198632257)</f>
        <v>60.95741986</v>
      </c>
      <c r="P1018" s="20">
        <f>IFERROR(__xludf.DUMMYFUNCTION("""COMPUTED_VALUE"""),21660.0)</f>
        <v>21660</v>
      </c>
      <c r="Q1018" s="20">
        <f>IFERROR(__xludf.DUMMYFUNCTION("""COMPUTED_VALUE"""),35533.0)</f>
        <v>35533</v>
      </c>
    </row>
    <row r="1019">
      <c r="A1019" s="20">
        <f>IFERROR(__xludf.DUMMYFUNCTION("""COMPUTED_VALUE"""),1071.0)</f>
        <v>1071</v>
      </c>
      <c r="B1019" s="20" t="str">
        <f>IFERROR(__xludf.DUMMYFUNCTION("""COMPUTED_VALUE"""),"Binary Prefix Divisible By 5")</f>
        <v>Binary Prefix Divisible By 5</v>
      </c>
      <c r="C1019" s="20" t="str">
        <f>IFERROR(__xludf.DUMMYFUNCTION("""COMPUTED_VALUE"""),"binary-prefix-divisible-by-5")</f>
        <v>binary-prefix-divisible-by-5</v>
      </c>
      <c r="D1019" s="20" t="b">
        <f>IFERROR(__xludf.DUMMYFUNCTION("""COMPUTED_VALUE"""),FALSE)</f>
        <v>0</v>
      </c>
      <c r="E1019" s="20" t="str">
        <f>IFERROR(__xludf.DUMMYFUNCTION("""COMPUTED_VALUE"""),"Easy")</f>
        <v>Easy</v>
      </c>
      <c r="F1019" s="20">
        <f>IFERROR(__xludf.DUMMYFUNCTION("""COMPUTED_VALUE"""),612.0)</f>
        <v>612</v>
      </c>
      <c r="G1019" s="20">
        <f>IFERROR(__xludf.DUMMYFUNCTION("""COMPUTED_VALUE"""),158.0)</f>
        <v>158</v>
      </c>
      <c r="H1019" s="20" t="str">
        <f>IFERROR(__xludf.DUMMYFUNCTION("""COMPUTED_VALUE"""),"Algorithms")</f>
        <v>Algorithms</v>
      </c>
      <c r="I1019" s="20">
        <f>IFERROR(__xludf.DUMMYFUNCTION("""COMPUTED_VALUE"""),0.471)</f>
        <v>0.471</v>
      </c>
      <c r="J1019" s="20">
        <f>IFERROR(__xludf.DUMMYFUNCTION("""COMPUTED_VALUE"""),1018.0)</f>
        <v>1018</v>
      </c>
      <c r="K1019" s="20" t="b">
        <f>IFERROR(__xludf.DUMMYFUNCTION("""COMPUTED_VALUE"""),FALSE)</f>
        <v>0</v>
      </c>
      <c r="L1019" s="20" t="str">
        <f>IFERROR(__xludf.DUMMYFUNCTION("""COMPUTED_VALUE"""),"Array;")</f>
        <v>Array;</v>
      </c>
      <c r="M1019" s="20" t="b">
        <f>IFERROR(__xludf.DUMMYFUNCTION("""COMPUTED_VALUE"""),FALSE)</f>
        <v>0</v>
      </c>
      <c r="N1019" s="20" t="b">
        <f>IFERROR(__xludf.DUMMYFUNCTION("""COMPUTED_VALUE"""),FALSE)</f>
        <v>0</v>
      </c>
      <c r="O1019" s="20">
        <f>IFERROR(__xludf.DUMMYFUNCTION("""COMPUTED_VALUE"""),47.1432847948339)</f>
        <v>47.14328479</v>
      </c>
      <c r="P1019" s="20">
        <f>IFERROR(__xludf.DUMMYFUNCTION("""COMPUTED_VALUE"""),44095.0)</f>
        <v>44095</v>
      </c>
      <c r="Q1019" s="20">
        <f>IFERROR(__xludf.DUMMYFUNCTION("""COMPUTED_VALUE"""),93533.0)</f>
        <v>93533</v>
      </c>
    </row>
    <row r="1020">
      <c r="A1020" s="20">
        <f>IFERROR(__xludf.DUMMYFUNCTION("""COMPUTED_VALUE"""),1072.0)</f>
        <v>1072</v>
      </c>
      <c r="B1020" s="20" t="str">
        <f>IFERROR(__xludf.DUMMYFUNCTION("""COMPUTED_VALUE"""),"Next Greater Node In Linked List")</f>
        <v>Next Greater Node In Linked List</v>
      </c>
      <c r="C1020" s="20" t="str">
        <f>IFERROR(__xludf.DUMMYFUNCTION("""COMPUTED_VALUE"""),"next-greater-node-in-linked-list")</f>
        <v>next-greater-node-in-linked-list</v>
      </c>
      <c r="D1020" s="20" t="b">
        <f>IFERROR(__xludf.DUMMYFUNCTION("""COMPUTED_VALUE"""),FALSE)</f>
        <v>0</v>
      </c>
      <c r="E1020" s="20" t="str">
        <f>IFERROR(__xludf.DUMMYFUNCTION("""COMPUTED_VALUE"""),"Medium")</f>
        <v>Medium</v>
      </c>
      <c r="F1020" s="20">
        <f>IFERROR(__xludf.DUMMYFUNCTION("""COMPUTED_VALUE"""),2670.0)</f>
        <v>2670</v>
      </c>
      <c r="G1020" s="20">
        <f>IFERROR(__xludf.DUMMYFUNCTION("""COMPUTED_VALUE"""),104.0)</f>
        <v>104</v>
      </c>
      <c r="H1020" s="20" t="str">
        <f>IFERROR(__xludf.DUMMYFUNCTION("""COMPUTED_VALUE"""),"Algorithms")</f>
        <v>Algorithms</v>
      </c>
      <c r="I1020" s="20">
        <f>IFERROR(__xludf.DUMMYFUNCTION("""COMPUTED_VALUE"""),0.599)</f>
        <v>0.599</v>
      </c>
      <c r="J1020" s="20">
        <f>IFERROR(__xludf.DUMMYFUNCTION("""COMPUTED_VALUE"""),1019.0)</f>
        <v>1019</v>
      </c>
      <c r="K1020" s="20" t="b">
        <f>IFERROR(__xludf.DUMMYFUNCTION("""COMPUTED_VALUE"""),FALSE)</f>
        <v>0</v>
      </c>
      <c r="L1020" s="20" t="str">
        <f>IFERROR(__xludf.DUMMYFUNCTION("""COMPUTED_VALUE"""),"Array;Linked List;Stack;Monotonic Stack;")</f>
        <v>Array;Linked List;Stack;Monotonic Stack;</v>
      </c>
      <c r="M1020" s="20" t="b">
        <f>IFERROR(__xludf.DUMMYFUNCTION("""COMPUTED_VALUE"""),TRUE)</f>
        <v>1</v>
      </c>
      <c r="N1020" s="20" t="b">
        <f>IFERROR(__xludf.DUMMYFUNCTION("""COMPUTED_VALUE"""),FALSE)</f>
        <v>0</v>
      </c>
      <c r="O1020" s="20">
        <f>IFERROR(__xludf.DUMMYFUNCTION("""COMPUTED_VALUE"""),59.9189739352886)</f>
        <v>59.91897394</v>
      </c>
      <c r="P1020" s="20">
        <f>IFERROR(__xludf.DUMMYFUNCTION("""COMPUTED_VALUE"""),120390.0)</f>
        <v>120390</v>
      </c>
      <c r="Q1020" s="20">
        <f>IFERROR(__xludf.DUMMYFUNCTION("""COMPUTED_VALUE"""),200919.0)</f>
        <v>200919</v>
      </c>
    </row>
    <row r="1021">
      <c r="A1021" s="20">
        <f>IFERROR(__xludf.DUMMYFUNCTION("""COMPUTED_VALUE"""),1073.0)</f>
        <v>1073</v>
      </c>
      <c r="B1021" s="20" t="str">
        <f>IFERROR(__xludf.DUMMYFUNCTION("""COMPUTED_VALUE"""),"Number of Enclaves")</f>
        <v>Number of Enclaves</v>
      </c>
      <c r="C1021" s="20" t="str">
        <f>IFERROR(__xludf.DUMMYFUNCTION("""COMPUTED_VALUE"""),"number-of-enclaves")</f>
        <v>number-of-enclaves</v>
      </c>
      <c r="D1021" s="20" t="b">
        <f>IFERROR(__xludf.DUMMYFUNCTION("""COMPUTED_VALUE"""),FALSE)</f>
        <v>0</v>
      </c>
      <c r="E1021" s="20" t="str">
        <f>IFERROR(__xludf.DUMMYFUNCTION("""COMPUTED_VALUE"""),"Medium")</f>
        <v>Medium</v>
      </c>
      <c r="F1021" s="20">
        <f>IFERROR(__xludf.DUMMYFUNCTION("""COMPUTED_VALUE"""),2031.0)</f>
        <v>2031</v>
      </c>
      <c r="G1021" s="20">
        <f>IFERROR(__xludf.DUMMYFUNCTION("""COMPUTED_VALUE"""),40.0)</f>
        <v>40</v>
      </c>
      <c r="H1021" s="20" t="str">
        <f>IFERROR(__xludf.DUMMYFUNCTION("""COMPUTED_VALUE"""),"Algorithms")</f>
        <v>Algorithms</v>
      </c>
      <c r="I1021" s="20">
        <f>IFERROR(__xludf.DUMMYFUNCTION("""COMPUTED_VALUE"""),0.652)</f>
        <v>0.652</v>
      </c>
      <c r="J1021" s="20">
        <f>IFERROR(__xludf.DUMMYFUNCTION("""COMPUTED_VALUE"""),1020.0)</f>
        <v>1020</v>
      </c>
      <c r="K1021" s="20" t="b">
        <f>IFERROR(__xludf.DUMMYFUNCTION("""COMPUTED_VALUE"""),FALSE)</f>
        <v>0</v>
      </c>
      <c r="L1021" s="20" t="str">
        <f>IFERROR(__xludf.DUMMYFUNCTION("""COMPUTED_VALUE"""),"Array;Depth-First Search;Breadth-First Search;Union Find;Matrix;")</f>
        <v>Array;Depth-First Search;Breadth-First Search;Union Find;Matrix;</v>
      </c>
      <c r="M1021" s="20" t="b">
        <f>IFERROR(__xludf.DUMMYFUNCTION("""COMPUTED_VALUE"""),FALSE)</f>
        <v>0</v>
      </c>
      <c r="N1021" s="20" t="b">
        <f>IFERROR(__xludf.DUMMYFUNCTION("""COMPUTED_VALUE"""),FALSE)</f>
        <v>0</v>
      </c>
      <c r="O1021" s="20">
        <f>IFERROR(__xludf.DUMMYFUNCTION("""COMPUTED_VALUE"""),65.1801157592865)</f>
        <v>65.18011576</v>
      </c>
      <c r="P1021" s="20">
        <f>IFERROR(__xludf.DUMMYFUNCTION("""COMPUTED_VALUE"""),87048.0)</f>
        <v>87048</v>
      </c>
      <c r="Q1021" s="20">
        <f>IFERROR(__xludf.DUMMYFUNCTION("""COMPUTED_VALUE"""),133550.0)</f>
        <v>133550</v>
      </c>
    </row>
    <row r="1022">
      <c r="A1022" s="20">
        <f>IFERROR(__xludf.DUMMYFUNCTION("""COMPUTED_VALUE"""),1078.0)</f>
        <v>1078</v>
      </c>
      <c r="B1022" s="20" t="str">
        <f>IFERROR(__xludf.DUMMYFUNCTION("""COMPUTED_VALUE"""),"Remove Outermost Parentheses")</f>
        <v>Remove Outermost Parentheses</v>
      </c>
      <c r="C1022" s="20" t="str">
        <f>IFERROR(__xludf.DUMMYFUNCTION("""COMPUTED_VALUE"""),"remove-outermost-parentheses")</f>
        <v>remove-outermost-parentheses</v>
      </c>
      <c r="D1022" s="20" t="b">
        <f>IFERROR(__xludf.DUMMYFUNCTION("""COMPUTED_VALUE"""),FALSE)</f>
        <v>0</v>
      </c>
      <c r="E1022" s="20" t="str">
        <f>IFERROR(__xludf.DUMMYFUNCTION("""COMPUTED_VALUE"""),"Easy")</f>
        <v>Easy</v>
      </c>
      <c r="F1022" s="20">
        <f>IFERROR(__xludf.DUMMYFUNCTION("""COMPUTED_VALUE"""),1785.0)</f>
        <v>1785</v>
      </c>
      <c r="G1022" s="20">
        <f>IFERROR(__xludf.DUMMYFUNCTION("""COMPUTED_VALUE"""),1330.0)</f>
        <v>1330</v>
      </c>
      <c r="H1022" s="20" t="str">
        <f>IFERROR(__xludf.DUMMYFUNCTION("""COMPUTED_VALUE"""),"Algorithms")</f>
        <v>Algorithms</v>
      </c>
      <c r="I1022" s="20">
        <f>IFERROR(__xludf.DUMMYFUNCTION("""COMPUTED_VALUE"""),0.803)</f>
        <v>0.803</v>
      </c>
      <c r="J1022" s="20">
        <f>IFERROR(__xludf.DUMMYFUNCTION("""COMPUTED_VALUE"""),1021.0)</f>
        <v>1021</v>
      </c>
      <c r="K1022" s="20" t="b">
        <f>IFERROR(__xludf.DUMMYFUNCTION("""COMPUTED_VALUE"""),FALSE)</f>
        <v>0</v>
      </c>
      <c r="L1022" s="20" t="str">
        <f>IFERROR(__xludf.DUMMYFUNCTION("""COMPUTED_VALUE"""),"String;Stack;")</f>
        <v>String;Stack;</v>
      </c>
      <c r="M1022" s="20" t="b">
        <f>IFERROR(__xludf.DUMMYFUNCTION("""COMPUTED_VALUE"""),FALSE)</f>
        <v>0</v>
      </c>
      <c r="N1022" s="20" t="b">
        <f>IFERROR(__xludf.DUMMYFUNCTION("""COMPUTED_VALUE"""),FALSE)</f>
        <v>0</v>
      </c>
      <c r="O1022" s="20">
        <f>IFERROR(__xludf.DUMMYFUNCTION("""COMPUTED_VALUE"""),80.3335339532622)</f>
        <v>80.33353395</v>
      </c>
      <c r="P1022" s="20">
        <f>IFERROR(__xludf.DUMMYFUNCTION("""COMPUTED_VALUE"""),201546.0)</f>
        <v>201546</v>
      </c>
      <c r="Q1022" s="20">
        <f>IFERROR(__xludf.DUMMYFUNCTION("""COMPUTED_VALUE"""),250885.0)</f>
        <v>250885</v>
      </c>
    </row>
    <row r="1023">
      <c r="A1023" s="20">
        <f>IFERROR(__xludf.DUMMYFUNCTION("""COMPUTED_VALUE"""),1079.0)</f>
        <v>1079</v>
      </c>
      <c r="B1023" s="20" t="str">
        <f>IFERROR(__xludf.DUMMYFUNCTION("""COMPUTED_VALUE"""),"Sum of Root To Leaf Binary Numbers")</f>
        <v>Sum of Root To Leaf Binary Numbers</v>
      </c>
      <c r="C1023" s="20" t="str">
        <f>IFERROR(__xludf.DUMMYFUNCTION("""COMPUTED_VALUE"""),"sum-of-root-to-leaf-binary-numbers")</f>
        <v>sum-of-root-to-leaf-binary-numbers</v>
      </c>
      <c r="D1023" s="20" t="b">
        <f>IFERROR(__xludf.DUMMYFUNCTION("""COMPUTED_VALUE"""),FALSE)</f>
        <v>0</v>
      </c>
      <c r="E1023" s="20" t="str">
        <f>IFERROR(__xludf.DUMMYFUNCTION("""COMPUTED_VALUE"""),"Easy")</f>
        <v>Easy</v>
      </c>
      <c r="F1023" s="20">
        <f>IFERROR(__xludf.DUMMYFUNCTION("""COMPUTED_VALUE"""),2912.0)</f>
        <v>2912</v>
      </c>
      <c r="G1023" s="20">
        <f>IFERROR(__xludf.DUMMYFUNCTION("""COMPUTED_VALUE"""),172.0)</f>
        <v>172</v>
      </c>
      <c r="H1023" s="20" t="str">
        <f>IFERROR(__xludf.DUMMYFUNCTION("""COMPUTED_VALUE"""),"Algorithms")</f>
        <v>Algorithms</v>
      </c>
      <c r="I1023" s="20">
        <f>IFERROR(__xludf.DUMMYFUNCTION("""COMPUTED_VALUE"""),0.737)</f>
        <v>0.737</v>
      </c>
      <c r="J1023" s="20">
        <f>IFERROR(__xludf.DUMMYFUNCTION("""COMPUTED_VALUE"""),1022.0)</f>
        <v>1022</v>
      </c>
      <c r="K1023" s="20" t="b">
        <f>IFERROR(__xludf.DUMMYFUNCTION("""COMPUTED_VALUE"""),FALSE)</f>
        <v>0</v>
      </c>
      <c r="L1023" s="20" t="str">
        <f>IFERROR(__xludf.DUMMYFUNCTION("""COMPUTED_VALUE"""),"Tree;Depth-First Search;Binary Tree;")</f>
        <v>Tree;Depth-First Search;Binary Tree;</v>
      </c>
      <c r="M1023" s="20" t="b">
        <f>IFERROR(__xludf.DUMMYFUNCTION("""COMPUTED_VALUE"""),TRUE)</f>
        <v>1</v>
      </c>
      <c r="N1023" s="20" t="b">
        <f>IFERROR(__xludf.DUMMYFUNCTION("""COMPUTED_VALUE"""),FALSE)</f>
        <v>0</v>
      </c>
      <c r="O1023" s="20">
        <f>IFERROR(__xludf.DUMMYFUNCTION("""COMPUTED_VALUE"""),73.6914377374693)</f>
        <v>73.69143774</v>
      </c>
      <c r="P1023" s="20">
        <f>IFERROR(__xludf.DUMMYFUNCTION("""COMPUTED_VALUE"""),181925.0)</f>
        <v>181925</v>
      </c>
      <c r="Q1023" s="20">
        <f>IFERROR(__xludf.DUMMYFUNCTION("""COMPUTED_VALUE"""),246874.0)</f>
        <v>246874</v>
      </c>
    </row>
    <row r="1024">
      <c r="A1024" s="20">
        <f>IFERROR(__xludf.DUMMYFUNCTION("""COMPUTED_VALUE"""),1080.0)</f>
        <v>1080</v>
      </c>
      <c r="B1024" s="20" t="str">
        <f>IFERROR(__xludf.DUMMYFUNCTION("""COMPUTED_VALUE"""),"Camelcase Matching")</f>
        <v>Camelcase Matching</v>
      </c>
      <c r="C1024" s="20" t="str">
        <f>IFERROR(__xludf.DUMMYFUNCTION("""COMPUTED_VALUE"""),"camelcase-matching")</f>
        <v>camelcase-matching</v>
      </c>
      <c r="D1024" s="20" t="b">
        <f>IFERROR(__xludf.DUMMYFUNCTION("""COMPUTED_VALUE"""),FALSE)</f>
        <v>0</v>
      </c>
      <c r="E1024" s="20" t="str">
        <f>IFERROR(__xludf.DUMMYFUNCTION("""COMPUTED_VALUE"""),"Medium")</f>
        <v>Medium</v>
      </c>
      <c r="F1024" s="20">
        <f>IFERROR(__xludf.DUMMYFUNCTION("""COMPUTED_VALUE"""),698.0)</f>
        <v>698</v>
      </c>
      <c r="G1024" s="20">
        <f>IFERROR(__xludf.DUMMYFUNCTION("""COMPUTED_VALUE"""),255.0)</f>
        <v>255</v>
      </c>
      <c r="H1024" s="20" t="str">
        <f>IFERROR(__xludf.DUMMYFUNCTION("""COMPUTED_VALUE"""),"Algorithms")</f>
        <v>Algorithms</v>
      </c>
      <c r="I1024" s="20">
        <f>IFERROR(__xludf.DUMMYFUNCTION("""COMPUTED_VALUE"""),0.603)</f>
        <v>0.603</v>
      </c>
      <c r="J1024" s="20">
        <f>IFERROR(__xludf.DUMMYFUNCTION("""COMPUTED_VALUE"""),1023.0)</f>
        <v>1023</v>
      </c>
      <c r="K1024" s="20" t="b">
        <f>IFERROR(__xludf.DUMMYFUNCTION("""COMPUTED_VALUE"""),FALSE)</f>
        <v>0</v>
      </c>
      <c r="L1024" s="20" t="str">
        <f>IFERROR(__xludf.DUMMYFUNCTION("""COMPUTED_VALUE"""),"Two Pointers;String;Trie;String Matching;")</f>
        <v>Two Pointers;String;Trie;String Matching;</v>
      </c>
      <c r="M1024" s="20" t="b">
        <f>IFERROR(__xludf.DUMMYFUNCTION("""COMPUTED_VALUE"""),FALSE)</f>
        <v>0</v>
      </c>
      <c r="N1024" s="20" t="b">
        <f>IFERROR(__xludf.DUMMYFUNCTION("""COMPUTED_VALUE"""),FALSE)</f>
        <v>0</v>
      </c>
      <c r="O1024" s="20">
        <f>IFERROR(__xludf.DUMMYFUNCTION("""COMPUTED_VALUE"""),60.3064586816433)</f>
        <v>60.30645868</v>
      </c>
      <c r="P1024" s="20">
        <f>IFERROR(__xludf.DUMMYFUNCTION("""COMPUTED_VALUE"""),37152.0)</f>
        <v>37152</v>
      </c>
      <c r="Q1024" s="20">
        <f>IFERROR(__xludf.DUMMYFUNCTION("""COMPUTED_VALUE"""),61606.0)</f>
        <v>61606</v>
      </c>
    </row>
    <row r="1025">
      <c r="A1025" s="20">
        <f>IFERROR(__xludf.DUMMYFUNCTION("""COMPUTED_VALUE"""),1081.0)</f>
        <v>1081</v>
      </c>
      <c r="B1025" s="20" t="str">
        <f>IFERROR(__xludf.DUMMYFUNCTION("""COMPUTED_VALUE"""),"Video Stitching")</f>
        <v>Video Stitching</v>
      </c>
      <c r="C1025" s="20" t="str">
        <f>IFERROR(__xludf.DUMMYFUNCTION("""COMPUTED_VALUE"""),"video-stitching")</f>
        <v>video-stitching</v>
      </c>
      <c r="D1025" s="20" t="b">
        <f>IFERROR(__xludf.DUMMYFUNCTION("""COMPUTED_VALUE"""),FALSE)</f>
        <v>0</v>
      </c>
      <c r="E1025" s="20" t="str">
        <f>IFERROR(__xludf.DUMMYFUNCTION("""COMPUTED_VALUE"""),"Medium")</f>
        <v>Medium</v>
      </c>
      <c r="F1025" s="20">
        <f>IFERROR(__xludf.DUMMYFUNCTION("""COMPUTED_VALUE"""),1440.0)</f>
        <v>1440</v>
      </c>
      <c r="G1025" s="20">
        <f>IFERROR(__xludf.DUMMYFUNCTION("""COMPUTED_VALUE"""),51.0)</f>
        <v>51</v>
      </c>
      <c r="H1025" s="20" t="str">
        <f>IFERROR(__xludf.DUMMYFUNCTION("""COMPUTED_VALUE"""),"Algorithms")</f>
        <v>Algorithms</v>
      </c>
      <c r="I1025" s="20">
        <f>IFERROR(__xludf.DUMMYFUNCTION("""COMPUTED_VALUE"""),0.505)</f>
        <v>0.505</v>
      </c>
      <c r="J1025" s="20">
        <f>IFERROR(__xludf.DUMMYFUNCTION("""COMPUTED_VALUE"""),1024.0)</f>
        <v>1024</v>
      </c>
      <c r="K1025" s="20" t="b">
        <f>IFERROR(__xludf.DUMMYFUNCTION("""COMPUTED_VALUE"""),FALSE)</f>
        <v>0</v>
      </c>
      <c r="L1025" s="20" t="str">
        <f>IFERROR(__xludf.DUMMYFUNCTION("""COMPUTED_VALUE"""),"Array;Dynamic Programming;Greedy;")</f>
        <v>Array;Dynamic Programming;Greedy;</v>
      </c>
      <c r="M1025" s="20" t="b">
        <f>IFERROR(__xludf.DUMMYFUNCTION("""COMPUTED_VALUE"""),FALSE)</f>
        <v>0</v>
      </c>
      <c r="N1025" s="20" t="b">
        <f>IFERROR(__xludf.DUMMYFUNCTION("""COMPUTED_VALUE"""),FALSE)</f>
        <v>0</v>
      </c>
      <c r="O1025" s="20">
        <f>IFERROR(__xludf.DUMMYFUNCTION("""COMPUTED_VALUE"""),50.5095688263776)</f>
        <v>50.50956883</v>
      </c>
      <c r="P1025" s="20">
        <f>IFERROR(__xludf.DUMMYFUNCTION("""COMPUTED_VALUE"""),54765.0)</f>
        <v>54765</v>
      </c>
      <c r="Q1025" s="20">
        <f>IFERROR(__xludf.DUMMYFUNCTION("""COMPUTED_VALUE"""),108425.0)</f>
        <v>108425</v>
      </c>
    </row>
    <row r="1026">
      <c r="A1026" s="20">
        <f>IFERROR(__xludf.DUMMYFUNCTION("""COMPUTED_VALUE"""),1086.0)</f>
        <v>1086</v>
      </c>
      <c r="B1026" s="20" t="str">
        <f>IFERROR(__xludf.DUMMYFUNCTION("""COMPUTED_VALUE"""),"Divisor Game")</f>
        <v>Divisor Game</v>
      </c>
      <c r="C1026" s="20" t="str">
        <f>IFERROR(__xludf.DUMMYFUNCTION("""COMPUTED_VALUE"""),"divisor-game")</f>
        <v>divisor-game</v>
      </c>
      <c r="D1026" s="20" t="b">
        <f>IFERROR(__xludf.DUMMYFUNCTION("""COMPUTED_VALUE"""),FALSE)</f>
        <v>0</v>
      </c>
      <c r="E1026" s="20" t="str">
        <f>IFERROR(__xludf.DUMMYFUNCTION("""COMPUTED_VALUE"""),"Easy")</f>
        <v>Easy</v>
      </c>
      <c r="F1026" s="20">
        <f>IFERROR(__xludf.DUMMYFUNCTION("""COMPUTED_VALUE"""),1700.0)</f>
        <v>1700</v>
      </c>
      <c r="G1026" s="20">
        <f>IFERROR(__xludf.DUMMYFUNCTION("""COMPUTED_VALUE"""),3591.0)</f>
        <v>3591</v>
      </c>
      <c r="H1026" s="20" t="str">
        <f>IFERROR(__xludf.DUMMYFUNCTION("""COMPUTED_VALUE"""),"Algorithms")</f>
        <v>Algorithms</v>
      </c>
      <c r="I1026" s="20">
        <f>IFERROR(__xludf.DUMMYFUNCTION("""COMPUTED_VALUE"""),0.673)</f>
        <v>0.673</v>
      </c>
      <c r="J1026" s="20">
        <f>IFERROR(__xludf.DUMMYFUNCTION("""COMPUTED_VALUE"""),1025.0)</f>
        <v>1025</v>
      </c>
      <c r="K1026" s="20" t="b">
        <f>IFERROR(__xludf.DUMMYFUNCTION("""COMPUTED_VALUE"""),FALSE)</f>
        <v>0</v>
      </c>
      <c r="L1026" s="20" t="str">
        <f>IFERROR(__xludf.DUMMYFUNCTION("""COMPUTED_VALUE"""),"Math;Dynamic Programming;Brainteaser;Game Theory;")</f>
        <v>Math;Dynamic Programming;Brainteaser;Game Theory;</v>
      </c>
      <c r="M1026" s="20" t="b">
        <f>IFERROR(__xludf.DUMMYFUNCTION("""COMPUTED_VALUE"""),FALSE)</f>
        <v>0</v>
      </c>
      <c r="N1026" s="20" t="b">
        <f>IFERROR(__xludf.DUMMYFUNCTION("""COMPUTED_VALUE"""),FALSE)</f>
        <v>0</v>
      </c>
      <c r="O1026" s="20">
        <f>IFERROR(__xludf.DUMMYFUNCTION("""COMPUTED_VALUE"""),67.2819857677553)</f>
        <v>67.28198577</v>
      </c>
      <c r="P1026" s="20">
        <f>IFERROR(__xludf.DUMMYFUNCTION("""COMPUTED_VALUE"""),187489.0)</f>
        <v>187489</v>
      </c>
      <c r="Q1026" s="20">
        <f>IFERROR(__xludf.DUMMYFUNCTION("""COMPUTED_VALUE"""),278662.0)</f>
        <v>278662</v>
      </c>
    </row>
    <row r="1027">
      <c r="A1027" s="20">
        <f>IFERROR(__xludf.DUMMYFUNCTION("""COMPUTED_VALUE"""),1092.0)</f>
        <v>1092</v>
      </c>
      <c r="B1027" s="20" t="str">
        <f>IFERROR(__xludf.DUMMYFUNCTION("""COMPUTED_VALUE"""),"Maximum Difference Between Node and Ancestor")</f>
        <v>Maximum Difference Between Node and Ancestor</v>
      </c>
      <c r="C1027" s="20" t="str">
        <f>IFERROR(__xludf.DUMMYFUNCTION("""COMPUTED_VALUE"""),"maximum-difference-between-node-and-ancestor")</f>
        <v>maximum-difference-between-node-and-ancestor</v>
      </c>
      <c r="D1027" s="20" t="b">
        <f>IFERROR(__xludf.DUMMYFUNCTION("""COMPUTED_VALUE"""),FALSE)</f>
        <v>0</v>
      </c>
      <c r="E1027" s="20" t="str">
        <f>IFERROR(__xludf.DUMMYFUNCTION("""COMPUTED_VALUE"""),"Medium")</f>
        <v>Medium</v>
      </c>
      <c r="F1027" s="20">
        <f>IFERROR(__xludf.DUMMYFUNCTION("""COMPUTED_VALUE"""),3841.0)</f>
        <v>3841</v>
      </c>
      <c r="G1027" s="20">
        <f>IFERROR(__xludf.DUMMYFUNCTION("""COMPUTED_VALUE"""),93.0)</f>
        <v>93</v>
      </c>
      <c r="H1027" s="20" t="str">
        <f>IFERROR(__xludf.DUMMYFUNCTION("""COMPUTED_VALUE"""),"Algorithms")</f>
        <v>Algorithms</v>
      </c>
      <c r="I1027" s="20">
        <f>IFERROR(__xludf.DUMMYFUNCTION("""COMPUTED_VALUE"""),0.758)</f>
        <v>0.758</v>
      </c>
      <c r="J1027" s="20">
        <f>IFERROR(__xludf.DUMMYFUNCTION("""COMPUTED_VALUE"""),1026.0)</f>
        <v>1026</v>
      </c>
      <c r="K1027" s="20" t="b">
        <f>IFERROR(__xludf.DUMMYFUNCTION("""COMPUTED_VALUE"""),FALSE)</f>
        <v>0</v>
      </c>
      <c r="L1027" s="20" t="str">
        <f>IFERROR(__xludf.DUMMYFUNCTION("""COMPUTED_VALUE"""),"Tree;Depth-First Search;Binary Tree;")</f>
        <v>Tree;Depth-First Search;Binary Tree;</v>
      </c>
      <c r="M1027" s="20" t="b">
        <f>IFERROR(__xludf.DUMMYFUNCTION("""COMPUTED_VALUE"""),TRUE)</f>
        <v>1</v>
      </c>
      <c r="N1027" s="20" t="b">
        <f>IFERROR(__xludf.DUMMYFUNCTION("""COMPUTED_VALUE"""),FALSE)</f>
        <v>0</v>
      </c>
      <c r="O1027" s="20">
        <f>IFERROR(__xludf.DUMMYFUNCTION("""COMPUTED_VALUE"""),75.7923087043672)</f>
        <v>75.7923087</v>
      </c>
      <c r="P1027" s="20">
        <f>IFERROR(__xludf.DUMMYFUNCTION("""COMPUTED_VALUE"""),195863.0)</f>
        <v>195863</v>
      </c>
      <c r="Q1027" s="20">
        <f>IFERROR(__xludf.DUMMYFUNCTION("""COMPUTED_VALUE"""),258421.0)</f>
        <v>258421</v>
      </c>
    </row>
    <row r="1028">
      <c r="A1028" s="20">
        <f>IFERROR(__xludf.DUMMYFUNCTION("""COMPUTED_VALUE"""),1087.0)</f>
        <v>1087</v>
      </c>
      <c r="B1028" s="20" t="str">
        <f>IFERROR(__xludf.DUMMYFUNCTION("""COMPUTED_VALUE"""),"Longest Arithmetic Subsequence")</f>
        <v>Longest Arithmetic Subsequence</v>
      </c>
      <c r="C1028" s="20" t="str">
        <f>IFERROR(__xludf.DUMMYFUNCTION("""COMPUTED_VALUE"""),"longest-arithmetic-subsequence")</f>
        <v>longest-arithmetic-subsequence</v>
      </c>
      <c r="D1028" s="20" t="b">
        <f>IFERROR(__xludf.DUMMYFUNCTION("""COMPUTED_VALUE"""),FALSE)</f>
        <v>0</v>
      </c>
      <c r="E1028" s="20" t="str">
        <f>IFERROR(__xludf.DUMMYFUNCTION("""COMPUTED_VALUE"""),"Medium")</f>
        <v>Medium</v>
      </c>
      <c r="F1028" s="20">
        <f>IFERROR(__xludf.DUMMYFUNCTION("""COMPUTED_VALUE"""),2631.0)</f>
        <v>2631</v>
      </c>
      <c r="G1028" s="20">
        <f>IFERROR(__xludf.DUMMYFUNCTION("""COMPUTED_VALUE"""),124.0)</f>
        <v>124</v>
      </c>
      <c r="H1028" s="20" t="str">
        <f>IFERROR(__xludf.DUMMYFUNCTION("""COMPUTED_VALUE"""),"Algorithms")</f>
        <v>Algorithms</v>
      </c>
      <c r="I1028" s="20">
        <f>IFERROR(__xludf.DUMMYFUNCTION("""COMPUTED_VALUE"""),0.469)</f>
        <v>0.469</v>
      </c>
      <c r="J1028" s="20">
        <f>IFERROR(__xludf.DUMMYFUNCTION("""COMPUTED_VALUE"""),1027.0)</f>
        <v>1027</v>
      </c>
      <c r="K1028" s="20" t="b">
        <f>IFERROR(__xludf.DUMMYFUNCTION("""COMPUTED_VALUE"""),FALSE)</f>
        <v>0</v>
      </c>
      <c r="L1028" s="20" t="str">
        <f>IFERROR(__xludf.DUMMYFUNCTION("""COMPUTED_VALUE"""),"Array;Hash Table;Binary Search;Dynamic Programming;")</f>
        <v>Array;Hash Table;Binary Search;Dynamic Programming;</v>
      </c>
      <c r="M1028" s="20" t="b">
        <f>IFERROR(__xludf.DUMMYFUNCTION("""COMPUTED_VALUE"""),FALSE)</f>
        <v>0</v>
      </c>
      <c r="N1028" s="20" t="b">
        <f>IFERROR(__xludf.DUMMYFUNCTION("""COMPUTED_VALUE"""),FALSE)</f>
        <v>0</v>
      </c>
      <c r="O1028" s="20">
        <f>IFERROR(__xludf.DUMMYFUNCTION("""COMPUTED_VALUE"""),46.9255086403808)</f>
        <v>46.92550864</v>
      </c>
      <c r="P1028" s="20">
        <f>IFERROR(__xludf.DUMMYFUNCTION("""COMPUTED_VALUE"""),97376.0)</f>
        <v>97376</v>
      </c>
      <c r="Q1028" s="20">
        <f>IFERROR(__xludf.DUMMYFUNCTION("""COMPUTED_VALUE"""),207510.0)</f>
        <v>207510</v>
      </c>
    </row>
    <row r="1029">
      <c r="A1029" s="20">
        <f>IFERROR(__xludf.DUMMYFUNCTION("""COMPUTED_VALUE"""),1093.0)</f>
        <v>1093</v>
      </c>
      <c r="B1029" s="20" t="str">
        <f>IFERROR(__xludf.DUMMYFUNCTION("""COMPUTED_VALUE"""),"Recover a Tree From Preorder Traversal")</f>
        <v>Recover a Tree From Preorder Traversal</v>
      </c>
      <c r="C1029" s="20" t="str">
        <f>IFERROR(__xludf.DUMMYFUNCTION("""COMPUTED_VALUE"""),"recover-a-tree-from-preorder-traversal")</f>
        <v>recover-a-tree-from-preorder-traversal</v>
      </c>
      <c r="D1029" s="20" t="b">
        <f>IFERROR(__xludf.DUMMYFUNCTION("""COMPUTED_VALUE"""),FALSE)</f>
        <v>0</v>
      </c>
      <c r="E1029" s="20" t="str">
        <f>IFERROR(__xludf.DUMMYFUNCTION("""COMPUTED_VALUE"""),"Hard")</f>
        <v>Hard</v>
      </c>
      <c r="F1029" s="20">
        <f>IFERROR(__xludf.DUMMYFUNCTION("""COMPUTED_VALUE"""),1330.0)</f>
        <v>1330</v>
      </c>
      <c r="G1029" s="20">
        <f>IFERROR(__xludf.DUMMYFUNCTION("""COMPUTED_VALUE"""),36.0)</f>
        <v>36</v>
      </c>
      <c r="H1029" s="20" t="str">
        <f>IFERROR(__xludf.DUMMYFUNCTION("""COMPUTED_VALUE"""),"Algorithms")</f>
        <v>Algorithms</v>
      </c>
      <c r="I1029" s="20">
        <f>IFERROR(__xludf.DUMMYFUNCTION("""COMPUTED_VALUE"""),0.731)</f>
        <v>0.731</v>
      </c>
      <c r="J1029" s="20">
        <f>IFERROR(__xludf.DUMMYFUNCTION("""COMPUTED_VALUE"""),1028.0)</f>
        <v>1028</v>
      </c>
      <c r="K1029" s="20" t="b">
        <f>IFERROR(__xludf.DUMMYFUNCTION("""COMPUTED_VALUE"""),FALSE)</f>
        <v>0</v>
      </c>
      <c r="L1029" s="20" t="str">
        <f>IFERROR(__xludf.DUMMYFUNCTION("""COMPUTED_VALUE"""),"String;Tree;Depth-First Search;Binary Tree;")</f>
        <v>String;Tree;Depth-First Search;Binary Tree;</v>
      </c>
      <c r="M1029" s="20" t="b">
        <f>IFERROR(__xludf.DUMMYFUNCTION("""COMPUTED_VALUE"""),FALSE)</f>
        <v>0</v>
      </c>
      <c r="N1029" s="20" t="b">
        <f>IFERROR(__xludf.DUMMYFUNCTION("""COMPUTED_VALUE"""),FALSE)</f>
        <v>0</v>
      </c>
      <c r="O1029" s="20">
        <f>IFERROR(__xludf.DUMMYFUNCTION("""COMPUTED_VALUE"""),73.1033986951598)</f>
        <v>73.1033987</v>
      </c>
      <c r="P1029" s="20">
        <f>IFERROR(__xludf.DUMMYFUNCTION("""COMPUTED_VALUE"""),40672.0)</f>
        <v>40672</v>
      </c>
      <c r="Q1029" s="20">
        <f>IFERROR(__xludf.DUMMYFUNCTION("""COMPUTED_VALUE"""),55637.0)</f>
        <v>55637</v>
      </c>
    </row>
    <row r="1030">
      <c r="A1030" s="20">
        <f>IFERROR(__xludf.DUMMYFUNCTION("""COMPUTED_VALUE"""),1095.0)</f>
        <v>1095</v>
      </c>
      <c r="B1030" s="20" t="str">
        <f>IFERROR(__xludf.DUMMYFUNCTION("""COMPUTED_VALUE"""),"Two City Scheduling")</f>
        <v>Two City Scheduling</v>
      </c>
      <c r="C1030" s="20" t="str">
        <f>IFERROR(__xludf.DUMMYFUNCTION("""COMPUTED_VALUE"""),"two-city-scheduling")</f>
        <v>two-city-scheduling</v>
      </c>
      <c r="D1030" s="20" t="b">
        <f>IFERROR(__xludf.DUMMYFUNCTION("""COMPUTED_VALUE"""),FALSE)</f>
        <v>0</v>
      </c>
      <c r="E1030" s="20" t="str">
        <f>IFERROR(__xludf.DUMMYFUNCTION("""COMPUTED_VALUE"""),"Medium")</f>
        <v>Medium</v>
      </c>
      <c r="F1030" s="20">
        <f>IFERROR(__xludf.DUMMYFUNCTION("""COMPUTED_VALUE"""),4097.0)</f>
        <v>4097</v>
      </c>
      <c r="G1030" s="20">
        <f>IFERROR(__xludf.DUMMYFUNCTION("""COMPUTED_VALUE"""),307.0)</f>
        <v>307</v>
      </c>
      <c r="H1030" s="20" t="str">
        <f>IFERROR(__xludf.DUMMYFUNCTION("""COMPUTED_VALUE"""),"Algorithms")</f>
        <v>Algorithms</v>
      </c>
      <c r="I1030" s="20">
        <f>IFERROR(__xludf.DUMMYFUNCTION("""COMPUTED_VALUE"""),0.649)</f>
        <v>0.649</v>
      </c>
      <c r="J1030" s="20">
        <f>IFERROR(__xludf.DUMMYFUNCTION("""COMPUTED_VALUE"""),1029.0)</f>
        <v>1029</v>
      </c>
      <c r="K1030" s="20" t="b">
        <f>IFERROR(__xludf.DUMMYFUNCTION("""COMPUTED_VALUE"""),FALSE)</f>
        <v>0</v>
      </c>
      <c r="L1030" s="20" t="str">
        <f>IFERROR(__xludf.DUMMYFUNCTION("""COMPUTED_VALUE"""),"Array;Greedy;Sorting;")</f>
        <v>Array;Greedy;Sorting;</v>
      </c>
      <c r="M1030" s="20" t="b">
        <f>IFERROR(__xludf.DUMMYFUNCTION("""COMPUTED_VALUE"""),TRUE)</f>
        <v>1</v>
      </c>
      <c r="N1030" s="20" t="b">
        <f>IFERROR(__xludf.DUMMYFUNCTION("""COMPUTED_VALUE"""),FALSE)</f>
        <v>0</v>
      </c>
      <c r="O1030" s="20">
        <f>IFERROR(__xludf.DUMMYFUNCTION("""COMPUTED_VALUE"""),64.9092527428354)</f>
        <v>64.90925274</v>
      </c>
      <c r="P1030" s="20">
        <f>IFERROR(__xludf.DUMMYFUNCTION("""COMPUTED_VALUE"""),203458.0)</f>
        <v>203458</v>
      </c>
      <c r="Q1030" s="20">
        <f>IFERROR(__xludf.DUMMYFUNCTION("""COMPUTED_VALUE"""),313451.0)</f>
        <v>313451</v>
      </c>
    </row>
    <row r="1031">
      <c r="A1031" s="20">
        <f>IFERROR(__xludf.DUMMYFUNCTION("""COMPUTED_VALUE"""),1094.0)</f>
        <v>1094</v>
      </c>
      <c r="B1031" s="20" t="str">
        <f>IFERROR(__xludf.DUMMYFUNCTION("""COMPUTED_VALUE"""),"Matrix Cells in Distance Order")</f>
        <v>Matrix Cells in Distance Order</v>
      </c>
      <c r="C1031" s="20" t="str">
        <f>IFERROR(__xludf.DUMMYFUNCTION("""COMPUTED_VALUE"""),"matrix-cells-in-distance-order")</f>
        <v>matrix-cells-in-distance-order</v>
      </c>
      <c r="D1031" s="20" t="b">
        <f>IFERROR(__xludf.DUMMYFUNCTION("""COMPUTED_VALUE"""),FALSE)</f>
        <v>0</v>
      </c>
      <c r="E1031" s="20" t="str">
        <f>IFERROR(__xludf.DUMMYFUNCTION("""COMPUTED_VALUE"""),"Easy")</f>
        <v>Easy</v>
      </c>
      <c r="F1031" s="20">
        <f>IFERROR(__xludf.DUMMYFUNCTION("""COMPUTED_VALUE"""),584.0)</f>
        <v>584</v>
      </c>
      <c r="G1031" s="20">
        <f>IFERROR(__xludf.DUMMYFUNCTION("""COMPUTED_VALUE"""),264.0)</f>
        <v>264</v>
      </c>
      <c r="H1031" s="20" t="str">
        <f>IFERROR(__xludf.DUMMYFUNCTION("""COMPUTED_VALUE"""),"Algorithms")</f>
        <v>Algorithms</v>
      </c>
      <c r="I1031" s="20">
        <f>IFERROR(__xludf.DUMMYFUNCTION("""COMPUTED_VALUE"""),0.694)</f>
        <v>0.694</v>
      </c>
      <c r="J1031" s="20">
        <f>IFERROR(__xludf.DUMMYFUNCTION("""COMPUTED_VALUE"""),1030.0)</f>
        <v>1030</v>
      </c>
      <c r="K1031" s="20" t="b">
        <f>IFERROR(__xludf.DUMMYFUNCTION("""COMPUTED_VALUE"""),FALSE)</f>
        <v>0</v>
      </c>
      <c r="L1031" s="20" t="str">
        <f>IFERROR(__xludf.DUMMYFUNCTION("""COMPUTED_VALUE"""),"Array;Math;Geometry;Sorting;Matrix;")</f>
        <v>Array;Math;Geometry;Sorting;Matrix;</v>
      </c>
      <c r="M1031" s="20" t="b">
        <f>IFERROR(__xludf.DUMMYFUNCTION("""COMPUTED_VALUE"""),FALSE)</f>
        <v>0</v>
      </c>
      <c r="N1031" s="20" t="b">
        <f>IFERROR(__xludf.DUMMYFUNCTION("""COMPUTED_VALUE"""),FALSE)</f>
        <v>0</v>
      </c>
      <c r="O1031" s="20">
        <f>IFERROR(__xludf.DUMMYFUNCTION("""COMPUTED_VALUE"""),69.3796086628345)</f>
        <v>69.37960866</v>
      </c>
      <c r="P1031" s="20">
        <f>IFERROR(__xludf.DUMMYFUNCTION("""COMPUTED_VALUE"""),47797.0)</f>
        <v>47797</v>
      </c>
      <c r="Q1031" s="20">
        <f>IFERROR(__xludf.DUMMYFUNCTION("""COMPUTED_VALUE"""),68892.0)</f>
        <v>68892</v>
      </c>
    </row>
    <row r="1032">
      <c r="A1032" s="20">
        <f>IFERROR(__xludf.DUMMYFUNCTION("""COMPUTED_VALUE"""),1096.0)</f>
        <v>1096</v>
      </c>
      <c r="B1032" s="20" t="str">
        <f>IFERROR(__xludf.DUMMYFUNCTION("""COMPUTED_VALUE"""),"Maximum Sum of Two Non-Overlapping Subarrays")</f>
        <v>Maximum Sum of Two Non-Overlapping Subarrays</v>
      </c>
      <c r="C1032" s="20" t="str">
        <f>IFERROR(__xludf.DUMMYFUNCTION("""COMPUTED_VALUE"""),"maximum-sum-of-two-non-overlapping-subarrays")</f>
        <v>maximum-sum-of-two-non-overlapping-subarrays</v>
      </c>
      <c r="D1032" s="20" t="b">
        <f>IFERROR(__xludf.DUMMYFUNCTION("""COMPUTED_VALUE"""),FALSE)</f>
        <v>0</v>
      </c>
      <c r="E1032" s="20" t="str">
        <f>IFERROR(__xludf.DUMMYFUNCTION("""COMPUTED_VALUE"""),"Medium")</f>
        <v>Medium</v>
      </c>
      <c r="F1032" s="20">
        <f>IFERROR(__xludf.DUMMYFUNCTION("""COMPUTED_VALUE"""),2150.0)</f>
        <v>2150</v>
      </c>
      <c r="G1032" s="20">
        <f>IFERROR(__xludf.DUMMYFUNCTION("""COMPUTED_VALUE"""),75.0)</f>
        <v>75</v>
      </c>
      <c r="H1032" s="20" t="str">
        <f>IFERROR(__xludf.DUMMYFUNCTION("""COMPUTED_VALUE"""),"Algorithms")</f>
        <v>Algorithms</v>
      </c>
      <c r="I1032" s="20">
        <f>IFERROR(__xludf.DUMMYFUNCTION("""COMPUTED_VALUE"""),0.595)</f>
        <v>0.595</v>
      </c>
      <c r="J1032" s="20">
        <f>IFERROR(__xludf.DUMMYFUNCTION("""COMPUTED_VALUE"""),1031.0)</f>
        <v>1031</v>
      </c>
      <c r="K1032" s="20" t="b">
        <f>IFERROR(__xludf.DUMMYFUNCTION("""COMPUTED_VALUE"""),FALSE)</f>
        <v>0</v>
      </c>
      <c r="L1032" s="20" t="str">
        <f>IFERROR(__xludf.DUMMYFUNCTION("""COMPUTED_VALUE"""),"Array;Dynamic Programming;Sliding Window;")</f>
        <v>Array;Dynamic Programming;Sliding Window;</v>
      </c>
      <c r="M1032" s="20" t="b">
        <f>IFERROR(__xludf.DUMMYFUNCTION("""COMPUTED_VALUE"""),FALSE)</f>
        <v>0</v>
      </c>
      <c r="N1032" s="20" t="b">
        <f>IFERROR(__xludf.DUMMYFUNCTION("""COMPUTED_VALUE"""),FALSE)</f>
        <v>0</v>
      </c>
      <c r="O1032" s="20">
        <f>IFERROR(__xludf.DUMMYFUNCTION("""COMPUTED_VALUE"""),59.5265433269766)</f>
        <v>59.52654333</v>
      </c>
      <c r="P1032" s="20">
        <f>IFERROR(__xludf.DUMMYFUNCTION("""COMPUTED_VALUE"""),59619.0)</f>
        <v>59619</v>
      </c>
      <c r="Q1032" s="20">
        <f>IFERROR(__xludf.DUMMYFUNCTION("""COMPUTED_VALUE"""),100155.0)</f>
        <v>100155</v>
      </c>
    </row>
    <row r="1033">
      <c r="A1033" s="20">
        <f>IFERROR(__xludf.DUMMYFUNCTION("""COMPUTED_VALUE"""),1097.0)</f>
        <v>1097</v>
      </c>
      <c r="B1033" s="20" t="str">
        <f>IFERROR(__xludf.DUMMYFUNCTION("""COMPUTED_VALUE"""),"Stream of Characters")</f>
        <v>Stream of Characters</v>
      </c>
      <c r="C1033" s="20" t="str">
        <f>IFERROR(__xludf.DUMMYFUNCTION("""COMPUTED_VALUE"""),"stream-of-characters")</f>
        <v>stream-of-characters</v>
      </c>
      <c r="D1033" s="20" t="b">
        <f>IFERROR(__xludf.DUMMYFUNCTION("""COMPUTED_VALUE"""),FALSE)</f>
        <v>0</v>
      </c>
      <c r="E1033" s="20" t="str">
        <f>IFERROR(__xludf.DUMMYFUNCTION("""COMPUTED_VALUE"""),"Hard")</f>
        <v>Hard</v>
      </c>
      <c r="F1033" s="20">
        <f>IFERROR(__xludf.DUMMYFUNCTION("""COMPUTED_VALUE"""),1652.0)</f>
        <v>1652</v>
      </c>
      <c r="G1033" s="20">
        <f>IFERROR(__xludf.DUMMYFUNCTION("""COMPUTED_VALUE"""),176.0)</f>
        <v>176</v>
      </c>
      <c r="H1033" s="20" t="str">
        <f>IFERROR(__xludf.DUMMYFUNCTION("""COMPUTED_VALUE"""),"Algorithms")</f>
        <v>Algorithms</v>
      </c>
      <c r="I1033" s="20">
        <f>IFERROR(__xludf.DUMMYFUNCTION("""COMPUTED_VALUE"""),0.516)</f>
        <v>0.516</v>
      </c>
      <c r="J1033" s="20">
        <f>IFERROR(__xludf.DUMMYFUNCTION("""COMPUTED_VALUE"""),1032.0)</f>
        <v>1032</v>
      </c>
      <c r="K1033" s="20" t="b">
        <f>IFERROR(__xludf.DUMMYFUNCTION("""COMPUTED_VALUE"""),FALSE)</f>
        <v>0</v>
      </c>
      <c r="L1033" s="20" t="str">
        <f>IFERROR(__xludf.DUMMYFUNCTION("""COMPUTED_VALUE"""),"Array;String;Design;Trie;Data Stream;")</f>
        <v>Array;String;Design;Trie;Data Stream;</v>
      </c>
      <c r="M1033" s="20" t="b">
        <f>IFERROR(__xludf.DUMMYFUNCTION("""COMPUTED_VALUE"""),TRUE)</f>
        <v>1</v>
      </c>
      <c r="N1033" s="20" t="b">
        <f>IFERROR(__xludf.DUMMYFUNCTION("""COMPUTED_VALUE"""),FALSE)</f>
        <v>0</v>
      </c>
      <c r="O1033" s="20">
        <f>IFERROR(__xludf.DUMMYFUNCTION("""COMPUTED_VALUE"""),51.5856006160164)</f>
        <v>51.58560062</v>
      </c>
      <c r="P1033" s="20">
        <f>IFERROR(__xludf.DUMMYFUNCTION("""COMPUTED_VALUE"""),80391.0)</f>
        <v>80391</v>
      </c>
      <c r="Q1033" s="20">
        <f>IFERROR(__xludf.DUMMYFUNCTION("""COMPUTED_VALUE"""),155840.0)</f>
        <v>155840</v>
      </c>
    </row>
    <row r="1034">
      <c r="A1034" s="20">
        <f>IFERROR(__xludf.DUMMYFUNCTION("""COMPUTED_VALUE"""),1103.0)</f>
        <v>1103</v>
      </c>
      <c r="B1034" s="20" t="str">
        <f>IFERROR(__xludf.DUMMYFUNCTION("""COMPUTED_VALUE"""),"Moving Stones Until Consecutive")</f>
        <v>Moving Stones Until Consecutive</v>
      </c>
      <c r="C1034" s="20" t="str">
        <f>IFERROR(__xludf.DUMMYFUNCTION("""COMPUTED_VALUE"""),"moving-stones-until-consecutive")</f>
        <v>moving-stones-until-consecutive</v>
      </c>
      <c r="D1034" s="20" t="b">
        <f>IFERROR(__xludf.DUMMYFUNCTION("""COMPUTED_VALUE"""),FALSE)</f>
        <v>0</v>
      </c>
      <c r="E1034" s="20" t="str">
        <f>IFERROR(__xludf.DUMMYFUNCTION("""COMPUTED_VALUE"""),"Medium")</f>
        <v>Medium</v>
      </c>
      <c r="F1034" s="20">
        <f>IFERROR(__xludf.DUMMYFUNCTION("""COMPUTED_VALUE"""),176.0)</f>
        <v>176</v>
      </c>
      <c r="G1034" s="20">
        <f>IFERROR(__xludf.DUMMYFUNCTION("""COMPUTED_VALUE"""),619.0)</f>
        <v>619</v>
      </c>
      <c r="H1034" s="20" t="str">
        <f>IFERROR(__xludf.DUMMYFUNCTION("""COMPUTED_VALUE"""),"Algorithms")</f>
        <v>Algorithms</v>
      </c>
      <c r="I1034" s="20">
        <f>IFERROR(__xludf.DUMMYFUNCTION("""COMPUTED_VALUE"""),0.459)</f>
        <v>0.459</v>
      </c>
      <c r="J1034" s="20">
        <f>IFERROR(__xludf.DUMMYFUNCTION("""COMPUTED_VALUE"""),1033.0)</f>
        <v>1033</v>
      </c>
      <c r="K1034" s="20" t="b">
        <f>IFERROR(__xludf.DUMMYFUNCTION("""COMPUTED_VALUE"""),FALSE)</f>
        <v>0</v>
      </c>
      <c r="L1034" s="20" t="str">
        <f>IFERROR(__xludf.DUMMYFUNCTION("""COMPUTED_VALUE"""),"Math;Brainteaser;")</f>
        <v>Math;Brainteaser;</v>
      </c>
      <c r="M1034" s="20" t="b">
        <f>IFERROR(__xludf.DUMMYFUNCTION("""COMPUTED_VALUE"""),FALSE)</f>
        <v>0</v>
      </c>
      <c r="N1034" s="20" t="b">
        <f>IFERROR(__xludf.DUMMYFUNCTION("""COMPUTED_VALUE"""),FALSE)</f>
        <v>0</v>
      </c>
      <c r="O1034" s="20">
        <f>IFERROR(__xludf.DUMMYFUNCTION("""COMPUTED_VALUE"""),45.9231994489646)</f>
        <v>45.92319945</v>
      </c>
      <c r="P1034" s="20">
        <f>IFERROR(__xludf.DUMMYFUNCTION("""COMPUTED_VALUE"""),21334.0)</f>
        <v>21334</v>
      </c>
      <c r="Q1034" s="20">
        <f>IFERROR(__xludf.DUMMYFUNCTION("""COMPUTED_VALUE"""),46457.0)</f>
        <v>46457</v>
      </c>
    </row>
    <row r="1035">
      <c r="A1035" s="20">
        <f>IFERROR(__xludf.DUMMYFUNCTION("""COMPUTED_VALUE"""),1104.0)</f>
        <v>1104</v>
      </c>
      <c r="B1035" s="20" t="str">
        <f>IFERROR(__xludf.DUMMYFUNCTION("""COMPUTED_VALUE"""),"Coloring A Border")</f>
        <v>Coloring A Border</v>
      </c>
      <c r="C1035" s="20" t="str">
        <f>IFERROR(__xludf.DUMMYFUNCTION("""COMPUTED_VALUE"""),"coloring-a-border")</f>
        <v>coloring-a-border</v>
      </c>
      <c r="D1035" s="20" t="b">
        <f>IFERROR(__xludf.DUMMYFUNCTION("""COMPUTED_VALUE"""),FALSE)</f>
        <v>0</v>
      </c>
      <c r="E1035" s="20" t="str">
        <f>IFERROR(__xludf.DUMMYFUNCTION("""COMPUTED_VALUE"""),"Medium")</f>
        <v>Medium</v>
      </c>
      <c r="F1035" s="20">
        <f>IFERROR(__xludf.DUMMYFUNCTION("""COMPUTED_VALUE"""),562.0)</f>
        <v>562</v>
      </c>
      <c r="G1035" s="20">
        <f>IFERROR(__xludf.DUMMYFUNCTION("""COMPUTED_VALUE"""),732.0)</f>
        <v>732</v>
      </c>
      <c r="H1035" s="20" t="str">
        <f>IFERROR(__xludf.DUMMYFUNCTION("""COMPUTED_VALUE"""),"Algorithms")</f>
        <v>Algorithms</v>
      </c>
      <c r="I1035" s="20">
        <f>IFERROR(__xludf.DUMMYFUNCTION("""COMPUTED_VALUE"""),0.49)</f>
        <v>0.49</v>
      </c>
      <c r="J1035" s="20">
        <f>IFERROR(__xludf.DUMMYFUNCTION("""COMPUTED_VALUE"""),1034.0)</f>
        <v>1034</v>
      </c>
      <c r="K1035" s="20" t="b">
        <f>IFERROR(__xludf.DUMMYFUNCTION("""COMPUTED_VALUE"""),FALSE)</f>
        <v>0</v>
      </c>
      <c r="L1035" s="20" t="str">
        <f>IFERROR(__xludf.DUMMYFUNCTION("""COMPUTED_VALUE"""),"Array;Depth-First Search;Breadth-First Search;Matrix;")</f>
        <v>Array;Depth-First Search;Breadth-First Search;Matrix;</v>
      </c>
      <c r="M1035" s="20" t="b">
        <f>IFERROR(__xludf.DUMMYFUNCTION("""COMPUTED_VALUE"""),FALSE)</f>
        <v>0</v>
      </c>
      <c r="N1035" s="20" t="b">
        <f>IFERROR(__xludf.DUMMYFUNCTION("""COMPUTED_VALUE"""),FALSE)</f>
        <v>0</v>
      </c>
      <c r="O1035" s="20">
        <f>IFERROR(__xludf.DUMMYFUNCTION("""COMPUTED_VALUE"""),49.0362821751735)</f>
        <v>49.03628218</v>
      </c>
      <c r="P1035" s="20">
        <f>IFERROR(__xludf.DUMMYFUNCTION("""COMPUTED_VALUE"""),27909.0)</f>
        <v>27909</v>
      </c>
      <c r="Q1035" s="20">
        <f>IFERROR(__xludf.DUMMYFUNCTION("""COMPUTED_VALUE"""),56915.0)</f>
        <v>56915</v>
      </c>
    </row>
    <row r="1036">
      <c r="A1036" s="20">
        <f>IFERROR(__xludf.DUMMYFUNCTION("""COMPUTED_VALUE"""),1105.0)</f>
        <v>1105</v>
      </c>
      <c r="B1036" s="20" t="str">
        <f>IFERROR(__xludf.DUMMYFUNCTION("""COMPUTED_VALUE"""),"Uncrossed Lines")</f>
        <v>Uncrossed Lines</v>
      </c>
      <c r="C1036" s="20" t="str">
        <f>IFERROR(__xludf.DUMMYFUNCTION("""COMPUTED_VALUE"""),"uncrossed-lines")</f>
        <v>uncrossed-lines</v>
      </c>
      <c r="D1036" s="20" t="b">
        <f>IFERROR(__xludf.DUMMYFUNCTION("""COMPUTED_VALUE"""),FALSE)</f>
        <v>0</v>
      </c>
      <c r="E1036" s="20" t="str">
        <f>IFERROR(__xludf.DUMMYFUNCTION("""COMPUTED_VALUE"""),"Medium")</f>
        <v>Medium</v>
      </c>
      <c r="F1036" s="20">
        <f>IFERROR(__xludf.DUMMYFUNCTION("""COMPUTED_VALUE"""),1937.0)</f>
        <v>1937</v>
      </c>
      <c r="G1036" s="20">
        <f>IFERROR(__xludf.DUMMYFUNCTION("""COMPUTED_VALUE"""),28.0)</f>
        <v>28</v>
      </c>
      <c r="H1036" s="20" t="str">
        <f>IFERROR(__xludf.DUMMYFUNCTION("""COMPUTED_VALUE"""),"Algorithms")</f>
        <v>Algorithms</v>
      </c>
      <c r="I1036" s="20">
        <f>IFERROR(__xludf.DUMMYFUNCTION("""COMPUTED_VALUE"""),0.588)</f>
        <v>0.588</v>
      </c>
      <c r="J1036" s="20">
        <f>IFERROR(__xludf.DUMMYFUNCTION("""COMPUTED_VALUE"""),1035.0)</f>
        <v>1035</v>
      </c>
      <c r="K1036" s="20" t="b">
        <f>IFERROR(__xludf.DUMMYFUNCTION("""COMPUTED_VALUE"""),FALSE)</f>
        <v>0</v>
      </c>
      <c r="L1036" s="20" t="str">
        <f>IFERROR(__xludf.DUMMYFUNCTION("""COMPUTED_VALUE"""),"Array;Dynamic Programming;")</f>
        <v>Array;Dynamic Programming;</v>
      </c>
      <c r="M1036" s="20" t="b">
        <f>IFERROR(__xludf.DUMMYFUNCTION("""COMPUTED_VALUE"""),FALSE)</f>
        <v>0</v>
      </c>
      <c r="N1036" s="20" t="b">
        <f>IFERROR(__xludf.DUMMYFUNCTION("""COMPUTED_VALUE"""),FALSE)</f>
        <v>0</v>
      </c>
      <c r="O1036" s="20">
        <f>IFERROR(__xludf.DUMMYFUNCTION("""COMPUTED_VALUE"""),58.8436827507982)</f>
        <v>58.84368275</v>
      </c>
      <c r="P1036" s="20">
        <f>IFERROR(__xludf.DUMMYFUNCTION("""COMPUTED_VALUE"""),75741.0)</f>
        <v>75741</v>
      </c>
      <c r="Q1036" s="20">
        <f>IFERROR(__xludf.DUMMYFUNCTION("""COMPUTED_VALUE"""),128717.0)</f>
        <v>128717</v>
      </c>
    </row>
    <row r="1037">
      <c r="A1037" s="20">
        <f>IFERROR(__xludf.DUMMYFUNCTION("""COMPUTED_VALUE"""),1106.0)</f>
        <v>1106</v>
      </c>
      <c r="B1037" s="20" t="str">
        <f>IFERROR(__xludf.DUMMYFUNCTION("""COMPUTED_VALUE"""),"Escape a Large Maze")</f>
        <v>Escape a Large Maze</v>
      </c>
      <c r="C1037" s="20" t="str">
        <f>IFERROR(__xludf.DUMMYFUNCTION("""COMPUTED_VALUE"""),"escape-a-large-maze")</f>
        <v>escape-a-large-maze</v>
      </c>
      <c r="D1037" s="20" t="b">
        <f>IFERROR(__xludf.DUMMYFUNCTION("""COMPUTED_VALUE"""),FALSE)</f>
        <v>0</v>
      </c>
      <c r="E1037" s="20" t="str">
        <f>IFERROR(__xludf.DUMMYFUNCTION("""COMPUTED_VALUE"""),"Hard")</f>
        <v>Hard</v>
      </c>
      <c r="F1037" s="20">
        <f>IFERROR(__xludf.DUMMYFUNCTION("""COMPUTED_VALUE"""),541.0)</f>
        <v>541</v>
      </c>
      <c r="G1037" s="20">
        <f>IFERROR(__xludf.DUMMYFUNCTION("""COMPUTED_VALUE"""),153.0)</f>
        <v>153</v>
      </c>
      <c r="H1037" s="20" t="str">
        <f>IFERROR(__xludf.DUMMYFUNCTION("""COMPUTED_VALUE"""),"Algorithms")</f>
        <v>Algorithms</v>
      </c>
      <c r="I1037" s="20">
        <f>IFERROR(__xludf.DUMMYFUNCTION("""COMPUTED_VALUE"""),0.341)</f>
        <v>0.341</v>
      </c>
      <c r="J1037" s="20">
        <f>IFERROR(__xludf.DUMMYFUNCTION("""COMPUTED_VALUE"""),1036.0)</f>
        <v>1036</v>
      </c>
      <c r="K1037" s="20" t="b">
        <f>IFERROR(__xludf.DUMMYFUNCTION("""COMPUTED_VALUE"""),FALSE)</f>
        <v>0</v>
      </c>
      <c r="L1037" s="20" t="str">
        <f>IFERROR(__xludf.DUMMYFUNCTION("""COMPUTED_VALUE"""),"Array;Hash Table;Depth-First Search;Breadth-First Search;")</f>
        <v>Array;Hash Table;Depth-First Search;Breadth-First Search;</v>
      </c>
      <c r="M1037" s="20" t="b">
        <f>IFERROR(__xludf.DUMMYFUNCTION("""COMPUTED_VALUE"""),FALSE)</f>
        <v>0</v>
      </c>
      <c r="N1037" s="20" t="b">
        <f>IFERROR(__xludf.DUMMYFUNCTION("""COMPUTED_VALUE"""),FALSE)</f>
        <v>0</v>
      </c>
      <c r="O1037" s="20">
        <f>IFERROR(__xludf.DUMMYFUNCTION("""COMPUTED_VALUE"""),34.0922369804853)</f>
        <v>34.09223698</v>
      </c>
      <c r="P1037" s="20">
        <f>IFERROR(__xludf.DUMMYFUNCTION("""COMPUTED_VALUE"""),17505.0)</f>
        <v>17505</v>
      </c>
      <c r="Q1037" s="20">
        <f>IFERROR(__xludf.DUMMYFUNCTION("""COMPUTED_VALUE"""),51346.0)</f>
        <v>51346</v>
      </c>
    </row>
    <row r="1038">
      <c r="A1038" s="20">
        <f>IFERROR(__xludf.DUMMYFUNCTION("""COMPUTED_VALUE"""),1115.0)</f>
        <v>1115</v>
      </c>
      <c r="B1038" s="20" t="str">
        <f>IFERROR(__xludf.DUMMYFUNCTION("""COMPUTED_VALUE"""),"Valid Boomerang")</f>
        <v>Valid Boomerang</v>
      </c>
      <c r="C1038" s="20" t="str">
        <f>IFERROR(__xludf.DUMMYFUNCTION("""COMPUTED_VALUE"""),"valid-boomerang")</f>
        <v>valid-boomerang</v>
      </c>
      <c r="D1038" s="20" t="b">
        <f>IFERROR(__xludf.DUMMYFUNCTION("""COMPUTED_VALUE"""),FALSE)</f>
        <v>0</v>
      </c>
      <c r="E1038" s="20" t="str">
        <f>IFERROR(__xludf.DUMMYFUNCTION("""COMPUTED_VALUE"""),"Easy")</f>
        <v>Easy</v>
      </c>
      <c r="F1038" s="20">
        <f>IFERROR(__xludf.DUMMYFUNCTION("""COMPUTED_VALUE"""),296.0)</f>
        <v>296</v>
      </c>
      <c r="G1038" s="20">
        <f>IFERROR(__xludf.DUMMYFUNCTION("""COMPUTED_VALUE"""),428.0)</f>
        <v>428</v>
      </c>
      <c r="H1038" s="20" t="str">
        <f>IFERROR(__xludf.DUMMYFUNCTION("""COMPUTED_VALUE"""),"Algorithms")</f>
        <v>Algorithms</v>
      </c>
      <c r="I1038" s="20">
        <f>IFERROR(__xludf.DUMMYFUNCTION("""COMPUTED_VALUE"""),0.373)</f>
        <v>0.373</v>
      </c>
      <c r="J1038" s="20">
        <f>IFERROR(__xludf.DUMMYFUNCTION("""COMPUTED_VALUE"""),1037.0)</f>
        <v>1037</v>
      </c>
      <c r="K1038" s="20" t="b">
        <f>IFERROR(__xludf.DUMMYFUNCTION("""COMPUTED_VALUE"""),FALSE)</f>
        <v>0</v>
      </c>
      <c r="L1038" s="20" t="str">
        <f>IFERROR(__xludf.DUMMYFUNCTION("""COMPUTED_VALUE"""),"Array;Math;Geometry;")</f>
        <v>Array;Math;Geometry;</v>
      </c>
      <c r="M1038" s="20" t="b">
        <f>IFERROR(__xludf.DUMMYFUNCTION("""COMPUTED_VALUE"""),FALSE)</f>
        <v>0</v>
      </c>
      <c r="N1038" s="20" t="b">
        <f>IFERROR(__xludf.DUMMYFUNCTION("""COMPUTED_VALUE"""),FALSE)</f>
        <v>0</v>
      </c>
      <c r="O1038" s="20">
        <f>IFERROR(__xludf.DUMMYFUNCTION("""COMPUTED_VALUE"""),37.2837142047619)</f>
        <v>37.2837142</v>
      </c>
      <c r="P1038" s="20">
        <f>IFERROR(__xludf.DUMMYFUNCTION("""COMPUTED_VALUE"""),38161.0)</f>
        <v>38161</v>
      </c>
      <c r="Q1038" s="20">
        <f>IFERROR(__xludf.DUMMYFUNCTION("""COMPUTED_VALUE"""),102353.0)</f>
        <v>102353</v>
      </c>
    </row>
    <row r="1039">
      <c r="A1039" s="20">
        <f>IFERROR(__xludf.DUMMYFUNCTION("""COMPUTED_VALUE"""),1114.0)</f>
        <v>1114</v>
      </c>
      <c r="B1039" s="20" t="str">
        <f>IFERROR(__xludf.DUMMYFUNCTION("""COMPUTED_VALUE"""),"Binary Search Tree to Greater Sum Tree")</f>
        <v>Binary Search Tree to Greater Sum Tree</v>
      </c>
      <c r="C1039" s="20" t="str">
        <f>IFERROR(__xludf.DUMMYFUNCTION("""COMPUTED_VALUE"""),"binary-search-tree-to-greater-sum-tree")</f>
        <v>binary-search-tree-to-greater-sum-tree</v>
      </c>
      <c r="D1039" s="20" t="b">
        <f>IFERROR(__xludf.DUMMYFUNCTION("""COMPUTED_VALUE"""),FALSE)</f>
        <v>0</v>
      </c>
      <c r="E1039" s="20" t="str">
        <f>IFERROR(__xludf.DUMMYFUNCTION("""COMPUTED_VALUE"""),"Medium")</f>
        <v>Medium</v>
      </c>
      <c r="F1039" s="20">
        <f>IFERROR(__xludf.DUMMYFUNCTION("""COMPUTED_VALUE"""),3166.0)</f>
        <v>3166</v>
      </c>
      <c r="G1039" s="20">
        <f>IFERROR(__xludf.DUMMYFUNCTION("""COMPUTED_VALUE"""),143.0)</f>
        <v>143</v>
      </c>
      <c r="H1039" s="20" t="str">
        <f>IFERROR(__xludf.DUMMYFUNCTION("""COMPUTED_VALUE"""),"Algorithms")</f>
        <v>Algorithms</v>
      </c>
      <c r="I1039" s="20">
        <f>IFERROR(__xludf.DUMMYFUNCTION("""COMPUTED_VALUE"""),0.855)</f>
        <v>0.855</v>
      </c>
      <c r="J1039" s="20">
        <f>IFERROR(__xludf.DUMMYFUNCTION("""COMPUTED_VALUE"""),1038.0)</f>
        <v>1038</v>
      </c>
      <c r="K1039" s="20" t="b">
        <f>IFERROR(__xludf.DUMMYFUNCTION("""COMPUTED_VALUE"""),FALSE)</f>
        <v>0</v>
      </c>
      <c r="L1039" s="20" t="str">
        <f>IFERROR(__xludf.DUMMYFUNCTION("""COMPUTED_VALUE"""),"Tree;Depth-First Search;Binary Search Tree;Binary Tree;")</f>
        <v>Tree;Depth-First Search;Binary Search Tree;Binary Tree;</v>
      </c>
      <c r="M1039" s="20" t="b">
        <f>IFERROR(__xludf.DUMMYFUNCTION("""COMPUTED_VALUE"""),FALSE)</f>
        <v>0</v>
      </c>
      <c r="N1039" s="20" t="b">
        <f>IFERROR(__xludf.DUMMYFUNCTION("""COMPUTED_VALUE"""),FALSE)</f>
        <v>0</v>
      </c>
      <c r="O1039" s="20">
        <f>IFERROR(__xludf.DUMMYFUNCTION("""COMPUTED_VALUE"""),85.5190287490754)</f>
        <v>85.51902875</v>
      </c>
      <c r="P1039" s="20">
        <f>IFERROR(__xludf.DUMMYFUNCTION("""COMPUTED_VALUE"""),142218.0)</f>
        <v>142218</v>
      </c>
      <c r="Q1039" s="20">
        <f>IFERROR(__xludf.DUMMYFUNCTION("""COMPUTED_VALUE"""),166300.0)</f>
        <v>166300</v>
      </c>
    </row>
    <row r="1040">
      <c r="A1040" s="20">
        <f>IFERROR(__xludf.DUMMYFUNCTION("""COMPUTED_VALUE"""),1111.0)</f>
        <v>1111</v>
      </c>
      <c r="B1040" s="20" t="str">
        <f>IFERROR(__xludf.DUMMYFUNCTION("""COMPUTED_VALUE"""),"Minimum Score Triangulation of Polygon")</f>
        <v>Minimum Score Triangulation of Polygon</v>
      </c>
      <c r="C1040" s="20" t="str">
        <f>IFERROR(__xludf.DUMMYFUNCTION("""COMPUTED_VALUE"""),"minimum-score-triangulation-of-polygon")</f>
        <v>minimum-score-triangulation-of-polygon</v>
      </c>
      <c r="D1040" s="20" t="b">
        <f>IFERROR(__xludf.DUMMYFUNCTION("""COMPUTED_VALUE"""),FALSE)</f>
        <v>0</v>
      </c>
      <c r="E1040" s="20" t="str">
        <f>IFERROR(__xludf.DUMMYFUNCTION("""COMPUTED_VALUE"""),"Medium")</f>
        <v>Medium</v>
      </c>
      <c r="F1040" s="20">
        <f>IFERROR(__xludf.DUMMYFUNCTION("""COMPUTED_VALUE"""),1369.0)</f>
        <v>1369</v>
      </c>
      <c r="G1040" s="20">
        <f>IFERROR(__xludf.DUMMYFUNCTION("""COMPUTED_VALUE"""),135.0)</f>
        <v>135</v>
      </c>
      <c r="H1040" s="20" t="str">
        <f>IFERROR(__xludf.DUMMYFUNCTION("""COMPUTED_VALUE"""),"Algorithms")</f>
        <v>Algorithms</v>
      </c>
      <c r="I1040" s="20">
        <f>IFERROR(__xludf.DUMMYFUNCTION("""COMPUTED_VALUE"""),0.549)</f>
        <v>0.549</v>
      </c>
      <c r="J1040" s="20">
        <f>IFERROR(__xludf.DUMMYFUNCTION("""COMPUTED_VALUE"""),1039.0)</f>
        <v>1039</v>
      </c>
      <c r="K1040" s="20" t="b">
        <f>IFERROR(__xludf.DUMMYFUNCTION("""COMPUTED_VALUE"""),FALSE)</f>
        <v>0</v>
      </c>
      <c r="L1040" s="20" t="str">
        <f>IFERROR(__xludf.DUMMYFUNCTION("""COMPUTED_VALUE"""),"Array;Dynamic Programming;")</f>
        <v>Array;Dynamic Programming;</v>
      </c>
      <c r="M1040" s="20" t="b">
        <f>IFERROR(__xludf.DUMMYFUNCTION("""COMPUTED_VALUE"""),FALSE)</f>
        <v>0</v>
      </c>
      <c r="N1040" s="20" t="b">
        <f>IFERROR(__xludf.DUMMYFUNCTION("""COMPUTED_VALUE"""),FALSE)</f>
        <v>0</v>
      </c>
      <c r="O1040" s="20">
        <f>IFERROR(__xludf.DUMMYFUNCTION("""COMPUTED_VALUE"""),54.8579408131478)</f>
        <v>54.85794081</v>
      </c>
      <c r="P1040" s="20">
        <f>IFERROR(__xludf.DUMMYFUNCTION("""COMPUTED_VALUE"""),30642.0)</f>
        <v>30642</v>
      </c>
      <c r="Q1040" s="20">
        <f>IFERROR(__xludf.DUMMYFUNCTION("""COMPUTED_VALUE"""),55857.0)</f>
        <v>55857</v>
      </c>
    </row>
    <row r="1041">
      <c r="A1041" s="20">
        <f>IFERROR(__xludf.DUMMYFUNCTION("""COMPUTED_VALUE"""),1113.0)</f>
        <v>1113</v>
      </c>
      <c r="B1041" s="20" t="str">
        <f>IFERROR(__xludf.DUMMYFUNCTION("""COMPUTED_VALUE"""),"Moving Stones Until Consecutive II")</f>
        <v>Moving Stones Until Consecutive II</v>
      </c>
      <c r="C1041" s="20" t="str">
        <f>IFERROR(__xludf.DUMMYFUNCTION("""COMPUTED_VALUE"""),"moving-stones-until-consecutive-ii")</f>
        <v>moving-stones-until-consecutive-ii</v>
      </c>
      <c r="D1041" s="20" t="b">
        <f>IFERROR(__xludf.DUMMYFUNCTION("""COMPUTED_VALUE"""),FALSE)</f>
        <v>0</v>
      </c>
      <c r="E1041" s="20" t="str">
        <f>IFERROR(__xludf.DUMMYFUNCTION("""COMPUTED_VALUE"""),"Medium")</f>
        <v>Medium</v>
      </c>
      <c r="F1041" s="20">
        <f>IFERROR(__xludf.DUMMYFUNCTION("""COMPUTED_VALUE"""),327.0)</f>
        <v>327</v>
      </c>
      <c r="G1041" s="20">
        <f>IFERROR(__xludf.DUMMYFUNCTION("""COMPUTED_VALUE"""),540.0)</f>
        <v>540</v>
      </c>
      <c r="H1041" s="20" t="str">
        <f>IFERROR(__xludf.DUMMYFUNCTION("""COMPUTED_VALUE"""),"Algorithms")</f>
        <v>Algorithms</v>
      </c>
      <c r="I1041" s="20">
        <f>IFERROR(__xludf.DUMMYFUNCTION("""COMPUTED_VALUE"""),0.557)</f>
        <v>0.557</v>
      </c>
      <c r="J1041" s="20">
        <f>IFERROR(__xludf.DUMMYFUNCTION("""COMPUTED_VALUE"""),1040.0)</f>
        <v>1040</v>
      </c>
      <c r="K1041" s="20" t="b">
        <f>IFERROR(__xludf.DUMMYFUNCTION("""COMPUTED_VALUE"""),FALSE)</f>
        <v>0</v>
      </c>
      <c r="L1041" s="20" t="str">
        <f>IFERROR(__xludf.DUMMYFUNCTION("""COMPUTED_VALUE"""),"Array;Math;Two Pointers;Sorting;")</f>
        <v>Array;Math;Two Pointers;Sorting;</v>
      </c>
      <c r="M1041" s="20" t="b">
        <f>IFERROR(__xludf.DUMMYFUNCTION("""COMPUTED_VALUE"""),FALSE)</f>
        <v>0</v>
      </c>
      <c r="N1041" s="20" t="b">
        <f>IFERROR(__xludf.DUMMYFUNCTION("""COMPUTED_VALUE"""),FALSE)</f>
        <v>0</v>
      </c>
      <c r="O1041" s="20">
        <f>IFERROR(__xludf.DUMMYFUNCTION("""COMPUTED_VALUE"""),55.7212940864492)</f>
        <v>55.72129409</v>
      </c>
      <c r="P1041" s="20">
        <f>IFERROR(__xludf.DUMMYFUNCTION("""COMPUTED_VALUE"""),8405.0)</f>
        <v>8405</v>
      </c>
      <c r="Q1041" s="20">
        <f>IFERROR(__xludf.DUMMYFUNCTION("""COMPUTED_VALUE"""),15084.0)</f>
        <v>15084</v>
      </c>
    </row>
    <row r="1042">
      <c r="A1042" s="20">
        <f>IFERROR(__xludf.DUMMYFUNCTION("""COMPUTED_VALUE"""),1119.0)</f>
        <v>1119</v>
      </c>
      <c r="B1042" s="20" t="str">
        <f>IFERROR(__xludf.DUMMYFUNCTION("""COMPUTED_VALUE"""),"Robot Bounded In Circle")</f>
        <v>Robot Bounded In Circle</v>
      </c>
      <c r="C1042" s="20" t="str">
        <f>IFERROR(__xludf.DUMMYFUNCTION("""COMPUTED_VALUE"""),"robot-bounded-in-circle")</f>
        <v>robot-bounded-in-circle</v>
      </c>
      <c r="D1042" s="20" t="b">
        <f>IFERROR(__xludf.DUMMYFUNCTION("""COMPUTED_VALUE"""),FALSE)</f>
        <v>0</v>
      </c>
      <c r="E1042" s="20" t="str">
        <f>IFERROR(__xludf.DUMMYFUNCTION("""COMPUTED_VALUE"""),"Medium")</f>
        <v>Medium</v>
      </c>
      <c r="F1042" s="20">
        <f>IFERROR(__xludf.DUMMYFUNCTION("""COMPUTED_VALUE"""),3351.0)</f>
        <v>3351</v>
      </c>
      <c r="G1042" s="20">
        <f>IFERROR(__xludf.DUMMYFUNCTION("""COMPUTED_VALUE"""),646.0)</f>
        <v>646</v>
      </c>
      <c r="H1042" s="20" t="str">
        <f>IFERROR(__xludf.DUMMYFUNCTION("""COMPUTED_VALUE"""),"Algorithms")</f>
        <v>Algorithms</v>
      </c>
      <c r="I1042" s="20">
        <f>IFERROR(__xludf.DUMMYFUNCTION("""COMPUTED_VALUE"""),0.553)</f>
        <v>0.553</v>
      </c>
      <c r="J1042" s="20">
        <f>IFERROR(__xludf.DUMMYFUNCTION("""COMPUTED_VALUE"""),1041.0)</f>
        <v>1041</v>
      </c>
      <c r="K1042" s="20" t="b">
        <f>IFERROR(__xludf.DUMMYFUNCTION("""COMPUTED_VALUE"""),FALSE)</f>
        <v>0</v>
      </c>
      <c r="L1042" s="20" t="str">
        <f>IFERROR(__xludf.DUMMYFUNCTION("""COMPUTED_VALUE"""),"Math;String;Simulation;")</f>
        <v>Math;String;Simulation;</v>
      </c>
      <c r="M1042" s="20" t="b">
        <f>IFERROR(__xludf.DUMMYFUNCTION("""COMPUTED_VALUE"""),TRUE)</f>
        <v>1</v>
      </c>
      <c r="N1042" s="20" t="b">
        <f>IFERROR(__xludf.DUMMYFUNCTION("""COMPUTED_VALUE"""),FALSE)</f>
        <v>0</v>
      </c>
      <c r="O1042" s="20">
        <f>IFERROR(__xludf.DUMMYFUNCTION("""COMPUTED_VALUE"""),55.281933133017)</f>
        <v>55.28193313</v>
      </c>
      <c r="P1042" s="20">
        <f>IFERROR(__xludf.DUMMYFUNCTION("""COMPUTED_VALUE"""),205876.0)</f>
        <v>205876</v>
      </c>
      <c r="Q1042" s="20">
        <f>IFERROR(__xludf.DUMMYFUNCTION("""COMPUTED_VALUE"""),372411.0)</f>
        <v>372411</v>
      </c>
    </row>
    <row r="1043">
      <c r="A1043" s="20">
        <f>IFERROR(__xludf.DUMMYFUNCTION("""COMPUTED_VALUE"""),1120.0)</f>
        <v>1120</v>
      </c>
      <c r="B1043" s="20" t="str">
        <f>IFERROR(__xludf.DUMMYFUNCTION("""COMPUTED_VALUE"""),"Flower Planting With No Adjacent")</f>
        <v>Flower Planting With No Adjacent</v>
      </c>
      <c r="C1043" s="20" t="str">
        <f>IFERROR(__xludf.DUMMYFUNCTION("""COMPUTED_VALUE"""),"flower-planting-with-no-adjacent")</f>
        <v>flower-planting-with-no-adjacent</v>
      </c>
      <c r="D1043" s="20" t="b">
        <f>IFERROR(__xludf.DUMMYFUNCTION("""COMPUTED_VALUE"""),FALSE)</f>
        <v>0</v>
      </c>
      <c r="E1043" s="20" t="str">
        <f>IFERROR(__xludf.DUMMYFUNCTION("""COMPUTED_VALUE"""),"Medium")</f>
        <v>Medium</v>
      </c>
      <c r="F1043" s="20">
        <f>IFERROR(__xludf.DUMMYFUNCTION("""COMPUTED_VALUE"""),1089.0)</f>
        <v>1089</v>
      </c>
      <c r="G1043" s="20">
        <f>IFERROR(__xludf.DUMMYFUNCTION("""COMPUTED_VALUE"""),682.0)</f>
        <v>682</v>
      </c>
      <c r="H1043" s="20" t="str">
        <f>IFERROR(__xludf.DUMMYFUNCTION("""COMPUTED_VALUE"""),"Algorithms")</f>
        <v>Algorithms</v>
      </c>
      <c r="I1043" s="20">
        <f>IFERROR(__xludf.DUMMYFUNCTION("""COMPUTED_VALUE"""),0.505)</f>
        <v>0.505</v>
      </c>
      <c r="J1043" s="20">
        <f>IFERROR(__xludf.DUMMYFUNCTION("""COMPUTED_VALUE"""),1042.0)</f>
        <v>1042</v>
      </c>
      <c r="K1043" s="20" t="b">
        <f>IFERROR(__xludf.DUMMYFUNCTION("""COMPUTED_VALUE"""),FALSE)</f>
        <v>0</v>
      </c>
      <c r="L1043" s="20" t="str">
        <f>IFERROR(__xludf.DUMMYFUNCTION("""COMPUTED_VALUE"""),"Depth-First Search;Breadth-First Search;Graph;")</f>
        <v>Depth-First Search;Breadth-First Search;Graph;</v>
      </c>
      <c r="M1043" s="20" t="b">
        <f>IFERROR(__xludf.DUMMYFUNCTION("""COMPUTED_VALUE"""),FALSE)</f>
        <v>0</v>
      </c>
      <c r="N1043" s="20" t="b">
        <f>IFERROR(__xludf.DUMMYFUNCTION("""COMPUTED_VALUE"""),FALSE)</f>
        <v>0</v>
      </c>
      <c r="O1043" s="20">
        <f>IFERROR(__xludf.DUMMYFUNCTION("""COMPUTED_VALUE"""),50.4751764032801)</f>
        <v>50.4751764</v>
      </c>
      <c r="P1043" s="20">
        <f>IFERROR(__xludf.DUMMYFUNCTION("""COMPUTED_VALUE"""),63522.0)</f>
        <v>63522</v>
      </c>
      <c r="Q1043" s="20">
        <f>IFERROR(__xludf.DUMMYFUNCTION("""COMPUTED_VALUE"""),125848.0)</f>
        <v>125848</v>
      </c>
    </row>
    <row r="1044">
      <c r="A1044" s="20">
        <f>IFERROR(__xludf.DUMMYFUNCTION("""COMPUTED_VALUE"""),1121.0)</f>
        <v>1121</v>
      </c>
      <c r="B1044" s="20" t="str">
        <f>IFERROR(__xludf.DUMMYFUNCTION("""COMPUTED_VALUE"""),"Partition Array for Maximum Sum")</f>
        <v>Partition Array for Maximum Sum</v>
      </c>
      <c r="C1044" s="20" t="str">
        <f>IFERROR(__xludf.DUMMYFUNCTION("""COMPUTED_VALUE"""),"partition-array-for-maximum-sum")</f>
        <v>partition-array-for-maximum-sum</v>
      </c>
      <c r="D1044" s="20" t="b">
        <f>IFERROR(__xludf.DUMMYFUNCTION("""COMPUTED_VALUE"""),FALSE)</f>
        <v>0</v>
      </c>
      <c r="E1044" s="20" t="str">
        <f>IFERROR(__xludf.DUMMYFUNCTION("""COMPUTED_VALUE"""),"Medium")</f>
        <v>Medium</v>
      </c>
      <c r="F1044" s="20">
        <f>IFERROR(__xludf.DUMMYFUNCTION("""COMPUTED_VALUE"""),2953.0)</f>
        <v>2953</v>
      </c>
      <c r="G1044" s="20">
        <f>IFERROR(__xludf.DUMMYFUNCTION("""COMPUTED_VALUE"""),214.0)</f>
        <v>214</v>
      </c>
      <c r="H1044" s="20" t="str">
        <f>IFERROR(__xludf.DUMMYFUNCTION("""COMPUTED_VALUE"""),"Algorithms")</f>
        <v>Algorithms</v>
      </c>
      <c r="I1044" s="20">
        <f>IFERROR(__xludf.DUMMYFUNCTION("""COMPUTED_VALUE"""),0.713)</f>
        <v>0.713</v>
      </c>
      <c r="J1044" s="20">
        <f>IFERROR(__xludf.DUMMYFUNCTION("""COMPUTED_VALUE"""),1043.0)</f>
        <v>1043</v>
      </c>
      <c r="K1044" s="20" t="b">
        <f>IFERROR(__xludf.DUMMYFUNCTION("""COMPUTED_VALUE"""),FALSE)</f>
        <v>0</v>
      </c>
      <c r="L1044" s="20" t="str">
        <f>IFERROR(__xludf.DUMMYFUNCTION("""COMPUTED_VALUE"""),"Array;Dynamic Programming;")</f>
        <v>Array;Dynamic Programming;</v>
      </c>
      <c r="M1044" s="20" t="b">
        <f>IFERROR(__xludf.DUMMYFUNCTION("""COMPUTED_VALUE"""),FALSE)</f>
        <v>0</v>
      </c>
      <c r="N1044" s="20" t="b">
        <f>IFERROR(__xludf.DUMMYFUNCTION("""COMPUTED_VALUE"""),FALSE)</f>
        <v>0</v>
      </c>
      <c r="O1044" s="20">
        <f>IFERROR(__xludf.DUMMYFUNCTION("""COMPUTED_VALUE"""),71.2868558831634)</f>
        <v>71.28685588</v>
      </c>
      <c r="P1044" s="20">
        <f>IFERROR(__xludf.DUMMYFUNCTION("""COMPUTED_VALUE"""),64675.0)</f>
        <v>64675</v>
      </c>
      <c r="Q1044" s="20">
        <f>IFERROR(__xludf.DUMMYFUNCTION("""COMPUTED_VALUE"""),90725.0)</f>
        <v>90725</v>
      </c>
    </row>
    <row r="1045">
      <c r="A1045" s="20">
        <f>IFERROR(__xludf.DUMMYFUNCTION("""COMPUTED_VALUE"""),1122.0)</f>
        <v>1122</v>
      </c>
      <c r="B1045" s="20" t="str">
        <f>IFERROR(__xludf.DUMMYFUNCTION("""COMPUTED_VALUE"""),"Longest Duplicate Substring")</f>
        <v>Longest Duplicate Substring</v>
      </c>
      <c r="C1045" s="20" t="str">
        <f>IFERROR(__xludf.DUMMYFUNCTION("""COMPUTED_VALUE"""),"longest-duplicate-substring")</f>
        <v>longest-duplicate-substring</v>
      </c>
      <c r="D1045" s="20" t="b">
        <f>IFERROR(__xludf.DUMMYFUNCTION("""COMPUTED_VALUE"""),FALSE)</f>
        <v>0</v>
      </c>
      <c r="E1045" s="20" t="str">
        <f>IFERROR(__xludf.DUMMYFUNCTION("""COMPUTED_VALUE"""),"Hard")</f>
        <v>Hard</v>
      </c>
      <c r="F1045" s="20">
        <f>IFERROR(__xludf.DUMMYFUNCTION("""COMPUTED_VALUE"""),1949.0)</f>
        <v>1949</v>
      </c>
      <c r="G1045" s="20">
        <f>IFERROR(__xludf.DUMMYFUNCTION("""COMPUTED_VALUE"""),364.0)</f>
        <v>364</v>
      </c>
      <c r="H1045" s="20" t="str">
        <f>IFERROR(__xludf.DUMMYFUNCTION("""COMPUTED_VALUE"""),"Algorithms")</f>
        <v>Algorithms</v>
      </c>
      <c r="I1045" s="20">
        <f>IFERROR(__xludf.DUMMYFUNCTION("""COMPUTED_VALUE"""),0.306)</f>
        <v>0.306</v>
      </c>
      <c r="J1045" s="20">
        <f>IFERROR(__xludf.DUMMYFUNCTION("""COMPUTED_VALUE"""),1044.0)</f>
        <v>1044</v>
      </c>
      <c r="K1045" s="20" t="b">
        <f>IFERROR(__xludf.DUMMYFUNCTION("""COMPUTED_VALUE"""),FALSE)</f>
        <v>0</v>
      </c>
      <c r="L1045" s="20" t="str">
        <f>IFERROR(__xludf.DUMMYFUNCTION("""COMPUTED_VALUE"""),"String;Binary Search;Sliding Window;Rolling Hash;Suffix Array;Hash Function;")</f>
        <v>String;Binary Search;Sliding Window;Rolling Hash;Suffix Array;Hash Function;</v>
      </c>
      <c r="M1045" s="20" t="b">
        <f>IFERROR(__xludf.DUMMYFUNCTION("""COMPUTED_VALUE"""),TRUE)</f>
        <v>1</v>
      </c>
      <c r="N1045" s="20" t="b">
        <f>IFERROR(__xludf.DUMMYFUNCTION("""COMPUTED_VALUE"""),FALSE)</f>
        <v>0</v>
      </c>
      <c r="O1045" s="20">
        <f>IFERROR(__xludf.DUMMYFUNCTION("""COMPUTED_VALUE"""),30.6181052674606)</f>
        <v>30.61810527</v>
      </c>
      <c r="P1045" s="20">
        <f>IFERROR(__xludf.DUMMYFUNCTION("""COMPUTED_VALUE"""),59923.0)</f>
        <v>59923</v>
      </c>
      <c r="Q1045" s="20">
        <f>IFERROR(__xludf.DUMMYFUNCTION("""COMPUTED_VALUE"""),195710.0)</f>
        <v>195710</v>
      </c>
    </row>
    <row r="1046">
      <c r="A1046" s="20">
        <f>IFERROR(__xludf.DUMMYFUNCTION("""COMPUTED_VALUE"""),1135.0)</f>
        <v>1135</v>
      </c>
      <c r="B1046" s="20" t="str">
        <f>IFERROR(__xludf.DUMMYFUNCTION("""COMPUTED_VALUE"""),"Customers Who Bought All Products")</f>
        <v>Customers Who Bought All Products</v>
      </c>
      <c r="C1046" s="20" t="str">
        <f>IFERROR(__xludf.DUMMYFUNCTION("""COMPUTED_VALUE"""),"customers-who-bought-all-products")</f>
        <v>customers-who-bought-all-products</v>
      </c>
      <c r="D1046" s="20" t="b">
        <f>IFERROR(__xludf.DUMMYFUNCTION("""COMPUTED_VALUE"""),TRUE)</f>
        <v>1</v>
      </c>
      <c r="E1046" s="20" t="str">
        <f>IFERROR(__xludf.DUMMYFUNCTION("""COMPUTED_VALUE"""),"Medium")</f>
        <v>Medium</v>
      </c>
      <c r="F1046" s="20">
        <f>IFERROR(__xludf.DUMMYFUNCTION("""COMPUTED_VALUE"""),231.0)</f>
        <v>231</v>
      </c>
      <c r="G1046" s="20">
        <f>IFERROR(__xludf.DUMMYFUNCTION("""COMPUTED_VALUE"""),39.0)</f>
        <v>39</v>
      </c>
      <c r="H1046" s="20" t="str">
        <f>IFERROR(__xludf.DUMMYFUNCTION("""COMPUTED_VALUE"""),"Database")</f>
        <v>Database</v>
      </c>
      <c r="I1046" s="20">
        <f>IFERROR(__xludf.DUMMYFUNCTION("""COMPUTED_VALUE"""),0.673)</f>
        <v>0.673</v>
      </c>
      <c r="J1046" s="20">
        <f>IFERROR(__xludf.DUMMYFUNCTION("""COMPUTED_VALUE"""),1045.0)</f>
        <v>1045</v>
      </c>
      <c r="K1046" s="20" t="b">
        <f>IFERROR(__xludf.DUMMYFUNCTION("""COMPUTED_VALUE"""),TRUE)</f>
        <v>1</v>
      </c>
      <c r="L1046" s="20" t="str">
        <f>IFERROR(__xludf.DUMMYFUNCTION("""COMPUTED_VALUE"""),"Database;")</f>
        <v>Database;</v>
      </c>
      <c r="M1046" s="20" t="b">
        <f>IFERROR(__xludf.DUMMYFUNCTION("""COMPUTED_VALUE"""),TRUE)</f>
        <v>1</v>
      </c>
      <c r="N1046" s="20" t="b">
        <f>IFERROR(__xludf.DUMMYFUNCTION("""COMPUTED_VALUE"""),FALSE)</f>
        <v>0</v>
      </c>
      <c r="O1046" s="20">
        <f>IFERROR(__xludf.DUMMYFUNCTION("""COMPUTED_VALUE"""),67.3373157643519)</f>
        <v>67.33731576</v>
      </c>
      <c r="P1046" s="20">
        <f>IFERROR(__xludf.DUMMYFUNCTION("""COMPUTED_VALUE"""),46555.0)</f>
        <v>46555</v>
      </c>
      <c r="Q1046" s="20">
        <f>IFERROR(__xludf.DUMMYFUNCTION("""COMPUTED_VALUE"""),69137.0)</f>
        <v>69137</v>
      </c>
    </row>
    <row r="1047">
      <c r="A1047" s="20">
        <f>IFERROR(__xludf.DUMMYFUNCTION("""COMPUTED_VALUE"""),1127.0)</f>
        <v>1127</v>
      </c>
      <c r="B1047" s="20" t="str">
        <f>IFERROR(__xludf.DUMMYFUNCTION("""COMPUTED_VALUE"""),"Last Stone Weight")</f>
        <v>Last Stone Weight</v>
      </c>
      <c r="C1047" s="20" t="str">
        <f>IFERROR(__xludf.DUMMYFUNCTION("""COMPUTED_VALUE"""),"last-stone-weight")</f>
        <v>last-stone-weight</v>
      </c>
      <c r="D1047" s="20" t="b">
        <f>IFERROR(__xludf.DUMMYFUNCTION("""COMPUTED_VALUE"""),FALSE)</f>
        <v>0</v>
      </c>
      <c r="E1047" s="20" t="str">
        <f>IFERROR(__xludf.DUMMYFUNCTION("""COMPUTED_VALUE"""),"Easy")</f>
        <v>Easy</v>
      </c>
      <c r="F1047" s="20">
        <f>IFERROR(__xludf.DUMMYFUNCTION("""COMPUTED_VALUE"""),4081.0)</f>
        <v>4081</v>
      </c>
      <c r="G1047" s="20">
        <f>IFERROR(__xludf.DUMMYFUNCTION("""COMPUTED_VALUE"""),77.0)</f>
        <v>77</v>
      </c>
      <c r="H1047" s="20" t="str">
        <f>IFERROR(__xludf.DUMMYFUNCTION("""COMPUTED_VALUE"""),"Algorithms")</f>
        <v>Algorithms</v>
      </c>
      <c r="I1047" s="20">
        <f>IFERROR(__xludf.DUMMYFUNCTION("""COMPUTED_VALUE"""),0.648)</f>
        <v>0.648</v>
      </c>
      <c r="J1047" s="20">
        <f>IFERROR(__xludf.DUMMYFUNCTION("""COMPUTED_VALUE"""),1046.0)</f>
        <v>1046</v>
      </c>
      <c r="K1047" s="20" t="b">
        <f>IFERROR(__xludf.DUMMYFUNCTION("""COMPUTED_VALUE"""),FALSE)</f>
        <v>0</v>
      </c>
      <c r="L1047" s="20" t="str">
        <f>IFERROR(__xludf.DUMMYFUNCTION("""COMPUTED_VALUE"""),"Array;Heap (Priority Queue);")</f>
        <v>Array;Heap (Priority Queue);</v>
      </c>
      <c r="M1047" s="20" t="b">
        <f>IFERROR(__xludf.DUMMYFUNCTION("""COMPUTED_VALUE"""),TRUE)</f>
        <v>1</v>
      </c>
      <c r="N1047" s="20" t="b">
        <f>IFERROR(__xludf.DUMMYFUNCTION("""COMPUTED_VALUE"""),FALSE)</f>
        <v>0</v>
      </c>
      <c r="O1047" s="20">
        <f>IFERROR(__xludf.DUMMYFUNCTION("""COMPUTED_VALUE"""),64.7832303084485)</f>
        <v>64.78323031</v>
      </c>
      <c r="P1047" s="20">
        <f>IFERROR(__xludf.DUMMYFUNCTION("""COMPUTED_VALUE"""),372462.0)</f>
        <v>372462</v>
      </c>
      <c r="Q1047" s="20">
        <f>IFERROR(__xludf.DUMMYFUNCTION("""COMPUTED_VALUE"""),574938.0)</f>
        <v>574938</v>
      </c>
    </row>
    <row r="1048">
      <c r="A1048" s="20">
        <f>IFERROR(__xludf.DUMMYFUNCTION("""COMPUTED_VALUE"""),1128.0)</f>
        <v>1128</v>
      </c>
      <c r="B1048" s="20" t="str">
        <f>IFERROR(__xludf.DUMMYFUNCTION("""COMPUTED_VALUE"""),"Remove All Adjacent Duplicates In String")</f>
        <v>Remove All Adjacent Duplicates In String</v>
      </c>
      <c r="C1048" s="20" t="str">
        <f>IFERROR(__xludf.DUMMYFUNCTION("""COMPUTED_VALUE"""),"remove-all-adjacent-duplicates-in-string")</f>
        <v>remove-all-adjacent-duplicates-in-string</v>
      </c>
      <c r="D1048" s="20" t="b">
        <f>IFERROR(__xludf.DUMMYFUNCTION("""COMPUTED_VALUE"""),FALSE)</f>
        <v>0</v>
      </c>
      <c r="E1048" s="20" t="str">
        <f>IFERROR(__xludf.DUMMYFUNCTION("""COMPUTED_VALUE"""),"Easy")</f>
        <v>Easy</v>
      </c>
      <c r="F1048" s="20">
        <f>IFERROR(__xludf.DUMMYFUNCTION("""COMPUTED_VALUE"""),5278.0)</f>
        <v>5278</v>
      </c>
      <c r="G1048" s="20">
        <f>IFERROR(__xludf.DUMMYFUNCTION("""COMPUTED_VALUE"""),206.0)</f>
        <v>206</v>
      </c>
      <c r="H1048" s="20" t="str">
        <f>IFERROR(__xludf.DUMMYFUNCTION("""COMPUTED_VALUE"""),"Algorithms")</f>
        <v>Algorithms</v>
      </c>
      <c r="I1048" s="20">
        <f>IFERROR(__xludf.DUMMYFUNCTION("""COMPUTED_VALUE"""),0.702)</f>
        <v>0.702</v>
      </c>
      <c r="J1048" s="20">
        <f>IFERROR(__xludf.DUMMYFUNCTION("""COMPUTED_VALUE"""),1047.0)</f>
        <v>1047</v>
      </c>
      <c r="K1048" s="20" t="b">
        <f>IFERROR(__xludf.DUMMYFUNCTION("""COMPUTED_VALUE"""),FALSE)</f>
        <v>0</v>
      </c>
      <c r="L1048" s="20" t="str">
        <f>IFERROR(__xludf.DUMMYFUNCTION("""COMPUTED_VALUE"""),"String;Stack;")</f>
        <v>String;Stack;</v>
      </c>
      <c r="M1048" s="20" t="b">
        <f>IFERROR(__xludf.DUMMYFUNCTION("""COMPUTED_VALUE"""),TRUE)</f>
        <v>1</v>
      </c>
      <c r="N1048" s="20" t="b">
        <f>IFERROR(__xludf.DUMMYFUNCTION("""COMPUTED_VALUE"""),FALSE)</f>
        <v>0</v>
      </c>
      <c r="O1048" s="20">
        <f>IFERROR(__xludf.DUMMYFUNCTION("""COMPUTED_VALUE"""),70.1537543625321)</f>
        <v>70.15375436</v>
      </c>
      <c r="P1048" s="20">
        <f>IFERROR(__xludf.DUMMYFUNCTION("""COMPUTED_VALUE"""),413883.0)</f>
        <v>413883</v>
      </c>
      <c r="Q1048" s="20">
        <f>IFERROR(__xludf.DUMMYFUNCTION("""COMPUTED_VALUE"""),589966.0)</f>
        <v>589966</v>
      </c>
    </row>
    <row r="1049">
      <c r="A1049" s="20">
        <f>IFERROR(__xludf.DUMMYFUNCTION("""COMPUTED_VALUE"""),1129.0)</f>
        <v>1129</v>
      </c>
      <c r="B1049" s="20" t="str">
        <f>IFERROR(__xludf.DUMMYFUNCTION("""COMPUTED_VALUE"""),"Longest String Chain")</f>
        <v>Longest String Chain</v>
      </c>
      <c r="C1049" s="20" t="str">
        <f>IFERROR(__xludf.DUMMYFUNCTION("""COMPUTED_VALUE"""),"longest-string-chain")</f>
        <v>longest-string-chain</v>
      </c>
      <c r="D1049" s="20" t="b">
        <f>IFERROR(__xludf.DUMMYFUNCTION("""COMPUTED_VALUE"""),FALSE)</f>
        <v>0</v>
      </c>
      <c r="E1049" s="20" t="str">
        <f>IFERROR(__xludf.DUMMYFUNCTION("""COMPUTED_VALUE"""),"Medium")</f>
        <v>Medium</v>
      </c>
      <c r="F1049" s="20">
        <f>IFERROR(__xludf.DUMMYFUNCTION("""COMPUTED_VALUE"""),5573.0)</f>
        <v>5573</v>
      </c>
      <c r="G1049" s="20">
        <f>IFERROR(__xludf.DUMMYFUNCTION("""COMPUTED_VALUE"""),216.0)</f>
        <v>216</v>
      </c>
      <c r="H1049" s="20" t="str">
        <f>IFERROR(__xludf.DUMMYFUNCTION("""COMPUTED_VALUE"""),"Algorithms")</f>
        <v>Algorithms</v>
      </c>
      <c r="I1049" s="20">
        <f>IFERROR(__xludf.DUMMYFUNCTION("""COMPUTED_VALUE"""),0.592)</f>
        <v>0.592</v>
      </c>
      <c r="J1049" s="20">
        <f>IFERROR(__xludf.DUMMYFUNCTION("""COMPUTED_VALUE"""),1048.0)</f>
        <v>1048</v>
      </c>
      <c r="K1049" s="20" t="b">
        <f>IFERROR(__xludf.DUMMYFUNCTION("""COMPUTED_VALUE"""),FALSE)</f>
        <v>0</v>
      </c>
      <c r="L1049" s="20" t="str">
        <f>IFERROR(__xludf.DUMMYFUNCTION("""COMPUTED_VALUE"""),"Array;Hash Table;Two Pointers;String;Dynamic Programming;")</f>
        <v>Array;Hash Table;Two Pointers;String;Dynamic Programming;</v>
      </c>
      <c r="M1049" s="20" t="b">
        <f>IFERROR(__xludf.DUMMYFUNCTION("""COMPUTED_VALUE"""),TRUE)</f>
        <v>1</v>
      </c>
      <c r="N1049" s="20" t="b">
        <f>IFERROR(__xludf.DUMMYFUNCTION("""COMPUTED_VALUE"""),FALSE)</f>
        <v>0</v>
      </c>
      <c r="O1049" s="20">
        <f>IFERROR(__xludf.DUMMYFUNCTION("""COMPUTED_VALUE"""),59.1643824935373)</f>
        <v>59.16438249</v>
      </c>
      <c r="P1049" s="20">
        <f>IFERROR(__xludf.DUMMYFUNCTION("""COMPUTED_VALUE"""),295928.0)</f>
        <v>295928</v>
      </c>
      <c r="Q1049" s="20">
        <f>IFERROR(__xludf.DUMMYFUNCTION("""COMPUTED_VALUE"""),500179.0)</f>
        <v>500179</v>
      </c>
    </row>
    <row r="1050">
      <c r="A1050" s="20">
        <f>IFERROR(__xludf.DUMMYFUNCTION("""COMPUTED_VALUE"""),1130.0)</f>
        <v>1130</v>
      </c>
      <c r="B1050" s="20" t="str">
        <f>IFERROR(__xludf.DUMMYFUNCTION("""COMPUTED_VALUE"""),"Last Stone Weight II")</f>
        <v>Last Stone Weight II</v>
      </c>
      <c r="C1050" s="20" t="str">
        <f>IFERROR(__xludf.DUMMYFUNCTION("""COMPUTED_VALUE"""),"last-stone-weight-ii")</f>
        <v>last-stone-weight-ii</v>
      </c>
      <c r="D1050" s="20" t="b">
        <f>IFERROR(__xludf.DUMMYFUNCTION("""COMPUTED_VALUE"""),FALSE)</f>
        <v>0</v>
      </c>
      <c r="E1050" s="20" t="str">
        <f>IFERROR(__xludf.DUMMYFUNCTION("""COMPUTED_VALUE"""),"Medium")</f>
        <v>Medium</v>
      </c>
      <c r="F1050" s="20">
        <f>IFERROR(__xludf.DUMMYFUNCTION("""COMPUTED_VALUE"""),2556.0)</f>
        <v>2556</v>
      </c>
      <c r="G1050" s="20">
        <f>IFERROR(__xludf.DUMMYFUNCTION("""COMPUTED_VALUE"""),89.0)</f>
        <v>89</v>
      </c>
      <c r="H1050" s="20" t="str">
        <f>IFERROR(__xludf.DUMMYFUNCTION("""COMPUTED_VALUE"""),"Algorithms")</f>
        <v>Algorithms</v>
      </c>
      <c r="I1050" s="20">
        <f>IFERROR(__xludf.DUMMYFUNCTION("""COMPUTED_VALUE"""),0.527)</f>
        <v>0.527</v>
      </c>
      <c r="J1050" s="20">
        <f>IFERROR(__xludf.DUMMYFUNCTION("""COMPUTED_VALUE"""),1049.0)</f>
        <v>1049</v>
      </c>
      <c r="K1050" s="20" t="b">
        <f>IFERROR(__xludf.DUMMYFUNCTION("""COMPUTED_VALUE"""),FALSE)</f>
        <v>0</v>
      </c>
      <c r="L1050" s="20" t="str">
        <f>IFERROR(__xludf.DUMMYFUNCTION("""COMPUTED_VALUE"""),"Array;Dynamic Programming;")</f>
        <v>Array;Dynamic Programming;</v>
      </c>
      <c r="M1050" s="20" t="b">
        <f>IFERROR(__xludf.DUMMYFUNCTION("""COMPUTED_VALUE"""),FALSE)</f>
        <v>0</v>
      </c>
      <c r="N1050" s="20" t="b">
        <f>IFERROR(__xludf.DUMMYFUNCTION("""COMPUTED_VALUE"""),FALSE)</f>
        <v>0</v>
      </c>
      <c r="O1050" s="20">
        <f>IFERROR(__xludf.DUMMYFUNCTION("""COMPUTED_VALUE"""),52.675575820782)</f>
        <v>52.67557582</v>
      </c>
      <c r="P1050" s="20">
        <f>IFERROR(__xludf.DUMMYFUNCTION("""COMPUTED_VALUE"""),65155.0)</f>
        <v>65155</v>
      </c>
      <c r="Q1050" s="20">
        <f>IFERROR(__xludf.DUMMYFUNCTION("""COMPUTED_VALUE"""),123692.0)</f>
        <v>123692</v>
      </c>
    </row>
    <row r="1051">
      <c r="A1051" s="20">
        <f>IFERROR(__xludf.DUMMYFUNCTION("""COMPUTED_VALUE"""),1136.0)</f>
        <v>1136</v>
      </c>
      <c r="B1051" s="20" t="str">
        <f>IFERROR(__xludf.DUMMYFUNCTION("""COMPUTED_VALUE"""),"Actors and Directors Who Cooperated At Least Three Times")</f>
        <v>Actors and Directors Who Cooperated At Least Three Times</v>
      </c>
      <c r="C1051" s="20" t="str">
        <f>IFERROR(__xludf.DUMMYFUNCTION("""COMPUTED_VALUE"""),"actors-and-directors-who-cooperated-at-least-three-times")</f>
        <v>actors-and-directors-who-cooperated-at-least-three-times</v>
      </c>
      <c r="D1051" s="20" t="b">
        <f>IFERROR(__xludf.DUMMYFUNCTION("""COMPUTED_VALUE"""),FALSE)</f>
        <v>0</v>
      </c>
      <c r="E1051" s="20" t="str">
        <f>IFERROR(__xludf.DUMMYFUNCTION("""COMPUTED_VALUE"""),"Easy")</f>
        <v>Easy</v>
      </c>
      <c r="F1051" s="20">
        <f>IFERROR(__xludf.DUMMYFUNCTION("""COMPUTED_VALUE"""),394.0)</f>
        <v>394</v>
      </c>
      <c r="G1051" s="20">
        <f>IFERROR(__xludf.DUMMYFUNCTION("""COMPUTED_VALUE"""),36.0)</f>
        <v>36</v>
      </c>
      <c r="H1051" s="20" t="str">
        <f>IFERROR(__xludf.DUMMYFUNCTION("""COMPUTED_VALUE"""),"Database")</f>
        <v>Database</v>
      </c>
      <c r="I1051" s="20">
        <f>IFERROR(__xludf.DUMMYFUNCTION("""COMPUTED_VALUE"""),0.718)</f>
        <v>0.718</v>
      </c>
      <c r="J1051" s="20">
        <f>IFERROR(__xludf.DUMMYFUNCTION("""COMPUTED_VALUE"""),1050.0)</f>
        <v>1050</v>
      </c>
      <c r="K1051" s="20" t="b">
        <f>IFERROR(__xludf.DUMMYFUNCTION("""COMPUTED_VALUE"""),FALSE)</f>
        <v>0</v>
      </c>
      <c r="L1051" s="20" t="str">
        <f>IFERROR(__xludf.DUMMYFUNCTION("""COMPUTED_VALUE"""),"Database;")</f>
        <v>Database;</v>
      </c>
      <c r="M1051" s="20" t="b">
        <f>IFERROR(__xludf.DUMMYFUNCTION("""COMPUTED_VALUE"""),FALSE)</f>
        <v>0</v>
      </c>
      <c r="N1051" s="20" t="b">
        <f>IFERROR(__xludf.DUMMYFUNCTION("""COMPUTED_VALUE"""),FALSE)</f>
        <v>0</v>
      </c>
      <c r="O1051" s="20">
        <f>IFERROR(__xludf.DUMMYFUNCTION("""COMPUTED_VALUE"""),71.7835374014393)</f>
        <v>71.7835374</v>
      </c>
      <c r="P1051" s="20">
        <f>IFERROR(__xludf.DUMMYFUNCTION("""COMPUTED_VALUE"""),93858.0)</f>
        <v>93858</v>
      </c>
      <c r="Q1051" s="20">
        <f>IFERROR(__xludf.DUMMYFUNCTION("""COMPUTED_VALUE"""),130749.0)</f>
        <v>130749</v>
      </c>
    </row>
    <row r="1052">
      <c r="A1052" s="20">
        <f>IFERROR(__xludf.DUMMYFUNCTION("""COMPUTED_VALUE"""),1137.0)</f>
        <v>1137</v>
      </c>
      <c r="B1052" s="20" t="str">
        <f>IFERROR(__xludf.DUMMYFUNCTION("""COMPUTED_VALUE"""),"Height Checker")</f>
        <v>Height Checker</v>
      </c>
      <c r="C1052" s="20" t="str">
        <f>IFERROR(__xludf.DUMMYFUNCTION("""COMPUTED_VALUE"""),"height-checker")</f>
        <v>height-checker</v>
      </c>
      <c r="D1052" s="20" t="b">
        <f>IFERROR(__xludf.DUMMYFUNCTION("""COMPUTED_VALUE"""),FALSE)</f>
        <v>0</v>
      </c>
      <c r="E1052" s="20" t="str">
        <f>IFERROR(__xludf.DUMMYFUNCTION("""COMPUTED_VALUE"""),"Easy")</f>
        <v>Easy</v>
      </c>
      <c r="F1052" s="20">
        <f>IFERROR(__xludf.DUMMYFUNCTION("""COMPUTED_VALUE"""),754.0)</f>
        <v>754</v>
      </c>
      <c r="G1052" s="20">
        <f>IFERROR(__xludf.DUMMYFUNCTION("""COMPUTED_VALUE"""),62.0)</f>
        <v>62</v>
      </c>
      <c r="H1052" s="20" t="str">
        <f>IFERROR(__xludf.DUMMYFUNCTION("""COMPUTED_VALUE"""),"Algorithms")</f>
        <v>Algorithms</v>
      </c>
      <c r="I1052" s="20">
        <f>IFERROR(__xludf.DUMMYFUNCTION("""COMPUTED_VALUE"""),0.753)</f>
        <v>0.753</v>
      </c>
      <c r="J1052" s="20">
        <f>IFERROR(__xludf.DUMMYFUNCTION("""COMPUTED_VALUE"""),1051.0)</f>
        <v>1051</v>
      </c>
      <c r="K1052" s="20" t="b">
        <f>IFERROR(__xludf.DUMMYFUNCTION("""COMPUTED_VALUE"""),FALSE)</f>
        <v>0</v>
      </c>
      <c r="L1052" s="20" t="str">
        <f>IFERROR(__xludf.DUMMYFUNCTION("""COMPUTED_VALUE"""),"Array;Sorting;Counting Sort;")</f>
        <v>Array;Sorting;Counting Sort;</v>
      </c>
      <c r="M1052" s="20" t="b">
        <f>IFERROR(__xludf.DUMMYFUNCTION("""COMPUTED_VALUE"""),FALSE)</f>
        <v>0</v>
      </c>
      <c r="N1052" s="20" t="b">
        <f>IFERROR(__xludf.DUMMYFUNCTION("""COMPUTED_VALUE"""),FALSE)</f>
        <v>0</v>
      </c>
      <c r="O1052" s="20">
        <f>IFERROR(__xludf.DUMMYFUNCTION("""COMPUTED_VALUE"""),75.2545337885281)</f>
        <v>75.25453379</v>
      </c>
      <c r="P1052" s="20">
        <f>IFERROR(__xludf.DUMMYFUNCTION("""COMPUTED_VALUE"""),248646.0)</f>
        <v>248646</v>
      </c>
      <c r="Q1052" s="20">
        <f>IFERROR(__xludf.DUMMYFUNCTION("""COMPUTED_VALUE"""),330407.0)</f>
        <v>330407</v>
      </c>
    </row>
    <row r="1053">
      <c r="A1053" s="20">
        <f>IFERROR(__xludf.DUMMYFUNCTION("""COMPUTED_VALUE"""),1138.0)</f>
        <v>1138</v>
      </c>
      <c r="B1053" s="20" t="str">
        <f>IFERROR(__xludf.DUMMYFUNCTION("""COMPUTED_VALUE"""),"Grumpy Bookstore Owner")</f>
        <v>Grumpy Bookstore Owner</v>
      </c>
      <c r="C1053" s="20" t="str">
        <f>IFERROR(__xludf.DUMMYFUNCTION("""COMPUTED_VALUE"""),"grumpy-bookstore-owner")</f>
        <v>grumpy-bookstore-owner</v>
      </c>
      <c r="D1053" s="20" t="b">
        <f>IFERROR(__xludf.DUMMYFUNCTION("""COMPUTED_VALUE"""),FALSE)</f>
        <v>0</v>
      </c>
      <c r="E1053" s="20" t="str">
        <f>IFERROR(__xludf.DUMMYFUNCTION("""COMPUTED_VALUE"""),"Medium")</f>
        <v>Medium</v>
      </c>
      <c r="F1053" s="20">
        <f>IFERROR(__xludf.DUMMYFUNCTION("""COMPUTED_VALUE"""),1378.0)</f>
        <v>1378</v>
      </c>
      <c r="G1053" s="20">
        <f>IFERROR(__xludf.DUMMYFUNCTION("""COMPUTED_VALUE"""),114.0)</f>
        <v>114</v>
      </c>
      <c r="H1053" s="20" t="str">
        <f>IFERROR(__xludf.DUMMYFUNCTION("""COMPUTED_VALUE"""),"Algorithms")</f>
        <v>Algorithms</v>
      </c>
      <c r="I1053" s="20">
        <f>IFERROR(__xludf.DUMMYFUNCTION("""COMPUTED_VALUE"""),0.571)</f>
        <v>0.571</v>
      </c>
      <c r="J1053" s="20">
        <f>IFERROR(__xludf.DUMMYFUNCTION("""COMPUTED_VALUE"""),1052.0)</f>
        <v>1052</v>
      </c>
      <c r="K1053" s="20" t="b">
        <f>IFERROR(__xludf.DUMMYFUNCTION("""COMPUTED_VALUE"""),FALSE)</f>
        <v>0</v>
      </c>
      <c r="L1053" s="20" t="str">
        <f>IFERROR(__xludf.DUMMYFUNCTION("""COMPUTED_VALUE"""),"Array;Sliding Window;")</f>
        <v>Array;Sliding Window;</v>
      </c>
      <c r="M1053" s="20" t="b">
        <f>IFERROR(__xludf.DUMMYFUNCTION("""COMPUTED_VALUE"""),FALSE)</f>
        <v>0</v>
      </c>
      <c r="N1053" s="20" t="b">
        <f>IFERROR(__xludf.DUMMYFUNCTION("""COMPUTED_VALUE"""),FALSE)</f>
        <v>0</v>
      </c>
      <c r="O1053" s="20">
        <f>IFERROR(__xludf.DUMMYFUNCTION("""COMPUTED_VALUE"""),57.077395495641)</f>
        <v>57.0773955</v>
      </c>
      <c r="P1053" s="20">
        <f>IFERROR(__xludf.DUMMYFUNCTION("""COMPUTED_VALUE"""),60037.0)</f>
        <v>60037</v>
      </c>
      <c r="Q1053" s="20">
        <f>IFERROR(__xludf.DUMMYFUNCTION("""COMPUTED_VALUE"""),105186.0)</f>
        <v>105186</v>
      </c>
    </row>
    <row r="1054">
      <c r="A1054" s="20">
        <f>IFERROR(__xludf.DUMMYFUNCTION("""COMPUTED_VALUE"""),1139.0)</f>
        <v>1139</v>
      </c>
      <c r="B1054" s="20" t="str">
        <f>IFERROR(__xludf.DUMMYFUNCTION("""COMPUTED_VALUE"""),"Previous Permutation With One Swap")</f>
        <v>Previous Permutation With One Swap</v>
      </c>
      <c r="C1054" s="20" t="str">
        <f>IFERROR(__xludf.DUMMYFUNCTION("""COMPUTED_VALUE"""),"previous-permutation-with-one-swap")</f>
        <v>previous-permutation-with-one-swap</v>
      </c>
      <c r="D1054" s="20" t="b">
        <f>IFERROR(__xludf.DUMMYFUNCTION("""COMPUTED_VALUE"""),FALSE)</f>
        <v>0</v>
      </c>
      <c r="E1054" s="20" t="str">
        <f>IFERROR(__xludf.DUMMYFUNCTION("""COMPUTED_VALUE"""),"Medium")</f>
        <v>Medium</v>
      </c>
      <c r="F1054" s="20">
        <f>IFERROR(__xludf.DUMMYFUNCTION("""COMPUTED_VALUE"""),342.0)</f>
        <v>342</v>
      </c>
      <c r="G1054" s="20">
        <f>IFERROR(__xludf.DUMMYFUNCTION("""COMPUTED_VALUE"""),28.0)</f>
        <v>28</v>
      </c>
      <c r="H1054" s="20" t="str">
        <f>IFERROR(__xludf.DUMMYFUNCTION("""COMPUTED_VALUE"""),"Algorithms")</f>
        <v>Algorithms</v>
      </c>
      <c r="I1054" s="20">
        <f>IFERROR(__xludf.DUMMYFUNCTION("""COMPUTED_VALUE"""),0.507)</f>
        <v>0.507</v>
      </c>
      <c r="J1054" s="20">
        <f>IFERROR(__xludf.DUMMYFUNCTION("""COMPUTED_VALUE"""),1053.0)</f>
        <v>1053</v>
      </c>
      <c r="K1054" s="20" t="b">
        <f>IFERROR(__xludf.DUMMYFUNCTION("""COMPUTED_VALUE"""),FALSE)</f>
        <v>0</v>
      </c>
      <c r="L1054" s="20" t="str">
        <f>IFERROR(__xludf.DUMMYFUNCTION("""COMPUTED_VALUE"""),"Array;Greedy;")</f>
        <v>Array;Greedy;</v>
      </c>
      <c r="M1054" s="20" t="b">
        <f>IFERROR(__xludf.DUMMYFUNCTION("""COMPUTED_VALUE"""),FALSE)</f>
        <v>0</v>
      </c>
      <c r="N1054" s="20" t="b">
        <f>IFERROR(__xludf.DUMMYFUNCTION("""COMPUTED_VALUE"""),FALSE)</f>
        <v>0</v>
      </c>
      <c r="O1054" s="20">
        <f>IFERROR(__xludf.DUMMYFUNCTION("""COMPUTED_VALUE"""),50.6755766581669)</f>
        <v>50.67557666</v>
      </c>
      <c r="P1054" s="20">
        <f>IFERROR(__xludf.DUMMYFUNCTION("""COMPUTED_VALUE"""),34580.0)</f>
        <v>34580</v>
      </c>
      <c r="Q1054" s="20">
        <f>IFERROR(__xludf.DUMMYFUNCTION("""COMPUTED_VALUE"""),68238.0)</f>
        <v>68238</v>
      </c>
    </row>
    <row r="1055">
      <c r="A1055" s="20">
        <f>IFERROR(__xludf.DUMMYFUNCTION("""COMPUTED_VALUE"""),1140.0)</f>
        <v>1140</v>
      </c>
      <c r="B1055" s="20" t="str">
        <f>IFERROR(__xludf.DUMMYFUNCTION("""COMPUTED_VALUE"""),"Distant Barcodes")</f>
        <v>Distant Barcodes</v>
      </c>
      <c r="C1055" s="20" t="str">
        <f>IFERROR(__xludf.DUMMYFUNCTION("""COMPUTED_VALUE"""),"distant-barcodes")</f>
        <v>distant-barcodes</v>
      </c>
      <c r="D1055" s="20" t="b">
        <f>IFERROR(__xludf.DUMMYFUNCTION("""COMPUTED_VALUE"""),FALSE)</f>
        <v>0</v>
      </c>
      <c r="E1055" s="20" t="str">
        <f>IFERROR(__xludf.DUMMYFUNCTION("""COMPUTED_VALUE"""),"Medium")</f>
        <v>Medium</v>
      </c>
      <c r="F1055" s="20">
        <f>IFERROR(__xludf.DUMMYFUNCTION("""COMPUTED_VALUE"""),1023.0)</f>
        <v>1023</v>
      </c>
      <c r="G1055" s="20">
        <f>IFERROR(__xludf.DUMMYFUNCTION("""COMPUTED_VALUE"""),41.0)</f>
        <v>41</v>
      </c>
      <c r="H1055" s="20" t="str">
        <f>IFERROR(__xludf.DUMMYFUNCTION("""COMPUTED_VALUE"""),"Algorithms")</f>
        <v>Algorithms</v>
      </c>
      <c r="I1055" s="20">
        <f>IFERROR(__xludf.DUMMYFUNCTION("""COMPUTED_VALUE"""),0.457)</f>
        <v>0.457</v>
      </c>
      <c r="J1055" s="20">
        <f>IFERROR(__xludf.DUMMYFUNCTION("""COMPUTED_VALUE"""),1054.0)</f>
        <v>1054</v>
      </c>
      <c r="K1055" s="20" t="b">
        <f>IFERROR(__xludf.DUMMYFUNCTION("""COMPUTED_VALUE"""),FALSE)</f>
        <v>0</v>
      </c>
      <c r="L1055" s="20" t="str">
        <f>IFERROR(__xludf.DUMMYFUNCTION("""COMPUTED_VALUE"""),"Array;Hash Table;Greedy;Sorting;Heap (Priority Queue);Counting;")</f>
        <v>Array;Hash Table;Greedy;Sorting;Heap (Priority Queue);Counting;</v>
      </c>
      <c r="M1055" s="20" t="b">
        <f>IFERROR(__xludf.DUMMYFUNCTION("""COMPUTED_VALUE"""),FALSE)</f>
        <v>0</v>
      </c>
      <c r="N1055" s="20" t="b">
        <f>IFERROR(__xludf.DUMMYFUNCTION("""COMPUTED_VALUE"""),FALSE)</f>
        <v>0</v>
      </c>
      <c r="O1055" s="20">
        <f>IFERROR(__xludf.DUMMYFUNCTION("""COMPUTED_VALUE"""),45.7421730147798)</f>
        <v>45.74217301</v>
      </c>
      <c r="P1055" s="20">
        <f>IFERROR(__xludf.DUMMYFUNCTION("""COMPUTED_VALUE"""),34539.0)</f>
        <v>34539</v>
      </c>
      <c r="Q1055" s="20">
        <f>IFERROR(__xludf.DUMMYFUNCTION("""COMPUTED_VALUE"""),75508.0)</f>
        <v>75508</v>
      </c>
    </row>
    <row r="1056">
      <c r="A1056" s="20">
        <f>IFERROR(__xludf.DUMMYFUNCTION("""COMPUTED_VALUE"""),1051.0)</f>
        <v>1051</v>
      </c>
      <c r="B1056" s="20" t="str">
        <f>IFERROR(__xludf.DUMMYFUNCTION("""COMPUTED_VALUE"""),"Shortest Way to Form String")</f>
        <v>Shortest Way to Form String</v>
      </c>
      <c r="C1056" s="20" t="str">
        <f>IFERROR(__xludf.DUMMYFUNCTION("""COMPUTED_VALUE"""),"shortest-way-to-form-string")</f>
        <v>shortest-way-to-form-string</v>
      </c>
      <c r="D1056" s="20" t="b">
        <f>IFERROR(__xludf.DUMMYFUNCTION("""COMPUTED_VALUE"""),TRUE)</f>
        <v>1</v>
      </c>
      <c r="E1056" s="20" t="str">
        <f>IFERROR(__xludf.DUMMYFUNCTION("""COMPUTED_VALUE"""),"Medium")</f>
        <v>Medium</v>
      </c>
      <c r="F1056" s="20">
        <f>IFERROR(__xludf.DUMMYFUNCTION("""COMPUTED_VALUE"""),1042.0)</f>
        <v>1042</v>
      </c>
      <c r="G1056" s="20">
        <f>IFERROR(__xludf.DUMMYFUNCTION("""COMPUTED_VALUE"""),60.0)</f>
        <v>60</v>
      </c>
      <c r="H1056" s="20" t="str">
        <f>IFERROR(__xludf.DUMMYFUNCTION("""COMPUTED_VALUE"""),"Algorithms")</f>
        <v>Algorithms</v>
      </c>
      <c r="I1056" s="20">
        <f>IFERROR(__xludf.DUMMYFUNCTION("""COMPUTED_VALUE"""),0.592)</f>
        <v>0.592</v>
      </c>
      <c r="J1056" s="20">
        <f>IFERROR(__xludf.DUMMYFUNCTION("""COMPUTED_VALUE"""),1055.0)</f>
        <v>1055</v>
      </c>
      <c r="K1056" s="20" t="b">
        <f>IFERROR(__xludf.DUMMYFUNCTION("""COMPUTED_VALUE"""),TRUE)</f>
        <v>1</v>
      </c>
      <c r="L1056" s="20" t="str">
        <f>IFERROR(__xludf.DUMMYFUNCTION("""COMPUTED_VALUE"""),"String;Dynamic Programming;Greedy;")</f>
        <v>String;Dynamic Programming;Greedy;</v>
      </c>
      <c r="M1056" s="20" t="b">
        <f>IFERROR(__xludf.DUMMYFUNCTION("""COMPUTED_VALUE"""),FALSE)</f>
        <v>0</v>
      </c>
      <c r="N1056" s="20" t="b">
        <f>IFERROR(__xludf.DUMMYFUNCTION("""COMPUTED_VALUE"""),FALSE)</f>
        <v>0</v>
      </c>
      <c r="O1056" s="20">
        <f>IFERROR(__xludf.DUMMYFUNCTION("""COMPUTED_VALUE"""),59.1801130379553)</f>
        <v>59.18011304</v>
      </c>
      <c r="P1056" s="20">
        <f>IFERROR(__xludf.DUMMYFUNCTION("""COMPUTED_VALUE"""),73610.0)</f>
        <v>73610</v>
      </c>
      <c r="Q1056" s="20">
        <f>IFERROR(__xludf.DUMMYFUNCTION("""COMPUTED_VALUE"""),124382.0)</f>
        <v>124382</v>
      </c>
    </row>
    <row r="1057">
      <c r="A1057" s="20">
        <f>IFERROR(__xludf.DUMMYFUNCTION("""COMPUTED_VALUE"""),1069.0)</f>
        <v>1069</v>
      </c>
      <c r="B1057" s="20" t="str">
        <f>IFERROR(__xludf.DUMMYFUNCTION("""COMPUTED_VALUE"""),"Confusing Number")</f>
        <v>Confusing Number</v>
      </c>
      <c r="C1057" s="20" t="str">
        <f>IFERROR(__xludf.DUMMYFUNCTION("""COMPUTED_VALUE"""),"confusing-number")</f>
        <v>confusing-number</v>
      </c>
      <c r="D1057" s="20" t="b">
        <f>IFERROR(__xludf.DUMMYFUNCTION("""COMPUTED_VALUE"""),TRUE)</f>
        <v>1</v>
      </c>
      <c r="E1057" s="20" t="str">
        <f>IFERROR(__xludf.DUMMYFUNCTION("""COMPUTED_VALUE"""),"Easy")</f>
        <v>Easy</v>
      </c>
      <c r="F1057" s="20">
        <f>IFERROR(__xludf.DUMMYFUNCTION("""COMPUTED_VALUE"""),203.0)</f>
        <v>203</v>
      </c>
      <c r="G1057" s="20">
        <f>IFERROR(__xludf.DUMMYFUNCTION("""COMPUTED_VALUE"""),108.0)</f>
        <v>108</v>
      </c>
      <c r="H1057" s="20" t="str">
        <f>IFERROR(__xludf.DUMMYFUNCTION("""COMPUTED_VALUE"""),"Algorithms")</f>
        <v>Algorithms</v>
      </c>
      <c r="I1057" s="20">
        <f>IFERROR(__xludf.DUMMYFUNCTION("""COMPUTED_VALUE"""),0.471)</f>
        <v>0.471</v>
      </c>
      <c r="J1057" s="20">
        <f>IFERROR(__xludf.DUMMYFUNCTION("""COMPUTED_VALUE"""),1056.0)</f>
        <v>1056</v>
      </c>
      <c r="K1057" s="20" t="b">
        <f>IFERROR(__xludf.DUMMYFUNCTION("""COMPUTED_VALUE"""),TRUE)</f>
        <v>1</v>
      </c>
      <c r="L1057" s="20" t="str">
        <f>IFERROR(__xludf.DUMMYFUNCTION("""COMPUTED_VALUE"""),"Math;")</f>
        <v>Math;</v>
      </c>
      <c r="M1057" s="20" t="b">
        <f>IFERROR(__xludf.DUMMYFUNCTION("""COMPUTED_VALUE"""),TRUE)</f>
        <v>1</v>
      </c>
      <c r="N1057" s="20" t="b">
        <f>IFERROR(__xludf.DUMMYFUNCTION("""COMPUTED_VALUE"""),FALSE)</f>
        <v>0</v>
      </c>
      <c r="O1057" s="20">
        <f>IFERROR(__xludf.DUMMYFUNCTION("""COMPUTED_VALUE"""),47.0871036393979)</f>
        <v>47.08710364</v>
      </c>
      <c r="P1057" s="20">
        <f>IFERROR(__xludf.DUMMYFUNCTION("""COMPUTED_VALUE"""),30740.0)</f>
        <v>30740</v>
      </c>
      <c r="Q1057" s="20">
        <f>IFERROR(__xludf.DUMMYFUNCTION("""COMPUTED_VALUE"""),65290.0)</f>
        <v>65290</v>
      </c>
    </row>
    <row r="1058">
      <c r="A1058" s="20">
        <f>IFERROR(__xludf.DUMMYFUNCTION("""COMPUTED_VALUE"""),1052.0)</f>
        <v>1052</v>
      </c>
      <c r="B1058" s="20" t="str">
        <f>IFERROR(__xludf.DUMMYFUNCTION("""COMPUTED_VALUE"""),"Campus Bikes")</f>
        <v>Campus Bikes</v>
      </c>
      <c r="C1058" s="20" t="str">
        <f>IFERROR(__xludf.DUMMYFUNCTION("""COMPUTED_VALUE"""),"campus-bikes")</f>
        <v>campus-bikes</v>
      </c>
      <c r="D1058" s="20" t="b">
        <f>IFERROR(__xludf.DUMMYFUNCTION("""COMPUTED_VALUE"""),TRUE)</f>
        <v>1</v>
      </c>
      <c r="E1058" s="20" t="str">
        <f>IFERROR(__xludf.DUMMYFUNCTION("""COMPUTED_VALUE"""),"Medium")</f>
        <v>Medium</v>
      </c>
      <c r="F1058" s="20">
        <f>IFERROR(__xludf.DUMMYFUNCTION("""COMPUTED_VALUE"""),898.0)</f>
        <v>898</v>
      </c>
      <c r="G1058" s="20">
        <f>IFERROR(__xludf.DUMMYFUNCTION("""COMPUTED_VALUE"""),167.0)</f>
        <v>167</v>
      </c>
      <c r="H1058" s="20" t="str">
        <f>IFERROR(__xludf.DUMMYFUNCTION("""COMPUTED_VALUE"""),"Algorithms")</f>
        <v>Algorithms</v>
      </c>
      <c r="I1058" s="20">
        <f>IFERROR(__xludf.DUMMYFUNCTION("""COMPUTED_VALUE"""),0.576)</f>
        <v>0.576</v>
      </c>
      <c r="J1058" s="20">
        <f>IFERROR(__xludf.DUMMYFUNCTION("""COMPUTED_VALUE"""),1057.0)</f>
        <v>1057</v>
      </c>
      <c r="K1058" s="20" t="b">
        <f>IFERROR(__xludf.DUMMYFUNCTION("""COMPUTED_VALUE"""),TRUE)</f>
        <v>1</v>
      </c>
      <c r="L1058" s="20" t="str">
        <f>IFERROR(__xludf.DUMMYFUNCTION("""COMPUTED_VALUE"""),"Array;Greedy;Sorting;")</f>
        <v>Array;Greedy;Sorting;</v>
      </c>
      <c r="M1058" s="20" t="b">
        <f>IFERROR(__xludf.DUMMYFUNCTION("""COMPUTED_VALUE"""),TRUE)</f>
        <v>1</v>
      </c>
      <c r="N1058" s="20" t="b">
        <f>IFERROR(__xludf.DUMMYFUNCTION("""COMPUTED_VALUE"""),FALSE)</f>
        <v>0</v>
      </c>
      <c r="O1058" s="20">
        <f>IFERROR(__xludf.DUMMYFUNCTION("""COMPUTED_VALUE"""),57.6471015018501)</f>
        <v>57.6471015</v>
      </c>
      <c r="P1058" s="20">
        <f>IFERROR(__xludf.DUMMYFUNCTION("""COMPUTED_VALUE"""),63564.0)</f>
        <v>63564</v>
      </c>
      <c r="Q1058" s="20">
        <f>IFERROR(__xludf.DUMMYFUNCTION("""COMPUTED_VALUE"""),110264.0)</f>
        <v>110264</v>
      </c>
    </row>
    <row r="1059">
      <c r="A1059" s="20">
        <f>IFERROR(__xludf.DUMMYFUNCTION("""COMPUTED_VALUE"""),1053.0)</f>
        <v>1053</v>
      </c>
      <c r="B1059" s="20" t="str">
        <f>IFERROR(__xludf.DUMMYFUNCTION("""COMPUTED_VALUE"""),"Minimize Rounding Error to Meet Target")</f>
        <v>Minimize Rounding Error to Meet Target</v>
      </c>
      <c r="C1059" s="20" t="str">
        <f>IFERROR(__xludf.DUMMYFUNCTION("""COMPUTED_VALUE"""),"minimize-rounding-error-to-meet-target")</f>
        <v>minimize-rounding-error-to-meet-target</v>
      </c>
      <c r="D1059" s="20" t="b">
        <f>IFERROR(__xludf.DUMMYFUNCTION("""COMPUTED_VALUE"""),TRUE)</f>
        <v>1</v>
      </c>
      <c r="E1059" s="20" t="str">
        <f>IFERROR(__xludf.DUMMYFUNCTION("""COMPUTED_VALUE"""),"Medium")</f>
        <v>Medium</v>
      </c>
      <c r="F1059" s="20">
        <f>IFERROR(__xludf.DUMMYFUNCTION("""COMPUTED_VALUE"""),137.0)</f>
        <v>137</v>
      </c>
      <c r="G1059" s="20">
        <f>IFERROR(__xludf.DUMMYFUNCTION("""COMPUTED_VALUE"""),135.0)</f>
        <v>135</v>
      </c>
      <c r="H1059" s="20" t="str">
        <f>IFERROR(__xludf.DUMMYFUNCTION("""COMPUTED_VALUE"""),"Algorithms")</f>
        <v>Algorithms</v>
      </c>
      <c r="I1059" s="20">
        <f>IFERROR(__xludf.DUMMYFUNCTION("""COMPUTED_VALUE"""),0.448)</f>
        <v>0.448</v>
      </c>
      <c r="J1059" s="20">
        <f>IFERROR(__xludf.DUMMYFUNCTION("""COMPUTED_VALUE"""),1058.0)</f>
        <v>1058</v>
      </c>
      <c r="K1059" s="20" t="b">
        <f>IFERROR(__xludf.DUMMYFUNCTION("""COMPUTED_VALUE"""),TRUE)</f>
        <v>1</v>
      </c>
      <c r="L1059" s="20" t="str">
        <f>IFERROR(__xludf.DUMMYFUNCTION("""COMPUTED_VALUE"""),"Array;Math;String;Greedy;")</f>
        <v>Array;Math;String;Greedy;</v>
      </c>
      <c r="M1059" s="20" t="b">
        <f>IFERROR(__xludf.DUMMYFUNCTION("""COMPUTED_VALUE"""),FALSE)</f>
        <v>0</v>
      </c>
      <c r="N1059" s="20" t="b">
        <f>IFERROR(__xludf.DUMMYFUNCTION("""COMPUTED_VALUE"""),FALSE)</f>
        <v>0</v>
      </c>
      <c r="O1059" s="20">
        <f>IFERROR(__xludf.DUMMYFUNCTION("""COMPUTED_VALUE"""),44.8283378746594)</f>
        <v>44.82833787</v>
      </c>
      <c r="P1059" s="20">
        <f>IFERROR(__xludf.DUMMYFUNCTION("""COMPUTED_VALUE"""),8226.0)</f>
        <v>8226</v>
      </c>
      <c r="Q1059" s="20">
        <f>IFERROR(__xludf.DUMMYFUNCTION("""COMPUTED_VALUE"""),18350.0)</f>
        <v>18350</v>
      </c>
    </row>
    <row r="1060">
      <c r="A1060" s="20">
        <f>IFERROR(__xludf.DUMMYFUNCTION("""COMPUTED_VALUE"""),511.0)</f>
        <v>511</v>
      </c>
      <c r="B1060" s="20" t="str">
        <f>IFERROR(__xludf.DUMMYFUNCTION("""COMPUTED_VALUE"""),"All Paths from Source Lead to Destination")</f>
        <v>All Paths from Source Lead to Destination</v>
      </c>
      <c r="C1060" s="20" t="str">
        <f>IFERROR(__xludf.DUMMYFUNCTION("""COMPUTED_VALUE"""),"all-paths-from-source-lead-to-destination")</f>
        <v>all-paths-from-source-lead-to-destination</v>
      </c>
      <c r="D1060" s="20" t="b">
        <f>IFERROR(__xludf.DUMMYFUNCTION("""COMPUTED_VALUE"""),TRUE)</f>
        <v>1</v>
      </c>
      <c r="E1060" s="20" t="str">
        <f>IFERROR(__xludf.DUMMYFUNCTION("""COMPUTED_VALUE"""),"Medium")</f>
        <v>Medium</v>
      </c>
      <c r="F1060" s="20">
        <f>IFERROR(__xludf.DUMMYFUNCTION("""COMPUTED_VALUE"""),620.0)</f>
        <v>620</v>
      </c>
      <c r="G1060" s="20">
        <f>IFERROR(__xludf.DUMMYFUNCTION("""COMPUTED_VALUE"""),269.0)</f>
        <v>269</v>
      </c>
      <c r="H1060" s="20" t="str">
        <f>IFERROR(__xludf.DUMMYFUNCTION("""COMPUTED_VALUE"""),"Algorithms")</f>
        <v>Algorithms</v>
      </c>
      <c r="I1060" s="20">
        <f>IFERROR(__xludf.DUMMYFUNCTION("""COMPUTED_VALUE"""),0.399)</f>
        <v>0.399</v>
      </c>
      <c r="J1060" s="20">
        <f>IFERROR(__xludf.DUMMYFUNCTION("""COMPUTED_VALUE"""),1059.0)</f>
        <v>1059</v>
      </c>
      <c r="K1060" s="20" t="b">
        <f>IFERROR(__xludf.DUMMYFUNCTION("""COMPUTED_VALUE"""),TRUE)</f>
        <v>1</v>
      </c>
      <c r="L1060" s="20" t="str">
        <f>IFERROR(__xludf.DUMMYFUNCTION("""COMPUTED_VALUE"""),"Depth-First Search;Graph;")</f>
        <v>Depth-First Search;Graph;</v>
      </c>
      <c r="M1060" s="20" t="b">
        <f>IFERROR(__xludf.DUMMYFUNCTION("""COMPUTED_VALUE"""),TRUE)</f>
        <v>1</v>
      </c>
      <c r="N1060" s="20" t="b">
        <f>IFERROR(__xludf.DUMMYFUNCTION("""COMPUTED_VALUE"""),FALSE)</f>
        <v>0</v>
      </c>
      <c r="O1060" s="20">
        <f>IFERROR(__xludf.DUMMYFUNCTION("""COMPUTED_VALUE"""),39.8621248986212)</f>
        <v>39.8621249</v>
      </c>
      <c r="P1060" s="20">
        <f>IFERROR(__xludf.DUMMYFUNCTION("""COMPUTED_VALUE"""),49150.0)</f>
        <v>49150</v>
      </c>
      <c r="Q1060" s="20">
        <f>IFERROR(__xludf.DUMMYFUNCTION("""COMPUTED_VALUE"""),123300.0)</f>
        <v>123300</v>
      </c>
    </row>
    <row r="1061">
      <c r="A1061" s="20">
        <f>IFERROR(__xludf.DUMMYFUNCTION("""COMPUTED_VALUE"""),1059.0)</f>
        <v>1059</v>
      </c>
      <c r="B1061" s="20" t="str">
        <f>IFERROR(__xludf.DUMMYFUNCTION("""COMPUTED_VALUE"""),"Missing Element in Sorted Array")</f>
        <v>Missing Element in Sorted Array</v>
      </c>
      <c r="C1061" s="20" t="str">
        <f>IFERROR(__xludf.DUMMYFUNCTION("""COMPUTED_VALUE"""),"missing-element-in-sorted-array")</f>
        <v>missing-element-in-sorted-array</v>
      </c>
      <c r="D1061" s="20" t="b">
        <f>IFERROR(__xludf.DUMMYFUNCTION("""COMPUTED_VALUE"""),TRUE)</f>
        <v>1</v>
      </c>
      <c r="E1061" s="20" t="str">
        <f>IFERROR(__xludf.DUMMYFUNCTION("""COMPUTED_VALUE"""),"Medium")</f>
        <v>Medium</v>
      </c>
      <c r="F1061" s="20">
        <f>IFERROR(__xludf.DUMMYFUNCTION("""COMPUTED_VALUE"""),1450.0)</f>
        <v>1450</v>
      </c>
      <c r="G1061" s="20">
        <f>IFERROR(__xludf.DUMMYFUNCTION("""COMPUTED_VALUE"""),57.0)</f>
        <v>57</v>
      </c>
      <c r="H1061" s="20" t="str">
        <f>IFERROR(__xludf.DUMMYFUNCTION("""COMPUTED_VALUE"""),"Algorithms")</f>
        <v>Algorithms</v>
      </c>
      <c r="I1061" s="20">
        <f>IFERROR(__xludf.DUMMYFUNCTION("""COMPUTED_VALUE"""),0.546)</f>
        <v>0.546</v>
      </c>
      <c r="J1061" s="20">
        <f>IFERROR(__xludf.DUMMYFUNCTION("""COMPUTED_VALUE"""),1060.0)</f>
        <v>1060</v>
      </c>
      <c r="K1061" s="20" t="b">
        <f>IFERROR(__xludf.DUMMYFUNCTION("""COMPUTED_VALUE"""),TRUE)</f>
        <v>1</v>
      </c>
      <c r="L1061" s="20" t="str">
        <f>IFERROR(__xludf.DUMMYFUNCTION("""COMPUTED_VALUE"""),"Array;Binary Search;")</f>
        <v>Array;Binary Search;</v>
      </c>
      <c r="M1061" s="20" t="b">
        <f>IFERROR(__xludf.DUMMYFUNCTION("""COMPUTED_VALUE"""),TRUE)</f>
        <v>1</v>
      </c>
      <c r="N1061" s="20" t="b">
        <f>IFERROR(__xludf.DUMMYFUNCTION("""COMPUTED_VALUE"""),FALSE)</f>
        <v>0</v>
      </c>
      <c r="O1061" s="20">
        <f>IFERROR(__xludf.DUMMYFUNCTION("""COMPUTED_VALUE"""),54.6020325747102)</f>
        <v>54.60203257</v>
      </c>
      <c r="P1061" s="20">
        <f>IFERROR(__xludf.DUMMYFUNCTION("""COMPUTED_VALUE"""),110193.0)</f>
        <v>110193</v>
      </c>
      <c r="Q1061" s="20">
        <f>IFERROR(__xludf.DUMMYFUNCTION("""COMPUTED_VALUE"""),201812.0)</f>
        <v>201812</v>
      </c>
    </row>
    <row r="1062">
      <c r="A1062" s="20">
        <f>IFERROR(__xludf.DUMMYFUNCTION("""COMPUTED_VALUE"""),1058.0)</f>
        <v>1058</v>
      </c>
      <c r="B1062" s="20" t="str">
        <f>IFERROR(__xludf.DUMMYFUNCTION("""COMPUTED_VALUE"""),"Lexicographically Smallest Equivalent String")</f>
        <v>Lexicographically Smallest Equivalent String</v>
      </c>
      <c r="C1062" s="20" t="str">
        <f>IFERROR(__xludf.DUMMYFUNCTION("""COMPUTED_VALUE"""),"lexicographically-smallest-equivalent-string")</f>
        <v>lexicographically-smallest-equivalent-string</v>
      </c>
      <c r="D1062" s="20" t="b">
        <f>IFERROR(__xludf.DUMMYFUNCTION("""COMPUTED_VALUE"""),TRUE)</f>
        <v>1</v>
      </c>
      <c r="E1062" s="20" t="str">
        <f>IFERROR(__xludf.DUMMYFUNCTION("""COMPUTED_VALUE"""),"Medium")</f>
        <v>Medium</v>
      </c>
      <c r="F1062" s="20">
        <f>IFERROR(__xludf.DUMMYFUNCTION("""COMPUTED_VALUE"""),253.0)</f>
        <v>253</v>
      </c>
      <c r="G1062" s="20">
        <f>IFERROR(__xludf.DUMMYFUNCTION("""COMPUTED_VALUE"""),17.0)</f>
        <v>17</v>
      </c>
      <c r="H1062" s="20" t="str">
        <f>IFERROR(__xludf.DUMMYFUNCTION("""COMPUTED_VALUE"""),"Algorithms")</f>
        <v>Algorithms</v>
      </c>
      <c r="I1062" s="20">
        <f>IFERROR(__xludf.DUMMYFUNCTION("""COMPUTED_VALUE"""),0.708)</f>
        <v>0.708</v>
      </c>
      <c r="J1062" s="20">
        <f>IFERROR(__xludf.DUMMYFUNCTION("""COMPUTED_VALUE"""),1061.0)</f>
        <v>1061</v>
      </c>
      <c r="K1062" s="20" t="b">
        <f>IFERROR(__xludf.DUMMYFUNCTION("""COMPUTED_VALUE"""),TRUE)</f>
        <v>1</v>
      </c>
      <c r="L1062" s="20" t="str">
        <f>IFERROR(__xludf.DUMMYFUNCTION("""COMPUTED_VALUE"""),"String;Union Find;")</f>
        <v>String;Union Find;</v>
      </c>
      <c r="M1062" s="20" t="b">
        <f>IFERROR(__xludf.DUMMYFUNCTION("""COMPUTED_VALUE"""),TRUE)</f>
        <v>1</v>
      </c>
      <c r="N1062" s="20" t="b">
        <f>IFERROR(__xludf.DUMMYFUNCTION("""COMPUTED_VALUE"""),FALSE)</f>
        <v>0</v>
      </c>
      <c r="O1062" s="20">
        <f>IFERROR(__xludf.DUMMYFUNCTION("""COMPUTED_VALUE"""),70.8325775439869)</f>
        <v>70.83257754</v>
      </c>
      <c r="P1062" s="20">
        <f>IFERROR(__xludf.DUMMYFUNCTION("""COMPUTED_VALUE"""),11715.0)</f>
        <v>11715</v>
      </c>
      <c r="Q1062" s="20">
        <f>IFERROR(__xludf.DUMMYFUNCTION("""COMPUTED_VALUE"""),16539.0)</f>
        <v>16539</v>
      </c>
    </row>
    <row r="1063">
      <c r="A1063" s="20">
        <f>IFERROR(__xludf.DUMMYFUNCTION("""COMPUTED_VALUE"""),1060.0)</f>
        <v>1060</v>
      </c>
      <c r="B1063" s="20" t="str">
        <f>IFERROR(__xludf.DUMMYFUNCTION("""COMPUTED_VALUE"""),"Longest Repeating Substring")</f>
        <v>Longest Repeating Substring</v>
      </c>
      <c r="C1063" s="20" t="str">
        <f>IFERROR(__xludf.DUMMYFUNCTION("""COMPUTED_VALUE"""),"longest-repeating-substring")</f>
        <v>longest-repeating-substring</v>
      </c>
      <c r="D1063" s="20" t="b">
        <f>IFERROR(__xludf.DUMMYFUNCTION("""COMPUTED_VALUE"""),TRUE)</f>
        <v>1</v>
      </c>
      <c r="E1063" s="20" t="str">
        <f>IFERROR(__xludf.DUMMYFUNCTION("""COMPUTED_VALUE"""),"Medium")</f>
        <v>Medium</v>
      </c>
      <c r="F1063" s="20">
        <f>IFERROR(__xludf.DUMMYFUNCTION("""COMPUTED_VALUE"""),580.0)</f>
        <v>580</v>
      </c>
      <c r="G1063" s="20">
        <f>IFERROR(__xludf.DUMMYFUNCTION("""COMPUTED_VALUE"""),40.0)</f>
        <v>40</v>
      </c>
      <c r="H1063" s="20" t="str">
        <f>IFERROR(__xludf.DUMMYFUNCTION("""COMPUTED_VALUE"""),"Algorithms")</f>
        <v>Algorithms</v>
      </c>
      <c r="I1063" s="20">
        <f>IFERROR(__xludf.DUMMYFUNCTION("""COMPUTED_VALUE"""),0.593)</f>
        <v>0.593</v>
      </c>
      <c r="J1063" s="20">
        <f>IFERROR(__xludf.DUMMYFUNCTION("""COMPUTED_VALUE"""),1062.0)</f>
        <v>1062</v>
      </c>
      <c r="K1063" s="20" t="b">
        <f>IFERROR(__xludf.DUMMYFUNCTION("""COMPUTED_VALUE"""),TRUE)</f>
        <v>1</v>
      </c>
      <c r="L1063" s="20" t="str">
        <f>IFERROR(__xludf.DUMMYFUNCTION("""COMPUTED_VALUE"""),"String;Binary Search;Dynamic Programming;Rolling Hash;Suffix Array;Hash Function;")</f>
        <v>String;Binary Search;Dynamic Programming;Rolling Hash;Suffix Array;Hash Function;</v>
      </c>
      <c r="M1063" s="20" t="b">
        <f>IFERROR(__xludf.DUMMYFUNCTION("""COMPUTED_VALUE"""),TRUE)</f>
        <v>1</v>
      </c>
      <c r="N1063" s="20" t="b">
        <f>IFERROR(__xludf.DUMMYFUNCTION("""COMPUTED_VALUE"""),FALSE)</f>
        <v>0</v>
      </c>
      <c r="O1063" s="20">
        <f>IFERROR(__xludf.DUMMYFUNCTION("""COMPUTED_VALUE"""),59.2587020704439)</f>
        <v>59.25870207</v>
      </c>
      <c r="P1063" s="20">
        <f>IFERROR(__xludf.DUMMYFUNCTION("""COMPUTED_VALUE"""),31512.0)</f>
        <v>31512</v>
      </c>
      <c r="Q1063" s="20">
        <f>IFERROR(__xludf.DUMMYFUNCTION("""COMPUTED_VALUE"""),53177.0)</f>
        <v>53177</v>
      </c>
    </row>
    <row r="1064">
      <c r="A1064" s="20">
        <f>IFERROR(__xludf.DUMMYFUNCTION("""COMPUTED_VALUE"""),1061.0)</f>
        <v>1061</v>
      </c>
      <c r="B1064" s="20" t="str">
        <f>IFERROR(__xludf.DUMMYFUNCTION("""COMPUTED_VALUE"""),"Number of Valid Subarrays")</f>
        <v>Number of Valid Subarrays</v>
      </c>
      <c r="C1064" s="20" t="str">
        <f>IFERROR(__xludf.DUMMYFUNCTION("""COMPUTED_VALUE"""),"number-of-valid-subarrays")</f>
        <v>number-of-valid-subarrays</v>
      </c>
      <c r="D1064" s="20" t="b">
        <f>IFERROR(__xludf.DUMMYFUNCTION("""COMPUTED_VALUE"""),TRUE)</f>
        <v>1</v>
      </c>
      <c r="E1064" s="20" t="str">
        <f>IFERROR(__xludf.DUMMYFUNCTION("""COMPUTED_VALUE"""),"Hard")</f>
        <v>Hard</v>
      </c>
      <c r="F1064" s="20">
        <f>IFERROR(__xludf.DUMMYFUNCTION("""COMPUTED_VALUE"""),204.0)</f>
        <v>204</v>
      </c>
      <c r="G1064" s="20">
        <f>IFERROR(__xludf.DUMMYFUNCTION("""COMPUTED_VALUE"""),9.0)</f>
        <v>9</v>
      </c>
      <c r="H1064" s="20" t="str">
        <f>IFERROR(__xludf.DUMMYFUNCTION("""COMPUTED_VALUE"""),"Algorithms")</f>
        <v>Algorithms</v>
      </c>
      <c r="I1064" s="20">
        <f>IFERROR(__xludf.DUMMYFUNCTION("""COMPUTED_VALUE"""),0.741)</f>
        <v>0.741</v>
      </c>
      <c r="J1064" s="20">
        <f>IFERROR(__xludf.DUMMYFUNCTION("""COMPUTED_VALUE"""),1063.0)</f>
        <v>1063</v>
      </c>
      <c r="K1064" s="20" t="b">
        <f>IFERROR(__xludf.DUMMYFUNCTION("""COMPUTED_VALUE"""),TRUE)</f>
        <v>1</v>
      </c>
      <c r="L1064" s="20" t="str">
        <f>IFERROR(__xludf.DUMMYFUNCTION("""COMPUTED_VALUE"""),"Array;Stack;Monotonic Stack;")</f>
        <v>Array;Stack;Monotonic Stack;</v>
      </c>
      <c r="M1064" s="20" t="b">
        <f>IFERROR(__xludf.DUMMYFUNCTION("""COMPUTED_VALUE"""),FALSE)</f>
        <v>0</v>
      </c>
      <c r="N1064" s="20" t="b">
        <f>IFERROR(__xludf.DUMMYFUNCTION("""COMPUTED_VALUE"""),FALSE)</f>
        <v>0</v>
      </c>
      <c r="O1064" s="20">
        <f>IFERROR(__xludf.DUMMYFUNCTION("""COMPUTED_VALUE"""),74.1249354672173)</f>
        <v>74.12493547</v>
      </c>
      <c r="P1064" s="20">
        <f>IFERROR(__xludf.DUMMYFUNCTION("""COMPUTED_VALUE"""),7179.0)</f>
        <v>7179</v>
      </c>
      <c r="Q1064" s="20">
        <f>IFERROR(__xludf.DUMMYFUNCTION("""COMPUTED_VALUE"""),9685.0)</f>
        <v>9685</v>
      </c>
    </row>
    <row r="1065">
      <c r="A1065" s="20">
        <f>IFERROR(__xludf.DUMMYFUNCTION("""COMPUTED_VALUE"""),1066.0)</f>
        <v>1066</v>
      </c>
      <c r="B1065" s="20" t="str">
        <f>IFERROR(__xludf.DUMMYFUNCTION("""COMPUTED_VALUE"""),"Fixed Point")</f>
        <v>Fixed Point</v>
      </c>
      <c r="C1065" s="20" t="str">
        <f>IFERROR(__xludf.DUMMYFUNCTION("""COMPUTED_VALUE"""),"fixed-point")</f>
        <v>fixed-point</v>
      </c>
      <c r="D1065" s="20" t="b">
        <f>IFERROR(__xludf.DUMMYFUNCTION("""COMPUTED_VALUE"""),TRUE)</f>
        <v>1</v>
      </c>
      <c r="E1065" s="20" t="str">
        <f>IFERROR(__xludf.DUMMYFUNCTION("""COMPUTED_VALUE"""),"Easy")</f>
        <v>Easy</v>
      </c>
      <c r="F1065" s="20">
        <f>IFERROR(__xludf.DUMMYFUNCTION("""COMPUTED_VALUE"""),385.0)</f>
        <v>385</v>
      </c>
      <c r="G1065" s="20">
        <f>IFERROR(__xludf.DUMMYFUNCTION("""COMPUTED_VALUE"""),61.0)</f>
        <v>61</v>
      </c>
      <c r="H1065" s="20" t="str">
        <f>IFERROR(__xludf.DUMMYFUNCTION("""COMPUTED_VALUE"""),"Algorithms")</f>
        <v>Algorithms</v>
      </c>
      <c r="I1065" s="20">
        <f>IFERROR(__xludf.DUMMYFUNCTION("""COMPUTED_VALUE"""),0.636)</f>
        <v>0.636</v>
      </c>
      <c r="J1065" s="20">
        <f>IFERROR(__xludf.DUMMYFUNCTION("""COMPUTED_VALUE"""),1064.0)</f>
        <v>1064</v>
      </c>
      <c r="K1065" s="20" t="b">
        <f>IFERROR(__xludf.DUMMYFUNCTION("""COMPUTED_VALUE"""),TRUE)</f>
        <v>1</v>
      </c>
      <c r="L1065" s="20" t="str">
        <f>IFERROR(__xludf.DUMMYFUNCTION("""COMPUTED_VALUE"""),"Array;Binary Search;")</f>
        <v>Array;Binary Search;</v>
      </c>
      <c r="M1065" s="20" t="b">
        <f>IFERROR(__xludf.DUMMYFUNCTION("""COMPUTED_VALUE"""),TRUE)</f>
        <v>1</v>
      </c>
      <c r="N1065" s="20" t="b">
        <f>IFERROR(__xludf.DUMMYFUNCTION("""COMPUTED_VALUE"""),FALSE)</f>
        <v>0</v>
      </c>
      <c r="O1065" s="20">
        <f>IFERROR(__xludf.DUMMYFUNCTION("""COMPUTED_VALUE"""),63.601659202459)</f>
        <v>63.6016592</v>
      </c>
      <c r="P1065" s="20">
        <f>IFERROR(__xludf.DUMMYFUNCTION("""COMPUTED_VALUE"""),38486.0)</f>
        <v>38486</v>
      </c>
      <c r="Q1065" s="20">
        <f>IFERROR(__xludf.DUMMYFUNCTION("""COMPUTED_VALUE"""),60511.0)</f>
        <v>60511</v>
      </c>
    </row>
    <row r="1066">
      <c r="A1066" s="20">
        <f>IFERROR(__xludf.DUMMYFUNCTION("""COMPUTED_VALUE"""),1075.0)</f>
        <v>1075</v>
      </c>
      <c r="B1066" s="20" t="str">
        <f>IFERROR(__xludf.DUMMYFUNCTION("""COMPUTED_VALUE"""),"Index Pairs of a String")</f>
        <v>Index Pairs of a String</v>
      </c>
      <c r="C1066" s="20" t="str">
        <f>IFERROR(__xludf.DUMMYFUNCTION("""COMPUTED_VALUE"""),"index-pairs-of-a-string")</f>
        <v>index-pairs-of-a-string</v>
      </c>
      <c r="D1066" s="20" t="b">
        <f>IFERROR(__xludf.DUMMYFUNCTION("""COMPUTED_VALUE"""),TRUE)</f>
        <v>1</v>
      </c>
      <c r="E1066" s="20" t="str">
        <f>IFERROR(__xludf.DUMMYFUNCTION("""COMPUTED_VALUE"""),"Easy")</f>
        <v>Easy</v>
      </c>
      <c r="F1066" s="20">
        <f>IFERROR(__xludf.DUMMYFUNCTION("""COMPUTED_VALUE"""),261.0)</f>
        <v>261</v>
      </c>
      <c r="G1066" s="20">
        <f>IFERROR(__xludf.DUMMYFUNCTION("""COMPUTED_VALUE"""),85.0)</f>
        <v>85</v>
      </c>
      <c r="H1066" s="20" t="str">
        <f>IFERROR(__xludf.DUMMYFUNCTION("""COMPUTED_VALUE"""),"Algorithms")</f>
        <v>Algorithms</v>
      </c>
      <c r="I1066" s="20">
        <f>IFERROR(__xludf.DUMMYFUNCTION("""COMPUTED_VALUE"""),0.633)</f>
        <v>0.633</v>
      </c>
      <c r="J1066" s="20">
        <f>IFERROR(__xludf.DUMMYFUNCTION("""COMPUTED_VALUE"""),1065.0)</f>
        <v>1065</v>
      </c>
      <c r="K1066" s="20" t="b">
        <f>IFERROR(__xludf.DUMMYFUNCTION("""COMPUTED_VALUE"""),TRUE)</f>
        <v>1</v>
      </c>
      <c r="L1066" s="20" t="str">
        <f>IFERROR(__xludf.DUMMYFUNCTION("""COMPUTED_VALUE"""),"Array;String;Trie;Sorting;")</f>
        <v>Array;String;Trie;Sorting;</v>
      </c>
      <c r="M1066" s="20" t="b">
        <f>IFERROR(__xludf.DUMMYFUNCTION("""COMPUTED_VALUE"""),FALSE)</f>
        <v>0</v>
      </c>
      <c r="N1066" s="20" t="b">
        <f>IFERROR(__xludf.DUMMYFUNCTION("""COMPUTED_VALUE"""),FALSE)</f>
        <v>0</v>
      </c>
      <c r="O1066" s="20">
        <f>IFERROR(__xludf.DUMMYFUNCTION("""COMPUTED_VALUE"""),63.3246966632962)</f>
        <v>63.32469666</v>
      </c>
      <c r="P1066" s="20">
        <f>IFERROR(__xludf.DUMMYFUNCTION("""COMPUTED_VALUE"""),20041.0)</f>
        <v>20041</v>
      </c>
      <c r="Q1066" s="20">
        <f>IFERROR(__xludf.DUMMYFUNCTION("""COMPUTED_VALUE"""),31648.0)</f>
        <v>31648</v>
      </c>
    </row>
    <row r="1067">
      <c r="A1067" s="20">
        <f>IFERROR(__xludf.DUMMYFUNCTION("""COMPUTED_VALUE"""),1067.0)</f>
        <v>1067</v>
      </c>
      <c r="B1067" s="20" t="str">
        <f>IFERROR(__xludf.DUMMYFUNCTION("""COMPUTED_VALUE"""),"Campus Bikes II")</f>
        <v>Campus Bikes II</v>
      </c>
      <c r="C1067" s="20" t="str">
        <f>IFERROR(__xludf.DUMMYFUNCTION("""COMPUTED_VALUE"""),"campus-bikes-ii")</f>
        <v>campus-bikes-ii</v>
      </c>
      <c r="D1067" s="20" t="b">
        <f>IFERROR(__xludf.DUMMYFUNCTION("""COMPUTED_VALUE"""),TRUE)</f>
        <v>1</v>
      </c>
      <c r="E1067" s="20" t="str">
        <f>IFERROR(__xludf.DUMMYFUNCTION("""COMPUTED_VALUE"""),"Medium")</f>
        <v>Medium</v>
      </c>
      <c r="F1067" s="20">
        <f>IFERROR(__xludf.DUMMYFUNCTION("""COMPUTED_VALUE"""),833.0)</f>
        <v>833</v>
      </c>
      <c r="G1067" s="20">
        <f>IFERROR(__xludf.DUMMYFUNCTION("""COMPUTED_VALUE"""),78.0)</f>
        <v>78</v>
      </c>
      <c r="H1067" s="20" t="str">
        <f>IFERROR(__xludf.DUMMYFUNCTION("""COMPUTED_VALUE"""),"Algorithms")</f>
        <v>Algorithms</v>
      </c>
      <c r="I1067" s="20">
        <f>IFERROR(__xludf.DUMMYFUNCTION("""COMPUTED_VALUE"""),0.548)</f>
        <v>0.548</v>
      </c>
      <c r="J1067" s="20">
        <f>IFERROR(__xludf.DUMMYFUNCTION("""COMPUTED_VALUE"""),1066.0)</f>
        <v>1066</v>
      </c>
      <c r="K1067" s="20" t="b">
        <f>IFERROR(__xludf.DUMMYFUNCTION("""COMPUTED_VALUE"""),TRUE)</f>
        <v>1</v>
      </c>
      <c r="L1067" s="20" t="str">
        <f>IFERROR(__xludf.DUMMYFUNCTION("""COMPUTED_VALUE"""),"Array;Dynamic Programming;Backtracking;Bit Manipulation;Bitmask;")</f>
        <v>Array;Dynamic Programming;Backtracking;Bit Manipulation;Bitmask;</v>
      </c>
      <c r="M1067" s="20" t="b">
        <f>IFERROR(__xludf.DUMMYFUNCTION("""COMPUTED_VALUE"""),TRUE)</f>
        <v>1</v>
      </c>
      <c r="N1067" s="20" t="b">
        <f>IFERROR(__xludf.DUMMYFUNCTION("""COMPUTED_VALUE"""),FALSE)</f>
        <v>0</v>
      </c>
      <c r="O1067" s="20">
        <f>IFERROR(__xludf.DUMMYFUNCTION("""COMPUTED_VALUE"""),54.8077764580858)</f>
        <v>54.80777646</v>
      </c>
      <c r="P1067" s="20">
        <f>IFERROR(__xludf.DUMMYFUNCTION("""COMPUTED_VALUE"""),43838.0)</f>
        <v>43838</v>
      </c>
      <c r="Q1067" s="20">
        <f>IFERROR(__xludf.DUMMYFUNCTION("""COMPUTED_VALUE"""),79985.0)</f>
        <v>79985</v>
      </c>
    </row>
    <row r="1068">
      <c r="A1068" s="20">
        <f>IFERROR(__xludf.DUMMYFUNCTION("""COMPUTED_VALUE"""),1068.0)</f>
        <v>1068</v>
      </c>
      <c r="B1068" s="20" t="str">
        <f>IFERROR(__xludf.DUMMYFUNCTION("""COMPUTED_VALUE"""),"Digit Count in Range")</f>
        <v>Digit Count in Range</v>
      </c>
      <c r="C1068" s="20" t="str">
        <f>IFERROR(__xludf.DUMMYFUNCTION("""COMPUTED_VALUE"""),"digit-count-in-range")</f>
        <v>digit-count-in-range</v>
      </c>
      <c r="D1068" s="20" t="b">
        <f>IFERROR(__xludf.DUMMYFUNCTION("""COMPUTED_VALUE"""),TRUE)</f>
        <v>1</v>
      </c>
      <c r="E1068" s="20" t="str">
        <f>IFERROR(__xludf.DUMMYFUNCTION("""COMPUTED_VALUE"""),"Hard")</f>
        <v>Hard</v>
      </c>
      <c r="F1068" s="20">
        <f>IFERROR(__xludf.DUMMYFUNCTION("""COMPUTED_VALUE"""),76.0)</f>
        <v>76</v>
      </c>
      <c r="G1068" s="20">
        <f>IFERROR(__xludf.DUMMYFUNCTION("""COMPUTED_VALUE"""),21.0)</f>
        <v>21</v>
      </c>
      <c r="H1068" s="20" t="str">
        <f>IFERROR(__xludf.DUMMYFUNCTION("""COMPUTED_VALUE"""),"Algorithms")</f>
        <v>Algorithms</v>
      </c>
      <c r="I1068" s="20">
        <f>IFERROR(__xludf.DUMMYFUNCTION("""COMPUTED_VALUE"""),0.45)</f>
        <v>0.45</v>
      </c>
      <c r="J1068" s="20">
        <f>IFERROR(__xludf.DUMMYFUNCTION("""COMPUTED_VALUE"""),1067.0)</f>
        <v>1067</v>
      </c>
      <c r="K1068" s="20" t="b">
        <f>IFERROR(__xludf.DUMMYFUNCTION("""COMPUTED_VALUE"""),TRUE)</f>
        <v>1</v>
      </c>
      <c r="L1068" s="20" t="str">
        <f>IFERROR(__xludf.DUMMYFUNCTION("""COMPUTED_VALUE"""),"Math;Dynamic Programming;")</f>
        <v>Math;Dynamic Programming;</v>
      </c>
      <c r="M1068" s="20" t="b">
        <f>IFERROR(__xludf.DUMMYFUNCTION("""COMPUTED_VALUE"""),FALSE)</f>
        <v>0</v>
      </c>
      <c r="N1068" s="20" t="b">
        <f>IFERROR(__xludf.DUMMYFUNCTION("""COMPUTED_VALUE"""),FALSE)</f>
        <v>0</v>
      </c>
      <c r="O1068" s="20">
        <f>IFERROR(__xludf.DUMMYFUNCTION("""COMPUTED_VALUE"""),44.9993121474755)</f>
        <v>44.99931215</v>
      </c>
      <c r="P1068" s="20">
        <f>IFERROR(__xludf.DUMMYFUNCTION("""COMPUTED_VALUE"""),3270.0)</f>
        <v>3270</v>
      </c>
      <c r="Q1068" s="20">
        <f>IFERROR(__xludf.DUMMYFUNCTION("""COMPUTED_VALUE"""),7268.0)</f>
        <v>7268</v>
      </c>
    </row>
    <row r="1069">
      <c r="A1069" s="20">
        <f>IFERROR(__xludf.DUMMYFUNCTION("""COMPUTED_VALUE"""),1153.0)</f>
        <v>1153</v>
      </c>
      <c r="B1069" s="20" t="str">
        <f>IFERROR(__xludf.DUMMYFUNCTION("""COMPUTED_VALUE"""),"Product Sales Analysis I")</f>
        <v>Product Sales Analysis I</v>
      </c>
      <c r="C1069" s="20" t="str">
        <f>IFERROR(__xludf.DUMMYFUNCTION("""COMPUTED_VALUE"""),"product-sales-analysis-i")</f>
        <v>product-sales-analysis-i</v>
      </c>
      <c r="D1069" s="20" t="b">
        <f>IFERROR(__xludf.DUMMYFUNCTION("""COMPUTED_VALUE"""),TRUE)</f>
        <v>1</v>
      </c>
      <c r="E1069" s="20" t="str">
        <f>IFERROR(__xludf.DUMMYFUNCTION("""COMPUTED_VALUE"""),"Easy")</f>
        <v>Easy</v>
      </c>
      <c r="F1069" s="20">
        <f>IFERROR(__xludf.DUMMYFUNCTION("""COMPUTED_VALUE"""),105.0)</f>
        <v>105</v>
      </c>
      <c r="G1069" s="20">
        <f>IFERROR(__xludf.DUMMYFUNCTION("""COMPUTED_VALUE"""),125.0)</f>
        <v>125</v>
      </c>
      <c r="H1069" s="20" t="str">
        <f>IFERROR(__xludf.DUMMYFUNCTION("""COMPUTED_VALUE"""),"Database")</f>
        <v>Database</v>
      </c>
      <c r="I1069" s="20">
        <f>IFERROR(__xludf.DUMMYFUNCTION("""COMPUTED_VALUE"""),0.802)</f>
        <v>0.802</v>
      </c>
      <c r="J1069" s="20">
        <f>IFERROR(__xludf.DUMMYFUNCTION("""COMPUTED_VALUE"""),1068.0)</f>
        <v>1068</v>
      </c>
      <c r="K1069" s="20" t="b">
        <f>IFERROR(__xludf.DUMMYFUNCTION("""COMPUTED_VALUE"""),TRUE)</f>
        <v>1</v>
      </c>
      <c r="L1069" s="20" t="str">
        <f>IFERROR(__xludf.DUMMYFUNCTION("""COMPUTED_VALUE"""),"Database;")</f>
        <v>Database;</v>
      </c>
      <c r="M1069" s="20" t="b">
        <f>IFERROR(__xludf.DUMMYFUNCTION("""COMPUTED_VALUE"""),FALSE)</f>
        <v>0</v>
      </c>
      <c r="N1069" s="20" t="b">
        <f>IFERROR(__xludf.DUMMYFUNCTION("""COMPUTED_VALUE"""),FALSE)</f>
        <v>0</v>
      </c>
      <c r="O1069" s="20">
        <f>IFERROR(__xludf.DUMMYFUNCTION("""COMPUTED_VALUE"""),80.2050284134974)</f>
        <v>80.20502841</v>
      </c>
      <c r="P1069" s="20">
        <f>IFERROR(__xludf.DUMMYFUNCTION("""COMPUTED_VALUE"""),56879.0)</f>
        <v>56879</v>
      </c>
      <c r="Q1069" s="20">
        <f>IFERROR(__xludf.DUMMYFUNCTION("""COMPUTED_VALUE"""),70917.0)</f>
        <v>70917</v>
      </c>
    </row>
    <row r="1070">
      <c r="A1070" s="20">
        <f>IFERROR(__xludf.DUMMYFUNCTION("""COMPUTED_VALUE"""),1154.0)</f>
        <v>1154</v>
      </c>
      <c r="B1070" s="20" t="str">
        <f>IFERROR(__xludf.DUMMYFUNCTION("""COMPUTED_VALUE"""),"Product Sales Analysis II")</f>
        <v>Product Sales Analysis II</v>
      </c>
      <c r="C1070" s="20" t="str">
        <f>IFERROR(__xludf.DUMMYFUNCTION("""COMPUTED_VALUE"""),"product-sales-analysis-ii")</f>
        <v>product-sales-analysis-ii</v>
      </c>
      <c r="D1070" s="20" t="b">
        <f>IFERROR(__xludf.DUMMYFUNCTION("""COMPUTED_VALUE"""),TRUE)</f>
        <v>1</v>
      </c>
      <c r="E1070" s="20" t="str">
        <f>IFERROR(__xludf.DUMMYFUNCTION("""COMPUTED_VALUE"""),"Easy")</f>
        <v>Easy</v>
      </c>
      <c r="F1070" s="20">
        <f>IFERROR(__xludf.DUMMYFUNCTION("""COMPUTED_VALUE"""),68.0)</f>
        <v>68</v>
      </c>
      <c r="G1070" s="20">
        <f>IFERROR(__xludf.DUMMYFUNCTION("""COMPUTED_VALUE"""),167.0)</f>
        <v>167</v>
      </c>
      <c r="H1070" s="20" t="str">
        <f>IFERROR(__xludf.DUMMYFUNCTION("""COMPUTED_VALUE"""),"Database")</f>
        <v>Database</v>
      </c>
      <c r="I1070" s="20">
        <f>IFERROR(__xludf.DUMMYFUNCTION("""COMPUTED_VALUE"""),0.819)</f>
        <v>0.819</v>
      </c>
      <c r="J1070" s="20">
        <f>IFERROR(__xludf.DUMMYFUNCTION("""COMPUTED_VALUE"""),1069.0)</f>
        <v>1069</v>
      </c>
      <c r="K1070" s="20" t="b">
        <f>IFERROR(__xludf.DUMMYFUNCTION("""COMPUTED_VALUE"""),TRUE)</f>
        <v>1</v>
      </c>
      <c r="L1070" s="20" t="str">
        <f>IFERROR(__xludf.DUMMYFUNCTION("""COMPUTED_VALUE"""),"Database;")</f>
        <v>Database;</v>
      </c>
      <c r="M1070" s="20" t="b">
        <f>IFERROR(__xludf.DUMMYFUNCTION("""COMPUTED_VALUE"""),FALSE)</f>
        <v>0</v>
      </c>
      <c r="N1070" s="20" t="b">
        <f>IFERROR(__xludf.DUMMYFUNCTION("""COMPUTED_VALUE"""),FALSE)</f>
        <v>0</v>
      </c>
      <c r="O1070" s="20">
        <f>IFERROR(__xludf.DUMMYFUNCTION("""COMPUTED_VALUE"""),81.8621197693012)</f>
        <v>81.86211977</v>
      </c>
      <c r="P1070" s="20">
        <f>IFERROR(__xludf.DUMMYFUNCTION("""COMPUTED_VALUE"""),45562.0)</f>
        <v>45562</v>
      </c>
      <c r="Q1070" s="20">
        <f>IFERROR(__xludf.DUMMYFUNCTION("""COMPUTED_VALUE"""),55657.0)</f>
        <v>55657</v>
      </c>
    </row>
    <row r="1071">
      <c r="A1071" s="20">
        <f>IFERROR(__xludf.DUMMYFUNCTION("""COMPUTED_VALUE"""),1155.0)</f>
        <v>1155</v>
      </c>
      <c r="B1071" s="20" t="str">
        <f>IFERROR(__xludf.DUMMYFUNCTION("""COMPUTED_VALUE"""),"Product Sales Analysis III")</f>
        <v>Product Sales Analysis III</v>
      </c>
      <c r="C1071" s="20" t="str">
        <f>IFERROR(__xludf.DUMMYFUNCTION("""COMPUTED_VALUE"""),"product-sales-analysis-iii")</f>
        <v>product-sales-analysis-iii</v>
      </c>
      <c r="D1071" s="20" t="b">
        <f>IFERROR(__xludf.DUMMYFUNCTION("""COMPUTED_VALUE"""),TRUE)</f>
        <v>1</v>
      </c>
      <c r="E1071" s="20" t="str">
        <f>IFERROR(__xludf.DUMMYFUNCTION("""COMPUTED_VALUE"""),"Medium")</f>
        <v>Medium</v>
      </c>
      <c r="F1071" s="20">
        <f>IFERROR(__xludf.DUMMYFUNCTION("""COMPUTED_VALUE"""),87.0)</f>
        <v>87</v>
      </c>
      <c r="G1071" s="20">
        <f>IFERROR(__xludf.DUMMYFUNCTION("""COMPUTED_VALUE"""),331.0)</f>
        <v>331</v>
      </c>
      <c r="H1071" s="20" t="str">
        <f>IFERROR(__xludf.DUMMYFUNCTION("""COMPUTED_VALUE"""),"Database")</f>
        <v>Database</v>
      </c>
      <c r="I1071" s="20">
        <f>IFERROR(__xludf.DUMMYFUNCTION("""COMPUTED_VALUE"""),0.49)</f>
        <v>0.49</v>
      </c>
      <c r="J1071" s="20">
        <f>IFERROR(__xludf.DUMMYFUNCTION("""COMPUTED_VALUE"""),1070.0)</f>
        <v>1070</v>
      </c>
      <c r="K1071" s="20" t="b">
        <f>IFERROR(__xludf.DUMMYFUNCTION("""COMPUTED_VALUE"""),TRUE)</f>
        <v>1</v>
      </c>
      <c r="L1071" s="20" t="str">
        <f>IFERROR(__xludf.DUMMYFUNCTION("""COMPUTED_VALUE"""),"Database;")</f>
        <v>Database;</v>
      </c>
      <c r="M1071" s="20" t="b">
        <f>IFERROR(__xludf.DUMMYFUNCTION("""COMPUTED_VALUE"""),FALSE)</f>
        <v>0</v>
      </c>
      <c r="N1071" s="20" t="b">
        <f>IFERROR(__xludf.DUMMYFUNCTION("""COMPUTED_VALUE"""),FALSE)</f>
        <v>0</v>
      </c>
      <c r="O1071" s="20">
        <f>IFERROR(__xludf.DUMMYFUNCTION("""COMPUTED_VALUE"""),48.9813092992005)</f>
        <v>48.9813093</v>
      </c>
      <c r="P1071" s="20">
        <f>IFERROR(__xludf.DUMMYFUNCTION("""COMPUTED_VALUE"""),36086.0)</f>
        <v>36086</v>
      </c>
      <c r="Q1071" s="20">
        <f>IFERROR(__xludf.DUMMYFUNCTION("""COMPUTED_VALUE"""),73673.0)</f>
        <v>73673</v>
      </c>
    </row>
    <row r="1072">
      <c r="A1072" s="20">
        <f>IFERROR(__xludf.DUMMYFUNCTION("""COMPUTED_VALUE"""),1146.0)</f>
        <v>1146</v>
      </c>
      <c r="B1072" s="20" t="str">
        <f>IFERROR(__xludf.DUMMYFUNCTION("""COMPUTED_VALUE"""),"Greatest Common Divisor of Strings")</f>
        <v>Greatest Common Divisor of Strings</v>
      </c>
      <c r="C1072" s="20" t="str">
        <f>IFERROR(__xludf.DUMMYFUNCTION("""COMPUTED_VALUE"""),"greatest-common-divisor-of-strings")</f>
        <v>greatest-common-divisor-of-strings</v>
      </c>
      <c r="D1072" s="20" t="b">
        <f>IFERROR(__xludf.DUMMYFUNCTION("""COMPUTED_VALUE"""),FALSE)</f>
        <v>0</v>
      </c>
      <c r="E1072" s="20" t="str">
        <f>IFERROR(__xludf.DUMMYFUNCTION("""COMPUTED_VALUE"""),"Easy")</f>
        <v>Easy</v>
      </c>
      <c r="F1072" s="20">
        <f>IFERROR(__xludf.DUMMYFUNCTION("""COMPUTED_VALUE"""),1541.0)</f>
        <v>1541</v>
      </c>
      <c r="G1072" s="20">
        <f>IFERROR(__xludf.DUMMYFUNCTION("""COMPUTED_VALUE"""),306.0)</f>
        <v>306</v>
      </c>
      <c r="H1072" s="20" t="str">
        <f>IFERROR(__xludf.DUMMYFUNCTION("""COMPUTED_VALUE"""),"Algorithms")</f>
        <v>Algorithms</v>
      </c>
      <c r="I1072" s="20">
        <f>IFERROR(__xludf.DUMMYFUNCTION("""COMPUTED_VALUE"""),0.51)</f>
        <v>0.51</v>
      </c>
      <c r="J1072" s="20">
        <f>IFERROR(__xludf.DUMMYFUNCTION("""COMPUTED_VALUE"""),1071.0)</f>
        <v>1071</v>
      </c>
      <c r="K1072" s="20" t="b">
        <f>IFERROR(__xludf.DUMMYFUNCTION("""COMPUTED_VALUE"""),FALSE)</f>
        <v>0</v>
      </c>
      <c r="L1072" s="20" t="str">
        <f>IFERROR(__xludf.DUMMYFUNCTION("""COMPUTED_VALUE"""),"Math;String;")</f>
        <v>Math;String;</v>
      </c>
      <c r="M1072" s="20" t="b">
        <f>IFERROR(__xludf.DUMMYFUNCTION("""COMPUTED_VALUE"""),FALSE)</f>
        <v>0</v>
      </c>
      <c r="N1072" s="20" t="b">
        <f>IFERROR(__xludf.DUMMYFUNCTION("""COMPUTED_VALUE"""),FALSE)</f>
        <v>0</v>
      </c>
      <c r="O1072" s="20">
        <f>IFERROR(__xludf.DUMMYFUNCTION("""COMPUTED_VALUE"""),51.0207105852785)</f>
        <v>51.02071059</v>
      </c>
      <c r="P1072" s="20">
        <f>IFERROR(__xludf.DUMMYFUNCTION("""COMPUTED_VALUE"""),86075.0)</f>
        <v>86075</v>
      </c>
      <c r="Q1072" s="20">
        <f>IFERROR(__xludf.DUMMYFUNCTION("""COMPUTED_VALUE"""),168706.0)</f>
        <v>168706</v>
      </c>
    </row>
    <row r="1073">
      <c r="A1073" s="20">
        <f>IFERROR(__xludf.DUMMYFUNCTION("""COMPUTED_VALUE"""),1147.0)</f>
        <v>1147</v>
      </c>
      <c r="B1073" s="20" t="str">
        <f>IFERROR(__xludf.DUMMYFUNCTION("""COMPUTED_VALUE"""),"Flip Columns For Maximum Number of Equal Rows")</f>
        <v>Flip Columns For Maximum Number of Equal Rows</v>
      </c>
      <c r="C1073" s="20" t="str">
        <f>IFERROR(__xludf.DUMMYFUNCTION("""COMPUTED_VALUE"""),"flip-columns-for-maximum-number-of-equal-rows")</f>
        <v>flip-columns-for-maximum-number-of-equal-rows</v>
      </c>
      <c r="D1073" s="20" t="b">
        <f>IFERROR(__xludf.DUMMYFUNCTION("""COMPUTED_VALUE"""),FALSE)</f>
        <v>0</v>
      </c>
      <c r="E1073" s="20" t="str">
        <f>IFERROR(__xludf.DUMMYFUNCTION("""COMPUTED_VALUE"""),"Medium")</f>
        <v>Medium</v>
      </c>
      <c r="F1073" s="20">
        <f>IFERROR(__xludf.DUMMYFUNCTION("""COMPUTED_VALUE"""),625.0)</f>
        <v>625</v>
      </c>
      <c r="G1073" s="20">
        <f>IFERROR(__xludf.DUMMYFUNCTION("""COMPUTED_VALUE"""),46.0)</f>
        <v>46</v>
      </c>
      <c r="H1073" s="20" t="str">
        <f>IFERROR(__xludf.DUMMYFUNCTION("""COMPUTED_VALUE"""),"Algorithms")</f>
        <v>Algorithms</v>
      </c>
      <c r="I1073" s="20">
        <f>IFERROR(__xludf.DUMMYFUNCTION("""COMPUTED_VALUE"""),0.631)</f>
        <v>0.631</v>
      </c>
      <c r="J1073" s="20">
        <f>IFERROR(__xludf.DUMMYFUNCTION("""COMPUTED_VALUE"""),1072.0)</f>
        <v>1072</v>
      </c>
      <c r="K1073" s="20" t="b">
        <f>IFERROR(__xludf.DUMMYFUNCTION("""COMPUTED_VALUE"""),FALSE)</f>
        <v>0</v>
      </c>
      <c r="L1073" s="20" t="str">
        <f>IFERROR(__xludf.DUMMYFUNCTION("""COMPUTED_VALUE"""),"Array;Hash Table;Matrix;")</f>
        <v>Array;Hash Table;Matrix;</v>
      </c>
      <c r="M1073" s="20" t="b">
        <f>IFERROR(__xludf.DUMMYFUNCTION("""COMPUTED_VALUE"""),FALSE)</f>
        <v>0</v>
      </c>
      <c r="N1073" s="20" t="b">
        <f>IFERROR(__xludf.DUMMYFUNCTION("""COMPUTED_VALUE"""),FALSE)</f>
        <v>0</v>
      </c>
      <c r="O1073" s="20">
        <f>IFERROR(__xludf.DUMMYFUNCTION("""COMPUTED_VALUE"""),63.0936000268483)</f>
        <v>63.09360003</v>
      </c>
      <c r="P1073" s="20">
        <f>IFERROR(__xludf.DUMMYFUNCTION("""COMPUTED_VALUE"""),18800.0)</f>
        <v>18800</v>
      </c>
      <c r="Q1073" s="20">
        <f>IFERROR(__xludf.DUMMYFUNCTION("""COMPUTED_VALUE"""),29797.0)</f>
        <v>29797</v>
      </c>
    </row>
    <row r="1074">
      <c r="A1074" s="20">
        <f>IFERROR(__xludf.DUMMYFUNCTION("""COMPUTED_VALUE"""),1148.0)</f>
        <v>1148</v>
      </c>
      <c r="B1074" s="20" t="str">
        <f>IFERROR(__xludf.DUMMYFUNCTION("""COMPUTED_VALUE"""),"Adding Two Negabinary Numbers")</f>
        <v>Adding Two Negabinary Numbers</v>
      </c>
      <c r="C1074" s="20" t="str">
        <f>IFERROR(__xludf.DUMMYFUNCTION("""COMPUTED_VALUE"""),"adding-two-negabinary-numbers")</f>
        <v>adding-two-negabinary-numbers</v>
      </c>
      <c r="D1074" s="20" t="b">
        <f>IFERROR(__xludf.DUMMYFUNCTION("""COMPUTED_VALUE"""),FALSE)</f>
        <v>0</v>
      </c>
      <c r="E1074" s="20" t="str">
        <f>IFERROR(__xludf.DUMMYFUNCTION("""COMPUTED_VALUE"""),"Medium")</f>
        <v>Medium</v>
      </c>
      <c r="F1074" s="20">
        <f>IFERROR(__xludf.DUMMYFUNCTION("""COMPUTED_VALUE"""),266.0)</f>
        <v>266</v>
      </c>
      <c r="G1074" s="20">
        <f>IFERROR(__xludf.DUMMYFUNCTION("""COMPUTED_VALUE"""),100.0)</f>
        <v>100</v>
      </c>
      <c r="H1074" s="20" t="str">
        <f>IFERROR(__xludf.DUMMYFUNCTION("""COMPUTED_VALUE"""),"Algorithms")</f>
        <v>Algorithms</v>
      </c>
      <c r="I1074" s="20">
        <f>IFERROR(__xludf.DUMMYFUNCTION("""COMPUTED_VALUE"""),0.364)</f>
        <v>0.364</v>
      </c>
      <c r="J1074" s="20">
        <f>IFERROR(__xludf.DUMMYFUNCTION("""COMPUTED_VALUE"""),1073.0)</f>
        <v>1073</v>
      </c>
      <c r="K1074" s="20" t="b">
        <f>IFERROR(__xludf.DUMMYFUNCTION("""COMPUTED_VALUE"""),FALSE)</f>
        <v>0</v>
      </c>
      <c r="L1074" s="20" t="str">
        <f>IFERROR(__xludf.DUMMYFUNCTION("""COMPUTED_VALUE"""),"Array;Math;")</f>
        <v>Array;Math;</v>
      </c>
      <c r="M1074" s="20" t="b">
        <f>IFERROR(__xludf.DUMMYFUNCTION("""COMPUTED_VALUE"""),FALSE)</f>
        <v>0</v>
      </c>
      <c r="N1074" s="20" t="b">
        <f>IFERROR(__xludf.DUMMYFUNCTION("""COMPUTED_VALUE"""),FALSE)</f>
        <v>0</v>
      </c>
      <c r="O1074" s="20">
        <f>IFERROR(__xludf.DUMMYFUNCTION("""COMPUTED_VALUE"""),36.3750062534393)</f>
        <v>36.37500625</v>
      </c>
      <c r="P1074" s="20">
        <f>IFERROR(__xludf.DUMMYFUNCTION("""COMPUTED_VALUE"""),14542.0)</f>
        <v>14542</v>
      </c>
      <c r="Q1074" s="20">
        <f>IFERROR(__xludf.DUMMYFUNCTION("""COMPUTED_VALUE"""),39978.0)</f>
        <v>39978</v>
      </c>
    </row>
    <row r="1075">
      <c r="A1075" s="20">
        <f>IFERROR(__xludf.DUMMYFUNCTION("""COMPUTED_VALUE"""),1145.0)</f>
        <v>1145</v>
      </c>
      <c r="B1075" s="20" t="str">
        <f>IFERROR(__xludf.DUMMYFUNCTION("""COMPUTED_VALUE"""),"Number of Submatrices That Sum to Target")</f>
        <v>Number of Submatrices That Sum to Target</v>
      </c>
      <c r="C1075" s="20" t="str">
        <f>IFERROR(__xludf.DUMMYFUNCTION("""COMPUTED_VALUE"""),"number-of-submatrices-that-sum-to-target")</f>
        <v>number-of-submatrices-that-sum-to-target</v>
      </c>
      <c r="D1075" s="20" t="b">
        <f>IFERROR(__xludf.DUMMYFUNCTION("""COMPUTED_VALUE"""),FALSE)</f>
        <v>0</v>
      </c>
      <c r="E1075" s="20" t="str">
        <f>IFERROR(__xludf.DUMMYFUNCTION("""COMPUTED_VALUE"""),"Hard")</f>
        <v>Hard</v>
      </c>
      <c r="F1075" s="20">
        <f>IFERROR(__xludf.DUMMYFUNCTION("""COMPUTED_VALUE"""),2830.0)</f>
        <v>2830</v>
      </c>
      <c r="G1075" s="20">
        <f>IFERROR(__xludf.DUMMYFUNCTION("""COMPUTED_VALUE"""),63.0)</f>
        <v>63</v>
      </c>
      <c r="H1075" s="20" t="str">
        <f>IFERROR(__xludf.DUMMYFUNCTION("""COMPUTED_VALUE"""),"Algorithms")</f>
        <v>Algorithms</v>
      </c>
      <c r="I1075" s="20">
        <f>IFERROR(__xludf.DUMMYFUNCTION("""COMPUTED_VALUE"""),0.698)</f>
        <v>0.698</v>
      </c>
      <c r="J1075" s="20">
        <f>IFERROR(__xludf.DUMMYFUNCTION("""COMPUTED_VALUE"""),1074.0)</f>
        <v>1074</v>
      </c>
      <c r="K1075" s="20" t="b">
        <f>IFERROR(__xludf.DUMMYFUNCTION("""COMPUTED_VALUE"""),FALSE)</f>
        <v>0</v>
      </c>
      <c r="L1075" s="20" t="str">
        <f>IFERROR(__xludf.DUMMYFUNCTION("""COMPUTED_VALUE"""),"Array;Hash Table;Matrix;Prefix Sum;")</f>
        <v>Array;Hash Table;Matrix;Prefix Sum;</v>
      </c>
      <c r="M1075" s="20" t="b">
        <f>IFERROR(__xludf.DUMMYFUNCTION("""COMPUTED_VALUE"""),TRUE)</f>
        <v>1</v>
      </c>
      <c r="N1075" s="20" t="b">
        <f>IFERROR(__xludf.DUMMYFUNCTION("""COMPUTED_VALUE"""),FALSE)</f>
        <v>0</v>
      </c>
      <c r="O1075" s="20">
        <f>IFERROR(__xludf.DUMMYFUNCTION("""COMPUTED_VALUE"""),69.8367648265113)</f>
        <v>69.83676483</v>
      </c>
      <c r="P1075" s="20">
        <f>IFERROR(__xludf.DUMMYFUNCTION("""COMPUTED_VALUE"""),85138.0)</f>
        <v>85138</v>
      </c>
      <c r="Q1075" s="20">
        <f>IFERROR(__xludf.DUMMYFUNCTION("""COMPUTED_VALUE"""),121910.0)</f>
        <v>121910</v>
      </c>
    </row>
    <row r="1076">
      <c r="A1076" s="20">
        <f>IFERROR(__xludf.DUMMYFUNCTION("""COMPUTED_VALUE"""),1161.0)</f>
        <v>1161</v>
      </c>
      <c r="B1076" s="20" t="str">
        <f>IFERROR(__xludf.DUMMYFUNCTION("""COMPUTED_VALUE"""),"Project Employees I")</f>
        <v>Project Employees I</v>
      </c>
      <c r="C1076" s="20" t="str">
        <f>IFERROR(__xludf.DUMMYFUNCTION("""COMPUTED_VALUE"""),"project-employees-i")</f>
        <v>project-employees-i</v>
      </c>
      <c r="D1076" s="20" t="b">
        <f>IFERROR(__xludf.DUMMYFUNCTION("""COMPUTED_VALUE"""),TRUE)</f>
        <v>1</v>
      </c>
      <c r="E1076" s="20" t="str">
        <f>IFERROR(__xludf.DUMMYFUNCTION("""COMPUTED_VALUE"""),"Easy")</f>
        <v>Easy</v>
      </c>
      <c r="F1076" s="20">
        <f>IFERROR(__xludf.DUMMYFUNCTION("""COMPUTED_VALUE"""),101.0)</f>
        <v>101</v>
      </c>
      <c r="G1076" s="20">
        <f>IFERROR(__xludf.DUMMYFUNCTION("""COMPUTED_VALUE"""),71.0)</f>
        <v>71</v>
      </c>
      <c r="H1076" s="20" t="str">
        <f>IFERROR(__xludf.DUMMYFUNCTION("""COMPUTED_VALUE"""),"Database")</f>
        <v>Database</v>
      </c>
      <c r="I1076" s="20">
        <f>IFERROR(__xludf.DUMMYFUNCTION("""COMPUTED_VALUE"""),0.67)</f>
        <v>0.67</v>
      </c>
      <c r="J1076" s="20">
        <f>IFERROR(__xludf.DUMMYFUNCTION("""COMPUTED_VALUE"""),1075.0)</f>
        <v>1075</v>
      </c>
      <c r="K1076" s="20" t="b">
        <f>IFERROR(__xludf.DUMMYFUNCTION("""COMPUTED_VALUE"""),TRUE)</f>
        <v>1</v>
      </c>
      <c r="L1076" s="20" t="str">
        <f>IFERROR(__xludf.DUMMYFUNCTION("""COMPUTED_VALUE"""),"Database;")</f>
        <v>Database;</v>
      </c>
      <c r="M1076" s="20" t="b">
        <f>IFERROR(__xludf.DUMMYFUNCTION("""COMPUTED_VALUE"""),FALSE)</f>
        <v>0</v>
      </c>
      <c r="N1076" s="20" t="b">
        <f>IFERROR(__xludf.DUMMYFUNCTION("""COMPUTED_VALUE"""),FALSE)</f>
        <v>0</v>
      </c>
      <c r="O1076" s="20">
        <f>IFERROR(__xludf.DUMMYFUNCTION("""COMPUTED_VALUE"""),67.0002097126936)</f>
        <v>67.00020971</v>
      </c>
      <c r="P1076" s="20">
        <f>IFERROR(__xludf.DUMMYFUNCTION("""COMPUTED_VALUE"""),44728.0)</f>
        <v>44728</v>
      </c>
      <c r="Q1076" s="20">
        <f>IFERROR(__xludf.DUMMYFUNCTION("""COMPUTED_VALUE"""),66758.0)</f>
        <v>66758</v>
      </c>
    </row>
    <row r="1077">
      <c r="A1077" s="20">
        <f>IFERROR(__xludf.DUMMYFUNCTION("""COMPUTED_VALUE"""),1162.0)</f>
        <v>1162</v>
      </c>
      <c r="B1077" s="20" t="str">
        <f>IFERROR(__xludf.DUMMYFUNCTION("""COMPUTED_VALUE"""),"Project Employees II")</f>
        <v>Project Employees II</v>
      </c>
      <c r="C1077" s="20" t="str">
        <f>IFERROR(__xludf.DUMMYFUNCTION("""COMPUTED_VALUE"""),"project-employees-ii")</f>
        <v>project-employees-ii</v>
      </c>
      <c r="D1077" s="20" t="b">
        <f>IFERROR(__xludf.DUMMYFUNCTION("""COMPUTED_VALUE"""),TRUE)</f>
        <v>1</v>
      </c>
      <c r="E1077" s="20" t="str">
        <f>IFERROR(__xludf.DUMMYFUNCTION("""COMPUTED_VALUE"""),"Easy")</f>
        <v>Easy</v>
      </c>
      <c r="F1077" s="20">
        <f>IFERROR(__xludf.DUMMYFUNCTION("""COMPUTED_VALUE"""),179.0)</f>
        <v>179</v>
      </c>
      <c r="G1077" s="20">
        <f>IFERROR(__xludf.DUMMYFUNCTION("""COMPUTED_VALUE"""),54.0)</f>
        <v>54</v>
      </c>
      <c r="H1077" s="20" t="str">
        <f>IFERROR(__xludf.DUMMYFUNCTION("""COMPUTED_VALUE"""),"Database")</f>
        <v>Database</v>
      </c>
      <c r="I1077" s="20">
        <f>IFERROR(__xludf.DUMMYFUNCTION("""COMPUTED_VALUE"""),0.508)</f>
        <v>0.508</v>
      </c>
      <c r="J1077" s="20">
        <f>IFERROR(__xludf.DUMMYFUNCTION("""COMPUTED_VALUE"""),1076.0)</f>
        <v>1076</v>
      </c>
      <c r="K1077" s="20" t="b">
        <f>IFERROR(__xludf.DUMMYFUNCTION("""COMPUTED_VALUE"""),TRUE)</f>
        <v>1</v>
      </c>
      <c r="L1077" s="20" t="str">
        <f>IFERROR(__xludf.DUMMYFUNCTION("""COMPUTED_VALUE"""),"Database;")</f>
        <v>Database;</v>
      </c>
      <c r="M1077" s="20" t="b">
        <f>IFERROR(__xludf.DUMMYFUNCTION("""COMPUTED_VALUE"""),FALSE)</f>
        <v>0</v>
      </c>
      <c r="N1077" s="20" t="b">
        <f>IFERROR(__xludf.DUMMYFUNCTION("""COMPUTED_VALUE"""),FALSE)</f>
        <v>0</v>
      </c>
      <c r="O1077" s="20">
        <f>IFERROR(__xludf.DUMMYFUNCTION("""COMPUTED_VALUE"""),50.7770478559431)</f>
        <v>50.77704786</v>
      </c>
      <c r="P1077" s="20">
        <f>IFERROR(__xludf.DUMMYFUNCTION("""COMPUTED_VALUE"""),47768.0)</f>
        <v>47768</v>
      </c>
      <c r="Q1077" s="20">
        <f>IFERROR(__xludf.DUMMYFUNCTION("""COMPUTED_VALUE"""),94074.0)</f>
        <v>94074</v>
      </c>
    </row>
    <row r="1078">
      <c r="A1078" s="20">
        <f>IFERROR(__xludf.DUMMYFUNCTION("""COMPUTED_VALUE"""),1163.0)</f>
        <v>1163</v>
      </c>
      <c r="B1078" s="20" t="str">
        <f>IFERROR(__xludf.DUMMYFUNCTION("""COMPUTED_VALUE"""),"Project Employees III")</f>
        <v>Project Employees III</v>
      </c>
      <c r="C1078" s="20" t="str">
        <f>IFERROR(__xludf.DUMMYFUNCTION("""COMPUTED_VALUE"""),"project-employees-iii")</f>
        <v>project-employees-iii</v>
      </c>
      <c r="D1078" s="20" t="b">
        <f>IFERROR(__xludf.DUMMYFUNCTION("""COMPUTED_VALUE"""),TRUE)</f>
        <v>1</v>
      </c>
      <c r="E1078" s="20" t="str">
        <f>IFERROR(__xludf.DUMMYFUNCTION("""COMPUTED_VALUE"""),"Medium")</f>
        <v>Medium</v>
      </c>
      <c r="F1078" s="20">
        <f>IFERROR(__xludf.DUMMYFUNCTION("""COMPUTED_VALUE"""),226.0)</f>
        <v>226</v>
      </c>
      <c r="G1078" s="20">
        <f>IFERROR(__xludf.DUMMYFUNCTION("""COMPUTED_VALUE"""),8.0)</f>
        <v>8</v>
      </c>
      <c r="H1078" s="20" t="str">
        <f>IFERROR(__xludf.DUMMYFUNCTION("""COMPUTED_VALUE"""),"Database")</f>
        <v>Database</v>
      </c>
      <c r="I1078" s="20">
        <f>IFERROR(__xludf.DUMMYFUNCTION("""COMPUTED_VALUE"""),0.784)</f>
        <v>0.784</v>
      </c>
      <c r="J1078" s="20">
        <f>IFERROR(__xludf.DUMMYFUNCTION("""COMPUTED_VALUE"""),1077.0)</f>
        <v>1077</v>
      </c>
      <c r="K1078" s="20" t="b">
        <f>IFERROR(__xludf.DUMMYFUNCTION("""COMPUTED_VALUE"""),TRUE)</f>
        <v>1</v>
      </c>
      <c r="L1078" s="20" t="str">
        <f>IFERROR(__xludf.DUMMYFUNCTION("""COMPUTED_VALUE"""),"Database;")</f>
        <v>Database;</v>
      </c>
      <c r="M1078" s="20" t="b">
        <f>IFERROR(__xludf.DUMMYFUNCTION("""COMPUTED_VALUE"""),FALSE)</f>
        <v>0</v>
      </c>
      <c r="N1078" s="20" t="b">
        <f>IFERROR(__xludf.DUMMYFUNCTION("""COMPUTED_VALUE"""),FALSE)</f>
        <v>0</v>
      </c>
      <c r="O1078" s="20">
        <f>IFERROR(__xludf.DUMMYFUNCTION("""COMPUTED_VALUE"""),78.4272691802929)</f>
        <v>78.42726918</v>
      </c>
      <c r="P1078" s="20">
        <f>IFERROR(__xludf.DUMMYFUNCTION("""COMPUTED_VALUE"""),44222.0)</f>
        <v>44222</v>
      </c>
      <c r="Q1078" s="20">
        <f>IFERROR(__xludf.DUMMYFUNCTION("""COMPUTED_VALUE"""),56386.0)</f>
        <v>56386</v>
      </c>
    </row>
    <row r="1079">
      <c r="A1079" s="20">
        <f>IFERROR(__xludf.DUMMYFUNCTION("""COMPUTED_VALUE"""),1156.0)</f>
        <v>1156</v>
      </c>
      <c r="B1079" s="20" t="str">
        <f>IFERROR(__xludf.DUMMYFUNCTION("""COMPUTED_VALUE"""),"Occurrences After Bigram")</f>
        <v>Occurrences After Bigram</v>
      </c>
      <c r="C1079" s="20" t="str">
        <f>IFERROR(__xludf.DUMMYFUNCTION("""COMPUTED_VALUE"""),"occurrences-after-bigram")</f>
        <v>occurrences-after-bigram</v>
      </c>
      <c r="D1079" s="20" t="b">
        <f>IFERROR(__xludf.DUMMYFUNCTION("""COMPUTED_VALUE"""),FALSE)</f>
        <v>0</v>
      </c>
      <c r="E1079" s="20" t="str">
        <f>IFERROR(__xludf.DUMMYFUNCTION("""COMPUTED_VALUE"""),"Easy")</f>
        <v>Easy</v>
      </c>
      <c r="F1079" s="20">
        <f>IFERROR(__xludf.DUMMYFUNCTION("""COMPUTED_VALUE"""),392.0)</f>
        <v>392</v>
      </c>
      <c r="G1079" s="20">
        <f>IFERROR(__xludf.DUMMYFUNCTION("""COMPUTED_VALUE"""),316.0)</f>
        <v>316</v>
      </c>
      <c r="H1079" s="20" t="str">
        <f>IFERROR(__xludf.DUMMYFUNCTION("""COMPUTED_VALUE"""),"Algorithms")</f>
        <v>Algorithms</v>
      </c>
      <c r="I1079" s="20">
        <f>IFERROR(__xludf.DUMMYFUNCTION("""COMPUTED_VALUE"""),0.637)</f>
        <v>0.637</v>
      </c>
      <c r="J1079" s="20">
        <f>IFERROR(__xludf.DUMMYFUNCTION("""COMPUTED_VALUE"""),1078.0)</f>
        <v>1078</v>
      </c>
      <c r="K1079" s="20" t="b">
        <f>IFERROR(__xludf.DUMMYFUNCTION("""COMPUTED_VALUE"""),FALSE)</f>
        <v>0</v>
      </c>
      <c r="L1079" s="20" t="str">
        <f>IFERROR(__xludf.DUMMYFUNCTION("""COMPUTED_VALUE"""),"String;")</f>
        <v>String;</v>
      </c>
      <c r="M1079" s="20" t="b">
        <f>IFERROR(__xludf.DUMMYFUNCTION("""COMPUTED_VALUE"""),FALSE)</f>
        <v>0</v>
      </c>
      <c r="N1079" s="20" t="b">
        <f>IFERROR(__xludf.DUMMYFUNCTION("""COMPUTED_VALUE"""),FALSE)</f>
        <v>0</v>
      </c>
      <c r="O1079" s="20">
        <f>IFERROR(__xludf.DUMMYFUNCTION("""COMPUTED_VALUE"""),63.7192184878497)</f>
        <v>63.71921849</v>
      </c>
      <c r="P1079" s="20">
        <f>IFERROR(__xludf.DUMMYFUNCTION("""COMPUTED_VALUE"""),58867.0)</f>
        <v>58867</v>
      </c>
      <c r="Q1079" s="20">
        <f>IFERROR(__xludf.DUMMYFUNCTION("""COMPUTED_VALUE"""),92385.0)</f>
        <v>92385</v>
      </c>
    </row>
    <row r="1080">
      <c r="A1080" s="20">
        <f>IFERROR(__xludf.DUMMYFUNCTION("""COMPUTED_VALUE"""),1160.0)</f>
        <v>1160</v>
      </c>
      <c r="B1080" s="20" t="str">
        <f>IFERROR(__xludf.DUMMYFUNCTION("""COMPUTED_VALUE"""),"Letter Tile Possibilities")</f>
        <v>Letter Tile Possibilities</v>
      </c>
      <c r="C1080" s="20" t="str">
        <f>IFERROR(__xludf.DUMMYFUNCTION("""COMPUTED_VALUE"""),"letter-tile-possibilities")</f>
        <v>letter-tile-possibilities</v>
      </c>
      <c r="D1080" s="20" t="b">
        <f>IFERROR(__xludf.DUMMYFUNCTION("""COMPUTED_VALUE"""),FALSE)</f>
        <v>0</v>
      </c>
      <c r="E1080" s="20" t="str">
        <f>IFERROR(__xludf.DUMMYFUNCTION("""COMPUTED_VALUE"""),"Medium")</f>
        <v>Medium</v>
      </c>
      <c r="F1080" s="20">
        <f>IFERROR(__xludf.DUMMYFUNCTION("""COMPUTED_VALUE"""),2054.0)</f>
        <v>2054</v>
      </c>
      <c r="G1080" s="20">
        <f>IFERROR(__xludf.DUMMYFUNCTION("""COMPUTED_VALUE"""),56.0)</f>
        <v>56</v>
      </c>
      <c r="H1080" s="20" t="str">
        <f>IFERROR(__xludf.DUMMYFUNCTION("""COMPUTED_VALUE"""),"Algorithms")</f>
        <v>Algorithms</v>
      </c>
      <c r="I1080" s="20">
        <f>IFERROR(__xludf.DUMMYFUNCTION("""COMPUTED_VALUE"""),0.76)</f>
        <v>0.76</v>
      </c>
      <c r="J1080" s="20">
        <f>IFERROR(__xludf.DUMMYFUNCTION("""COMPUTED_VALUE"""),1079.0)</f>
        <v>1079</v>
      </c>
      <c r="K1080" s="20" t="b">
        <f>IFERROR(__xludf.DUMMYFUNCTION("""COMPUTED_VALUE"""),FALSE)</f>
        <v>0</v>
      </c>
      <c r="L1080" s="20" t="str">
        <f>IFERROR(__xludf.DUMMYFUNCTION("""COMPUTED_VALUE"""),"Hash Table;String;Backtracking;Counting;")</f>
        <v>Hash Table;String;Backtracking;Counting;</v>
      </c>
      <c r="M1080" s="20" t="b">
        <f>IFERROR(__xludf.DUMMYFUNCTION("""COMPUTED_VALUE"""),FALSE)</f>
        <v>0</v>
      </c>
      <c r="N1080" s="20" t="b">
        <f>IFERROR(__xludf.DUMMYFUNCTION("""COMPUTED_VALUE"""),FALSE)</f>
        <v>0</v>
      </c>
      <c r="O1080" s="20">
        <f>IFERROR(__xludf.DUMMYFUNCTION("""COMPUTED_VALUE"""),75.9963201122934)</f>
        <v>75.99632011</v>
      </c>
      <c r="P1080" s="20">
        <f>IFERROR(__xludf.DUMMYFUNCTION("""COMPUTED_VALUE"""),80129.0)</f>
        <v>80129</v>
      </c>
      <c r="Q1080" s="20">
        <f>IFERROR(__xludf.DUMMYFUNCTION("""COMPUTED_VALUE"""),105438.0)</f>
        <v>105438</v>
      </c>
    </row>
    <row r="1081">
      <c r="A1081" s="20">
        <f>IFERROR(__xludf.DUMMYFUNCTION("""COMPUTED_VALUE"""),1157.0)</f>
        <v>1157</v>
      </c>
      <c r="B1081" s="20" t="str">
        <f>IFERROR(__xludf.DUMMYFUNCTION("""COMPUTED_VALUE"""),"Insufficient Nodes in Root to Leaf Paths")</f>
        <v>Insufficient Nodes in Root to Leaf Paths</v>
      </c>
      <c r="C1081" s="20" t="str">
        <f>IFERROR(__xludf.DUMMYFUNCTION("""COMPUTED_VALUE"""),"insufficient-nodes-in-root-to-leaf-paths")</f>
        <v>insufficient-nodes-in-root-to-leaf-paths</v>
      </c>
      <c r="D1081" s="20" t="b">
        <f>IFERROR(__xludf.DUMMYFUNCTION("""COMPUTED_VALUE"""),FALSE)</f>
        <v>0</v>
      </c>
      <c r="E1081" s="20" t="str">
        <f>IFERROR(__xludf.DUMMYFUNCTION("""COMPUTED_VALUE"""),"Medium")</f>
        <v>Medium</v>
      </c>
      <c r="F1081" s="20">
        <f>IFERROR(__xludf.DUMMYFUNCTION("""COMPUTED_VALUE"""),544.0)</f>
        <v>544</v>
      </c>
      <c r="G1081" s="20">
        <f>IFERROR(__xludf.DUMMYFUNCTION("""COMPUTED_VALUE"""),632.0)</f>
        <v>632</v>
      </c>
      <c r="H1081" s="20" t="str">
        <f>IFERROR(__xludf.DUMMYFUNCTION("""COMPUTED_VALUE"""),"Algorithms")</f>
        <v>Algorithms</v>
      </c>
      <c r="I1081" s="20">
        <f>IFERROR(__xludf.DUMMYFUNCTION("""COMPUTED_VALUE"""),0.531)</f>
        <v>0.531</v>
      </c>
      <c r="J1081" s="20">
        <f>IFERROR(__xludf.DUMMYFUNCTION("""COMPUTED_VALUE"""),1080.0)</f>
        <v>1080</v>
      </c>
      <c r="K1081" s="20" t="b">
        <f>IFERROR(__xludf.DUMMYFUNCTION("""COMPUTED_VALUE"""),FALSE)</f>
        <v>0</v>
      </c>
      <c r="L1081" s="20" t="str">
        <f>IFERROR(__xludf.DUMMYFUNCTION("""COMPUTED_VALUE"""),"Tree;Depth-First Search;Binary Tree;")</f>
        <v>Tree;Depth-First Search;Binary Tree;</v>
      </c>
      <c r="M1081" s="20" t="b">
        <f>IFERROR(__xludf.DUMMYFUNCTION("""COMPUTED_VALUE"""),FALSE)</f>
        <v>0</v>
      </c>
      <c r="N1081" s="20" t="b">
        <f>IFERROR(__xludf.DUMMYFUNCTION("""COMPUTED_VALUE"""),FALSE)</f>
        <v>0</v>
      </c>
      <c r="O1081" s="20">
        <f>IFERROR(__xludf.DUMMYFUNCTION("""COMPUTED_VALUE"""),53.1137343606418)</f>
        <v>53.11373436</v>
      </c>
      <c r="P1081" s="20">
        <f>IFERROR(__xludf.DUMMYFUNCTION("""COMPUTED_VALUE"""),30056.0)</f>
        <v>30056</v>
      </c>
      <c r="Q1081" s="20">
        <f>IFERROR(__xludf.DUMMYFUNCTION("""COMPUTED_VALUE"""),56588.0)</f>
        <v>56588</v>
      </c>
    </row>
    <row r="1082">
      <c r="A1082" s="20">
        <f>IFERROR(__xludf.DUMMYFUNCTION("""COMPUTED_VALUE"""),1159.0)</f>
        <v>1159</v>
      </c>
      <c r="B1082" s="20" t="str">
        <f>IFERROR(__xludf.DUMMYFUNCTION("""COMPUTED_VALUE"""),"Smallest Subsequence of Distinct Characters")</f>
        <v>Smallest Subsequence of Distinct Characters</v>
      </c>
      <c r="C1082" s="20" t="str">
        <f>IFERROR(__xludf.DUMMYFUNCTION("""COMPUTED_VALUE"""),"smallest-subsequence-of-distinct-characters")</f>
        <v>smallest-subsequence-of-distinct-characters</v>
      </c>
      <c r="D1082" s="20" t="b">
        <f>IFERROR(__xludf.DUMMYFUNCTION("""COMPUTED_VALUE"""),FALSE)</f>
        <v>0</v>
      </c>
      <c r="E1082" s="20" t="str">
        <f>IFERROR(__xludf.DUMMYFUNCTION("""COMPUTED_VALUE"""),"Medium")</f>
        <v>Medium</v>
      </c>
      <c r="F1082" s="20">
        <f>IFERROR(__xludf.DUMMYFUNCTION("""COMPUTED_VALUE"""),2027.0)</f>
        <v>2027</v>
      </c>
      <c r="G1082" s="20">
        <f>IFERROR(__xludf.DUMMYFUNCTION("""COMPUTED_VALUE"""),162.0)</f>
        <v>162</v>
      </c>
      <c r="H1082" s="20" t="str">
        <f>IFERROR(__xludf.DUMMYFUNCTION("""COMPUTED_VALUE"""),"Algorithms")</f>
        <v>Algorithms</v>
      </c>
      <c r="I1082" s="20">
        <f>IFERROR(__xludf.DUMMYFUNCTION("""COMPUTED_VALUE"""),0.576)</f>
        <v>0.576</v>
      </c>
      <c r="J1082" s="20">
        <f>IFERROR(__xludf.DUMMYFUNCTION("""COMPUTED_VALUE"""),1081.0)</f>
        <v>1081</v>
      </c>
      <c r="K1082" s="20" t="b">
        <f>IFERROR(__xludf.DUMMYFUNCTION("""COMPUTED_VALUE"""),FALSE)</f>
        <v>0</v>
      </c>
      <c r="L1082" s="20" t="str">
        <f>IFERROR(__xludf.DUMMYFUNCTION("""COMPUTED_VALUE"""),"String;Stack;Greedy;Monotonic Stack;")</f>
        <v>String;Stack;Greedy;Monotonic Stack;</v>
      </c>
      <c r="M1082" s="20" t="b">
        <f>IFERROR(__xludf.DUMMYFUNCTION("""COMPUTED_VALUE"""),FALSE)</f>
        <v>0</v>
      </c>
      <c r="N1082" s="20" t="b">
        <f>IFERROR(__xludf.DUMMYFUNCTION("""COMPUTED_VALUE"""),FALSE)</f>
        <v>0</v>
      </c>
      <c r="O1082" s="20">
        <f>IFERROR(__xludf.DUMMYFUNCTION("""COMPUTED_VALUE"""),57.6158129857413)</f>
        <v>57.61581299</v>
      </c>
      <c r="P1082" s="20">
        <f>IFERROR(__xludf.DUMMYFUNCTION("""COMPUTED_VALUE"""),47075.0)</f>
        <v>47075</v>
      </c>
      <c r="Q1082" s="20">
        <f>IFERROR(__xludf.DUMMYFUNCTION("""COMPUTED_VALUE"""),81705.0)</f>
        <v>81705</v>
      </c>
    </row>
    <row r="1083">
      <c r="A1083" s="20">
        <f>IFERROR(__xludf.DUMMYFUNCTION("""COMPUTED_VALUE"""),1172.0)</f>
        <v>1172</v>
      </c>
      <c r="B1083" s="20" t="str">
        <f>IFERROR(__xludf.DUMMYFUNCTION("""COMPUTED_VALUE"""),"Sales Analysis I")</f>
        <v>Sales Analysis I</v>
      </c>
      <c r="C1083" s="20" t="str">
        <f>IFERROR(__xludf.DUMMYFUNCTION("""COMPUTED_VALUE"""),"sales-analysis-i")</f>
        <v>sales-analysis-i</v>
      </c>
      <c r="D1083" s="20" t="b">
        <f>IFERROR(__xludf.DUMMYFUNCTION("""COMPUTED_VALUE"""),TRUE)</f>
        <v>1</v>
      </c>
      <c r="E1083" s="20" t="str">
        <f>IFERROR(__xludf.DUMMYFUNCTION("""COMPUTED_VALUE"""),"Easy")</f>
        <v>Easy</v>
      </c>
      <c r="F1083" s="20">
        <f>IFERROR(__xludf.DUMMYFUNCTION("""COMPUTED_VALUE"""),168.0)</f>
        <v>168</v>
      </c>
      <c r="G1083" s="20">
        <f>IFERROR(__xludf.DUMMYFUNCTION("""COMPUTED_VALUE"""),66.0)</f>
        <v>66</v>
      </c>
      <c r="H1083" s="20" t="str">
        <f>IFERROR(__xludf.DUMMYFUNCTION("""COMPUTED_VALUE"""),"Database")</f>
        <v>Database</v>
      </c>
      <c r="I1083" s="20">
        <f>IFERROR(__xludf.DUMMYFUNCTION("""COMPUTED_VALUE"""),0.753)</f>
        <v>0.753</v>
      </c>
      <c r="J1083" s="20">
        <f>IFERROR(__xludf.DUMMYFUNCTION("""COMPUTED_VALUE"""),1082.0)</f>
        <v>1082</v>
      </c>
      <c r="K1083" s="20" t="b">
        <f>IFERROR(__xludf.DUMMYFUNCTION("""COMPUTED_VALUE"""),TRUE)</f>
        <v>1</v>
      </c>
      <c r="L1083" s="20" t="str">
        <f>IFERROR(__xludf.DUMMYFUNCTION("""COMPUTED_VALUE"""),"Database;")</f>
        <v>Database;</v>
      </c>
      <c r="M1083" s="20" t="b">
        <f>IFERROR(__xludf.DUMMYFUNCTION("""COMPUTED_VALUE"""),FALSE)</f>
        <v>0</v>
      </c>
      <c r="N1083" s="20" t="b">
        <f>IFERROR(__xludf.DUMMYFUNCTION("""COMPUTED_VALUE"""),FALSE)</f>
        <v>0</v>
      </c>
      <c r="O1083" s="20">
        <f>IFERROR(__xludf.DUMMYFUNCTION("""COMPUTED_VALUE"""),75.2914110429447)</f>
        <v>75.29141104</v>
      </c>
      <c r="P1083" s="20">
        <f>IFERROR(__xludf.DUMMYFUNCTION("""COMPUTED_VALUE"""),49088.0)</f>
        <v>49088</v>
      </c>
      <c r="Q1083" s="20">
        <f>IFERROR(__xludf.DUMMYFUNCTION("""COMPUTED_VALUE"""),65198.0)</f>
        <v>65198</v>
      </c>
    </row>
    <row r="1084">
      <c r="A1084" s="20">
        <f>IFERROR(__xludf.DUMMYFUNCTION("""COMPUTED_VALUE"""),1173.0)</f>
        <v>1173</v>
      </c>
      <c r="B1084" s="20" t="str">
        <f>IFERROR(__xludf.DUMMYFUNCTION("""COMPUTED_VALUE"""),"Sales Analysis II")</f>
        <v>Sales Analysis II</v>
      </c>
      <c r="C1084" s="20" t="str">
        <f>IFERROR(__xludf.DUMMYFUNCTION("""COMPUTED_VALUE"""),"sales-analysis-ii")</f>
        <v>sales-analysis-ii</v>
      </c>
      <c r="D1084" s="20" t="b">
        <f>IFERROR(__xludf.DUMMYFUNCTION("""COMPUTED_VALUE"""),TRUE)</f>
        <v>1</v>
      </c>
      <c r="E1084" s="20" t="str">
        <f>IFERROR(__xludf.DUMMYFUNCTION("""COMPUTED_VALUE"""),"Easy")</f>
        <v>Easy</v>
      </c>
      <c r="F1084" s="20">
        <f>IFERROR(__xludf.DUMMYFUNCTION("""COMPUTED_VALUE"""),227.0)</f>
        <v>227</v>
      </c>
      <c r="G1084" s="20">
        <f>IFERROR(__xludf.DUMMYFUNCTION("""COMPUTED_VALUE"""),43.0)</f>
        <v>43</v>
      </c>
      <c r="H1084" s="20" t="str">
        <f>IFERROR(__xludf.DUMMYFUNCTION("""COMPUTED_VALUE"""),"Database")</f>
        <v>Database</v>
      </c>
      <c r="I1084" s="20">
        <f>IFERROR(__xludf.DUMMYFUNCTION("""COMPUTED_VALUE"""),0.503)</f>
        <v>0.503</v>
      </c>
      <c r="J1084" s="20">
        <f>IFERROR(__xludf.DUMMYFUNCTION("""COMPUTED_VALUE"""),1083.0)</f>
        <v>1083</v>
      </c>
      <c r="K1084" s="20" t="b">
        <f>IFERROR(__xludf.DUMMYFUNCTION("""COMPUTED_VALUE"""),TRUE)</f>
        <v>1</v>
      </c>
      <c r="L1084" s="20" t="str">
        <f>IFERROR(__xludf.DUMMYFUNCTION("""COMPUTED_VALUE"""),"Database;")</f>
        <v>Database;</v>
      </c>
      <c r="M1084" s="20" t="b">
        <f>IFERROR(__xludf.DUMMYFUNCTION("""COMPUTED_VALUE"""),FALSE)</f>
        <v>0</v>
      </c>
      <c r="N1084" s="20" t="b">
        <f>IFERROR(__xludf.DUMMYFUNCTION("""COMPUTED_VALUE"""),FALSE)</f>
        <v>0</v>
      </c>
      <c r="O1084" s="20">
        <f>IFERROR(__xludf.DUMMYFUNCTION("""COMPUTED_VALUE"""),50.2743218437691)</f>
        <v>50.27432184</v>
      </c>
      <c r="P1084" s="20">
        <f>IFERROR(__xludf.DUMMYFUNCTION("""COMPUTED_VALUE"""),49299.0)</f>
        <v>49299</v>
      </c>
      <c r="Q1084" s="20">
        <f>IFERROR(__xludf.DUMMYFUNCTION("""COMPUTED_VALUE"""),98060.0)</f>
        <v>98060</v>
      </c>
    </row>
    <row r="1085">
      <c r="A1085" s="20">
        <f>IFERROR(__xludf.DUMMYFUNCTION("""COMPUTED_VALUE"""),1174.0)</f>
        <v>1174</v>
      </c>
      <c r="B1085" s="20" t="str">
        <f>IFERROR(__xludf.DUMMYFUNCTION("""COMPUTED_VALUE"""),"Sales Analysis III")</f>
        <v>Sales Analysis III</v>
      </c>
      <c r="C1085" s="20" t="str">
        <f>IFERROR(__xludf.DUMMYFUNCTION("""COMPUTED_VALUE"""),"sales-analysis-iii")</f>
        <v>sales-analysis-iii</v>
      </c>
      <c r="D1085" s="20" t="b">
        <f>IFERROR(__xludf.DUMMYFUNCTION("""COMPUTED_VALUE"""),FALSE)</f>
        <v>0</v>
      </c>
      <c r="E1085" s="20" t="str">
        <f>IFERROR(__xludf.DUMMYFUNCTION("""COMPUTED_VALUE"""),"Easy")</f>
        <v>Easy</v>
      </c>
      <c r="F1085" s="20">
        <f>IFERROR(__xludf.DUMMYFUNCTION("""COMPUTED_VALUE"""),465.0)</f>
        <v>465</v>
      </c>
      <c r="G1085" s="20">
        <f>IFERROR(__xludf.DUMMYFUNCTION("""COMPUTED_VALUE"""),102.0)</f>
        <v>102</v>
      </c>
      <c r="H1085" s="20" t="str">
        <f>IFERROR(__xludf.DUMMYFUNCTION("""COMPUTED_VALUE"""),"Database")</f>
        <v>Database</v>
      </c>
      <c r="I1085" s="20">
        <f>IFERROR(__xludf.DUMMYFUNCTION("""COMPUTED_VALUE"""),0.507)</f>
        <v>0.507</v>
      </c>
      <c r="J1085" s="20">
        <f>IFERROR(__xludf.DUMMYFUNCTION("""COMPUTED_VALUE"""),1084.0)</f>
        <v>1084</v>
      </c>
      <c r="K1085" s="20" t="b">
        <f>IFERROR(__xludf.DUMMYFUNCTION("""COMPUTED_VALUE"""),FALSE)</f>
        <v>0</v>
      </c>
      <c r="L1085" s="20" t="str">
        <f>IFERROR(__xludf.DUMMYFUNCTION("""COMPUTED_VALUE"""),"Database;")</f>
        <v>Database;</v>
      </c>
      <c r="M1085" s="20" t="b">
        <f>IFERROR(__xludf.DUMMYFUNCTION("""COMPUTED_VALUE"""),FALSE)</f>
        <v>0</v>
      </c>
      <c r="N1085" s="20" t="b">
        <f>IFERROR(__xludf.DUMMYFUNCTION("""COMPUTED_VALUE"""),FALSE)</f>
        <v>0</v>
      </c>
      <c r="O1085" s="20">
        <f>IFERROR(__xludf.DUMMYFUNCTION("""COMPUTED_VALUE"""),50.7110847746379)</f>
        <v>50.71108477</v>
      </c>
      <c r="P1085" s="20">
        <f>IFERROR(__xludf.DUMMYFUNCTION("""COMPUTED_VALUE"""),82152.0)</f>
        <v>82152</v>
      </c>
      <c r="Q1085" s="20">
        <f>IFERROR(__xludf.DUMMYFUNCTION("""COMPUTED_VALUE"""),162000.0)</f>
        <v>162000</v>
      </c>
    </row>
    <row r="1086">
      <c r="A1086" s="20">
        <f>IFERROR(__xludf.DUMMYFUNCTION("""COMPUTED_VALUE"""),1082.0)</f>
        <v>1082</v>
      </c>
      <c r="B1086" s="20" t="str">
        <f>IFERROR(__xludf.DUMMYFUNCTION("""COMPUTED_VALUE"""),"Sum of Digits in the Minimum Number")</f>
        <v>Sum of Digits in the Minimum Number</v>
      </c>
      <c r="C1086" s="20" t="str">
        <f>IFERROR(__xludf.DUMMYFUNCTION("""COMPUTED_VALUE"""),"sum-of-digits-in-the-minimum-number")</f>
        <v>sum-of-digits-in-the-minimum-number</v>
      </c>
      <c r="D1086" s="20" t="b">
        <f>IFERROR(__xludf.DUMMYFUNCTION("""COMPUTED_VALUE"""),TRUE)</f>
        <v>1</v>
      </c>
      <c r="E1086" s="20" t="str">
        <f>IFERROR(__xludf.DUMMYFUNCTION("""COMPUTED_VALUE"""),"Easy")</f>
        <v>Easy</v>
      </c>
      <c r="F1086" s="20">
        <f>IFERROR(__xludf.DUMMYFUNCTION("""COMPUTED_VALUE"""),101.0)</f>
        <v>101</v>
      </c>
      <c r="G1086" s="20">
        <f>IFERROR(__xludf.DUMMYFUNCTION("""COMPUTED_VALUE"""),144.0)</f>
        <v>144</v>
      </c>
      <c r="H1086" s="20" t="str">
        <f>IFERROR(__xludf.DUMMYFUNCTION("""COMPUTED_VALUE"""),"Algorithms")</f>
        <v>Algorithms</v>
      </c>
      <c r="I1086" s="20">
        <f>IFERROR(__xludf.DUMMYFUNCTION("""COMPUTED_VALUE"""),0.761)</f>
        <v>0.761</v>
      </c>
      <c r="J1086" s="20">
        <f>IFERROR(__xludf.DUMMYFUNCTION("""COMPUTED_VALUE"""),1085.0)</f>
        <v>1085</v>
      </c>
      <c r="K1086" s="20" t="b">
        <f>IFERROR(__xludf.DUMMYFUNCTION("""COMPUTED_VALUE"""),TRUE)</f>
        <v>1</v>
      </c>
      <c r="L1086" s="20" t="str">
        <f>IFERROR(__xludf.DUMMYFUNCTION("""COMPUTED_VALUE"""),"Array;Math;")</f>
        <v>Array;Math;</v>
      </c>
      <c r="M1086" s="20" t="b">
        <f>IFERROR(__xludf.DUMMYFUNCTION("""COMPUTED_VALUE"""),FALSE)</f>
        <v>0</v>
      </c>
      <c r="N1086" s="20" t="b">
        <f>IFERROR(__xludf.DUMMYFUNCTION("""COMPUTED_VALUE"""),FALSE)</f>
        <v>0</v>
      </c>
      <c r="O1086" s="20">
        <f>IFERROR(__xludf.DUMMYFUNCTION("""COMPUTED_VALUE"""),76.0980914959304)</f>
        <v>76.0980915</v>
      </c>
      <c r="P1086" s="20">
        <f>IFERROR(__xludf.DUMMYFUNCTION("""COMPUTED_VALUE"""),21691.0)</f>
        <v>21691</v>
      </c>
      <c r="Q1086" s="20">
        <f>IFERROR(__xludf.DUMMYFUNCTION("""COMPUTED_VALUE"""),28504.0)</f>
        <v>28504</v>
      </c>
    </row>
    <row r="1087">
      <c r="A1087" s="20">
        <f>IFERROR(__xludf.DUMMYFUNCTION("""COMPUTED_VALUE"""),1074.0)</f>
        <v>1074</v>
      </c>
      <c r="B1087" s="20" t="str">
        <f>IFERROR(__xludf.DUMMYFUNCTION("""COMPUTED_VALUE"""),"High Five")</f>
        <v>High Five</v>
      </c>
      <c r="C1087" s="20" t="str">
        <f>IFERROR(__xludf.DUMMYFUNCTION("""COMPUTED_VALUE"""),"high-five")</f>
        <v>high-five</v>
      </c>
      <c r="D1087" s="20" t="b">
        <f>IFERROR(__xludf.DUMMYFUNCTION("""COMPUTED_VALUE"""),TRUE)</f>
        <v>1</v>
      </c>
      <c r="E1087" s="20" t="str">
        <f>IFERROR(__xludf.DUMMYFUNCTION("""COMPUTED_VALUE"""),"Easy")</f>
        <v>Easy</v>
      </c>
      <c r="F1087" s="20">
        <f>IFERROR(__xludf.DUMMYFUNCTION("""COMPUTED_VALUE"""),736.0)</f>
        <v>736</v>
      </c>
      <c r="G1087" s="20">
        <f>IFERROR(__xludf.DUMMYFUNCTION("""COMPUTED_VALUE"""),117.0)</f>
        <v>117</v>
      </c>
      <c r="H1087" s="20" t="str">
        <f>IFERROR(__xludf.DUMMYFUNCTION("""COMPUTED_VALUE"""),"Algorithms")</f>
        <v>Algorithms</v>
      </c>
      <c r="I1087" s="20">
        <f>IFERROR(__xludf.DUMMYFUNCTION("""COMPUTED_VALUE"""),0.751)</f>
        <v>0.751</v>
      </c>
      <c r="J1087" s="20">
        <f>IFERROR(__xludf.DUMMYFUNCTION("""COMPUTED_VALUE"""),1086.0)</f>
        <v>1086</v>
      </c>
      <c r="K1087" s="20" t="b">
        <f>IFERROR(__xludf.DUMMYFUNCTION("""COMPUTED_VALUE"""),TRUE)</f>
        <v>1</v>
      </c>
      <c r="L1087" s="20" t="str">
        <f>IFERROR(__xludf.DUMMYFUNCTION("""COMPUTED_VALUE"""),"Array;Hash Table;Sorting;")</f>
        <v>Array;Hash Table;Sorting;</v>
      </c>
      <c r="M1087" s="20" t="b">
        <f>IFERROR(__xludf.DUMMYFUNCTION("""COMPUTED_VALUE"""),TRUE)</f>
        <v>1</v>
      </c>
      <c r="N1087" s="20" t="b">
        <f>IFERROR(__xludf.DUMMYFUNCTION("""COMPUTED_VALUE"""),FALSE)</f>
        <v>0</v>
      </c>
      <c r="O1087" s="20">
        <f>IFERROR(__xludf.DUMMYFUNCTION("""COMPUTED_VALUE"""),75.1097188912273)</f>
        <v>75.10971889</v>
      </c>
      <c r="P1087" s="20">
        <f>IFERROR(__xludf.DUMMYFUNCTION("""COMPUTED_VALUE"""),92074.0)</f>
        <v>92074</v>
      </c>
      <c r="Q1087" s="20">
        <f>IFERROR(__xludf.DUMMYFUNCTION("""COMPUTED_VALUE"""),122586.0)</f>
        <v>122586</v>
      </c>
    </row>
    <row r="1088">
      <c r="A1088" s="20">
        <f>IFERROR(__xludf.DUMMYFUNCTION("""COMPUTED_VALUE"""),1076.0)</f>
        <v>1076</v>
      </c>
      <c r="B1088" s="20" t="str">
        <f>IFERROR(__xludf.DUMMYFUNCTION("""COMPUTED_VALUE"""),"Brace Expansion")</f>
        <v>Brace Expansion</v>
      </c>
      <c r="C1088" s="20" t="str">
        <f>IFERROR(__xludf.DUMMYFUNCTION("""COMPUTED_VALUE"""),"brace-expansion")</f>
        <v>brace-expansion</v>
      </c>
      <c r="D1088" s="20" t="b">
        <f>IFERROR(__xludf.DUMMYFUNCTION("""COMPUTED_VALUE"""),TRUE)</f>
        <v>1</v>
      </c>
      <c r="E1088" s="20" t="str">
        <f>IFERROR(__xludf.DUMMYFUNCTION("""COMPUTED_VALUE"""),"Medium")</f>
        <v>Medium</v>
      </c>
      <c r="F1088" s="20">
        <f>IFERROR(__xludf.DUMMYFUNCTION("""COMPUTED_VALUE"""),586.0)</f>
        <v>586</v>
      </c>
      <c r="G1088" s="20">
        <f>IFERROR(__xludf.DUMMYFUNCTION("""COMPUTED_VALUE"""),48.0)</f>
        <v>48</v>
      </c>
      <c r="H1088" s="20" t="str">
        <f>IFERROR(__xludf.DUMMYFUNCTION("""COMPUTED_VALUE"""),"Algorithms")</f>
        <v>Algorithms</v>
      </c>
      <c r="I1088" s="20">
        <f>IFERROR(__xludf.DUMMYFUNCTION("""COMPUTED_VALUE"""),0.661)</f>
        <v>0.661</v>
      </c>
      <c r="J1088" s="20">
        <f>IFERROR(__xludf.DUMMYFUNCTION("""COMPUTED_VALUE"""),1087.0)</f>
        <v>1087</v>
      </c>
      <c r="K1088" s="20" t="b">
        <f>IFERROR(__xludf.DUMMYFUNCTION("""COMPUTED_VALUE"""),TRUE)</f>
        <v>1</v>
      </c>
      <c r="L1088" s="20" t="str">
        <f>IFERROR(__xludf.DUMMYFUNCTION("""COMPUTED_VALUE"""),"String;Backtracking;Breadth-First Search;")</f>
        <v>String;Backtracking;Breadth-First Search;</v>
      </c>
      <c r="M1088" s="20" t="b">
        <f>IFERROR(__xludf.DUMMYFUNCTION("""COMPUTED_VALUE"""),TRUE)</f>
        <v>1</v>
      </c>
      <c r="N1088" s="20" t="b">
        <f>IFERROR(__xludf.DUMMYFUNCTION("""COMPUTED_VALUE"""),FALSE)</f>
        <v>0</v>
      </c>
      <c r="O1088" s="20">
        <f>IFERROR(__xludf.DUMMYFUNCTION("""COMPUTED_VALUE"""),66.1082291578082)</f>
        <v>66.10822916</v>
      </c>
      <c r="P1088" s="20">
        <f>IFERROR(__xludf.DUMMYFUNCTION("""COMPUTED_VALUE"""),46642.0)</f>
        <v>46642</v>
      </c>
      <c r="Q1088" s="20">
        <f>IFERROR(__xludf.DUMMYFUNCTION("""COMPUTED_VALUE"""),70554.0)</f>
        <v>70554</v>
      </c>
    </row>
    <row r="1089">
      <c r="A1089" s="20">
        <f>IFERROR(__xludf.DUMMYFUNCTION("""COMPUTED_VALUE"""),1077.0)</f>
        <v>1077</v>
      </c>
      <c r="B1089" s="20" t="str">
        <f>IFERROR(__xludf.DUMMYFUNCTION("""COMPUTED_VALUE"""),"Confusing Number II")</f>
        <v>Confusing Number II</v>
      </c>
      <c r="C1089" s="20" t="str">
        <f>IFERROR(__xludf.DUMMYFUNCTION("""COMPUTED_VALUE"""),"confusing-number-ii")</f>
        <v>confusing-number-ii</v>
      </c>
      <c r="D1089" s="20" t="b">
        <f>IFERROR(__xludf.DUMMYFUNCTION("""COMPUTED_VALUE"""),TRUE)</f>
        <v>1</v>
      </c>
      <c r="E1089" s="20" t="str">
        <f>IFERROR(__xludf.DUMMYFUNCTION("""COMPUTED_VALUE"""),"Hard")</f>
        <v>Hard</v>
      </c>
      <c r="F1089" s="20">
        <f>IFERROR(__xludf.DUMMYFUNCTION("""COMPUTED_VALUE"""),400.0)</f>
        <v>400</v>
      </c>
      <c r="G1089" s="20">
        <f>IFERROR(__xludf.DUMMYFUNCTION("""COMPUTED_VALUE"""),122.0)</f>
        <v>122</v>
      </c>
      <c r="H1089" s="20" t="str">
        <f>IFERROR(__xludf.DUMMYFUNCTION("""COMPUTED_VALUE"""),"Algorithms")</f>
        <v>Algorithms</v>
      </c>
      <c r="I1089" s="20">
        <f>IFERROR(__xludf.DUMMYFUNCTION("""COMPUTED_VALUE"""),0.464)</f>
        <v>0.464</v>
      </c>
      <c r="J1089" s="20">
        <f>IFERROR(__xludf.DUMMYFUNCTION("""COMPUTED_VALUE"""),1088.0)</f>
        <v>1088</v>
      </c>
      <c r="K1089" s="20" t="b">
        <f>IFERROR(__xludf.DUMMYFUNCTION("""COMPUTED_VALUE"""),TRUE)</f>
        <v>1</v>
      </c>
      <c r="L1089" s="20" t="str">
        <f>IFERROR(__xludf.DUMMYFUNCTION("""COMPUTED_VALUE"""),"Math;Backtracking;")</f>
        <v>Math;Backtracking;</v>
      </c>
      <c r="M1089" s="20" t="b">
        <f>IFERROR(__xludf.DUMMYFUNCTION("""COMPUTED_VALUE"""),TRUE)</f>
        <v>1</v>
      </c>
      <c r="N1089" s="20" t="b">
        <f>IFERROR(__xludf.DUMMYFUNCTION("""COMPUTED_VALUE"""),FALSE)</f>
        <v>0</v>
      </c>
      <c r="O1089" s="20">
        <f>IFERROR(__xludf.DUMMYFUNCTION("""COMPUTED_VALUE"""),46.4379796128736)</f>
        <v>46.43797961</v>
      </c>
      <c r="P1089" s="20">
        <f>IFERROR(__xludf.DUMMYFUNCTION("""COMPUTED_VALUE"""),32435.0)</f>
        <v>32435</v>
      </c>
      <c r="Q1089" s="20">
        <f>IFERROR(__xludf.DUMMYFUNCTION("""COMPUTED_VALUE"""),69847.0)</f>
        <v>69847</v>
      </c>
    </row>
    <row r="1090">
      <c r="A1090" s="20">
        <f>IFERROR(__xludf.DUMMYFUNCTION("""COMPUTED_VALUE"""),1168.0)</f>
        <v>1168</v>
      </c>
      <c r="B1090" s="20" t="str">
        <f>IFERROR(__xludf.DUMMYFUNCTION("""COMPUTED_VALUE"""),"Duplicate Zeros")</f>
        <v>Duplicate Zeros</v>
      </c>
      <c r="C1090" s="20" t="str">
        <f>IFERROR(__xludf.DUMMYFUNCTION("""COMPUTED_VALUE"""),"duplicate-zeros")</f>
        <v>duplicate-zeros</v>
      </c>
      <c r="D1090" s="20" t="b">
        <f>IFERROR(__xludf.DUMMYFUNCTION("""COMPUTED_VALUE"""),FALSE)</f>
        <v>0</v>
      </c>
      <c r="E1090" s="20" t="str">
        <f>IFERROR(__xludf.DUMMYFUNCTION("""COMPUTED_VALUE"""),"Easy")</f>
        <v>Easy</v>
      </c>
      <c r="F1090" s="20">
        <f>IFERROR(__xludf.DUMMYFUNCTION("""COMPUTED_VALUE"""),2122.0)</f>
        <v>2122</v>
      </c>
      <c r="G1090" s="20">
        <f>IFERROR(__xludf.DUMMYFUNCTION("""COMPUTED_VALUE"""),635.0)</f>
        <v>635</v>
      </c>
      <c r="H1090" s="20" t="str">
        <f>IFERROR(__xludf.DUMMYFUNCTION("""COMPUTED_VALUE"""),"Algorithms")</f>
        <v>Algorithms</v>
      </c>
      <c r="I1090" s="20">
        <f>IFERROR(__xludf.DUMMYFUNCTION("""COMPUTED_VALUE"""),0.515)</f>
        <v>0.515</v>
      </c>
      <c r="J1090" s="20">
        <f>IFERROR(__xludf.DUMMYFUNCTION("""COMPUTED_VALUE"""),1089.0)</f>
        <v>1089</v>
      </c>
      <c r="K1090" s="20" t="b">
        <f>IFERROR(__xludf.DUMMYFUNCTION("""COMPUTED_VALUE"""),FALSE)</f>
        <v>0</v>
      </c>
      <c r="L1090" s="20" t="str">
        <f>IFERROR(__xludf.DUMMYFUNCTION("""COMPUTED_VALUE"""),"Array;Two Pointers;")</f>
        <v>Array;Two Pointers;</v>
      </c>
      <c r="M1090" s="20" t="b">
        <f>IFERROR(__xludf.DUMMYFUNCTION("""COMPUTED_VALUE"""),TRUE)</f>
        <v>1</v>
      </c>
      <c r="N1090" s="20" t="b">
        <f>IFERROR(__xludf.DUMMYFUNCTION("""COMPUTED_VALUE"""),FALSE)</f>
        <v>0</v>
      </c>
      <c r="O1090" s="20">
        <f>IFERROR(__xludf.DUMMYFUNCTION("""COMPUTED_VALUE"""),51.5174296368444)</f>
        <v>51.51742964</v>
      </c>
      <c r="P1090" s="20">
        <f>IFERROR(__xludf.DUMMYFUNCTION("""COMPUTED_VALUE"""),326869.0)</f>
        <v>326869</v>
      </c>
      <c r="Q1090" s="20">
        <f>IFERROR(__xludf.DUMMYFUNCTION("""COMPUTED_VALUE"""),634480.0)</f>
        <v>634480</v>
      </c>
    </row>
    <row r="1091">
      <c r="A1091" s="20">
        <f>IFERROR(__xludf.DUMMYFUNCTION("""COMPUTED_VALUE"""),1169.0)</f>
        <v>1169</v>
      </c>
      <c r="B1091" s="20" t="str">
        <f>IFERROR(__xludf.DUMMYFUNCTION("""COMPUTED_VALUE"""),"Largest Values From Labels")</f>
        <v>Largest Values From Labels</v>
      </c>
      <c r="C1091" s="20" t="str">
        <f>IFERROR(__xludf.DUMMYFUNCTION("""COMPUTED_VALUE"""),"largest-values-from-labels")</f>
        <v>largest-values-from-labels</v>
      </c>
      <c r="D1091" s="20" t="b">
        <f>IFERROR(__xludf.DUMMYFUNCTION("""COMPUTED_VALUE"""),FALSE)</f>
        <v>0</v>
      </c>
      <c r="E1091" s="20" t="str">
        <f>IFERROR(__xludf.DUMMYFUNCTION("""COMPUTED_VALUE"""),"Medium")</f>
        <v>Medium</v>
      </c>
      <c r="F1091" s="20">
        <f>IFERROR(__xludf.DUMMYFUNCTION("""COMPUTED_VALUE"""),355.0)</f>
        <v>355</v>
      </c>
      <c r="G1091" s="20">
        <f>IFERROR(__xludf.DUMMYFUNCTION("""COMPUTED_VALUE"""),591.0)</f>
        <v>591</v>
      </c>
      <c r="H1091" s="20" t="str">
        <f>IFERROR(__xludf.DUMMYFUNCTION("""COMPUTED_VALUE"""),"Algorithms")</f>
        <v>Algorithms</v>
      </c>
      <c r="I1091" s="20">
        <f>IFERROR(__xludf.DUMMYFUNCTION("""COMPUTED_VALUE"""),0.61)</f>
        <v>0.61</v>
      </c>
      <c r="J1091" s="20">
        <f>IFERROR(__xludf.DUMMYFUNCTION("""COMPUTED_VALUE"""),1090.0)</f>
        <v>1090</v>
      </c>
      <c r="K1091" s="20" t="b">
        <f>IFERROR(__xludf.DUMMYFUNCTION("""COMPUTED_VALUE"""),FALSE)</f>
        <v>0</v>
      </c>
      <c r="L1091" s="20" t="str">
        <f>IFERROR(__xludf.DUMMYFUNCTION("""COMPUTED_VALUE"""),"Array;Hash Table;Greedy;Sorting;Counting;")</f>
        <v>Array;Hash Table;Greedy;Sorting;Counting;</v>
      </c>
      <c r="M1091" s="20" t="b">
        <f>IFERROR(__xludf.DUMMYFUNCTION("""COMPUTED_VALUE"""),FALSE)</f>
        <v>0</v>
      </c>
      <c r="N1091" s="20" t="b">
        <f>IFERROR(__xludf.DUMMYFUNCTION("""COMPUTED_VALUE"""),FALSE)</f>
        <v>0</v>
      </c>
      <c r="O1091" s="20">
        <f>IFERROR(__xludf.DUMMYFUNCTION("""COMPUTED_VALUE"""),60.9549214147268)</f>
        <v>60.95492141</v>
      </c>
      <c r="P1091" s="20">
        <f>IFERROR(__xludf.DUMMYFUNCTION("""COMPUTED_VALUE"""),31763.0)</f>
        <v>31763</v>
      </c>
      <c r="Q1091" s="20">
        <f>IFERROR(__xludf.DUMMYFUNCTION("""COMPUTED_VALUE"""),52109.0)</f>
        <v>52109</v>
      </c>
    </row>
    <row r="1092">
      <c r="A1092" s="20">
        <f>IFERROR(__xludf.DUMMYFUNCTION("""COMPUTED_VALUE"""),1171.0)</f>
        <v>1171</v>
      </c>
      <c r="B1092" s="20" t="str">
        <f>IFERROR(__xludf.DUMMYFUNCTION("""COMPUTED_VALUE"""),"Shortest Path in Binary Matrix")</f>
        <v>Shortest Path in Binary Matrix</v>
      </c>
      <c r="C1092" s="20" t="str">
        <f>IFERROR(__xludf.DUMMYFUNCTION("""COMPUTED_VALUE"""),"shortest-path-in-binary-matrix")</f>
        <v>shortest-path-in-binary-matrix</v>
      </c>
      <c r="D1092" s="20" t="b">
        <f>IFERROR(__xludf.DUMMYFUNCTION("""COMPUTED_VALUE"""),FALSE)</f>
        <v>0</v>
      </c>
      <c r="E1092" s="20" t="str">
        <f>IFERROR(__xludf.DUMMYFUNCTION("""COMPUTED_VALUE"""),"Medium")</f>
        <v>Medium</v>
      </c>
      <c r="F1092" s="20">
        <f>IFERROR(__xludf.DUMMYFUNCTION("""COMPUTED_VALUE"""),4269.0)</f>
        <v>4269</v>
      </c>
      <c r="G1092" s="20">
        <f>IFERROR(__xludf.DUMMYFUNCTION("""COMPUTED_VALUE"""),177.0)</f>
        <v>177</v>
      </c>
      <c r="H1092" s="20" t="str">
        <f>IFERROR(__xludf.DUMMYFUNCTION("""COMPUTED_VALUE"""),"Algorithms")</f>
        <v>Algorithms</v>
      </c>
      <c r="I1092" s="20">
        <f>IFERROR(__xludf.DUMMYFUNCTION("""COMPUTED_VALUE"""),0.445)</f>
        <v>0.445</v>
      </c>
      <c r="J1092" s="20">
        <f>IFERROR(__xludf.DUMMYFUNCTION("""COMPUTED_VALUE"""),1091.0)</f>
        <v>1091</v>
      </c>
      <c r="K1092" s="20" t="b">
        <f>IFERROR(__xludf.DUMMYFUNCTION("""COMPUTED_VALUE"""),FALSE)</f>
        <v>0</v>
      </c>
      <c r="L1092" s="20" t="str">
        <f>IFERROR(__xludf.DUMMYFUNCTION("""COMPUTED_VALUE"""),"Array;Breadth-First Search;Matrix;")</f>
        <v>Array;Breadth-First Search;Matrix;</v>
      </c>
      <c r="M1092" s="20" t="b">
        <f>IFERROR(__xludf.DUMMYFUNCTION("""COMPUTED_VALUE"""),TRUE)</f>
        <v>1</v>
      </c>
      <c r="N1092" s="20" t="b">
        <f>IFERROR(__xludf.DUMMYFUNCTION("""COMPUTED_VALUE"""),FALSE)</f>
        <v>0</v>
      </c>
      <c r="O1092" s="20">
        <f>IFERROR(__xludf.DUMMYFUNCTION("""COMPUTED_VALUE"""),44.5354919486113)</f>
        <v>44.53549195</v>
      </c>
      <c r="P1092" s="20">
        <f>IFERROR(__xludf.DUMMYFUNCTION("""COMPUTED_VALUE"""),282072.0)</f>
        <v>282072</v>
      </c>
      <c r="Q1092" s="20">
        <f>IFERROR(__xludf.DUMMYFUNCTION("""COMPUTED_VALUE"""),633362.0)</f>
        <v>633362</v>
      </c>
    </row>
    <row r="1093">
      <c r="A1093" s="20">
        <f>IFERROR(__xludf.DUMMYFUNCTION("""COMPUTED_VALUE"""),1170.0)</f>
        <v>1170</v>
      </c>
      <c r="B1093" s="20" t="str">
        <f>IFERROR(__xludf.DUMMYFUNCTION("""COMPUTED_VALUE"""),"Shortest Common Supersequence ")</f>
        <v>Shortest Common Supersequence </v>
      </c>
      <c r="C1093" s="20" t="str">
        <f>IFERROR(__xludf.DUMMYFUNCTION("""COMPUTED_VALUE"""),"shortest-common-supersequence")</f>
        <v>shortest-common-supersequence</v>
      </c>
      <c r="D1093" s="20" t="b">
        <f>IFERROR(__xludf.DUMMYFUNCTION("""COMPUTED_VALUE"""),FALSE)</f>
        <v>0</v>
      </c>
      <c r="E1093" s="20" t="str">
        <f>IFERROR(__xludf.DUMMYFUNCTION("""COMPUTED_VALUE"""),"Hard")</f>
        <v>Hard</v>
      </c>
      <c r="F1093" s="20">
        <f>IFERROR(__xludf.DUMMYFUNCTION("""COMPUTED_VALUE"""),3379.0)</f>
        <v>3379</v>
      </c>
      <c r="G1093" s="20">
        <f>IFERROR(__xludf.DUMMYFUNCTION("""COMPUTED_VALUE"""),54.0)</f>
        <v>54</v>
      </c>
      <c r="H1093" s="20" t="str">
        <f>IFERROR(__xludf.DUMMYFUNCTION("""COMPUTED_VALUE"""),"Algorithms")</f>
        <v>Algorithms</v>
      </c>
      <c r="I1093" s="20">
        <f>IFERROR(__xludf.DUMMYFUNCTION("""COMPUTED_VALUE"""),0.579)</f>
        <v>0.579</v>
      </c>
      <c r="J1093" s="20">
        <f>IFERROR(__xludf.DUMMYFUNCTION("""COMPUTED_VALUE"""),1092.0)</f>
        <v>1092</v>
      </c>
      <c r="K1093" s="20" t="b">
        <f>IFERROR(__xludf.DUMMYFUNCTION("""COMPUTED_VALUE"""),FALSE)</f>
        <v>0</v>
      </c>
      <c r="L1093" s="20" t="str">
        <f>IFERROR(__xludf.DUMMYFUNCTION("""COMPUTED_VALUE"""),"String;Dynamic Programming;")</f>
        <v>String;Dynamic Programming;</v>
      </c>
      <c r="M1093" s="20" t="b">
        <f>IFERROR(__xludf.DUMMYFUNCTION("""COMPUTED_VALUE"""),FALSE)</f>
        <v>0</v>
      </c>
      <c r="N1093" s="20" t="b">
        <f>IFERROR(__xludf.DUMMYFUNCTION("""COMPUTED_VALUE"""),FALSE)</f>
        <v>0</v>
      </c>
      <c r="O1093" s="20">
        <f>IFERROR(__xludf.DUMMYFUNCTION("""COMPUTED_VALUE"""),57.8888011728882)</f>
        <v>57.88880117</v>
      </c>
      <c r="P1093" s="20">
        <f>IFERROR(__xludf.DUMMYFUNCTION("""COMPUTED_VALUE"""),66724.0)</f>
        <v>66724</v>
      </c>
      <c r="Q1093" s="20">
        <f>IFERROR(__xludf.DUMMYFUNCTION("""COMPUTED_VALUE"""),115265.0)</f>
        <v>115265</v>
      </c>
    </row>
    <row r="1094">
      <c r="A1094" s="20">
        <f>IFERROR(__xludf.DUMMYFUNCTION("""COMPUTED_VALUE"""),1183.0)</f>
        <v>1183</v>
      </c>
      <c r="B1094" s="20" t="str">
        <f>IFERROR(__xludf.DUMMYFUNCTION("""COMPUTED_VALUE"""),"Statistics from a Large Sample")</f>
        <v>Statistics from a Large Sample</v>
      </c>
      <c r="C1094" s="20" t="str">
        <f>IFERROR(__xludf.DUMMYFUNCTION("""COMPUTED_VALUE"""),"statistics-from-a-large-sample")</f>
        <v>statistics-from-a-large-sample</v>
      </c>
      <c r="D1094" s="20" t="b">
        <f>IFERROR(__xludf.DUMMYFUNCTION("""COMPUTED_VALUE"""),FALSE)</f>
        <v>0</v>
      </c>
      <c r="E1094" s="20" t="str">
        <f>IFERROR(__xludf.DUMMYFUNCTION("""COMPUTED_VALUE"""),"Medium")</f>
        <v>Medium</v>
      </c>
      <c r="F1094" s="20">
        <f>IFERROR(__xludf.DUMMYFUNCTION("""COMPUTED_VALUE"""),79.0)</f>
        <v>79</v>
      </c>
      <c r="G1094" s="20">
        <f>IFERROR(__xludf.DUMMYFUNCTION("""COMPUTED_VALUE"""),78.0)</f>
        <v>78</v>
      </c>
      <c r="H1094" s="20" t="str">
        <f>IFERROR(__xludf.DUMMYFUNCTION("""COMPUTED_VALUE"""),"Algorithms")</f>
        <v>Algorithms</v>
      </c>
      <c r="I1094" s="20">
        <f>IFERROR(__xludf.DUMMYFUNCTION("""COMPUTED_VALUE"""),0.441)</f>
        <v>0.441</v>
      </c>
      <c r="J1094" s="20">
        <f>IFERROR(__xludf.DUMMYFUNCTION("""COMPUTED_VALUE"""),1093.0)</f>
        <v>1093</v>
      </c>
      <c r="K1094" s="20" t="b">
        <f>IFERROR(__xludf.DUMMYFUNCTION("""COMPUTED_VALUE"""),FALSE)</f>
        <v>0</v>
      </c>
      <c r="L1094" s="20" t="str">
        <f>IFERROR(__xludf.DUMMYFUNCTION("""COMPUTED_VALUE"""),"Math;Two Pointers;Probability and Statistics;")</f>
        <v>Math;Two Pointers;Probability and Statistics;</v>
      </c>
      <c r="M1094" s="20" t="b">
        <f>IFERROR(__xludf.DUMMYFUNCTION("""COMPUTED_VALUE"""),FALSE)</f>
        <v>0</v>
      </c>
      <c r="N1094" s="20" t="b">
        <f>IFERROR(__xludf.DUMMYFUNCTION("""COMPUTED_VALUE"""),FALSE)</f>
        <v>0</v>
      </c>
      <c r="O1094" s="20">
        <f>IFERROR(__xludf.DUMMYFUNCTION("""COMPUTED_VALUE"""),44.1340137819681)</f>
        <v>44.13401378</v>
      </c>
      <c r="P1094" s="20">
        <f>IFERROR(__xludf.DUMMYFUNCTION("""COMPUTED_VALUE"""),15307.0)</f>
        <v>15307</v>
      </c>
      <c r="Q1094" s="20">
        <f>IFERROR(__xludf.DUMMYFUNCTION("""COMPUTED_VALUE"""),34683.0)</f>
        <v>34683</v>
      </c>
    </row>
    <row r="1095">
      <c r="A1095" s="20">
        <f>IFERROR(__xludf.DUMMYFUNCTION("""COMPUTED_VALUE"""),1184.0)</f>
        <v>1184</v>
      </c>
      <c r="B1095" s="20" t="str">
        <f>IFERROR(__xludf.DUMMYFUNCTION("""COMPUTED_VALUE"""),"Car Pooling")</f>
        <v>Car Pooling</v>
      </c>
      <c r="C1095" s="20" t="str">
        <f>IFERROR(__xludf.DUMMYFUNCTION("""COMPUTED_VALUE"""),"car-pooling")</f>
        <v>car-pooling</v>
      </c>
      <c r="D1095" s="20" t="b">
        <f>IFERROR(__xludf.DUMMYFUNCTION("""COMPUTED_VALUE"""),FALSE)</f>
        <v>0</v>
      </c>
      <c r="E1095" s="20" t="str">
        <f>IFERROR(__xludf.DUMMYFUNCTION("""COMPUTED_VALUE"""),"Medium")</f>
        <v>Medium</v>
      </c>
      <c r="F1095" s="20">
        <f>IFERROR(__xludf.DUMMYFUNCTION("""COMPUTED_VALUE"""),3779.0)</f>
        <v>3779</v>
      </c>
      <c r="G1095" s="20">
        <f>IFERROR(__xludf.DUMMYFUNCTION("""COMPUTED_VALUE"""),79.0)</f>
        <v>79</v>
      </c>
      <c r="H1095" s="20" t="str">
        <f>IFERROR(__xludf.DUMMYFUNCTION("""COMPUTED_VALUE"""),"Algorithms")</f>
        <v>Algorithms</v>
      </c>
      <c r="I1095" s="20">
        <f>IFERROR(__xludf.DUMMYFUNCTION("""COMPUTED_VALUE"""),0.572)</f>
        <v>0.572</v>
      </c>
      <c r="J1095" s="20">
        <f>IFERROR(__xludf.DUMMYFUNCTION("""COMPUTED_VALUE"""),1094.0)</f>
        <v>1094</v>
      </c>
      <c r="K1095" s="20" t="b">
        <f>IFERROR(__xludf.DUMMYFUNCTION("""COMPUTED_VALUE"""),FALSE)</f>
        <v>0</v>
      </c>
      <c r="L1095" s="20" t="str">
        <f>IFERROR(__xludf.DUMMYFUNCTION("""COMPUTED_VALUE"""),"Array;Sorting;Heap (Priority Queue);Simulation;Prefix Sum;")</f>
        <v>Array;Sorting;Heap (Priority Queue);Simulation;Prefix Sum;</v>
      </c>
      <c r="M1095" s="20" t="b">
        <f>IFERROR(__xludf.DUMMYFUNCTION("""COMPUTED_VALUE"""),TRUE)</f>
        <v>1</v>
      </c>
      <c r="N1095" s="20" t="b">
        <f>IFERROR(__xludf.DUMMYFUNCTION("""COMPUTED_VALUE"""),FALSE)</f>
        <v>0</v>
      </c>
      <c r="O1095" s="20">
        <f>IFERROR(__xludf.DUMMYFUNCTION("""COMPUTED_VALUE"""),57.173387641703)</f>
        <v>57.17338764</v>
      </c>
      <c r="P1095" s="20">
        <f>IFERROR(__xludf.DUMMYFUNCTION("""COMPUTED_VALUE"""),181912.0)</f>
        <v>181912</v>
      </c>
      <c r="Q1095" s="20">
        <f>IFERROR(__xludf.DUMMYFUNCTION("""COMPUTED_VALUE"""),318175.0)</f>
        <v>318175</v>
      </c>
    </row>
    <row r="1096">
      <c r="A1096" s="20">
        <f>IFERROR(__xludf.DUMMYFUNCTION("""COMPUTED_VALUE"""),1185.0)</f>
        <v>1185</v>
      </c>
      <c r="B1096" s="20" t="str">
        <f>IFERROR(__xludf.DUMMYFUNCTION("""COMPUTED_VALUE"""),"Find in Mountain Array")</f>
        <v>Find in Mountain Array</v>
      </c>
      <c r="C1096" s="20" t="str">
        <f>IFERROR(__xludf.DUMMYFUNCTION("""COMPUTED_VALUE"""),"find-in-mountain-array")</f>
        <v>find-in-mountain-array</v>
      </c>
      <c r="D1096" s="20" t="b">
        <f>IFERROR(__xludf.DUMMYFUNCTION("""COMPUTED_VALUE"""),FALSE)</f>
        <v>0</v>
      </c>
      <c r="E1096" s="20" t="str">
        <f>IFERROR(__xludf.DUMMYFUNCTION("""COMPUTED_VALUE"""),"Hard")</f>
        <v>Hard</v>
      </c>
      <c r="F1096" s="20">
        <f>IFERROR(__xludf.DUMMYFUNCTION("""COMPUTED_VALUE"""),1715.0)</f>
        <v>1715</v>
      </c>
      <c r="G1096" s="20">
        <f>IFERROR(__xludf.DUMMYFUNCTION("""COMPUTED_VALUE"""),68.0)</f>
        <v>68</v>
      </c>
      <c r="H1096" s="20" t="str">
        <f>IFERROR(__xludf.DUMMYFUNCTION("""COMPUTED_VALUE"""),"Algorithms")</f>
        <v>Algorithms</v>
      </c>
      <c r="I1096" s="20">
        <f>IFERROR(__xludf.DUMMYFUNCTION("""COMPUTED_VALUE"""),0.357)</f>
        <v>0.357</v>
      </c>
      <c r="J1096" s="20">
        <f>IFERROR(__xludf.DUMMYFUNCTION("""COMPUTED_VALUE"""),1095.0)</f>
        <v>1095</v>
      </c>
      <c r="K1096" s="20" t="b">
        <f>IFERROR(__xludf.DUMMYFUNCTION("""COMPUTED_VALUE"""),FALSE)</f>
        <v>0</v>
      </c>
      <c r="L1096" s="20" t="str">
        <f>IFERROR(__xludf.DUMMYFUNCTION("""COMPUTED_VALUE"""),"Array;Binary Search;Interactive;")</f>
        <v>Array;Binary Search;Interactive;</v>
      </c>
      <c r="M1096" s="20" t="b">
        <f>IFERROR(__xludf.DUMMYFUNCTION("""COMPUTED_VALUE"""),FALSE)</f>
        <v>0</v>
      </c>
      <c r="N1096" s="20" t="b">
        <f>IFERROR(__xludf.DUMMYFUNCTION("""COMPUTED_VALUE"""),FALSE)</f>
        <v>0</v>
      </c>
      <c r="O1096" s="20">
        <f>IFERROR(__xludf.DUMMYFUNCTION("""COMPUTED_VALUE"""),35.6955906397223)</f>
        <v>35.69559064</v>
      </c>
      <c r="P1096" s="20">
        <f>IFERROR(__xludf.DUMMYFUNCTION("""COMPUTED_VALUE"""),55234.0)</f>
        <v>55234</v>
      </c>
      <c r="Q1096" s="20">
        <f>IFERROR(__xludf.DUMMYFUNCTION("""COMPUTED_VALUE"""),154734.0)</f>
        <v>154734</v>
      </c>
    </row>
    <row r="1097">
      <c r="A1097" s="20">
        <f>IFERROR(__xludf.DUMMYFUNCTION("""COMPUTED_VALUE"""),1188.0)</f>
        <v>1188</v>
      </c>
      <c r="B1097" s="20" t="str">
        <f>IFERROR(__xludf.DUMMYFUNCTION("""COMPUTED_VALUE"""),"Brace Expansion II")</f>
        <v>Brace Expansion II</v>
      </c>
      <c r="C1097" s="20" t="str">
        <f>IFERROR(__xludf.DUMMYFUNCTION("""COMPUTED_VALUE"""),"brace-expansion-ii")</f>
        <v>brace-expansion-ii</v>
      </c>
      <c r="D1097" s="20" t="b">
        <f>IFERROR(__xludf.DUMMYFUNCTION("""COMPUTED_VALUE"""),FALSE)</f>
        <v>0</v>
      </c>
      <c r="E1097" s="20" t="str">
        <f>IFERROR(__xludf.DUMMYFUNCTION("""COMPUTED_VALUE"""),"Hard")</f>
        <v>Hard</v>
      </c>
      <c r="F1097" s="20">
        <f>IFERROR(__xludf.DUMMYFUNCTION("""COMPUTED_VALUE"""),430.0)</f>
        <v>430</v>
      </c>
      <c r="G1097" s="20">
        <f>IFERROR(__xludf.DUMMYFUNCTION("""COMPUTED_VALUE"""),258.0)</f>
        <v>258</v>
      </c>
      <c r="H1097" s="20" t="str">
        <f>IFERROR(__xludf.DUMMYFUNCTION("""COMPUTED_VALUE"""),"Algorithms")</f>
        <v>Algorithms</v>
      </c>
      <c r="I1097" s="20">
        <f>IFERROR(__xludf.DUMMYFUNCTION("""COMPUTED_VALUE"""),0.636)</f>
        <v>0.636</v>
      </c>
      <c r="J1097" s="20">
        <f>IFERROR(__xludf.DUMMYFUNCTION("""COMPUTED_VALUE"""),1096.0)</f>
        <v>1096</v>
      </c>
      <c r="K1097" s="20" t="b">
        <f>IFERROR(__xludf.DUMMYFUNCTION("""COMPUTED_VALUE"""),FALSE)</f>
        <v>0</v>
      </c>
      <c r="L1097" s="20" t="str">
        <f>IFERROR(__xludf.DUMMYFUNCTION("""COMPUTED_VALUE"""),"String;Backtracking;Stack;Breadth-First Search;")</f>
        <v>String;Backtracking;Stack;Breadth-First Search;</v>
      </c>
      <c r="M1097" s="20" t="b">
        <f>IFERROR(__xludf.DUMMYFUNCTION("""COMPUTED_VALUE"""),FALSE)</f>
        <v>0</v>
      </c>
      <c r="N1097" s="20" t="b">
        <f>IFERROR(__xludf.DUMMYFUNCTION("""COMPUTED_VALUE"""),FALSE)</f>
        <v>0</v>
      </c>
      <c r="O1097" s="20">
        <f>IFERROR(__xludf.DUMMYFUNCTION("""COMPUTED_VALUE"""),63.6143725293527)</f>
        <v>63.61437253</v>
      </c>
      <c r="P1097" s="20">
        <f>IFERROR(__xludf.DUMMYFUNCTION("""COMPUTED_VALUE"""),21564.0)</f>
        <v>21564</v>
      </c>
      <c r="Q1097" s="20">
        <f>IFERROR(__xludf.DUMMYFUNCTION("""COMPUTED_VALUE"""),33898.0)</f>
        <v>33898</v>
      </c>
    </row>
    <row r="1098">
      <c r="A1098" s="20">
        <f>IFERROR(__xludf.DUMMYFUNCTION("""COMPUTED_VALUE"""),1193.0)</f>
        <v>1193</v>
      </c>
      <c r="B1098" s="20" t="str">
        <f>IFERROR(__xludf.DUMMYFUNCTION("""COMPUTED_VALUE"""),"Game Play Analysis V")</f>
        <v>Game Play Analysis V</v>
      </c>
      <c r="C1098" s="20" t="str">
        <f>IFERROR(__xludf.DUMMYFUNCTION("""COMPUTED_VALUE"""),"game-play-analysis-v")</f>
        <v>game-play-analysis-v</v>
      </c>
      <c r="D1098" s="20" t="b">
        <f>IFERROR(__xludf.DUMMYFUNCTION("""COMPUTED_VALUE"""),TRUE)</f>
        <v>1</v>
      </c>
      <c r="E1098" s="20" t="str">
        <f>IFERROR(__xludf.DUMMYFUNCTION("""COMPUTED_VALUE"""),"Hard")</f>
        <v>Hard</v>
      </c>
      <c r="F1098" s="20">
        <f>IFERROR(__xludf.DUMMYFUNCTION("""COMPUTED_VALUE"""),151.0)</f>
        <v>151</v>
      </c>
      <c r="G1098" s="20">
        <f>IFERROR(__xludf.DUMMYFUNCTION("""COMPUTED_VALUE"""),28.0)</f>
        <v>28</v>
      </c>
      <c r="H1098" s="20" t="str">
        <f>IFERROR(__xludf.DUMMYFUNCTION("""COMPUTED_VALUE"""),"Database")</f>
        <v>Database</v>
      </c>
      <c r="I1098" s="20">
        <f>IFERROR(__xludf.DUMMYFUNCTION("""COMPUTED_VALUE"""),0.546)</f>
        <v>0.546</v>
      </c>
      <c r="J1098" s="20">
        <f>IFERROR(__xludf.DUMMYFUNCTION("""COMPUTED_VALUE"""),1097.0)</f>
        <v>1097</v>
      </c>
      <c r="K1098" s="20" t="b">
        <f>IFERROR(__xludf.DUMMYFUNCTION("""COMPUTED_VALUE"""),TRUE)</f>
        <v>1</v>
      </c>
      <c r="L1098" s="20" t="str">
        <f>IFERROR(__xludf.DUMMYFUNCTION("""COMPUTED_VALUE"""),"Database;")</f>
        <v>Database;</v>
      </c>
      <c r="M1098" s="20" t="b">
        <f>IFERROR(__xludf.DUMMYFUNCTION("""COMPUTED_VALUE"""),TRUE)</f>
        <v>1</v>
      </c>
      <c r="N1098" s="20" t="b">
        <f>IFERROR(__xludf.DUMMYFUNCTION("""COMPUTED_VALUE"""),FALSE)</f>
        <v>0</v>
      </c>
      <c r="O1098" s="20">
        <f>IFERROR(__xludf.DUMMYFUNCTION("""COMPUTED_VALUE"""),54.6350677330814)</f>
        <v>54.63506773</v>
      </c>
      <c r="P1098" s="20">
        <f>IFERROR(__xludf.DUMMYFUNCTION("""COMPUTED_VALUE"""),18512.0)</f>
        <v>18512</v>
      </c>
      <c r="Q1098" s="20">
        <f>IFERROR(__xludf.DUMMYFUNCTION("""COMPUTED_VALUE"""),33883.0)</f>
        <v>33883</v>
      </c>
    </row>
    <row r="1099">
      <c r="A1099" s="20">
        <f>IFERROR(__xludf.DUMMYFUNCTION("""COMPUTED_VALUE"""),1198.0)</f>
        <v>1198</v>
      </c>
      <c r="B1099" s="20" t="str">
        <f>IFERROR(__xludf.DUMMYFUNCTION("""COMPUTED_VALUE"""),"Unpopular Books")</f>
        <v>Unpopular Books</v>
      </c>
      <c r="C1099" s="20" t="str">
        <f>IFERROR(__xludf.DUMMYFUNCTION("""COMPUTED_VALUE"""),"unpopular-books")</f>
        <v>unpopular-books</v>
      </c>
      <c r="D1099" s="20" t="b">
        <f>IFERROR(__xludf.DUMMYFUNCTION("""COMPUTED_VALUE"""),TRUE)</f>
        <v>1</v>
      </c>
      <c r="E1099" s="20" t="str">
        <f>IFERROR(__xludf.DUMMYFUNCTION("""COMPUTED_VALUE"""),"Medium")</f>
        <v>Medium</v>
      </c>
      <c r="F1099" s="20">
        <f>IFERROR(__xludf.DUMMYFUNCTION("""COMPUTED_VALUE"""),174.0)</f>
        <v>174</v>
      </c>
      <c r="G1099" s="20">
        <f>IFERROR(__xludf.DUMMYFUNCTION("""COMPUTED_VALUE"""),519.0)</f>
        <v>519</v>
      </c>
      <c r="H1099" s="20" t="str">
        <f>IFERROR(__xludf.DUMMYFUNCTION("""COMPUTED_VALUE"""),"Database")</f>
        <v>Database</v>
      </c>
      <c r="I1099" s="20">
        <f>IFERROR(__xludf.DUMMYFUNCTION("""COMPUTED_VALUE"""),0.45)</f>
        <v>0.45</v>
      </c>
      <c r="J1099" s="20">
        <f>IFERROR(__xludf.DUMMYFUNCTION("""COMPUTED_VALUE"""),1098.0)</f>
        <v>1098</v>
      </c>
      <c r="K1099" s="20" t="b">
        <f>IFERROR(__xludf.DUMMYFUNCTION("""COMPUTED_VALUE"""),TRUE)</f>
        <v>1</v>
      </c>
      <c r="L1099" s="20" t="str">
        <f>IFERROR(__xludf.DUMMYFUNCTION("""COMPUTED_VALUE"""),"Database;")</f>
        <v>Database;</v>
      </c>
      <c r="M1099" s="20" t="b">
        <f>IFERROR(__xludf.DUMMYFUNCTION("""COMPUTED_VALUE"""),FALSE)</f>
        <v>0</v>
      </c>
      <c r="N1099" s="20" t="b">
        <f>IFERROR(__xludf.DUMMYFUNCTION("""COMPUTED_VALUE"""),FALSE)</f>
        <v>0</v>
      </c>
      <c r="O1099" s="20">
        <f>IFERROR(__xludf.DUMMYFUNCTION("""COMPUTED_VALUE"""),45.002612114713)</f>
        <v>45.00261211</v>
      </c>
      <c r="P1099" s="20">
        <f>IFERROR(__xludf.DUMMYFUNCTION("""COMPUTED_VALUE"""),32734.0)</f>
        <v>32734</v>
      </c>
      <c r="Q1099" s="20">
        <f>IFERROR(__xludf.DUMMYFUNCTION("""COMPUTED_VALUE"""),72738.0)</f>
        <v>72738</v>
      </c>
    </row>
    <row r="1100">
      <c r="A1100" s="20">
        <f>IFERROR(__xludf.DUMMYFUNCTION("""COMPUTED_VALUE"""),1083.0)</f>
        <v>1083</v>
      </c>
      <c r="B1100" s="20" t="str">
        <f>IFERROR(__xludf.DUMMYFUNCTION("""COMPUTED_VALUE"""),"Two Sum Less Than K")</f>
        <v>Two Sum Less Than K</v>
      </c>
      <c r="C1100" s="20" t="str">
        <f>IFERROR(__xludf.DUMMYFUNCTION("""COMPUTED_VALUE"""),"two-sum-less-than-k")</f>
        <v>two-sum-less-than-k</v>
      </c>
      <c r="D1100" s="20" t="b">
        <f>IFERROR(__xludf.DUMMYFUNCTION("""COMPUTED_VALUE"""),TRUE)</f>
        <v>1</v>
      </c>
      <c r="E1100" s="20" t="str">
        <f>IFERROR(__xludf.DUMMYFUNCTION("""COMPUTED_VALUE"""),"Easy")</f>
        <v>Easy</v>
      </c>
      <c r="F1100" s="20">
        <f>IFERROR(__xludf.DUMMYFUNCTION("""COMPUTED_VALUE"""),980.0)</f>
        <v>980</v>
      </c>
      <c r="G1100" s="20">
        <f>IFERROR(__xludf.DUMMYFUNCTION("""COMPUTED_VALUE"""),112.0)</f>
        <v>112</v>
      </c>
      <c r="H1100" s="20" t="str">
        <f>IFERROR(__xludf.DUMMYFUNCTION("""COMPUTED_VALUE"""),"Algorithms")</f>
        <v>Algorithms</v>
      </c>
      <c r="I1100" s="20">
        <f>IFERROR(__xludf.DUMMYFUNCTION("""COMPUTED_VALUE"""),0.609)</f>
        <v>0.609</v>
      </c>
      <c r="J1100" s="20">
        <f>IFERROR(__xludf.DUMMYFUNCTION("""COMPUTED_VALUE"""),1099.0)</f>
        <v>1099</v>
      </c>
      <c r="K1100" s="20" t="b">
        <f>IFERROR(__xludf.DUMMYFUNCTION("""COMPUTED_VALUE"""),TRUE)</f>
        <v>1</v>
      </c>
      <c r="L1100" s="20" t="str">
        <f>IFERROR(__xludf.DUMMYFUNCTION("""COMPUTED_VALUE"""),"Array;Two Pointers;Binary Search;Sorting;")</f>
        <v>Array;Two Pointers;Binary Search;Sorting;</v>
      </c>
      <c r="M1100" s="20" t="b">
        <f>IFERROR(__xludf.DUMMYFUNCTION("""COMPUTED_VALUE"""),TRUE)</f>
        <v>1</v>
      </c>
      <c r="N1100" s="20" t="b">
        <f>IFERROR(__xludf.DUMMYFUNCTION("""COMPUTED_VALUE"""),TRUE)</f>
        <v>1</v>
      </c>
      <c r="O1100" s="20">
        <f>IFERROR(__xludf.DUMMYFUNCTION("""COMPUTED_VALUE"""),60.9481530198399)</f>
        <v>60.94815302</v>
      </c>
      <c r="P1100" s="20">
        <f>IFERROR(__xludf.DUMMYFUNCTION("""COMPUTED_VALUE"""),111205.0)</f>
        <v>111205</v>
      </c>
      <c r="Q1100" s="20">
        <f>IFERROR(__xludf.DUMMYFUNCTION("""COMPUTED_VALUE"""),182459.0)</f>
        <v>182459</v>
      </c>
    </row>
    <row r="1101">
      <c r="A1101" s="20">
        <f>IFERROR(__xludf.DUMMYFUNCTION("""COMPUTED_VALUE"""),1084.0)</f>
        <v>1084</v>
      </c>
      <c r="B1101" s="20" t="str">
        <f>IFERROR(__xludf.DUMMYFUNCTION("""COMPUTED_VALUE"""),"Find K-Length Substrings With No Repeated Characters")</f>
        <v>Find K-Length Substrings With No Repeated Characters</v>
      </c>
      <c r="C1101" s="20" t="str">
        <f>IFERROR(__xludf.DUMMYFUNCTION("""COMPUTED_VALUE"""),"find-k-length-substrings-with-no-repeated-characters")</f>
        <v>find-k-length-substrings-with-no-repeated-characters</v>
      </c>
      <c r="D1101" s="20" t="b">
        <f>IFERROR(__xludf.DUMMYFUNCTION("""COMPUTED_VALUE"""),TRUE)</f>
        <v>1</v>
      </c>
      <c r="E1101" s="20" t="str">
        <f>IFERROR(__xludf.DUMMYFUNCTION("""COMPUTED_VALUE"""),"Medium")</f>
        <v>Medium</v>
      </c>
      <c r="F1101" s="20">
        <f>IFERROR(__xludf.DUMMYFUNCTION("""COMPUTED_VALUE"""),477.0)</f>
        <v>477</v>
      </c>
      <c r="G1101" s="20">
        <f>IFERROR(__xludf.DUMMYFUNCTION("""COMPUTED_VALUE"""),9.0)</f>
        <v>9</v>
      </c>
      <c r="H1101" s="20" t="str">
        <f>IFERROR(__xludf.DUMMYFUNCTION("""COMPUTED_VALUE"""),"Algorithms")</f>
        <v>Algorithms</v>
      </c>
      <c r="I1101" s="20">
        <f>IFERROR(__xludf.DUMMYFUNCTION("""COMPUTED_VALUE"""),0.747)</f>
        <v>0.747</v>
      </c>
      <c r="J1101" s="20">
        <f>IFERROR(__xludf.DUMMYFUNCTION("""COMPUTED_VALUE"""),1100.0)</f>
        <v>1100</v>
      </c>
      <c r="K1101" s="20" t="b">
        <f>IFERROR(__xludf.DUMMYFUNCTION("""COMPUTED_VALUE"""),TRUE)</f>
        <v>1</v>
      </c>
      <c r="L1101" s="20" t="str">
        <f>IFERROR(__xludf.DUMMYFUNCTION("""COMPUTED_VALUE"""),"Hash Table;String;Sliding Window;")</f>
        <v>Hash Table;String;Sliding Window;</v>
      </c>
      <c r="M1101" s="20" t="b">
        <f>IFERROR(__xludf.DUMMYFUNCTION("""COMPUTED_VALUE"""),TRUE)</f>
        <v>1</v>
      </c>
      <c r="N1101" s="20" t="b">
        <f>IFERROR(__xludf.DUMMYFUNCTION("""COMPUTED_VALUE"""),FALSE)</f>
        <v>0</v>
      </c>
      <c r="O1101" s="20">
        <f>IFERROR(__xludf.DUMMYFUNCTION("""COMPUTED_VALUE"""),74.6573964364758)</f>
        <v>74.65739644</v>
      </c>
      <c r="P1101" s="20">
        <f>IFERROR(__xludf.DUMMYFUNCTION("""COMPUTED_VALUE"""),33395.0)</f>
        <v>33395</v>
      </c>
      <c r="Q1101" s="20">
        <f>IFERROR(__xludf.DUMMYFUNCTION("""COMPUTED_VALUE"""),44731.0)</f>
        <v>44731</v>
      </c>
    </row>
    <row r="1102">
      <c r="A1102" s="20">
        <f>IFERROR(__xludf.DUMMYFUNCTION("""COMPUTED_VALUE"""),1085.0)</f>
        <v>1085</v>
      </c>
      <c r="B1102" s="20" t="str">
        <f>IFERROR(__xludf.DUMMYFUNCTION("""COMPUTED_VALUE"""),"The Earliest Moment When Everyone Become Friends")</f>
        <v>The Earliest Moment When Everyone Become Friends</v>
      </c>
      <c r="C1102" s="20" t="str">
        <f>IFERROR(__xludf.DUMMYFUNCTION("""COMPUTED_VALUE"""),"the-earliest-moment-when-everyone-become-friends")</f>
        <v>the-earliest-moment-when-everyone-become-friends</v>
      </c>
      <c r="D1102" s="20" t="b">
        <f>IFERROR(__xludf.DUMMYFUNCTION("""COMPUTED_VALUE"""),TRUE)</f>
        <v>1</v>
      </c>
      <c r="E1102" s="20" t="str">
        <f>IFERROR(__xludf.DUMMYFUNCTION("""COMPUTED_VALUE"""),"Medium")</f>
        <v>Medium</v>
      </c>
      <c r="F1102" s="20">
        <f>IFERROR(__xludf.DUMMYFUNCTION("""COMPUTED_VALUE"""),751.0)</f>
        <v>751</v>
      </c>
      <c r="G1102" s="20">
        <f>IFERROR(__xludf.DUMMYFUNCTION("""COMPUTED_VALUE"""),19.0)</f>
        <v>19</v>
      </c>
      <c r="H1102" s="20" t="str">
        <f>IFERROR(__xludf.DUMMYFUNCTION("""COMPUTED_VALUE"""),"Algorithms")</f>
        <v>Algorithms</v>
      </c>
      <c r="I1102" s="20">
        <f>IFERROR(__xludf.DUMMYFUNCTION("""COMPUTED_VALUE"""),0.648)</f>
        <v>0.648</v>
      </c>
      <c r="J1102" s="20">
        <f>IFERROR(__xludf.DUMMYFUNCTION("""COMPUTED_VALUE"""),1101.0)</f>
        <v>1101</v>
      </c>
      <c r="K1102" s="20" t="b">
        <f>IFERROR(__xludf.DUMMYFUNCTION("""COMPUTED_VALUE"""),TRUE)</f>
        <v>1</v>
      </c>
      <c r="L1102" s="20" t="str">
        <f>IFERROR(__xludf.DUMMYFUNCTION("""COMPUTED_VALUE"""),"Array;Union Find;")</f>
        <v>Array;Union Find;</v>
      </c>
      <c r="M1102" s="20" t="b">
        <f>IFERROR(__xludf.DUMMYFUNCTION("""COMPUTED_VALUE"""),TRUE)</f>
        <v>1</v>
      </c>
      <c r="N1102" s="20" t="b">
        <f>IFERROR(__xludf.DUMMYFUNCTION("""COMPUTED_VALUE"""),FALSE)</f>
        <v>0</v>
      </c>
      <c r="O1102" s="20">
        <f>IFERROR(__xludf.DUMMYFUNCTION("""COMPUTED_VALUE"""),64.8230236339741)</f>
        <v>64.82302363</v>
      </c>
      <c r="P1102" s="20">
        <f>IFERROR(__xludf.DUMMYFUNCTION("""COMPUTED_VALUE"""),58200.0)</f>
        <v>58200</v>
      </c>
      <c r="Q1102" s="20">
        <f>IFERROR(__xludf.DUMMYFUNCTION("""COMPUTED_VALUE"""),89784.0)</f>
        <v>89784</v>
      </c>
    </row>
    <row r="1103">
      <c r="A1103" s="20">
        <f>IFERROR(__xludf.DUMMYFUNCTION("""COMPUTED_VALUE"""),1099.0)</f>
        <v>1099</v>
      </c>
      <c r="B1103" s="20" t="str">
        <f>IFERROR(__xludf.DUMMYFUNCTION("""COMPUTED_VALUE"""),"Path With Maximum Minimum Value")</f>
        <v>Path With Maximum Minimum Value</v>
      </c>
      <c r="C1103" s="20" t="str">
        <f>IFERROR(__xludf.DUMMYFUNCTION("""COMPUTED_VALUE"""),"path-with-maximum-minimum-value")</f>
        <v>path-with-maximum-minimum-value</v>
      </c>
      <c r="D1103" s="20" t="b">
        <f>IFERROR(__xludf.DUMMYFUNCTION("""COMPUTED_VALUE"""),TRUE)</f>
        <v>1</v>
      </c>
      <c r="E1103" s="20" t="str">
        <f>IFERROR(__xludf.DUMMYFUNCTION("""COMPUTED_VALUE"""),"Medium")</f>
        <v>Medium</v>
      </c>
      <c r="F1103" s="20">
        <f>IFERROR(__xludf.DUMMYFUNCTION("""COMPUTED_VALUE"""),1161.0)</f>
        <v>1161</v>
      </c>
      <c r="G1103" s="20">
        <f>IFERROR(__xludf.DUMMYFUNCTION("""COMPUTED_VALUE"""),115.0)</f>
        <v>115</v>
      </c>
      <c r="H1103" s="20" t="str">
        <f>IFERROR(__xludf.DUMMYFUNCTION("""COMPUTED_VALUE"""),"Algorithms")</f>
        <v>Algorithms</v>
      </c>
      <c r="I1103" s="20">
        <f>IFERROR(__xludf.DUMMYFUNCTION("""COMPUTED_VALUE"""),0.533)</f>
        <v>0.533</v>
      </c>
      <c r="J1103" s="20">
        <f>IFERROR(__xludf.DUMMYFUNCTION("""COMPUTED_VALUE"""),1102.0)</f>
        <v>1102</v>
      </c>
      <c r="K1103" s="20" t="b">
        <f>IFERROR(__xludf.DUMMYFUNCTION("""COMPUTED_VALUE"""),TRUE)</f>
        <v>1</v>
      </c>
      <c r="L1103" s="20" t="str">
        <f>IFERROR(__xludf.DUMMYFUNCTION("""COMPUTED_VALUE"""),"Array;Depth-First Search;Breadth-First Search;Union Find;Heap (Priority Queue);Matrix;")</f>
        <v>Array;Depth-First Search;Breadth-First Search;Union Find;Heap (Priority Queue);Matrix;</v>
      </c>
      <c r="M1103" s="20" t="b">
        <f>IFERROR(__xludf.DUMMYFUNCTION("""COMPUTED_VALUE"""),TRUE)</f>
        <v>1</v>
      </c>
      <c r="N1103" s="20" t="b">
        <f>IFERROR(__xludf.DUMMYFUNCTION("""COMPUTED_VALUE"""),FALSE)</f>
        <v>0</v>
      </c>
      <c r="O1103" s="20">
        <f>IFERROR(__xludf.DUMMYFUNCTION("""COMPUTED_VALUE"""),53.3139750160778)</f>
        <v>53.31397502</v>
      </c>
      <c r="P1103" s="20">
        <f>IFERROR(__xludf.DUMMYFUNCTION("""COMPUTED_VALUE"""),54714.0)</f>
        <v>54714</v>
      </c>
      <c r="Q1103" s="20">
        <f>IFERROR(__xludf.DUMMYFUNCTION("""COMPUTED_VALUE"""),102626.0)</f>
        <v>102626</v>
      </c>
    </row>
    <row r="1104">
      <c r="A1104" s="20">
        <f>IFERROR(__xludf.DUMMYFUNCTION("""COMPUTED_VALUE"""),1195.0)</f>
        <v>1195</v>
      </c>
      <c r="B1104" s="20" t="str">
        <f>IFERROR(__xludf.DUMMYFUNCTION("""COMPUTED_VALUE"""),"Distribute Candies to People")</f>
        <v>Distribute Candies to People</v>
      </c>
      <c r="C1104" s="20" t="str">
        <f>IFERROR(__xludf.DUMMYFUNCTION("""COMPUTED_VALUE"""),"distribute-candies-to-people")</f>
        <v>distribute-candies-to-people</v>
      </c>
      <c r="D1104" s="20" t="b">
        <f>IFERROR(__xludf.DUMMYFUNCTION("""COMPUTED_VALUE"""),FALSE)</f>
        <v>0</v>
      </c>
      <c r="E1104" s="20" t="str">
        <f>IFERROR(__xludf.DUMMYFUNCTION("""COMPUTED_VALUE"""),"Easy")</f>
        <v>Easy</v>
      </c>
      <c r="F1104" s="20">
        <f>IFERROR(__xludf.DUMMYFUNCTION("""COMPUTED_VALUE"""),797.0)</f>
        <v>797</v>
      </c>
      <c r="G1104" s="20">
        <f>IFERROR(__xludf.DUMMYFUNCTION("""COMPUTED_VALUE"""),182.0)</f>
        <v>182</v>
      </c>
      <c r="H1104" s="20" t="str">
        <f>IFERROR(__xludf.DUMMYFUNCTION("""COMPUTED_VALUE"""),"Algorithms")</f>
        <v>Algorithms</v>
      </c>
      <c r="I1104" s="20">
        <f>IFERROR(__xludf.DUMMYFUNCTION("""COMPUTED_VALUE"""),0.64)</f>
        <v>0.64</v>
      </c>
      <c r="J1104" s="20">
        <f>IFERROR(__xludf.DUMMYFUNCTION("""COMPUTED_VALUE"""),1103.0)</f>
        <v>1103</v>
      </c>
      <c r="K1104" s="20" t="b">
        <f>IFERROR(__xludf.DUMMYFUNCTION("""COMPUTED_VALUE"""),FALSE)</f>
        <v>0</v>
      </c>
      <c r="L1104" s="20" t="str">
        <f>IFERROR(__xludf.DUMMYFUNCTION("""COMPUTED_VALUE"""),"Math;Simulation;")</f>
        <v>Math;Simulation;</v>
      </c>
      <c r="M1104" s="20" t="b">
        <f>IFERROR(__xludf.DUMMYFUNCTION("""COMPUTED_VALUE"""),FALSE)</f>
        <v>0</v>
      </c>
      <c r="N1104" s="20" t="b">
        <f>IFERROR(__xludf.DUMMYFUNCTION("""COMPUTED_VALUE"""),FALSE)</f>
        <v>0</v>
      </c>
      <c r="O1104" s="20">
        <f>IFERROR(__xludf.DUMMYFUNCTION("""COMPUTED_VALUE"""),64.0313957456489)</f>
        <v>64.03139575</v>
      </c>
      <c r="P1104" s="20">
        <f>IFERROR(__xludf.DUMMYFUNCTION("""COMPUTED_VALUE"""),73177.0)</f>
        <v>73177</v>
      </c>
      <c r="Q1104" s="20">
        <f>IFERROR(__xludf.DUMMYFUNCTION("""COMPUTED_VALUE"""),114283.0)</f>
        <v>114283</v>
      </c>
    </row>
    <row r="1105">
      <c r="A1105" s="20">
        <f>IFERROR(__xludf.DUMMYFUNCTION("""COMPUTED_VALUE"""),1194.0)</f>
        <v>1194</v>
      </c>
      <c r="B1105" s="20" t="str">
        <f>IFERROR(__xludf.DUMMYFUNCTION("""COMPUTED_VALUE"""),"Path In Zigzag Labelled Binary Tree")</f>
        <v>Path In Zigzag Labelled Binary Tree</v>
      </c>
      <c r="C1105" s="20" t="str">
        <f>IFERROR(__xludf.DUMMYFUNCTION("""COMPUTED_VALUE"""),"path-in-zigzag-labelled-binary-tree")</f>
        <v>path-in-zigzag-labelled-binary-tree</v>
      </c>
      <c r="D1105" s="20" t="b">
        <f>IFERROR(__xludf.DUMMYFUNCTION("""COMPUTED_VALUE"""),FALSE)</f>
        <v>0</v>
      </c>
      <c r="E1105" s="20" t="str">
        <f>IFERROR(__xludf.DUMMYFUNCTION("""COMPUTED_VALUE"""),"Medium")</f>
        <v>Medium</v>
      </c>
      <c r="F1105" s="20">
        <f>IFERROR(__xludf.DUMMYFUNCTION("""COMPUTED_VALUE"""),1236.0)</f>
        <v>1236</v>
      </c>
      <c r="G1105" s="20">
        <f>IFERROR(__xludf.DUMMYFUNCTION("""COMPUTED_VALUE"""),290.0)</f>
        <v>290</v>
      </c>
      <c r="H1105" s="20" t="str">
        <f>IFERROR(__xludf.DUMMYFUNCTION("""COMPUTED_VALUE"""),"Algorithms")</f>
        <v>Algorithms</v>
      </c>
      <c r="I1105" s="20">
        <f>IFERROR(__xludf.DUMMYFUNCTION("""COMPUTED_VALUE"""),0.75)</f>
        <v>0.75</v>
      </c>
      <c r="J1105" s="20">
        <f>IFERROR(__xludf.DUMMYFUNCTION("""COMPUTED_VALUE"""),1104.0)</f>
        <v>1104</v>
      </c>
      <c r="K1105" s="20" t="b">
        <f>IFERROR(__xludf.DUMMYFUNCTION("""COMPUTED_VALUE"""),FALSE)</f>
        <v>0</v>
      </c>
      <c r="L1105" s="20" t="str">
        <f>IFERROR(__xludf.DUMMYFUNCTION("""COMPUTED_VALUE"""),"Math;Tree;Binary Tree;")</f>
        <v>Math;Tree;Binary Tree;</v>
      </c>
      <c r="M1105" s="20" t="b">
        <f>IFERROR(__xludf.DUMMYFUNCTION("""COMPUTED_VALUE"""),FALSE)</f>
        <v>0</v>
      </c>
      <c r="N1105" s="20" t="b">
        <f>IFERROR(__xludf.DUMMYFUNCTION("""COMPUTED_VALUE"""),FALSE)</f>
        <v>0</v>
      </c>
      <c r="O1105" s="20">
        <f>IFERROR(__xludf.DUMMYFUNCTION("""COMPUTED_VALUE"""),75.0178543088398)</f>
        <v>75.01785431</v>
      </c>
      <c r="P1105" s="20">
        <f>IFERROR(__xludf.DUMMYFUNCTION("""COMPUTED_VALUE"""),37815.0)</f>
        <v>37815</v>
      </c>
      <c r="Q1105" s="20">
        <f>IFERROR(__xludf.DUMMYFUNCTION("""COMPUTED_VALUE"""),50408.0)</f>
        <v>50408</v>
      </c>
    </row>
    <row r="1106">
      <c r="A1106" s="20">
        <f>IFERROR(__xludf.DUMMYFUNCTION("""COMPUTED_VALUE"""),1196.0)</f>
        <v>1196</v>
      </c>
      <c r="B1106" s="20" t="str">
        <f>IFERROR(__xludf.DUMMYFUNCTION("""COMPUTED_VALUE"""),"Filling Bookcase Shelves")</f>
        <v>Filling Bookcase Shelves</v>
      </c>
      <c r="C1106" s="20" t="str">
        <f>IFERROR(__xludf.DUMMYFUNCTION("""COMPUTED_VALUE"""),"filling-bookcase-shelves")</f>
        <v>filling-bookcase-shelves</v>
      </c>
      <c r="D1106" s="20" t="b">
        <f>IFERROR(__xludf.DUMMYFUNCTION("""COMPUTED_VALUE"""),FALSE)</f>
        <v>0</v>
      </c>
      <c r="E1106" s="20" t="str">
        <f>IFERROR(__xludf.DUMMYFUNCTION("""COMPUTED_VALUE"""),"Medium")</f>
        <v>Medium</v>
      </c>
      <c r="F1106" s="20">
        <f>IFERROR(__xludf.DUMMYFUNCTION("""COMPUTED_VALUE"""),1508.0)</f>
        <v>1508</v>
      </c>
      <c r="G1106" s="20">
        <f>IFERROR(__xludf.DUMMYFUNCTION("""COMPUTED_VALUE"""),99.0)</f>
        <v>99</v>
      </c>
      <c r="H1106" s="20" t="str">
        <f>IFERROR(__xludf.DUMMYFUNCTION("""COMPUTED_VALUE"""),"Algorithms")</f>
        <v>Algorithms</v>
      </c>
      <c r="I1106" s="20">
        <f>IFERROR(__xludf.DUMMYFUNCTION("""COMPUTED_VALUE"""),0.592)</f>
        <v>0.592</v>
      </c>
      <c r="J1106" s="20">
        <f>IFERROR(__xludf.DUMMYFUNCTION("""COMPUTED_VALUE"""),1105.0)</f>
        <v>1105</v>
      </c>
      <c r="K1106" s="20" t="b">
        <f>IFERROR(__xludf.DUMMYFUNCTION("""COMPUTED_VALUE"""),FALSE)</f>
        <v>0</v>
      </c>
      <c r="L1106" s="20" t="str">
        <f>IFERROR(__xludf.DUMMYFUNCTION("""COMPUTED_VALUE"""),"Array;Dynamic Programming;")</f>
        <v>Array;Dynamic Programming;</v>
      </c>
      <c r="M1106" s="20" t="b">
        <f>IFERROR(__xludf.DUMMYFUNCTION("""COMPUTED_VALUE"""),FALSE)</f>
        <v>0</v>
      </c>
      <c r="N1106" s="20" t="b">
        <f>IFERROR(__xludf.DUMMYFUNCTION("""COMPUTED_VALUE"""),FALSE)</f>
        <v>0</v>
      </c>
      <c r="O1106" s="20">
        <f>IFERROR(__xludf.DUMMYFUNCTION("""COMPUTED_VALUE"""),59.2202630132352)</f>
        <v>59.22026301</v>
      </c>
      <c r="P1106" s="20">
        <f>IFERROR(__xludf.DUMMYFUNCTION("""COMPUTED_VALUE"""),42014.0)</f>
        <v>42014</v>
      </c>
      <c r="Q1106" s="20">
        <f>IFERROR(__xludf.DUMMYFUNCTION("""COMPUTED_VALUE"""),70944.0)</f>
        <v>70944</v>
      </c>
    </row>
    <row r="1107">
      <c r="A1107" s="20">
        <f>IFERROR(__xludf.DUMMYFUNCTION("""COMPUTED_VALUE"""),1197.0)</f>
        <v>1197</v>
      </c>
      <c r="B1107" s="20" t="str">
        <f>IFERROR(__xludf.DUMMYFUNCTION("""COMPUTED_VALUE"""),"Parsing A Boolean Expression")</f>
        <v>Parsing A Boolean Expression</v>
      </c>
      <c r="C1107" s="20" t="str">
        <f>IFERROR(__xludf.DUMMYFUNCTION("""COMPUTED_VALUE"""),"parsing-a-boolean-expression")</f>
        <v>parsing-a-boolean-expression</v>
      </c>
      <c r="D1107" s="20" t="b">
        <f>IFERROR(__xludf.DUMMYFUNCTION("""COMPUTED_VALUE"""),FALSE)</f>
        <v>0</v>
      </c>
      <c r="E1107" s="20" t="str">
        <f>IFERROR(__xludf.DUMMYFUNCTION("""COMPUTED_VALUE"""),"Hard")</f>
        <v>Hard</v>
      </c>
      <c r="F1107" s="20">
        <f>IFERROR(__xludf.DUMMYFUNCTION("""COMPUTED_VALUE"""),830.0)</f>
        <v>830</v>
      </c>
      <c r="G1107" s="20">
        <f>IFERROR(__xludf.DUMMYFUNCTION("""COMPUTED_VALUE"""),44.0)</f>
        <v>44</v>
      </c>
      <c r="H1107" s="20" t="str">
        <f>IFERROR(__xludf.DUMMYFUNCTION("""COMPUTED_VALUE"""),"Algorithms")</f>
        <v>Algorithms</v>
      </c>
      <c r="I1107" s="20">
        <f>IFERROR(__xludf.DUMMYFUNCTION("""COMPUTED_VALUE"""),0.586)</f>
        <v>0.586</v>
      </c>
      <c r="J1107" s="20">
        <f>IFERROR(__xludf.DUMMYFUNCTION("""COMPUTED_VALUE"""),1106.0)</f>
        <v>1106</v>
      </c>
      <c r="K1107" s="20" t="b">
        <f>IFERROR(__xludf.DUMMYFUNCTION("""COMPUTED_VALUE"""),FALSE)</f>
        <v>0</v>
      </c>
      <c r="L1107" s="20" t="str">
        <f>IFERROR(__xludf.DUMMYFUNCTION("""COMPUTED_VALUE"""),"String;Stack;Recursion;")</f>
        <v>String;Stack;Recursion;</v>
      </c>
      <c r="M1107" s="20" t="b">
        <f>IFERROR(__xludf.DUMMYFUNCTION("""COMPUTED_VALUE"""),FALSE)</f>
        <v>0</v>
      </c>
      <c r="N1107" s="20" t="b">
        <f>IFERROR(__xludf.DUMMYFUNCTION("""COMPUTED_VALUE"""),FALSE)</f>
        <v>0</v>
      </c>
      <c r="O1107" s="20">
        <f>IFERROR(__xludf.DUMMYFUNCTION("""COMPUTED_VALUE"""),58.5588006125903)</f>
        <v>58.55880061</v>
      </c>
      <c r="P1107" s="20">
        <f>IFERROR(__xludf.DUMMYFUNCTION("""COMPUTED_VALUE"""),21795.0)</f>
        <v>21795</v>
      </c>
      <c r="Q1107" s="20">
        <f>IFERROR(__xludf.DUMMYFUNCTION("""COMPUTED_VALUE"""),37219.0)</f>
        <v>37219</v>
      </c>
    </row>
    <row r="1108">
      <c r="A1108" s="20">
        <f>IFERROR(__xludf.DUMMYFUNCTION("""COMPUTED_VALUE"""),1204.0)</f>
        <v>1204</v>
      </c>
      <c r="B1108" s="20" t="str">
        <f>IFERROR(__xludf.DUMMYFUNCTION("""COMPUTED_VALUE"""),"New Users Daily Count")</f>
        <v>New Users Daily Count</v>
      </c>
      <c r="C1108" s="20" t="str">
        <f>IFERROR(__xludf.DUMMYFUNCTION("""COMPUTED_VALUE"""),"new-users-daily-count")</f>
        <v>new-users-daily-count</v>
      </c>
      <c r="D1108" s="20" t="b">
        <f>IFERROR(__xludf.DUMMYFUNCTION("""COMPUTED_VALUE"""),TRUE)</f>
        <v>1</v>
      </c>
      <c r="E1108" s="20" t="str">
        <f>IFERROR(__xludf.DUMMYFUNCTION("""COMPUTED_VALUE"""),"Medium")</f>
        <v>Medium</v>
      </c>
      <c r="F1108" s="20">
        <f>IFERROR(__xludf.DUMMYFUNCTION("""COMPUTED_VALUE"""),128.0)</f>
        <v>128</v>
      </c>
      <c r="G1108" s="20">
        <f>IFERROR(__xludf.DUMMYFUNCTION("""COMPUTED_VALUE"""),139.0)</f>
        <v>139</v>
      </c>
      <c r="H1108" s="20" t="str">
        <f>IFERROR(__xludf.DUMMYFUNCTION("""COMPUTED_VALUE"""),"Database")</f>
        <v>Database</v>
      </c>
      <c r="I1108" s="20">
        <f>IFERROR(__xludf.DUMMYFUNCTION("""COMPUTED_VALUE"""),0.456)</f>
        <v>0.456</v>
      </c>
      <c r="J1108" s="20">
        <f>IFERROR(__xludf.DUMMYFUNCTION("""COMPUTED_VALUE"""),1107.0)</f>
        <v>1107</v>
      </c>
      <c r="K1108" s="20" t="b">
        <f>IFERROR(__xludf.DUMMYFUNCTION("""COMPUTED_VALUE"""),TRUE)</f>
        <v>1</v>
      </c>
      <c r="L1108" s="20" t="str">
        <f>IFERROR(__xludf.DUMMYFUNCTION("""COMPUTED_VALUE"""),"Database;")</f>
        <v>Database;</v>
      </c>
      <c r="M1108" s="20" t="b">
        <f>IFERROR(__xludf.DUMMYFUNCTION("""COMPUTED_VALUE"""),FALSE)</f>
        <v>0</v>
      </c>
      <c r="N1108" s="20" t="b">
        <f>IFERROR(__xludf.DUMMYFUNCTION("""COMPUTED_VALUE"""),FALSE)</f>
        <v>0</v>
      </c>
      <c r="O1108" s="20">
        <f>IFERROR(__xludf.DUMMYFUNCTION("""COMPUTED_VALUE"""),45.6344713126832)</f>
        <v>45.63447131</v>
      </c>
      <c r="P1108" s="20">
        <f>IFERROR(__xludf.DUMMYFUNCTION("""COMPUTED_VALUE"""),29420.0)</f>
        <v>29420</v>
      </c>
      <c r="Q1108" s="20">
        <f>IFERROR(__xludf.DUMMYFUNCTION("""COMPUTED_VALUE"""),64470.0)</f>
        <v>64470</v>
      </c>
    </row>
    <row r="1109">
      <c r="A1109" s="20">
        <f>IFERROR(__xludf.DUMMYFUNCTION("""COMPUTED_VALUE"""),1205.0)</f>
        <v>1205</v>
      </c>
      <c r="B1109" s="20" t="str">
        <f>IFERROR(__xludf.DUMMYFUNCTION("""COMPUTED_VALUE"""),"Defanging an IP Address")</f>
        <v>Defanging an IP Address</v>
      </c>
      <c r="C1109" s="20" t="str">
        <f>IFERROR(__xludf.DUMMYFUNCTION("""COMPUTED_VALUE"""),"defanging-an-ip-address")</f>
        <v>defanging-an-ip-address</v>
      </c>
      <c r="D1109" s="20" t="b">
        <f>IFERROR(__xludf.DUMMYFUNCTION("""COMPUTED_VALUE"""),FALSE)</f>
        <v>0</v>
      </c>
      <c r="E1109" s="20" t="str">
        <f>IFERROR(__xludf.DUMMYFUNCTION("""COMPUTED_VALUE"""),"Easy")</f>
        <v>Easy</v>
      </c>
      <c r="F1109" s="20">
        <f>IFERROR(__xludf.DUMMYFUNCTION("""COMPUTED_VALUE"""),1473.0)</f>
        <v>1473</v>
      </c>
      <c r="G1109" s="20">
        <f>IFERROR(__xludf.DUMMYFUNCTION("""COMPUTED_VALUE"""),1619.0)</f>
        <v>1619</v>
      </c>
      <c r="H1109" s="20" t="str">
        <f>IFERROR(__xludf.DUMMYFUNCTION("""COMPUTED_VALUE"""),"Algorithms")</f>
        <v>Algorithms</v>
      </c>
      <c r="I1109" s="20">
        <f>IFERROR(__xludf.DUMMYFUNCTION("""COMPUTED_VALUE"""),0.893)</f>
        <v>0.893</v>
      </c>
      <c r="J1109" s="20">
        <f>IFERROR(__xludf.DUMMYFUNCTION("""COMPUTED_VALUE"""),1108.0)</f>
        <v>1108</v>
      </c>
      <c r="K1109" s="20" t="b">
        <f>IFERROR(__xludf.DUMMYFUNCTION("""COMPUTED_VALUE"""),FALSE)</f>
        <v>0</v>
      </c>
      <c r="L1109" s="20" t="str">
        <f>IFERROR(__xludf.DUMMYFUNCTION("""COMPUTED_VALUE"""),"String;")</f>
        <v>String;</v>
      </c>
      <c r="M1109" s="20" t="b">
        <f>IFERROR(__xludf.DUMMYFUNCTION("""COMPUTED_VALUE"""),FALSE)</f>
        <v>0</v>
      </c>
      <c r="N1109" s="20" t="b">
        <f>IFERROR(__xludf.DUMMYFUNCTION("""COMPUTED_VALUE"""),FALSE)</f>
        <v>0</v>
      </c>
      <c r="O1109" s="20">
        <f>IFERROR(__xludf.DUMMYFUNCTION("""COMPUTED_VALUE"""),89.2519502471933)</f>
        <v>89.25195025</v>
      </c>
      <c r="P1109" s="20">
        <f>IFERROR(__xludf.DUMMYFUNCTION("""COMPUTED_VALUE"""),477311.0)</f>
        <v>477311</v>
      </c>
      <c r="Q1109" s="20">
        <f>IFERROR(__xludf.DUMMYFUNCTION("""COMPUTED_VALUE"""),534789.0)</f>
        <v>534789</v>
      </c>
    </row>
    <row r="1110">
      <c r="A1110" s="20">
        <f>IFERROR(__xludf.DUMMYFUNCTION("""COMPUTED_VALUE"""),1206.0)</f>
        <v>1206</v>
      </c>
      <c r="B1110" s="20" t="str">
        <f>IFERROR(__xludf.DUMMYFUNCTION("""COMPUTED_VALUE"""),"Corporate Flight Bookings")</f>
        <v>Corporate Flight Bookings</v>
      </c>
      <c r="C1110" s="20" t="str">
        <f>IFERROR(__xludf.DUMMYFUNCTION("""COMPUTED_VALUE"""),"corporate-flight-bookings")</f>
        <v>corporate-flight-bookings</v>
      </c>
      <c r="D1110" s="20" t="b">
        <f>IFERROR(__xludf.DUMMYFUNCTION("""COMPUTED_VALUE"""),FALSE)</f>
        <v>0</v>
      </c>
      <c r="E1110" s="20" t="str">
        <f>IFERROR(__xludf.DUMMYFUNCTION("""COMPUTED_VALUE"""),"Medium")</f>
        <v>Medium</v>
      </c>
      <c r="F1110" s="20">
        <f>IFERROR(__xludf.DUMMYFUNCTION("""COMPUTED_VALUE"""),1280.0)</f>
        <v>1280</v>
      </c>
      <c r="G1110" s="20">
        <f>IFERROR(__xludf.DUMMYFUNCTION("""COMPUTED_VALUE"""),148.0)</f>
        <v>148</v>
      </c>
      <c r="H1110" s="20" t="str">
        <f>IFERROR(__xludf.DUMMYFUNCTION("""COMPUTED_VALUE"""),"Algorithms")</f>
        <v>Algorithms</v>
      </c>
      <c r="I1110" s="20">
        <f>IFERROR(__xludf.DUMMYFUNCTION("""COMPUTED_VALUE"""),0.605)</f>
        <v>0.605</v>
      </c>
      <c r="J1110" s="20">
        <f>IFERROR(__xludf.DUMMYFUNCTION("""COMPUTED_VALUE"""),1109.0)</f>
        <v>1109</v>
      </c>
      <c r="K1110" s="20" t="b">
        <f>IFERROR(__xludf.DUMMYFUNCTION("""COMPUTED_VALUE"""),FALSE)</f>
        <v>0</v>
      </c>
      <c r="L1110" s="20" t="str">
        <f>IFERROR(__xludf.DUMMYFUNCTION("""COMPUTED_VALUE"""),"Array;Prefix Sum;")</f>
        <v>Array;Prefix Sum;</v>
      </c>
      <c r="M1110" s="20" t="b">
        <f>IFERROR(__xludf.DUMMYFUNCTION("""COMPUTED_VALUE"""),FALSE)</f>
        <v>0</v>
      </c>
      <c r="N1110" s="20" t="b">
        <f>IFERROR(__xludf.DUMMYFUNCTION("""COMPUTED_VALUE"""),FALSE)</f>
        <v>0</v>
      </c>
      <c r="O1110" s="20">
        <f>IFERROR(__xludf.DUMMYFUNCTION("""COMPUTED_VALUE"""),60.5198221331496)</f>
        <v>60.51982213</v>
      </c>
      <c r="P1110" s="20">
        <f>IFERROR(__xludf.DUMMYFUNCTION("""COMPUTED_VALUE"""),48316.0)</f>
        <v>48316</v>
      </c>
      <c r="Q1110" s="20">
        <f>IFERROR(__xludf.DUMMYFUNCTION("""COMPUTED_VALUE"""),79833.0)</f>
        <v>79833</v>
      </c>
    </row>
    <row r="1111">
      <c r="A1111" s="20">
        <f>IFERROR(__xludf.DUMMYFUNCTION("""COMPUTED_VALUE"""),1207.0)</f>
        <v>1207</v>
      </c>
      <c r="B1111" s="20" t="str">
        <f>IFERROR(__xludf.DUMMYFUNCTION("""COMPUTED_VALUE"""),"Delete Nodes And Return Forest")</f>
        <v>Delete Nodes And Return Forest</v>
      </c>
      <c r="C1111" s="20" t="str">
        <f>IFERROR(__xludf.DUMMYFUNCTION("""COMPUTED_VALUE"""),"delete-nodes-and-return-forest")</f>
        <v>delete-nodes-and-return-forest</v>
      </c>
      <c r="D1111" s="20" t="b">
        <f>IFERROR(__xludf.DUMMYFUNCTION("""COMPUTED_VALUE"""),FALSE)</f>
        <v>0</v>
      </c>
      <c r="E1111" s="20" t="str">
        <f>IFERROR(__xludf.DUMMYFUNCTION("""COMPUTED_VALUE"""),"Medium")</f>
        <v>Medium</v>
      </c>
      <c r="F1111" s="20">
        <f>IFERROR(__xludf.DUMMYFUNCTION("""COMPUTED_VALUE"""),3254.0)</f>
        <v>3254</v>
      </c>
      <c r="G1111" s="20">
        <f>IFERROR(__xludf.DUMMYFUNCTION("""COMPUTED_VALUE"""),99.0)</f>
        <v>99</v>
      </c>
      <c r="H1111" s="20" t="str">
        <f>IFERROR(__xludf.DUMMYFUNCTION("""COMPUTED_VALUE"""),"Algorithms")</f>
        <v>Algorithms</v>
      </c>
      <c r="I1111" s="20">
        <f>IFERROR(__xludf.DUMMYFUNCTION("""COMPUTED_VALUE"""),0.693)</f>
        <v>0.693</v>
      </c>
      <c r="J1111" s="20">
        <f>IFERROR(__xludf.DUMMYFUNCTION("""COMPUTED_VALUE"""),1110.0)</f>
        <v>1110</v>
      </c>
      <c r="K1111" s="20" t="b">
        <f>IFERROR(__xludf.DUMMYFUNCTION("""COMPUTED_VALUE"""),FALSE)</f>
        <v>0</v>
      </c>
      <c r="L1111" s="20" t="str">
        <f>IFERROR(__xludf.DUMMYFUNCTION("""COMPUTED_VALUE"""),"Tree;Depth-First Search;Binary Tree;")</f>
        <v>Tree;Depth-First Search;Binary Tree;</v>
      </c>
      <c r="M1111" s="20" t="b">
        <f>IFERROR(__xludf.DUMMYFUNCTION("""COMPUTED_VALUE"""),FALSE)</f>
        <v>0</v>
      </c>
      <c r="N1111" s="20" t="b">
        <f>IFERROR(__xludf.DUMMYFUNCTION("""COMPUTED_VALUE"""),FALSE)</f>
        <v>0</v>
      </c>
      <c r="O1111" s="20">
        <f>IFERROR(__xludf.DUMMYFUNCTION("""COMPUTED_VALUE"""),69.3389874554088)</f>
        <v>69.33898746</v>
      </c>
      <c r="P1111" s="20">
        <f>IFERROR(__xludf.DUMMYFUNCTION("""COMPUTED_VALUE"""),176103.0)</f>
        <v>176103</v>
      </c>
      <c r="Q1111" s="20">
        <f>IFERROR(__xludf.DUMMYFUNCTION("""COMPUTED_VALUE"""),253974.0)</f>
        <v>253974</v>
      </c>
    </row>
    <row r="1112">
      <c r="A1112" s="20">
        <f>IFERROR(__xludf.DUMMYFUNCTION("""COMPUTED_VALUE"""),1208.0)</f>
        <v>1208</v>
      </c>
      <c r="B1112" s="20" t="str">
        <f>IFERROR(__xludf.DUMMYFUNCTION("""COMPUTED_VALUE"""),"Maximum Nesting Depth of Two Valid Parentheses Strings")</f>
        <v>Maximum Nesting Depth of Two Valid Parentheses Strings</v>
      </c>
      <c r="C1112" s="20" t="str">
        <f>IFERROR(__xludf.DUMMYFUNCTION("""COMPUTED_VALUE"""),"maximum-nesting-depth-of-two-valid-parentheses-strings")</f>
        <v>maximum-nesting-depth-of-two-valid-parentheses-strings</v>
      </c>
      <c r="D1112" s="20" t="b">
        <f>IFERROR(__xludf.DUMMYFUNCTION("""COMPUTED_VALUE"""),FALSE)</f>
        <v>0</v>
      </c>
      <c r="E1112" s="20" t="str">
        <f>IFERROR(__xludf.DUMMYFUNCTION("""COMPUTED_VALUE"""),"Medium")</f>
        <v>Medium</v>
      </c>
      <c r="F1112" s="20">
        <f>IFERROR(__xludf.DUMMYFUNCTION("""COMPUTED_VALUE"""),349.0)</f>
        <v>349</v>
      </c>
      <c r="G1112" s="20">
        <f>IFERROR(__xludf.DUMMYFUNCTION("""COMPUTED_VALUE"""),1447.0)</f>
        <v>1447</v>
      </c>
      <c r="H1112" s="20" t="str">
        <f>IFERROR(__xludf.DUMMYFUNCTION("""COMPUTED_VALUE"""),"Algorithms")</f>
        <v>Algorithms</v>
      </c>
      <c r="I1112" s="20">
        <f>IFERROR(__xludf.DUMMYFUNCTION("""COMPUTED_VALUE"""),0.732)</f>
        <v>0.732</v>
      </c>
      <c r="J1112" s="20">
        <f>IFERROR(__xludf.DUMMYFUNCTION("""COMPUTED_VALUE"""),1111.0)</f>
        <v>1111</v>
      </c>
      <c r="K1112" s="20" t="b">
        <f>IFERROR(__xludf.DUMMYFUNCTION("""COMPUTED_VALUE"""),FALSE)</f>
        <v>0</v>
      </c>
      <c r="L1112" s="20" t="str">
        <f>IFERROR(__xludf.DUMMYFUNCTION("""COMPUTED_VALUE"""),"String;Stack;")</f>
        <v>String;Stack;</v>
      </c>
      <c r="M1112" s="20" t="b">
        <f>IFERROR(__xludf.DUMMYFUNCTION("""COMPUTED_VALUE"""),FALSE)</f>
        <v>0</v>
      </c>
      <c r="N1112" s="20" t="b">
        <f>IFERROR(__xludf.DUMMYFUNCTION("""COMPUTED_VALUE"""),FALSE)</f>
        <v>0</v>
      </c>
      <c r="O1112" s="20">
        <f>IFERROR(__xludf.DUMMYFUNCTION("""COMPUTED_VALUE"""),73.1712132679588)</f>
        <v>73.17121327</v>
      </c>
      <c r="P1112" s="20">
        <f>IFERROR(__xludf.DUMMYFUNCTION("""COMPUTED_VALUE"""),22236.0)</f>
        <v>22236</v>
      </c>
      <c r="Q1112" s="20">
        <f>IFERROR(__xludf.DUMMYFUNCTION("""COMPUTED_VALUE"""),30389.0)</f>
        <v>30389</v>
      </c>
    </row>
    <row r="1113">
      <c r="A1113" s="20">
        <f>IFERROR(__xludf.DUMMYFUNCTION("""COMPUTED_VALUE"""),1214.0)</f>
        <v>1214</v>
      </c>
      <c r="B1113" s="20" t="str">
        <f>IFERROR(__xludf.DUMMYFUNCTION("""COMPUTED_VALUE"""),"Highest Grade For Each Student")</f>
        <v>Highest Grade For Each Student</v>
      </c>
      <c r="C1113" s="20" t="str">
        <f>IFERROR(__xludf.DUMMYFUNCTION("""COMPUTED_VALUE"""),"highest-grade-for-each-student")</f>
        <v>highest-grade-for-each-student</v>
      </c>
      <c r="D1113" s="20" t="b">
        <f>IFERROR(__xludf.DUMMYFUNCTION("""COMPUTED_VALUE"""),TRUE)</f>
        <v>1</v>
      </c>
      <c r="E1113" s="20" t="str">
        <f>IFERROR(__xludf.DUMMYFUNCTION("""COMPUTED_VALUE"""),"Medium")</f>
        <v>Medium</v>
      </c>
      <c r="F1113" s="20">
        <f>IFERROR(__xludf.DUMMYFUNCTION("""COMPUTED_VALUE"""),244.0)</f>
        <v>244</v>
      </c>
      <c r="G1113" s="20">
        <f>IFERROR(__xludf.DUMMYFUNCTION("""COMPUTED_VALUE"""),12.0)</f>
        <v>12</v>
      </c>
      <c r="H1113" s="20" t="str">
        <f>IFERROR(__xludf.DUMMYFUNCTION("""COMPUTED_VALUE"""),"Database")</f>
        <v>Database</v>
      </c>
      <c r="I1113" s="20">
        <f>IFERROR(__xludf.DUMMYFUNCTION("""COMPUTED_VALUE"""),0.732)</f>
        <v>0.732</v>
      </c>
      <c r="J1113" s="20">
        <f>IFERROR(__xludf.DUMMYFUNCTION("""COMPUTED_VALUE"""),1112.0)</f>
        <v>1112</v>
      </c>
      <c r="K1113" s="20" t="b">
        <f>IFERROR(__xludf.DUMMYFUNCTION("""COMPUTED_VALUE"""),TRUE)</f>
        <v>1</v>
      </c>
      <c r="L1113" s="20" t="str">
        <f>IFERROR(__xludf.DUMMYFUNCTION("""COMPUTED_VALUE"""),"Database;")</f>
        <v>Database;</v>
      </c>
      <c r="M1113" s="20" t="b">
        <f>IFERROR(__xludf.DUMMYFUNCTION("""COMPUTED_VALUE"""),FALSE)</f>
        <v>0</v>
      </c>
      <c r="N1113" s="20" t="b">
        <f>IFERROR(__xludf.DUMMYFUNCTION("""COMPUTED_VALUE"""),FALSE)</f>
        <v>0</v>
      </c>
      <c r="O1113" s="20">
        <f>IFERROR(__xludf.DUMMYFUNCTION("""COMPUTED_VALUE"""),73.2374264073827)</f>
        <v>73.23742641</v>
      </c>
      <c r="P1113" s="20">
        <f>IFERROR(__xludf.DUMMYFUNCTION("""COMPUTED_VALUE"""),45156.0)</f>
        <v>45156</v>
      </c>
      <c r="Q1113" s="20">
        <f>IFERROR(__xludf.DUMMYFUNCTION("""COMPUTED_VALUE"""),61657.0)</f>
        <v>61657</v>
      </c>
    </row>
    <row r="1114">
      <c r="A1114" s="20">
        <f>IFERROR(__xludf.DUMMYFUNCTION("""COMPUTED_VALUE"""),1215.0)</f>
        <v>1215</v>
      </c>
      <c r="B1114" s="20" t="str">
        <f>IFERROR(__xludf.DUMMYFUNCTION("""COMPUTED_VALUE"""),"Reported Posts")</f>
        <v>Reported Posts</v>
      </c>
      <c r="C1114" s="20" t="str">
        <f>IFERROR(__xludf.DUMMYFUNCTION("""COMPUTED_VALUE"""),"reported-posts")</f>
        <v>reported-posts</v>
      </c>
      <c r="D1114" s="20" t="b">
        <f>IFERROR(__xludf.DUMMYFUNCTION("""COMPUTED_VALUE"""),TRUE)</f>
        <v>1</v>
      </c>
      <c r="E1114" s="20" t="str">
        <f>IFERROR(__xludf.DUMMYFUNCTION("""COMPUTED_VALUE"""),"Easy")</f>
        <v>Easy</v>
      </c>
      <c r="F1114" s="20">
        <f>IFERROR(__xludf.DUMMYFUNCTION("""COMPUTED_VALUE"""),83.0)</f>
        <v>83</v>
      </c>
      <c r="G1114" s="20">
        <f>IFERROR(__xludf.DUMMYFUNCTION("""COMPUTED_VALUE"""),341.0)</f>
        <v>341</v>
      </c>
      <c r="H1114" s="20" t="str">
        <f>IFERROR(__xludf.DUMMYFUNCTION("""COMPUTED_VALUE"""),"Database")</f>
        <v>Database</v>
      </c>
      <c r="I1114" s="20">
        <f>IFERROR(__xludf.DUMMYFUNCTION("""COMPUTED_VALUE"""),0.66)</f>
        <v>0.66</v>
      </c>
      <c r="J1114" s="20">
        <f>IFERROR(__xludf.DUMMYFUNCTION("""COMPUTED_VALUE"""),1113.0)</f>
        <v>1113</v>
      </c>
      <c r="K1114" s="20" t="b">
        <f>IFERROR(__xludf.DUMMYFUNCTION("""COMPUTED_VALUE"""),TRUE)</f>
        <v>1</v>
      </c>
      <c r="L1114" s="20" t="str">
        <f>IFERROR(__xludf.DUMMYFUNCTION("""COMPUTED_VALUE"""),"Database;")</f>
        <v>Database;</v>
      </c>
      <c r="M1114" s="20" t="b">
        <f>IFERROR(__xludf.DUMMYFUNCTION("""COMPUTED_VALUE"""),FALSE)</f>
        <v>0</v>
      </c>
      <c r="N1114" s="20" t="b">
        <f>IFERROR(__xludf.DUMMYFUNCTION("""COMPUTED_VALUE"""),FALSE)</f>
        <v>0</v>
      </c>
      <c r="O1114" s="20">
        <f>IFERROR(__xludf.DUMMYFUNCTION("""COMPUTED_VALUE"""),66.0073495791773)</f>
        <v>66.00734958</v>
      </c>
      <c r="P1114" s="20">
        <f>IFERROR(__xludf.DUMMYFUNCTION("""COMPUTED_VALUE"""),38978.0)</f>
        <v>38978</v>
      </c>
      <c r="Q1114" s="20">
        <f>IFERROR(__xludf.DUMMYFUNCTION("""COMPUTED_VALUE"""),59051.0)</f>
        <v>59051</v>
      </c>
    </row>
    <row r="1115">
      <c r="A1115" s="20">
        <f>IFERROR(__xludf.DUMMYFUNCTION("""COMPUTED_VALUE"""),1203.0)</f>
        <v>1203</v>
      </c>
      <c r="B1115" s="20" t="str">
        <f>IFERROR(__xludf.DUMMYFUNCTION("""COMPUTED_VALUE"""),"Print in Order")</f>
        <v>Print in Order</v>
      </c>
      <c r="C1115" s="20" t="str">
        <f>IFERROR(__xludf.DUMMYFUNCTION("""COMPUTED_VALUE"""),"print-in-order")</f>
        <v>print-in-order</v>
      </c>
      <c r="D1115" s="20" t="b">
        <f>IFERROR(__xludf.DUMMYFUNCTION("""COMPUTED_VALUE"""),FALSE)</f>
        <v>0</v>
      </c>
      <c r="E1115" s="20" t="str">
        <f>IFERROR(__xludf.DUMMYFUNCTION("""COMPUTED_VALUE"""),"Easy")</f>
        <v>Easy</v>
      </c>
      <c r="F1115" s="20">
        <f>IFERROR(__xludf.DUMMYFUNCTION("""COMPUTED_VALUE"""),1161.0)</f>
        <v>1161</v>
      </c>
      <c r="G1115" s="20">
        <f>IFERROR(__xludf.DUMMYFUNCTION("""COMPUTED_VALUE"""),182.0)</f>
        <v>182</v>
      </c>
      <c r="H1115" s="20" t="str">
        <f>IFERROR(__xludf.DUMMYFUNCTION("""COMPUTED_VALUE"""),"Concurrency")</f>
        <v>Concurrency</v>
      </c>
      <c r="I1115" s="20">
        <f>IFERROR(__xludf.DUMMYFUNCTION("""COMPUTED_VALUE"""),0.683)</f>
        <v>0.683</v>
      </c>
      <c r="J1115" s="20">
        <f>IFERROR(__xludf.DUMMYFUNCTION("""COMPUTED_VALUE"""),1114.0)</f>
        <v>1114</v>
      </c>
      <c r="K1115" s="20" t="b">
        <f>IFERROR(__xludf.DUMMYFUNCTION("""COMPUTED_VALUE"""),FALSE)</f>
        <v>0</v>
      </c>
      <c r="L1115" s="20" t="str">
        <f>IFERROR(__xludf.DUMMYFUNCTION("""COMPUTED_VALUE"""),"Concurrency;")</f>
        <v>Concurrency;</v>
      </c>
      <c r="M1115" s="20" t="b">
        <f>IFERROR(__xludf.DUMMYFUNCTION("""COMPUTED_VALUE"""),TRUE)</f>
        <v>1</v>
      </c>
      <c r="N1115" s="20" t="b">
        <f>IFERROR(__xludf.DUMMYFUNCTION("""COMPUTED_VALUE"""),FALSE)</f>
        <v>0</v>
      </c>
      <c r="O1115" s="20">
        <f>IFERROR(__xludf.DUMMYFUNCTION("""COMPUTED_VALUE"""),68.2666293236241)</f>
        <v>68.26662932</v>
      </c>
      <c r="P1115" s="20">
        <f>IFERROR(__xludf.DUMMYFUNCTION("""COMPUTED_VALUE"""),121871.0)</f>
        <v>121871</v>
      </c>
      <c r="Q1115" s="20">
        <f>IFERROR(__xludf.DUMMYFUNCTION("""COMPUTED_VALUE"""),178523.0)</f>
        <v>178523</v>
      </c>
    </row>
    <row r="1116">
      <c r="A1116" s="20">
        <f>IFERROR(__xludf.DUMMYFUNCTION("""COMPUTED_VALUE"""),1187.0)</f>
        <v>1187</v>
      </c>
      <c r="B1116" s="20" t="str">
        <f>IFERROR(__xludf.DUMMYFUNCTION("""COMPUTED_VALUE"""),"Print FooBar Alternately")</f>
        <v>Print FooBar Alternately</v>
      </c>
      <c r="C1116" s="20" t="str">
        <f>IFERROR(__xludf.DUMMYFUNCTION("""COMPUTED_VALUE"""),"print-foobar-alternately")</f>
        <v>print-foobar-alternately</v>
      </c>
      <c r="D1116" s="20" t="b">
        <f>IFERROR(__xludf.DUMMYFUNCTION("""COMPUTED_VALUE"""),FALSE)</f>
        <v>0</v>
      </c>
      <c r="E1116" s="20" t="str">
        <f>IFERROR(__xludf.DUMMYFUNCTION("""COMPUTED_VALUE"""),"Medium")</f>
        <v>Medium</v>
      </c>
      <c r="F1116" s="20">
        <f>IFERROR(__xludf.DUMMYFUNCTION("""COMPUTED_VALUE"""),548.0)</f>
        <v>548</v>
      </c>
      <c r="G1116" s="20">
        <f>IFERROR(__xludf.DUMMYFUNCTION("""COMPUTED_VALUE"""),45.0)</f>
        <v>45</v>
      </c>
      <c r="H1116" s="20" t="str">
        <f>IFERROR(__xludf.DUMMYFUNCTION("""COMPUTED_VALUE"""),"Concurrency")</f>
        <v>Concurrency</v>
      </c>
      <c r="I1116" s="20">
        <f>IFERROR(__xludf.DUMMYFUNCTION("""COMPUTED_VALUE"""),0.621)</f>
        <v>0.621</v>
      </c>
      <c r="J1116" s="20">
        <f>IFERROR(__xludf.DUMMYFUNCTION("""COMPUTED_VALUE"""),1115.0)</f>
        <v>1115</v>
      </c>
      <c r="K1116" s="20" t="b">
        <f>IFERROR(__xludf.DUMMYFUNCTION("""COMPUTED_VALUE"""),FALSE)</f>
        <v>0</v>
      </c>
      <c r="L1116" s="20" t="str">
        <f>IFERROR(__xludf.DUMMYFUNCTION("""COMPUTED_VALUE"""),"Concurrency;")</f>
        <v>Concurrency;</v>
      </c>
      <c r="M1116" s="20" t="b">
        <f>IFERROR(__xludf.DUMMYFUNCTION("""COMPUTED_VALUE"""),FALSE)</f>
        <v>0</v>
      </c>
      <c r="N1116" s="20" t="b">
        <f>IFERROR(__xludf.DUMMYFUNCTION("""COMPUTED_VALUE"""),FALSE)</f>
        <v>0</v>
      </c>
      <c r="O1116" s="20">
        <f>IFERROR(__xludf.DUMMYFUNCTION("""COMPUTED_VALUE"""),62.0683426162878)</f>
        <v>62.06834262</v>
      </c>
      <c r="P1116" s="20">
        <f>IFERROR(__xludf.DUMMYFUNCTION("""COMPUTED_VALUE"""),61848.0)</f>
        <v>61848</v>
      </c>
      <c r="Q1116" s="20">
        <f>IFERROR(__xludf.DUMMYFUNCTION("""COMPUTED_VALUE"""),99644.0)</f>
        <v>99644</v>
      </c>
    </row>
    <row r="1117">
      <c r="A1117" s="20">
        <f>IFERROR(__xludf.DUMMYFUNCTION("""COMPUTED_VALUE"""),1216.0)</f>
        <v>1216</v>
      </c>
      <c r="B1117" s="20" t="str">
        <f>IFERROR(__xludf.DUMMYFUNCTION("""COMPUTED_VALUE"""),"Print Zero Even Odd")</f>
        <v>Print Zero Even Odd</v>
      </c>
      <c r="C1117" s="20" t="str">
        <f>IFERROR(__xludf.DUMMYFUNCTION("""COMPUTED_VALUE"""),"print-zero-even-odd")</f>
        <v>print-zero-even-odd</v>
      </c>
      <c r="D1117" s="20" t="b">
        <f>IFERROR(__xludf.DUMMYFUNCTION("""COMPUTED_VALUE"""),FALSE)</f>
        <v>0</v>
      </c>
      <c r="E1117" s="20" t="str">
        <f>IFERROR(__xludf.DUMMYFUNCTION("""COMPUTED_VALUE"""),"Medium")</f>
        <v>Medium</v>
      </c>
      <c r="F1117" s="20">
        <f>IFERROR(__xludf.DUMMYFUNCTION("""COMPUTED_VALUE"""),394.0)</f>
        <v>394</v>
      </c>
      <c r="G1117" s="20">
        <f>IFERROR(__xludf.DUMMYFUNCTION("""COMPUTED_VALUE"""),277.0)</f>
        <v>277</v>
      </c>
      <c r="H1117" s="20" t="str">
        <f>IFERROR(__xludf.DUMMYFUNCTION("""COMPUTED_VALUE"""),"Concurrency")</f>
        <v>Concurrency</v>
      </c>
      <c r="I1117" s="20">
        <f>IFERROR(__xludf.DUMMYFUNCTION("""COMPUTED_VALUE"""),0.604)</f>
        <v>0.604</v>
      </c>
      <c r="J1117" s="20">
        <f>IFERROR(__xludf.DUMMYFUNCTION("""COMPUTED_VALUE"""),1116.0)</f>
        <v>1116</v>
      </c>
      <c r="K1117" s="20" t="b">
        <f>IFERROR(__xludf.DUMMYFUNCTION("""COMPUTED_VALUE"""),FALSE)</f>
        <v>0</v>
      </c>
      <c r="L1117" s="20" t="str">
        <f>IFERROR(__xludf.DUMMYFUNCTION("""COMPUTED_VALUE"""),"Concurrency;")</f>
        <v>Concurrency;</v>
      </c>
      <c r="M1117" s="20" t="b">
        <f>IFERROR(__xludf.DUMMYFUNCTION("""COMPUTED_VALUE"""),FALSE)</f>
        <v>0</v>
      </c>
      <c r="N1117" s="20" t="b">
        <f>IFERROR(__xludf.DUMMYFUNCTION("""COMPUTED_VALUE"""),FALSE)</f>
        <v>0</v>
      </c>
      <c r="O1117" s="20">
        <f>IFERROR(__xludf.DUMMYFUNCTION("""COMPUTED_VALUE"""),60.3631082062454)</f>
        <v>60.36310821</v>
      </c>
      <c r="P1117" s="20">
        <f>IFERROR(__xludf.DUMMYFUNCTION("""COMPUTED_VALUE"""),37404.0)</f>
        <v>37404</v>
      </c>
      <c r="Q1117" s="20">
        <f>IFERROR(__xludf.DUMMYFUNCTION("""COMPUTED_VALUE"""),61965.0)</f>
        <v>61965</v>
      </c>
    </row>
    <row r="1118">
      <c r="A1118" s="20">
        <f>IFERROR(__xludf.DUMMYFUNCTION("""COMPUTED_VALUE"""),1186.0)</f>
        <v>1186</v>
      </c>
      <c r="B1118" s="20" t="str">
        <f>IFERROR(__xludf.DUMMYFUNCTION("""COMPUTED_VALUE"""),"Building H2O")</f>
        <v>Building H2O</v>
      </c>
      <c r="C1118" s="20" t="str">
        <f>IFERROR(__xludf.DUMMYFUNCTION("""COMPUTED_VALUE"""),"building-h2o")</f>
        <v>building-h2o</v>
      </c>
      <c r="D1118" s="20" t="b">
        <f>IFERROR(__xludf.DUMMYFUNCTION("""COMPUTED_VALUE"""),FALSE)</f>
        <v>0</v>
      </c>
      <c r="E1118" s="20" t="str">
        <f>IFERROR(__xludf.DUMMYFUNCTION("""COMPUTED_VALUE"""),"Medium")</f>
        <v>Medium</v>
      </c>
      <c r="F1118" s="20">
        <f>IFERROR(__xludf.DUMMYFUNCTION("""COMPUTED_VALUE"""),396.0)</f>
        <v>396</v>
      </c>
      <c r="G1118" s="20">
        <f>IFERROR(__xludf.DUMMYFUNCTION("""COMPUTED_VALUE"""),107.0)</f>
        <v>107</v>
      </c>
      <c r="H1118" s="20" t="str">
        <f>IFERROR(__xludf.DUMMYFUNCTION("""COMPUTED_VALUE"""),"Concurrency")</f>
        <v>Concurrency</v>
      </c>
      <c r="I1118" s="20">
        <f>IFERROR(__xludf.DUMMYFUNCTION("""COMPUTED_VALUE"""),0.558)</f>
        <v>0.558</v>
      </c>
      <c r="J1118" s="20">
        <f>IFERROR(__xludf.DUMMYFUNCTION("""COMPUTED_VALUE"""),1117.0)</f>
        <v>1117</v>
      </c>
      <c r="K1118" s="20" t="b">
        <f>IFERROR(__xludf.DUMMYFUNCTION("""COMPUTED_VALUE"""),FALSE)</f>
        <v>0</v>
      </c>
      <c r="L1118" s="20" t="str">
        <f>IFERROR(__xludf.DUMMYFUNCTION("""COMPUTED_VALUE"""),"Concurrency;")</f>
        <v>Concurrency;</v>
      </c>
      <c r="M1118" s="20" t="b">
        <f>IFERROR(__xludf.DUMMYFUNCTION("""COMPUTED_VALUE"""),FALSE)</f>
        <v>0</v>
      </c>
      <c r="N1118" s="20" t="b">
        <f>IFERROR(__xludf.DUMMYFUNCTION("""COMPUTED_VALUE"""),FALSE)</f>
        <v>0</v>
      </c>
      <c r="O1118" s="20">
        <f>IFERROR(__xludf.DUMMYFUNCTION("""COMPUTED_VALUE"""),55.7536901744446)</f>
        <v>55.75369017</v>
      </c>
      <c r="P1118" s="20">
        <f>IFERROR(__xludf.DUMMYFUNCTION("""COMPUTED_VALUE"""),37394.0)</f>
        <v>37394</v>
      </c>
      <c r="Q1118" s="20">
        <f>IFERROR(__xludf.DUMMYFUNCTION("""COMPUTED_VALUE"""),67070.0)</f>
        <v>67070</v>
      </c>
    </row>
    <row r="1119">
      <c r="A1119" s="20">
        <f>IFERROR(__xludf.DUMMYFUNCTION("""COMPUTED_VALUE"""),1088.0)</f>
        <v>1088</v>
      </c>
      <c r="B1119" s="20" t="str">
        <f>IFERROR(__xludf.DUMMYFUNCTION("""COMPUTED_VALUE"""),"Number of Days in a Month")</f>
        <v>Number of Days in a Month</v>
      </c>
      <c r="C1119" s="20" t="str">
        <f>IFERROR(__xludf.DUMMYFUNCTION("""COMPUTED_VALUE"""),"number-of-days-in-a-month")</f>
        <v>number-of-days-in-a-month</v>
      </c>
      <c r="D1119" s="20" t="b">
        <f>IFERROR(__xludf.DUMMYFUNCTION("""COMPUTED_VALUE"""),TRUE)</f>
        <v>1</v>
      </c>
      <c r="E1119" s="20" t="str">
        <f>IFERROR(__xludf.DUMMYFUNCTION("""COMPUTED_VALUE"""),"Easy")</f>
        <v>Easy</v>
      </c>
      <c r="F1119" s="20">
        <f>IFERROR(__xludf.DUMMYFUNCTION("""COMPUTED_VALUE"""),34.0)</f>
        <v>34</v>
      </c>
      <c r="G1119" s="20">
        <f>IFERROR(__xludf.DUMMYFUNCTION("""COMPUTED_VALUE"""),151.0)</f>
        <v>151</v>
      </c>
      <c r="H1119" s="20" t="str">
        <f>IFERROR(__xludf.DUMMYFUNCTION("""COMPUTED_VALUE"""),"Algorithms")</f>
        <v>Algorithms</v>
      </c>
      <c r="I1119" s="20">
        <f>IFERROR(__xludf.DUMMYFUNCTION("""COMPUTED_VALUE"""),0.569)</f>
        <v>0.569</v>
      </c>
      <c r="J1119" s="20">
        <f>IFERROR(__xludf.DUMMYFUNCTION("""COMPUTED_VALUE"""),1118.0)</f>
        <v>1118</v>
      </c>
      <c r="K1119" s="20" t="b">
        <f>IFERROR(__xludf.DUMMYFUNCTION("""COMPUTED_VALUE"""),TRUE)</f>
        <v>1</v>
      </c>
      <c r="L1119" s="20" t="str">
        <f>IFERROR(__xludf.DUMMYFUNCTION("""COMPUTED_VALUE"""),"Math;")</f>
        <v>Math;</v>
      </c>
      <c r="M1119" s="20" t="b">
        <f>IFERROR(__xludf.DUMMYFUNCTION("""COMPUTED_VALUE"""),FALSE)</f>
        <v>0</v>
      </c>
      <c r="N1119" s="20" t="b">
        <f>IFERROR(__xludf.DUMMYFUNCTION("""COMPUTED_VALUE"""),FALSE)</f>
        <v>0</v>
      </c>
      <c r="O1119" s="20">
        <f>IFERROR(__xludf.DUMMYFUNCTION("""COMPUTED_VALUE"""),56.9211073771803)</f>
        <v>56.92110738</v>
      </c>
      <c r="P1119" s="20">
        <f>IFERROR(__xludf.DUMMYFUNCTION("""COMPUTED_VALUE"""),7114.0)</f>
        <v>7114</v>
      </c>
      <c r="Q1119" s="20">
        <f>IFERROR(__xludf.DUMMYFUNCTION("""COMPUTED_VALUE"""),12498.0)</f>
        <v>12498</v>
      </c>
    </row>
    <row r="1120">
      <c r="A1120" s="20">
        <f>IFERROR(__xludf.DUMMYFUNCTION("""COMPUTED_VALUE"""),1089.0)</f>
        <v>1089</v>
      </c>
      <c r="B1120" s="20" t="str">
        <f>IFERROR(__xludf.DUMMYFUNCTION("""COMPUTED_VALUE"""),"Remove Vowels from a String")</f>
        <v>Remove Vowels from a String</v>
      </c>
      <c r="C1120" s="20" t="str">
        <f>IFERROR(__xludf.DUMMYFUNCTION("""COMPUTED_VALUE"""),"remove-vowels-from-a-string")</f>
        <v>remove-vowels-from-a-string</v>
      </c>
      <c r="D1120" s="20" t="b">
        <f>IFERROR(__xludf.DUMMYFUNCTION("""COMPUTED_VALUE"""),TRUE)</f>
        <v>1</v>
      </c>
      <c r="E1120" s="20" t="str">
        <f>IFERROR(__xludf.DUMMYFUNCTION("""COMPUTED_VALUE"""),"Easy")</f>
        <v>Easy</v>
      </c>
      <c r="F1120" s="20">
        <f>IFERROR(__xludf.DUMMYFUNCTION("""COMPUTED_VALUE"""),305.0)</f>
        <v>305</v>
      </c>
      <c r="G1120" s="20">
        <f>IFERROR(__xludf.DUMMYFUNCTION("""COMPUTED_VALUE"""),108.0)</f>
        <v>108</v>
      </c>
      <c r="H1120" s="20" t="str">
        <f>IFERROR(__xludf.DUMMYFUNCTION("""COMPUTED_VALUE"""),"Algorithms")</f>
        <v>Algorithms</v>
      </c>
      <c r="I1120" s="20">
        <f>IFERROR(__xludf.DUMMYFUNCTION("""COMPUTED_VALUE"""),0.908)</f>
        <v>0.908</v>
      </c>
      <c r="J1120" s="20">
        <f>IFERROR(__xludf.DUMMYFUNCTION("""COMPUTED_VALUE"""),1119.0)</f>
        <v>1119</v>
      </c>
      <c r="K1120" s="20" t="b">
        <f>IFERROR(__xludf.DUMMYFUNCTION("""COMPUTED_VALUE"""),TRUE)</f>
        <v>1</v>
      </c>
      <c r="L1120" s="20" t="str">
        <f>IFERROR(__xludf.DUMMYFUNCTION("""COMPUTED_VALUE"""),"String;")</f>
        <v>String;</v>
      </c>
      <c r="M1120" s="20" t="b">
        <f>IFERROR(__xludf.DUMMYFUNCTION("""COMPUTED_VALUE"""),FALSE)</f>
        <v>0</v>
      </c>
      <c r="N1120" s="20" t="b">
        <f>IFERROR(__xludf.DUMMYFUNCTION("""COMPUTED_VALUE"""),FALSE)</f>
        <v>0</v>
      </c>
      <c r="O1120" s="20">
        <f>IFERROR(__xludf.DUMMYFUNCTION("""COMPUTED_VALUE"""),90.7552005722119)</f>
        <v>90.75520057</v>
      </c>
      <c r="P1120" s="20">
        <f>IFERROR(__xludf.DUMMYFUNCTION("""COMPUTED_VALUE"""),91356.0)</f>
        <v>91356</v>
      </c>
      <c r="Q1120" s="20">
        <f>IFERROR(__xludf.DUMMYFUNCTION("""COMPUTED_VALUE"""),100662.0)</f>
        <v>100662</v>
      </c>
    </row>
    <row r="1121">
      <c r="A1121" s="20">
        <f>IFERROR(__xludf.DUMMYFUNCTION("""COMPUTED_VALUE"""),1091.0)</f>
        <v>1091</v>
      </c>
      <c r="B1121" s="20" t="str">
        <f>IFERROR(__xludf.DUMMYFUNCTION("""COMPUTED_VALUE"""),"Maximum Average Subtree")</f>
        <v>Maximum Average Subtree</v>
      </c>
      <c r="C1121" s="20" t="str">
        <f>IFERROR(__xludf.DUMMYFUNCTION("""COMPUTED_VALUE"""),"maximum-average-subtree")</f>
        <v>maximum-average-subtree</v>
      </c>
      <c r="D1121" s="20" t="b">
        <f>IFERROR(__xludf.DUMMYFUNCTION("""COMPUTED_VALUE"""),TRUE)</f>
        <v>1</v>
      </c>
      <c r="E1121" s="20" t="str">
        <f>IFERROR(__xludf.DUMMYFUNCTION("""COMPUTED_VALUE"""),"Medium")</f>
        <v>Medium</v>
      </c>
      <c r="F1121" s="20">
        <f>IFERROR(__xludf.DUMMYFUNCTION("""COMPUTED_VALUE"""),737.0)</f>
        <v>737</v>
      </c>
      <c r="G1121" s="20">
        <f>IFERROR(__xludf.DUMMYFUNCTION("""COMPUTED_VALUE"""),32.0)</f>
        <v>32</v>
      </c>
      <c r="H1121" s="20" t="str">
        <f>IFERROR(__xludf.DUMMYFUNCTION("""COMPUTED_VALUE"""),"Algorithms")</f>
        <v>Algorithms</v>
      </c>
      <c r="I1121" s="20">
        <f>IFERROR(__xludf.DUMMYFUNCTION("""COMPUTED_VALUE"""),0.655)</f>
        <v>0.655</v>
      </c>
      <c r="J1121" s="20">
        <f>IFERROR(__xludf.DUMMYFUNCTION("""COMPUTED_VALUE"""),1120.0)</f>
        <v>1120</v>
      </c>
      <c r="K1121" s="20" t="b">
        <f>IFERROR(__xludf.DUMMYFUNCTION("""COMPUTED_VALUE"""),TRUE)</f>
        <v>1</v>
      </c>
      <c r="L1121" s="20" t="str">
        <f>IFERROR(__xludf.DUMMYFUNCTION("""COMPUTED_VALUE"""),"Tree;Depth-First Search;Binary Tree;")</f>
        <v>Tree;Depth-First Search;Binary Tree;</v>
      </c>
      <c r="M1121" s="20" t="b">
        <f>IFERROR(__xludf.DUMMYFUNCTION("""COMPUTED_VALUE"""),TRUE)</f>
        <v>1</v>
      </c>
      <c r="N1121" s="20" t="b">
        <f>IFERROR(__xludf.DUMMYFUNCTION("""COMPUTED_VALUE"""),FALSE)</f>
        <v>0</v>
      </c>
      <c r="O1121" s="20">
        <f>IFERROR(__xludf.DUMMYFUNCTION("""COMPUTED_VALUE"""),65.522782178774)</f>
        <v>65.52278218</v>
      </c>
      <c r="P1121" s="20">
        <f>IFERROR(__xludf.DUMMYFUNCTION("""COMPUTED_VALUE"""),58312.0)</f>
        <v>58312</v>
      </c>
      <c r="Q1121" s="20">
        <f>IFERROR(__xludf.DUMMYFUNCTION("""COMPUTED_VALUE"""),88995.0)</f>
        <v>88995</v>
      </c>
    </row>
    <row r="1122">
      <c r="A1122" s="20">
        <f>IFERROR(__xludf.DUMMYFUNCTION("""COMPUTED_VALUE"""),1118.0)</f>
        <v>1118</v>
      </c>
      <c r="B1122" s="20" t="str">
        <f>IFERROR(__xludf.DUMMYFUNCTION("""COMPUTED_VALUE"""),"Divide Array Into Increasing Sequences")</f>
        <v>Divide Array Into Increasing Sequences</v>
      </c>
      <c r="C1122" s="20" t="str">
        <f>IFERROR(__xludf.DUMMYFUNCTION("""COMPUTED_VALUE"""),"divide-array-into-increasing-sequences")</f>
        <v>divide-array-into-increasing-sequences</v>
      </c>
      <c r="D1122" s="20" t="b">
        <f>IFERROR(__xludf.DUMMYFUNCTION("""COMPUTED_VALUE"""),TRUE)</f>
        <v>1</v>
      </c>
      <c r="E1122" s="20" t="str">
        <f>IFERROR(__xludf.DUMMYFUNCTION("""COMPUTED_VALUE"""),"Hard")</f>
        <v>Hard</v>
      </c>
      <c r="F1122" s="20">
        <f>IFERROR(__xludf.DUMMYFUNCTION("""COMPUTED_VALUE"""),104.0)</f>
        <v>104</v>
      </c>
      <c r="G1122" s="20">
        <f>IFERROR(__xludf.DUMMYFUNCTION("""COMPUTED_VALUE"""),26.0)</f>
        <v>26</v>
      </c>
      <c r="H1122" s="20" t="str">
        <f>IFERROR(__xludf.DUMMYFUNCTION("""COMPUTED_VALUE"""),"Algorithms")</f>
        <v>Algorithms</v>
      </c>
      <c r="I1122" s="20">
        <f>IFERROR(__xludf.DUMMYFUNCTION("""COMPUTED_VALUE"""),0.602)</f>
        <v>0.602</v>
      </c>
      <c r="J1122" s="20">
        <f>IFERROR(__xludf.DUMMYFUNCTION("""COMPUTED_VALUE"""),1121.0)</f>
        <v>1121</v>
      </c>
      <c r="K1122" s="20" t="b">
        <f>IFERROR(__xludf.DUMMYFUNCTION("""COMPUTED_VALUE"""),TRUE)</f>
        <v>1</v>
      </c>
      <c r="L1122" s="20" t="str">
        <f>IFERROR(__xludf.DUMMYFUNCTION("""COMPUTED_VALUE"""),"Array;Greedy;")</f>
        <v>Array;Greedy;</v>
      </c>
      <c r="M1122" s="20" t="b">
        <f>IFERROR(__xludf.DUMMYFUNCTION("""COMPUTED_VALUE"""),FALSE)</f>
        <v>0</v>
      </c>
      <c r="N1122" s="20" t="b">
        <f>IFERROR(__xludf.DUMMYFUNCTION("""COMPUTED_VALUE"""),FALSE)</f>
        <v>0</v>
      </c>
      <c r="O1122" s="20">
        <f>IFERROR(__xludf.DUMMYFUNCTION("""COMPUTED_VALUE"""),60.1610815475334)</f>
        <v>60.16108155</v>
      </c>
      <c r="P1122" s="20">
        <f>IFERROR(__xludf.DUMMYFUNCTION("""COMPUTED_VALUE"""),4183.0)</f>
        <v>4183</v>
      </c>
      <c r="Q1122" s="20">
        <f>IFERROR(__xludf.DUMMYFUNCTION("""COMPUTED_VALUE"""),6953.0)</f>
        <v>6953</v>
      </c>
    </row>
    <row r="1123">
      <c r="A1123" s="20">
        <f>IFERROR(__xludf.DUMMYFUNCTION("""COMPUTED_VALUE"""),1217.0)</f>
        <v>1217</v>
      </c>
      <c r="B1123" s="20" t="str">
        <f>IFERROR(__xludf.DUMMYFUNCTION("""COMPUTED_VALUE"""),"Relative Sort Array")</f>
        <v>Relative Sort Array</v>
      </c>
      <c r="C1123" s="20" t="str">
        <f>IFERROR(__xludf.DUMMYFUNCTION("""COMPUTED_VALUE"""),"relative-sort-array")</f>
        <v>relative-sort-array</v>
      </c>
      <c r="D1123" s="20" t="b">
        <f>IFERROR(__xludf.DUMMYFUNCTION("""COMPUTED_VALUE"""),FALSE)</f>
        <v>0</v>
      </c>
      <c r="E1123" s="20" t="str">
        <f>IFERROR(__xludf.DUMMYFUNCTION("""COMPUTED_VALUE"""),"Easy")</f>
        <v>Easy</v>
      </c>
      <c r="F1123" s="20">
        <f>IFERROR(__xludf.DUMMYFUNCTION("""COMPUTED_VALUE"""),2066.0)</f>
        <v>2066</v>
      </c>
      <c r="G1123" s="20">
        <f>IFERROR(__xludf.DUMMYFUNCTION("""COMPUTED_VALUE"""),119.0)</f>
        <v>119</v>
      </c>
      <c r="H1123" s="20" t="str">
        <f>IFERROR(__xludf.DUMMYFUNCTION("""COMPUTED_VALUE"""),"Algorithms")</f>
        <v>Algorithms</v>
      </c>
      <c r="I1123" s="20">
        <f>IFERROR(__xludf.DUMMYFUNCTION("""COMPUTED_VALUE"""),0.685)</f>
        <v>0.685</v>
      </c>
      <c r="J1123" s="20">
        <f>IFERROR(__xludf.DUMMYFUNCTION("""COMPUTED_VALUE"""),1122.0)</f>
        <v>1122</v>
      </c>
      <c r="K1123" s="20" t="b">
        <f>IFERROR(__xludf.DUMMYFUNCTION("""COMPUTED_VALUE"""),FALSE)</f>
        <v>0</v>
      </c>
      <c r="L1123" s="20" t="str">
        <f>IFERROR(__xludf.DUMMYFUNCTION("""COMPUTED_VALUE"""),"Array;Hash Table;Sorting;Counting Sort;")</f>
        <v>Array;Hash Table;Sorting;Counting Sort;</v>
      </c>
      <c r="M1123" s="20" t="b">
        <f>IFERROR(__xludf.DUMMYFUNCTION("""COMPUTED_VALUE"""),FALSE)</f>
        <v>0</v>
      </c>
      <c r="N1123" s="20" t="b">
        <f>IFERROR(__xludf.DUMMYFUNCTION("""COMPUTED_VALUE"""),FALSE)</f>
        <v>0</v>
      </c>
      <c r="O1123" s="20">
        <f>IFERROR(__xludf.DUMMYFUNCTION("""COMPUTED_VALUE"""),68.5058126228964)</f>
        <v>68.50581262</v>
      </c>
      <c r="P1123" s="20">
        <f>IFERROR(__xludf.DUMMYFUNCTION("""COMPUTED_VALUE"""),146671.0)</f>
        <v>146671</v>
      </c>
      <c r="Q1123" s="20">
        <f>IFERROR(__xludf.DUMMYFUNCTION("""COMPUTED_VALUE"""),214100.0)</f>
        <v>214100</v>
      </c>
    </row>
    <row r="1124">
      <c r="A1124" s="20">
        <f>IFERROR(__xludf.DUMMYFUNCTION("""COMPUTED_VALUE"""),1218.0)</f>
        <v>1218</v>
      </c>
      <c r="B1124" s="20" t="str">
        <f>IFERROR(__xludf.DUMMYFUNCTION("""COMPUTED_VALUE"""),"Lowest Common Ancestor of Deepest Leaves")</f>
        <v>Lowest Common Ancestor of Deepest Leaves</v>
      </c>
      <c r="C1124" s="20" t="str">
        <f>IFERROR(__xludf.DUMMYFUNCTION("""COMPUTED_VALUE"""),"lowest-common-ancestor-of-deepest-leaves")</f>
        <v>lowest-common-ancestor-of-deepest-leaves</v>
      </c>
      <c r="D1124" s="20" t="b">
        <f>IFERROR(__xludf.DUMMYFUNCTION("""COMPUTED_VALUE"""),FALSE)</f>
        <v>0</v>
      </c>
      <c r="E1124" s="20" t="str">
        <f>IFERROR(__xludf.DUMMYFUNCTION("""COMPUTED_VALUE"""),"Medium")</f>
        <v>Medium</v>
      </c>
      <c r="F1124" s="20">
        <f>IFERROR(__xludf.DUMMYFUNCTION("""COMPUTED_VALUE"""),1586.0)</f>
        <v>1586</v>
      </c>
      <c r="G1124" s="20">
        <f>IFERROR(__xludf.DUMMYFUNCTION("""COMPUTED_VALUE"""),775.0)</f>
        <v>775</v>
      </c>
      <c r="H1124" s="20" t="str">
        <f>IFERROR(__xludf.DUMMYFUNCTION("""COMPUTED_VALUE"""),"Algorithms")</f>
        <v>Algorithms</v>
      </c>
      <c r="I1124" s="20">
        <f>IFERROR(__xludf.DUMMYFUNCTION("""COMPUTED_VALUE"""),0.707)</f>
        <v>0.707</v>
      </c>
      <c r="J1124" s="20">
        <f>IFERROR(__xludf.DUMMYFUNCTION("""COMPUTED_VALUE"""),1123.0)</f>
        <v>1123</v>
      </c>
      <c r="K1124" s="20" t="b">
        <f>IFERROR(__xludf.DUMMYFUNCTION("""COMPUTED_VALUE"""),FALSE)</f>
        <v>0</v>
      </c>
      <c r="L1124" s="20" t="str">
        <f>IFERROR(__xludf.DUMMYFUNCTION("""COMPUTED_VALUE"""),"Hash Table;Tree;Depth-First Search;Breadth-First Search;Binary Tree;")</f>
        <v>Hash Table;Tree;Depth-First Search;Breadth-First Search;Binary Tree;</v>
      </c>
      <c r="M1124" s="20" t="b">
        <f>IFERROR(__xludf.DUMMYFUNCTION("""COMPUTED_VALUE"""),FALSE)</f>
        <v>0</v>
      </c>
      <c r="N1124" s="20" t="b">
        <f>IFERROR(__xludf.DUMMYFUNCTION("""COMPUTED_VALUE"""),FALSE)</f>
        <v>0</v>
      </c>
      <c r="O1124" s="20">
        <f>IFERROR(__xludf.DUMMYFUNCTION("""COMPUTED_VALUE"""),70.6936796987466)</f>
        <v>70.6936797</v>
      </c>
      <c r="P1124" s="20">
        <f>IFERROR(__xludf.DUMMYFUNCTION("""COMPUTED_VALUE"""),86920.0)</f>
        <v>86920</v>
      </c>
      <c r="Q1124" s="20">
        <f>IFERROR(__xludf.DUMMYFUNCTION("""COMPUTED_VALUE"""),122953.0)</f>
        <v>122953</v>
      </c>
    </row>
    <row r="1125">
      <c r="A1125" s="20">
        <f>IFERROR(__xludf.DUMMYFUNCTION("""COMPUTED_VALUE"""),1219.0)</f>
        <v>1219</v>
      </c>
      <c r="B1125" s="20" t="str">
        <f>IFERROR(__xludf.DUMMYFUNCTION("""COMPUTED_VALUE"""),"Longest Well-Performing Interval")</f>
        <v>Longest Well-Performing Interval</v>
      </c>
      <c r="C1125" s="20" t="str">
        <f>IFERROR(__xludf.DUMMYFUNCTION("""COMPUTED_VALUE"""),"longest-well-performing-interval")</f>
        <v>longest-well-performing-interval</v>
      </c>
      <c r="D1125" s="20" t="b">
        <f>IFERROR(__xludf.DUMMYFUNCTION("""COMPUTED_VALUE"""),FALSE)</f>
        <v>0</v>
      </c>
      <c r="E1125" s="20" t="str">
        <f>IFERROR(__xludf.DUMMYFUNCTION("""COMPUTED_VALUE"""),"Medium")</f>
        <v>Medium</v>
      </c>
      <c r="F1125" s="20">
        <f>IFERROR(__xludf.DUMMYFUNCTION("""COMPUTED_VALUE"""),1166.0)</f>
        <v>1166</v>
      </c>
      <c r="G1125" s="20">
        <f>IFERROR(__xludf.DUMMYFUNCTION("""COMPUTED_VALUE"""),99.0)</f>
        <v>99</v>
      </c>
      <c r="H1125" s="20" t="str">
        <f>IFERROR(__xludf.DUMMYFUNCTION("""COMPUTED_VALUE"""),"Algorithms")</f>
        <v>Algorithms</v>
      </c>
      <c r="I1125" s="20">
        <f>IFERROR(__xludf.DUMMYFUNCTION("""COMPUTED_VALUE"""),0.346)</f>
        <v>0.346</v>
      </c>
      <c r="J1125" s="20">
        <f>IFERROR(__xludf.DUMMYFUNCTION("""COMPUTED_VALUE"""),1124.0)</f>
        <v>1124</v>
      </c>
      <c r="K1125" s="20" t="b">
        <f>IFERROR(__xludf.DUMMYFUNCTION("""COMPUTED_VALUE"""),FALSE)</f>
        <v>0</v>
      </c>
      <c r="L1125" s="20" t="str">
        <f>IFERROR(__xludf.DUMMYFUNCTION("""COMPUTED_VALUE"""),"Array;Hash Table;Stack;Monotonic Stack;Prefix Sum;")</f>
        <v>Array;Hash Table;Stack;Monotonic Stack;Prefix Sum;</v>
      </c>
      <c r="M1125" s="20" t="b">
        <f>IFERROR(__xludf.DUMMYFUNCTION("""COMPUTED_VALUE"""),FALSE)</f>
        <v>0</v>
      </c>
      <c r="N1125" s="20" t="b">
        <f>IFERROR(__xludf.DUMMYFUNCTION("""COMPUTED_VALUE"""),FALSE)</f>
        <v>0</v>
      </c>
      <c r="O1125" s="20">
        <f>IFERROR(__xludf.DUMMYFUNCTION("""COMPUTED_VALUE"""),34.5740892906053)</f>
        <v>34.57408929</v>
      </c>
      <c r="P1125" s="20">
        <f>IFERROR(__xludf.DUMMYFUNCTION("""COMPUTED_VALUE"""),25246.0)</f>
        <v>25246</v>
      </c>
      <c r="Q1125" s="20">
        <f>IFERROR(__xludf.DUMMYFUNCTION("""COMPUTED_VALUE"""),73020.0)</f>
        <v>73020</v>
      </c>
    </row>
    <row r="1126">
      <c r="A1126" s="20">
        <f>IFERROR(__xludf.DUMMYFUNCTION("""COMPUTED_VALUE"""),1220.0)</f>
        <v>1220</v>
      </c>
      <c r="B1126" s="20" t="str">
        <f>IFERROR(__xludf.DUMMYFUNCTION("""COMPUTED_VALUE"""),"Smallest Sufficient Team")</f>
        <v>Smallest Sufficient Team</v>
      </c>
      <c r="C1126" s="20" t="str">
        <f>IFERROR(__xludf.DUMMYFUNCTION("""COMPUTED_VALUE"""),"smallest-sufficient-team")</f>
        <v>smallest-sufficient-team</v>
      </c>
      <c r="D1126" s="20" t="b">
        <f>IFERROR(__xludf.DUMMYFUNCTION("""COMPUTED_VALUE"""),FALSE)</f>
        <v>0</v>
      </c>
      <c r="E1126" s="20" t="str">
        <f>IFERROR(__xludf.DUMMYFUNCTION("""COMPUTED_VALUE"""),"Hard")</f>
        <v>Hard</v>
      </c>
      <c r="F1126" s="20">
        <f>IFERROR(__xludf.DUMMYFUNCTION("""COMPUTED_VALUE"""),863.0)</f>
        <v>863</v>
      </c>
      <c r="G1126" s="20">
        <f>IFERROR(__xludf.DUMMYFUNCTION("""COMPUTED_VALUE"""),15.0)</f>
        <v>15</v>
      </c>
      <c r="H1126" s="20" t="str">
        <f>IFERROR(__xludf.DUMMYFUNCTION("""COMPUTED_VALUE"""),"Algorithms")</f>
        <v>Algorithms</v>
      </c>
      <c r="I1126" s="20">
        <f>IFERROR(__xludf.DUMMYFUNCTION("""COMPUTED_VALUE"""),0.469)</f>
        <v>0.469</v>
      </c>
      <c r="J1126" s="20">
        <f>IFERROR(__xludf.DUMMYFUNCTION("""COMPUTED_VALUE"""),1125.0)</f>
        <v>1125</v>
      </c>
      <c r="K1126" s="20" t="b">
        <f>IFERROR(__xludf.DUMMYFUNCTION("""COMPUTED_VALUE"""),FALSE)</f>
        <v>0</v>
      </c>
      <c r="L1126" s="20" t="str">
        <f>IFERROR(__xludf.DUMMYFUNCTION("""COMPUTED_VALUE"""),"Array;Dynamic Programming;Bit Manipulation;Bitmask;")</f>
        <v>Array;Dynamic Programming;Bit Manipulation;Bitmask;</v>
      </c>
      <c r="M1126" s="20" t="b">
        <f>IFERROR(__xludf.DUMMYFUNCTION("""COMPUTED_VALUE"""),FALSE)</f>
        <v>0</v>
      </c>
      <c r="N1126" s="20" t="b">
        <f>IFERROR(__xludf.DUMMYFUNCTION("""COMPUTED_VALUE"""),FALSE)</f>
        <v>0</v>
      </c>
      <c r="O1126" s="20">
        <f>IFERROR(__xludf.DUMMYFUNCTION("""COMPUTED_VALUE"""),46.9246646026831)</f>
        <v>46.9246646</v>
      </c>
      <c r="P1126" s="20">
        <f>IFERROR(__xludf.DUMMYFUNCTION("""COMPUTED_VALUE"""),18188.0)</f>
        <v>18188</v>
      </c>
      <c r="Q1126" s="20">
        <f>IFERROR(__xludf.DUMMYFUNCTION("""COMPUTED_VALUE"""),38760.0)</f>
        <v>38760</v>
      </c>
    </row>
    <row r="1127">
      <c r="A1127" s="20">
        <f>IFERROR(__xludf.DUMMYFUNCTION("""COMPUTED_VALUE"""),1225.0)</f>
        <v>1225</v>
      </c>
      <c r="B1127" s="20" t="str">
        <f>IFERROR(__xludf.DUMMYFUNCTION("""COMPUTED_VALUE"""),"Active Businesses")</f>
        <v>Active Businesses</v>
      </c>
      <c r="C1127" s="20" t="str">
        <f>IFERROR(__xludf.DUMMYFUNCTION("""COMPUTED_VALUE"""),"active-businesses")</f>
        <v>active-businesses</v>
      </c>
      <c r="D1127" s="20" t="b">
        <f>IFERROR(__xludf.DUMMYFUNCTION("""COMPUTED_VALUE"""),TRUE)</f>
        <v>1</v>
      </c>
      <c r="E1127" s="20" t="str">
        <f>IFERROR(__xludf.DUMMYFUNCTION("""COMPUTED_VALUE"""),"Medium")</f>
        <v>Medium</v>
      </c>
      <c r="F1127" s="20">
        <f>IFERROR(__xludf.DUMMYFUNCTION("""COMPUTED_VALUE"""),235.0)</f>
        <v>235</v>
      </c>
      <c r="G1127" s="20">
        <f>IFERROR(__xludf.DUMMYFUNCTION("""COMPUTED_VALUE"""),25.0)</f>
        <v>25</v>
      </c>
      <c r="H1127" s="20" t="str">
        <f>IFERROR(__xludf.DUMMYFUNCTION("""COMPUTED_VALUE"""),"Database")</f>
        <v>Database</v>
      </c>
      <c r="I1127" s="20">
        <f>IFERROR(__xludf.DUMMYFUNCTION("""COMPUTED_VALUE"""),0.676)</f>
        <v>0.676</v>
      </c>
      <c r="J1127" s="20">
        <f>IFERROR(__xludf.DUMMYFUNCTION("""COMPUTED_VALUE"""),1126.0)</f>
        <v>1126</v>
      </c>
      <c r="K1127" s="20" t="b">
        <f>IFERROR(__xludf.DUMMYFUNCTION("""COMPUTED_VALUE"""),TRUE)</f>
        <v>1</v>
      </c>
      <c r="L1127" s="20" t="str">
        <f>IFERROR(__xludf.DUMMYFUNCTION("""COMPUTED_VALUE"""),"Database;")</f>
        <v>Database;</v>
      </c>
      <c r="M1127" s="20" t="b">
        <f>IFERROR(__xludf.DUMMYFUNCTION("""COMPUTED_VALUE"""),FALSE)</f>
        <v>0</v>
      </c>
      <c r="N1127" s="20" t="b">
        <f>IFERROR(__xludf.DUMMYFUNCTION("""COMPUTED_VALUE"""),FALSE)</f>
        <v>0</v>
      </c>
      <c r="O1127" s="20">
        <f>IFERROR(__xludf.DUMMYFUNCTION("""COMPUTED_VALUE"""),67.5641049105917)</f>
        <v>67.56410491</v>
      </c>
      <c r="P1127" s="20">
        <f>IFERROR(__xludf.DUMMYFUNCTION("""COMPUTED_VALUE"""),36915.0)</f>
        <v>36915</v>
      </c>
      <c r="Q1127" s="20">
        <f>IFERROR(__xludf.DUMMYFUNCTION("""COMPUTED_VALUE"""),54637.0)</f>
        <v>54637</v>
      </c>
    </row>
    <row r="1128">
      <c r="A1128" s="20">
        <f>IFERROR(__xludf.DUMMYFUNCTION("""COMPUTED_VALUE"""),1226.0)</f>
        <v>1226</v>
      </c>
      <c r="B1128" s="20" t="str">
        <f>IFERROR(__xludf.DUMMYFUNCTION("""COMPUTED_VALUE"""),"User Purchase Platform")</f>
        <v>User Purchase Platform</v>
      </c>
      <c r="C1128" s="20" t="str">
        <f>IFERROR(__xludf.DUMMYFUNCTION("""COMPUTED_VALUE"""),"user-purchase-platform")</f>
        <v>user-purchase-platform</v>
      </c>
      <c r="D1128" s="20" t="b">
        <f>IFERROR(__xludf.DUMMYFUNCTION("""COMPUTED_VALUE"""),TRUE)</f>
        <v>1</v>
      </c>
      <c r="E1128" s="20" t="str">
        <f>IFERROR(__xludf.DUMMYFUNCTION("""COMPUTED_VALUE"""),"Hard")</f>
        <v>Hard</v>
      </c>
      <c r="F1128" s="20">
        <f>IFERROR(__xludf.DUMMYFUNCTION("""COMPUTED_VALUE"""),153.0)</f>
        <v>153</v>
      </c>
      <c r="G1128" s="20">
        <f>IFERROR(__xludf.DUMMYFUNCTION("""COMPUTED_VALUE"""),119.0)</f>
        <v>119</v>
      </c>
      <c r="H1128" s="20" t="str">
        <f>IFERROR(__xludf.DUMMYFUNCTION("""COMPUTED_VALUE"""),"Database")</f>
        <v>Database</v>
      </c>
      <c r="I1128" s="20">
        <f>IFERROR(__xludf.DUMMYFUNCTION("""COMPUTED_VALUE"""),0.506)</f>
        <v>0.506</v>
      </c>
      <c r="J1128" s="20">
        <f>IFERROR(__xludf.DUMMYFUNCTION("""COMPUTED_VALUE"""),1127.0)</f>
        <v>1127</v>
      </c>
      <c r="K1128" s="20" t="b">
        <f>IFERROR(__xludf.DUMMYFUNCTION("""COMPUTED_VALUE"""),TRUE)</f>
        <v>1</v>
      </c>
      <c r="L1128" s="20" t="str">
        <f>IFERROR(__xludf.DUMMYFUNCTION("""COMPUTED_VALUE"""),"Database;")</f>
        <v>Database;</v>
      </c>
      <c r="M1128" s="20" t="b">
        <f>IFERROR(__xludf.DUMMYFUNCTION("""COMPUTED_VALUE"""),FALSE)</f>
        <v>0</v>
      </c>
      <c r="N1128" s="20" t="b">
        <f>IFERROR(__xludf.DUMMYFUNCTION("""COMPUTED_VALUE"""),FALSE)</f>
        <v>0</v>
      </c>
      <c r="O1128" s="20">
        <f>IFERROR(__xludf.DUMMYFUNCTION("""COMPUTED_VALUE"""),50.6336753168376)</f>
        <v>50.63367532</v>
      </c>
      <c r="P1128" s="20">
        <f>IFERROR(__xludf.DUMMYFUNCTION("""COMPUTED_VALUE"""),12583.0)</f>
        <v>12583</v>
      </c>
      <c r="Q1128" s="20">
        <f>IFERROR(__xludf.DUMMYFUNCTION("""COMPUTED_VALUE"""),24853.0)</f>
        <v>24853</v>
      </c>
    </row>
    <row r="1129">
      <c r="A1129" s="20">
        <f>IFERROR(__xludf.DUMMYFUNCTION("""COMPUTED_VALUE"""),1227.0)</f>
        <v>1227</v>
      </c>
      <c r="B1129" s="20" t="str">
        <f>IFERROR(__xludf.DUMMYFUNCTION("""COMPUTED_VALUE"""),"Number of Equivalent Domino Pairs")</f>
        <v>Number of Equivalent Domino Pairs</v>
      </c>
      <c r="C1129" s="20" t="str">
        <f>IFERROR(__xludf.DUMMYFUNCTION("""COMPUTED_VALUE"""),"number-of-equivalent-domino-pairs")</f>
        <v>number-of-equivalent-domino-pairs</v>
      </c>
      <c r="D1129" s="20" t="b">
        <f>IFERROR(__xludf.DUMMYFUNCTION("""COMPUTED_VALUE"""),FALSE)</f>
        <v>0</v>
      </c>
      <c r="E1129" s="20" t="str">
        <f>IFERROR(__xludf.DUMMYFUNCTION("""COMPUTED_VALUE"""),"Easy")</f>
        <v>Easy</v>
      </c>
      <c r="F1129" s="20">
        <f>IFERROR(__xludf.DUMMYFUNCTION("""COMPUTED_VALUE"""),559.0)</f>
        <v>559</v>
      </c>
      <c r="G1129" s="20">
        <f>IFERROR(__xludf.DUMMYFUNCTION("""COMPUTED_VALUE"""),283.0)</f>
        <v>283</v>
      </c>
      <c r="H1129" s="20" t="str">
        <f>IFERROR(__xludf.DUMMYFUNCTION("""COMPUTED_VALUE"""),"Algorithms")</f>
        <v>Algorithms</v>
      </c>
      <c r="I1129" s="20">
        <f>IFERROR(__xludf.DUMMYFUNCTION("""COMPUTED_VALUE"""),0.47)</f>
        <v>0.47</v>
      </c>
      <c r="J1129" s="20">
        <f>IFERROR(__xludf.DUMMYFUNCTION("""COMPUTED_VALUE"""),1128.0)</f>
        <v>1128</v>
      </c>
      <c r="K1129" s="20" t="b">
        <f>IFERROR(__xludf.DUMMYFUNCTION("""COMPUTED_VALUE"""),FALSE)</f>
        <v>0</v>
      </c>
      <c r="L1129" s="20" t="str">
        <f>IFERROR(__xludf.DUMMYFUNCTION("""COMPUTED_VALUE"""),"Array;Hash Table;Counting;")</f>
        <v>Array;Hash Table;Counting;</v>
      </c>
      <c r="M1129" s="20" t="b">
        <f>IFERROR(__xludf.DUMMYFUNCTION("""COMPUTED_VALUE"""),FALSE)</f>
        <v>0</v>
      </c>
      <c r="N1129" s="20" t="b">
        <f>IFERROR(__xludf.DUMMYFUNCTION("""COMPUTED_VALUE"""),FALSE)</f>
        <v>0</v>
      </c>
      <c r="O1129" s="20">
        <f>IFERROR(__xludf.DUMMYFUNCTION("""COMPUTED_VALUE"""),47.0341041792749)</f>
        <v>47.03410418</v>
      </c>
      <c r="P1129" s="20">
        <f>IFERROR(__xludf.DUMMYFUNCTION("""COMPUTED_VALUE"""),55179.0)</f>
        <v>55179</v>
      </c>
      <c r="Q1129" s="20">
        <f>IFERROR(__xludf.DUMMYFUNCTION("""COMPUTED_VALUE"""),117317.0)</f>
        <v>117317</v>
      </c>
    </row>
    <row r="1130">
      <c r="A1130" s="20">
        <f>IFERROR(__xludf.DUMMYFUNCTION("""COMPUTED_VALUE"""),1229.0)</f>
        <v>1229</v>
      </c>
      <c r="B1130" s="20" t="str">
        <f>IFERROR(__xludf.DUMMYFUNCTION("""COMPUTED_VALUE"""),"Shortest Path with Alternating Colors")</f>
        <v>Shortest Path with Alternating Colors</v>
      </c>
      <c r="C1130" s="20" t="str">
        <f>IFERROR(__xludf.DUMMYFUNCTION("""COMPUTED_VALUE"""),"shortest-path-with-alternating-colors")</f>
        <v>shortest-path-with-alternating-colors</v>
      </c>
      <c r="D1130" s="20" t="b">
        <f>IFERROR(__xludf.DUMMYFUNCTION("""COMPUTED_VALUE"""),FALSE)</f>
        <v>0</v>
      </c>
      <c r="E1130" s="20" t="str">
        <f>IFERROR(__xludf.DUMMYFUNCTION("""COMPUTED_VALUE"""),"Medium")</f>
        <v>Medium</v>
      </c>
      <c r="F1130" s="20">
        <f>IFERROR(__xludf.DUMMYFUNCTION("""COMPUTED_VALUE"""),1679.0)</f>
        <v>1679</v>
      </c>
      <c r="G1130" s="20">
        <f>IFERROR(__xludf.DUMMYFUNCTION("""COMPUTED_VALUE"""),83.0)</f>
        <v>83</v>
      </c>
      <c r="H1130" s="20" t="str">
        <f>IFERROR(__xludf.DUMMYFUNCTION("""COMPUTED_VALUE"""),"Algorithms")</f>
        <v>Algorithms</v>
      </c>
      <c r="I1130" s="20">
        <f>IFERROR(__xludf.DUMMYFUNCTION("""COMPUTED_VALUE"""),0.43)</f>
        <v>0.43</v>
      </c>
      <c r="J1130" s="20">
        <f>IFERROR(__xludf.DUMMYFUNCTION("""COMPUTED_VALUE"""),1129.0)</f>
        <v>1129</v>
      </c>
      <c r="K1130" s="20" t="b">
        <f>IFERROR(__xludf.DUMMYFUNCTION("""COMPUTED_VALUE"""),FALSE)</f>
        <v>0</v>
      </c>
      <c r="L1130" s="20" t="str">
        <f>IFERROR(__xludf.DUMMYFUNCTION("""COMPUTED_VALUE"""),"Breadth-First Search;Graph;")</f>
        <v>Breadth-First Search;Graph;</v>
      </c>
      <c r="M1130" s="20" t="b">
        <f>IFERROR(__xludf.DUMMYFUNCTION("""COMPUTED_VALUE"""),FALSE)</f>
        <v>0</v>
      </c>
      <c r="N1130" s="20" t="b">
        <f>IFERROR(__xludf.DUMMYFUNCTION("""COMPUTED_VALUE"""),FALSE)</f>
        <v>0</v>
      </c>
      <c r="O1130" s="20">
        <f>IFERROR(__xludf.DUMMYFUNCTION("""COMPUTED_VALUE"""),42.9549194408781)</f>
        <v>42.95491944</v>
      </c>
      <c r="P1130" s="20">
        <f>IFERROR(__xludf.DUMMYFUNCTION("""COMPUTED_VALUE"""),47507.0)</f>
        <v>47507</v>
      </c>
      <c r="Q1130" s="20">
        <f>IFERROR(__xludf.DUMMYFUNCTION("""COMPUTED_VALUE"""),110600.0)</f>
        <v>110600</v>
      </c>
    </row>
    <row r="1131">
      <c r="A1131" s="20">
        <f>IFERROR(__xludf.DUMMYFUNCTION("""COMPUTED_VALUE"""),1228.0)</f>
        <v>1228</v>
      </c>
      <c r="B1131" s="20" t="str">
        <f>IFERROR(__xludf.DUMMYFUNCTION("""COMPUTED_VALUE"""),"Minimum Cost Tree From Leaf Values")</f>
        <v>Minimum Cost Tree From Leaf Values</v>
      </c>
      <c r="C1131" s="20" t="str">
        <f>IFERROR(__xludf.DUMMYFUNCTION("""COMPUTED_VALUE"""),"minimum-cost-tree-from-leaf-values")</f>
        <v>minimum-cost-tree-from-leaf-values</v>
      </c>
      <c r="D1131" s="20" t="b">
        <f>IFERROR(__xludf.DUMMYFUNCTION("""COMPUTED_VALUE"""),FALSE)</f>
        <v>0</v>
      </c>
      <c r="E1131" s="20" t="str">
        <f>IFERROR(__xludf.DUMMYFUNCTION("""COMPUTED_VALUE"""),"Medium")</f>
        <v>Medium</v>
      </c>
      <c r="F1131" s="20">
        <f>IFERROR(__xludf.DUMMYFUNCTION("""COMPUTED_VALUE"""),3689.0)</f>
        <v>3689</v>
      </c>
      <c r="G1131" s="20">
        <f>IFERROR(__xludf.DUMMYFUNCTION("""COMPUTED_VALUE"""),246.0)</f>
        <v>246</v>
      </c>
      <c r="H1131" s="20" t="str">
        <f>IFERROR(__xludf.DUMMYFUNCTION("""COMPUTED_VALUE"""),"Algorithms")</f>
        <v>Algorithms</v>
      </c>
      <c r="I1131" s="20">
        <f>IFERROR(__xludf.DUMMYFUNCTION("""COMPUTED_VALUE"""),0.684)</f>
        <v>0.684</v>
      </c>
      <c r="J1131" s="20">
        <f>IFERROR(__xludf.DUMMYFUNCTION("""COMPUTED_VALUE"""),1130.0)</f>
        <v>1130</v>
      </c>
      <c r="K1131" s="20" t="b">
        <f>IFERROR(__xludf.DUMMYFUNCTION("""COMPUTED_VALUE"""),FALSE)</f>
        <v>0</v>
      </c>
      <c r="L1131" s="20" t="str">
        <f>IFERROR(__xludf.DUMMYFUNCTION("""COMPUTED_VALUE"""),"Dynamic Programming;Stack;Greedy;Monotonic Stack;")</f>
        <v>Dynamic Programming;Stack;Greedy;Monotonic Stack;</v>
      </c>
      <c r="M1131" s="20" t="b">
        <f>IFERROR(__xludf.DUMMYFUNCTION("""COMPUTED_VALUE"""),FALSE)</f>
        <v>0</v>
      </c>
      <c r="N1131" s="20" t="b">
        <f>IFERROR(__xludf.DUMMYFUNCTION("""COMPUTED_VALUE"""),FALSE)</f>
        <v>0</v>
      </c>
      <c r="O1131" s="20">
        <f>IFERROR(__xludf.DUMMYFUNCTION("""COMPUTED_VALUE"""),68.4471078686816)</f>
        <v>68.44710787</v>
      </c>
      <c r="P1131" s="20">
        <f>IFERROR(__xludf.DUMMYFUNCTION("""COMPUTED_VALUE"""),81437.0)</f>
        <v>81437</v>
      </c>
      <c r="Q1131" s="20">
        <f>IFERROR(__xludf.DUMMYFUNCTION("""COMPUTED_VALUE"""),118978.0)</f>
        <v>118978</v>
      </c>
    </row>
    <row r="1132">
      <c r="A1132" s="20">
        <f>IFERROR(__xludf.DUMMYFUNCTION("""COMPUTED_VALUE"""),1230.0)</f>
        <v>1230</v>
      </c>
      <c r="B1132" s="20" t="str">
        <f>IFERROR(__xludf.DUMMYFUNCTION("""COMPUTED_VALUE"""),"Maximum of Absolute Value Expression")</f>
        <v>Maximum of Absolute Value Expression</v>
      </c>
      <c r="C1132" s="20" t="str">
        <f>IFERROR(__xludf.DUMMYFUNCTION("""COMPUTED_VALUE"""),"maximum-of-absolute-value-expression")</f>
        <v>maximum-of-absolute-value-expression</v>
      </c>
      <c r="D1132" s="20" t="b">
        <f>IFERROR(__xludf.DUMMYFUNCTION("""COMPUTED_VALUE"""),FALSE)</f>
        <v>0</v>
      </c>
      <c r="E1132" s="20" t="str">
        <f>IFERROR(__xludf.DUMMYFUNCTION("""COMPUTED_VALUE"""),"Medium")</f>
        <v>Medium</v>
      </c>
      <c r="F1132" s="20">
        <f>IFERROR(__xludf.DUMMYFUNCTION("""COMPUTED_VALUE"""),540.0)</f>
        <v>540</v>
      </c>
      <c r="G1132" s="20">
        <f>IFERROR(__xludf.DUMMYFUNCTION("""COMPUTED_VALUE"""),367.0)</f>
        <v>367</v>
      </c>
      <c r="H1132" s="20" t="str">
        <f>IFERROR(__xludf.DUMMYFUNCTION("""COMPUTED_VALUE"""),"Algorithms")</f>
        <v>Algorithms</v>
      </c>
      <c r="I1132" s="20">
        <f>IFERROR(__xludf.DUMMYFUNCTION("""COMPUTED_VALUE"""),0.493)</f>
        <v>0.493</v>
      </c>
      <c r="J1132" s="20">
        <f>IFERROR(__xludf.DUMMYFUNCTION("""COMPUTED_VALUE"""),1131.0)</f>
        <v>1131</v>
      </c>
      <c r="K1132" s="20" t="b">
        <f>IFERROR(__xludf.DUMMYFUNCTION("""COMPUTED_VALUE"""),FALSE)</f>
        <v>0</v>
      </c>
      <c r="L1132" s="20" t="str">
        <f>IFERROR(__xludf.DUMMYFUNCTION("""COMPUTED_VALUE"""),"Array;Math;")</f>
        <v>Array;Math;</v>
      </c>
      <c r="M1132" s="20" t="b">
        <f>IFERROR(__xludf.DUMMYFUNCTION("""COMPUTED_VALUE"""),FALSE)</f>
        <v>0</v>
      </c>
      <c r="N1132" s="20" t="b">
        <f>IFERROR(__xludf.DUMMYFUNCTION("""COMPUTED_VALUE"""),FALSE)</f>
        <v>0</v>
      </c>
      <c r="O1132" s="20">
        <f>IFERROR(__xludf.DUMMYFUNCTION("""COMPUTED_VALUE"""),49.3321672761965)</f>
        <v>49.33216728</v>
      </c>
      <c r="P1132" s="20">
        <f>IFERROR(__xludf.DUMMYFUNCTION("""COMPUTED_VALUE"""),18615.0)</f>
        <v>18615</v>
      </c>
      <c r="Q1132" s="20">
        <f>IFERROR(__xludf.DUMMYFUNCTION("""COMPUTED_VALUE"""),37734.0)</f>
        <v>37734</v>
      </c>
    </row>
    <row r="1133">
      <c r="A1133" s="20">
        <f>IFERROR(__xludf.DUMMYFUNCTION("""COMPUTED_VALUE"""),1237.0)</f>
        <v>1237</v>
      </c>
      <c r="B1133" s="20" t="str">
        <f>IFERROR(__xludf.DUMMYFUNCTION("""COMPUTED_VALUE"""),"Reported Posts II")</f>
        <v>Reported Posts II</v>
      </c>
      <c r="C1133" s="20" t="str">
        <f>IFERROR(__xludf.DUMMYFUNCTION("""COMPUTED_VALUE"""),"reported-posts-ii")</f>
        <v>reported-posts-ii</v>
      </c>
      <c r="D1133" s="20" t="b">
        <f>IFERROR(__xludf.DUMMYFUNCTION("""COMPUTED_VALUE"""),TRUE)</f>
        <v>1</v>
      </c>
      <c r="E1133" s="20" t="str">
        <f>IFERROR(__xludf.DUMMYFUNCTION("""COMPUTED_VALUE"""),"Medium")</f>
        <v>Medium</v>
      </c>
      <c r="F1133" s="20">
        <f>IFERROR(__xludf.DUMMYFUNCTION("""COMPUTED_VALUE"""),136.0)</f>
        <v>136</v>
      </c>
      <c r="G1133" s="20">
        <f>IFERROR(__xludf.DUMMYFUNCTION("""COMPUTED_VALUE"""),493.0)</f>
        <v>493</v>
      </c>
      <c r="H1133" s="20" t="str">
        <f>IFERROR(__xludf.DUMMYFUNCTION("""COMPUTED_VALUE"""),"Database")</f>
        <v>Database</v>
      </c>
      <c r="I1133" s="20">
        <f>IFERROR(__xludf.DUMMYFUNCTION("""COMPUTED_VALUE"""),0.335)</f>
        <v>0.335</v>
      </c>
      <c r="J1133" s="20">
        <f>IFERROR(__xludf.DUMMYFUNCTION("""COMPUTED_VALUE"""),1132.0)</f>
        <v>1132</v>
      </c>
      <c r="K1133" s="20" t="b">
        <f>IFERROR(__xludf.DUMMYFUNCTION("""COMPUTED_VALUE"""),TRUE)</f>
        <v>1</v>
      </c>
      <c r="L1133" s="20" t="str">
        <f>IFERROR(__xludf.DUMMYFUNCTION("""COMPUTED_VALUE"""),"Database;")</f>
        <v>Database;</v>
      </c>
      <c r="M1133" s="20" t="b">
        <f>IFERROR(__xludf.DUMMYFUNCTION("""COMPUTED_VALUE"""),FALSE)</f>
        <v>0</v>
      </c>
      <c r="N1133" s="20" t="b">
        <f>IFERROR(__xludf.DUMMYFUNCTION("""COMPUTED_VALUE"""),FALSE)</f>
        <v>0</v>
      </c>
      <c r="O1133" s="20">
        <f>IFERROR(__xludf.DUMMYFUNCTION("""COMPUTED_VALUE"""),33.5354452977278)</f>
        <v>33.5354453</v>
      </c>
      <c r="P1133" s="20">
        <f>IFERROR(__xludf.DUMMYFUNCTION("""COMPUTED_VALUE"""),31747.0)</f>
        <v>31747</v>
      </c>
      <c r="Q1133" s="20">
        <f>IFERROR(__xludf.DUMMYFUNCTION("""COMPUTED_VALUE"""),94667.0)</f>
        <v>94667</v>
      </c>
    </row>
    <row r="1134">
      <c r="A1134" s="20">
        <f>IFERROR(__xludf.DUMMYFUNCTION("""COMPUTED_VALUE"""),1098.0)</f>
        <v>1098</v>
      </c>
      <c r="B1134" s="20" t="str">
        <f>IFERROR(__xludf.DUMMYFUNCTION("""COMPUTED_VALUE"""),"Largest Unique Number")</f>
        <v>Largest Unique Number</v>
      </c>
      <c r="C1134" s="20" t="str">
        <f>IFERROR(__xludf.DUMMYFUNCTION("""COMPUTED_VALUE"""),"largest-unique-number")</f>
        <v>largest-unique-number</v>
      </c>
      <c r="D1134" s="20" t="b">
        <f>IFERROR(__xludf.DUMMYFUNCTION("""COMPUTED_VALUE"""),TRUE)</f>
        <v>1</v>
      </c>
      <c r="E1134" s="20" t="str">
        <f>IFERROR(__xludf.DUMMYFUNCTION("""COMPUTED_VALUE"""),"Easy")</f>
        <v>Easy</v>
      </c>
      <c r="F1134" s="20">
        <f>IFERROR(__xludf.DUMMYFUNCTION("""COMPUTED_VALUE"""),254.0)</f>
        <v>254</v>
      </c>
      <c r="G1134" s="20">
        <f>IFERROR(__xludf.DUMMYFUNCTION("""COMPUTED_VALUE"""),16.0)</f>
        <v>16</v>
      </c>
      <c r="H1134" s="20" t="str">
        <f>IFERROR(__xludf.DUMMYFUNCTION("""COMPUTED_VALUE"""),"Algorithms")</f>
        <v>Algorithms</v>
      </c>
      <c r="I1134" s="20">
        <f>IFERROR(__xludf.DUMMYFUNCTION("""COMPUTED_VALUE"""),0.674)</f>
        <v>0.674</v>
      </c>
      <c r="J1134" s="20">
        <f>IFERROR(__xludf.DUMMYFUNCTION("""COMPUTED_VALUE"""),1133.0)</f>
        <v>1133</v>
      </c>
      <c r="K1134" s="20" t="b">
        <f>IFERROR(__xludf.DUMMYFUNCTION("""COMPUTED_VALUE"""),TRUE)</f>
        <v>1</v>
      </c>
      <c r="L1134" s="20" t="str">
        <f>IFERROR(__xludf.DUMMYFUNCTION("""COMPUTED_VALUE"""),"Array;Hash Table;Sorting;")</f>
        <v>Array;Hash Table;Sorting;</v>
      </c>
      <c r="M1134" s="20" t="b">
        <f>IFERROR(__xludf.DUMMYFUNCTION("""COMPUTED_VALUE"""),TRUE)</f>
        <v>1</v>
      </c>
      <c r="N1134" s="20" t="b">
        <f>IFERROR(__xludf.DUMMYFUNCTION("""COMPUTED_VALUE"""),FALSE)</f>
        <v>0</v>
      </c>
      <c r="O1134" s="20">
        <f>IFERROR(__xludf.DUMMYFUNCTION("""COMPUTED_VALUE"""),67.4343835856667)</f>
        <v>67.43438359</v>
      </c>
      <c r="P1134" s="20">
        <f>IFERROR(__xludf.DUMMYFUNCTION("""COMPUTED_VALUE"""),34608.0)</f>
        <v>34608</v>
      </c>
      <c r="Q1134" s="20">
        <f>IFERROR(__xludf.DUMMYFUNCTION("""COMPUTED_VALUE"""),51321.0)</f>
        <v>51321</v>
      </c>
    </row>
    <row r="1135">
      <c r="A1135" s="20">
        <f>IFERROR(__xludf.DUMMYFUNCTION("""COMPUTED_VALUE"""),1090.0)</f>
        <v>1090</v>
      </c>
      <c r="B1135" s="20" t="str">
        <f>IFERROR(__xludf.DUMMYFUNCTION("""COMPUTED_VALUE"""),"Armstrong Number")</f>
        <v>Armstrong Number</v>
      </c>
      <c r="C1135" s="20" t="str">
        <f>IFERROR(__xludf.DUMMYFUNCTION("""COMPUTED_VALUE"""),"armstrong-number")</f>
        <v>armstrong-number</v>
      </c>
      <c r="D1135" s="20" t="b">
        <f>IFERROR(__xludf.DUMMYFUNCTION("""COMPUTED_VALUE"""),TRUE)</f>
        <v>1</v>
      </c>
      <c r="E1135" s="20" t="str">
        <f>IFERROR(__xludf.DUMMYFUNCTION("""COMPUTED_VALUE"""),"Easy")</f>
        <v>Easy</v>
      </c>
      <c r="F1135" s="20">
        <f>IFERROR(__xludf.DUMMYFUNCTION("""COMPUTED_VALUE"""),173.0)</f>
        <v>173</v>
      </c>
      <c r="G1135" s="20">
        <f>IFERROR(__xludf.DUMMYFUNCTION("""COMPUTED_VALUE"""),18.0)</f>
        <v>18</v>
      </c>
      <c r="H1135" s="20" t="str">
        <f>IFERROR(__xludf.DUMMYFUNCTION("""COMPUTED_VALUE"""),"Algorithms")</f>
        <v>Algorithms</v>
      </c>
      <c r="I1135" s="20">
        <f>IFERROR(__xludf.DUMMYFUNCTION("""COMPUTED_VALUE"""),0.782)</f>
        <v>0.782</v>
      </c>
      <c r="J1135" s="20">
        <f>IFERROR(__xludf.DUMMYFUNCTION("""COMPUTED_VALUE"""),1134.0)</f>
        <v>1134</v>
      </c>
      <c r="K1135" s="20" t="b">
        <f>IFERROR(__xludf.DUMMYFUNCTION("""COMPUTED_VALUE"""),TRUE)</f>
        <v>1</v>
      </c>
      <c r="L1135" s="20" t="str">
        <f>IFERROR(__xludf.DUMMYFUNCTION("""COMPUTED_VALUE"""),"Math;")</f>
        <v>Math;</v>
      </c>
      <c r="M1135" s="20" t="b">
        <f>IFERROR(__xludf.DUMMYFUNCTION("""COMPUTED_VALUE"""),TRUE)</f>
        <v>1</v>
      </c>
      <c r="N1135" s="20" t="b">
        <f>IFERROR(__xludf.DUMMYFUNCTION("""COMPUTED_VALUE"""),FALSE)</f>
        <v>0</v>
      </c>
      <c r="O1135" s="20">
        <f>IFERROR(__xludf.DUMMYFUNCTION("""COMPUTED_VALUE"""),78.159493670886)</f>
        <v>78.15949367</v>
      </c>
      <c r="P1135" s="20">
        <f>IFERROR(__xludf.DUMMYFUNCTION("""COMPUTED_VALUE"""),30873.0)</f>
        <v>30873</v>
      </c>
      <c r="Q1135" s="20">
        <f>IFERROR(__xludf.DUMMYFUNCTION("""COMPUTED_VALUE"""),39500.0)</f>
        <v>39500</v>
      </c>
    </row>
    <row r="1136">
      <c r="A1136" s="20">
        <f>IFERROR(__xludf.DUMMYFUNCTION("""COMPUTED_VALUE"""),1100.0)</f>
        <v>1100</v>
      </c>
      <c r="B1136" s="20" t="str">
        <f>IFERROR(__xludf.DUMMYFUNCTION("""COMPUTED_VALUE"""),"Connecting Cities With Minimum Cost")</f>
        <v>Connecting Cities With Minimum Cost</v>
      </c>
      <c r="C1136" s="20" t="str">
        <f>IFERROR(__xludf.DUMMYFUNCTION("""COMPUTED_VALUE"""),"connecting-cities-with-minimum-cost")</f>
        <v>connecting-cities-with-minimum-cost</v>
      </c>
      <c r="D1136" s="20" t="b">
        <f>IFERROR(__xludf.DUMMYFUNCTION("""COMPUTED_VALUE"""),TRUE)</f>
        <v>1</v>
      </c>
      <c r="E1136" s="20" t="str">
        <f>IFERROR(__xludf.DUMMYFUNCTION("""COMPUTED_VALUE"""),"Medium")</f>
        <v>Medium</v>
      </c>
      <c r="F1136" s="20">
        <f>IFERROR(__xludf.DUMMYFUNCTION("""COMPUTED_VALUE"""),996.0)</f>
        <v>996</v>
      </c>
      <c r="G1136" s="20">
        <f>IFERROR(__xludf.DUMMYFUNCTION("""COMPUTED_VALUE"""),57.0)</f>
        <v>57</v>
      </c>
      <c r="H1136" s="20" t="str">
        <f>IFERROR(__xludf.DUMMYFUNCTION("""COMPUTED_VALUE"""),"Algorithms")</f>
        <v>Algorithms</v>
      </c>
      <c r="I1136" s="20">
        <f>IFERROR(__xludf.DUMMYFUNCTION("""COMPUTED_VALUE"""),0.612)</f>
        <v>0.612</v>
      </c>
      <c r="J1136" s="20">
        <f>IFERROR(__xludf.DUMMYFUNCTION("""COMPUTED_VALUE"""),1135.0)</f>
        <v>1135</v>
      </c>
      <c r="K1136" s="20" t="b">
        <f>IFERROR(__xludf.DUMMYFUNCTION("""COMPUTED_VALUE"""),TRUE)</f>
        <v>1</v>
      </c>
      <c r="L1136" s="20" t="str">
        <f>IFERROR(__xludf.DUMMYFUNCTION("""COMPUTED_VALUE"""),"Union Find;Graph;Heap (Priority Queue);Minimum Spanning Tree;")</f>
        <v>Union Find;Graph;Heap (Priority Queue);Minimum Spanning Tree;</v>
      </c>
      <c r="M1136" s="20" t="b">
        <f>IFERROR(__xludf.DUMMYFUNCTION("""COMPUTED_VALUE"""),TRUE)</f>
        <v>1</v>
      </c>
      <c r="N1136" s="20" t="b">
        <f>IFERROR(__xludf.DUMMYFUNCTION("""COMPUTED_VALUE"""),FALSE)</f>
        <v>0</v>
      </c>
      <c r="O1136" s="20">
        <f>IFERROR(__xludf.DUMMYFUNCTION("""COMPUTED_VALUE"""),61.2129611928885)</f>
        <v>61.21296119</v>
      </c>
      <c r="P1136" s="20">
        <f>IFERROR(__xludf.DUMMYFUNCTION("""COMPUTED_VALUE"""),64041.0)</f>
        <v>64041</v>
      </c>
      <c r="Q1136" s="20">
        <f>IFERROR(__xludf.DUMMYFUNCTION("""COMPUTED_VALUE"""),104620.0)</f>
        <v>104620</v>
      </c>
    </row>
    <row r="1137">
      <c r="A1137" s="20">
        <f>IFERROR(__xludf.DUMMYFUNCTION("""COMPUTED_VALUE"""),1101.0)</f>
        <v>1101</v>
      </c>
      <c r="B1137" s="20" t="str">
        <f>IFERROR(__xludf.DUMMYFUNCTION("""COMPUTED_VALUE"""),"Parallel Courses")</f>
        <v>Parallel Courses</v>
      </c>
      <c r="C1137" s="20" t="str">
        <f>IFERROR(__xludf.DUMMYFUNCTION("""COMPUTED_VALUE"""),"parallel-courses")</f>
        <v>parallel-courses</v>
      </c>
      <c r="D1137" s="20" t="b">
        <f>IFERROR(__xludf.DUMMYFUNCTION("""COMPUTED_VALUE"""),TRUE)</f>
        <v>1</v>
      </c>
      <c r="E1137" s="20" t="str">
        <f>IFERROR(__xludf.DUMMYFUNCTION("""COMPUTED_VALUE"""),"Medium")</f>
        <v>Medium</v>
      </c>
      <c r="F1137" s="20">
        <f>IFERROR(__xludf.DUMMYFUNCTION("""COMPUTED_VALUE"""),872.0)</f>
        <v>872</v>
      </c>
      <c r="G1137" s="20">
        <f>IFERROR(__xludf.DUMMYFUNCTION("""COMPUTED_VALUE"""),22.0)</f>
        <v>22</v>
      </c>
      <c r="H1137" s="20" t="str">
        <f>IFERROR(__xludf.DUMMYFUNCTION("""COMPUTED_VALUE"""),"Algorithms")</f>
        <v>Algorithms</v>
      </c>
      <c r="I1137" s="20">
        <f>IFERROR(__xludf.DUMMYFUNCTION("""COMPUTED_VALUE"""),0.618)</f>
        <v>0.618</v>
      </c>
      <c r="J1137" s="20">
        <f>IFERROR(__xludf.DUMMYFUNCTION("""COMPUTED_VALUE"""),1136.0)</f>
        <v>1136</v>
      </c>
      <c r="K1137" s="20" t="b">
        <f>IFERROR(__xludf.DUMMYFUNCTION("""COMPUTED_VALUE"""),TRUE)</f>
        <v>1</v>
      </c>
      <c r="L1137" s="20" t="str">
        <f>IFERROR(__xludf.DUMMYFUNCTION("""COMPUTED_VALUE"""),"Graph;Topological Sort;")</f>
        <v>Graph;Topological Sort;</v>
      </c>
      <c r="M1137" s="20" t="b">
        <f>IFERROR(__xludf.DUMMYFUNCTION("""COMPUTED_VALUE"""),TRUE)</f>
        <v>1</v>
      </c>
      <c r="N1137" s="20" t="b">
        <f>IFERROR(__xludf.DUMMYFUNCTION("""COMPUTED_VALUE"""),FALSE)</f>
        <v>0</v>
      </c>
      <c r="O1137" s="20">
        <f>IFERROR(__xludf.DUMMYFUNCTION("""COMPUTED_VALUE"""),61.8337908076855)</f>
        <v>61.83379081</v>
      </c>
      <c r="P1137" s="20">
        <f>IFERROR(__xludf.DUMMYFUNCTION("""COMPUTED_VALUE"""),52938.0)</f>
        <v>52938</v>
      </c>
      <c r="Q1137" s="20">
        <f>IFERROR(__xludf.DUMMYFUNCTION("""COMPUTED_VALUE"""),85613.0)</f>
        <v>85613</v>
      </c>
    </row>
    <row r="1138">
      <c r="A1138" s="20">
        <f>IFERROR(__xludf.DUMMYFUNCTION("""COMPUTED_VALUE"""),1236.0)</f>
        <v>1236</v>
      </c>
      <c r="B1138" s="20" t="str">
        <f>IFERROR(__xludf.DUMMYFUNCTION("""COMPUTED_VALUE"""),"N-th Tribonacci Number")</f>
        <v>N-th Tribonacci Number</v>
      </c>
      <c r="C1138" s="20" t="str">
        <f>IFERROR(__xludf.DUMMYFUNCTION("""COMPUTED_VALUE"""),"n-th-tribonacci-number")</f>
        <v>n-th-tribonacci-number</v>
      </c>
      <c r="D1138" s="20" t="b">
        <f>IFERROR(__xludf.DUMMYFUNCTION("""COMPUTED_VALUE"""),FALSE)</f>
        <v>0</v>
      </c>
      <c r="E1138" s="20" t="str">
        <f>IFERROR(__xludf.DUMMYFUNCTION("""COMPUTED_VALUE"""),"Easy")</f>
        <v>Easy</v>
      </c>
      <c r="F1138" s="20">
        <f>IFERROR(__xludf.DUMMYFUNCTION("""COMPUTED_VALUE"""),2523.0)</f>
        <v>2523</v>
      </c>
      <c r="G1138" s="20">
        <f>IFERROR(__xludf.DUMMYFUNCTION("""COMPUTED_VALUE"""),134.0)</f>
        <v>134</v>
      </c>
      <c r="H1138" s="20" t="str">
        <f>IFERROR(__xludf.DUMMYFUNCTION("""COMPUTED_VALUE"""),"Algorithms")</f>
        <v>Algorithms</v>
      </c>
      <c r="I1138" s="20">
        <f>IFERROR(__xludf.DUMMYFUNCTION("""COMPUTED_VALUE"""),0.633)</f>
        <v>0.633</v>
      </c>
      <c r="J1138" s="20">
        <f>IFERROR(__xludf.DUMMYFUNCTION("""COMPUTED_VALUE"""),1137.0)</f>
        <v>1137</v>
      </c>
      <c r="K1138" s="20" t="b">
        <f>IFERROR(__xludf.DUMMYFUNCTION("""COMPUTED_VALUE"""),FALSE)</f>
        <v>0</v>
      </c>
      <c r="L1138" s="20" t="str">
        <f>IFERROR(__xludf.DUMMYFUNCTION("""COMPUTED_VALUE"""),"Math;Dynamic Programming;Memoization;")</f>
        <v>Math;Dynamic Programming;Memoization;</v>
      </c>
      <c r="M1138" s="20" t="b">
        <f>IFERROR(__xludf.DUMMYFUNCTION("""COMPUTED_VALUE"""),TRUE)</f>
        <v>1</v>
      </c>
      <c r="N1138" s="20" t="b">
        <f>IFERROR(__xludf.DUMMYFUNCTION("""COMPUTED_VALUE"""),FALSE)</f>
        <v>0</v>
      </c>
      <c r="O1138" s="20">
        <f>IFERROR(__xludf.DUMMYFUNCTION("""COMPUTED_VALUE"""),63.2598688916378)</f>
        <v>63.25986889</v>
      </c>
      <c r="P1138" s="20">
        <f>IFERROR(__xludf.DUMMYFUNCTION("""COMPUTED_VALUE"""),375859.0)</f>
        <v>375859</v>
      </c>
      <c r="Q1138" s="20">
        <f>IFERROR(__xludf.DUMMYFUNCTION("""COMPUTED_VALUE"""),594146.0)</f>
        <v>594146</v>
      </c>
    </row>
    <row r="1139">
      <c r="A1139" s="20">
        <f>IFERROR(__xludf.DUMMYFUNCTION("""COMPUTED_VALUE"""),1238.0)</f>
        <v>1238</v>
      </c>
      <c r="B1139" s="20" t="str">
        <f>IFERROR(__xludf.DUMMYFUNCTION("""COMPUTED_VALUE"""),"Alphabet Board Path")</f>
        <v>Alphabet Board Path</v>
      </c>
      <c r="C1139" s="20" t="str">
        <f>IFERROR(__xludf.DUMMYFUNCTION("""COMPUTED_VALUE"""),"alphabet-board-path")</f>
        <v>alphabet-board-path</v>
      </c>
      <c r="D1139" s="20" t="b">
        <f>IFERROR(__xludf.DUMMYFUNCTION("""COMPUTED_VALUE"""),FALSE)</f>
        <v>0</v>
      </c>
      <c r="E1139" s="20" t="str">
        <f>IFERROR(__xludf.DUMMYFUNCTION("""COMPUTED_VALUE"""),"Medium")</f>
        <v>Medium</v>
      </c>
      <c r="F1139" s="20">
        <f>IFERROR(__xludf.DUMMYFUNCTION("""COMPUTED_VALUE"""),747.0)</f>
        <v>747</v>
      </c>
      <c r="G1139" s="20">
        <f>IFERROR(__xludf.DUMMYFUNCTION("""COMPUTED_VALUE"""),151.0)</f>
        <v>151</v>
      </c>
      <c r="H1139" s="20" t="str">
        <f>IFERROR(__xludf.DUMMYFUNCTION("""COMPUTED_VALUE"""),"Algorithms")</f>
        <v>Algorithms</v>
      </c>
      <c r="I1139" s="20">
        <f>IFERROR(__xludf.DUMMYFUNCTION("""COMPUTED_VALUE"""),0.523)</f>
        <v>0.523</v>
      </c>
      <c r="J1139" s="20">
        <f>IFERROR(__xludf.DUMMYFUNCTION("""COMPUTED_VALUE"""),1138.0)</f>
        <v>1138</v>
      </c>
      <c r="K1139" s="20" t="b">
        <f>IFERROR(__xludf.DUMMYFUNCTION("""COMPUTED_VALUE"""),FALSE)</f>
        <v>0</v>
      </c>
      <c r="L1139" s="20" t="str">
        <f>IFERROR(__xludf.DUMMYFUNCTION("""COMPUTED_VALUE"""),"Hash Table;String;")</f>
        <v>Hash Table;String;</v>
      </c>
      <c r="M1139" s="20" t="b">
        <f>IFERROR(__xludf.DUMMYFUNCTION("""COMPUTED_VALUE"""),FALSE)</f>
        <v>0</v>
      </c>
      <c r="N1139" s="20" t="b">
        <f>IFERROR(__xludf.DUMMYFUNCTION("""COMPUTED_VALUE"""),FALSE)</f>
        <v>0</v>
      </c>
      <c r="O1139" s="20">
        <f>IFERROR(__xludf.DUMMYFUNCTION("""COMPUTED_VALUE"""),52.2509216372057)</f>
        <v>52.25092164</v>
      </c>
      <c r="P1139" s="20">
        <f>IFERROR(__xludf.DUMMYFUNCTION("""COMPUTED_VALUE"""),44221.0)</f>
        <v>44221</v>
      </c>
      <c r="Q1139" s="20">
        <f>IFERROR(__xludf.DUMMYFUNCTION("""COMPUTED_VALUE"""),84632.0)</f>
        <v>84632</v>
      </c>
    </row>
    <row r="1140">
      <c r="A1140" s="20">
        <f>IFERROR(__xludf.DUMMYFUNCTION("""COMPUTED_VALUE"""),1239.0)</f>
        <v>1239</v>
      </c>
      <c r="B1140" s="20" t="str">
        <f>IFERROR(__xludf.DUMMYFUNCTION("""COMPUTED_VALUE"""),"Largest 1-Bordered Square")</f>
        <v>Largest 1-Bordered Square</v>
      </c>
      <c r="C1140" s="20" t="str">
        <f>IFERROR(__xludf.DUMMYFUNCTION("""COMPUTED_VALUE"""),"largest-1-bordered-square")</f>
        <v>largest-1-bordered-square</v>
      </c>
      <c r="D1140" s="20" t="b">
        <f>IFERROR(__xludf.DUMMYFUNCTION("""COMPUTED_VALUE"""),FALSE)</f>
        <v>0</v>
      </c>
      <c r="E1140" s="20" t="str">
        <f>IFERROR(__xludf.DUMMYFUNCTION("""COMPUTED_VALUE"""),"Medium")</f>
        <v>Medium</v>
      </c>
      <c r="F1140" s="20">
        <f>IFERROR(__xludf.DUMMYFUNCTION("""COMPUTED_VALUE"""),604.0)</f>
        <v>604</v>
      </c>
      <c r="G1140" s="20">
        <f>IFERROR(__xludf.DUMMYFUNCTION("""COMPUTED_VALUE"""),90.0)</f>
        <v>90</v>
      </c>
      <c r="H1140" s="20" t="str">
        <f>IFERROR(__xludf.DUMMYFUNCTION("""COMPUTED_VALUE"""),"Algorithms")</f>
        <v>Algorithms</v>
      </c>
      <c r="I1140" s="20">
        <f>IFERROR(__xludf.DUMMYFUNCTION("""COMPUTED_VALUE"""),0.501)</f>
        <v>0.501</v>
      </c>
      <c r="J1140" s="20">
        <f>IFERROR(__xludf.DUMMYFUNCTION("""COMPUTED_VALUE"""),1139.0)</f>
        <v>1139</v>
      </c>
      <c r="K1140" s="20" t="b">
        <f>IFERROR(__xludf.DUMMYFUNCTION("""COMPUTED_VALUE"""),FALSE)</f>
        <v>0</v>
      </c>
      <c r="L1140" s="20" t="str">
        <f>IFERROR(__xludf.DUMMYFUNCTION("""COMPUTED_VALUE"""),"Array;Dynamic Programming;Matrix;")</f>
        <v>Array;Dynamic Programming;Matrix;</v>
      </c>
      <c r="M1140" s="20" t="b">
        <f>IFERROR(__xludf.DUMMYFUNCTION("""COMPUTED_VALUE"""),FALSE)</f>
        <v>0</v>
      </c>
      <c r="N1140" s="20" t="b">
        <f>IFERROR(__xludf.DUMMYFUNCTION("""COMPUTED_VALUE"""),FALSE)</f>
        <v>0</v>
      </c>
      <c r="O1140" s="20">
        <f>IFERROR(__xludf.DUMMYFUNCTION("""COMPUTED_VALUE"""),50.0996346728661)</f>
        <v>50.09963467</v>
      </c>
      <c r="P1140" s="20">
        <f>IFERROR(__xludf.DUMMYFUNCTION("""COMPUTED_VALUE"""),21119.0)</f>
        <v>21119</v>
      </c>
      <c r="Q1140" s="20">
        <f>IFERROR(__xludf.DUMMYFUNCTION("""COMPUTED_VALUE"""),42154.0)</f>
        <v>42154</v>
      </c>
    </row>
    <row r="1141">
      <c r="A1141" s="20">
        <f>IFERROR(__xludf.DUMMYFUNCTION("""COMPUTED_VALUE"""),1240.0)</f>
        <v>1240</v>
      </c>
      <c r="B1141" s="20" t="str">
        <f>IFERROR(__xludf.DUMMYFUNCTION("""COMPUTED_VALUE"""),"Stone Game II")</f>
        <v>Stone Game II</v>
      </c>
      <c r="C1141" s="20" t="str">
        <f>IFERROR(__xludf.DUMMYFUNCTION("""COMPUTED_VALUE"""),"stone-game-ii")</f>
        <v>stone-game-ii</v>
      </c>
      <c r="D1141" s="20" t="b">
        <f>IFERROR(__xludf.DUMMYFUNCTION("""COMPUTED_VALUE"""),FALSE)</f>
        <v>0</v>
      </c>
      <c r="E1141" s="20" t="str">
        <f>IFERROR(__xludf.DUMMYFUNCTION("""COMPUTED_VALUE"""),"Medium")</f>
        <v>Medium</v>
      </c>
      <c r="F1141" s="20">
        <f>IFERROR(__xludf.DUMMYFUNCTION("""COMPUTED_VALUE"""),1581.0)</f>
        <v>1581</v>
      </c>
      <c r="G1141" s="20">
        <f>IFERROR(__xludf.DUMMYFUNCTION("""COMPUTED_VALUE"""),279.0)</f>
        <v>279</v>
      </c>
      <c r="H1141" s="20" t="str">
        <f>IFERROR(__xludf.DUMMYFUNCTION("""COMPUTED_VALUE"""),"Algorithms")</f>
        <v>Algorithms</v>
      </c>
      <c r="I1141" s="20">
        <f>IFERROR(__xludf.DUMMYFUNCTION("""COMPUTED_VALUE"""),0.648)</f>
        <v>0.648</v>
      </c>
      <c r="J1141" s="20">
        <f>IFERROR(__xludf.DUMMYFUNCTION("""COMPUTED_VALUE"""),1140.0)</f>
        <v>1140</v>
      </c>
      <c r="K1141" s="20" t="b">
        <f>IFERROR(__xludf.DUMMYFUNCTION("""COMPUTED_VALUE"""),FALSE)</f>
        <v>0</v>
      </c>
      <c r="L1141" s="20" t="str">
        <f>IFERROR(__xludf.DUMMYFUNCTION("""COMPUTED_VALUE"""),"Array;Math;Dynamic Programming;Game Theory;")</f>
        <v>Array;Math;Dynamic Programming;Game Theory;</v>
      </c>
      <c r="M1141" s="20" t="b">
        <f>IFERROR(__xludf.DUMMYFUNCTION("""COMPUTED_VALUE"""),FALSE)</f>
        <v>0</v>
      </c>
      <c r="N1141" s="20" t="b">
        <f>IFERROR(__xludf.DUMMYFUNCTION("""COMPUTED_VALUE"""),FALSE)</f>
        <v>0</v>
      </c>
      <c r="O1141" s="20">
        <f>IFERROR(__xludf.DUMMYFUNCTION("""COMPUTED_VALUE"""),64.8037307144725)</f>
        <v>64.80373071</v>
      </c>
      <c r="P1141" s="20">
        <f>IFERROR(__xludf.DUMMYFUNCTION("""COMPUTED_VALUE"""),44607.0)</f>
        <v>44607</v>
      </c>
      <c r="Q1141" s="20">
        <f>IFERROR(__xludf.DUMMYFUNCTION("""COMPUTED_VALUE"""),68834.0)</f>
        <v>68834</v>
      </c>
    </row>
    <row r="1142">
      <c r="A1142" s="20">
        <f>IFERROR(__xludf.DUMMYFUNCTION("""COMPUTED_VALUE"""),1245.0)</f>
        <v>1245</v>
      </c>
      <c r="B1142" s="20" t="str">
        <f>IFERROR(__xludf.DUMMYFUNCTION("""COMPUTED_VALUE"""),"User Activity for the Past 30 Days I")</f>
        <v>User Activity for the Past 30 Days I</v>
      </c>
      <c r="C1142" s="20" t="str">
        <f>IFERROR(__xludf.DUMMYFUNCTION("""COMPUTED_VALUE"""),"user-activity-for-the-past-30-days-i")</f>
        <v>user-activity-for-the-past-30-days-i</v>
      </c>
      <c r="D1142" s="20" t="b">
        <f>IFERROR(__xludf.DUMMYFUNCTION("""COMPUTED_VALUE"""),FALSE)</f>
        <v>0</v>
      </c>
      <c r="E1142" s="20" t="str">
        <f>IFERROR(__xludf.DUMMYFUNCTION("""COMPUTED_VALUE"""),"Easy")</f>
        <v>Easy</v>
      </c>
      <c r="F1142" s="20">
        <f>IFERROR(__xludf.DUMMYFUNCTION("""COMPUTED_VALUE"""),261.0)</f>
        <v>261</v>
      </c>
      <c r="G1142" s="20">
        <f>IFERROR(__xludf.DUMMYFUNCTION("""COMPUTED_VALUE"""),394.0)</f>
        <v>394</v>
      </c>
      <c r="H1142" s="20" t="str">
        <f>IFERROR(__xludf.DUMMYFUNCTION("""COMPUTED_VALUE"""),"Database")</f>
        <v>Database</v>
      </c>
      <c r="I1142" s="20">
        <f>IFERROR(__xludf.DUMMYFUNCTION("""COMPUTED_VALUE"""),0.495)</f>
        <v>0.495</v>
      </c>
      <c r="J1142" s="20">
        <f>IFERROR(__xludf.DUMMYFUNCTION("""COMPUTED_VALUE"""),1141.0)</f>
        <v>1141</v>
      </c>
      <c r="K1142" s="20" t="b">
        <f>IFERROR(__xludf.DUMMYFUNCTION("""COMPUTED_VALUE"""),FALSE)</f>
        <v>0</v>
      </c>
      <c r="L1142" s="20" t="str">
        <f>IFERROR(__xludf.DUMMYFUNCTION("""COMPUTED_VALUE"""),"Database;")</f>
        <v>Database;</v>
      </c>
      <c r="M1142" s="20" t="b">
        <f>IFERROR(__xludf.DUMMYFUNCTION("""COMPUTED_VALUE"""),FALSE)</f>
        <v>0</v>
      </c>
      <c r="N1142" s="20" t="b">
        <f>IFERROR(__xludf.DUMMYFUNCTION("""COMPUTED_VALUE"""),FALSE)</f>
        <v>0</v>
      </c>
      <c r="O1142" s="20">
        <f>IFERROR(__xludf.DUMMYFUNCTION("""COMPUTED_VALUE"""),49.5356987541889)</f>
        <v>49.53569875</v>
      </c>
      <c r="P1142" s="20">
        <f>IFERROR(__xludf.DUMMYFUNCTION("""COMPUTED_VALUE"""),77454.0)</f>
        <v>77454</v>
      </c>
      <c r="Q1142" s="20">
        <f>IFERROR(__xludf.DUMMYFUNCTION("""COMPUTED_VALUE"""),156362.0)</f>
        <v>156362</v>
      </c>
    </row>
    <row r="1143">
      <c r="A1143" s="20">
        <f>IFERROR(__xludf.DUMMYFUNCTION("""COMPUTED_VALUE"""),1246.0)</f>
        <v>1246</v>
      </c>
      <c r="B1143" s="20" t="str">
        <f>IFERROR(__xludf.DUMMYFUNCTION("""COMPUTED_VALUE"""),"User Activity for the Past 30 Days II")</f>
        <v>User Activity for the Past 30 Days II</v>
      </c>
      <c r="C1143" s="20" t="str">
        <f>IFERROR(__xludf.DUMMYFUNCTION("""COMPUTED_VALUE"""),"user-activity-for-the-past-30-days-ii")</f>
        <v>user-activity-for-the-past-30-days-ii</v>
      </c>
      <c r="D1143" s="20" t="b">
        <f>IFERROR(__xludf.DUMMYFUNCTION("""COMPUTED_VALUE"""),TRUE)</f>
        <v>1</v>
      </c>
      <c r="E1143" s="20" t="str">
        <f>IFERROR(__xludf.DUMMYFUNCTION("""COMPUTED_VALUE"""),"Easy")</f>
        <v>Easy</v>
      </c>
      <c r="F1143" s="20">
        <f>IFERROR(__xludf.DUMMYFUNCTION("""COMPUTED_VALUE"""),87.0)</f>
        <v>87</v>
      </c>
      <c r="G1143" s="20">
        <f>IFERROR(__xludf.DUMMYFUNCTION("""COMPUTED_VALUE"""),329.0)</f>
        <v>329</v>
      </c>
      <c r="H1143" s="20" t="str">
        <f>IFERROR(__xludf.DUMMYFUNCTION("""COMPUTED_VALUE"""),"Database")</f>
        <v>Database</v>
      </c>
      <c r="I1143" s="20">
        <f>IFERROR(__xludf.DUMMYFUNCTION("""COMPUTED_VALUE"""),0.359)</f>
        <v>0.359</v>
      </c>
      <c r="J1143" s="20">
        <f>IFERROR(__xludf.DUMMYFUNCTION("""COMPUTED_VALUE"""),1142.0)</f>
        <v>1142</v>
      </c>
      <c r="K1143" s="20" t="b">
        <f>IFERROR(__xludf.DUMMYFUNCTION("""COMPUTED_VALUE"""),TRUE)</f>
        <v>1</v>
      </c>
      <c r="L1143" s="20" t="str">
        <f>IFERROR(__xludf.DUMMYFUNCTION("""COMPUTED_VALUE"""),"Database;")</f>
        <v>Database;</v>
      </c>
      <c r="M1143" s="20" t="b">
        <f>IFERROR(__xludf.DUMMYFUNCTION("""COMPUTED_VALUE"""),FALSE)</f>
        <v>0</v>
      </c>
      <c r="N1143" s="20" t="b">
        <f>IFERROR(__xludf.DUMMYFUNCTION("""COMPUTED_VALUE"""),FALSE)</f>
        <v>0</v>
      </c>
      <c r="O1143" s="20">
        <f>IFERROR(__xludf.DUMMYFUNCTION("""COMPUTED_VALUE"""),35.9379404776287)</f>
        <v>35.93794048</v>
      </c>
      <c r="P1143" s="20">
        <f>IFERROR(__xludf.DUMMYFUNCTION("""COMPUTED_VALUE"""),35695.0)</f>
        <v>35695</v>
      </c>
      <c r="Q1143" s="20">
        <f>IFERROR(__xludf.DUMMYFUNCTION("""COMPUTED_VALUE"""),99324.0)</f>
        <v>99324</v>
      </c>
    </row>
    <row r="1144">
      <c r="A1144" s="20">
        <f>IFERROR(__xludf.DUMMYFUNCTION("""COMPUTED_VALUE"""),1250.0)</f>
        <v>1250</v>
      </c>
      <c r="B1144" s="20" t="str">
        <f>IFERROR(__xludf.DUMMYFUNCTION("""COMPUTED_VALUE"""),"Longest Common Subsequence")</f>
        <v>Longest Common Subsequence</v>
      </c>
      <c r="C1144" s="20" t="str">
        <f>IFERROR(__xludf.DUMMYFUNCTION("""COMPUTED_VALUE"""),"longest-common-subsequence")</f>
        <v>longest-common-subsequence</v>
      </c>
      <c r="D1144" s="20" t="b">
        <f>IFERROR(__xludf.DUMMYFUNCTION("""COMPUTED_VALUE"""),FALSE)</f>
        <v>0</v>
      </c>
      <c r="E1144" s="20" t="str">
        <f>IFERROR(__xludf.DUMMYFUNCTION("""COMPUTED_VALUE"""),"Medium")</f>
        <v>Medium</v>
      </c>
      <c r="F1144" s="20">
        <f>IFERROR(__xludf.DUMMYFUNCTION("""COMPUTED_VALUE"""),9896.0)</f>
        <v>9896</v>
      </c>
      <c r="G1144" s="20">
        <f>IFERROR(__xludf.DUMMYFUNCTION("""COMPUTED_VALUE"""),114.0)</f>
        <v>114</v>
      </c>
      <c r="H1144" s="20" t="str">
        <f>IFERROR(__xludf.DUMMYFUNCTION("""COMPUTED_VALUE"""),"Algorithms")</f>
        <v>Algorithms</v>
      </c>
      <c r="I1144" s="20">
        <f>IFERROR(__xludf.DUMMYFUNCTION("""COMPUTED_VALUE"""),0.586)</f>
        <v>0.586</v>
      </c>
      <c r="J1144" s="20">
        <f>IFERROR(__xludf.DUMMYFUNCTION("""COMPUTED_VALUE"""),1143.0)</f>
        <v>1143</v>
      </c>
      <c r="K1144" s="20" t="b">
        <f>IFERROR(__xludf.DUMMYFUNCTION("""COMPUTED_VALUE"""),FALSE)</f>
        <v>0</v>
      </c>
      <c r="L1144" s="20" t="str">
        <f>IFERROR(__xludf.DUMMYFUNCTION("""COMPUTED_VALUE"""),"String;Dynamic Programming;")</f>
        <v>String;Dynamic Programming;</v>
      </c>
      <c r="M1144" s="20" t="b">
        <f>IFERROR(__xludf.DUMMYFUNCTION("""COMPUTED_VALUE"""),TRUE)</f>
        <v>1</v>
      </c>
      <c r="N1144" s="20" t="b">
        <f>IFERROR(__xludf.DUMMYFUNCTION("""COMPUTED_VALUE"""),FALSE)</f>
        <v>0</v>
      </c>
      <c r="O1144" s="20">
        <f>IFERROR(__xludf.DUMMYFUNCTION("""COMPUTED_VALUE"""),58.6303579658933)</f>
        <v>58.63035797</v>
      </c>
      <c r="P1144" s="20">
        <f>IFERROR(__xludf.DUMMYFUNCTION("""COMPUTED_VALUE"""),625848.0)</f>
        <v>625848</v>
      </c>
      <c r="Q1144" s="20">
        <f>IFERROR(__xludf.DUMMYFUNCTION("""COMPUTED_VALUE"""),1067450.0)</f>
        <v>1067450</v>
      </c>
    </row>
    <row r="1145">
      <c r="A1145" s="20">
        <f>IFERROR(__xludf.DUMMYFUNCTION("""COMPUTED_VALUE"""),1247.0)</f>
        <v>1247</v>
      </c>
      <c r="B1145" s="20" t="str">
        <f>IFERROR(__xludf.DUMMYFUNCTION("""COMPUTED_VALUE"""),"Decrease Elements To Make Array Zigzag")</f>
        <v>Decrease Elements To Make Array Zigzag</v>
      </c>
      <c r="C1145" s="20" t="str">
        <f>IFERROR(__xludf.DUMMYFUNCTION("""COMPUTED_VALUE"""),"decrease-elements-to-make-array-zigzag")</f>
        <v>decrease-elements-to-make-array-zigzag</v>
      </c>
      <c r="D1145" s="20" t="b">
        <f>IFERROR(__xludf.DUMMYFUNCTION("""COMPUTED_VALUE"""),FALSE)</f>
        <v>0</v>
      </c>
      <c r="E1145" s="20" t="str">
        <f>IFERROR(__xludf.DUMMYFUNCTION("""COMPUTED_VALUE"""),"Medium")</f>
        <v>Medium</v>
      </c>
      <c r="F1145" s="20">
        <f>IFERROR(__xludf.DUMMYFUNCTION("""COMPUTED_VALUE"""),361.0)</f>
        <v>361</v>
      </c>
      <c r="G1145" s="20">
        <f>IFERROR(__xludf.DUMMYFUNCTION("""COMPUTED_VALUE"""),154.0)</f>
        <v>154</v>
      </c>
      <c r="H1145" s="20" t="str">
        <f>IFERROR(__xludf.DUMMYFUNCTION("""COMPUTED_VALUE"""),"Algorithms")</f>
        <v>Algorithms</v>
      </c>
      <c r="I1145" s="20">
        <f>IFERROR(__xludf.DUMMYFUNCTION("""COMPUTED_VALUE"""),0.472)</f>
        <v>0.472</v>
      </c>
      <c r="J1145" s="20">
        <f>IFERROR(__xludf.DUMMYFUNCTION("""COMPUTED_VALUE"""),1144.0)</f>
        <v>1144</v>
      </c>
      <c r="K1145" s="20" t="b">
        <f>IFERROR(__xludf.DUMMYFUNCTION("""COMPUTED_VALUE"""),FALSE)</f>
        <v>0</v>
      </c>
      <c r="L1145" s="20" t="str">
        <f>IFERROR(__xludf.DUMMYFUNCTION("""COMPUTED_VALUE"""),"Array;Greedy;")</f>
        <v>Array;Greedy;</v>
      </c>
      <c r="M1145" s="20" t="b">
        <f>IFERROR(__xludf.DUMMYFUNCTION("""COMPUTED_VALUE"""),FALSE)</f>
        <v>0</v>
      </c>
      <c r="N1145" s="20" t="b">
        <f>IFERROR(__xludf.DUMMYFUNCTION("""COMPUTED_VALUE"""),FALSE)</f>
        <v>0</v>
      </c>
      <c r="O1145" s="20">
        <f>IFERROR(__xludf.DUMMYFUNCTION("""COMPUTED_VALUE"""),47.1567149318692)</f>
        <v>47.15671493</v>
      </c>
      <c r="P1145" s="20">
        <f>IFERROR(__xludf.DUMMYFUNCTION("""COMPUTED_VALUE"""),16577.0)</f>
        <v>16577</v>
      </c>
      <c r="Q1145" s="20">
        <f>IFERROR(__xludf.DUMMYFUNCTION("""COMPUTED_VALUE"""),35153.0)</f>
        <v>35153</v>
      </c>
    </row>
    <row r="1146">
      <c r="A1146" s="20">
        <f>IFERROR(__xludf.DUMMYFUNCTION("""COMPUTED_VALUE"""),1248.0)</f>
        <v>1248</v>
      </c>
      <c r="B1146" s="20" t="str">
        <f>IFERROR(__xludf.DUMMYFUNCTION("""COMPUTED_VALUE"""),"Binary Tree Coloring Game")</f>
        <v>Binary Tree Coloring Game</v>
      </c>
      <c r="C1146" s="20" t="str">
        <f>IFERROR(__xludf.DUMMYFUNCTION("""COMPUTED_VALUE"""),"binary-tree-coloring-game")</f>
        <v>binary-tree-coloring-game</v>
      </c>
      <c r="D1146" s="20" t="b">
        <f>IFERROR(__xludf.DUMMYFUNCTION("""COMPUTED_VALUE"""),FALSE)</f>
        <v>0</v>
      </c>
      <c r="E1146" s="20" t="str">
        <f>IFERROR(__xludf.DUMMYFUNCTION("""COMPUTED_VALUE"""),"Medium")</f>
        <v>Medium</v>
      </c>
      <c r="F1146" s="20">
        <f>IFERROR(__xludf.DUMMYFUNCTION("""COMPUTED_VALUE"""),1153.0)</f>
        <v>1153</v>
      </c>
      <c r="G1146" s="20">
        <f>IFERROR(__xludf.DUMMYFUNCTION("""COMPUTED_VALUE"""),195.0)</f>
        <v>195</v>
      </c>
      <c r="H1146" s="20" t="str">
        <f>IFERROR(__xludf.DUMMYFUNCTION("""COMPUTED_VALUE"""),"Algorithms")</f>
        <v>Algorithms</v>
      </c>
      <c r="I1146" s="20">
        <f>IFERROR(__xludf.DUMMYFUNCTION("""COMPUTED_VALUE"""),0.515)</f>
        <v>0.515</v>
      </c>
      <c r="J1146" s="20">
        <f>IFERROR(__xludf.DUMMYFUNCTION("""COMPUTED_VALUE"""),1145.0)</f>
        <v>1145</v>
      </c>
      <c r="K1146" s="20" t="b">
        <f>IFERROR(__xludf.DUMMYFUNCTION("""COMPUTED_VALUE"""),FALSE)</f>
        <v>0</v>
      </c>
      <c r="L1146" s="20" t="str">
        <f>IFERROR(__xludf.DUMMYFUNCTION("""COMPUTED_VALUE"""),"Tree;Depth-First Search;Binary Tree;")</f>
        <v>Tree;Depth-First Search;Binary Tree;</v>
      </c>
      <c r="M1146" s="20" t="b">
        <f>IFERROR(__xludf.DUMMYFUNCTION("""COMPUTED_VALUE"""),FALSE)</f>
        <v>0</v>
      </c>
      <c r="N1146" s="20" t="b">
        <f>IFERROR(__xludf.DUMMYFUNCTION("""COMPUTED_VALUE"""),FALSE)</f>
        <v>0</v>
      </c>
      <c r="O1146" s="20">
        <f>IFERROR(__xludf.DUMMYFUNCTION("""COMPUTED_VALUE"""),51.5421369891549)</f>
        <v>51.54213699</v>
      </c>
      <c r="P1146" s="20">
        <f>IFERROR(__xludf.DUMMYFUNCTION("""COMPUTED_VALUE"""),39589.0)</f>
        <v>39589</v>
      </c>
      <c r="Q1146" s="20">
        <f>IFERROR(__xludf.DUMMYFUNCTION("""COMPUTED_VALUE"""),76809.0)</f>
        <v>76809</v>
      </c>
    </row>
    <row r="1147">
      <c r="A1147" s="20">
        <f>IFERROR(__xludf.DUMMYFUNCTION("""COMPUTED_VALUE"""),1249.0)</f>
        <v>1249</v>
      </c>
      <c r="B1147" s="20" t="str">
        <f>IFERROR(__xludf.DUMMYFUNCTION("""COMPUTED_VALUE"""),"Snapshot Array")</f>
        <v>Snapshot Array</v>
      </c>
      <c r="C1147" s="20" t="str">
        <f>IFERROR(__xludf.DUMMYFUNCTION("""COMPUTED_VALUE"""),"snapshot-array")</f>
        <v>snapshot-array</v>
      </c>
      <c r="D1147" s="20" t="b">
        <f>IFERROR(__xludf.DUMMYFUNCTION("""COMPUTED_VALUE"""),FALSE)</f>
        <v>0</v>
      </c>
      <c r="E1147" s="20" t="str">
        <f>IFERROR(__xludf.DUMMYFUNCTION("""COMPUTED_VALUE"""),"Medium")</f>
        <v>Medium</v>
      </c>
      <c r="F1147" s="20">
        <f>IFERROR(__xludf.DUMMYFUNCTION("""COMPUTED_VALUE"""),2051.0)</f>
        <v>2051</v>
      </c>
      <c r="G1147" s="20">
        <f>IFERROR(__xludf.DUMMYFUNCTION("""COMPUTED_VALUE"""),293.0)</f>
        <v>293</v>
      </c>
      <c r="H1147" s="20" t="str">
        <f>IFERROR(__xludf.DUMMYFUNCTION("""COMPUTED_VALUE"""),"Algorithms")</f>
        <v>Algorithms</v>
      </c>
      <c r="I1147" s="20">
        <f>IFERROR(__xludf.DUMMYFUNCTION("""COMPUTED_VALUE"""),0.373)</f>
        <v>0.373</v>
      </c>
      <c r="J1147" s="20">
        <f>IFERROR(__xludf.DUMMYFUNCTION("""COMPUTED_VALUE"""),1146.0)</f>
        <v>1146</v>
      </c>
      <c r="K1147" s="20" t="b">
        <f>IFERROR(__xludf.DUMMYFUNCTION("""COMPUTED_VALUE"""),FALSE)</f>
        <v>0</v>
      </c>
      <c r="L1147" s="20" t="str">
        <f>IFERROR(__xludf.DUMMYFUNCTION("""COMPUTED_VALUE"""),"Array;Hash Table;Binary Search;Design;")</f>
        <v>Array;Hash Table;Binary Search;Design;</v>
      </c>
      <c r="M1147" s="20" t="b">
        <f>IFERROR(__xludf.DUMMYFUNCTION("""COMPUTED_VALUE"""),FALSE)</f>
        <v>0</v>
      </c>
      <c r="N1147" s="20" t="b">
        <f>IFERROR(__xludf.DUMMYFUNCTION("""COMPUTED_VALUE"""),FALSE)</f>
        <v>0</v>
      </c>
      <c r="O1147" s="20">
        <f>IFERROR(__xludf.DUMMYFUNCTION("""COMPUTED_VALUE"""),37.2898610687687)</f>
        <v>37.28986107</v>
      </c>
      <c r="P1147" s="20">
        <f>IFERROR(__xludf.DUMMYFUNCTION("""COMPUTED_VALUE"""),136993.0)</f>
        <v>136993</v>
      </c>
      <c r="Q1147" s="20">
        <f>IFERROR(__xludf.DUMMYFUNCTION("""COMPUTED_VALUE"""),367374.0)</f>
        <v>367374</v>
      </c>
    </row>
    <row r="1148">
      <c r="A1148" s="20">
        <f>IFERROR(__xludf.DUMMYFUNCTION("""COMPUTED_VALUE"""),1251.0)</f>
        <v>1251</v>
      </c>
      <c r="B1148" s="20" t="str">
        <f>IFERROR(__xludf.DUMMYFUNCTION("""COMPUTED_VALUE"""),"Longest Chunked Palindrome Decomposition")</f>
        <v>Longest Chunked Palindrome Decomposition</v>
      </c>
      <c r="C1148" s="20" t="str">
        <f>IFERROR(__xludf.DUMMYFUNCTION("""COMPUTED_VALUE"""),"longest-chunked-palindrome-decomposition")</f>
        <v>longest-chunked-palindrome-decomposition</v>
      </c>
      <c r="D1148" s="20" t="b">
        <f>IFERROR(__xludf.DUMMYFUNCTION("""COMPUTED_VALUE"""),FALSE)</f>
        <v>0</v>
      </c>
      <c r="E1148" s="20" t="str">
        <f>IFERROR(__xludf.DUMMYFUNCTION("""COMPUTED_VALUE"""),"Hard")</f>
        <v>Hard</v>
      </c>
      <c r="F1148" s="20">
        <f>IFERROR(__xludf.DUMMYFUNCTION("""COMPUTED_VALUE"""),544.0)</f>
        <v>544</v>
      </c>
      <c r="G1148" s="20">
        <f>IFERROR(__xludf.DUMMYFUNCTION("""COMPUTED_VALUE"""),26.0)</f>
        <v>26</v>
      </c>
      <c r="H1148" s="20" t="str">
        <f>IFERROR(__xludf.DUMMYFUNCTION("""COMPUTED_VALUE"""),"Algorithms")</f>
        <v>Algorithms</v>
      </c>
      <c r="I1148" s="20">
        <f>IFERROR(__xludf.DUMMYFUNCTION("""COMPUTED_VALUE"""),0.596)</f>
        <v>0.596</v>
      </c>
      <c r="J1148" s="20">
        <f>IFERROR(__xludf.DUMMYFUNCTION("""COMPUTED_VALUE"""),1147.0)</f>
        <v>1147</v>
      </c>
      <c r="K1148" s="20" t="b">
        <f>IFERROR(__xludf.DUMMYFUNCTION("""COMPUTED_VALUE"""),FALSE)</f>
        <v>0</v>
      </c>
      <c r="L1148" s="20" t="str">
        <f>IFERROR(__xludf.DUMMYFUNCTION("""COMPUTED_VALUE"""),"Two Pointers;String;Dynamic Programming;Greedy;Rolling Hash;Hash Function;")</f>
        <v>Two Pointers;String;Dynamic Programming;Greedy;Rolling Hash;Hash Function;</v>
      </c>
      <c r="M1148" s="20" t="b">
        <f>IFERROR(__xludf.DUMMYFUNCTION("""COMPUTED_VALUE"""),FALSE)</f>
        <v>0</v>
      </c>
      <c r="N1148" s="20" t="b">
        <f>IFERROR(__xludf.DUMMYFUNCTION("""COMPUTED_VALUE"""),FALSE)</f>
        <v>0</v>
      </c>
      <c r="O1148" s="20">
        <f>IFERROR(__xludf.DUMMYFUNCTION("""COMPUTED_VALUE"""),59.6200923429704)</f>
        <v>59.62009234</v>
      </c>
      <c r="P1148" s="20">
        <f>IFERROR(__xludf.DUMMYFUNCTION("""COMPUTED_VALUE"""),19239.0)</f>
        <v>19239</v>
      </c>
      <c r="Q1148" s="20">
        <f>IFERROR(__xludf.DUMMYFUNCTION("""COMPUTED_VALUE"""),32270.0)</f>
        <v>32270</v>
      </c>
    </row>
    <row r="1149">
      <c r="A1149" s="20">
        <f>IFERROR(__xludf.DUMMYFUNCTION("""COMPUTED_VALUE"""),1258.0)</f>
        <v>1258</v>
      </c>
      <c r="B1149" s="20" t="str">
        <f>IFERROR(__xludf.DUMMYFUNCTION("""COMPUTED_VALUE"""),"Article Views I")</f>
        <v>Article Views I</v>
      </c>
      <c r="C1149" s="20" t="str">
        <f>IFERROR(__xludf.DUMMYFUNCTION("""COMPUTED_VALUE"""),"article-views-i")</f>
        <v>article-views-i</v>
      </c>
      <c r="D1149" s="20" t="b">
        <f>IFERROR(__xludf.DUMMYFUNCTION("""COMPUTED_VALUE"""),FALSE)</f>
        <v>0</v>
      </c>
      <c r="E1149" s="20" t="str">
        <f>IFERROR(__xludf.DUMMYFUNCTION("""COMPUTED_VALUE"""),"Easy")</f>
        <v>Easy</v>
      </c>
      <c r="F1149" s="20">
        <f>IFERROR(__xludf.DUMMYFUNCTION("""COMPUTED_VALUE"""),313.0)</f>
        <v>313</v>
      </c>
      <c r="G1149" s="20">
        <f>IFERROR(__xludf.DUMMYFUNCTION("""COMPUTED_VALUE"""),29.0)</f>
        <v>29</v>
      </c>
      <c r="H1149" s="20" t="str">
        <f>IFERROR(__xludf.DUMMYFUNCTION("""COMPUTED_VALUE"""),"Database")</f>
        <v>Database</v>
      </c>
      <c r="I1149" s="20">
        <f>IFERROR(__xludf.DUMMYFUNCTION("""COMPUTED_VALUE"""),0.769)</f>
        <v>0.769</v>
      </c>
      <c r="J1149" s="20">
        <f>IFERROR(__xludf.DUMMYFUNCTION("""COMPUTED_VALUE"""),1148.0)</f>
        <v>1148</v>
      </c>
      <c r="K1149" s="20" t="b">
        <f>IFERROR(__xludf.DUMMYFUNCTION("""COMPUTED_VALUE"""),FALSE)</f>
        <v>0</v>
      </c>
      <c r="L1149" s="20" t="str">
        <f>IFERROR(__xludf.DUMMYFUNCTION("""COMPUTED_VALUE"""),"Database;")</f>
        <v>Database;</v>
      </c>
      <c r="M1149" s="20" t="b">
        <f>IFERROR(__xludf.DUMMYFUNCTION("""COMPUTED_VALUE"""),FALSE)</f>
        <v>0</v>
      </c>
      <c r="N1149" s="20" t="b">
        <f>IFERROR(__xludf.DUMMYFUNCTION("""COMPUTED_VALUE"""),FALSE)</f>
        <v>0</v>
      </c>
      <c r="O1149" s="20">
        <f>IFERROR(__xludf.DUMMYFUNCTION("""COMPUTED_VALUE"""),76.8685837785915)</f>
        <v>76.86858378</v>
      </c>
      <c r="P1149" s="20">
        <f>IFERROR(__xludf.DUMMYFUNCTION("""COMPUTED_VALUE"""),89626.0)</f>
        <v>89626</v>
      </c>
      <c r="Q1149" s="20">
        <f>IFERROR(__xludf.DUMMYFUNCTION("""COMPUTED_VALUE"""),116597.0)</f>
        <v>116597</v>
      </c>
    </row>
    <row r="1150">
      <c r="A1150" s="20">
        <f>IFERROR(__xludf.DUMMYFUNCTION("""COMPUTED_VALUE"""),1259.0)</f>
        <v>1259</v>
      </c>
      <c r="B1150" s="20" t="str">
        <f>IFERROR(__xludf.DUMMYFUNCTION("""COMPUTED_VALUE"""),"Article Views II")</f>
        <v>Article Views II</v>
      </c>
      <c r="C1150" s="20" t="str">
        <f>IFERROR(__xludf.DUMMYFUNCTION("""COMPUTED_VALUE"""),"article-views-ii")</f>
        <v>article-views-ii</v>
      </c>
      <c r="D1150" s="20" t="b">
        <f>IFERROR(__xludf.DUMMYFUNCTION("""COMPUTED_VALUE"""),TRUE)</f>
        <v>1</v>
      </c>
      <c r="E1150" s="20" t="str">
        <f>IFERROR(__xludf.DUMMYFUNCTION("""COMPUTED_VALUE"""),"Medium")</f>
        <v>Medium</v>
      </c>
      <c r="F1150" s="20">
        <f>IFERROR(__xludf.DUMMYFUNCTION("""COMPUTED_VALUE"""),111.0)</f>
        <v>111</v>
      </c>
      <c r="G1150" s="20">
        <f>IFERROR(__xludf.DUMMYFUNCTION("""COMPUTED_VALUE"""),27.0)</f>
        <v>27</v>
      </c>
      <c r="H1150" s="20" t="str">
        <f>IFERROR(__xludf.DUMMYFUNCTION("""COMPUTED_VALUE"""),"Database")</f>
        <v>Database</v>
      </c>
      <c r="I1150" s="20">
        <f>IFERROR(__xludf.DUMMYFUNCTION("""COMPUTED_VALUE"""),0.476)</f>
        <v>0.476</v>
      </c>
      <c r="J1150" s="20">
        <f>IFERROR(__xludf.DUMMYFUNCTION("""COMPUTED_VALUE"""),1149.0)</f>
        <v>1149</v>
      </c>
      <c r="K1150" s="20" t="b">
        <f>IFERROR(__xludf.DUMMYFUNCTION("""COMPUTED_VALUE"""),TRUE)</f>
        <v>1</v>
      </c>
      <c r="L1150" s="20" t="str">
        <f>IFERROR(__xludf.DUMMYFUNCTION("""COMPUTED_VALUE"""),"Database;")</f>
        <v>Database;</v>
      </c>
      <c r="M1150" s="20" t="b">
        <f>IFERROR(__xludf.DUMMYFUNCTION("""COMPUTED_VALUE"""),FALSE)</f>
        <v>0</v>
      </c>
      <c r="N1150" s="20" t="b">
        <f>IFERROR(__xludf.DUMMYFUNCTION("""COMPUTED_VALUE"""),FALSE)</f>
        <v>0</v>
      </c>
      <c r="O1150" s="20">
        <f>IFERROR(__xludf.DUMMYFUNCTION("""COMPUTED_VALUE"""),47.5669080727659)</f>
        <v>47.56690807</v>
      </c>
      <c r="P1150" s="20">
        <f>IFERROR(__xludf.DUMMYFUNCTION("""COMPUTED_VALUE"""),30410.0)</f>
        <v>30410</v>
      </c>
      <c r="Q1150" s="20">
        <f>IFERROR(__xludf.DUMMYFUNCTION("""COMPUTED_VALUE"""),63931.0)</f>
        <v>63931</v>
      </c>
    </row>
    <row r="1151">
      <c r="A1151" s="20">
        <f>IFERROR(__xludf.DUMMYFUNCTION("""COMPUTED_VALUE"""),1102.0)</f>
        <v>1102</v>
      </c>
      <c r="B1151" s="20" t="str">
        <f>IFERROR(__xludf.DUMMYFUNCTION("""COMPUTED_VALUE"""),"Check If a Number Is Majority Element in a Sorted Array")</f>
        <v>Check If a Number Is Majority Element in a Sorted Array</v>
      </c>
      <c r="C1151" s="20" t="str">
        <f>IFERROR(__xludf.DUMMYFUNCTION("""COMPUTED_VALUE"""),"check-if-a-number-is-majority-element-in-a-sorted-array")</f>
        <v>check-if-a-number-is-majority-element-in-a-sorted-array</v>
      </c>
      <c r="D1151" s="20" t="b">
        <f>IFERROR(__xludf.DUMMYFUNCTION("""COMPUTED_VALUE"""),TRUE)</f>
        <v>1</v>
      </c>
      <c r="E1151" s="20" t="str">
        <f>IFERROR(__xludf.DUMMYFUNCTION("""COMPUTED_VALUE"""),"Easy")</f>
        <v>Easy</v>
      </c>
      <c r="F1151" s="20">
        <f>IFERROR(__xludf.DUMMYFUNCTION("""COMPUTED_VALUE"""),352.0)</f>
        <v>352</v>
      </c>
      <c r="G1151" s="20">
        <f>IFERROR(__xludf.DUMMYFUNCTION("""COMPUTED_VALUE"""),34.0)</f>
        <v>34</v>
      </c>
      <c r="H1151" s="20" t="str">
        <f>IFERROR(__xludf.DUMMYFUNCTION("""COMPUTED_VALUE"""),"Algorithms")</f>
        <v>Algorithms</v>
      </c>
      <c r="I1151" s="20">
        <f>IFERROR(__xludf.DUMMYFUNCTION("""COMPUTED_VALUE"""),0.571)</f>
        <v>0.571</v>
      </c>
      <c r="J1151" s="20">
        <f>IFERROR(__xludf.DUMMYFUNCTION("""COMPUTED_VALUE"""),1150.0)</f>
        <v>1150</v>
      </c>
      <c r="K1151" s="20" t="b">
        <f>IFERROR(__xludf.DUMMYFUNCTION("""COMPUTED_VALUE"""),TRUE)</f>
        <v>1</v>
      </c>
      <c r="L1151" s="20" t="str">
        <f>IFERROR(__xludf.DUMMYFUNCTION("""COMPUTED_VALUE"""),"Array;Binary Search;")</f>
        <v>Array;Binary Search;</v>
      </c>
      <c r="M1151" s="20" t="b">
        <f>IFERROR(__xludf.DUMMYFUNCTION("""COMPUTED_VALUE"""),FALSE)</f>
        <v>0</v>
      </c>
      <c r="N1151" s="20" t="b">
        <f>IFERROR(__xludf.DUMMYFUNCTION("""COMPUTED_VALUE"""),FALSE)</f>
        <v>0</v>
      </c>
      <c r="O1151" s="20">
        <f>IFERROR(__xludf.DUMMYFUNCTION("""COMPUTED_VALUE"""),57.0591590989685)</f>
        <v>57.0591591</v>
      </c>
      <c r="P1151" s="20">
        <f>IFERROR(__xludf.DUMMYFUNCTION("""COMPUTED_VALUE"""),37008.0)</f>
        <v>37008</v>
      </c>
      <c r="Q1151" s="20">
        <f>IFERROR(__xludf.DUMMYFUNCTION("""COMPUTED_VALUE"""),64859.0)</f>
        <v>64859</v>
      </c>
    </row>
    <row r="1152">
      <c r="A1152" s="20">
        <f>IFERROR(__xludf.DUMMYFUNCTION("""COMPUTED_VALUE"""),1107.0)</f>
        <v>1107</v>
      </c>
      <c r="B1152" s="20" t="str">
        <f>IFERROR(__xludf.DUMMYFUNCTION("""COMPUTED_VALUE"""),"Minimum Swaps to Group All 1's Together")</f>
        <v>Minimum Swaps to Group All 1's Together</v>
      </c>
      <c r="C1152" s="20" t="str">
        <f>IFERROR(__xludf.DUMMYFUNCTION("""COMPUTED_VALUE"""),"minimum-swaps-to-group-all-1s-together")</f>
        <v>minimum-swaps-to-group-all-1s-together</v>
      </c>
      <c r="D1152" s="20" t="b">
        <f>IFERROR(__xludf.DUMMYFUNCTION("""COMPUTED_VALUE"""),TRUE)</f>
        <v>1</v>
      </c>
      <c r="E1152" s="20" t="str">
        <f>IFERROR(__xludf.DUMMYFUNCTION("""COMPUTED_VALUE"""),"Medium")</f>
        <v>Medium</v>
      </c>
      <c r="F1152" s="20">
        <f>IFERROR(__xludf.DUMMYFUNCTION("""COMPUTED_VALUE"""),1058.0)</f>
        <v>1058</v>
      </c>
      <c r="G1152" s="20">
        <f>IFERROR(__xludf.DUMMYFUNCTION("""COMPUTED_VALUE"""),14.0)</f>
        <v>14</v>
      </c>
      <c r="H1152" s="20" t="str">
        <f>IFERROR(__xludf.DUMMYFUNCTION("""COMPUTED_VALUE"""),"Algorithms")</f>
        <v>Algorithms</v>
      </c>
      <c r="I1152" s="20">
        <f>IFERROR(__xludf.DUMMYFUNCTION("""COMPUTED_VALUE"""),0.609)</f>
        <v>0.609</v>
      </c>
      <c r="J1152" s="20">
        <f>IFERROR(__xludf.DUMMYFUNCTION("""COMPUTED_VALUE"""),1151.0)</f>
        <v>1151</v>
      </c>
      <c r="K1152" s="20" t="b">
        <f>IFERROR(__xludf.DUMMYFUNCTION("""COMPUTED_VALUE"""),TRUE)</f>
        <v>1</v>
      </c>
      <c r="L1152" s="20" t="str">
        <f>IFERROR(__xludf.DUMMYFUNCTION("""COMPUTED_VALUE"""),"Array;Sliding Window;")</f>
        <v>Array;Sliding Window;</v>
      </c>
      <c r="M1152" s="20" t="b">
        <f>IFERROR(__xludf.DUMMYFUNCTION("""COMPUTED_VALUE"""),TRUE)</f>
        <v>1</v>
      </c>
      <c r="N1152" s="20" t="b">
        <f>IFERROR(__xludf.DUMMYFUNCTION("""COMPUTED_VALUE"""),TRUE)</f>
        <v>1</v>
      </c>
      <c r="O1152" s="20">
        <f>IFERROR(__xludf.DUMMYFUNCTION("""COMPUTED_VALUE"""),60.8580717009572)</f>
        <v>60.8580717</v>
      </c>
      <c r="P1152" s="20">
        <f>IFERROR(__xludf.DUMMYFUNCTION("""COMPUTED_VALUE"""),54101.0)</f>
        <v>54101</v>
      </c>
      <c r="Q1152" s="20">
        <f>IFERROR(__xludf.DUMMYFUNCTION("""COMPUTED_VALUE"""),88897.0)</f>
        <v>88897</v>
      </c>
    </row>
    <row r="1153">
      <c r="A1153" s="20">
        <f>IFERROR(__xludf.DUMMYFUNCTION("""COMPUTED_VALUE"""),1108.0)</f>
        <v>1108</v>
      </c>
      <c r="B1153" s="20" t="str">
        <f>IFERROR(__xludf.DUMMYFUNCTION("""COMPUTED_VALUE"""),"Analyze User Website Visit Pattern")</f>
        <v>Analyze User Website Visit Pattern</v>
      </c>
      <c r="C1153" s="20" t="str">
        <f>IFERROR(__xludf.DUMMYFUNCTION("""COMPUTED_VALUE"""),"analyze-user-website-visit-pattern")</f>
        <v>analyze-user-website-visit-pattern</v>
      </c>
      <c r="D1153" s="20" t="b">
        <f>IFERROR(__xludf.DUMMYFUNCTION("""COMPUTED_VALUE"""),TRUE)</f>
        <v>1</v>
      </c>
      <c r="E1153" s="20" t="str">
        <f>IFERROR(__xludf.DUMMYFUNCTION("""COMPUTED_VALUE"""),"Medium")</f>
        <v>Medium</v>
      </c>
      <c r="F1153" s="20">
        <f>IFERROR(__xludf.DUMMYFUNCTION("""COMPUTED_VALUE"""),448.0)</f>
        <v>448</v>
      </c>
      <c r="G1153" s="20">
        <f>IFERROR(__xludf.DUMMYFUNCTION("""COMPUTED_VALUE"""),3422.0)</f>
        <v>3422</v>
      </c>
      <c r="H1153" s="20" t="str">
        <f>IFERROR(__xludf.DUMMYFUNCTION("""COMPUTED_VALUE"""),"Algorithms")</f>
        <v>Algorithms</v>
      </c>
      <c r="I1153" s="20">
        <f>IFERROR(__xludf.DUMMYFUNCTION("""COMPUTED_VALUE"""),0.432)</f>
        <v>0.432</v>
      </c>
      <c r="J1153" s="20">
        <f>IFERROR(__xludf.DUMMYFUNCTION("""COMPUTED_VALUE"""),1152.0)</f>
        <v>1152</v>
      </c>
      <c r="K1153" s="20" t="b">
        <f>IFERROR(__xludf.DUMMYFUNCTION("""COMPUTED_VALUE"""),TRUE)</f>
        <v>1</v>
      </c>
      <c r="L1153" s="20" t="str">
        <f>IFERROR(__xludf.DUMMYFUNCTION("""COMPUTED_VALUE"""),"Array;Hash Table;Sorting;")</f>
        <v>Array;Hash Table;Sorting;</v>
      </c>
      <c r="M1153" s="20" t="b">
        <f>IFERROR(__xludf.DUMMYFUNCTION("""COMPUTED_VALUE"""),FALSE)</f>
        <v>0</v>
      </c>
      <c r="N1153" s="20" t="b">
        <f>IFERROR(__xludf.DUMMYFUNCTION("""COMPUTED_VALUE"""),FALSE)</f>
        <v>0</v>
      </c>
      <c r="O1153" s="20">
        <f>IFERROR(__xludf.DUMMYFUNCTION("""COMPUTED_VALUE"""),43.2440677449041)</f>
        <v>43.24406774</v>
      </c>
      <c r="P1153" s="20">
        <f>IFERROR(__xludf.DUMMYFUNCTION("""COMPUTED_VALUE"""),85052.0)</f>
        <v>85052</v>
      </c>
      <c r="Q1153" s="20">
        <f>IFERROR(__xludf.DUMMYFUNCTION("""COMPUTED_VALUE"""),196679.0)</f>
        <v>196679</v>
      </c>
    </row>
    <row r="1154">
      <c r="A1154" s="20">
        <f>IFERROR(__xludf.DUMMYFUNCTION("""COMPUTED_VALUE"""),1124.0)</f>
        <v>1124</v>
      </c>
      <c r="B1154" s="20" t="str">
        <f>IFERROR(__xludf.DUMMYFUNCTION("""COMPUTED_VALUE"""),"String Transforms Into Another String")</f>
        <v>String Transforms Into Another String</v>
      </c>
      <c r="C1154" s="20" t="str">
        <f>IFERROR(__xludf.DUMMYFUNCTION("""COMPUTED_VALUE"""),"string-transforms-into-another-string")</f>
        <v>string-transforms-into-another-string</v>
      </c>
      <c r="D1154" s="20" t="b">
        <f>IFERROR(__xludf.DUMMYFUNCTION("""COMPUTED_VALUE"""),TRUE)</f>
        <v>1</v>
      </c>
      <c r="E1154" s="20" t="str">
        <f>IFERROR(__xludf.DUMMYFUNCTION("""COMPUTED_VALUE"""),"Hard")</f>
        <v>Hard</v>
      </c>
      <c r="F1154" s="20">
        <f>IFERROR(__xludf.DUMMYFUNCTION("""COMPUTED_VALUE"""),838.0)</f>
        <v>838</v>
      </c>
      <c r="G1154" s="20">
        <f>IFERROR(__xludf.DUMMYFUNCTION("""COMPUTED_VALUE"""),323.0)</f>
        <v>323</v>
      </c>
      <c r="H1154" s="20" t="str">
        <f>IFERROR(__xludf.DUMMYFUNCTION("""COMPUTED_VALUE"""),"Algorithms")</f>
        <v>Algorithms</v>
      </c>
      <c r="I1154" s="20">
        <f>IFERROR(__xludf.DUMMYFUNCTION("""COMPUTED_VALUE"""),0.353)</f>
        <v>0.353</v>
      </c>
      <c r="J1154" s="20">
        <f>IFERROR(__xludf.DUMMYFUNCTION("""COMPUTED_VALUE"""),1153.0)</f>
        <v>1153</v>
      </c>
      <c r="K1154" s="20" t="b">
        <f>IFERROR(__xludf.DUMMYFUNCTION("""COMPUTED_VALUE"""),TRUE)</f>
        <v>1</v>
      </c>
      <c r="L1154" s="20" t="str">
        <f>IFERROR(__xludf.DUMMYFUNCTION("""COMPUTED_VALUE"""),"Hash Table;String;")</f>
        <v>Hash Table;String;</v>
      </c>
      <c r="M1154" s="20" t="b">
        <f>IFERROR(__xludf.DUMMYFUNCTION("""COMPUTED_VALUE"""),TRUE)</f>
        <v>1</v>
      </c>
      <c r="N1154" s="20" t="b">
        <f>IFERROR(__xludf.DUMMYFUNCTION("""COMPUTED_VALUE"""),FALSE)</f>
        <v>0</v>
      </c>
      <c r="O1154" s="20">
        <f>IFERROR(__xludf.DUMMYFUNCTION("""COMPUTED_VALUE"""),35.3193947420327)</f>
        <v>35.31939474</v>
      </c>
      <c r="P1154" s="20">
        <f>IFERROR(__xludf.DUMMYFUNCTION("""COMPUTED_VALUE"""),50137.0)</f>
        <v>50137</v>
      </c>
      <c r="Q1154" s="20">
        <f>IFERROR(__xludf.DUMMYFUNCTION("""COMPUTED_VALUE"""),141952.0)</f>
        <v>141952</v>
      </c>
    </row>
    <row r="1155">
      <c r="A1155" s="20">
        <f>IFERROR(__xludf.DUMMYFUNCTION("""COMPUTED_VALUE"""),1260.0)</f>
        <v>1260</v>
      </c>
      <c r="B1155" s="20" t="str">
        <f>IFERROR(__xludf.DUMMYFUNCTION("""COMPUTED_VALUE"""),"Day of the Year")</f>
        <v>Day of the Year</v>
      </c>
      <c r="C1155" s="20" t="str">
        <f>IFERROR(__xludf.DUMMYFUNCTION("""COMPUTED_VALUE"""),"day-of-the-year")</f>
        <v>day-of-the-year</v>
      </c>
      <c r="D1155" s="20" t="b">
        <f>IFERROR(__xludf.DUMMYFUNCTION("""COMPUTED_VALUE"""),FALSE)</f>
        <v>0</v>
      </c>
      <c r="E1155" s="20" t="str">
        <f>IFERROR(__xludf.DUMMYFUNCTION("""COMPUTED_VALUE"""),"Easy")</f>
        <v>Easy</v>
      </c>
      <c r="F1155" s="20">
        <f>IFERROR(__xludf.DUMMYFUNCTION("""COMPUTED_VALUE"""),314.0)</f>
        <v>314</v>
      </c>
      <c r="G1155" s="20">
        <f>IFERROR(__xludf.DUMMYFUNCTION("""COMPUTED_VALUE"""),372.0)</f>
        <v>372</v>
      </c>
      <c r="H1155" s="20" t="str">
        <f>IFERROR(__xludf.DUMMYFUNCTION("""COMPUTED_VALUE"""),"Algorithms")</f>
        <v>Algorithms</v>
      </c>
      <c r="I1155" s="20">
        <f>IFERROR(__xludf.DUMMYFUNCTION("""COMPUTED_VALUE"""),0.5)</f>
        <v>0.5</v>
      </c>
      <c r="J1155" s="20">
        <f>IFERROR(__xludf.DUMMYFUNCTION("""COMPUTED_VALUE"""),1154.0)</f>
        <v>1154</v>
      </c>
      <c r="K1155" s="20" t="b">
        <f>IFERROR(__xludf.DUMMYFUNCTION("""COMPUTED_VALUE"""),FALSE)</f>
        <v>0</v>
      </c>
      <c r="L1155" s="20" t="str">
        <f>IFERROR(__xludf.DUMMYFUNCTION("""COMPUTED_VALUE"""),"Math;String;")</f>
        <v>Math;String;</v>
      </c>
      <c r="M1155" s="20" t="b">
        <f>IFERROR(__xludf.DUMMYFUNCTION("""COMPUTED_VALUE"""),FALSE)</f>
        <v>0</v>
      </c>
      <c r="N1155" s="20" t="b">
        <f>IFERROR(__xludf.DUMMYFUNCTION("""COMPUTED_VALUE"""),FALSE)</f>
        <v>0</v>
      </c>
      <c r="O1155" s="20">
        <f>IFERROR(__xludf.DUMMYFUNCTION("""COMPUTED_VALUE"""),50.0346637615133)</f>
        <v>50.03466376</v>
      </c>
      <c r="P1155" s="20">
        <f>IFERROR(__xludf.DUMMYFUNCTION("""COMPUTED_VALUE"""),40416.0)</f>
        <v>40416</v>
      </c>
      <c r="Q1155" s="20">
        <f>IFERROR(__xludf.DUMMYFUNCTION("""COMPUTED_VALUE"""),80774.0)</f>
        <v>80774</v>
      </c>
    </row>
    <row r="1156">
      <c r="A1156" s="20">
        <f>IFERROR(__xludf.DUMMYFUNCTION("""COMPUTED_VALUE"""),1263.0)</f>
        <v>1263</v>
      </c>
      <c r="B1156" s="20" t="str">
        <f>IFERROR(__xludf.DUMMYFUNCTION("""COMPUTED_VALUE"""),"Number of Dice Rolls With Target Sum")</f>
        <v>Number of Dice Rolls With Target Sum</v>
      </c>
      <c r="C1156" s="20" t="str">
        <f>IFERROR(__xludf.DUMMYFUNCTION("""COMPUTED_VALUE"""),"number-of-dice-rolls-with-target-sum")</f>
        <v>number-of-dice-rolls-with-target-sum</v>
      </c>
      <c r="D1156" s="20" t="b">
        <f>IFERROR(__xludf.DUMMYFUNCTION("""COMPUTED_VALUE"""),FALSE)</f>
        <v>0</v>
      </c>
      <c r="E1156" s="20" t="str">
        <f>IFERROR(__xludf.DUMMYFUNCTION("""COMPUTED_VALUE"""),"Medium")</f>
        <v>Medium</v>
      </c>
      <c r="F1156" s="20">
        <f>IFERROR(__xludf.DUMMYFUNCTION("""COMPUTED_VALUE"""),3673.0)</f>
        <v>3673</v>
      </c>
      <c r="G1156" s="20">
        <f>IFERROR(__xludf.DUMMYFUNCTION("""COMPUTED_VALUE"""),115.0)</f>
        <v>115</v>
      </c>
      <c r="H1156" s="20" t="str">
        <f>IFERROR(__xludf.DUMMYFUNCTION("""COMPUTED_VALUE"""),"Algorithms")</f>
        <v>Algorithms</v>
      </c>
      <c r="I1156" s="20">
        <f>IFERROR(__xludf.DUMMYFUNCTION("""COMPUTED_VALUE"""),0.537)</f>
        <v>0.537</v>
      </c>
      <c r="J1156" s="20">
        <f>IFERROR(__xludf.DUMMYFUNCTION("""COMPUTED_VALUE"""),1155.0)</f>
        <v>1155</v>
      </c>
      <c r="K1156" s="20" t="b">
        <f>IFERROR(__xludf.DUMMYFUNCTION("""COMPUTED_VALUE"""),FALSE)</f>
        <v>0</v>
      </c>
      <c r="L1156" s="20" t="str">
        <f>IFERROR(__xludf.DUMMYFUNCTION("""COMPUTED_VALUE"""),"Dynamic Programming;")</f>
        <v>Dynamic Programming;</v>
      </c>
      <c r="M1156" s="20" t="b">
        <f>IFERROR(__xludf.DUMMYFUNCTION("""COMPUTED_VALUE"""),TRUE)</f>
        <v>1</v>
      </c>
      <c r="N1156" s="20" t="b">
        <f>IFERROR(__xludf.DUMMYFUNCTION("""COMPUTED_VALUE"""),FALSE)</f>
        <v>0</v>
      </c>
      <c r="O1156" s="20">
        <f>IFERROR(__xludf.DUMMYFUNCTION("""COMPUTED_VALUE"""),53.6714720686012)</f>
        <v>53.67147207</v>
      </c>
      <c r="P1156" s="20">
        <f>IFERROR(__xludf.DUMMYFUNCTION("""COMPUTED_VALUE"""),172747.0)</f>
        <v>172747</v>
      </c>
      <c r="Q1156" s="20">
        <f>IFERROR(__xludf.DUMMYFUNCTION("""COMPUTED_VALUE"""),321860.0)</f>
        <v>321860</v>
      </c>
    </row>
    <row r="1157">
      <c r="A1157" s="20">
        <f>IFERROR(__xludf.DUMMYFUNCTION("""COMPUTED_VALUE"""),1261.0)</f>
        <v>1261</v>
      </c>
      <c r="B1157" s="20" t="str">
        <f>IFERROR(__xludf.DUMMYFUNCTION("""COMPUTED_VALUE"""),"Swap For Longest Repeated Character Substring")</f>
        <v>Swap For Longest Repeated Character Substring</v>
      </c>
      <c r="C1157" s="20" t="str">
        <f>IFERROR(__xludf.DUMMYFUNCTION("""COMPUTED_VALUE"""),"swap-for-longest-repeated-character-substring")</f>
        <v>swap-for-longest-repeated-character-substring</v>
      </c>
      <c r="D1157" s="20" t="b">
        <f>IFERROR(__xludf.DUMMYFUNCTION("""COMPUTED_VALUE"""),FALSE)</f>
        <v>0</v>
      </c>
      <c r="E1157" s="20" t="str">
        <f>IFERROR(__xludf.DUMMYFUNCTION("""COMPUTED_VALUE"""),"Medium")</f>
        <v>Medium</v>
      </c>
      <c r="F1157" s="20">
        <f>IFERROR(__xludf.DUMMYFUNCTION("""COMPUTED_VALUE"""),844.0)</f>
        <v>844</v>
      </c>
      <c r="G1157" s="20">
        <f>IFERROR(__xludf.DUMMYFUNCTION("""COMPUTED_VALUE"""),77.0)</f>
        <v>77</v>
      </c>
      <c r="H1157" s="20" t="str">
        <f>IFERROR(__xludf.DUMMYFUNCTION("""COMPUTED_VALUE"""),"Algorithms")</f>
        <v>Algorithms</v>
      </c>
      <c r="I1157" s="20">
        <f>IFERROR(__xludf.DUMMYFUNCTION("""COMPUTED_VALUE"""),0.454)</f>
        <v>0.454</v>
      </c>
      <c r="J1157" s="20">
        <f>IFERROR(__xludf.DUMMYFUNCTION("""COMPUTED_VALUE"""),1156.0)</f>
        <v>1156</v>
      </c>
      <c r="K1157" s="20" t="b">
        <f>IFERROR(__xludf.DUMMYFUNCTION("""COMPUTED_VALUE"""),FALSE)</f>
        <v>0</v>
      </c>
      <c r="L1157" s="20" t="str">
        <f>IFERROR(__xludf.DUMMYFUNCTION("""COMPUTED_VALUE"""),"String;Sliding Window;")</f>
        <v>String;Sliding Window;</v>
      </c>
      <c r="M1157" s="20" t="b">
        <f>IFERROR(__xludf.DUMMYFUNCTION("""COMPUTED_VALUE"""),FALSE)</f>
        <v>0</v>
      </c>
      <c r="N1157" s="20" t="b">
        <f>IFERROR(__xludf.DUMMYFUNCTION("""COMPUTED_VALUE"""),FALSE)</f>
        <v>0</v>
      </c>
      <c r="O1157" s="20">
        <f>IFERROR(__xludf.DUMMYFUNCTION("""COMPUTED_VALUE"""),45.3510667968205)</f>
        <v>45.3510668</v>
      </c>
      <c r="P1157" s="20">
        <f>IFERROR(__xludf.DUMMYFUNCTION("""COMPUTED_VALUE"""),26017.0)</f>
        <v>26017</v>
      </c>
      <c r="Q1157" s="20">
        <f>IFERROR(__xludf.DUMMYFUNCTION("""COMPUTED_VALUE"""),57368.0)</f>
        <v>57368</v>
      </c>
    </row>
    <row r="1158">
      <c r="A1158" s="20">
        <f>IFERROR(__xludf.DUMMYFUNCTION("""COMPUTED_VALUE"""),1262.0)</f>
        <v>1262</v>
      </c>
      <c r="B1158" s="20" t="str">
        <f>IFERROR(__xludf.DUMMYFUNCTION("""COMPUTED_VALUE"""),"Online Majority Element In Subarray")</f>
        <v>Online Majority Element In Subarray</v>
      </c>
      <c r="C1158" s="20" t="str">
        <f>IFERROR(__xludf.DUMMYFUNCTION("""COMPUTED_VALUE"""),"online-majority-element-in-subarray")</f>
        <v>online-majority-element-in-subarray</v>
      </c>
      <c r="D1158" s="20" t="b">
        <f>IFERROR(__xludf.DUMMYFUNCTION("""COMPUTED_VALUE"""),FALSE)</f>
        <v>0</v>
      </c>
      <c r="E1158" s="20" t="str">
        <f>IFERROR(__xludf.DUMMYFUNCTION("""COMPUTED_VALUE"""),"Hard")</f>
        <v>Hard</v>
      </c>
      <c r="F1158" s="20">
        <f>IFERROR(__xludf.DUMMYFUNCTION("""COMPUTED_VALUE"""),542.0)</f>
        <v>542</v>
      </c>
      <c r="G1158" s="20">
        <f>IFERROR(__xludf.DUMMYFUNCTION("""COMPUTED_VALUE"""),52.0)</f>
        <v>52</v>
      </c>
      <c r="H1158" s="20" t="str">
        <f>IFERROR(__xludf.DUMMYFUNCTION("""COMPUTED_VALUE"""),"Algorithms")</f>
        <v>Algorithms</v>
      </c>
      <c r="I1158" s="20">
        <f>IFERROR(__xludf.DUMMYFUNCTION("""COMPUTED_VALUE"""),0.419)</f>
        <v>0.419</v>
      </c>
      <c r="J1158" s="20">
        <f>IFERROR(__xludf.DUMMYFUNCTION("""COMPUTED_VALUE"""),1157.0)</f>
        <v>1157</v>
      </c>
      <c r="K1158" s="20" t="b">
        <f>IFERROR(__xludf.DUMMYFUNCTION("""COMPUTED_VALUE"""),FALSE)</f>
        <v>0</v>
      </c>
      <c r="L1158" s="20" t="str">
        <f>IFERROR(__xludf.DUMMYFUNCTION("""COMPUTED_VALUE"""),"Array;Binary Search;Design;Binary Indexed Tree;Segment Tree;")</f>
        <v>Array;Binary Search;Design;Binary Indexed Tree;Segment Tree;</v>
      </c>
      <c r="M1158" s="20" t="b">
        <f>IFERROR(__xludf.DUMMYFUNCTION("""COMPUTED_VALUE"""),FALSE)</f>
        <v>0</v>
      </c>
      <c r="N1158" s="20" t="b">
        <f>IFERROR(__xludf.DUMMYFUNCTION("""COMPUTED_VALUE"""),FALSE)</f>
        <v>0</v>
      </c>
      <c r="O1158" s="20">
        <f>IFERROR(__xludf.DUMMYFUNCTION("""COMPUTED_VALUE"""),41.8511125462337)</f>
        <v>41.85111255</v>
      </c>
      <c r="P1158" s="20">
        <f>IFERROR(__xludf.DUMMYFUNCTION("""COMPUTED_VALUE"""),14257.0)</f>
        <v>14257</v>
      </c>
      <c r="Q1158" s="20">
        <f>IFERROR(__xludf.DUMMYFUNCTION("""COMPUTED_VALUE"""),34066.0)</f>
        <v>34066</v>
      </c>
    </row>
    <row r="1159">
      <c r="A1159" s="20">
        <f>IFERROR(__xludf.DUMMYFUNCTION("""COMPUTED_VALUE"""),1268.0)</f>
        <v>1268</v>
      </c>
      <c r="B1159" s="20" t="str">
        <f>IFERROR(__xludf.DUMMYFUNCTION("""COMPUTED_VALUE"""),"Market Analysis I")</f>
        <v>Market Analysis I</v>
      </c>
      <c r="C1159" s="20" t="str">
        <f>IFERROR(__xludf.DUMMYFUNCTION("""COMPUTED_VALUE"""),"market-analysis-i")</f>
        <v>market-analysis-i</v>
      </c>
      <c r="D1159" s="20" t="b">
        <f>IFERROR(__xludf.DUMMYFUNCTION("""COMPUTED_VALUE"""),FALSE)</f>
        <v>0</v>
      </c>
      <c r="E1159" s="20" t="str">
        <f>IFERROR(__xludf.DUMMYFUNCTION("""COMPUTED_VALUE"""),"Medium")</f>
        <v>Medium</v>
      </c>
      <c r="F1159" s="20">
        <f>IFERROR(__xludf.DUMMYFUNCTION("""COMPUTED_VALUE"""),400.0)</f>
        <v>400</v>
      </c>
      <c r="G1159" s="20">
        <f>IFERROR(__xludf.DUMMYFUNCTION("""COMPUTED_VALUE"""),54.0)</f>
        <v>54</v>
      </c>
      <c r="H1159" s="20" t="str">
        <f>IFERROR(__xludf.DUMMYFUNCTION("""COMPUTED_VALUE"""),"Database")</f>
        <v>Database</v>
      </c>
      <c r="I1159" s="20">
        <f>IFERROR(__xludf.DUMMYFUNCTION("""COMPUTED_VALUE"""),0.629)</f>
        <v>0.629</v>
      </c>
      <c r="J1159" s="20">
        <f>IFERROR(__xludf.DUMMYFUNCTION("""COMPUTED_VALUE"""),1158.0)</f>
        <v>1158</v>
      </c>
      <c r="K1159" s="20" t="b">
        <f>IFERROR(__xludf.DUMMYFUNCTION("""COMPUTED_VALUE"""),FALSE)</f>
        <v>0</v>
      </c>
      <c r="L1159" s="20" t="str">
        <f>IFERROR(__xludf.DUMMYFUNCTION("""COMPUTED_VALUE"""),"Database;")</f>
        <v>Database;</v>
      </c>
      <c r="M1159" s="20" t="b">
        <f>IFERROR(__xludf.DUMMYFUNCTION("""COMPUTED_VALUE"""),FALSE)</f>
        <v>0</v>
      </c>
      <c r="N1159" s="20" t="b">
        <f>IFERROR(__xludf.DUMMYFUNCTION("""COMPUTED_VALUE"""),FALSE)</f>
        <v>0</v>
      </c>
      <c r="O1159" s="20">
        <f>IFERROR(__xludf.DUMMYFUNCTION("""COMPUTED_VALUE"""),62.8565471226021)</f>
        <v>62.85654712</v>
      </c>
      <c r="P1159" s="20">
        <f>IFERROR(__xludf.DUMMYFUNCTION("""COMPUTED_VALUE"""),60289.0)</f>
        <v>60289</v>
      </c>
      <c r="Q1159" s="20">
        <f>IFERROR(__xludf.DUMMYFUNCTION("""COMPUTED_VALUE"""),95916.0)</f>
        <v>95916</v>
      </c>
    </row>
    <row r="1160">
      <c r="A1160" s="20">
        <f>IFERROR(__xludf.DUMMYFUNCTION("""COMPUTED_VALUE"""),1269.0)</f>
        <v>1269</v>
      </c>
      <c r="B1160" s="20" t="str">
        <f>IFERROR(__xludf.DUMMYFUNCTION("""COMPUTED_VALUE"""),"Market Analysis II")</f>
        <v>Market Analysis II</v>
      </c>
      <c r="C1160" s="20" t="str">
        <f>IFERROR(__xludf.DUMMYFUNCTION("""COMPUTED_VALUE"""),"market-analysis-ii")</f>
        <v>market-analysis-ii</v>
      </c>
      <c r="D1160" s="20" t="b">
        <f>IFERROR(__xludf.DUMMYFUNCTION("""COMPUTED_VALUE"""),TRUE)</f>
        <v>1</v>
      </c>
      <c r="E1160" s="20" t="str">
        <f>IFERROR(__xludf.DUMMYFUNCTION("""COMPUTED_VALUE"""),"Hard")</f>
        <v>Hard</v>
      </c>
      <c r="F1160" s="20">
        <f>IFERROR(__xludf.DUMMYFUNCTION("""COMPUTED_VALUE"""),103.0)</f>
        <v>103</v>
      </c>
      <c r="G1160" s="20">
        <f>IFERROR(__xludf.DUMMYFUNCTION("""COMPUTED_VALUE"""),46.0)</f>
        <v>46</v>
      </c>
      <c r="H1160" s="20" t="str">
        <f>IFERROR(__xludf.DUMMYFUNCTION("""COMPUTED_VALUE"""),"Database")</f>
        <v>Database</v>
      </c>
      <c r="I1160" s="20">
        <f>IFERROR(__xludf.DUMMYFUNCTION("""COMPUTED_VALUE"""),0.585)</f>
        <v>0.585</v>
      </c>
      <c r="J1160" s="20">
        <f>IFERROR(__xludf.DUMMYFUNCTION("""COMPUTED_VALUE"""),1159.0)</f>
        <v>1159</v>
      </c>
      <c r="K1160" s="20" t="b">
        <f>IFERROR(__xludf.DUMMYFUNCTION("""COMPUTED_VALUE"""),TRUE)</f>
        <v>1</v>
      </c>
      <c r="L1160" s="20" t="str">
        <f>IFERROR(__xludf.DUMMYFUNCTION("""COMPUTED_VALUE"""),"Database;")</f>
        <v>Database;</v>
      </c>
      <c r="M1160" s="20" t="b">
        <f>IFERROR(__xludf.DUMMYFUNCTION("""COMPUTED_VALUE"""),FALSE)</f>
        <v>0</v>
      </c>
      <c r="N1160" s="20" t="b">
        <f>IFERROR(__xludf.DUMMYFUNCTION("""COMPUTED_VALUE"""),FALSE)</f>
        <v>0</v>
      </c>
      <c r="O1160" s="20">
        <f>IFERROR(__xludf.DUMMYFUNCTION("""COMPUTED_VALUE"""),58.4799969721055)</f>
        <v>58.47999697</v>
      </c>
      <c r="P1160" s="20">
        <f>IFERROR(__xludf.DUMMYFUNCTION("""COMPUTED_VALUE"""),15451.0)</f>
        <v>15451</v>
      </c>
      <c r="Q1160" s="20">
        <f>IFERROR(__xludf.DUMMYFUNCTION("""COMPUTED_VALUE"""),26421.0)</f>
        <v>26421</v>
      </c>
    </row>
    <row r="1161">
      <c r="A1161" s="20">
        <f>IFERROR(__xludf.DUMMYFUNCTION("""COMPUTED_VALUE"""),1112.0)</f>
        <v>1112</v>
      </c>
      <c r="B1161" s="20" t="str">
        <f>IFERROR(__xludf.DUMMYFUNCTION("""COMPUTED_VALUE"""),"Find Words That Can Be Formed by Characters")</f>
        <v>Find Words That Can Be Formed by Characters</v>
      </c>
      <c r="C1161" s="20" t="str">
        <f>IFERROR(__xludf.DUMMYFUNCTION("""COMPUTED_VALUE"""),"find-words-that-can-be-formed-by-characters")</f>
        <v>find-words-that-can-be-formed-by-characters</v>
      </c>
      <c r="D1161" s="20" t="b">
        <f>IFERROR(__xludf.DUMMYFUNCTION("""COMPUTED_VALUE"""),FALSE)</f>
        <v>0</v>
      </c>
      <c r="E1161" s="20" t="str">
        <f>IFERROR(__xludf.DUMMYFUNCTION("""COMPUTED_VALUE"""),"Easy")</f>
        <v>Easy</v>
      </c>
      <c r="F1161" s="20">
        <f>IFERROR(__xludf.DUMMYFUNCTION("""COMPUTED_VALUE"""),1224.0)</f>
        <v>1224</v>
      </c>
      <c r="G1161" s="20">
        <f>IFERROR(__xludf.DUMMYFUNCTION("""COMPUTED_VALUE"""),140.0)</f>
        <v>140</v>
      </c>
      <c r="H1161" s="20" t="str">
        <f>IFERROR(__xludf.DUMMYFUNCTION("""COMPUTED_VALUE"""),"Algorithms")</f>
        <v>Algorithms</v>
      </c>
      <c r="I1161" s="20">
        <f>IFERROR(__xludf.DUMMYFUNCTION("""COMPUTED_VALUE"""),0.677)</f>
        <v>0.677</v>
      </c>
      <c r="J1161" s="20">
        <f>IFERROR(__xludf.DUMMYFUNCTION("""COMPUTED_VALUE"""),1160.0)</f>
        <v>1160</v>
      </c>
      <c r="K1161" s="20" t="b">
        <f>IFERROR(__xludf.DUMMYFUNCTION("""COMPUTED_VALUE"""),FALSE)</f>
        <v>0</v>
      </c>
      <c r="L1161" s="20" t="str">
        <f>IFERROR(__xludf.DUMMYFUNCTION("""COMPUTED_VALUE"""),"Array;Hash Table;String;")</f>
        <v>Array;Hash Table;String;</v>
      </c>
      <c r="M1161" s="20" t="b">
        <f>IFERROR(__xludf.DUMMYFUNCTION("""COMPUTED_VALUE"""),FALSE)</f>
        <v>0</v>
      </c>
      <c r="N1161" s="20" t="b">
        <f>IFERROR(__xludf.DUMMYFUNCTION("""COMPUTED_VALUE"""),FALSE)</f>
        <v>0</v>
      </c>
      <c r="O1161" s="20">
        <f>IFERROR(__xludf.DUMMYFUNCTION("""COMPUTED_VALUE"""),67.6865682645944)</f>
        <v>67.68656826</v>
      </c>
      <c r="P1161" s="20">
        <f>IFERROR(__xludf.DUMMYFUNCTION("""COMPUTED_VALUE"""),137708.0)</f>
        <v>137708</v>
      </c>
      <c r="Q1161" s="20">
        <f>IFERROR(__xludf.DUMMYFUNCTION("""COMPUTED_VALUE"""),203450.0)</f>
        <v>203450</v>
      </c>
    </row>
    <row r="1162">
      <c r="A1162" s="20">
        <f>IFERROR(__xludf.DUMMYFUNCTION("""COMPUTED_VALUE"""),1116.0)</f>
        <v>1116</v>
      </c>
      <c r="B1162" s="20" t="str">
        <f>IFERROR(__xludf.DUMMYFUNCTION("""COMPUTED_VALUE"""),"Maximum Level Sum of a Binary Tree")</f>
        <v>Maximum Level Sum of a Binary Tree</v>
      </c>
      <c r="C1162" s="20" t="str">
        <f>IFERROR(__xludf.DUMMYFUNCTION("""COMPUTED_VALUE"""),"maximum-level-sum-of-a-binary-tree")</f>
        <v>maximum-level-sum-of-a-binary-tree</v>
      </c>
      <c r="D1162" s="20" t="b">
        <f>IFERROR(__xludf.DUMMYFUNCTION("""COMPUTED_VALUE"""),FALSE)</f>
        <v>0</v>
      </c>
      <c r="E1162" s="20" t="str">
        <f>IFERROR(__xludf.DUMMYFUNCTION("""COMPUTED_VALUE"""),"Medium")</f>
        <v>Medium</v>
      </c>
      <c r="F1162" s="20">
        <f>IFERROR(__xludf.DUMMYFUNCTION("""COMPUTED_VALUE"""),1773.0)</f>
        <v>1773</v>
      </c>
      <c r="G1162" s="20">
        <f>IFERROR(__xludf.DUMMYFUNCTION("""COMPUTED_VALUE"""),65.0)</f>
        <v>65</v>
      </c>
      <c r="H1162" s="20" t="str">
        <f>IFERROR(__xludf.DUMMYFUNCTION("""COMPUTED_VALUE"""),"Algorithms")</f>
        <v>Algorithms</v>
      </c>
      <c r="I1162" s="20">
        <f>IFERROR(__xludf.DUMMYFUNCTION("""COMPUTED_VALUE"""),0.661)</f>
        <v>0.661</v>
      </c>
      <c r="J1162" s="20">
        <f>IFERROR(__xludf.DUMMYFUNCTION("""COMPUTED_VALUE"""),1161.0)</f>
        <v>1161</v>
      </c>
      <c r="K1162" s="20" t="b">
        <f>IFERROR(__xludf.DUMMYFUNCTION("""COMPUTED_VALUE"""),FALSE)</f>
        <v>0</v>
      </c>
      <c r="L1162" s="20" t="str">
        <f>IFERROR(__xludf.DUMMYFUNCTION("""COMPUTED_VALUE"""),"Tree;Depth-First Search;Breadth-First Search;Binary Tree;")</f>
        <v>Tree;Depth-First Search;Breadth-First Search;Binary Tree;</v>
      </c>
      <c r="M1162" s="20" t="b">
        <f>IFERROR(__xludf.DUMMYFUNCTION("""COMPUTED_VALUE"""),TRUE)</f>
        <v>1</v>
      </c>
      <c r="N1162" s="20" t="b">
        <f>IFERROR(__xludf.DUMMYFUNCTION("""COMPUTED_VALUE"""),FALSE)</f>
        <v>0</v>
      </c>
      <c r="O1162" s="20">
        <f>IFERROR(__xludf.DUMMYFUNCTION("""COMPUTED_VALUE"""),66.0816605216441)</f>
        <v>66.08166052</v>
      </c>
      <c r="P1162" s="20">
        <f>IFERROR(__xludf.DUMMYFUNCTION("""COMPUTED_VALUE"""),120978.0)</f>
        <v>120978</v>
      </c>
      <c r="Q1162" s="20">
        <f>IFERROR(__xludf.DUMMYFUNCTION("""COMPUTED_VALUE"""),183073.0)</f>
        <v>183073</v>
      </c>
    </row>
    <row r="1163">
      <c r="A1163" s="20">
        <f>IFERROR(__xludf.DUMMYFUNCTION("""COMPUTED_VALUE"""),1117.0)</f>
        <v>1117</v>
      </c>
      <c r="B1163" s="20" t="str">
        <f>IFERROR(__xludf.DUMMYFUNCTION("""COMPUTED_VALUE"""),"As Far from Land as Possible")</f>
        <v>As Far from Land as Possible</v>
      </c>
      <c r="C1163" s="20" t="str">
        <f>IFERROR(__xludf.DUMMYFUNCTION("""COMPUTED_VALUE"""),"as-far-from-land-as-possible")</f>
        <v>as-far-from-land-as-possible</v>
      </c>
      <c r="D1163" s="20" t="b">
        <f>IFERROR(__xludf.DUMMYFUNCTION("""COMPUTED_VALUE"""),FALSE)</f>
        <v>0</v>
      </c>
      <c r="E1163" s="20" t="str">
        <f>IFERROR(__xludf.DUMMYFUNCTION("""COMPUTED_VALUE"""),"Medium")</f>
        <v>Medium</v>
      </c>
      <c r="F1163" s="20">
        <f>IFERROR(__xludf.DUMMYFUNCTION("""COMPUTED_VALUE"""),2397.0)</f>
        <v>2397</v>
      </c>
      <c r="G1163" s="20">
        <f>IFERROR(__xludf.DUMMYFUNCTION("""COMPUTED_VALUE"""),69.0)</f>
        <v>69</v>
      </c>
      <c r="H1163" s="20" t="str">
        <f>IFERROR(__xludf.DUMMYFUNCTION("""COMPUTED_VALUE"""),"Algorithms")</f>
        <v>Algorithms</v>
      </c>
      <c r="I1163" s="20">
        <f>IFERROR(__xludf.DUMMYFUNCTION("""COMPUTED_VALUE"""),0.485)</f>
        <v>0.485</v>
      </c>
      <c r="J1163" s="20">
        <f>IFERROR(__xludf.DUMMYFUNCTION("""COMPUTED_VALUE"""),1162.0)</f>
        <v>1162</v>
      </c>
      <c r="K1163" s="20" t="b">
        <f>IFERROR(__xludf.DUMMYFUNCTION("""COMPUTED_VALUE"""),FALSE)</f>
        <v>0</v>
      </c>
      <c r="L1163" s="20" t="str">
        <f>IFERROR(__xludf.DUMMYFUNCTION("""COMPUTED_VALUE"""),"Array;Dynamic Programming;Breadth-First Search;Matrix;")</f>
        <v>Array;Dynamic Programming;Breadth-First Search;Matrix;</v>
      </c>
      <c r="M1163" s="20" t="b">
        <f>IFERROR(__xludf.DUMMYFUNCTION("""COMPUTED_VALUE"""),FALSE)</f>
        <v>0</v>
      </c>
      <c r="N1163" s="20" t="b">
        <f>IFERROR(__xludf.DUMMYFUNCTION("""COMPUTED_VALUE"""),FALSE)</f>
        <v>0</v>
      </c>
      <c r="O1163" s="20">
        <f>IFERROR(__xludf.DUMMYFUNCTION("""COMPUTED_VALUE"""),48.5155402042443)</f>
        <v>48.5155402</v>
      </c>
      <c r="P1163" s="20">
        <f>IFERROR(__xludf.DUMMYFUNCTION("""COMPUTED_VALUE"""),80905.0)</f>
        <v>80905</v>
      </c>
      <c r="Q1163" s="20">
        <f>IFERROR(__xludf.DUMMYFUNCTION("""COMPUTED_VALUE"""),166759.0)</f>
        <v>166759</v>
      </c>
    </row>
    <row r="1164">
      <c r="A1164" s="20">
        <f>IFERROR(__xludf.DUMMYFUNCTION("""COMPUTED_VALUE"""),1133.0)</f>
        <v>1133</v>
      </c>
      <c r="B1164" s="20" t="str">
        <f>IFERROR(__xludf.DUMMYFUNCTION("""COMPUTED_VALUE"""),"Last Substring in Lexicographical Order")</f>
        <v>Last Substring in Lexicographical Order</v>
      </c>
      <c r="C1164" s="20" t="str">
        <f>IFERROR(__xludf.DUMMYFUNCTION("""COMPUTED_VALUE"""),"last-substring-in-lexicographical-order")</f>
        <v>last-substring-in-lexicographical-order</v>
      </c>
      <c r="D1164" s="20" t="b">
        <f>IFERROR(__xludf.DUMMYFUNCTION("""COMPUTED_VALUE"""),FALSE)</f>
        <v>0</v>
      </c>
      <c r="E1164" s="20" t="str">
        <f>IFERROR(__xludf.DUMMYFUNCTION("""COMPUTED_VALUE"""),"Hard")</f>
        <v>Hard</v>
      </c>
      <c r="F1164" s="20">
        <f>IFERROR(__xludf.DUMMYFUNCTION("""COMPUTED_VALUE"""),504.0)</f>
        <v>504</v>
      </c>
      <c r="G1164" s="20">
        <f>IFERROR(__xludf.DUMMYFUNCTION("""COMPUTED_VALUE"""),431.0)</f>
        <v>431</v>
      </c>
      <c r="H1164" s="20" t="str">
        <f>IFERROR(__xludf.DUMMYFUNCTION("""COMPUTED_VALUE"""),"Algorithms")</f>
        <v>Algorithms</v>
      </c>
      <c r="I1164" s="20">
        <f>IFERROR(__xludf.DUMMYFUNCTION("""COMPUTED_VALUE"""),0.349)</f>
        <v>0.349</v>
      </c>
      <c r="J1164" s="20">
        <f>IFERROR(__xludf.DUMMYFUNCTION("""COMPUTED_VALUE"""),1163.0)</f>
        <v>1163</v>
      </c>
      <c r="K1164" s="20" t="b">
        <f>IFERROR(__xludf.DUMMYFUNCTION("""COMPUTED_VALUE"""),FALSE)</f>
        <v>0</v>
      </c>
      <c r="L1164" s="20" t="str">
        <f>IFERROR(__xludf.DUMMYFUNCTION("""COMPUTED_VALUE"""),"Two Pointers;String;")</f>
        <v>Two Pointers;String;</v>
      </c>
      <c r="M1164" s="20" t="b">
        <f>IFERROR(__xludf.DUMMYFUNCTION("""COMPUTED_VALUE"""),FALSE)</f>
        <v>0</v>
      </c>
      <c r="N1164" s="20" t="b">
        <f>IFERROR(__xludf.DUMMYFUNCTION("""COMPUTED_VALUE"""),FALSE)</f>
        <v>0</v>
      </c>
      <c r="O1164" s="20">
        <f>IFERROR(__xludf.DUMMYFUNCTION("""COMPUTED_VALUE"""),34.9089930356962)</f>
        <v>34.90899304</v>
      </c>
      <c r="P1164" s="20">
        <f>IFERROR(__xludf.DUMMYFUNCTION("""COMPUTED_VALUE"""),31127.0)</f>
        <v>31127</v>
      </c>
      <c r="Q1164" s="20">
        <f>IFERROR(__xludf.DUMMYFUNCTION("""COMPUTED_VALUE"""),89168.0)</f>
        <v>89168</v>
      </c>
    </row>
    <row r="1165">
      <c r="A1165" s="20">
        <f>IFERROR(__xludf.DUMMYFUNCTION("""COMPUTED_VALUE"""),1278.0)</f>
        <v>1278</v>
      </c>
      <c r="B1165" s="20" t="str">
        <f>IFERROR(__xludf.DUMMYFUNCTION("""COMPUTED_VALUE"""),"Product Price at a Given Date")</f>
        <v>Product Price at a Given Date</v>
      </c>
      <c r="C1165" s="20" t="str">
        <f>IFERROR(__xludf.DUMMYFUNCTION("""COMPUTED_VALUE"""),"product-price-at-a-given-date")</f>
        <v>product-price-at-a-given-date</v>
      </c>
      <c r="D1165" s="20" t="b">
        <f>IFERROR(__xludf.DUMMYFUNCTION("""COMPUTED_VALUE"""),TRUE)</f>
        <v>1</v>
      </c>
      <c r="E1165" s="20" t="str">
        <f>IFERROR(__xludf.DUMMYFUNCTION("""COMPUTED_VALUE"""),"Medium")</f>
        <v>Medium</v>
      </c>
      <c r="F1165" s="20">
        <f>IFERROR(__xludf.DUMMYFUNCTION("""COMPUTED_VALUE"""),328.0)</f>
        <v>328</v>
      </c>
      <c r="G1165" s="20">
        <f>IFERROR(__xludf.DUMMYFUNCTION("""COMPUTED_VALUE"""),96.0)</f>
        <v>96</v>
      </c>
      <c r="H1165" s="20" t="str">
        <f>IFERROR(__xludf.DUMMYFUNCTION("""COMPUTED_VALUE"""),"Database")</f>
        <v>Database</v>
      </c>
      <c r="I1165" s="20">
        <f>IFERROR(__xludf.DUMMYFUNCTION("""COMPUTED_VALUE"""),0.682)</f>
        <v>0.682</v>
      </c>
      <c r="J1165" s="20">
        <f>IFERROR(__xludf.DUMMYFUNCTION("""COMPUTED_VALUE"""),1164.0)</f>
        <v>1164</v>
      </c>
      <c r="K1165" s="20" t="b">
        <f>IFERROR(__xludf.DUMMYFUNCTION("""COMPUTED_VALUE"""),TRUE)</f>
        <v>1</v>
      </c>
      <c r="L1165" s="20" t="str">
        <f>IFERROR(__xludf.DUMMYFUNCTION("""COMPUTED_VALUE"""),"Database;")</f>
        <v>Database;</v>
      </c>
      <c r="M1165" s="20" t="b">
        <f>IFERROR(__xludf.DUMMYFUNCTION("""COMPUTED_VALUE"""),TRUE)</f>
        <v>1</v>
      </c>
      <c r="N1165" s="20" t="b">
        <f>IFERROR(__xludf.DUMMYFUNCTION("""COMPUTED_VALUE"""),FALSE)</f>
        <v>0</v>
      </c>
      <c r="O1165" s="20">
        <f>IFERROR(__xludf.DUMMYFUNCTION("""COMPUTED_VALUE"""),68.2210647743559)</f>
        <v>68.22106477</v>
      </c>
      <c r="P1165" s="20">
        <f>IFERROR(__xludf.DUMMYFUNCTION("""COMPUTED_VALUE"""),39032.0)</f>
        <v>39032</v>
      </c>
      <c r="Q1165" s="20">
        <f>IFERROR(__xludf.DUMMYFUNCTION("""COMPUTED_VALUE"""),57214.0)</f>
        <v>57214</v>
      </c>
    </row>
    <row r="1166">
      <c r="A1166" s="20">
        <f>IFERROR(__xludf.DUMMYFUNCTION("""COMPUTED_VALUE"""),1123.0)</f>
        <v>1123</v>
      </c>
      <c r="B1166" s="20" t="str">
        <f>IFERROR(__xludf.DUMMYFUNCTION("""COMPUTED_VALUE"""),"Single-Row Keyboard")</f>
        <v>Single-Row Keyboard</v>
      </c>
      <c r="C1166" s="20" t="str">
        <f>IFERROR(__xludf.DUMMYFUNCTION("""COMPUTED_VALUE"""),"single-row-keyboard")</f>
        <v>single-row-keyboard</v>
      </c>
      <c r="D1166" s="20" t="b">
        <f>IFERROR(__xludf.DUMMYFUNCTION("""COMPUTED_VALUE"""),TRUE)</f>
        <v>1</v>
      </c>
      <c r="E1166" s="20" t="str">
        <f>IFERROR(__xludf.DUMMYFUNCTION("""COMPUTED_VALUE"""),"Easy")</f>
        <v>Easy</v>
      </c>
      <c r="F1166" s="20">
        <f>IFERROR(__xludf.DUMMYFUNCTION("""COMPUTED_VALUE"""),452.0)</f>
        <v>452</v>
      </c>
      <c r="G1166" s="20">
        <f>IFERROR(__xludf.DUMMYFUNCTION("""COMPUTED_VALUE"""),20.0)</f>
        <v>20</v>
      </c>
      <c r="H1166" s="20" t="str">
        <f>IFERROR(__xludf.DUMMYFUNCTION("""COMPUTED_VALUE"""),"Algorithms")</f>
        <v>Algorithms</v>
      </c>
      <c r="I1166" s="20">
        <f>IFERROR(__xludf.DUMMYFUNCTION("""COMPUTED_VALUE"""),0.865)</f>
        <v>0.865</v>
      </c>
      <c r="J1166" s="20">
        <f>IFERROR(__xludf.DUMMYFUNCTION("""COMPUTED_VALUE"""),1165.0)</f>
        <v>1165</v>
      </c>
      <c r="K1166" s="20" t="b">
        <f>IFERROR(__xludf.DUMMYFUNCTION("""COMPUTED_VALUE"""),TRUE)</f>
        <v>1</v>
      </c>
      <c r="L1166" s="20" t="str">
        <f>IFERROR(__xludf.DUMMYFUNCTION("""COMPUTED_VALUE"""),"Hash Table;String;")</f>
        <v>Hash Table;String;</v>
      </c>
      <c r="M1166" s="20" t="b">
        <f>IFERROR(__xludf.DUMMYFUNCTION("""COMPUTED_VALUE"""),TRUE)</f>
        <v>1</v>
      </c>
      <c r="N1166" s="20" t="b">
        <f>IFERROR(__xludf.DUMMYFUNCTION("""COMPUTED_VALUE"""),TRUE)</f>
        <v>1</v>
      </c>
      <c r="O1166" s="20">
        <f>IFERROR(__xludf.DUMMYFUNCTION("""COMPUTED_VALUE"""),86.5093124628492)</f>
        <v>86.50931246</v>
      </c>
      <c r="P1166" s="20">
        <f>IFERROR(__xludf.DUMMYFUNCTION("""COMPUTED_VALUE"""),69858.0)</f>
        <v>69858</v>
      </c>
      <c r="Q1166" s="20">
        <f>IFERROR(__xludf.DUMMYFUNCTION("""COMPUTED_VALUE"""),80752.0)</f>
        <v>80752</v>
      </c>
    </row>
    <row r="1167">
      <c r="A1167" s="20">
        <f>IFERROR(__xludf.DUMMYFUNCTION("""COMPUTED_VALUE"""),1125.0)</f>
        <v>1125</v>
      </c>
      <c r="B1167" s="20" t="str">
        <f>IFERROR(__xludf.DUMMYFUNCTION("""COMPUTED_VALUE"""),"Design File System")</f>
        <v>Design File System</v>
      </c>
      <c r="C1167" s="20" t="str">
        <f>IFERROR(__xludf.DUMMYFUNCTION("""COMPUTED_VALUE"""),"design-file-system")</f>
        <v>design-file-system</v>
      </c>
      <c r="D1167" s="20" t="b">
        <f>IFERROR(__xludf.DUMMYFUNCTION("""COMPUTED_VALUE"""),TRUE)</f>
        <v>1</v>
      </c>
      <c r="E1167" s="20" t="str">
        <f>IFERROR(__xludf.DUMMYFUNCTION("""COMPUTED_VALUE"""),"Medium")</f>
        <v>Medium</v>
      </c>
      <c r="F1167" s="20">
        <f>IFERROR(__xludf.DUMMYFUNCTION("""COMPUTED_VALUE"""),471.0)</f>
        <v>471</v>
      </c>
      <c r="G1167" s="20">
        <f>IFERROR(__xludf.DUMMYFUNCTION("""COMPUTED_VALUE"""),51.0)</f>
        <v>51</v>
      </c>
      <c r="H1167" s="20" t="str">
        <f>IFERROR(__xludf.DUMMYFUNCTION("""COMPUTED_VALUE"""),"Algorithms")</f>
        <v>Algorithms</v>
      </c>
      <c r="I1167" s="20">
        <f>IFERROR(__xludf.DUMMYFUNCTION("""COMPUTED_VALUE"""),0.62)</f>
        <v>0.62</v>
      </c>
      <c r="J1167" s="20">
        <f>IFERROR(__xludf.DUMMYFUNCTION("""COMPUTED_VALUE"""),1166.0)</f>
        <v>1166</v>
      </c>
      <c r="K1167" s="20" t="b">
        <f>IFERROR(__xludf.DUMMYFUNCTION("""COMPUTED_VALUE"""),TRUE)</f>
        <v>1</v>
      </c>
      <c r="L1167" s="20" t="str">
        <f>IFERROR(__xludf.DUMMYFUNCTION("""COMPUTED_VALUE"""),"Hash Table;String;Design;Trie;")</f>
        <v>Hash Table;String;Design;Trie;</v>
      </c>
      <c r="M1167" s="20" t="b">
        <f>IFERROR(__xludf.DUMMYFUNCTION("""COMPUTED_VALUE"""),TRUE)</f>
        <v>1</v>
      </c>
      <c r="N1167" s="20" t="b">
        <f>IFERROR(__xludf.DUMMYFUNCTION("""COMPUTED_VALUE"""),FALSE)</f>
        <v>0</v>
      </c>
      <c r="O1167" s="20">
        <f>IFERROR(__xludf.DUMMYFUNCTION("""COMPUTED_VALUE"""),62.0412025689553)</f>
        <v>62.04120257</v>
      </c>
      <c r="P1167" s="20">
        <f>IFERROR(__xludf.DUMMYFUNCTION("""COMPUTED_VALUE"""),39990.0)</f>
        <v>39990</v>
      </c>
      <c r="Q1167" s="20">
        <f>IFERROR(__xludf.DUMMYFUNCTION("""COMPUTED_VALUE"""),64458.0)</f>
        <v>64458</v>
      </c>
    </row>
    <row r="1168">
      <c r="A1168" s="20">
        <f>IFERROR(__xludf.DUMMYFUNCTION("""COMPUTED_VALUE"""),1126.0)</f>
        <v>1126</v>
      </c>
      <c r="B1168" s="20" t="str">
        <f>IFERROR(__xludf.DUMMYFUNCTION("""COMPUTED_VALUE"""),"Minimum Cost to Connect Sticks")</f>
        <v>Minimum Cost to Connect Sticks</v>
      </c>
      <c r="C1168" s="20" t="str">
        <f>IFERROR(__xludf.DUMMYFUNCTION("""COMPUTED_VALUE"""),"minimum-cost-to-connect-sticks")</f>
        <v>minimum-cost-to-connect-sticks</v>
      </c>
      <c r="D1168" s="20" t="b">
        <f>IFERROR(__xludf.DUMMYFUNCTION("""COMPUTED_VALUE"""),TRUE)</f>
        <v>1</v>
      </c>
      <c r="E1168" s="20" t="str">
        <f>IFERROR(__xludf.DUMMYFUNCTION("""COMPUTED_VALUE"""),"Medium")</f>
        <v>Medium</v>
      </c>
      <c r="F1168" s="20">
        <f>IFERROR(__xludf.DUMMYFUNCTION("""COMPUTED_VALUE"""),1194.0)</f>
        <v>1194</v>
      </c>
      <c r="G1168" s="20">
        <f>IFERROR(__xludf.DUMMYFUNCTION("""COMPUTED_VALUE"""),151.0)</f>
        <v>151</v>
      </c>
      <c r="H1168" s="20" t="str">
        <f>IFERROR(__xludf.DUMMYFUNCTION("""COMPUTED_VALUE"""),"Algorithms")</f>
        <v>Algorithms</v>
      </c>
      <c r="I1168" s="20">
        <f>IFERROR(__xludf.DUMMYFUNCTION("""COMPUTED_VALUE"""),0.682)</f>
        <v>0.682</v>
      </c>
      <c r="J1168" s="20">
        <f>IFERROR(__xludf.DUMMYFUNCTION("""COMPUTED_VALUE"""),1167.0)</f>
        <v>1167</v>
      </c>
      <c r="K1168" s="20" t="b">
        <f>IFERROR(__xludf.DUMMYFUNCTION("""COMPUTED_VALUE"""),TRUE)</f>
        <v>1</v>
      </c>
      <c r="L1168" s="20" t="str">
        <f>IFERROR(__xludf.DUMMYFUNCTION("""COMPUTED_VALUE"""),"Array;Greedy;Heap (Priority Queue);")</f>
        <v>Array;Greedy;Heap (Priority Queue);</v>
      </c>
      <c r="M1168" s="20" t="b">
        <f>IFERROR(__xludf.DUMMYFUNCTION("""COMPUTED_VALUE"""),TRUE)</f>
        <v>1</v>
      </c>
      <c r="N1168" s="20" t="b">
        <f>IFERROR(__xludf.DUMMYFUNCTION("""COMPUTED_VALUE"""),TRUE)</f>
        <v>1</v>
      </c>
      <c r="O1168" s="20">
        <f>IFERROR(__xludf.DUMMYFUNCTION("""COMPUTED_VALUE"""),68.2085922723588)</f>
        <v>68.20859227</v>
      </c>
      <c r="P1168" s="20">
        <f>IFERROR(__xludf.DUMMYFUNCTION("""COMPUTED_VALUE"""),100976.0)</f>
        <v>100976</v>
      </c>
      <c r="Q1168" s="20">
        <f>IFERROR(__xludf.DUMMYFUNCTION("""COMPUTED_VALUE"""),148040.0)</f>
        <v>148040</v>
      </c>
    </row>
    <row r="1169">
      <c r="A1169" s="20">
        <f>IFERROR(__xludf.DUMMYFUNCTION("""COMPUTED_VALUE"""),1144.0)</f>
        <v>1144</v>
      </c>
      <c r="B1169" s="20" t="str">
        <f>IFERROR(__xludf.DUMMYFUNCTION("""COMPUTED_VALUE"""),"Optimize Water Distribution in a Village")</f>
        <v>Optimize Water Distribution in a Village</v>
      </c>
      <c r="C1169" s="20" t="str">
        <f>IFERROR(__xludf.DUMMYFUNCTION("""COMPUTED_VALUE"""),"optimize-water-distribution-in-a-village")</f>
        <v>optimize-water-distribution-in-a-village</v>
      </c>
      <c r="D1169" s="20" t="b">
        <f>IFERROR(__xludf.DUMMYFUNCTION("""COMPUTED_VALUE"""),TRUE)</f>
        <v>1</v>
      </c>
      <c r="E1169" s="20" t="str">
        <f>IFERROR(__xludf.DUMMYFUNCTION("""COMPUTED_VALUE"""),"Hard")</f>
        <v>Hard</v>
      </c>
      <c r="F1169" s="20">
        <f>IFERROR(__xludf.DUMMYFUNCTION("""COMPUTED_VALUE"""),961.0)</f>
        <v>961</v>
      </c>
      <c r="G1169" s="20">
        <f>IFERROR(__xludf.DUMMYFUNCTION("""COMPUTED_VALUE"""),34.0)</f>
        <v>34</v>
      </c>
      <c r="H1169" s="20" t="str">
        <f>IFERROR(__xludf.DUMMYFUNCTION("""COMPUTED_VALUE"""),"Algorithms")</f>
        <v>Algorithms</v>
      </c>
      <c r="I1169" s="20">
        <f>IFERROR(__xludf.DUMMYFUNCTION("""COMPUTED_VALUE"""),0.645)</f>
        <v>0.645</v>
      </c>
      <c r="J1169" s="20">
        <f>IFERROR(__xludf.DUMMYFUNCTION("""COMPUTED_VALUE"""),1168.0)</f>
        <v>1168</v>
      </c>
      <c r="K1169" s="20" t="b">
        <f>IFERROR(__xludf.DUMMYFUNCTION("""COMPUTED_VALUE"""),TRUE)</f>
        <v>1</v>
      </c>
      <c r="L1169" s="20" t="str">
        <f>IFERROR(__xludf.DUMMYFUNCTION("""COMPUTED_VALUE"""),"Union Find;Graph;Minimum Spanning Tree;")</f>
        <v>Union Find;Graph;Minimum Spanning Tree;</v>
      </c>
      <c r="M1169" s="20" t="b">
        <f>IFERROR(__xludf.DUMMYFUNCTION("""COMPUTED_VALUE"""),TRUE)</f>
        <v>1</v>
      </c>
      <c r="N1169" s="20" t="b">
        <f>IFERROR(__xludf.DUMMYFUNCTION("""COMPUTED_VALUE"""),FALSE)</f>
        <v>0</v>
      </c>
      <c r="O1169" s="20">
        <f>IFERROR(__xludf.DUMMYFUNCTION("""COMPUTED_VALUE"""),64.450079348651)</f>
        <v>64.45007935</v>
      </c>
      <c r="P1169" s="20">
        <f>IFERROR(__xludf.DUMMYFUNCTION("""COMPUTED_VALUE"""),37363.0)</f>
        <v>37363</v>
      </c>
      <c r="Q1169" s="20">
        <f>IFERROR(__xludf.DUMMYFUNCTION("""COMPUTED_VALUE"""),57972.0)</f>
        <v>57972</v>
      </c>
    </row>
    <row r="1170">
      <c r="A1170" s="20">
        <f>IFERROR(__xludf.DUMMYFUNCTION("""COMPUTED_VALUE"""),1272.0)</f>
        <v>1272</v>
      </c>
      <c r="B1170" s="20" t="str">
        <f>IFERROR(__xludf.DUMMYFUNCTION("""COMPUTED_VALUE"""),"Invalid Transactions")</f>
        <v>Invalid Transactions</v>
      </c>
      <c r="C1170" s="20" t="str">
        <f>IFERROR(__xludf.DUMMYFUNCTION("""COMPUTED_VALUE"""),"invalid-transactions")</f>
        <v>invalid-transactions</v>
      </c>
      <c r="D1170" s="20" t="b">
        <f>IFERROR(__xludf.DUMMYFUNCTION("""COMPUTED_VALUE"""),FALSE)</f>
        <v>0</v>
      </c>
      <c r="E1170" s="20" t="str">
        <f>IFERROR(__xludf.DUMMYFUNCTION("""COMPUTED_VALUE"""),"Medium")</f>
        <v>Medium</v>
      </c>
      <c r="F1170" s="20">
        <f>IFERROR(__xludf.DUMMYFUNCTION("""COMPUTED_VALUE"""),402.0)</f>
        <v>402</v>
      </c>
      <c r="G1170" s="20">
        <f>IFERROR(__xludf.DUMMYFUNCTION("""COMPUTED_VALUE"""),1922.0)</f>
        <v>1922</v>
      </c>
      <c r="H1170" s="20" t="str">
        <f>IFERROR(__xludf.DUMMYFUNCTION("""COMPUTED_VALUE"""),"Algorithms")</f>
        <v>Algorithms</v>
      </c>
      <c r="I1170" s="20">
        <f>IFERROR(__xludf.DUMMYFUNCTION("""COMPUTED_VALUE"""),0.312)</f>
        <v>0.312</v>
      </c>
      <c r="J1170" s="20">
        <f>IFERROR(__xludf.DUMMYFUNCTION("""COMPUTED_VALUE"""),1169.0)</f>
        <v>1169</v>
      </c>
      <c r="K1170" s="20" t="b">
        <f>IFERROR(__xludf.DUMMYFUNCTION("""COMPUTED_VALUE"""),FALSE)</f>
        <v>0</v>
      </c>
      <c r="L1170" s="20" t="str">
        <f>IFERROR(__xludf.DUMMYFUNCTION("""COMPUTED_VALUE"""),"Array;Hash Table;String;Sorting;")</f>
        <v>Array;Hash Table;String;Sorting;</v>
      </c>
      <c r="M1170" s="20" t="b">
        <f>IFERROR(__xludf.DUMMYFUNCTION("""COMPUTED_VALUE"""),FALSE)</f>
        <v>0</v>
      </c>
      <c r="N1170" s="20" t="b">
        <f>IFERROR(__xludf.DUMMYFUNCTION("""COMPUTED_VALUE"""),FALSE)</f>
        <v>0</v>
      </c>
      <c r="O1170" s="20">
        <f>IFERROR(__xludf.DUMMYFUNCTION("""COMPUTED_VALUE"""),31.2361388638808)</f>
        <v>31.23613886</v>
      </c>
      <c r="P1170" s="20">
        <f>IFERROR(__xludf.DUMMYFUNCTION("""COMPUTED_VALUE"""),56900.0)</f>
        <v>56900</v>
      </c>
      <c r="Q1170" s="20">
        <f>IFERROR(__xludf.DUMMYFUNCTION("""COMPUTED_VALUE"""),182163.0)</f>
        <v>182163</v>
      </c>
    </row>
    <row r="1171">
      <c r="A1171" s="20">
        <f>IFERROR(__xludf.DUMMYFUNCTION("""COMPUTED_VALUE"""),1273.0)</f>
        <v>1273</v>
      </c>
      <c r="B1171" s="20" t="str">
        <f>IFERROR(__xludf.DUMMYFUNCTION("""COMPUTED_VALUE"""),"Compare Strings by Frequency of the Smallest Character")</f>
        <v>Compare Strings by Frequency of the Smallest Character</v>
      </c>
      <c r="C1171" s="20" t="str">
        <f>IFERROR(__xludf.DUMMYFUNCTION("""COMPUTED_VALUE"""),"compare-strings-by-frequency-of-the-smallest-character")</f>
        <v>compare-strings-by-frequency-of-the-smallest-character</v>
      </c>
      <c r="D1171" s="20" t="b">
        <f>IFERROR(__xludf.DUMMYFUNCTION("""COMPUTED_VALUE"""),FALSE)</f>
        <v>0</v>
      </c>
      <c r="E1171" s="20" t="str">
        <f>IFERROR(__xludf.DUMMYFUNCTION("""COMPUTED_VALUE"""),"Medium")</f>
        <v>Medium</v>
      </c>
      <c r="F1171" s="20">
        <f>IFERROR(__xludf.DUMMYFUNCTION("""COMPUTED_VALUE"""),577.0)</f>
        <v>577</v>
      </c>
      <c r="G1171" s="20">
        <f>IFERROR(__xludf.DUMMYFUNCTION("""COMPUTED_VALUE"""),932.0)</f>
        <v>932</v>
      </c>
      <c r="H1171" s="20" t="str">
        <f>IFERROR(__xludf.DUMMYFUNCTION("""COMPUTED_VALUE"""),"Algorithms")</f>
        <v>Algorithms</v>
      </c>
      <c r="I1171" s="20">
        <f>IFERROR(__xludf.DUMMYFUNCTION("""COMPUTED_VALUE"""),0.614)</f>
        <v>0.614</v>
      </c>
      <c r="J1171" s="20">
        <f>IFERROR(__xludf.DUMMYFUNCTION("""COMPUTED_VALUE"""),1170.0)</f>
        <v>1170</v>
      </c>
      <c r="K1171" s="20" t="b">
        <f>IFERROR(__xludf.DUMMYFUNCTION("""COMPUTED_VALUE"""),FALSE)</f>
        <v>0</v>
      </c>
      <c r="L1171" s="20" t="str">
        <f>IFERROR(__xludf.DUMMYFUNCTION("""COMPUTED_VALUE"""),"Array;Hash Table;String;Binary Search;Sorting;")</f>
        <v>Array;Hash Table;String;Binary Search;Sorting;</v>
      </c>
      <c r="M1171" s="20" t="b">
        <f>IFERROR(__xludf.DUMMYFUNCTION("""COMPUTED_VALUE"""),FALSE)</f>
        <v>0</v>
      </c>
      <c r="N1171" s="20" t="b">
        <f>IFERROR(__xludf.DUMMYFUNCTION("""COMPUTED_VALUE"""),FALSE)</f>
        <v>0</v>
      </c>
      <c r="O1171" s="20">
        <f>IFERROR(__xludf.DUMMYFUNCTION("""COMPUTED_VALUE"""),61.4019784015771)</f>
        <v>61.4019784</v>
      </c>
      <c r="P1171" s="20">
        <f>IFERROR(__xludf.DUMMYFUNCTION("""COMPUTED_VALUE"""),70390.0)</f>
        <v>70390</v>
      </c>
      <c r="Q1171" s="20">
        <f>IFERROR(__xludf.DUMMYFUNCTION("""COMPUTED_VALUE"""),114638.0)</f>
        <v>114638</v>
      </c>
    </row>
    <row r="1172">
      <c r="A1172" s="20">
        <f>IFERROR(__xludf.DUMMYFUNCTION("""COMPUTED_VALUE"""),1267.0)</f>
        <v>1267</v>
      </c>
      <c r="B1172" s="20" t="str">
        <f>IFERROR(__xludf.DUMMYFUNCTION("""COMPUTED_VALUE"""),"Remove Zero Sum Consecutive Nodes from Linked List")</f>
        <v>Remove Zero Sum Consecutive Nodes from Linked List</v>
      </c>
      <c r="C1172" s="20" t="str">
        <f>IFERROR(__xludf.DUMMYFUNCTION("""COMPUTED_VALUE"""),"remove-zero-sum-consecutive-nodes-from-linked-list")</f>
        <v>remove-zero-sum-consecutive-nodes-from-linked-list</v>
      </c>
      <c r="D1172" s="20" t="b">
        <f>IFERROR(__xludf.DUMMYFUNCTION("""COMPUTED_VALUE"""),FALSE)</f>
        <v>0</v>
      </c>
      <c r="E1172" s="20" t="str">
        <f>IFERROR(__xludf.DUMMYFUNCTION("""COMPUTED_VALUE"""),"Medium")</f>
        <v>Medium</v>
      </c>
      <c r="F1172" s="20">
        <f>IFERROR(__xludf.DUMMYFUNCTION("""COMPUTED_VALUE"""),1756.0)</f>
        <v>1756</v>
      </c>
      <c r="G1172" s="20">
        <f>IFERROR(__xludf.DUMMYFUNCTION("""COMPUTED_VALUE"""),80.0)</f>
        <v>80</v>
      </c>
      <c r="H1172" s="20" t="str">
        <f>IFERROR(__xludf.DUMMYFUNCTION("""COMPUTED_VALUE"""),"Algorithms")</f>
        <v>Algorithms</v>
      </c>
      <c r="I1172" s="20">
        <f>IFERROR(__xludf.DUMMYFUNCTION("""COMPUTED_VALUE"""),0.43)</f>
        <v>0.43</v>
      </c>
      <c r="J1172" s="20">
        <f>IFERROR(__xludf.DUMMYFUNCTION("""COMPUTED_VALUE"""),1171.0)</f>
        <v>1171</v>
      </c>
      <c r="K1172" s="20" t="b">
        <f>IFERROR(__xludf.DUMMYFUNCTION("""COMPUTED_VALUE"""),FALSE)</f>
        <v>0</v>
      </c>
      <c r="L1172" s="20" t="str">
        <f>IFERROR(__xludf.DUMMYFUNCTION("""COMPUTED_VALUE"""),"Hash Table;Linked List;")</f>
        <v>Hash Table;Linked List;</v>
      </c>
      <c r="M1172" s="20" t="b">
        <f>IFERROR(__xludf.DUMMYFUNCTION("""COMPUTED_VALUE"""),FALSE)</f>
        <v>0</v>
      </c>
      <c r="N1172" s="20" t="b">
        <f>IFERROR(__xludf.DUMMYFUNCTION("""COMPUTED_VALUE"""),FALSE)</f>
        <v>0</v>
      </c>
      <c r="O1172" s="20">
        <f>IFERROR(__xludf.DUMMYFUNCTION("""COMPUTED_VALUE"""),43.0015842423386)</f>
        <v>43.00158424</v>
      </c>
      <c r="P1172" s="20">
        <f>IFERROR(__xludf.DUMMYFUNCTION("""COMPUTED_VALUE"""),42615.0)</f>
        <v>42615</v>
      </c>
      <c r="Q1172" s="20">
        <f>IFERROR(__xludf.DUMMYFUNCTION("""COMPUTED_VALUE"""),99101.0)</f>
        <v>99101</v>
      </c>
    </row>
    <row r="1173">
      <c r="A1173" s="20">
        <f>IFERROR(__xludf.DUMMYFUNCTION("""COMPUTED_VALUE"""),1270.0)</f>
        <v>1270</v>
      </c>
      <c r="B1173" s="20" t="str">
        <f>IFERROR(__xludf.DUMMYFUNCTION("""COMPUTED_VALUE"""),"Dinner Plate Stacks")</f>
        <v>Dinner Plate Stacks</v>
      </c>
      <c r="C1173" s="20" t="str">
        <f>IFERROR(__xludf.DUMMYFUNCTION("""COMPUTED_VALUE"""),"dinner-plate-stacks")</f>
        <v>dinner-plate-stacks</v>
      </c>
      <c r="D1173" s="20" t="b">
        <f>IFERROR(__xludf.DUMMYFUNCTION("""COMPUTED_VALUE"""),FALSE)</f>
        <v>0</v>
      </c>
      <c r="E1173" s="20" t="str">
        <f>IFERROR(__xludf.DUMMYFUNCTION("""COMPUTED_VALUE"""),"Hard")</f>
        <v>Hard</v>
      </c>
      <c r="F1173" s="20">
        <f>IFERROR(__xludf.DUMMYFUNCTION("""COMPUTED_VALUE"""),391.0)</f>
        <v>391</v>
      </c>
      <c r="G1173" s="20">
        <f>IFERROR(__xludf.DUMMYFUNCTION("""COMPUTED_VALUE"""),55.0)</f>
        <v>55</v>
      </c>
      <c r="H1173" s="20" t="str">
        <f>IFERROR(__xludf.DUMMYFUNCTION("""COMPUTED_VALUE"""),"Algorithms")</f>
        <v>Algorithms</v>
      </c>
      <c r="I1173" s="20">
        <f>IFERROR(__xludf.DUMMYFUNCTION("""COMPUTED_VALUE"""),0.334)</f>
        <v>0.334</v>
      </c>
      <c r="J1173" s="20">
        <f>IFERROR(__xludf.DUMMYFUNCTION("""COMPUTED_VALUE"""),1172.0)</f>
        <v>1172</v>
      </c>
      <c r="K1173" s="20" t="b">
        <f>IFERROR(__xludf.DUMMYFUNCTION("""COMPUTED_VALUE"""),FALSE)</f>
        <v>0</v>
      </c>
      <c r="L1173" s="20" t="str">
        <f>IFERROR(__xludf.DUMMYFUNCTION("""COMPUTED_VALUE"""),"Hash Table;Stack;Design;Heap (Priority Queue);")</f>
        <v>Hash Table;Stack;Design;Heap (Priority Queue);</v>
      </c>
      <c r="M1173" s="20" t="b">
        <f>IFERROR(__xludf.DUMMYFUNCTION("""COMPUTED_VALUE"""),FALSE)</f>
        <v>0</v>
      </c>
      <c r="N1173" s="20" t="b">
        <f>IFERROR(__xludf.DUMMYFUNCTION("""COMPUTED_VALUE"""),FALSE)</f>
        <v>0</v>
      </c>
      <c r="O1173" s="20">
        <f>IFERROR(__xludf.DUMMYFUNCTION("""COMPUTED_VALUE"""),33.4093150684931)</f>
        <v>33.40931507</v>
      </c>
      <c r="P1173" s="20">
        <f>IFERROR(__xludf.DUMMYFUNCTION("""COMPUTED_VALUE"""),15243.0)</f>
        <v>15243</v>
      </c>
      <c r="Q1173" s="20">
        <f>IFERROR(__xludf.DUMMYFUNCTION("""COMPUTED_VALUE"""),45625.0)</f>
        <v>45625</v>
      </c>
    </row>
    <row r="1174">
      <c r="A1174" s="20">
        <f>IFERROR(__xludf.DUMMYFUNCTION("""COMPUTED_VALUE"""),1291.0)</f>
        <v>1291</v>
      </c>
      <c r="B1174" s="20" t="str">
        <f>IFERROR(__xludf.DUMMYFUNCTION("""COMPUTED_VALUE"""),"Immediate Food Delivery I")</f>
        <v>Immediate Food Delivery I</v>
      </c>
      <c r="C1174" s="20" t="str">
        <f>IFERROR(__xludf.DUMMYFUNCTION("""COMPUTED_VALUE"""),"immediate-food-delivery-i")</f>
        <v>immediate-food-delivery-i</v>
      </c>
      <c r="D1174" s="20" t="b">
        <f>IFERROR(__xludf.DUMMYFUNCTION("""COMPUTED_VALUE"""),TRUE)</f>
        <v>1</v>
      </c>
      <c r="E1174" s="20" t="str">
        <f>IFERROR(__xludf.DUMMYFUNCTION("""COMPUTED_VALUE"""),"Easy")</f>
        <v>Easy</v>
      </c>
      <c r="F1174" s="20">
        <f>IFERROR(__xludf.DUMMYFUNCTION("""COMPUTED_VALUE"""),191.0)</f>
        <v>191</v>
      </c>
      <c r="G1174" s="20">
        <f>IFERROR(__xludf.DUMMYFUNCTION("""COMPUTED_VALUE"""),10.0)</f>
        <v>10</v>
      </c>
      <c r="H1174" s="20" t="str">
        <f>IFERROR(__xludf.DUMMYFUNCTION("""COMPUTED_VALUE"""),"Database")</f>
        <v>Database</v>
      </c>
      <c r="I1174" s="20">
        <f>IFERROR(__xludf.DUMMYFUNCTION("""COMPUTED_VALUE"""),0.833)</f>
        <v>0.833</v>
      </c>
      <c r="J1174" s="20">
        <f>IFERROR(__xludf.DUMMYFUNCTION("""COMPUTED_VALUE"""),1173.0)</f>
        <v>1173</v>
      </c>
      <c r="K1174" s="20" t="b">
        <f>IFERROR(__xludf.DUMMYFUNCTION("""COMPUTED_VALUE"""),TRUE)</f>
        <v>1</v>
      </c>
      <c r="L1174" s="20" t="str">
        <f>IFERROR(__xludf.DUMMYFUNCTION("""COMPUTED_VALUE"""),"Database;")</f>
        <v>Database;</v>
      </c>
      <c r="M1174" s="20" t="b">
        <f>IFERROR(__xludf.DUMMYFUNCTION("""COMPUTED_VALUE"""),FALSE)</f>
        <v>0</v>
      </c>
      <c r="N1174" s="20" t="b">
        <f>IFERROR(__xludf.DUMMYFUNCTION("""COMPUTED_VALUE"""),FALSE)</f>
        <v>0</v>
      </c>
      <c r="O1174" s="20">
        <f>IFERROR(__xludf.DUMMYFUNCTION("""COMPUTED_VALUE"""),83.2792370754559)</f>
        <v>83.27923708</v>
      </c>
      <c r="P1174" s="20">
        <f>IFERROR(__xludf.DUMMYFUNCTION("""COMPUTED_VALUE"""),49776.0)</f>
        <v>49776</v>
      </c>
      <c r="Q1174" s="20">
        <f>IFERROR(__xludf.DUMMYFUNCTION("""COMPUTED_VALUE"""),59770.0)</f>
        <v>59770</v>
      </c>
    </row>
    <row r="1175">
      <c r="A1175" s="20">
        <f>IFERROR(__xludf.DUMMYFUNCTION("""COMPUTED_VALUE"""),1292.0)</f>
        <v>1292</v>
      </c>
      <c r="B1175" s="20" t="str">
        <f>IFERROR(__xludf.DUMMYFUNCTION("""COMPUTED_VALUE"""),"Immediate Food Delivery II")</f>
        <v>Immediate Food Delivery II</v>
      </c>
      <c r="C1175" s="20" t="str">
        <f>IFERROR(__xludf.DUMMYFUNCTION("""COMPUTED_VALUE"""),"immediate-food-delivery-ii")</f>
        <v>immediate-food-delivery-ii</v>
      </c>
      <c r="D1175" s="20" t="b">
        <f>IFERROR(__xludf.DUMMYFUNCTION("""COMPUTED_VALUE"""),TRUE)</f>
        <v>1</v>
      </c>
      <c r="E1175" s="20" t="str">
        <f>IFERROR(__xludf.DUMMYFUNCTION("""COMPUTED_VALUE"""),"Medium")</f>
        <v>Medium</v>
      </c>
      <c r="F1175" s="20">
        <f>IFERROR(__xludf.DUMMYFUNCTION("""COMPUTED_VALUE"""),114.0)</f>
        <v>114</v>
      </c>
      <c r="G1175" s="20">
        <f>IFERROR(__xludf.DUMMYFUNCTION("""COMPUTED_VALUE"""),52.0)</f>
        <v>52</v>
      </c>
      <c r="H1175" s="20" t="str">
        <f>IFERROR(__xludf.DUMMYFUNCTION("""COMPUTED_VALUE"""),"Database")</f>
        <v>Database</v>
      </c>
      <c r="I1175" s="20">
        <f>IFERROR(__xludf.DUMMYFUNCTION("""COMPUTED_VALUE"""),0.636)</f>
        <v>0.636</v>
      </c>
      <c r="J1175" s="20">
        <f>IFERROR(__xludf.DUMMYFUNCTION("""COMPUTED_VALUE"""),1174.0)</f>
        <v>1174</v>
      </c>
      <c r="K1175" s="20" t="b">
        <f>IFERROR(__xludf.DUMMYFUNCTION("""COMPUTED_VALUE"""),TRUE)</f>
        <v>1</v>
      </c>
      <c r="L1175" s="20" t="str">
        <f>IFERROR(__xludf.DUMMYFUNCTION("""COMPUTED_VALUE"""),"Database;")</f>
        <v>Database;</v>
      </c>
      <c r="M1175" s="20" t="b">
        <f>IFERROR(__xludf.DUMMYFUNCTION("""COMPUTED_VALUE"""),FALSE)</f>
        <v>0</v>
      </c>
      <c r="N1175" s="20" t="b">
        <f>IFERROR(__xludf.DUMMYFUNCTION("""COMPUTED_VALUE"""),FALSE)</f>
        <v>0</v>
      </c>
      <c r="O1175" s="20">
        <f>IFERROR(__xludf.DUMMYFUNCTION("""COMPUTED_VALUE"""),63.6292512310736)</f>
        <v>63.62925123</v>
      </c>
      <c r="P1175" s="20">
        <f>IFERROR(__xludf.DUMMYFUNCTION("""COMPUTED_VALUE"""),27652.0)</f>
        <v>27652</v>
      </c>
      <c r="Q1175" s="20">
        <f>IFERROR(__xludf.DUMMYFUNCTION("""COMPUTED_VALUE"""),43458.0)</f>
        <v>43458</v>
      </c>
    </row>
    <row r="1176">
      <c r="A1176" s="20">
        <f>IFERROR(__xludf.DUMMYFUNCTION("""COMPUTED_VALUE"""),1279.0)</f>
        <v>1279</v>
      </c>
      <c r="B1176" s="20" t="str">
        <f>IFERROR(__xludf.DUMMYFUNCTION("""COMPUTED_VALUE"""),"Prime Arrangements")</f>
        <v>Prime Arrangements</v>
      </c>
      <c r="C1176" s="20" t="str">
        <f>IFERROR(__xludf.DUMMYFUNCTION("""COMPUTED_VALUE"""),"prime-arrangements")</f>
        <v>prime-arrangements</v>
      </c>
      <c r="D1176" s="20" t="b">
        <f>IFERROR(__xludf.DUMMYFUNCTION("""COMPUTED_VALUE"""),FALSE)</f>
        <v>0</v>
      </c>
      <c r="E1176" s="20" t="str">
        <f>IFERROR(__xludf.DUMMYFUNCTION("""COMPUTED_VALUE"""),"Easy")</f>
        <v>Easy</v>
      </c>
      <c r="F1176" s="20">
        <f>IFERROR(__xludf.DUMMYFUNCTION("""COMPUTED_VALUE"""),313.0)</f>
        <v>313</v>
      </c>
      <c r="G1176" s="20">
        <f>IFERROR(__xludf.DUMMYFUNCTION("""COMPUTED_VALUE"""),433.0)</f>
        <v>433</v>
      </c>
      <c r="H1176" s="20" t="str">
        <f>IFERROR(__xludf.DUMMYFUNCTION("""COMPUTED_VALUE"""),"Algorithms")</f>
        <v>Algorithms</v>
      </c>
      <c r="I1176" s="20">
        <f>IFERROR(__xludf.DUMMYFUNCTION("""COMPUTED_VALUE"""),0.539)</f>
        <v>0.539</v>
      </c>
      <c r="J1176" s="20">
        <f>IFERROR(__xludf.DUMMYFUNCTION("""COMPUTED_VALUE"""),1175.0)</f>
        <v>1175</v>
      </c>
      <c r="K1176" s="20" t="b">
        <f>IFERROR(__xludf.DUMMYFUNCTION("""COMPUTED_VALUE"""),FALSE)</f>
        <v>0</v>
      </c>
      <c r="L1176" s="20" t="str">
        <f>IFERROR(__xludf.DUMMYFUNCTION("""COMPUTED_VALUE"""),"Math;")</f>
        <v>Math;</v>
      </c>
      <c r="M1176" s="20" t="b">
        <f>IFERROR(__xludf.DUMMYFUNCTION("""COMPUTED_VALUE"""),FALSE)</f>
        <v>0</v>
      </c>
      <c r="N1176" s="20" t="b">
        <f>IFERROR(__xludf.DUMMYFUNCTION("""COMPUTED_VALUE"""),FALSE)</f>
        <v>0</v>
      </c>
      <c r="O1176" s="20">
        <f>IFERROR(__xludf.DUMMYFUNCTION("""COMPUTED_VALUE"""),53.9069957725351)</f>
        <v>53.90699577</v>
      </c>
      <c r="P1176" s="20">
        <f>IFERROR(__xludf.DUMMYFUNCTION("""COMPUTED_VALUE"""),23717.0)</f>
        <v>23717</v>
      </c>
      <c r="Q1176" s="20">
        <f>IFERROR(__xludf.DUMMYFUNCTION("""COMPUTED_VALUE"""),43997.0)</f>
        <v>43997</v>
      </c>
    </row>
    <row r="1177">
      <c r="A1177" s="20">
        <f>IFERROR(__xludf.DUMMYFUNCTION("""COMPUTED_VALUE"""),1280.0)</f>
        <v>1280</v>
      </c>
      <c r="B1177" s="20" t="str">
        <f>IFERROR(__xludf.DUMMYFUNCTION("""COMPUTED_VALUE"""),"Diet Plan Performance")</f>
        <v>Diet Plan Performance</v>
      </c>
      <c r="C1177" s="20" t="str">
        <f>IFERROR(__xludf.DUMMYFUNCTION("""COMPUTED_VALUE"""),"diet-plan-performance")</f>
        <v>diet-plan-performance</v>
      </c>
      <c r="D1177" s="20" t="b">
        <f>IFERROR(__xludf.DUMMYFUNCTION("""COMPUTED_VALUE"""),TRUE)</f>
        <v>1</v>
      </c>
      <c r="E1177" s="20" t="str">
        <f>IFERROR(__xludf.DUMMYFUNCTION("""COMPUTED_VALUE"""),"Easy")</f>
        <v>Easy</v>
      </c>
      <c r="F1177" s="20">
        <f>IFERROR(__xludf.DUMMYFUNCTION("""COMPUTED_VALUE"""),141.0)</f>
        <v>141</v>
      </c>
      <c r="G1177" s="20">
        <f>IFERROR(__xludf.DUMMYFUNCTION("""COMPUTED_VALUE"""),270.0)</f>
        <v>270</v>
      </c>
      <c r="H1177" s="20" t="str">
        <f>IFERROR(__xludf.DUMMYFUNCTION("""COMPUTED_VALUE"""),"Algorithms")</f>
        <v>Algorithms</v>
      </c>
      <c r="I1177" s="20">
        <f>IFERROR(__xludf.DUMMYFUNCTION("""COMPUTED_VALUE"""),0.525)</f>
        <v>0.525</v>
      </c>
      <c r="J1177" s="20">
        <f>IFERROR(__xludf.DUMMYFUNCTION("""COMPUTED_VALUE"""),1176.0)</f>
        <v>1176</v>
      </c>
      <c r="K1177" s="20" t="b">
        <f>IFERROR(__xludf.DUMMYFUNCTION("""COMPUTED_VALUE"""),TRUE)</f>
        <v>1</v>
      </c>
      <c r="L1177" s="20" t="str">
        <f>IFERROR(__xludf.DUMMYFUNCTION("""COMPUTED_VALUE"""),"Array;Sliding Window;")</f>
        <v>Array;Sliding Window;</v>
      </c>
      <c r="M1177" s="20" t="b">
        <f>IFERROR(__xludf.DUMMYFUNCTION("""COMPUTED_VALUE"""),FALSE)</f>
        <v>0</v>
      </c>
      <c r="N1177" s="20" t="b">
        <f>IFERROR(__xludf.DUMMYFUNCTION("""COMPUTED_VALUE"""),FALSE)</f>
        <v>0</v>
      </c>
      <c r="O1177" s="20">
        <f>IFERROR(__xludf.DUMMYFUNCTION("""COMPUTED_VALUE"""),52.5215389185977)</f>
        <v>52.52153892</v>
      </c>
      <c r="P1177" s="20">
        <f>IFERROR(__xludf.DUMMYFUNCTION("""COMPUTED_VALUE"""),28286.0)</f>
        <v>28286</v>
      </c>
      <c r="Q1177" s="20">
        <f>IFERROR(__xludf.DUMMYFUNCTION("""COMPUTED_VALUE"""),53856.0)</f>
        <v>53856</v>
      </c>
    </row>
    <row r="1178">
      <c r="A1178" s="20">
        <f>IFERROR(__xludf.DUMMYFUNCTION("""COMPUTED_VALUE"""),1281.0)</f>
        <v>1281</v>
      </c>
      <c r="B1178" s="20" t="str">
        <f>IFERROR(__xludf.DUMMYFUNCTION("""COMPUTED_VALUE"""),"Can Make Palindrome from Substring")</f>
        <v>Can Make Palindrome from Substring</v>
      </c>
      <c r="C1178" s="20" t="str">
        <f>IFERROR(__xludf.DUMMYFUNCTION("""COMPUTED_VALUE"""),"can-make-palindrome-from-substring")</f>
        <v>can-make-palindrome-from-substring</v>
      </c>
      <c r="D1178" s="20" t="b">
        <f>IFERROR(__xludf.DUMMYFUNCTION("""COMPUTED_VALUE"""),FALSE)</f>
        <v>0</v>
      </c>
      <c r="E1178" s="20" t="str">
        <f>IFERROR(__xludf.DUMMYFUNCTION("""COMPUTED_VALUE"""),"Medium")</f>
        <v>Medium</v>
      </c>
      <c r="F1178" s="20">
        <f>IFERROR(__xludf.DUMMYFUNCTION("""COMPUTED_VALUE"""),638.0)</f>
        <v>638</v>
      </c>
      <c r="G1178" s="20">
        <f>IFERROR(__xludf.DUMMYFUNCTION("""COMPUTED_VALUE"""),246.0)</f>
        <v>246</v>
      </c>
      <c r="H1178" s="20" t="str">
        <f>IFERROR(__xludf.DUMMYFUNCTION("""COMPUTED_VALUE"""),"Algorithms")</f>
        <v>Algorithms</v>
      </c>
      <c r="I1178" s="20">
        <f>IFERROR(__xludf.DUMMYFUNCTION("""COMPUTED_VALUE"""),0.38)</f>
        <v>0.38</v>
      </c>
      <c r="J1178" s="20">
        <f>IFERROR(__xludf.DUMMYFUNCTION("""COMPUTED_VALUE"""),1177.0)</f>
        <v>1177</v>
      </c>
      <c r="K1178" s="20" t="b">
        <f>IFERROR(__xludf.DUMMYFUNCTION("""COMPUTED_VALUE"""),FALSE)</f>
        <v>0</v>
      </c>
      <c r="L1178" s="20" t="str">
        <f>IFERROR(__xludf.DUMMYFUNCTION("""COMPUTED_VALUE"""),"Hash Table;String;Bit Manipulation;Prefix Sum;")</f>
        <v>Hash Table;String;Bit Manipulation;Prefix Sum;</v>
      </c>
      <c r="M1178" s="20" t="b">
        <f>IFERROR(__xludf.DUMMYFUNCTION("""COMPUTED_VALUE"""),FALSE)</f>
        <v>0</v>
      </c>
      <c r="N1178" s="20" t="b">
        <f>IFERROR(__xludf.DUMMYFUNCTION("""COMPUTED_VALUE"""),FALSE)</f>
        <v>0</v>
      </c>
      <c r="O1178" s="20">
        <f>IFERROR(__xludf.DUMMYFUNCTION("""COMPUTED_VALUE"""),37.9711447256752)</f>
        <v>37.97114473</v>
      </c>
      <c r="P1178" s="20">
        <f>IFERROR(__xludf.DUMMYFUNCTION("""COMPUTED_VALUE"""),22818.0)</f>
        <v>22818</v>
      </c>
      <c r="Q1178" s="20">
        <f>IFERROR(__xludf.DUMMYFUNCTION("""COMPUTED_VALUE"""),60093.0)</f>
        <v>60093</v>
      </c>
    </row>
    <row r="1179">
      <c r="A1179" s="20">
        <f>IFERROR(__xludf.DUMMYFUNCTION("""COMPUTED_VALUE"""),1282.0)</f>
        <v>1282</v>
      </c>
      <c r="B1179" s="20" t="str">
        <f>IFERROR(__xludf.DUMMYFUNCTION("""COMPUTED_VALUE"""),"Number of Valid Words for Each Puzzle")</f>
        <v>Number of Valid Words for Each Puzzle</v>
      </c>
      <c r="C1179" s="20" t="str">
        <f>IFERROR(__xludf.DUMMYFUNCTION("""COMPUTED_VALUE"""),"number-of-valid-words-for-each-puzzle")</f>
        <v>number-of-valid-words-for-each-puzzle</v>
      </c>
      <c r="D1179" s="20" t="b">
        <f>IFERROR(__xludf.DUMMYFUNCTION("""COMPUTED_VALUE"""),FALSE)</f>
        <v>0</v>
      </c>
      <c r="E1179" s="20" t="str">
        <f>IFERROR(__xludf.DUMMYFUNCTION("""COMPUTED_VALUE"""),"Hard")</f>
        <v>Hard</v>
      </c>
      <c r="F1179" s="20">
        <f>IFERROR(__xludf.DUMMYFUNCTION("""COMPUTED_VALUE"""),1163.0)</f>
        <v>1163</v>
      </c>
      <c r="G1179" s="20">
        <f>IFERROR(__xludf.DUMMYFUNCTION("""COMPUTED_VALUE"""),78.0)</f>
        <v>78</v>
      </c>
      <c r="H1179" s="20" t="str">
        <f>IFERROR(__xludf.DUMMYFUNCTION("""COMPUTED_VALUE"""),"Algorithms")</f>
        <v>Algorithms</v>
      </c>
      <c r="I1179" s="20">
        <f>IFERROR(__xludf.DUMMYFUNCTION("""COMPUTED_VALUE"""),0.465)</f>
        <v>0.465</v>
      </c>
      <c r="J1179" s="20">
        <f>IFERROR(__xludf.DUMMYFUNCTION("""COMPUTED_VALUE"""),1178.0)</f>
        <v>1178</v>
      </c>
      <c r="K1179" s="20" t="b">
        <f>IFERROR(__xludf.DUMMYFUNCTION("""COMPUTED_VALUE"""),FALSE)</f>
        <v>0</v>
      </c>
      <c r="L1179" s="20" t="str">
        <f>IFERROR(__xludf.DUMMYFUNCTION("""COMPUTED_VALUE"""),"Array;Hash Table;String;Bit Manipulation;Trie;")</f>
        <v>Array;Hash Table;String;Bit Manipulation;Trie;</v>
      </c>
      <c r="M1179" s="20" t="b">
        <f>IFERROR(__xludf.DUMMYFUNCTION("""COMPUTED_VALUE"""),TRUE)</f>
        <v>1</v>
      </c>
      <c r="N1179" s="20" t="b">
        <f>IFERROR(__xludf.DUMMYFUNCTION("""COMPUTED_VALUE"""),FALSE)</f>
        <v>0</v>
      </c>
      <c r="O1179" s="20">
        <f>IFERROR(__xludf.DUMMYFUNCTION("""COMPUTED_VALUE"""),46.4656311962987)</f>
        <v>46.4656312</v>
      </c>
      <c r="P1179" s="20">
        <f>IFERROR(__xludf.DUMMYFUNCTION("""COMPUTED_VALUE"""),28121.0)</f>
        <v>28121</v>
      </c>
      <c r="Q1179" s="20">
        <f>IFERROR(__xludf.DUMMYFUNCTION("""COMPUTED_VALUE"""),60520.0)</f>
        <v>60520</v>
      </c>
    </row>
    <row r="1180">
      <c r="A1180" s="20">
        <f>IFERROR(__xludf.DUMMYFUNCTION("""COMPUTED_VALUE"""),1301.0)</f>
        <v>1301</v>
      </c>
      <c r="B1180" s="20" t="str">
        <f>IFERROR(__xludf.DUMMYFUNCTION("""COMPUTED_VALUE"""),"Reformat Department Table")</f>
        <v>Reformat Department Table</v>
      </c>
      <c r="C1180" s="20" t="str">
        <f>IFERROR(__xludf.DUMMYFUNCTION("""COMPUTED_VALUE"""),"reformat-department-table")</f>
        <v>reformat-department-table</v>
      </c>
      <c r="D1180" s="20" t="b">
        <f>IFERROR(__xludf.DUMMYFUNCTION("""COMPUTED_VALUE"""),FALSE)</f>
        <v>0</v>
      </c>
      <c r="E1180" s="20" t="str">
        <f>IFERROR(__xludf.DUMMYFUNCTION("""COMPUTED_VALUE"""),"Easy")</f>
        <v>Easy</v>
      </c>
      <c r="F1180" s="20">
        <f>IFERROR(__xludf.DUMMYFUNCTION("""COMPUTED_VALUE"""),563.0)</f>
        <v>563</v>
      </c>
      <c r="G1180" s="20">
        <f>IFERROR(__xludf.DUMMYFUNCTION("""COMPUTED_VALUE"""),444.0)</f>
        <v>444</v>
      </c>
      <c r="H1180" s="20" t="str">
        <f>IFERROR(__xludf.DUMMYFUNCTION("""COMPUTED_VALUE"""),"Database")</f>
        <v>Database</v>
      </c>
      <c r="I1180" s="20">
        <f>IFERROR(__xludf.DUMMYFUNCTION("""COMPUTED_VALUE"""),0.82)</f>
        <v>0.82</v>
      </c>
      <c r="J1180" s="20">
        <f>IFERROR(__xludf.DUMMYFUNCTION("""COMPUTED_VALUE"""),1179.0)</f>
        <v>1179</v>
      </c>
      <c r="K1180" s="20" t="b">
        <f>IFERROR(__xludf.DUMMYFUNCTION("""COMPUTED_VALUE"""),FALSE)</f>
        <v>0</v>
      </c>
      <c r="L1180" s="20" t="str">
        <f>IFERROR(__xludf.DUMMYFUNCTION("""COMPUTED_VALUE"""),"Database;")</f>
        <v>Database;</v>
      </c>
      <c r="M1180" s="20" t="b">
        <f>IFERROR(__xludf.DUMMYFUNCTION("""COMPUTED_VALUE"""),TRUE)</f>
        <v>1</v>
      </c>
      <c r="N1180" s="20" t="b">
        <f>IFERROR(__xludf.DUMMYFUNCTION("""COMPUTED_VALUE"""),FALSE)</f>
        <v>0</v>
      </c>
      <c r="O1180" s="20">
        <f>IFERROR(__xludf.DUMMYFUNCTION("""COMPUTED_VALUE"""),81.955585335503)</f>
        <v>81.95558534</v>
      </c>
      <c r="P1180" s="20">
        <f>IFERROR(__xludf.DUMMYFUNCTION("""COMPUTED_VALUE"""),85618.0)</f>
        <v>85618</v>
      </c>
      <c r="Q1180" s="20">
        <f>IFERROR(__xludf.DUMMYFUNCTION("""COMPUTED_VALUE"""),104468.0)</f>
        <v>104468</v>
      </c>
    </row>
    <row r="1181">
      <c r="A1181" s="20">
        <f>IFERROR(__xludf.DUMMYFUNCTION("""COMPUTED_VALUE"""),1131.0)</f>
        <v>1131</v>
      </c>
      <c r="B1181" s="20" t="str">
        <f>IFERROR(__xludf.DUMMYFUNCTION("""COMPUTED_VALUE"""),"Count Substrings with Only One Distinct Letter")</f>
        <v>Count Substrings with Only One Distinct Letter</v>
      </c>
      <c r="C1181" s="20" t="str">
        <f>IFERROR(__xludf.DUMMYFUNCTION("""COMPUTED_VALUE"""),"count-substrings-with-only-one-distinct-letter")</f>
        <v>count-substrings-with-only-one-distinct-letter</v>
      </c>
      <c r="D1181" s="20" t="b">
        <f>IFERROR(__xludf.DUMMYFUNCTION("""COMPUTED_VALUE"""),TRUE)</f>
        <v>1</v>
      </c>
      <c r="E1181" s="20" t="str">
        <f>IFERROR(__xludf.DUMMYFUNCTION("""COMPUTED_VALUE"""),"Easy")</f>
        <v>Easy</v>
      </c>
      <c r="F1181" s="20">
        <f>IFERROR(__xludf.DUMMYFUNCTION("""COMPUTED_VALUE"""),305.0)</f>
        <v>305</v>
      </c>
      <c r="G1181" s="20">
        <f>IFERROR(__xludf.DUMMYFUNCTION("""COMPUTED_VALUE"""),47.0)</f>
        <v>47</v>
      </c>
      <c r="H1181" s="20" t="str">
        <f>IFERROR(__xludf.DUMMYFUNCTION("""COMPUTED_VALUE"""),"Algorithms")</f>
        <v>Algorithms</v>
      </c>
      <c r="I1181" s="20">
        <f>IFERROR(__xludf.DUMMYFUNCTION("""COMPUTED_VALUE"""),0.791)</f>
        <v>0.791</v>
      </c>
      <c r="J1181" s="20">
        <f>IFERROR(__xludf.DUMMYFUNCTION("""COMPUTED_VALUE"""),1180.0)</f>
        <v>1180</v>
      </c>
      <c r="K1181" s="20" t="b">
        <f>IFERROR(__xludf.DUMMYFUNCTION("""COMPUTED_VALUE"""),TRUE)</f>
        <v>1</v>
      </c>
      <c r="L1181" s="20" t="str">
        <f>IFERROR(__xludf.DUMMYFUNCTION("""COMPUTED_VALUE"""),"Math;String;")</f>
        <v>Math;String;</v>
      </c>
      <c r="M1181" s="20" t="b">
        <f>IFERROR(__xludf.DUMMYFUNCTION("""COMPUTED_VALUE"""),TRUE)</f>
        <v>1</v>
      </c>
      <c r="N1181" s="20" t="b">
        <f>IFERROR(__xludf.DUMMYFUNCTION("""COMPUTED_VALUE"""),FALSE)</f>
        <v>0</v>
      </c>
      <c r="O1181" s="20">
        <f>IFERROR(__xludf.DUMMYFUNCTION("""COMPUTED_VALUE"""),79.1262303574512)</f>
        <v>79.12623036</v>
      </c>
      <c r="P1181" s="20">
        <f>IFERROR(__xludf.DUMMYFUNCTION("""COMPUTED_VALUE"""),22911.0)</f>
        <v>22911</v>
      </c>
      <c r="Q1181" s="20">
        <f>IFERROR(__xludf.DUMMYFUNCTION("""COMPUTED_VALUE"""),28955.0)</f>
        <v>28955</v>
      </c>
    </row>
    <row r="1182">
      <c r="A1182" s="20">
        <f>IFERROR(__xludf.DUMMYFUNCTION("""COMPUTED_VALUE"""),1132.0)</f>
        <v>1132</v>
      </c>
      <c r="B1182" s="20" t="str">
        <f>IFERROR(__xludf.DUMMYFUNCTION("""COMPUTED_VALUE"""),"Before and After Puzzle")</f>
        <v>Before and After Puzzle</v>
      </c>
      <c r="C1182" s="20" t="str">
        <f>IFERROR(__xludf.DUMMYFUNCTION("""COMPUTED_VALUE"""),"before-and-after-puzzle")</f>
        <v>before-and-after-puzzle</v>
      </c>
      <c r="D1182" s="20" t="b">
        <f>IFERROR(__xludf.DUMMYFUNCTION("""COMPUTED_VALUE"""),TRUE)</f>
        <v>1</v>
      </c>
      <c r="E1182" s="20" t="str">
        <f>IFERROR(__xludf.DUMMYFUNCTION("""COMPUTED_VALUE"""),"Medium")</f>
        <v>Medium</v>
      </c>
      <c r="F1182" s="20">
        <f>IFERROR(__xludf.DUMMYFUNCTION("""COMPUTED_VALUE"""),69.0)</f>
        <v>69</v>
      </c>
      <c r="G1182" s="20">
        <f>IFERROR(__xludf.DUMMYFUNCTION("""COMPUTED_VALUE"""),146.0)</f>
        <v>146</v>
      </c>
      <c r="H1182" s="20" t="str">
        <f>IFERROR(__xludf.DUMMYFUNCTION("""COMPUTED_VALUE"""),"Algorithms")</f>
        <v>Algorithms</v>
      </c>
      <c r="I1182" s="20">
        <f>IFERROR(__xludf.DUMMYFUNCTION("""COMPUTED_VALUE"""),0.452)</f>
        <v>0.452</v>
      </c>
      <c r="J1182" s="20">
        <f>IFERROR(__xludf.DUMMYFUNCTION("""COMPUTED_VALUE"""),1181.0)</f>
        <v>1181</v>
      </c>
      <c r="K1182" s="20" t="b">
        <f>IFERROR(__xludf.DUMMYFUNCTION("""COMPUTED_VALUE"""),TRUE)</f>
        <v>1</v>
      </c>
      <c r="L1182" s="20" t="str">
        <f>IFERROR(__xludf.DUMMYFUNCTION("""COMPUTED_VALUE"""),"Array;Hash Table;String;Sorting;")</f>
        <v>Array;Hash Table;String;Sorting;</v>
      </c>
      <c r="M1182" s="20" t="b">
        <f>IFERROR(__xludf.DUMMYFUNCTION("""COMPUTED_VALUE"""),FALSE)</f>
        <v>0</v>
      </c>
      <c r="N1182" s="20" t="b">
        <f>IFERROR(__xludf.DUMMYFUNCTION("""COMPUTED_VALUE"""),FALSE)</f>
        <v>0</v>
      </c>
      <c r="O1182" s="20">
        <f>IFERROR(__xludf.DUMMYFUNCTION("""COMPUTED_VALUE"""),45.211350872007)</f>
        <v>45.21135087</v>
      </c>
      <c r="P1182" s="20">
        <f>IFERROR(__xludf.DUMMYFUNCTION("""COMPUTED_VALUE"""),9177.0)</f>
        <v>9177</v>
      </c>
      <c r="Q1182" s="20">
        <f>IFERROR(__xludf.DUMMYFUNCTION("""COMPUTED_VALUE"""),20298.0)</f>
        <v>20298</v>
      </c>
    </row>
    <row r="1183">
      <c r="A1183" s="20">
        <f>IFERROR(__xludf.DUMMYFUNCTION("""COMPUTED_VALUE"""),1134.0)</f>
        <v>1134</v>
      </c>
      <c r="B1183" s="20" t="str">
        <f>IFERROR(__xludf.DUMMYFUNCTION("""COMPUTED_VALUE"""),"Shortest Distance to Target Color")</f>
        <v>Shortest Distance to Target Color</v>
      </c>
      <c r="C1183" s="20" t="str">
        <f>IFERROR(__xludf.DUMMYFUNCTION("""COMPUTED_VALUE"""),"shortest-distance-to-target-color")</f>
        <v>shortest-distance-to-target-color</v>
      </c>
      <c r="D1183" s="20" t="b">
        <f>IFERROR(__xludf.DUMMYFUNCTION("""COMPUTED_VALUE"""),TRUE)</f>
        <v>1</v>
      </c>
      <c r="E1183" s="20" t="str">
        <f>IFERROR(__xludf.DUMMYFUNCTION("""COMPUTED_VALUE"""),"Medium")</f>
        <v>Medium</v>
      </c>
      <c r="F1183" s="20">
        <f>IFERROR(__xludf.DUMMYFUNCTION("""COMPUTED_VALUE"""),474.0)</f>
        <v>474</v>
      </c>
      <c r="G1183" s="20">
        <f>IFERROR(__xludf.DUMMYFUNCTION("""COMPUTED_VALUE"""),20.0)</f>
        <v>20</v>
      </c>
      <c r="H1183" s="20" t="str">
        <f>IFERROR(__xludf.DUMMYFUNCTION("""COMPUTED_VALUE"""),"Algorithms")</f>
        <v>Algorithms</v>
      </c>
      <c r="I1183" s="20">
        <f>IFERROR(__xludf.DUMMYFUNCTION("""COMPUTED_VALUE"""),0.554)</f>
        <v>0.554</v>
      </c>
      <c r="J1183" s="20">
        <f>IFERROR(__xludf.DUMMYFUNCTION("""COMPUTED_VALUE"""),1182.0)</f>
        <v>1182</v>
      </c>
      <c r="K1183" s="20" t="b">
        <f>IFERROR(__xludf.DUMMYFUNCTION("""COMPUTED_VALUE"""),TRUE)</f>
        <v>1</v>
      </c>
      <c r="L1183" s="20" t="str">
        <f>IFERROR(__xludf.DUMMYFUNCTION("""COMPUTED_VALUE"""),"Array;Binary Search;Dynamic Programming;")</f>
        <v>Array;Binary Search;Dynamic Programming;</v>
      </c>
      <c r="M1183" s="20" t="b">
        <f>IFERROR(__xludf.DUMMYFUNCTION("""COMPUTED_VALUE"""),TRUE)</f>
        <v>1</v>
      </c>
      <c r="N1183" s="20" t="b">
        <f>IFERROR(__xludf.DUMMYFUNCTION("""COMPUTED_VALUE"""),FALSE)</f>
        <v>0</v>
      </c>
      <c r="O1183" s="20">
        <f>IFERROR(__xludf.DUMMYFUNCTION("""COMPUTED_VALUE"""),55.4180902094764)</f>
        <v>55.41809021</v>
      </c>
      <c r="P1183" s="20">
        <f>IFERROR(__xludf.DUMMYFUNCTION("""COMPUTED_VALUE"""),32116.0)</f>
        <v>32116</v>
      </c>
      <c r="Q1183" s="20">
        <f>IFERROR(__xludf.DUMMYFUNCTION("""COMPUTED_VALUE"""),57953.0)</f>
        <v>57953</v>
      </c>
    </row>
    <row r="1184">
      <c r="A1184" s="20">
        <f>IFERROR(__xludf.DUMMYFUNCTION("""COMPUTED_VALUE"""),1152.0)</f>
        <v>1152</v>
      </c>
      <c r="B1184" s="20" t="str">
        <f>IFERROR(__xludf.DUMMYFUNCTION("""COMPUTED_VALUE"""),"Maximum Number of Ones")</f>
        <v>Maximum Number of Ones</v>
      </c>
      <c r="C1184" s="20" t="str">
        <f>IFERROR(__xludf.DUMMYFUNCTION("""COMPUTED_VALUE"""),"maximum-number-of-ones")</f>
        <v>maximum-number-of-ones</v>
      </c>
      <c r="D1184" s="20" t="b">
        <f>IFERROR(__xludf.DUMMYFUNCTION("""COMPUTED_VALUE"""),TRUE)</f>
        <v>1</v>
      </c>
      <c r="E1184" s="20" t="str">
        <f>IFERROR(__xludf.DUMMYFUNCTION("""COMPUTED_VALUE"""),"Hard")</f>
        <v>Hard</v>
      </c>
      <c r="F1184" s="20">
        <f>IFERROR(__xludf.DUMMYFUNCTION("""COMPUTED_VALUE"""),107.0)</f>
        <v>107</v>
      </c>
      <c r="G1184" s="20">
        <f>IFERROR(__xludf.DUMMYFUNCTION("""COMPUTED_VALUE"""),10.0)</f>
        <v>10</v>
      </c>
      <c r="H1184" s="20" t="str">
        <f>IFERROR(__xludf.DUMMYFUNCTION("""COMPUTED_VALUE"""),"Algorithms")</f>
        <v>Algorithms</v>
      </c>
      <c r="I1184" s="20">
        <f>IFERROR(__xludf.DUMMYFUNCTION("""COMPUTED_VALUE"""),0.611)</f>
        <v>0.611</v>
      </c>
      <c r="J1184" s="20">
        <f>IFERROR(__xludf.DUMMYFUNCTION("""COMPUTED_VALUE"""),1183.0)</f>
        <v>1183</v>
      </c>
      <c r="K1184" s="20" t="b">
        <f>IFERROR(__xludf.DUMMYFUNCTION("""COMPUTED_VALUE"""),TRUE)</f>
        <v>1</v>
      </c>
      <c r="L1184" s="20" t="str">
        <f>IFERROR(__xludf.DUMMYFUNCTION("""COMPUTED_VALUE"""),"Greedy;Heap (Priority Queue);")</f>
        <v>Greedy;Heap (Priority Queue);</v>
      </c>
      <c r="M1184" s="20" t="b">
        <f>IFERROR(__xludf.DUMMYFUNCTION("""COMPUTED_VALUE"""),FALSE)</f>
        <v>0</v>
      </c>
      <c r="N1184" s="20" t="b">
        <f>IFERROR(__xludf.DUMMYFUNCTION("""COMPUTED_VALUE"""),FALSE)</f>
        <v>0</v>
      </c>
      <c r="O1184" s="20">
        <f>IFERROR(__xludf.DUMMYFUNCTION("""COMPUTED_VALUE"""),61.0997963340122)</f>
        <v>61.09979633</v>
      </c>
      <c r="P1184" s="20">
        <f>IFERROR(__xludf.DUMMYFUNCTION("""COMPUTED_VALUE"""),2400.0)</f>
        <v>2400</v>
      </c>
      <c r="Q1184" s="20">
        <f>IFERROR(__xludf.DUMMYFUNCTION("""COMPUTED_VALUE"""),3928.0)</f>
        <v>3928</v>
      </c>
    </row>
    <row r="1185">
      <c r="A1185" s="20">
        <f>IFERROR(__xludf.DUMMYFUNCTION("""COMPUTED_VALUE"""),1287.0)</f>
        <v>1287</v>
      </c>
      <c r="B1185" s="20" t="str">
        <f>IFERROR(__xludf.DUMMYFUNCTION("""COMPUTED_VALUE"""),"Distance Between Bus Stops")</f>
        <v>Distance Between Bus Stops</v>
      </c>
      <c r="C1185" s="20" t="str">
        <f>IFERROR(__xludf.DUMMYFUNCTION("""COMPUTED_VALUE"""),"distance-between-bus-stops")</f>
        <v>distance-between-bus-stops</v>
      </c>
      <c r="D1185" s="20" t="b">
        <f>IFERROR(__xludf.DUMMYFUNCTION("""COMPUTED_VALUE"""),FALSE)</f>
        <v>0</v>
      </c>
      <c r="E1185" s="20" t="str">
        <f>IFERROR(__xludf.DUMMYFUNCTION("""COMPUTED_VALUE"""),"Easy")</f>
        <v>Easy</v>
      </c>
      <c r="F1185" s="20">
        <f>IFERROR(__xludf.DUMMYFUNCTION("""COMPUTED_VALUE"""),626.0)</f>
        <v>626</v>
      </c>
      <c r="G1185" s="20">
        <f>IFERROR(__xludf.DUMMYFUNCTION("""COMPUTED_VALUE"""),64.0)</f>
        <v>64</v>
      </c>
      <c r="H1185" s="20" t="str">
        <f>IFERROR(__xludf.DUMMYFUNCTION("""COMPUTED_VALUE"""),"Algorithms")</f>
        <v>Algorithms</v>
      </c>
      <c r="I1185" s="20">
        <f>IFERROR(__xludf.DUMMYFUNCTION("""COMPUTED_VALUE"""),0.541)</f>
        <v>0.541</v>
      </c>
      <c r="J1185" s="20">
        <f>IFERROR(__xludf.DUMMYFUNCTION("""COMPUTED_VALUE"""),1184.0)</f>
        <v>1184</v>
      </c>
      <c r="K1185" s="20" t="b">
        <f>IFERROR(__xludf.DUMMYFUNCTION("""COMPUTED_VALUE"""),FALSE)</f>
        <v>0</v>
      </c>
      <c r="L1185" s="20" t="str">
        <f>IFERROR(__xludf.DUMMYFUNCTION("""COMPUTED_VALUE"""),"Array;")</f>
        <v>Array;</v>
      </c>
      <c r="M1185" s="20" t="b">
        <f>IFERROR(__xludf.DUMMYFUNCTION("""COMPUTED_VALUE"""),FALSE)</f>
        <v>0</v>
      </c>
      <c r="N1185" s="20" t="b">
        <f>IFERROR(__xludf.DUMMYFUNCTION("""COMPUTED_VALUE"""),FALSE)</f>
        <v>0</v>
      </c>
      <c r="O1185" s="20">
        <f>IFERROR(__xludf.DUMMYFUNCTION("""COMPUTED_VALUE"""),54.1248600160628)</f>
        <v>54.12486002</v>
      </c>
      <c r="P1185" s="20">
        <f>IFERROR(__xludf.DUMMYFUNCTION("""COMPUTED_VALUE"""),47847.0)</f>
        <v>47847</v>
      </c>
      <c r="Q1185" s="20">
        <f>IFERROR(__xludf.DUMMYFUNCTION("""COMPUTED_VALUE"""),88402.0)</f>
        <v>88402</v>
      </c>
    </row>
    <row r="1186">
      <c r="A1186" s="20">
        <f>IFERROR(__xludf.DUMMYFUNCTION("""COMPUTED_VALUE"""),1289.0)</f>
        <v>1289</v>
      </c>
      <c r="B1186" s="20" t="str">
        <f>IFERROR(__xludf.DUMMYFUNCTION("""COMPUTED_VALUE"""),"Day of the Week")</f>
        <v>Day of the Week</v>
      </c>
      <c r="C1186" s="20" t="str">
        <f>IFERROR(__xludf.DUMMYFUNCTION("""COMPUTED_VALUE"""),"day-of-the-week")</f>
        <v>day-of-the-week</v>
      </c>
      <c r="D1186" s="20" t="b">
        <f>IFERROR(__xludf.DUMMYFUNCTION("""COMPUTED_VALUE"""),FALSE)</f>
        <v>0</v>
      </c>
      <c r="E1186" s="20" t="str">
        <f>IFERROR(__xludf.DUMMYFUNCTION("""COMPUTED_VALUE"""),"Easy")</f>
        <v>Easy</v>
      </c>
      <c r="F1186" s="20">
        <f>IFERROR(__xludf.DUMMYFUNCTION("""COMPUTED_VALUE"""),296.0)</f>
        <v>296</v>
      </c>
      <c r="G1186" s="20">
        <f>IFERROR(__xludf.DUMMYFUNCTION("""COMPUTED_VALUE"""),2136.0)</f>
        <v>2136</v>
      </c>
      <c r="H1186" s="20" t="str">
        <f>IFERROR(__xludf.DUMMYFUNCTION("""COMPUTED_VALUE"""),"Algorithms")</f>
        <v>Algorithms</v>
      </c>
      <c r="I1186" s="20">
        <f>IFERROR(__xludf.DUMMYFUNCTION("""COMPUTED_VALUE"""),0.577)</f>
        <v>0.577</v>
      </c>
      <c r="J1186" s="20">
        <f>IFERROR(__xludf.DUMMYFUNCTION("""COMPUTED_VALUE"""),1185.0)</f>
        <v>1185</v>
      </c>
      <c r="K1186" s="20" t="b">
        <f>IFERROR(__xludf.DUMMYFUNCTION("""COMPUTED_VALUE"""),FALSE)</f>
        <v>0</v>
      </c>
      <c r="L1186" s="20" t="str">
        <f>IFERROR(__xludf.DUMMYFUNCTION("""COMPUTED_VALUE"""),"Math;")</f>
        <v>Math;</v>
      </c>
      <c r="M1186" s="20" t="b">
        <f>IFERROR(__xludf.DUMMYFUNCTION("""COMPUTED_VALUE"""),FALSE)</f>
        <v>0</v>
      </c>
      <c r="N1186" s="20" t="b">
        <f>IFERROR(__xludf.DUMMYFUNCTION("""COMPUTED_VALUE"""),FALSE)</f>
        <v>0</v>
      </c>
      <c r="O1186" s="20">
        <f>IFERROR(__xludf.DUMMYFUNCTION("""COMPUTED_VALUE"""),57.6731879409878)</f>
        <v>57.67318794</v>
      </c>
      <c r="P1186" s="20">
        <f>IFERROR(__xludf.DUMMYFUNCTION("""COMPUTED_VALUE"""),50351.0)</f>
        <v>50351</v>
      </c>
      <c r="Q1186" s="20">
        <f>IFERROR(__xludf.DUMMYFUNCTION("""COMPUTED_VALUE"""),87304.0)</f>
        <v>87304</v>
      </c>
    </row>
    <row r="1187">
      <c r="A1187" s="20">
        <f>IFERROR(__xludf.DUMMYFUNCTION("""COMPUTED_VALUE"""),1288.0)</f>
        <v>1288</v>
      </c>
      <c r="B1187" s="20" t="str">
        <f>IFERROR(__xludf.DUMMYFUNCTION("""COMPUTED_VALUE"""),"Maximum Subarray Sum with One Deletion")</f>
        <v>Maximum Subarray Sum with One Deletion</v>
      </c>
      <c r="C1187" s="20" t="str">
        <f>IFERROR(__xludf.DUMMYFUNCTION("""COMPUTED_VALUE"""),"maximum-subarray-sum-with-one-deletion")</f>
        <v>maximum-subarray-sum-with-one-deletion</v>
      </c>
      <c r="D1187" s="20" t="b">
        <f>IFERROR(__xludf.DUMMYFUNCTION("""COMPUTED_VALUE"""),FALSE)</f>
        <v>0</v>
      </c>
      <c r="E1187" s="20" t="str">
        <f>IFERROR(__xludf.DUMMYFUNCTION("""COMPUTED_VALUE"""),"Medium")</f>
        <v>Medium</v>
      </c>
      <c r="F1187" s="20">
        <f>IFERROR(__xludf.DUMMYFUNCTION("""COMPUTED_VALUE"""),1480.0)</f>
        <v>1480</v>
      </c>
      <c r="G1187" s="20">
        <f>IFERROR(__xludf.DUMMYFUNCTION("""COMPUTED_VALUE"""),52.0)</f>
        <v>52</v>
      </c>
      <c r="H1187" s="20" t="str">
        <f>IFERROR(__xludf.DUMMYFUNCTION("""COMPUTED_VALUE"""),"Algorithms")</f>
        <v>Algorithms</v>
      </c>
      <c r="I1187" s="20">
        <f>IFERROR(__xludf.DUMMYFUNCTION("""COMPUTED_VALUE"""),0.413)</f>
        <v>0.413</v>
      </c>
      <c r="J1187" s="20">
        <f>IFERROR(__xludf.DUMMYFUNCTION("""COMPUTED_VALUE"""),1186.0)</f>
        <v>1186</v>
      </c>
      <c r="K1187" s="20" t="b">
        <f>IFERROR(__xludf.DUMMYFUNCTION("""COMPUTED_VALUE"""),FALSE)</f>
        <v>0</v>
      </c>
      <c r="L1187" s="20" t="str">
        <f>IFERROR(__xludf.DUMMYFUNCTION("""COMPUTED_VALUE"""),"Array;Dynamic Programming;")</f>
        <v>Array;Dynamic Programming;</v>
      </c>
      <c r="M1187" s="20" t="b">
        <f>IFERROR(__xludf.DUMMYFUNCTION("""COMPUTED_VALUE"""),FALSE)</f>
        <v>0</v>
      </c>
      <c r="N1187" s="20" t="b">
        <f>IFERROR(__xludf.DUMMYFUNCTION("""COMPUTED_VALUE"""),FALSE)</f>
        <v>0</v>
      </c>
      <c r="O1187" s="20">
        <f>IFERROR(__xludf.DUMMYFUNCTION("""COMPUTED_VALUE"""),41.3429633234526)</f>
        <v>41.34296332</v>
      </c>
      <c r="P1187" s="20">
        <f>IFERROR(__xludf.DUMMYFUNCTION("""COMPUTED_VALUE"""),37379.0)</f>
        <v>37379</v>
      </c>
      <c r="Q1187" s="20">
        <f>IFERROR(__xludf.DUMMYFUNCTION("""COMPUTED_VALUE"""),90412.0)</f>
        <v>90412</v>
      </c>
    </row>
    <row r="1188">
      <c r="A1188" s="20">
        <f>IFERROR(__xludf.DUMMYFUNCTION("""COMPUTED_VALUE"""),1290.0)</f>
        <v>1290</v>
      </c>
      <c r="B1188" s="20" t="str">
        <f>IFERROR(__xludf.DUMMYFUNCTION("""COMPUTED_VALUE"""),"Make Array Strictly Increasing")</f>
        <v>Make Array Strictly Increasing</v>
      </c>
      <c r="C1188" s="20" t="str">
        <f>IFERROR(__xludf.DUMMYFUNCTION("""COMPUTED_VALUE"""),"make-array-strictly-increasing")</f>
        <v>make-array-strictly-increasing</v>
      </c>
      <c r="D1188" s="20" t="b">
        <f>IFERROR(__xludf.DUMMYFUNCTION("""COMPUTED_VALUE"""),FALSE)</f>
        <v>0</v>
      </c>
      <c r="E1188" s="20" t="str">
        <f>IFERROR(__xludf.DUMMYFUNCTION("""COMPUTED_VALUE"""),"Hard")</f>
        <v>Hard</v>
      </c>
      <c r="F1188" s="20">
        <f>IFERROR(__xludf.DUMMYFUNCTION("""COMPUTED_VALUE"""),754.0)</f>
        <v>754</v>
      </c>
      <c r="G1188" s="20">
        <f>IFERROR(__xludf.DUMMYFUNCTION("""COMPUTED_VALUE"""),18.0)</f>
        <v>18</v>
      </c>
      <c r="H1188" s="20" t="str">
        <f>IFERROR(__xludf.DUMMYFUNCTION("""COMPUTED_VALUE"""),"Algorithms")</f>
        <v>Algorithms</v>
      </c>
      <c r="I1188" s="20">
        <f>IFERROR(__xludf.DUMMYFUNCTION("""COMPUTED_VALUE"""),0.452)</f>
        <v>0.452</v>
      </c>
      <c r="J1188" s="20">
        <f>IFERROR(__xludf.DUMMYFUNCTION("""COMPUTED_VALUE"""),1187.0)</f>
        <v>1187</v>
      </c>
      <c r="K1188" s="20" t="b">
        <f>IFERROR(__xludf.DUMMYFUNCTION("""COMPUTED_VALUE"""),FALSE)</f>
        <v>0</v>
      </c>
      <c r="L1188" s="20" t="str">
        <f>IFERROR(__xludf.DUMMYFUNCTION("""COMPUTED_VALUE"""),"Array;Binary Search;Dynamic Programming;")</f>
        <v>Array;Binary Search;Dynamic Programming;</v>
      </c>
      <c r="M1188" s="20" t="b">
        <f>IFERROR(__xludf.DUMMYFUNCTION("""COMPUTED_VALUE"""),FALSE)</f>
        <v>0</v>
      </c>
      <c r="N1188" s="20" t="b">
        <f>IFERROR(__xludf.DUMMYFUNCTION("""COMPUTED_VALUE"""),FALSE)</f>
        <v>0</v>
      </c>
      <c r="O1188" s="20">
        <f>IFERROR(__xludf.DUMMYFUNCTION("""COMPUTED_VALUE"""),45.241421610386)</f>
        <v>45.24142161</v>
      </c>
      <c r="P1188" s="20">
        <f>IFERROR(__xludf.DUMMYFUNCTION("""COMPUTED_VALUE"""),13277.0)</f>
        <v>13277</v>
      </c>
      <c r="Q1188" s="20">
        <f>IFERROR(__xludf.DUMMYFUNCTION("""COMPUTED_VALUE"""),29347.0)</f>
        <v>29347</v>
      </c>
    </row>
    <row r="1189">
      <c r="A1189" s="20">
        <f>IFERROR(__xludf.DUMMYFUNCTION("""COMPUTED_VALUE"""),1209.0)</f>
        <v>1209</v>
      </c>
      <c r="B1189" s="20" t="str">
        <f>IFERROR(__xludf.DUMMYFUNCTION("""COMPUTED_VALUE"""),"Design Bounded Blocking Queue")</f>
        <v>Design Bounded Blocking Queue</v>
      </c>
      <c r="C1189" s="20" t="str">
        <f>IFERROR(__xludf.DUMMYFUNCTION("""COMPUTED_VALUE"""),"design-bounded-blocking-queue")</f>
        <v>design-bounded-blocking-queue</v>
      </c>
      <c r="D1189" s="20" t="b">
        <f>IFERROR(__xludf.DUMMYFUNCTION("""COMPUTED_VALUE"""),TRUE)</f>
        <v>1</v>
      </c>
      <c r="E1189" s="20" t="str">
        <f>IFERROR(__xludf.DUMMYFUNCTION("""COMPUTED_VALUE"""),"Medium")</f>
        <v>Medium</v>
      </c>
      <c r="F1189" s="20">
        <f>IFERROR(__xludf.DUMMYFUNCTION("""COMPUTED_VALUE"""),469.0)</f>
        <v>469</v>
      </c>
      <c r="G1189" s="20">
        <f>IFERROR(__xludf.DUMMYFUNCTION("""COMPUTED_VALUE"""),39.0)</f>
        <v>39</v>
      </c>
      <c r="H1189" s="20" t="str">
        <f>IFERROR(__xludf.DUMMYFUNCTION("""COMPUTED_VALUE"""),"Concurrency")</f>
        <v>Concurrency</v>
      </c>
      <c r="I1189" s="20">
        <f>IFERROR(__xludf.DUMMYFUNCTION("""COMPUTED_VALUE"""),0.729)</f>
        <v>0.729</v>
      </c>
      <c r="J1189" s="20">
        <f>IFERROR(__xludf.DUMMYFUNCTION("""COMPUTED_VALUE"""),1188.0)</f>
        <v>1188</v>
      </c>
      <c r="K1189" s="20" t="b">
        <f>IFERROR(__xludf.DUMMYFUNCTION("""COMPUTED_VALUE"""),TRUE)</f>
        <v>1</v>
      </c>
      <c r="L1189" s="20" t="str">
        <f>IFERROR(__xludf.DUMMYFUNCTION("""COMPUTED_VALUE"""),"Concurrency;")</f>
        <v>Concurrency;</v>
      </c>
      <c r="M1189" s="20" t="b">
        <f>IFERROR(__xludf.DUMMYFUNCTION("""COMPUTED_VALUE"""),FALSE)</f>
        <v>0</v>
      </c>
      <c r="N1189" s="20" t="b">
        <f>IFERROR(__xludf.DUMMYFUNCTION("""COMPUTED_VALUE"""),FALSE)</f>
        <v>0</v>
      </c>
      <c r="O1189" s="20">
        <f>IFERROR(__xludf.DUMMYFUNCTION("""COMPUTED_VALUE"""),72.904739394576)</f>
        <v>72.90473939</v>
      </c>
      <c r="P1189" s="20">
        <f>IFERROR(__xludf.DUMMYFUNCTION("""COMPUTED_VALUE"""),41641.0)</f>
        <v>41641</v>
      </c>
      <c r="Q1189" s="20">
        <f>IFERROR(__xludf.DUMMYFUNCTION("""COMPUTED_VALUE"""),57117.0)</f>
        <v>57117</v>
      </c>
    </row>
    <row r="1190">
      <c r="A1190" s="20">
        <f>IFERROR(__xludf.DUMMYFUNCTION("""COMPUTED_VALUE"""),1297.0)</f>
        <v>1297</v>
      </c>
      <c r="B1190" s="20" t="str">
        <f>IFERROR(__xludf.DUMMYFUNCTION("""COMPUTED_VALUE"""),"Maximum Number of Balloons")</f>
        <v>Maximum Number of Balloons</v>
      </c>
      <c r="C1190" s="20" t="str">
        <f>IFERROR(__xludf.DUMMYFUNCTION("""COMPUTED_VALUE"""),"maximum-number-of-balloons")</f>
        <v>maximum-number-of-balloons</v>
      </c>
      <c r="D1190" s="20" t="b">
        <f>IFERROR(__xludf.DUMMYFUNCTION("""COMPUTED_VALUE"""),FALSE)</f>
        <v>0</v>
      </c>
      <c r="E1190" s="20" t="str">
        <f>IFERROR(__xludf.DUMMYFUNCTION("""COMPUTED_VALUE"""),"Easy")</f>
        <v>Easy</v>
      </c>
      <c r="F1190" s="20">
        <f>IFERROR(__xludf.DUMMYFUNCTION("""COMPUTED_VALUE"""),1278.0)</f>
        <v>1278</v>
      </c>
      <c r="G1190" s="20">
        <f>IFERROR(__xludf.DUMMYFUNCTION("""COMPUTED_VALUE"""),77.0)</f>
        <v>77</v>
      </c>
      <c r="H1190" s="20" t="str">
        <f>IFERROR(__xludf.DUMMYFUNCTION("""COMPUTED_VALUE"""),"Algorithms")</f>
        <v>Algorithms</v>
      </c>
      <c r="I1190" s="20">
        <f>IFERROR(__xludf.DUMMYFUNCTION("""COMPUTED_VALUE"""),0.616)</f>
        <v>0.616</v>
      </c>
      <c r="J1190" s="20">
        <f>IFERROR(__xludf.DUMMYFUNCTION("""COMPUTED_VALUE"""),1189.0)</f>
        <v>1189</v>
      </c>
      <c r="K1190" s="20" t="b">
        <f>IFERROR(__xludf.DUMMYFUNCTION("""COMPUTED_VALUE"""),FALSE)</f>
        <v>0</v>
      </c>
      <c r="L1190" s="20" t="str">
        <f>IFERROR(__xludf.DUMMYFUNCTION("""COMPUTED_VALUE"""),"Hash Table;String;Counting;")</f>
        <v>Hash Table;String;Counting;</v>
      </c>
      <c r="M1190" s="20" t="b">
        <f>IFERROR(__xludf.DUMMYFUNCTION("""COMPUTED_VALUE"""),TRUE)</f>
        <v>1</v>
      </c>
      <c r="N1190" s="20" t="b">
        <f>IFERROR(__xludf.DUMMYFUNCTION("""COMPUTED_VALUE"""),FALSE)</f>
        <v>0</v>
      </c>
      <c r="O1190" s="20">
        <f>IFERROR(__xludf.DUMMYFUNCTION("""COMPUTED_VALUE"""),61.5710856849905)</f>
        <v>61.57108568</v>
      </c>
      <c r="P1190" s="20">
        <f>IFERROR(__xludf.DUMMYFUNCTION("""COMPUTED_VALUE"""),132110.0)</f>
        <v>132110</v>
      </c>
      <c r="Q1190" s="20">
        <f>IFERROR(__xludf.DUMMYFUNCTION("""COMPUTED_VALUE"""),214565.0)</f>
        <v>214565</v>
      </c>
    </row>
    <row r="1191">
      <c r="A1191" s="20">
        <f>IFERROR(__xludf.DUMMYFUNCTION("""COMPUTED_VALUE"""),1298.0)</f>
        <v>1298</v>
      </c>
      <c r="B1191" s="20" t="str">
        <f>IFERROR(__xludf.DUMMYFUNCTION("""COMPUTED_VALUE"""),"Reverse Substrings Between Each Pair of Parentheses")</f>
        <v>Reverse Substrings Between Each Pair of Parentheses</v>
      </c>
      <c r="C1191" s="20" t="str">
        <f>IFERROR(__xludf.DUMMYFUNCTION("""COMPUTED_VALUE"""),"reverse-substrings-between-each-pair-of-parentheses")</f>
        <v>reverse-substrings-between-each-pair-of-parentheses</v>
      </c>
      <c r="D1191" s="20" t="b">
        <f>IFERROR(__xludf.DUMMYFUNCTION("""COMPUTED_VALUE"""),FALSE)</f>
        <v>0</v>
      </c>
      <c r="E1191" s="20" t="str">
        <f>IFERROR(__xludf.DUMMYFUNCTION("""COMPUTED_VALUE"""),"Medium")</f>
        <v>Medium</v>
      </c>
      <c r="F1191" s="20">
        <f>IFERROR(__xludf.DUMMYFUNCTION("""COMPUTED_VALUE"""),1559.0)</f>
        <v>1559</v>
      </c>
      <c r="G1191" s="20">
        <f>IFERROR(__xludf.DUMMYFUNCTION("""COMPUTED_VALUE"""),42.0)</f>
        <v>42</v>
      </c>
      <c r="H1191" s="20" t="str">
        <f>IFERROR(__xludf.DUMMYFUNCTION("""COMPUTED_VALUE"""),"Algorithms")</f>
        <v>Algorithms</v>
      </c>
      <c r="I1191" s="20">
        <f>IFERROR(__xludf.DUMMYFUNCTION("""COMPUTED_VALUE"""),0.659)</f>
        <v>0.659</v>
      </c>
      <c r="J1191" s="20">
        <f>IFERROR(__xludf.DUMMYFUNCTION("""COMPUTED_VALUE"""),1190.0)</f>
        <v>1190</v>
      </c>
      <c r="K1191" s="20" t="b">
        <f>IFERROR(__xludf.DUMMYFUNCTION("""COMPUTED_VALUE"""),FALSE)</f>
        <v>0</v>
      </c>
      <c r="L1191" s="20" t="str">
        <f>IFERROR(__xludf.DUMMYFUNCTION("""COMPUTED_VALUE"""),"String;Stack;")</f>
        <v>String;Stack;</v>
      </c>
      <c r="M1191" s="20" t="b">
        <f>IFERROR(__xludf.DUMMYFUNCTION("""COMPUTED_VALUE"""),FALSE)</f>
        <v>0</v>
      </c>
      <c r="N1191" s="20" t="b">
        <f>IFERROR(__xludf.DUMMYFUNCTION("""COMPUTED_VALUE"""),FALSE)</f>
        <v>0</v>
      </c>
      <c r="O1191" s="20">
        <f>IFERROR(__xludf.DUMMYFUNCTION("""COMPUTED_VALUE"""),65.9205767936388)</f>
        <v>65.92057679</v>
      </c>
      <c r="P1191" s="20">
        <f>IFERROR(__xludf.DUMMYFUNCTION("""COMPUTED_VALUE"""),57780.0)</f>
        <v>57780</v>
      </c>
      <c r="Q1191" s="20">
        <f>IFERROR(__xludf.DUMMYFUNCTION("""COMPUTED_VALUE"""),87653.0)</f>
        <v>87653</v>
      </c>
    </row>
    <row r="1192">
      <c r="A1192" s="20">
        <f>IFERROR(__xludf.DUMMYFUNCTION("""COMPUTED_VALUE"""),1299.0)</f>
        <v>1299</v>
      </c>
      <c r="B1192" s="20" t="str">
        <f>IFERROR(__xludf.DUMMYFUNCTION("""COMPUTED_VALUE"""),"K-Concatenation Maximum Sum")</f>
        <v>K-Concatenation Maximum Sum</v>
      </c>
      <c r="C1192" s="20" t="str">
        <f>IFERROR(__xludf.DUMMYFUNCTION("""COMPUTED_VALUE"""),"k-concatenation-maximum-sum")</f>
        <v>k-concatenation-maximum-sum</v>
      </c>
      <c r="D1192" s="20" t="b">
        <f>IFERROR(__xludf.DUMMYFUNCTION("""COMPUTED_VALUE"""),FALSE)</f>
        <v>0</v>
      </c>
      <c r="E1192" s="20" t="str">
        <f>IFERROR(__xludf.DUMMYFUNCTION("""COMPUTED_VALUE"""),"Medium")</f>
        <v>Medium</v>
      </c>
      <c r="F1192" s="20">
        <f>IFERROR(__xludf.DUMMYFUNCTION("""COMPUTED_VALUE"""),1166.0)</f>
        <v>1166</v>
      </c>
      <c r="G1192" s="20">
        <f>IFERROR(__xludf.DUMMYFUNCTION("""COMPUTED_VALUE"""),96.0)</f>
        <v>96</v>
      </c>
      <c r="H1192" s="20" t="str">
        <f>IFERROR(__xludf.DUMMYFUNCTION("""COMPUTED_VALUE"""),"Algorithms")</f>
        <v>Algorithms</v>
      </c>
      <c r="I1192" s="20">
        <f>IFERROR(__xludf.DUMMYFUNCTION("""COMPUTED_VALUE"""),0.239)</f>
        <v>0.239</v>
      </c>
      <c r="J1192" s="20">
        <f>IFERROR(__xludf.DUMMYFUNCTION("""COMPUTED_VALUE"""),1191.0)</f>
        <v>1191</v>
      </c>
      <c r="K1192" s="20" t="b">
        <f>IFERROR(__xludf.DUMMYFUNCTION("""COMPUTED_VALUE"""),FALSE)</f>
        <v>0</v>
      </c>
      <c r="L1192" s="20" t="str">
        <f>IFERROR(__xludf.DUMMYFUNCTION("""COMPUTED_VALUE"""),"Array;Dynamic Programming;")</f>
        <v>Array;Dynamic Programming;</v>
      </c>
      <c r="M1192" s="20" t="b">
        <f>IFERROR(__xludf.DUMMYFUNCTION("""COMPUTED_VALUE"""),FALSE)</f>
        <v>0</v>
      </c>
      <c r="N1192" s="20" t="b">
        <f>IFERROR(__xludf.DUMMYFUNCTION("""COMPUTED_VALUE"""),FALSE)</f>
        <v>0</v>
      </c>
      <c r="O1192" s="20">
        <f>IFERROR(__xludf.DUMMYFUNCTION("""COMPUTED_VALUE"""),23.9094574780058)</f>
        <v>23.90945748</v>
      </c>
      <c r="P1192" s="20">
        <f>IFERROR(__xludf.DUMMYFUNCTION("""COMPUTED_VALUE"""),28699.0)</f>
        <v>28699</v>
      </c>
      <c r="Q1192" s="20">
        <f>IFERROR(__xludf.DUMMYFUNCTION("""COMPUTED_VALUE"""),120032.0)</f>
        <v>120032</v>
      </c>
    </row>
    <row r="1193">
      <c r="A1193" s="20">
        <f>IFERROR(__xludf.DUMMYFUNCTION("""COMPUTED_VALUE"""),1300.0)</f>
        <v>1300</v>
      </c>
      <c r="B1193" s="20" t="str">
        <f>IFERROR(__xludf.DUMMYFUNCTION("""COMPUTED_VALUE"""),"Critical Connections in a Network")</f>
        <v>Critical Connections in a Network</v>
      </c>
      <c r="C1193" s="20" t="str">
        <f>IFERROR(__xludf.DUMMYFUNCTION("""COMPUTED_VALUE"""),"critical-connections-in-a-network")</f>
        <v>critical-connections-in-a-network</v>
      </c>
      <c r="D1193" s="20" t="b">
        <f>IFERROR(__xludf.DUMMYFUNCTION("""COMPUTED_VALUE"""),FALSE)</f>
        <v>0</v>
      </c>
      <c r="E1193" s="20" t="str">
        <f>IFERROR(__xludf.DUMMYFUNCTION("""COMPUTED_VALUE"""),"Hard")</f>
        <v>Hard</v>
      </c>
      <c r="F1193" s="20">
        <f>IFERROR(__xludf.DUMMYFUNCTION("""COMPUTED_VALUE"""),5086.0)</f>
        <v>5086</v>
      </c>
      <c r="G1193" s="20">
        <f>IFERROR(__xludf.DUMMYFUNCTION("""COMPUTED_VALUE"""),168.0)</f>
        <v>168</v>
      </c>
      <c r="H1193" s="20" t="str">
        <f>IFERROR(__xludf.DUMMYFUNCTION("""COMPUTED_VALUE"""),"Algorithms")</f>
        <v>Algorithms</v>
      </c>
      <c r="I1193" s="20">
        <f>IFERROR(__xludf.DUMMYFUNCTION("""COMPUTED_VALUE"""),0.545)</f>
        <v>0.545</v>
      </c>
      <c r="J1193" s="20">
        <f>IFERROR(__xludf.DUMMYFUNCTION("""COMPUTED_VALUE"""),1192.0)</f>
        <v>1192</v>
      </c>
      <c r="K1193" s="20" t="b">
        <f>IFERROR(__xludf.DUMMYFUNCTION("""COMPUTED_VALUE"""),FALSE)</f>
        <v>0</v>
      </c>
      <c r="L1193" s="20" t="str">
        <f>IFERROR(__xludf.DUMMYFUNCTION("""COMPUTED_VALUE"""),"Depth-First Search;Graph;Biconnected Component;")</f>
        <v>Depth-First Search;Graph;Biconnected Component;</v>
      </c>
      <c r="M1193" s="20" t="b">
        <f>IFERROR(__xludf.DUMMYFUNCTION("""COMPUTED_VALUE"""),TRUE)</f>
        <v>1</v>
      </c>
      <c r="N1193" s="20" t="b">
        <f>IFERROR(__xludf.DUMMYFUNCTION("""COMPUTED_VALUE"""),FALSE)</f>
        <v>0</v>
      </c>
      <c r="O1193" s="20">
        <f>IFERROR(__xludf.DUMMYFUNCTION("""COMPUTED_VALUE"""),54.5350786358721)</f>
        <v>54.53507864</v>
      </c>
      <c r="P1193" s="20">
        <f>IFERROR(__xludf.DUMMYFUNCTION("""COMPUTED_VALUE"""),190647.0)</f>
        <v>190647</v>
      </c>
      <c r="Q1193" s="20">
        <f>IFERROR(__xludf.DUMMYFUNCTION("""COMPUTED_VALUE"""),349586.0)</f>
        <v>349586</v>
      </c>
    </row>
    <row r="1194">
      <c r="A1194" s="20">
        <f>IFERROR(__xludf.DUMMYFUNCTION("""COMPUTED_VALUE"""),1317.0)</f>
        <v>1317</v>
      </c>
      <c r="B1194" s="20" t="str">
        <f>IFERROR(__xludf.DUMMYFUNCTION("""COMPUTED_VALUE"""),"Monthly Transactions I")</f>
        <v>Monthly Transactions I</v>
      </c>
      <c r="C1194" s="20" t="str">
        <f>IFERROR(__xludf.DUMMYFUNCTION("""COMPUTED_VALUE"""),"monthly-transactions-i")</f>
        <v>monthly-transactions-i</v>
      </c>
      <c r="D1194" s="20" t="b">
        <f>IFERROR(__xludf.DUMMYFUNCTION("""COMPUTED_VALUE"""),TRUE)</f>
        <v>1</v>
      </c>
      <c r="E1194" s="20" t="str">
        <f>IFERROR(__xludf.DUMMYFUNCTION("""COMPUTED_VALUE"""),"Medium")</f>
        <v>Medium</v>
      </c>
      <c r="F1194" s="20">
        <f>IFERROR(__xludf.DUMMYFUNCTION("""COMPUTED_VALUE"""),164.0)</f>
        <v>164</v>
      </c>
      <c r="G1194" s="20">
        <f>IFERROR(__xludf.DUMMYFUNCTION("""COMPUTED_VALUE"""),25.0)</f>
        <v>25</v>
      </c>
      <c r="H1194" s="20" t="str">
        <f>IFERROR(__xludf.DUMMYFUNCTION("""COMPUTED_VALUE"""),"Database")</f>
        <v>Database</v>
      </c>
      <c r="I1194" s="20">
        <f>IFERROR(__xludf.DUMMYFUNCTION("""COMPUTED_VALUE"""),0.668)</f>
        <v>0.668</v>
      </c>
      <c r="J1194" s="20">
        <f>IFERROR(__xludf.DUMMYFUNCTION("""COMPUTED_VALUE"""),1193.0)</f>
        <v>1193</v>
      </c>
      <c r="K1194" s="20" t="b">
        <f>IFERROR(__xludf.DUMMYFUNCTION("""COMPUTED_VALUE"""),TRUE)</f>
        <v>1</v>
      </c>
      <c r="L1194" s="20" t="str">
        <f>IFERROR(__xludf.DUMMYFUNCTION("""COMPUTED_VALUE"""),"Database;")</f>
        <v>Database;</v>
      </c>
      <c r="M1194" s="20" t="b">
        <f>IFERROR(__xludf.DUMMYFUNCTION("""COMPUTED_VALUE"""),FALSE)</f>
        <v>0</v>
      </c>
      <c r="N1194" s="20" t="b">
        <f>IFERROR(__xludf.DUMMYFUNCTION("""COMPUTED_VALUE"""),FALSE)</f>
        <v>0</v>
      </c>
      <c r="O1194" s="20">
        <f>IFERROR(__xludf.DUMMYFUNCTION("""COMPUTED_VALUE"""),66.7541521427107)</f>
        <v>66.75415214</v>
      </c>
      <c r="P1194" s="20">
        <f>IFERROR(__xludf.DUMMYFUNCTION("""COMPUTED_VALUE"""),32556.0)</f>
        <v>32556</v>
      </c>
      <c r="Q1194" s="20">
        <f>IFERROR(__xludf.DUMMYFUNCTION("""COMPUTED_VALUE"""),48770.0)</f>
        <v>48770</v>
      </c>
    </row>
    <row r="1195">
      <c r="A1195" s="20">
        <f>IFERROR(__xludf.DUMMYFUNCTION("""COMPUTED_VALUE"""),1318.0)</f>
        <v>1318</v>
      </c>
      <c r="B1195" s="20" t="str">
        <f>IFERROR(__xludf.DUMMYFUNCTION("""COMPUTED_VALUE"""),"Tournament Winners")</f>
        <v>Tournament Winners</v>
      </c>
      <c r="C1195" s="20" t="str">
        <f>IFERROR(__xludf.DUMMYFUNCTION("""COMPUTED_VALUE"""),"tournament-winners")</f>
        <v>tournament-winners</v>
      </c>
      <c r="D1195" s="20" t="b">
        <f>IFERROR(__xludf.DUMMYFUNCTION("""COMPUTED_VALUE"""),TRUE)</f>
        <v>1</v>
      </c>
      <c r="E1195" s="20" t="str">
        <f>IFERROR(__xludf.DUMMYFUNCTION("""COMPUTED_VALUE"""),"Hard")</f>
        <v>Hard</v>
      </c>
      <c r="F1195" s="20">
        <f>IFERROR(__xludf.DUMMYFUNCTION("""COMPUTED_VALUE"""),124.0)</f>
        <v>124</v>
      </c>
      <c r="G1195" s="20">
        <f>IFERROR(__xludf.DUMMYFUNCTION("""COMPUTED_VALUE"""),51.0)</f>
        <v>51</v>
      </c>
      <c r="H1195" s="20" t="str">
        <f>IFERROR(__xludf.DUMMYFUNCTION("""COMPUTED_VALUE"""),"Database")</f>
        <v>Database</v>
      </c>
      <c r="I1195" s="20">
        <f>IFERROR(__xludf.DUMMYFUNCTION("""COMPUTED_VALUE"""),0.514)</f>
        <v>0.514</v>
      </c>
      <c r="J1195" s="20">
        <f>IFERROR(__xludf.DUMMYFUNCTION("""COMPUTED_VALUE"""),1194.0)</f>
        <v>1194</v>
      </c>
      <c r="K1195" s="20" t="b">
        <f>IFERROR(__xludf.DUMMYFUNCTION("""COMPUTED_VALUE"""),TRUE)</f>
        <v>1</v>
      </c>
      <c r="L1195" s="20" t="str">
        <f>IFERROR(__xludf.DUMMYFUNCTION("""COMPUTED_VALUE"""),"Database;")</f>
        <v>Database;</v>
      </c>
      <c r="M1195" s="20" t="b">
        <f>IFERROR(__xludf.DUMMYFUNCTION("""COMPUTED_VALUE"""),FALSE)</f>
        <v>0</v>
      </c>
      <c r="N1195" s="20" t="b">
        <f>IFERROR(__xludf.DUMMYFUNCTION("""COMPUTED_VALUE"""),FALSE)</f>
        <v>0</v>
      </c>
      <c r="O1195" s="20">
        <f>IFERROR(__xludf.DUMMYFUNCTION("""COMPUTED_VALUE"""),51.3568802940706)</f>
        <v>51.35688029</v>
      </c>
      <c r="P1195" s="20">
        <f>IFERROR(__xludf.DUMMYFUNCTION("""COMPUTED_VALUE"""),16067.0)</f>
        <v>16067</v>
      </c>
      <c r="Q1195" s="20">
        <f>IFERROR(__xludf.DUMMYFUNCTION("""COMPUTED_VALUE"""),31285.0)</f>
        <v>31285</v>
      </c>
    </row>
    <row r="1196">
      <c r="A1196" s="20">
        <f>IFERROR(__xludf.DUMMYFUNCTION("""COMPUTED_VALUE"""),1316.0)</f>
        <v>1316</v>
      </c>
      <c r="B1196" s="20" t="str">
        <f>IFERROR(__xludf.DUMMYFUNCTION("""COMPUTED_VALUE"""),"Fizz Buzz Multithreaded")</f>
        <v>Fizz Buzz Multithreaded</v>
      </c>
      <c r="C1196" s="20" t="str">
        <f>IFERROR(__xludf.DUMMYFUNCTION("""COMPUTED_VALUE"""),"fizz-buzz-multithreaded")</f>
        <v>fizz-buzz-multithreaded</v>
      </c>
      <c r="D1196" s="20" t="b">
        <f>IFERROR(__xludf.DUMMYFUNCTION("""COMPUTED_VALUE"""),FALSE)</f>
        <v>0</v>
      </c>
      <c r="E1196" s="20" t="str">
        <f>IFERROR(__xludf.DUMMYFUNCTION("""COMPUTED_VALUE"""),"Medium")</f>
        <v>Medium</v>
      </c>
      <c r="F1196" s="20">
        <f>IFERROR(__xludf.DUMMYFUNCTION("""COMPUTED_VALUE"""),450.0)</f>
        <v>450</v>
      </c>
      <c r="G1196" s="20">
        <f>IFERROR(__xludf.DUMMYFUNCTION("""COMPUTED_VALUE"""),331.0)</f>
        <v>331</v>
      </c>
      <c r="H1196" s="20" t="str">
        <f>IFERROR(__xludf.DUMMYFUNCTION("""COMPUTED_VALUE"""),"Concurrency")</f>
        <v>Concurrency</v>
      </c>
      <c r="I1196" s="20">
        <f>IFERROR(__xludf.DUMMYFUNCTION("""COMPUTED_VALUE"""),0.727)</f>
        <v>0.727</v>
      </c>
      <c r="J1196" s="20">
        <f>IFERROR(__xludf.DUMMYFUNCTION("""COMPUTED_VALUE"""),1195.0)</f>
        <v>1195</v>
      </c>
      <c r="K1196" s="20" t="b">
        <f>IFERROR(__xludf.DUMMYFUNCTION("""COMPUTED_VALUE"""),FALSE)</f>
        <v>0</v>
      </c>
      <c r="L1196" s="20" t="str">
        <f>IFERROR(__xludf.DUMMYFUNCTION("""COMPUTED_VALUE"""),"Concurrency;")</f>
        <v>Concurrency;</v>
      </c>
      <c r="M1196" s="20" t="b">
        <f>IFERROR(__xludf.DUMMYFUNCTION("""COMPUTED_VALUE"""),FALSE)</f>
        <v>0</v>
      </c>
      <c r="N1196" s="20" t="b">
        <f>IFERROR(__xludf.DUMMYFUNCTION("""COMPUTED_VALUE"""),FALSE)</f>
        <v>0</v>
      </c>
      <c r="O1196" s="20">
        <f>IFERROR(__xludf.DUMMYFUNCTION("""COMPUTED_VALUE"""),72.7451308200284)</f>
        <v>72.74513082</v>
      </c>
      <c r="P1196" s="20">
        <f>IFERROR(__xludf.DUMMYFUNCTION("""COMPUTED_VALUE"""),34809.0)</f>
        <v>34809</v>
      </c>
      <c r="Q1196" s="20">
        <f>IFERROR(__xludf.DUMMYFUNCTION("""COMPUTED_VALUE"""),47851.0)</f>
        <v>47851</v>
      </c>
    </row>
    <row r="1197">
      <c r="A1197" s="20">
        <f>IFERROR(__xludf.DUMMYFUNCTION("""COMPUTED_VALUE"""),1141.0)</f>
        <v>1141</v>
      </c>
      <c r="B1197" s="20" t="str">
        <f>IFERROR(__xludf.DUMMYFUNCTION("""COMPUTED_VALUE"""),"How Many Apples Can You Put into the Basket")</f>
        <v>How Many Apples Can You Put into the Basket</v>
      </c>
      <c r="C1197" s="20" t="str">
        <f>IFERROR(__xludf.DUMMYFUNCTION("""COMPUTED_VALUE"""),"how-many-apples-can-you-put-into-the-basket")</f>
        <v>how-many-apples-can-you-put-into-the-basket</v>
      </c>
      <c r="D1197" s="20" t="b">
        <f>IFERROR(__xludf.DUMMYFUNCTION("""COMPUTED_VALUE"""),TRUE)</f>
        <v>1</v>
      </c>
      <c r="E1197" s="20" t="str">
        <f>IFERROR(__xludf.DUMMYFUNCTION("""COMPUTED_VALUE"""),"Easy")</f>
        <v>Easy</v>
      </c>
      <c r="F1197" s="20">
        <f>IFERROR(__xludf.DUMMYFUNCTION("""COMPUTED_VALUE"""),176.0)</f>
        <v>176</v>
      </c>
      <c r="G1197" s="20">
        <f>IFERROR(__xludf.DUMMYFUNCTION("""COMPUTED_VALUE"""),14.0)</f>
        <v>14</v>
      </c>
      <c r="H1197" s="20" t="str">
        <f>IFERROR(__xludf.DUMMYFUNCTION("""COMPUTED_VALUE"""),"Algorithms")</f>
        <v>Algorithms</v>
      </c>
      <c r="I1197" s="20">
        <f>IFERROR(__xludf.DUMMYFUNCTION("""COMPUTED_VALUE"""),0.669)</f>
        <v>0.669</v>
      </c>
      <c r="J1197" s="20">
        <f>IFERROR(__xludf.DUMMYFUNCTION("""COMPUTED_VALUE"""),1196.0)</f>
        <v>1196</v>
      </c>
      <c r="K1197" s="20" t="b">
        <f>IFERROR(__xludf.DUMMYFUNCTION("""COMPUTED_VALUE"""),TRUE)</f>
        <v>1</v>
      </c>
      <c r="L1197" s="20" t="str">
        <f>IFERROR(__xludf.DUMMYFUNCTION("""COMPUTED_VALUE"""),"Array;Greedy;Sorting;")</f>
        <v>Array;Greedy;Sorting;</v>
      </c>
      <c r="M1197" s="20" t="b">
        <f>IFERROR(__xludf.DUMMYFUNCTION("""COMPUTED_VALUE"""),TRUE)</f>
        <v>1</v>
      </c>
      <c r="N1197" s="20" t="b">
        <f>IFERROR(__xludf.DUMMYFUNCTION("""COMPUTED_VALUE"""),FALSE)</f>
        <v>0</v>
      </c>
      <c r="O1197" s="20">
        <f>IFERROR(__xludf.DUMMYFUNCTION("""COMPUTED_VALUE"""),66.8948458352508)</f>
        <v>66.89484584</v>
      </c>
      <c r="P1197" s="20">
        <f>IFERROR(__xludf.DUMMYFUNCTION("""COMPUTED_VALUE"""),23258.0)</f>
        <v>23258</v>
      </c>
      <c r="Q1197" s="20">
        <f>IFERROR(__xludf.DUMMYFUNCTION("""COMPUTED_VALUE"""),34768.0)</f>
        <v>34768</v>
      </c>
    </row>
    <row r="1198">
      <c r="A1198" s="20">
        <f>IFERROR(__xludf.DUMMYFUNCTION("""COMPUTED_VALUE"""),1142.0)</f>
        <v>1142</v>
      </c>
      <c r="B1198" s="20" t="str">
        <f>IFERROR(__xludf.DUMMYFUNCTION("""COMPUTED_VALUE"""),"Minimum Knight Moves")</f>
        <v>Minimum Knight Moves</v>
      </c>
      <c r="C1198" s="20" t="str">
        <f>IFERROR(__xludf.DUMMYFUNCTION("""COMPUTED_VALUE"""),"minimum-knight-moves")</f>
        <v>minimum-knight-moves</v>
      </c>
      <c r="D1198" s="20" t="b">
        <f>IFERROR(__xludf.DUMMYFUNCTION("""COMPUTED_VALUE"""),TRUE)</f>
        <v>1</v>
      </c>
      <c r="E1198" s="20" t="str">
        <f>IFERROR(__xludf.DUMMYFUNCTION("""COMPUTED_VALUE"""),"Medium")</f>
        <v>Medium</v>
      </c>
      <c r="F1198" s="20">
        <f>IFERROR(__xludf.DUMMYFUNCTION("""COMPUTED_VALUE"""),1351.0)</f>
        <v>1351</v>
      </c>
      <c r="G1198" s="20">
        <f>IFERROR(__xludf.DUMMYFUNCTION("""COMPUTED_VALUE"""),380.0)</f>
        <v>380</v>
      </c>
      <c r="H1198" s="20" t="str">
        <f>IFERROR(__xludf.DUMMYFUNCTION("""COMPUTED_VALUE"""),"Algorithms")</f>
        <v>Algorithms</v>
      </c>
      <c r="I1198" s="20">
        <f>IFERROR(__xludf.DUMMYFUNCTION("""COMPUTED_VALUE"""),0.396)</f>
        <v>0.396</v>
      </c>
      <c r="J1198" s="20">
        <f>IFERROR(__xludf.DUMMYFUNCTION("""COMPUTED_VALUE"""),1197.0)</f>
        <v>1197</v>
      </c>
      <c r="K1198" s="20" t="b">
        <f>IFERROR(__xludf.DUMMYFUNCTION("""COMPUTED_VALUE"""),TRUE)</f>
        <v>1</v>
      </c>
      <c r="L1198" s="20" t="str">
        <f>IFERROR(__xludf.DUMMYFUNCTION("""COMPUTED_VALUE"""),"Breadth-First Search;")</f>
        <v>Breadth-First Search;</v>
      </c>
      <c r="M1198" s="20" t="b">
        <f>IFERROR(__xludf.DUMMYFUNCTION("""COMPUTED_VALUE"""),TRUE)</f>
        <v>1</v>
      </c>
      <c r="N1198" s="20" t="b">
        <f>IFERROR(__xludf.DUMMYFUNCTION("""COMPUTED_VALUE"""),FALSE)</f>
        <v>0</v>
      </c>
      <c r="O1198" s="20">
        <f>IFERROR(__xludf.DUMMYFUNCTION("""COMPUTED_VALUE"""),39.64761303306)</f>
        <v>39.64761303</v>
      </c>
      <c r="P1198" s="20">
        <f>IFERROR(__xludf.DUMMYFUNCTION("""COMPUTED_VALUE"""),131211.0)</f>
        <v>131211</v>
      </c>
      <c r="Q1198" s="20">
        <f>IFERROR(__xludf.DUMMYFUNCTION("""COMPUTED_VALUE"""),330943.0)</f>
        <v>330943</v>
      </c>
    </row>
    <row r="1199">
      <c r="A1199" s="20">
        <f>IFERROR(__xludf.DUMMYFUNCTION("""COMPUTED_VALUE"""),1143.0)</f>
        <v>1143</v>
      </c>
      <c r="B1199" s="20" t="str">
        <f>IFERROR(__xludf.DUMMYFUNCTION("""COMPUTED_VALUE"""),"Find Smallest Common Element in All Rows")</f>
        <v>Find Smallest Common Element in All Rows</v>
      </c>
      <c r="C1199" s="20" t="str">
        <f>IFERROR(__xludf.DUMMYFUNCTION("""COMPUTED_VALUE"""),"find-smallest-common-element-in-all-rows")</f>
        <v>find-smallest-common-element-in-all-rows</v>
      </c>
      <c r="D1199" s="20" t="b">
        <f>IFERROR(__xludf.DUMMYFUNCTION("""COMPUTED_VALUE"""),TRUE)</f>
        <v>1</v>
      </c>
      <c r="E1199" s="20" t="str">
        <f>IFERROR(__xludf.DUMMYFUNCTION("""COMPUTED_VALUE"""),"Medium")</f>
        <v>Medium</v>
      </c>
      <c r="F1199" s="20">
        <f>IFERROR(__xludf.DUMMYFUNCTION("""COMPUTED_VALUE"""),496.0)</f>
        <v>496</v>
      </c>
      <c r="G1199" s="20">
        <f>IFERROR(__xludf.DUMMYFUNCTION("""COMPUTED_VALUE"""),26.0)</f>
        <v>26</v>
      </c>
      <c r="H1199" s="20" t="str">
        <f>IFERROR(__xludf.DUMMYFUNCTION("""COMPUTED_VALUE"""),"Algorithms")</f>
        <v>Algorithms</v>
      </c>
      <c r="I1199" s="20">
        <f>IFERROR(__xludf.DUMMYFUNCTION("""COMPUTED_VALUE"""),0.767)</f>
        <v>0.767</v>
      </c>
      <c r="J1199" s="20">
        <f>IFERROR(__xludf.DUMMYFUNCTION("""COMPUTED_VALUE"""),1198.0)</f>
        <v>1198</v>
      </c>
      <c r="K1199" s="20" t="b">
        <f>IFERROR(__xludf.DUMMYFUNCTION("""COMPUTED_VALUE"""),TRUE)</f>
        <v>1</v>
      </c>
      <c r="L1199" s="20" t="str">
        <f>IFERROR(__xludf.DUMMYFUNCTION("""COMPUTED_VALUE"""),"Array;Hash Table;Binary Search;Matrix;Counting;")</f>
        <v>Array;Hash Table;Binary Search;Matrix;Counting;</v>
      </c>
      <c r="M1199" s="20" t="b">
        <f>IFERROR(__xludf.DUMMYFUNCTION("""COMPUTED_VALUE"""),TRUE)</f>
        <v>1</v>
      </c>
      <c r="N1199" s="20" t="b">
        <f>IFERROR(__xludf.DUMMYFUNCTION("""COMPUTED_VALUE"""),TRUE)</f>
        <v>1</v>
      </c>
      <c r="O1199" s="20">
        <f>IFERROR(__xludf.DUMMYFUNCTION("""COMPUTED_VALUE"""),76.655737704918)</f>
        <v>76.6557377</v>
      </c>
      <c r="P1199" s="20">
        <f>IFERROR(__xludf.DUMMYFUNCTION("""COMPUTED_VALUE"""),37408.0)</f>
        <v>37408</v>
      </c>
      <c r="Q1199" s="20">
        <f>IFERROR(__xludf.DUMMYFUNCTION("""COMPUTED_VALUE"""),48800.0)</f>
        <v>48800</v>
      </c>
    </row>
    <row r="1200">
      <c r="A1200" s="20">
        <f>IFERROR(__xludf.DUMMYFUNCTION("""COMPUTED_VALUE"""),1167.0)</f>
        <v>1167</v>
      </c>
      <c r="B1200" s="20" t="str">
        <f>IFERROR(__xludf.DUMMYFUNCTION("""COMPUTED_VALUE"""),"Minimum Time to Build Blocks")</f>
        <v>Minimum Time to Build Blocks</v>
      </c>
      <c r="C1200" s="20" t="str">
        <f>IFERROR(__xludf.DUMMYFUNCTION("""COMPUTED_VALUE"""),"minimum-time-to-build-blocks")</f>
        <v>minimum-time-to-build-blocks</v>
      </c>
      <c r="D1200" s="20" t="b">
        <f>IFERROR(__xludf.DUMMYFUNCTION("""COMPUTED_VALUE"""),TRUE)</f>
        <v>1</v>
      </c>
      <c r="E1200" s="20" t="str">
        <f>IFERROR(__xludf.DUMMYFUNCTION("""COMPUTED_VALUE"""),"Hard")</f>
        <v>Hard</v>
      </c>
      <c r="F1200" s="20">
        <f>IFERROR(__xludf.DUMMYFUNCTION("""COMPUTED_VALUE"""),155.0)</f>
        <v>155</v>
      </c>
      <c r="G1200" s="20">
        <f>IFERROR(__xludf.DUMMYFUNCTION("""COMPUTED_VALUE"""),22.0)</f>
        <v>22</v>
      </c>
      <c r="H1200" s="20" t="str">
        <f>IFERROR(__xludf.DUMMYFUNCTION("""COMPUTED_VALUE"""),"Algorithms")</f>
        <v>Algorithms</v>
      </c>
      <c r="I1200" s="20">
        <f>IFERROR(__xludf.DUMMYFUNCTION("""COMPUTED_VALUE"""),0.408)</f>
        <v>0.408</v>
      </c>
      <c r="J1200" s="20">
        <f>IFERROR(__xludf.DUMMYFUNCTION("""COMPUTED_VALUE"""),1199.0)</f>
        <v>1199</v>
      </c>
      <c r="K1200" s="20" t="b">
        <f>IFERROR(__xludf.DUMMYFUNCTION("""COMPUTED_VALUE"""),TRUE)</f>
        <v>1</v>
      </c>
      <c r="L1200" s="20" t="str">
        <f>IFERROR(__xludf.DUMMYFUNCTION("""COMPUTED_VALUE"""),"Math;Greedy;Heap (Priority Queue);")</f>
        <v>Math;Greedy;Heap (Priority Queue);</v>
      </c>
      <c r="M1200" s="20" t="b">
        <f>IFERROR(__xludf.DUMMYFUNCTION("""COMPUTED_VALUE"""),FALSE)</f>
        <v>0</v>
      </c>
      <c r="N1200" s="20" t="b">
        <f>IFERROR(__xludf.DUMMYFUNCTION("""COMPUTED_VALUE"""),FALSE)</f>
        <v>0</v>
      </c>
      <c r="O1200" s="20">
        <f>IFERROR(__xludf.DUMMYFUNCTION("""COMPUTED_VALUE"""),40.7861039973276)</f>
        <v>40.786104</v>
      </c>
      <c r="P1200" s="20">
        <f>IFERROR(__xludf.DUMMYFUNCTION("""COMPUTED_VALUE"""),3663.0)</f>
        <v>3663</v>
      </c>
      <c r="Q1200" s="20">
        <f>IFERROR(__xludf.DUMMYFUNCTION("""COMPUTED_VALUE"""),8981.0)</f>
        <v>8981</v>
      </c>
    </row>
    <row r="1201">
      <c r="A1201" s="20">
        <f>IFERROR(__xludf.DUMMYFUNCTION("""COMPUTED_VALUE"""),1306.0)</f>
        <v>1306</v>
      </c>
      <c r="B1201" s="20" t="str">
        <f>IFERROR(__xludf.DUMMYFUNCTION("""COMPUTED_VALUE"""),"Minimum Absolute Difference")</f>
        <v>Minimum Absolute Difference</v>
      </c>
      <c r="C1201" s="20" t="str">
        <f>IFERROR(__xludf.DUMMYFUNCTION("""COMPUTED_VALUE"""),"minimum-absolute-difference")</f>
        <v>minimum-absolute-difference</v>
      </c>
      <c r="D1201" s="20" t="b">
        <f>IFERROR(__xludf.DUMMYFUNCTION("""COMPUTED_VALUE"""),FALSE)</f>
        <v>0</v>
      </c>
      <c r="E1201" s="20" t="str">
        <f>IFERROR(__xludf.DUMMYFUNCTION("""COMPUTED_VALUE"""),"Easy")</f>
        <v>Easy</v>
      </c>
      <c r="F1201" s="20">
        <f>IFERROR(__xludf.DUMMYFUNCTION("""COMPUTED_VALUE"""),1865.0)</f>
        <v>1865</v>
      </c>
      <c r="G1201" s="20">
        <f>IFERROR(__xludf.DUMMYFUNCTION("""COMPUTED_VALUE"""),62.0)</f>
        <v>62</v>
      </c>
      <c r="H1201" s="20" t="str">
        <f>IFERROR(__xludf.DUMMYFUNCTION("""COMPUTED_VALUE"""),"Algorithms")</f>
        <v>Algorithms</v>
      </c>
      <c r="I1201" s="20">
        <f>IFERROR(__xludf.DUMMYFUNCTION("""COMPUTED_VALUE"""),0.697)</f>
        <v>0.697</v>
      </c>
      <c r="J1201" s="20">
        <f>IFERROR(__xludf.DUMMYFUNCTION("""COMPUTED_VALUE"""),1200.0)</f>
        <v>1200</v>
      </c>
      <c r="K1201" s="20" t="b">
        <f>IFERROR(__xludf.DUMMYFUNCTION("""COMPUTED_VALUE"""),FALSE)</f>
        <v>0</v>
      </c>
      <c r="L1201" s="20" t="str">
        <f>IFERROR(__xludf.DUMMYFUNCTION("""COMPUTED_VALUE"""),"Array;Sorting;")</f>
        <v>Array;Sorting;</v>
      </c>
      <c r="M1201" s="20" t="b">
        <f>IFERROR(__xludf.DUMMYFUNCTION("""COMPUTED_VALUE"""),TRUE)</f>
        <v>1</v>
      </c>
      <c r="N1201" s="20" t="b">
        <f>IFERROR(__xludf.DUMMYFUNCTION("""COMPUTED_VALUE"""),FALSE)</f>
        <v>0</v>
      </c>
      <c r="O1201" s="20">
        <f>IFERROR(__xludf.DUMMYFUNCTION("""COMPUTED_VALUE"""),69.7361075990133)</f>
        <v>69.7361076</v>
      </c>
      <c r="P1201" s="20">
        <f>IFERROR(__xludf.DUMMYFUNCTION("""COMPUTED_VALUE"""),146161.0)</f>
        <v>146161</v>
      </c>
      <c r="Q1201" s="20">
        <f>IFERROR(__xludf.DUMMYFUNCTION("""COMPUTED_VALUE"""),209592.0)</f>
        <v>209592</v>
      </c>
    </row>
    <row r="1202">
      <c r="A1202" s="20">
        <f>IFERROR(__xludf.DUMMYFUNCTION("""COMPUTED_VALUE"""),1307.0)</f>
        <v>1307</v>
      </c>
      <c r="B1202" s="20" t="str">
        <f>IFERROR(__xludf.DUMMYFUNCTION("""COMPUTED_VALUE"""),"Ugly Number III")</f>
        <v>Ugly Number III</v>
      </c>
      <c r="C1202" s="20" t="str">
        <f>IFERROR(__xludf.DUMMYFUNCTION("""COMPUTED_VALUE"""),"ugly-number-iii")</f>
        <v>ugly-number-iii</v>
      </c>
      <c r="D1202" s="20" t="b">
        <f>IFERROR(__xludf.DUMMYFUNCTION("""COMPUTED_VALUE"""),FALSE)</f>
        <v>0</v>
      </c>
      <c r="E1202" s="20" t="str">
        <f>IFERROR(__xludf.DUMMYFUNCTION("""COMPUTED_VALUE"""),"Medium")</f>
        <v>Medium</v>
      </c>
      <c r="F1202" s="20">
        <f>IFERROR(__xludf.DUMMYFUNCTION("""COMPUTED_VALUE"""),983.0)</f>
        <v>983</v>
      </c>
      <c r="G1202" s="20">
        <f>IFERROR(__xludf.DUMMYFUNCTION("""COMPUTED_VALUE"""),451.0)</f>
        <v>451</v>
      </c>
      <c r="H1202" s="20" t="str">
        <f>IFERROR(__xludf.DUMMYFUNCTION("""COMPUTED_VALUE"""),"Algorithms")</f>
        <v>Algorithms</v>
      </c>
      <c r="I1202" s="20">
        <f>IFERROR(__xludf.DUMMYFUNCTION("""COMPUTED_VALUE"""),0.286)</f>
        <v>0.286</v>
      </c>
      <c r="J1202" s="20">
        <f>IFERROR(__xludf.DUMMYFUNCTION("""COMPUTED_VALUE"""),1201.0)</f>
        <v>1201</v>
      </c>
      <c r="K1202" s="20" t="b">
        <f>IFERROR(__xludf.DUMMYFUNCTION("""COMPUTED_VALUE"""),FALSE)</f>
        <v>0</v>
      </c>
      <c r="L1202" s="20" t="str">
        <f>IFERROR(__xludf.DUMMYFUNCTION("""COMPUTED_VALUE"""),"Math;Binary Search;Number Theory;")</f>
        <v>Math;Binary Search;Number Theory;</v>
      </c>
      <c r="M1202" s="20" t="b">
        <f>IFERROR(__xludf.DUMMYFUNCTION("""COMPUTED_VALUE"""),FALSE)</f>
        <v>0</v>
      </c>
      <c r="N1202" s="20" t="b">
        <f>IFERROR(__xludf.DUMMYFUNCTION("""COMPUTED_VALUE"""),FALSE)</f>
        <v>0</v>
      </c>
      <c r="O1202" s="20">
        <f>IFERROR(__xludf.DUMMYFUNCTION("""COMPUTED_VALUE"""),28.5843680849356)</f>
        <v>28.58436808</v>
      </c>
      <c r="P1202" s="20">
        <f>IFERROR(__xludf.DUMMYFUNCTION("""COMPUTED_VALUE"""),24931.0)</f>
        <v>24931</v>
      </c>
      <c r="Q1202" s="20">
        <f>IFERROR(__xludf.DUMMYFUNCTION("""COMPUTED_VALUE"""),87219.0)</f>
        <v>87219</v>
      </c>
    </row>
    <row r="1203">
      <c r="A1203" s="20">
        <f>IFERROR(__xludf.DUMMYFUNCTION("""COMPUTED_VALUE"""),1308.0)</f>
        <v>1308</v>
      </c>
      <c r="B1203" s="20" t="str">
        <f>IFERROR(__xludf.DUMMYFUNCTION("""COMPUTED_VALUE"""),"Smallest String With Swaps")</f>
        <v>Smallest String With Swaps</v>
      </c>
      <c r="C1203" s="20" t="str">
        <f>IFERROR(__xludf.DUMMYFUNCTION("""COMPUTED_VALUE"""),"smallest-string-with-swaps")</f>
        <v>smallest-string-with-swaps</v>
      </c>
      <c r="D1203" s="20" t="b">
        <f>IFERROR(__xludf.DUMMYFUNCTION("""COMPUTED_VALUE"""),FALSE)</f>
        <v>0</v>
      </c>
      <c r="E1203" s="20" t="str">
        <f>IFERROR(__xludf.DUMMYFUNCTION("""COMPUTED_VALUE"""),"Medium")</f>
        <v>Medium</v>
      </c>
      <c r="F1203" s="20">
        <f>IFERROR(__xludf.DUMMYFUNCTION("""COMPUTED_VALUE"""),3195.0)</f>
        <v>3195</v>
      </c>
      <c r="G1203" s="20">
        <f>IFERROR(__xludf.DUMMYFUNCTION("""COMPUTED_VALUE"""),109.0)</f>
        <v>109</v>
      </c>
      <c r="H1203" s="20" t="str">
        <f>IFERROR(__xludf.DUMMYFUNCTION("""COMPUTED_VALUE"""),"Algorithms")</f>
        <v>Algorithms</v>
      </c>
      <c r="I1203" s="20">
        <f>IFERROR(__xludf.DUMMYFUNCTION("""COMPUTED_VALUE"""),0.576)</f>
        <v>0.576</v>
      </c>
      <c r="J1203" s="20">
        <f>IFERROR(__xludf.DUMMYFUNCTION("""COMPUTED_VALUE"""),1202.0)</f>
        <v>1202</v>
      </c>
      <c r="K1203" s="20" t="b">
        <f>IFERROR(__xludf.DUMMYFUNCTION("""COMPUTED_VALUE"""),FALSE)</f>
        <v>0</v>
      </c>
      <c r="L1203" s="20" t="str">
        <f>IFERROR(__xludf.DUMMYFUNCTION("""COMPUTED_VALUE"""),"Hash Table;String;Depth-First Search;Breadth-First Search;Union Find;")</f>
        <v>Hash Table;String;Depth-First Search;Breadth-First Search;Union Find;</v>
      </c>
      <c r="M1203" s="20" t="b">
        <f>IFERROR(__xludf.DUMMYFUNCTION("""COMPUTED_VALUE"""),TRUE)</f>
        <v>1</v>
      </c>
      <c r="N1203" s="20" t="b">
        <f>IFERROR(__xludf.DUMMYFUNCTION("""COMPUTED_VALUE"""),FALSE)</f>
        <v>0</v>
      </c>
      <c r="O1203" s="20">
        <f>IFERROR(__xludf.DUMMYFUNCTION("""COMPUTED_VALUE"""),57.6203421378102)</f>
        <v>57.62034214</v>
      </c>
      <c r="P1203" s="20">
        <f>IFERROR(__xludf.DUMMYFUNCTION("""COMPUTED_VALUE"""),94109.0)</f>
        <v>94109</v>
      </c>
      <c r="Q1203" s="20">
        <f>IFERROR(__xludf.DUMMYFUNCTION("""COMPUTED_VALUE"""),163326.0)</f>
        <v>163326</v>
      </c>
    </row>
    <row r="1204">
      <c r="A1204" s="20">
        <f>IFERROR(__xludf.DUMMYFUNCTION("""COMPUTED_VALUE"""),1309.0)</f>
        <v>1309</v>
      </c>
      <c r="B1204" s="20" t="str">
        <f>IFERROR(__xludf.DUMMYFUNCTION("""COMPUTED_VALUE"""),"Sort Items by Groups Respecting Dependencies")</f>
        <v>Sort Items by Groups Respecting Dependencies</v>
      </c>
      <c r="C1204" s="20" t="str">
        <f>IFERROR(__xludf.DUMMYFUNCTION("""COMPUTED_VALUE"""),"sort-items-by-groups-respecting-dependencies")</f>
        <v>sort-items-by-groups-respecting-dependencies</v>
      </c>
      <c r="D1204" s="20" t="b">
        <f>IFERROR(__xludf.DUMMYFUNCTION("""COMPUTED_VALUE"""),FALSE)</f>
        <v>0</v>
      </c>
      <c r="E1204" s="20" t="str">
        <f>IFERROR(__xludf.DUMMYFUNCTION("""COMPUTED_VALUE"""),"Hard")</f>
        <v>Hard</v>
      </c>
      <c r="F1204" s="20">
        <f>IFERROR(__xludf.DUMMYFUNCTION("""COMPUTED_VALUE"""),735.0)</f>
        <v>735</v>
      </c>
      <c r="G1204" s="20">
        <f>IFERROR(__xludf.DUMMYFUNCTION("""COMPUTED_VALUE"""),101.0)</f>
        <v>101</v>
      </c>
      <c r="H1204" s="20" t="str">
        <f>IFERROR(__xludf.DUMMYFUNCTION("""COMPUTED_VALUE"""),"Algorithms")</f>
        <v>Algorithms</v>
      </c>
      <c r="I1204" s="20">
        <f>IFERROR(__xludf.DUMMYFUNCTION("""COMPUTED_VALUE"""),0.508)</f>
        <v>0.508</v>
      </c>
      <c r="J1204" s="20">
        <f>IFERROR(__xludf.DUMMYFUNCTION("""COMPUTED_VALUE"""),1203.0)</f>
        <v>1203</v>
      </c>
      <c r="K1204" s="20" t="b">
        <f>IFERROR(__xludf.DUMMYFUNCTION("""COMPUTED_VALUE"""),FALSE)</f>
        <v>0</v>
      </c>
      <c r="L1204" s="20" t="str">
        <f>IFERROR(__xludf.DUMMYFUNCTION("""COMPUTED_VALUE"""),"Depth-First Search;Breadth-First Search;Graph;Topological Sort;")</f>
        <v>Depth-First Search;Breadth-First Search;Graph;Topological Sort;</v>
      </c>
      <c r="M1204" s="20" t="b">
        <f>IFERROR(__xludf.DUMMYFUNCTION("""COMPUTED_VALUE"""),FALSE)</f>
        <v>0</v>
      </c>
      <c r="N1204" s="20" t="b">
        <f>IFERROR(__xludf.DUMMYFUNCTION("""COMPUTED_VALUE"""),FALSE)</f>
        <v>0</v>
      </c>
      <c r="O1204" s="20">
        <f>IFERROR(__xludf.DUMMYFUNCTION("""COMPUTED_VALUE"""),50.8320406148639)</f>
        <v>50.83204061</v>
      </c>
      <c r="P1204" s="20">
        <f>IFERROR(__xludf.DUMMYFUNCTION("""COMPUTED_VALUE"""),14418.0)</f>
        <v>14418</v>
      </c>
      <c r="Q1204" s="20">
        <f>IFERROR(__xludf.DUMMYFUNCTION("""COMPUTED_VALUE"""),28364.0)</f>
        <v>28364</v>
      </c>
    </row>
    <row r="1205">
      <c r="A1205" s="20">
        <f>IFERROR(__xludf.DUMMYFUNCTION("""COMPUTED_VALUE"""),1327.0)</f>
        <v>1327</v>
      </c>
      <c r="B1205" s="20" t="str">
        <f>IFERROR(__xludf.DUMMYFUNCTION("""COMPUTED_VALUE"""),"Last Person to Fit in the Bus")</f>
        <v>Last Person to Fit in the Bus</v>
      </c>
      <c r="C1205" s="20" t="str">
        <f>IFERROR(__xludf.DUMMYFUNCTION("""COMPUTED_VALUE"""),"last-person-to-fit-in-the-bus")</f>
        <v>last-person-to-fit-in-the-bus</v>
      </c>
      <c r="D1205" s="20" t="b">
        <f>IFERROR(__xludf.DUMMYFUNCTION("""COMPUTED_VALUE"""),TRUE)</f>
        <v>1</v>
      </c>
      <c r="E1205" s="20" t="str">
        <f>IFERROR(__xludf.DUMMYFUNCTION("""COMPUTED_VALUE"""),"Medium")</f>
        <v>Medium</v>
      </c>
      <c r="F1205" s="20">
        <f>IFERROR(__xludf.DUMMYFUNCTION("""COMPUTED_VALUE"""),236.0)</f>
        <v>236</v>
      </c>
      <c r="G1205" s="20">
        <f>IFERROR(__xludf.DUMMYFUNCTION("""COMPUTED_VALUE"""),19.0)</f>
        <v>19</v>
      </c>
      <c r="H1205" s="20" t="str">
        <f>IFERROR(__xludf.DUMMYFUNCTION("""COMPUTED_VALUE"""),"Database")</f>
        <v>Database</v>
      </c>
      <c r="I1205" s="20">
        <f>IFERROR(__xludf.DUMMYFUNCTION("""COMPUTED_VALUE"""),0.741)</f>
        <v>0.741</v>
      </c>
      <c r="J1205" s="20">
        <f>IFERROR(__xludf.DUMMYFUNCTION("""COMPUTED_VALUE"""),1204.0)</f>
        <v>1204</v>
      </c>
      <c r="K1205" s="20" t="b">
        <f>IFERROR(__xludf.DUMMYFUNCTION("""COMPUTED_VALUE"""),TRUE)</f>
        <v>1</v>
      </c>
      <c r="L1205" s="20" t="str">
        <f>IFERROR(__xludf.DUMMYFUNCTION("""COMPUTED_VALUE"""),"Database;")</f>
        <v>Database;</v>
      </c>
      <c r="M1205" s="20" t="b">
        <f>IFERROR(__xludf.DUMMYFUNCTION("""COMPUTED_VALUE"""),FALSE)</f>
        <v>0</v>
      </c>
      <c r="N1205" s="20" t="b">
        <f>IFERROR(__xludf.DUMMYFUNCTION("""COMPUTED_VALUE"""),FALSE)</f>
        <v>0</v>
      </c>
      <c r="O1205" s="20">
        <f>IFERROR(__xludf.DUMMYFUNCTION("""COMPUTED_VALUE"""),74.0731138190303)</f>
        <v>74.07311382</v>
      </c>
      <c r="P1205" s="20">
        <f>IFERROR(__xludf.DUMMYFUNCTION("""COMPUTED_VALUE"""),34284.0)</f>
        <v>34284</v>
      </c>
      <c r="Q1205" s="20">
        <f>IFERROR(__xludf.DUMMYFUNCTION("""COMPUTED_VALUE"""),46284.0)</f>
        <v>46284</v>
      </c>
    </row>
    <row r="1206">
      <c r="A1206" s="20">
        <f>IFERROR(__xludf.DUMMYFUNCTION("""COMPUTED_VALUE"""),1328.0)</f>
        <v>1328</v>
      </c>
      <c r="B1206" s="20" t="str">
        <f>IFERROR(__xludf.DUMMYFUNCTION("""COMPUTED_VALUE"""),"Monthly Transactions II")</f>
        <v>Monthly Transactions II</v>
      </c>
      <c r="C1206" s="20" t="str">
        <f>IFERROR(__xludf.DUMMYFUNCTION("""COMPUTED_VALUE"""),"monthly-transactions-ii")</f>
        <v>monthly-transactions-ii</v>
      </c>
      <c r="D1206" s="20" t="b">
        <f>IFERROR(__xludf.DUMMYFUNCTION("""COMPUTED_VALUE"""),TRUE)</f>
        <v>1</v>
      </c>
      <c r="E1206" s="20" t="str">
        <f>IFERROR(__xludf.DUMMYFUNCTION("""COMPUTED_VALUE"""),"Medium")</f>
        <v>Medium</v>
      </c>
      <c r="F1206" s="20">
        <f>IFERROR(__xludf.DUMMYFUNCTION("""COMPUTED_VALUE"""),128.0)</f>
        <v>128</v>
      </c>
      <c r="G1206" s="20">
        <f>IFERROR(__xludf.DUMMYFUNCTION("""COMPUTED_VALUE"""),472.0)</f>
        <v>472</v>
      </c>
      <c r="H1206" s="20" t="str">
        <f>IFERROR(__xludf.DUMMYFUNCTION("""COMPUTED_VALUE"""),"Database")</f>
        <v>Database</v>
      </c>
      <c r="I1206" s="20">
        <f>IFERROR(__xludf.DUMMYFUNCTION("""COMPUTED_VALUE"""),0.437)</f>
        <v>0.437</v>
      </c>
      <c r="J1206" s="20">
        <f>IFERROR(__xludf.DUMMYFUNCTION("""COMPUTED_VALUE"""),1205.0)</f>
        <v>1205</v>
      </c>
      <c r="K1206" s="20" t="b">
        <f>IFERROR(__xludf.DUMMYFUNCTION("""COMPUTED_VALUE"""),TRUE)</f>
        <v>1</v>
      </c>
      <c r="L1206" s="20" t="str">
        <f>IFERROR(__xludf.DUMMYFUNCTION("""COMPUTED_VALUE"""),"Database;")</f>
        <v>Database;</v>
      </c>
      <c r="M1206" s="20" t="b">
        <f>IFERROR(__xludf.DUMMYFUNCTION("""COMPUTED_VALUE"""),FALSE)</f>
        <v>0</v>
      </c>
      <c r="N1206" s="20" t="b">
        <f>IFERROR(__xludf.DUMMYFUNCTION("""COMPUTED_VALUE"""),FALSE)</f>
        <v>0</v>
      </c>
      <c r="O1206" s="20">
        <f>IFERROR(__xludf.DUMMYFUNCTION("""COMPUTED_VALUE"""),43.7086555483089)</f>
        <v>43.70865555</v>
      </c>
      <c r="P1206" s="20">
        <f>IFERROR(__xludf.DUMMYFUNCTION("""COMPUTED_VALUE"""),18765.0)</f>
        <v>18765</v>
      </c>
      <c r="Q1206" s="20">
        <f>IFERROR(__xludf.DUMMYFUNCTION("""COMPUTED_VALUE"""),42932.0)</f>
        <v>42932</v>
      </c>
    </row>
    <row r="1207">
      <c r="A1207" s="20">
        <f>IFERROR(__xludf.DUMMYFUNCTION("""COMPUTED_VALUE"""),1337.0)</f>
        <v>1337</v>
      </c>
      <c r="B1207" s="20" t="str">
        <f>IFERROR(__xludf.DUMMYFUNCTION("""COMPUTED_VALUE"""),"Design Skiplist")</f>
        <v>Design Skiplist</v>
      </c>
      <c r="C1207" s="20" t="str">
        <f>IFERROR(__xludf.DUMMYFUNCTION("""COMPUTED_VALUE"""),"design-skiplist")</f>
        <v>design-skiplist</v>
      </c>
      <c r="D1207" s="20" t="b">
        <f>IFERROR(__xludf.DUMMYFUNCTION("""COMPUTED_VALUE"""),FALSE)</f>
        <v>0</v>
      </c>
      <c r="E1207" s="20" t="str">
        <f>IFERROR(__xludf.DUMMYFUNCTION("""COMPUTED_VALUE"""),"Hard")</f>
        <v>Hard</v>
      </c>
      <c r="F1207" s="20">
        <f>IFERROR(__xludf.DUMMYFUNCTION("""COMPUTED_VALUE"""),524.0)</f>
        <v>524</v>
      </c>
      <c r="G1207" s="20">
        <f>IFERROR(__xludf.DUMMYFUNCTION("""COMPUTED_VALUE"""),63.0)</f>
        <v>63</v>
      </c>
      <c r="H1207" s="20" t="str">
        <f>IFERROR(__xludf.DUMMYFUNCTION("""COMPUTED_VALUE"""),"Algorithms")</f>
        <v>Algorithms</v>
      </c>
      <c r="I1207" s="20">
        <f>IFERROR(__xludf.DUMMYFUNCTION("""COMPUTED_VALUE"""),0.606)</f>
        <v>0.606</v>
      </c>
      <c r="J1207" s="20">
        <f>IFERROR(__xludf.DUMMYFUNCTION("""COMPUTED_VALUE"""),1206.0)</f>
        <v>1206</v>
      </c>
      <c r="K1207" s="20" t="b">
        <f>IFERROR(__xludf.DUMMYFUNCTION("""COMPUTED_VALUE"""),FALSE)</f>
        <v>0</v>
      </c>
      <c r="L1207" s="20" t="str">
        <f>IFERROR(__xludf.DUMMYFUNCTION("""COMPUTED_VALUE"""),"Linked List;Design;")</f>
        <v>Linked List;Design;</v>
      </c>
      <c r="M1207" s="20" t="b">
        <f>IFERROR(__xludf.DUMMYFUNCTION("""COMPUTED_VALUE"""),FALSE)</f>
        <v>0</v>
      </c>
      <c r="N1207" s="20" t="b">
        <f>IFERROR(__xludf.DUMMYFUNCTION("""COMPUTED_VALUE"""),FALSE)</f>
        <v>0</v>
      </c>
      <c r="O1207" s="20">
        <f>IFERROR(__xludf.DUMMYFUNCTION("""COMPUTED_VALUE"""),60.5622520598108)</f>
        <v>60.56225206</v>
      </c>
      <c r="P1207" s="20">
        <f>IFERROR(__xludf.DUMMYFUNCTION("""COMPUTED_VALUE"""),15877.0)</f>
        <v>15877</v>
      </c>
      <c r="Q1207" s="20">
        <f>IFERROR(__xludf.DUMMYFUNCTION("""COMPUTED_VALUE"""),26216.0)</f>
        <v>26216</v>
      </c>
    </row>
    <row r="1208">
      <c r="A1208" s="20">
        <f>IFERROR(__xludf.DUMMYFUNCTION("""COMPUTED_VALUE"""),1319.0)</f>
        <v>1319</v>
      </c>
      <c r="B1208" s="20" t="str">
        <f>IFERROR(__xludf.DUMMYFUNCTION("""COMPUTED_VALUE"""),"Unique Number of Occurrences")</f>
        <v>Unique Number of Occurrences</v>
      </c>
      <c r="C1208" s="20" t="str">
        <f>IFERROR(__xludf.DUMMYFUNCTION("""COMPUTED_VALUE"""),"unique-number-of-occurrences")</f>
        <v>unique-number-of-occurrences</v>
      </c>
      <c r="D1208" s="20" t="b">
        <f>IFERROR(__xludf.DUMMYFUNCTION("""COMPUTED_VALUE"""),FALSE)</f>
        <v>0</v>
      </c>
      <c r="E1208" s="20" t="str">
        <f>IFERROR(__xludf.DUMMYFUNCTION("""COMPUTED_VALUE"""),"Easy")</f>
        <v>Easy</v>
      </c>
      <c r="F1208" s="20">
        <f>IFERROR(__xludf.DUMMYFUNCTION("""COMPUTED_VALUE"""),3066.0)</f>
        <v>3066</v>
      </c>
      <c r="G1208" s="20">
        <f>IFERROR(__xludf.DUMMYFUNCTION("""COMPUTED_VALUE"""),67.0)</f>
        <v>67</v>
      </c>
      <c r="H1208" s="20" t="str">
        <f>IFERROR(__xludf.DUMMYFUNCTION("""COMPUTED_VALUE"""),"Algorithms")</f>
        <v>Algorithms</v>
      </c>
      <c r="I1208" s="20">
        <f>IFERROR(__xludf.DUMMYFUNCTION("""COMPUTED_VALUE"""),0.737)</f>
        <v>0.737</v>
      </c>
      <c r="J1208" s="20">
        <f>IFERROR(__xludf.DUMMYFUNCTION("""COMPUTED_VALUE"""),1207.0)</f>
        <v>1207</v>
      </c>
      <c r="K1208" s="20" t="b">
        <f>IFERROR(__xludf.DUMMYFUNCTION("""COMPUTED_VALUE"""),FALSE)</f>
        <v>0</v>
      </c>
      <c r="L1208" s="20" t="str">
        <f>IFERROR(__xludf.DUMMYFUNCTION("""COMPUTED_VALUE"""),"Array;Hash Table;")</f>
        <v>Array;Hash Table;</v>
      </c>
      <c r="M1208" s="20" t="b">
        <f>IFERROR(__xludf.DUMMYFUNCTION("""COMPUTED_VALUE"""),TRUE)</f>
        <v>1</v>
      </c>
      <c r="N1208" s="20" t="b">
        <f>IFERROR(__xludf.DUMMYFUNCTION("""COMPUTED_VALUE"""),TRUE)</f>
        <v>1</v>
      </c>
      <c r="O1208" s="20">
        <f>IFERROR(__xludf.DUMMYFUNCTION("""COMPUTED_VALUE"""),73.680715369926)</f>
        <v>73.68071537</v>
      </c>
      <c r="P1208" s="20">
        <f>IFERROR(__xludf.DUMMYFUNCTION("""COMPUTED_VALUE"""),240761.0)</f>
        <v>240761</v>
      </c>
      <c r="Q1208" s="20">
        <f>IFERROR(__xludf.DUMMYFUNCTION("""COMPUTED_VALUE"""),326761.0)</f>
        <v>326761</v>
      </c>
    </row>
    <row r="1209">
      <c r="A1209" s="20">
        <f>IFERROR(__xludf.DUMMYFUNCTION("""COMPUTED_VALUE"""),1321.0)</f>
        <v>1321</v>
      </c>
      <c r="B1209" s="20" t="str">
        <f>IFERROR(__xludf.DUMMYFUNCTION("""COMPUTED_VALUE"""),"Get Equal Substrings Within Budget")</f>
        <v>Get Equal Substrings Within Budget</v>
      </c>
      <c r="C1209" s="20" t="str">
        <f>IFERROR(__xludf.DUMMYFUNCTION("""COMPUTED_VALUE"""),"get-equal-substrings-within-budget")</f>
        <v>get-equal-substrings-within-budget</v>
      </c>
      <c r="D1209" s="20" t="b">
        <f>IFERROR(__xludf.DUMMYFUNCTION("""COMPUTED_VALUE"""),FALSE)</f>
        <v>0</v>
      </c>
      <c r="E1209" s="20" t="str">
        <f>IFERROR(__xludf.DUMMYFUNCTION("""COMPUTED_VALUE"""),"Medium")</f>
        <v>Medium</v>
      </c>
      <c r="F1209" s="20">
        <f>IFERROR(__xludf.DUMMYFUNCTION("""COMPUTED_VALUE"""),843.0)</f>
        <v>843</v>
      </c>
      <c r="G1209" s="20">
        <f>IFERROR(__xludf.DUMMYFUNCTION("""COMPUTED_VALUE"""),53.0)</f>
        <v>53</v>
      </c>
      <c r="H1209" s="20" t="str">
        <f>IFERROR(__xludf.DUMMYFUNCTION("""COMPUTED_VALUE"""),"Algorithms")</f>
        <v>Algorithms</v>
      </c>
      <c r="I1209" s="20">
        <f>IFERROR(__xludf.DUMMYFUNCTION("""COMPUTED_VALUE"""),0.48)</f>
        <v>0.48</v>
      </c>
      <c r="J1209" s="20">
        <f>IFERROR(__xludf.DUMMYFUNCTION("""COMPUTED_VALUE"""),1208.0)</f>
        <v>1208</v>
      </c>
      <c r="K1209" s="20" t="b">
        <f>IFERROR(__xludf.DUMMYFUNCTION("""COMPUTED_VALUE"""),FALSE)</f>
        <v>0</v>
      </c>
      <c r="L1209" s="20" t="str">
        <f>IFERROR(__xludf.DUMMYFUNCTION("""COMPUTED_VALUE"""),"String;Binary Search;Sliding Window;Prefix Sum;")</f>
        <v>String;Binary Search;Sliding Window;Prefix Sum;</v>
      </c>
      <c r="M1209" s="20" t="b">
        <f>IFERROR(__xludf.DUMMYFUNCTION("""COMPUTED_VALUE"""),FALSE)</f>
        <v>0</v>
      </c>
      <c r="N1209" s="20" t="b">
        <f>IFERROR(__xludf.DUMMYFUNCTION("""COMPUTED_VALUE"""),FALSE)</f>
        <v>0</v>
      </c>
      <c r="O1209" s="20">
        <f>IFERROR(__xludf.DUMMYFUNCTION("""COMPUTED_VALUE"""),47.9763900627658)</f>
        <v>47.97639006</v>
      </c>
      <c r="P1209" s="20">
        <f>IFERROR(__xludf.DUMMYFUNCTION("""COMPUTED_VALUE"""),34626.0)</f>
        <v>34626</v>
      </c>
      <c r="Q1209" s="20">
        <f>IFERROR(__xludf.DUMMYFUNCTION("""COMPUTED_VALUE"""),72173.0)</f>
        <v>72173</v>
      </c>
    </row>
    <row r="1210">
      <c r="A1210" s="20">
        <f>IFERROR(__xludf.DUMMYFUNCTION("""COMPUTED_VALUE"""),1320.0)</f>
        <v>1320</v>
      </c>
      <c r="B1210" s="20" t="str">
        <f>IFERROR(__xludf.DUMMYFUNCTION("""COMPUTED_VALUE"""),"Remove All Adjacent Duplicates in String II")</f>
        <v>Remove All Adjacent Duplicates in String II</v>
      </c>
      <c r="C1210" s="20" t="str">
        <f>IFERROR(__xludf.DUMMYFUNCTION("""COMPUTED_VALUE"""),"remove-all-adjacent-duplicates-in-string-ii")</f>
        <v>remove-all-adjacent-duplicates-in-string-ii</v>
      </c>
      <c r="D1210" s="20" t="b">
        <f>IFERROR(__xludf.DUMMYFUNCTION("""COMPUTED_VALUE"""),FALSE)</f>
        <v>0</v>
      </c>
      <c r="E1210" s="20" t="str">
        <f>IFERROR(__xludf.DUMMYFUNCTION("""COMPUTED_VALUE"""),"Medium")</f>
        <v>Medium</v>
      </c>
      <c r="F1210" s="20">
        <f>IFERROR(__xludf.DUMMYFUNCTION("""COMPUTED_VALUE"""),4844.0)</f>
        <v>4844</v>
      </c>
      <c r="G1210" s="20">
        <f>IFERROR(__xludf.DUMMYFUNCTION("""COMPUTED_VALUE"""),89.0)</f>
        <v>89</v>
      </c>
      <c r="H1210" s="20" t="str">
        <f>IFERROR(__xludf.DUMMYFUNCTION("""COMPUTED_VALUE"""),"Algorithms")</f>
        <v>Algorithms</v>
      </c>
      <c r="I1210" s="20">
        <f>IFERROR(__xludf.DUMMYFUNCTION("""COMPUTED_VALUE"""),0.56)</f>
        <v>0.56</v>
      </c>
      <c r="J1210" s="20">
        <f>IFERROR(__xludf.DUMMYFUNCTION("""COMPUTED_VALUE"""),1209.0)</f>
        <v>1209</v>
      </c>
      <c r="K1210" s="20" t="b">
        <f>IFERROR(__xludf.DUMMYFUNCTION("""COMPUTED_VALUE"""),FALSE)</f>
        <v>0</v>
      </c>
      <c r="L1210" s="20" t="str">
        <f>IFERROR(__xludf.DUMMYFUNCTION("""COMPUTED_VALUE"""),"String;Stack;")</f>
        <v>String;Stack;</v>
      </c>
      <c r="M1210" s="20" t="b">
        <f>IFERROR(__xludf.DUMMYFUNCTION("""COMPUTED_VALUE"""),TRUE)</f>
        <v>1</v>
      </c>
      <c r="N1210" s="20" t="b">
        <f>IFERROR(__xludf.DUMMYFUNCTION("""COMPUTED_VALUE"""),FALSE)</f>
        <v>0</v>
      </c>
      <c r="O1210" s="20">
        <f>IFERROR(__xludf.DUMMYFUNCTION("""COMPUTED_VALUE"""),55.9920831709822)</f>
        <v>55.99208317</v>
      </c>
      <c r="P1210" s="20">
        <f>IFERROR(__xludf.DUMMYFUNCTION("""COMPUTED_VALUE"""),252912.0)</f>
        <v>252912</v>
      </c>
      <c r="Q1210" s="20">
        <f>IFERROR(__xludf.DUMMYFUNCTION("""COMPUTED_VALUE"""),451694.0)</f>
        <v>451694</v>
      </c>
    </row>
    <row r="1211">
      <c r="A1211" s="20">
        <f>IFERROR(__xludf.DUMMYFUNCTION("""COMPUTED_VALUE"""),1322.0)</f>
        <v>1322</v>
      </c>
      <c r="B1211" s="20" t="str">
        <f>IFERROR(__xludf.DUMMYFUNCTION("""COMPUTED_VALUE"""),"Minimum Moves to Reach Target with Rotations")</f>
        <v>Minimum Moves to Reach Target with Rotations</v>
      </c>
      <c r="C1211" s="20" t="str">
        <f>IFERROR(__xludf.DUMMYFUNCTION("""COMPUTED_VALUE"""),"minimum-moves-to-reach-target-with-rotations")</f>
        <v>minimum-moves-to-reach-target-with-rotations</v>
      </c>
      <c r="D1211" s="20" t="b">
        <f>IFERROR(__xludf.DUMMYFUNCTION("""COMPUTED_VALUE"""),FALSE)</f>
        <v>0</v>
      </c>
      <c r="E1211" s="20" t="str">
        <f>IFERROR(__xludf.DUMMYFUNCTION("""COMPUTED_VALUE"""),"Hard")</f>
        <v>Hard</v>
      </c>
      <c r="F1211" s="20">
        <f>IFERROR(__xludf.DUMMYFUNCTION("""COMPUTED_VALUE"""),233.0)</f>
        <v>233</v>
      </c>
      <c r="G1211" s="20">
        <f>IFERROR(__xludf.DUMMYFUNCTION("""COMPUTED_VALUE"""),65.0)</f>
        <v>65</v>
      </c>
      <c r="H1211" s="20" t="str">
        <f>IFERROR(__xludf.DUMMYFUNCTION("""COMPUTED_VALUE"""),"Algorithms")</f>
        <v>Algorithms</v>
      </c>
      <c r="I1211" s="20">
        <f>IFERROR(__xludf.DUMMYFUNCTION("""COMPUTED_VALUE"""),0.492)</f>
        <v>0.492</v>
      </c>
      <c r="J1211" s="20">
        <f>IFERROR(__xludf.DUMMYFUNCTION("""COMPUTED_VALUE"""),1210.0)</f>
        <v>1210</v>
      </c>
      <c r="K1211" s="20" t="b">
        <f>IFERROR(__xludf.DUMMYFUNCTION("""COMPUTED_VALUE"""),FALSE)</f>
        <v>0</v>
      </c>
      <c r="L1211" s="20" t="str">
        <f>IFERROR(__xludf.DUMMYFUNCTION("""COMPUTED_VALUE"""),"Array;Breadth-First Search;Matrix;")</f>
        <v>Array;Breadth-First Search;Matrix;</v>
      </c>
      <c r="M1211" s="20" t="b">
        <f>IFERROR(__xludf.DUMMYFUNCTION("""COMPUTED_VALUE"""),FALSE)</f>
        <v>0</v>
      </c>
      <c r="N1211" s="20" t="b">
        <f>IFERROR(__xludf.DUMMYFUNCTION("""COMPUTED_VALUE"""),FALSE)</f>
        <v>0</v>
      </c>
      <c r="O1211" s="20">
        <f>IFERROR(__xludf.DUMMYFUNCTION("""COMPUTED_VALUE"""),49.2255153067447)</f>
        <v>49.22551531</v>
      </c>
      <c r="P1211" s="20">
        <f>IFERROR(__xludf.DUMMYFUNCTION("""COMPUTED_VALUE"""),8072.0)</f>
        <v>8072</v>
      </c>
      <c r="Q1211" s="20">
        <f>IFERROR(__xludf.DUMMYFUNCTION("""COMPUTED_VALUE"""),16398.0)</f>
        <v>16398</v>
      </c>
    </row>
    <row r="1212">
      <c r="A1212" s="20">
        <f>IFERROR(__xludf.DUMMYFUNCTION("""COMPUTED_VALUE"""),1338.0)</f>
        <v>1338</v>
      </c>
      <c r="B1212" s="20" t="str">
        <f>IFERROR(__xludf.DUMMYFUNCTION("""COMPUTED_VALUE"""),"Queries Quality and Percentage")</f>
        <v>Queries Quality and Percentage</v>
      </c>
      <c r="C1212" s="20" t="str">
        <f>IFERROR(__xludf.DUMMYFUNCTION("""COMPUTED_VALUE"""),"queries-quality-and-percentage")</f>
        <v>queries-quality-and-percentage</v>
      </c>
      <c r="D1212" s="20" t="b">
        <f>IFERROR(__xludf.DUMMYFUNCTION("""COMPUTED_VALUE"""),TRUE)</f>
        <v>1</v>
      </c>
      <c r="E1212" s="20" t="str">
        <f>IFERROR(__xludf.DUMMYFUNCTION("""COMPUTED_VALUE"""),"Easy")</f>
        <v>Easy</v>
      </c>
      <c r="F1212" s="20">
        <f>IFERROR(__xludf.DUMMYFUNCTION("""COMPUTED_VALUE"""),119.0)</f>
        <v>119</v>
      </c>
      <c r="G1212" s="20">
        <f>IFERROR(__xludf.DUMMYFUNCTION("""COMPUTED_VALUE"""),175.0)</f>
        <v>175</v>
      </c>
      <c r="H1212" s="20" t="str">
        <f>IFERROR(__xludf.DUMMYFUNCTION("""COMPUTED_VALUE"""),"Database")</f>
        <v>Database</v>
      </c>
      <c r="I1212" s="20">
        <f>IFERROR(__xludf.DUMMYFUNCTION("""COMPUTED_VALUE"""),0.717)</f>
        <v>0.717</v>
      </c>
      <c r="J1212" s="20">
        <f>IFERROR(__xludf.DUMMYFUNCTION("""COMPUTED_VALUE"""),1211.0)</f>
        <v>1211</v>
      </c>
      <c r="K1212" s="20" t="b">
        <f>IFERROR(__xludf.DUMMYFUNCTION("""COMPUTED_VALUE"""),TRUE)</f>
        <v>1</v>
      </c>
      <c r="L1212" s="20" t="str">
        <f>IFERROR(__xludf.DUMMYFUNCTION("""COMPUTED_VALUE"""),"Database;")</f>
        <v>Database;</v>
      </c>
      <c r="M1212" s="20" t="b">
        <f>IFERROR(__xludf.DUMMYFUNCTION("""COMPUTED_VALUE"""),FALSE)</f>
        <v>0</v>
      </c>
      <c r="N1212" s="20" t="b">
        <f>IFERROR(__xludf.DUMMYFUNCTION("""COMPUTED_VALUE"""),FALSE)</f>
        <v>0</v>
      </c>
      <c r="O1212" s="20">
        <f>IFERROR(__xludf.DUMMYFUNCTION("""COMPUTED_VALUE"""),71.6992821739873)</f>
        <v>71.69928217</v>
      </c>
      <c r="P1212" s="20">
        <f>IFERROR(__xludf.DUMMYFUNCTION("""COMPUTED_VALUE"""),33561.0)</f>
        <v>33561</v>
      </c>
      <c r="Q1212" s="20">
        <f>IFERROR(__xludf.DUMMYFUNCTION("""COMPUTED_VALUE"""),46808.0)</f>
        <v>46808</v>
      </c>
    </row>
    <row r="1213">
      <c r="A1213" s="20">
        <f>IFERROR(__xludf.DUMMYFUNCTION("""COMPUTED_VALUE"""),1339.0)</f>
        <v>1339</v>
      </c>
      <c r="B1213" s="20" t="str">
        <f>IFERROR(__xludf.DUMMYFUNCTION("""COMPUTED_VALUE"""),"Team Scores in Football Tournament")</f>
        <v>Team Scores in Football Tournament</v>
      </c>
      <c r="C1213" s="20" t="str">
        <f>IFERROR(__xludf.DUMMYFUNCTION("""COMPUTED_VALUE"""),"team-scores-in-football-tournament")</f>
        <v>team-scores-in-football-tournament</v>
      </c>
      <c r="D1213" s="20" t="b">
        <f>IFERROR(__xludf.DUMMYFUNCTION("""COMPUTED_VALUE"""),TRUE)</f>
        <v>1</v>
      </c>
      <c r="E1213" s="20" t="str">
        <f>IFERROR(__xludf.DUMMYFUNCTION("""COMPUTED_VALUE"""),"Medium")</f>
        <v>Medium</v>
      </c>
      <c r="F1213" s="20">
        <f>IFERROR(__xludf.DUMMYFUNCTION("""COMPUTED_VALUE"""),264.0)</f>
        <v>264</v>
      </c>
      <c r="G1213" s="20">
        <f>IFERROR(__xludf.DUMMYFUNCTION("""COMPUTED_VALUE"""),22.0)</f>
        <v>22</v>
      </c>
      <c r="H1213" s="20" t="str">
        <f>IFERROR(__xludf.DUMMYFUNCTION("""COMPUTED_VALUE"""),"Database")</f>
        <v>Database</v>
      </c>
      <c r="I1213" s="20">
        <f>IFERROR(__xludf.DUMMYFUNCTION("""COMPUTED_VALUE"""),0.575)</f>
        <v>0.575</v>
      </c>
      <c r="J1213" s="20">
        <f>IFERROR(__xludf.DUMMYFUNCTION("""COMPUTED_VALUE"""),1212.0)</f>
        <v>1212</v>
      </c>
      <c r="K1213" s="20" t="b">
        <f>IFERROR(__xludf.DUMMYFUNCTION("""COMPUTED_VALUE"""),TRUE)</f>
        <v>1</v>
      </c>
      <c r="L1213" s="20" t="str">
        <f>IFERROR(__xludf.DUMMYFUNCTION("""COMPUTED_VALUE"""),"Database;")</f>
        <v>Database;</v>
      </c>
      <c r="M1213" s="20" t="b">
        <f>IFERROR(__xludf.DUMMYFUNCTION("""COMPUTED_VALUE"""),FALSE)</f>
        <v>0</v>
      </c>
      <c r="N1213" s="20" t="b">
        <f>IFERROR(__xludf.DUMMYFUNCTION("""COMPUTED_VALUE"""),FALSE)</f>
        <v>0</v>
      </c>
      <c r="O1213" s="20">
        <f>IFERROR(__xludf.DUMMYFUNCTION("""COMPUTED_VALUE"""),57.5282480353442)</f>
        <v>57.52824804</v>
      </c>
      <c r="P1213" s="20">
        <f>IFERROR(__xludf.DUMMYFUNCTION("""COMPUTED_VALUE"""),29428.0)</f>
        <v>29428</v>
      </c>
      <c r="Q1213" s="20">
        <f>IFERROR(__xludf.DUMMYFUNCTION("""COMPUTED_VALUE"""),51154.0)</f>
        <v>51154</v>
      </c>
    </row>
    <row r="1214">
      <c r="A1214" s="20">
        <f>IFERROR(__xludf.DUMMYFUNCTION("""COMPUTED_VALUE"""),1149.0)</f>
        <v>1149</v>
      </c>
      <c r="B1214" s="20" t="str">
        <f>IFERROR(__xludf.DUMMYFUNCTION("""COMPUTED_VALUE"""),"Intersection of Three Sorted Arrays")</f>
        <v>Intersection of Three Sorted Arrays</v>
      </c>
      <c r="C1214" s="20" t="str">
        <f>IFERROR(__xludf.DUMMYFUNCTION("""COMPUTED_VALUE"""),"intersection-of-three-sorted-arrays")</f>
        <v>intersection-of-three-sorted-arrays</v>
      </c>
      <c r="D1214" s="20" t="b">
        <f>IFERROR(__xludf.DUMMYFUNCTION("""COMPUTED_VALUE"""),TRUE)</f>
        <v>1</v>
      </c>
      <c r="E1214" s="20" t="str">
        <f>IFERROR(__xludf.DUMMYFUNCTION("""COMPUTED_VALUE"""),"Easy")</f>
        <v>Easy</v>
      </c>
      <c r="F1214" s="20">
        <f>IFERROR(__xludf.DUMMYFUNCTION("""COMPUTED_VALUE"""),515.0)</f>
        <v>515</v>
      </c>
      <c r="G1214" s="20">
        <f>IFERROR(__xludf.DUMMYFUNCTION("""COMPUTED_VALUE"""),24.0)</f>
        <v>24</v>
      </c>
      <c r="H1214" s="20" t="str">
        <f>IFERROR(__xludf.DUMMYFUNCTION("""COMPUTED_VALUE"""),"Algorithms")</f>
        <v>Algorithms</v>
      </c>
      <c r="I1214" s="20">
        <f>IFERROR(__xludf.DUMMYFUNCTION("""COMPUTED_VALUE"""),0.799)</f>
        <v>0.799</v>
      </c>
      <c r="J1214" s="20">
        <f>IFERROR(__xludf.DUMMYFUNCTION("""COMPUTED_VALUE"""),1213.0)</f>
        <v>1213</v>
      </c>
      <c r="K1214" s="20" t="b">
        <f>IFERROR(__xludf.DUMMYFUNCTION("""COMPUTED_VALUE"""),TRUE)</f>
        <v>1</v>
      </c>
      <c r="L1214" s="20" t="str">
        <f>IFERROR(__xludf.DUMMYFUNCTION("""COMPUTED_VALUE"""),"Array;Hash Table;Binary Search;Counting;")</f>
        <v>Array;Hash Table;Binary Search;Counting;</v>
      </c>
      <c r="M1214" s="20" t="b">
        <f>IFERROR(__xludf.DUMMYFUNCTION("""COMPUTED_VALUE"""),TRUE)</f>
        <v>1</v>
      </c>
      <c r="N1214" s="20" t="b">
        <f>IFERROR(__xludf.DUMMYFUNCTION("""COMPUTED_VALUE"""),FALSE)</f>
        <v>0</v>
      </c>
      <c r="O1214" s="20">
        <f>IFERROR(__xludf.DUMMYFUNCTION("""COMPUTED_VALUE"""),79.9306227987103)</f>
        <v>79.9306228</v>
      </c>
      <c r="P1214" s="20">
        <f>IFERROR(__xludf.DUMMYFUNCTION("""COMPUTED_VALUE"""),75118.0)</f>
        <v>75118</v>
      </c>
      <c r="Q1214" s="20">
        <f>IFERROR(__xludf.DUMMYFUNCTION("""COMPUTED_VALUE"""),93979.0)</f>
        <v>93979</v>
      </c>
    </row>
    <row r="1215">
      <c r="A1215" s="20">
        <f>IFERROR(__xludf.DUMMYFUNCTION("""COMPUTED_VALUE"""),1150.0)</f>
        <v>1150</v>
      </c>
      <c r="B1215" s="20" t="str">
        <f>IFERROR(__xludf.DUMMYFUNCTION("""COMPUTED_VALUE"""),"Two Sum BSTs")</f>
        <v>Two Sum BSTs</v>
      </c>
      <c r="C1215" s="20" t="str">
        <f>IFERROR(__xludf.DUMMYFUNCTION("""COMPUTED_VALUE"""),"two-sum-bsts")</f>
        <v>two-sum-bsts</v>
      </c>
      <c r="D1215" s="20" t="b">
        <f>IFERROR(__xludf.DUMMYFUNCTION("""COMPUTED_VALUE"""),TRUE)</f>
        <v>1</v>
      </c>
      <c r="E1215" s="20" t="str">
        <f>IFERROR(__xludf.DUMMYFUNCTION("""COMPUTED_VALUE"""),"Medium")</f>
        <v>Medium</v>
      </c>
      <c r="F1215" s="20">
        <f>IFERROR(__xludf.DUMMYFUNCTION("""COMPUTED_VALUE"""),442.0)</f>
        <v>442</v>
      </c>
      <c r="G1215" s="20">
        <f>IFERROR(__xludf.DUMMYFUNCTION("""COMPUTED_VALUE"""),44.0)</f>
        <v>44</v>
      </c>
      <c r="H1215" s="20" t="str">
        <f>IFERROR(__xludf.DUMMYFUNCTION("""COMPUTED_VALUE"""),"Algorithms")</f>
        <v>Algorithms</v>
      </c>
      <c r="I1215" s="20">
        <f>IFERROR(__xludf.DUMMYFUNCTION("""COMPUTED_VALUE"""),0.661)</f>
        <v>0.661</v>
      </c>
      <c r="J1215" s="20">
        <f>IFERROR(__xludf.DUMMYFUNCTION("""COMPUTED_VALUE"""),1214.0)</f>
        <v>1214</v>
      </c>
      <c r="K1215" s="20" t="b">
        <f>IFERROR(__xludf.DUMMYFUNCTION("""COMPUTED_VALUE"""),TRUE)</f>
        <v>1</v>
      </c>
      <c r="L1215" s="20" t="str">
        <f>IFERROR(__xludf.DUMMYFUNCTION("""COMPUTED_VALUE"""),"Two Pointers;Binary Search;Stack;Tree;Depth-First Search;Binary Search Tree;Binary Tree;")</f>
        <v>Two Pointers;Binary Search;Stack;Tree;Depth-First Search;Binary Search Tree;Binary Tree;</v>
      </c>
      <c r="M1215" s="20" t="b">
        <f>IFERROR(__xludf.DUMMYFUNCTION("""COMPUTED_VALUE"""),TRUE)</f>
        <v>1</v>
      </c>
      <c r="N1215" s="20" t="b">
        <f>IFERROR(__xludf.DUMMYFUNCTION("""COMPUTED_VALUE"""),FALSE)</f>
        <v>0</v>
      </c>
      <c r="O1215" s="20">
        <f>IFERROR(__xludf.DUMMYFUNCTION("""COMPUTED_VALUE"""),66.0552049379291)</f>
        <v>66.05520494</v>
      </c>
      <c r="P1215" s="20">
        <f>IFERROR(__xludf.DUMMYFUNCTION("""COMPUTED_VALUE"""),38098.0)</f>
        <v>38098</v>
      </c>
      <c r="Q1215" s="20">
        <f>IFERROR(__xludf.DUMMYFUNCTION("""COMPUTED_VALUE"""),57676.0)</f>
        <v>57676</v>
      </c>
    </row>
    <row r="1216">
      <c r="A1216" s="20">
        <f>IFERROR(__xludf.DUMMYFUNCTION("""COMPUTED_VALUE"""),1151.0)</f>
        <v>1151</v>
      </c>
      <c r="B1216" s="20" t="str">
        <f>IFERROR(__xludf.DUMMYFUNCTION("""COMPUTED_VALUE"""),"Stepping Numbers")</f>
        <v>Stepping Numbers</v>
      </c>
      <c r="C1216" s="20" t="str">
        <f>IFERROR(__xludf.DUMMYFUNCTION("""COMPUTED_VALUE"""),"stepping-numbers")</f>
        <v>stepping-numbers</v>
      </c>
      <c r="D1216" s="20" t="b">
        <f>IFERROR(__xludf.DUMMYFUNCTION("""COMPUTED_VALUE"""),TRUE)</f>
        <v>1</v>
      </c>
      <c r="E1216" s="20" t="str">
        <f>IFERROR(__xludf.DUMMYFUNCTION("""COMPUTED_VALUE"""),"Medium")</f>
        <v>Medium</v>
      </c>
      <c r="F1216" s="20">
        <f>IFERROR(__xludf.DUMMYFUNCTION("""COMPUTED_VALUE"""),171.0)</f>
        <v>171</v>
      </c>
      <c r="G1216" s="20">
        <f>IFERROR(__xludf.DUMMYFUNCTION("""COMPUTED_VALUE"""),17.0)</f>
        <v>17</v>
      </c>
      <c r="H1216" s="20" t="str">
        <f>IFERROR(__xludf.DUMMYFUNCTION("""COMPUTED_VALUE"""),"Algorithms")</f>
        <v>Algorithms</v>
      </c>
      <c r="I1216" s="20">
        <f>IFERROR(__xludf.DUMMYFUNCTION("""COMPUTED_VALUE"""),0.46)</f>
        <v>0.46</v>
      </c>
      <c r="J1216" s="20">
        <f>IFERROR(__xludf.DUMMYFUNCTION("""COMPUTED_VALUE"""),1215.0)</f>
        <v>1215</v>
      </c>
      <c r="K1216" s="20" t="b">
        <f>IFERROR(__xludf.DUMMYFUNCTION("""COMPUTED_VALUE"""),TRUE)</f>
        <v>1</v>
      </c>
      <c r="L1216" s="20" t="str">
        <f>IFERROR(__xludf.DUMMYFUNCTION("""COMPUTED_VALUE"""),"Backtracking;Breadth-First Search;")</f>
        <v>Backtracking;Breadth-First Search;</v>
      </c>
      <c r="M1216" s="20" t="b">
        <f>IFERROR(__xludf.DUMMYFUNCTION("""COMPUTED_VALUE"""),FALSE)</f>
        <v>0</v>
      </c>
      <c r="N1216" s="20" t="b">
        <f>IFERROR(__xludf.DUMMYFUNCTION("""COMPUTED_VALUE"""),FALSE)</f>
        <v>0</v>
      </c>
      <c r="O1216" s="20">
        <f>IFERROR(__xludf.DUMMYFUNCTION("""COMPUTED_VALUE"""),45.9964866549555)</f>
        <v>45.99648665</v>
      </c>
      <c r="P1216" s="20">
        <f>IFERROR(__xludf.DUMMYFUNCTION("""COMPUTED_VALUE"""),8117.0)</f>
        <v>8117</v>
      </c>
      <c r="Q1216" s="20">
        <f>IFERROR(__xludf.DUMMYFUNCTION("""COMPUTED_VALUE"""),17647.0)</f>
        <v>17647</v>
      </c>
    </row>
    <row r="1217">
      <c r="A1217" s="20">
        <f>IFERROR(__xludf.DUMMYFUNCTION("""COMPUTED_VALUE"""),1178.0)</f>
        <v>1178</v>
      </c>
      <c r="B1217" s="20" t="str">
        <f>IFERROR(__xludf.DUMMYFUNCTION("""COMPUTED_VALUE"""),"Valid Palindrome III")</f>
        <v>Valid Palindrome III</v>
      </c>
      <c r="C1217" s="20" t="str">
        <f>IFERROR(__xludf.DUMMYFUNCTION("""COMPUTED_VALUE"""),"valid-palindrome-iii")</f>
        <v>valid-palindrome-iii</v>
      </c>
      <c r="D1217" s="20" t="b">
        <f>IFERROR(__xludf.DUMMYFUNCTION("""COMPUTED_VALUE"""),TRUE)</f>
        <v>1</v>
      </c>
      <c r="E1217" s="20" t="str">
        <f>IFERROR(__xludf.DUMMYFUNCTION("""COMPUTED_VALUE"""),"Hard")</f>
        <v>Hard</v>
      </c>
      <c r="F1217" s="20">
        <f>IFERROR(__xludf.DUMMYFUNCTION("""COMPUTED_VALUE"""),630.0)</f>
        <v>630</v>
      </c>
      <c r="G1217" s="20">
        <f>IFERROR(__xludf.DUMMYFUNCTION("""COMPUTED_VALUE"""),7.0)</f>
        <v>7</v>
      </c>
      <c r="H1217" s="20" t="str">
        <f>IFERROR(__xludf.DUMMYFUNCTION("""COMPUTED_VALUE"""),"Algorithms")</f>
        <v>Algorithms</v>
      </c>
      <c r="I1217" s="20">
        <f>IFERROR(__xludf.DUMMYFUNCTION("""COMPUTED_VALUE"""),0.505)</f>
        <v>0.505</v>
      </c>
      <c r="J1217" s="20">
        <f>IFERROR(__xludf.DUMMYFUNCTION("""COMPUTED_VALUE"""),1216.0)</f>
        <v>1216</v>
      </c>
      <c r="K1217" s="20" t="b">
        <f>IFERROR(__xludf.DUMMYFUNCTION("""COMPUTED_VALUE"""),TRUE)</f>
        <v>1</v>
      </c>
      <c r="L1217" s="20" t="str">
        <f>IFERROR(__xludf.DUMMYFUNCTION("""COMPUTED_VALUE"""),"String;Dynamic Programming;")</f>
        <v>String;Dynamic Programming;</v>
      </c>
      <c r="M1217" s="20" t="b">
        <f>IFERROR(__xludf.DUMMYFUNCTION("""COMPUTED_VALUE"""),TRUE)</f>
        <v>1</v>
      </c>
      <c r="N1217" s="20" t="b">
        <f>IFERROR(__xludf.DUMMYFUNCTION("""COMPUTED_VALUE"""),FALSE)</f>
        <v>0</v>
      </c>
      <c r="O1217" s="20">
        <f>IFERROR(__xludf.DUMMYFUNCTION("""COMPUTED_VALUE"""),50.5356382727143)</f>
        <v>50.53563827</v>
      </c>
      <c r="P1217" s="20">
        <f>IFERROR(__xludf.DUMMYFUNCTION("""COMPUTED_VALUE"""),42739.0)</f>
        <v>42739</v>
      </c>
      <c r="Q1217" s="20">
        <f>IFERROR(__xludf.DUMMYFUNCTION("""COMPUTED_VALUE"""),84572.0)</f>
        <v>84572</v>
      </c>
    </row>
    <row r="1218">
      <c r="A1218" s="20">
        <f>IFERROR(__xludf.DUMMYFUNCTION("""COMPUTED_VALUE"""),1329.0)</f>
        <v>1329</v>
      </c>
      <c r="B1218" s="20" t="str">
        <f>IFERROR(__xludf.DUMMYFUNCTION("""COMPUTED_VALUE"""),"Minimum Cost to Move Chips to The Same Position")</f>
        <v>Minimum Cost to Move Chips to The Same Position</v>
      </c>
      <c r="C1218" s="20" t="str">
        <f>IFERROR(__xludf.DUMMYFUNCTION("""COMPUTED_VALUE"""),"minimum-cost-to-move-chips-to-the-same-position")</f>
        <v>minimum-cost-to-move-chips-to-the-same-position</v>
      </c>
      <c r="D1218" s="20" t="b">
        <f>IFERROR(__xludf.DUMMYFUNCTION("""COMPUTED_VALUE"""),FALSE)</f>
        <v>0</v>
      </c>
      <c r="E1218" s="20" t="str">
        <f>IFERROR(__xludf.DUMMYFUNCTION("""COMPUTED_VALUE"""),"Easy")</f>
        <v>Easy</v>
      </c>
      <c r="F1218" s="20">
        <f>IFERROR(__xludf.DUMMYFUNCTION("""COMPUTED_VALUE"""),1886.0)</f>
        <v>1886</v>
      </c>
      <c r="G1218" s="20">
        <f>IFERROR(__xludf.DUMMYFUNCTION("""COMPUTED_VALUE"""),243.0)</f>
        <v>243</v>
      </c>
      <c r="H1218" s="20" t="str">
        <f>IFERROR(__xludf.DUMMYFUNCTION("""COMPUTED_VALUE"""),"Algorithms")</f>
        <v>Algorithms</v>
      </c>
      <c r="I1218" s="20">
        <f>IFERROR(__xludf.DUMMYFUNCTION("""COMPUTED_VALUE"""),0.721)</f>
        <v>0.721</v>
      </c>
      <c r="J1218" s="20">
        <f>IFERROR(__xludf.DUMMYFUNCTION("""COMPUTED_VALUE"""),1217.0)</f>
        <v>1217</v>
      </c>
      <c r="K1218" s="20" t="b">
        <f>IFERROR(__xludf.DUMMYFUNCTION("""COMPUTED_VALUE"""),FALSE)</f>
        <v>0</v>
      </c>
      <c r="L1218" s="20" t="str">
        <f>IFERROR(__xludf.DUMMYFUNCTION("""COMPUTED_VALUE"""),"Array;Math;Greedy;")</f>
        <v>Array;Math;Greedy;</v>
      </c>
      <c r="M1218" s="20" t="b">
        <f>IFERROR(__xludf.DUMMYFUNCTION("""COMPUTED_VALUE"""),TRUE)</f>
        <v>1</v>
      </c>
      <c r="N1218" s="20" t="b">
        <f>IFERROR(__xludf.DUMMYFUNCTION("""COMPUTED_VALUE"""),FALSE)</f>
        <v>0</v>
      </c>
      <c r="O1218" s="20">
        <f>IFERROR(__xludf.DUMMYFUNCTION("""COMPUTED_VALUE"""),72.1115991322745)</f>
        <v>72.11159913</v>
      </c>
      <c r="P1218" s="20">
        <f>IFERROR(__xludf.DUMMYFUNCTION("""COMPUTED_VALUE"""),107701.0)</f>
        <v>107701</v>
      </c>
      <c r="Q1218" s="20">
        <f>IFERROR(__xludf.DUMMYFUNCTION("""COMPUTED_VALUE"""),149353.0)</f>
        <v>149353</v>
      </c>
    </row>
    <row r="1219">
      <c r="A1219" s="20">
        <f>IFERROR(__xludf.DUMMYFUNCTION("""COMPUTED_VALUE"""),1330.0)</f>
        <v>1330</v>
      </c>
      <c r="B1219" s="20" t="str">
        <f>IFERROR(__xludf.DUMMYFUNCTION("""COMPUTED_VALUE"""),"Longest Arithmetic Subsequence of Given Difference")</f>
        <v>Longest Arithmetic Subsequence of Given Difference</v>
      </c>
      <c r="C1219" s="20" t="str">
        <f>IFERROR(__xludf.DUMMYFUNCTION("""COMPUTED_VALUE"""),"longest-arithmetic-subsequence-of-given-difference")</f>
        <v>longest-arithmetic-subsequence-of-given-difference</v>
      </c>
      <c r="D1219" s="20" t="b">
        <f>IFERROR(__xludf.DUMMYFUNCTION("""COMPUTED_VALUE"""),FALSE)</f>
        <v>0</v>
      </c>
      <c r="E1219" s="20" t="str">
        <f>IFERROR(__xludf.DUMMYFUNCTION("""COMPUTED_VALUE"""),"Medium")</f>
        <v>Medium</v>
      </c>
      <c r="F1219" s="20">
        <f>IFERROR(__xludf.DUMMYFUNCTION("""COMPUTED_VALUE"""),1315.0)</f>
        <v>1315</v>
      </c>
      <c r="G1219" s="20">
        <f>IFERROR(__xludf.DUMMYFUNCTION("""COMPUTED_VALUE"""),47.0)</f>
        <v>47</v>
      </c>
      <c r="H1219" s="20" t="str">
        <f>IFERROR(__xludf.DUMMYFUNCTION("""COMPUTED_VALUE"""),"Algorithms")</f>
        <v>Algorithms</v>
      </c>
      <c r="I1219" s="20">
        <f>IFERROR(__xludf.DUMMYFUNCTION("""COMPUTED_VALUE"""),0.519)</f>
        <v>0.519</v>
      </c>
      <c r="J1219" s="20">
        <f>IFERROR(__xludf.DUMMYFUNCTION("""COMPUTED_VALUE"""),1218.0)</f>
        <v>1218</v>
      </c>
      <c r="K1219" s="20" t="b">
        <f>IFERROR(__xludf.DUMMYFUNCTION("""COMPUTED_VALUE"""),FALSE)</f>
        <v>0</v>
      </c>
      <c r="L1219" s="20" t="str">
        <f>IFERROR(__xludf.DUMMYFUNCTION("""COMPUTED_VALUE"""),"Array;Hash Table;Dynamic Programming;")</f>
        <v>Array;Hash Table;Dynamic Programming;</v>
      </c>
      <c r="M1219" s="20" t="b">
        <f>IFERROR(__xludf.DUMMYFUNCTION("""COMPUTED_VALUE"""),FALSE)</f>
        <v>0</v>
      </c>
      <c r="N1219" s="20" t="b">
        <f>IFERROR(__xludf.DUMMYFUNCTION("""COMPUTED_VALUE"""),FALSE)</f>
        <v>0</v>
      </c>
      <c r="O1219" s="20">
        <f>IFERROR(__xludf.DUMMYFUNCTION("""COMPUTED_VALUE"""),51.8894776413304)</f>
        <v>51.88947764</v>
      </c>
      <c r="P1219" s="20">
        <f>IFERROR(__xludf.DUMMYFUNCTION("""COMPUTED_VALUE"""),57973.0)</f>
        <v>57973</v>
      </c>
      <c r="Q1219" s="20">
        <f>IFERROR(__xludf.DUMMYFUNCTION("""COMPUTED_VALUE"""),111724.0)</f>
        <v>111724</v>
      </c>
    </row>
    <row r="1220">
      <c r="A1220" s="20">
        <f>IFERROR(__xludf.DUMMYFUNCTION("""COMPUTED_VALUE"""),1331.0)</f>
        <v>1331</v>
      </c>
      <c r="B1220" s="20" t="str">
        <f>IFERROR(__xludf.DUMMYFUNCTION("""COMPUTED_VALUE"""),"Path with Maximum Gold")</f>
        <v>Path with Maximum Gold</v>
      </c>
      <c r="C1220" s="20" t="str">
        <f>IFERROR(__xludf.DUMMYFUNCTION("""COMPUTED_VALUE"""),"path-with-maximum-gold")</f>
        <v>path-with-maximum-gold</v>
      </c>
      <c r="D1220" s="20" t="b">
        <f>IFERROR(__xludf.DUMMYFUNCTION("""COMPUTED_VALUE"""),FALSE)</f>
        <v>0</v>
      </c>
      <c r="E1220" s="20" t="str">
        <f>IFERROR(__xludf.DUMMYFUNCTION("""COMPUTED_VALUE"""),"Medium")</f>
        <v>Medium</v>
      </c>
      <c r="F1220" s="20">
        <f>IFERROR(__xludf.DUMMYFUNCTION("""COMPUTED_VALUE"""),2307.0)</f>
        <v>2307</v>
      </c>
      <c r="G1220" s="20">
        <f>IFERROR(__xludf.DUMMYFUNCTION("""COMPUTED_VALUE"""),60.0)</f>
        <v>60</v>
      </c>
      <c r="H1220" s="20" t="str">
        <f>IFERROR(__xludf.DUMMYFUNCTION("""COMPUTED_VALUE"""),"Algorithms")</f>
        <v>Algorithms</v>
      </c>
      <c r="I1220" s="20">
        <f>IFERROR(__xludf.DUMMYFUNCTION("""COMPUTED_VALUE"""),0.639)</f>
        <v>0.639</v>
      </c>
      <c r="J1220" s="20">
        <f>IFERROR(__xludf.DUMMYFUNCTION("""COMPUTED_VALUE"""),1219.0)</f>
        <v>1219</v>
      </c>
      <c r="K1220" s="20" t="b">
        <f>IFERROR(__xludf.DUMMYFUNCTION("""COMPUTED_VALUE"""),FALSE)</f>
        <v>0</v>
      </c>
      <c r="L1220" s="20" t="str">
        <f>IFERROR(__xludf.DUMMYFUNCTION("""COMPUTED_VALUE"""),"Array;Backtracking;Matrix;")</f>
        <v>Array;Backtracking;Matrix;</v>
      </c>
      <c r="M1220" s="20" t="b">
        <f>IFERROR(__xludf.DUMMYFUNCTION("""COMPUTED_VALUE"""),FALSE)</f>
        <v>0</v>
      </c>
      <c r="N1220" s="20" t="b">
        <f>IFERROR(__xludf.DUMMYFUNCTION("""COMPUTED_VALUE"""),FALSE)</f>
        <v>0</v>
      </c>
      <c r="O1220" s="20">
        <f>IFERROR(__xludf.DUMMYFUNCTION("""COMPUTED_VALUE"""),63.8899819259832)</f>
        <v>63.88998193</v>
      </c>
      <c r="P1220" s="20">
        <f>IFERROR(__xludf.DUMMYFUNCTION("""COMPUTED_VALUE"""),95795.0)</f>
        <v>95795</v>
      </c>
      <c r="Q1220" s="20">
        <f>IFERROR(__xludf.DUMMYFUNCTION("""COMPUTED_VALUE"""),149937.0)</f>
        <v>149937</v>
      </c>
    </row>
    <row r="1221">
      <c r="A1221" s="20">
        <f>IFERROR(__xludf.DUMMYFUNCTION("""COMPUTED_VALUE"""),1332.0)</f>
        <v>1332</v>
      </c>
      <c r="B1221" s="20" t="str">
        <f>IFERROR(__xludf.DUMMYFUNCTION("""COMPUTED_VALUE"""),"Count Vowels Permutation")</f>
        <v>Count Vowels Permutation</v>
      </c>
      <c r="C1221" s="20" t="str">
        <f>IFERROR(__xludf.DUMMYFUNCTION("""COMPUTED_VALUE"""),"count-vowels-permutation")</f>
        <v>count-vowels-permutation</v>
      </c>
      <c r="D1221" s="20" t="b">
        <f>IFERROR(__xludf.DUMMYFUNCTION("""COMPUTED_VALUE"""),FALSE)</f>
        <v>0</v>
      </c>
      <c r="E1221" s="20" t="str">
        <f>IFERROR(__xludf.DUMMYFUNCTION("""COMPUTED_VALUE"""),"Hard")</f>
        <v>Hard</v>
      </c>
      <c r="F1221" s="20">
        <f>IFERROR(__xludf.DUMMYFUNCTION("""COMPUTED_VALUE"""),2443.0)</f>
        <v>2443</v>
      </c>
      <c r="G1221" s="20">
        <f>IFERROR(__xludf.DUMMYFUNCTION("""COMPUTED_VALUE"""),163.0)</f>
        <v>163</v>
      </c>
      <c r="H1221" s="20" t="str">
        <f>IFERROR(__xludf.DUMMYFUNCTION("""COMPUTED_VALUE"""),"Algorithms")</f>
        <v>Algorithms</v>
      </c>
      <c r="I1221" s="20">
        <f>IFERROR(__xludf.DUMMYFUNCTION("""COMPUTED_VALUE"""),0.605)</f>
        <v>0.605</v>
      </c>
      <c r="J1221" s="20">
        <f>IFERROR(__xludf.DUMMYFUNCTION("""COMPUTED_VALUE"""),1220.0)</f>
        <v>1220</v>
      </c>
      <c r="K1221" s="20" t="b">
        <f>IFERROR(__xludf.DUMMYFUNCTION("""COMPUTED_VALUE"""),FALSE)</f>
        <v>0</v>
      </c>
      <c r="L1221" s="20" t="str">
        <f>IFERROR(__xludf.DUMMYFUNCTION("""COMPUTED_VALUE"""),"Dynamic Programming;")</f>
        <v>Dynamic Programming;</v>
      </c>
      <c r="M1221" s="20" t="b">
        <f>IFERROR(__xludf.DUMMYFUNCTION("""COMPUTED_VALUE"""),TRUE)</f>
        <v>1</v>
      </c>
      <c r="N1221" s="20" t="b">
        <f>IFERROR(__xludf.DUMMYFUNCTION("""COMPUTED_VALUE"""),FALSE)</f>
        <v>0</v>
      </c>
      <c r="O1221" s="20">
        <f>IFERROR(__xludf.DUMMYFUNCTION("""COMPUTED_VALUE"""),60.453139239292)</f>
        <v>60.45313924</v>
      </c>
      <c r="P1221" s="20">
        <f>IFERROR(__xludf.DUMMYFUNCTION("""COMPUTED_VALUE"""),100831.0)</f>
        <v>100831</v>
      </c>
      <c r="Q1221" s="20">
        <f>IFERROR(__xludf.DUMMYFUNCTION("""COMPUTED_VALUE"""),166791.0)</f>
        <v>166791</v>
      </c>
    </row>
    <row r="1222">
      <c r="A1222" s="20">
        <f>IFERROR(__xludf.DUMMYFUNCTION("""COMPUTED_VALUE"""),1341.0)</f>
        <v>1341</v>
      </c>
      <c r="B1222" s="20" t="str">
        <f>IFERROR(__xludf.DUMMYFUNCTION("""COMPUTED_VALUE"""),"Split a String in Balanced Strings")</f>
        <v>Split a String in Balanced Strings</v>
      </c>
      <c r="C1222" s="20" t="str">
        <f>IFERROR(__xludf.DUMMYFUNCTION("""COMPUTED_VALUE"""),"split-a-string-in-balanced-strings")</f>
        <v>split-a-string-in-balanced-strings</v>
      </c>
      <c r="D1222" s="20" t="b">
        <f>IFERROR(__xludf.DUMMYFUNCTION("""COMPUTED_VALUE"""),FALSE)</f>
        <v>0</v>
      </c>
      <c r="E1222" s="20" t="str">
        <f>IFERROR(__xludf.DUMMYFUNCTION("""COMPUTED_VALUE"""),"Easy")</f>
        <v>Easy</v>
      </c>
      <c r="F1222" s="20">
        <f>IFERROR(__xludf.DUMMYFUNCTION("""COMPUTED_VALUE"""),2141.0)</f>
        <v>2141</v>
      </c>
      <c r="G1222" s="20">
        <f>IFERROR(__xludf.DUMMYFUNCTION("""COMPUTED_VALUE"""),819.0)</f>
        <v>819</v>
      </c>
      <c r="H1222" s="20" t="str">
        <f>IFERROR(__xludf.DUMMYFUNCTION("""COMPUTED_VALUE"""),"Algorithms")</f>
        <v>Algorithms</v>
      </c>
      <c r="I1222" s="20">
        <f>IFERROR(__xludf.DUMMYFUNCTION("""COMPUTED_VALUE"""),0.849)</f>
        <v>0.849</v>
      </c>
      <c r="J1222" s="20">
        <f>IFERROR(__xludf.DUMMYFUNCTION("""COMPUTED_VALUE"""),1221.0)</f>
        <v>1221</v>
      </c>
      <c r="K1222" s="20" t="b">
        <f>IFERROR(__xludf.DUMMYFUNCTION("""COMPUTED_VALUE"""),FALSE)</f>
        <v>0</v>
      </c>
      <c r="L1222" s="20" t="str">
        <f>IFERROR(__xludf.DUMMYFUNCTION("""COMPUTED_VALUE"""),"String;Greedy;Counting;")</f>
        <v>String;Greedy;Counting;</v>
      </c>
      <c r="M1222" s="20" t="b">
        <f>IFERROR(__xludf.DUMMYFUNCTION("""COMPUTED_VALUE"""),FALSE)</f>
        <v>0</v>
      </c>
      <c r="N1222" s="20" t="b">
        <f>IFERROR(__xludf.DUMMYFUNCTION("""COMPUTED_VALUE"""),FALSE)</f>
        <v>0</v>
      </c>
      <c r="O1222" s="20">
        <f>IFERROR(__xludf.DUMMYFUNCTION("""COMPUTED_VALUE"""),84.9039710229648)</f>
        <v>84.90397102</v>
      </c>
      <c r="P1222" s="20">
        <f>IFERROR(__xludf.DUMMYFUNCTION("""COMPUTED_VALUE"""),229479.0)</f>
        <v>229479</v>
      </c>
      <c r="Q1222" s="20">
        <f>IFERROR(__xludf.DUMMYFUNCTION("""COMPUTED_VALUE"""),270281.0)</f>
        <v>270281</v>
      </c>
    </row>
    <row r="1223">
      <c r="A1223" s="20">
        <f>IFERROR(__xludf.DUMMYFUNCTION("""COMPUTED_VALUE"""),1342.0)</f>
        <v>1342</v>
      </c>
      <c r="B1223" s="20" t="str">
        <f>IFERROR(__xludf.DUMMYFUNCTION("""COMPUTED_VALUE"""),"Queens That Can Attack the King")</f>
        <v>Queens That Can Attack the King</v>
      </c>
      <c r="C1223" s="20" t="str">
        <f>IFERROR(__xludf.DUMMYFUNCTION("""COMPUTED_VALUE"""),"queens-that-can-attack-the-king")</f>
        <v>queens-that-can-attack-the-king</v>
      </c>
      <c r="D1223" s="20" t="b">
        <f>IFERROR(__xludf.DUMMYFUNCTION("""COMPUTED_VALUE"""),FALSE)</f>
        <v>0</v>
      </c>
      <c r="E1223" s="20" t="str">
        <f>IFERROR(__xludf.DUMMYFUNCTION("""COMPUTED_VALUE"""),"Medium")</f>
        <v>Medium</v>
      </c>
      <c r="F1223" s="20">
        <f>IFERROR(__xludf.DUMMYFUNCTION("""COMPUTED_VALUE"""),799.0)</f>
        <v>799</v>
      </c>
      <c r="G1223" s="20">
        <f>IFERROR(__xludf.DUMMYFUNCTION("""COMPUTED_VALUE"""),139.0)</f>
        <v>139</v>
      </c>
      <c r="H1223" s="20" t="str">
        <f>IFERROR(__xludf.DUMMYFUNCTION("""COMPUTED_VALUE"""),"Algorithms")</f>
        <v>Algorithms</v>
      </c>
      <c r="I1223" s="20">
        <f>IFERROR(__xludf.DUMMYFUNCTION("""COMPUTED_VALUE"""),0.718)</f>
        <v>0.718</v>
      </c>
      <c r="J1223" s="20">
        <f>IFERROR(__xludf.DUMMYFUNCTION("""COMPUTED_VALUE"""),1222.0)</f>
        <v>1222</v>
      </c>
      <c r="K1223" s="20" t="b">
        <f>IFERROR(__xludf.DUMMYFUNCTION("""COMPUTED_VALUE"""),FALSE)</f>
        <v>0</v>
      </c>
      <c r="L1223" s="20" t="str">
        <f>IFERROR(__xludf.DUMMYFUNCTION("""COMPUTED_VALUE"""),"Array;Matrix;Simulation;")</f>
        <v>Array;Matrix;Simulation;</v>
      </c>
      <c r="M1223" s="20" t="b">
        <f>IFERROR(__xludf.DUMMYFUNCTION("""COMPUTED_VALUE"""),FALSE)</f>
        <v>0</v>
      </c>
      <c r="N1223" s="20" t="b">
        <f>IFERROR(__xludf.DUMMYFUNCTION("""COMPUTED_VALUE"""),FALSE)</f>
        <v>0</v>
      </c>
      <c r="O1223" s="20">
        <f>IFERROR(__xludf.DUMMYFUNCTION("""COMPUTED_VALUE"""),71.8399170471993)</f>
        <v>71.83991705</v>
      </c>
      <c r="P1223" s="20">
        <f>IFERROR(__xludf.DUMMYFUNCTION("""COMPUTED_VALUE"""),36027.0)</f>
        <v>36027</v>
      </c>
      <c r="Q1223" s="20">
        <f>IFERROR(__xludf.DUMMYFUNCTION("""COMPUTED_VALUE"""),50149.0)</f>
        <v>50149</v>
      </c>
    </row>
    <row r="1224">
      <c r="A1224" s="20">
        <f>IFERROR(__xludf.DUMMYFUNCTION("""COMPUTED_VALUE"""),1343.0)</f>
        <v>1343</v>
      </c>
      <c r="B1224" s="20" t="str">
        <f>IFERROR(__xludf.DUMMYFUNCTION("""COMPUTED_VALUE"""),"Dice Roll Simulation")</f>
        <v>Dice Roll Simulation</v>
      </c>
      <c r="C1224" s="20" t="str">
        <f>IFERROR(__xludf.DUMMYFUNCTION("""COMPUTED_VALUE"""),"dice-roll-simulation")</f>
        <v>dice-roll-simulation</v>
      </c>
      <c r="D1224" s="20" t="b">
        <f>IFERROR(__xludf.DUMMYFUNCTION("""COMPUTED_VALUE"""),FALSE)</f>
        <v>0</v>
      </c>
      <c r="E1224" s="20" t="str">
        <f>IFERROR(__xludf.DUMMYFUNCTION("""COMPUTED_VALUE"""),"Hard")</f>
        <v>Hard</v>
      </c>
      <c r="F1224" s="20">
        <f>IFERROR(__xludf.DUMMYFUNCTION("""COMPUTED_VALUE"""),809.0)</f>
        <v>809</v>
      </c>
      <c r="G1224" s="20">
        <f>IFERROR(__xludf.DUMMYFUNCTION("""COMPUTED_VALUE"""),183.0)</f>
        <v>183</v>
      </c>
      <c r="H1224" s="20" t="str">
        <f>IFERROR(__xludf.DUMMYFUNCTION("""COMPUTED_VALUE"""),"Algorithms")</f>
        <v>Algorithms</v>
      </c>
      <c r="I1224" s="20">
        <f>IFERROR(__xludf.DUMMYFUNCTION("""COMPUTED_VALUE"""),0.485)</f>
        <v>0.485</v>
      </c>
      <c r="J1224" s="20">
        <f>IFERROR(__xludf.DUMMYFUNCTION("""COMPUTED_VALUE"""),1223.0)</f>
        <v>1223</v>
      </c>
      <c r="K1224" s="20" t="b">
        <f>IFERROR(__xludf.DUMMYFUNCTION("""COMPUTED_VALUE"""),FALSE)</f>
        <v>0</v>
      </c>
      <c r="L1224" s="20" t="str">
        <f>IFERROR(__xludf.DUMMYFUNCTION("""COMPUTED_VALUE"""),"Array;Dynamic Programming;")</f>
        <v>Array;Dynamic Programming;</v>
      </c>
      <c r="M1224" s="20" t="b">
        <f>IFERROR(__xludf.DUMMYFUNCTION("""COMPUTED_VALUE"""),FALSE)</f>
        <v>0</v>
      </c>
      <c r="N1224" s="20" t="b">
        <f>IFERROR(__xludf.DUMMYFUNCTION("""COMPUTED_VALUE"""),FALSE)</f>
        <v>0</v>
      </c>
      <c r="O1224" s="20">
        <f>IFERROR(__xludf.DUMMYFUNCTION("""COMPUTED_VALUE"""),48.5485268630849)</f>
        <v>48.54852686</v>
      </c>
      <c r="P1224" s="20">
        <f>IFERROR(__xludf.DUMMYFUNCTION("""COMPUTED_VALUE"""),24651.0)</f>
        <v>24651</v>
      </c>
      <c r="Q1224" s="20">
        <f>IFERROR(__xludf.DUMMYFUNCTION("""COMPUTED_VALUE"""),50776.0)</f>
        <v>50776</v>
      </c>
    </row>
    <row r="1225">
      <c r="A1225" s="20">
        <f>IFERROR(__xludf.DUMMYFUNCTION("""COMPUTED_VALUE"""),1344.0)</f>
        <v>1344</v>
      </c>
      <c r="B1225" s="20" t="str">
        <f>IFERROR(__xludf.DUMMYFUNCTION("""COMPUTED_VALUE"""),"Maximum Equal Frequency")</f>
        <v>Maximum Equal Frequency</v>
      </c>
      <c r="C1225" s="20" t="str">
        <f>IFERROR(__xludf.DUMMYFUNCTION("""COMPUTED_VALUE"""),"maximum-equal-frequency")</f>
        <v>maximum-equal-frequency</v>
      </c>
      <c r="D1225" s="20" t="b">
        <f>IFERROR(__xludf.DUMMYFUNCTION("""COMPUTED_VALUE"""),FALSE)</f>
        <v>0</v>
      </c>
      <c r="E1225" s="20" t="str">
        <f>IFERROR(__xludf.DUMMYFUNCTION("""COMPUTED_VALUE"""),"Hard")</f>
        <v>Hard</v>
      </c>
      <c r="F1225" s="20">
        <f>IFERROR(__xludf.DUMMYFUNCTION("""COMPUTED_VALUE"""),453.0)</f>
        <v>453</v>
      </c>
      <c r="G1225" s="20">
        <f>IFERROR(__xludf.DUMMYFUNCTION("""COMPUTED_VALUE"""),52.0)</f>
        <v>52</v>
      </c>
      <c r="H1225" s="20" t="str">
        <f>IFERROR(__xludf.DUMMYFUNCTION("""COMPUTED_VALUE"""),"Algorithms")</f>
        <v>Algorithms</v>
      </c>
      <c r="I1225" s="20">
        <f>IFERROR(__xludf.DUMMYFUNCTION("""COMPUTED_VALUE"""),0.371)</f>
        <v>0.371</v>
      </c>
      <c r="J1225" s="20">
        <f>IFERROR(__xludf.DUMMYFUNCTION("""COMPUTED_VALUE"""),1224.0)</f>
        <v>1224</v>
      </c>
      <c r="K1225" s="20" t="b">
        <f>IFERROR(__xludf.DUMMYFUNCTION("""COMPUTED_VALUE"""),FALSE)</f>
        <v>0</v>
      </c>
      <c r="L1225" s="20" t="str">
        <f>IFERROR(__xludf.DUMMYFUNCTION("""COMPUTED_VALUE"""),"Array;Hash Table;")</f>
        <v>Array;Hash Table;</v>
      </c>
      <c r="M1225" s="20" t="b">
        <f>IFERROR(__xludf.DUMMYFUNCTION("""COMPUTED_VALUE"""),FALSE)</f>
        <v>0</v>
      </c>
      <c r="N1225" s="20" t="b">
        <f>IFERROR(__xludf.DUMMYFUNCTION("""COMPUTED_VALUE"""),FALSE)</f>
        <v>0</v>
      </c>
      <c r="O1225" s="20">
        <f>IFERROR(__xludf.DUMMYFUNCTION("""COMPUTED_VALUE"""),37.0858567866049)</f>
        <v>37.08585679</v>
      </c>
      <c r="P1225" s="20">
        <f>IFERROR(__xludf.DUMMYFUNCTION("""COMPUTED_VALUE"""),12492.0)</f>
        <v>12492</v>
      </c>
      <c r="Q1225" s="20">
        <f>IFERROR(__xludf.DUMMYFUNCTION("""COMPUTED_VALUE"""),33684.0)</f>
        <v>33684</v>
      </c>
    </row>
    <row r="1226">
      <c r="A1226" s="20">
        <f>IFERROR(__xludf.DUMMYFUNCTION("""COMPUTED_VALUE"""),1357.0)</f>
        <v>1357</v>
      </c>
      <c r="B1226" s="20" t="str">
        <f>IFERROR(__xludf.DUMMYFUNCTION("""COMPUTED_VALUE"""),"Report Contiguous Dates")</f>
        <v>Report Contiguous Dates</v>
      </c>
      <c r="C1226" s="20" t="str">
        <f>IFERROR(__xludf.DUMMYFUNCTION("""COMPUTED_VALUE"""),"report-contiguous-dates")</f>
        <v>report-contiguous-dates</v>
      </c>
      <c r="D1226" s="20" t="b">
        <f>IFERROR(__xludf.DUMMYFUNCTION("""COMPUTED_VALUE"""),TRUE)</f>
        <v>1</v>
      </c>
      <c r="E1226" s="20" t="str">
        <f>IFERROR(__xludf.DUMMYFUNCTION("""COMPUTED_VALUE"""),"Hard")</f>
        <v>Hard</v>
      </c>
      <c r="F1226" s="20">
        <f>IFERROR(__xludf.DUMMYFUNCTION("""COMPUTED_VALUE"""),259.0)</f>
        <v>259</v>
      </c>
      <c r="G1226" s="20">
        <f>IFERROR(__xludf.DUMMYFUNCTION("""COMPUTED_VALUE"""),20.0)</f>
        <v>20</v>
      </c>
      <c r="H1226" s="20" t="str">
        <f>IFERROR(__xludf.DUMMYFUNCTION("""COMPUTED_VALUE"""),"Database")</f>
        <v>Database</v>
      </c>
      <c r="I1226" s="20">
        <f>IFERROR(__xludf.DUMMYFUNCTION("""COMPUTED_VALUE"""),0.63)</f>
        <v>0.63</v>
      </c>
      <c r="J1226" s="20">
        <f>IFERROR(__xludf.DUMMYFUNCTION("""COMPUTED_VALUE"""),1225.0)</f>
        <v>1225</v>
      </c>
      <c r="K1226" s="20" t="b">
        <f>IFERROR(__xludf.DUMMYFUNCTION("""COMPUTED_VALUE"""),TRUE)</f>
        <v>1</v>
      </c>
      <c r="L1226" s="20" t="str">
        <f>IFERROR(__xludf.DUMMYFUNCTION("""COMPUTED_VALUE"""),"Database;")</f>
        <v>Database;</v>
      </c>
      <c r="M1226" s="20" t="b">
        <f>IFERROR(__xludf.DUMMYFUNCTION("""COMPUTED_VALUE"""),FALSE)</f>
        <v>0</v>
      </c>
      <c r="N1226" s="20" t="b">
        <f>IFERROR(__xludf.DUMMYFUNCTION("""COMPUTED_VALUE"""),FALSE)</f>
        <v>0</v>
      </c>
      <c r="O1226" s="20">
        <f>IFERROR(__xludf.DUMMYFUNCTION("""COMPUTED_VALUE"""),63.0327501121579)</f>
        <v>63.03275011</v>
      </c>
      <c r="P1226" s="20">
        <f>IFERROR(__xludf.DUMMYFUNCTION("""COMPUTED_VALUE"""),16860.0)</f>
        <v>16860</v>
      </c>
      <c r="Q1226" s="20">
        <f>IFERROR(__xludf.DUMMYFUNCTION("""COMPUTED_VALUE"""),26748.0)</f>
        <v>26748</v>
      </c>
    </row>
    <row r="1227">
      <c r="A1227" s="20">
        <f>IFERROR(__xludf.DUMMYFUNCTION("""COMPUTED_VALUE"""),1340.0)</f>
        <v>1340</v>
      </c>
      <c r="B1227" s="20" t="str">
        <f>IFERROR(__xludf.DUMMYFUNCTION("""COMPUTED_VALUE"""),"The Dining Philosophers")</f>
        <v>The Dining Philosophers</v>
      </c>
      <c r="C1227" s="20" t="str">
        <f>IFERROR(__xludf.DUMMYFUNCTION("""COMPUTED_VALUE"""),"the-dining-philosophers")</f>
        <v>the-dining-philosophers</v>
      </c>
      <c r="D1227" s="20" t="b">
        <f>IFERROR(__xludf.DUMMYFUNCTION("""COMPUTED_VALUE"""),FALSE)</f>
        <v>0</v>
      </c>
      <c r="E1227" s="20" t="str">
        <f>IFERROR(__xludf.DUMMYFUNCTION("""COMPUTED_VALUE"""),"Medium")</f>
        <v>Medium</v>
      </c>
      <c r="F1227" s="20">
        <f>IFERROR(__xludf.DUMMYFUNCTION("""COMPUTED_VALUE"""),244.0)</f>
        <v>244</v>
      </c>
      <c r="G1227" s="20">
        <f>IFERROR(__xludf.DUMMYFUNCTION("""COMPUTED_VALUE"""),253.0)</f>
        <v>253</v>
      </c>
      <c r="H1227" s="20" t="str">
        <f>IFERROR(__xludf.DUMMYFUNCTION("""COMPUTED_VALUE"""),"Concurrency")</f>
        <v>Concurrency</v>
      </c>
      <c r="I1227" s="20">
        <f>IFERROR(__xludf.DUMMYFUNCTION("""COMPUTED_VALUE"""),0.565)</f>
        <v>0.565</v>
      </c>
      <c r="J1227" s="20">
        <f>IFERROR(__xludf.DUMMYFUNCTION("""COMPUTED_VALUE"""),1226.0)</f>
        <v>1226</v>
      </c>
      <c r="K1227" s="20" t="b">
        <f>IFERROR(__xludf.DUMMYFUNCTION("""COMPUTED_VALUE"""),FALSE)</f>
        <v>0</v>
      </c>
      <c r="L1227" s="20" t="str">
        <f>IFERROR(__xludf.DUMMYFUNCTION("""COMPUTED_VALUE"""),"Concurrency;")</f>
        <v>Concurrency;</v>
      </c>
      <c r="M1227" s="20" t="b">
        <f>IFERROR(__xludf.DUMMYFUNCTION("""COMPUTED_VALUE"""),FALSE)</f>
        <v>0</v>
      </c>
      <c r="N1227" s="20" t="b">
        <f>IFERROR(__xludf.DUMMYFUNCTION("""COMPUTED_VALUE"""),FALSE)</f>
        <v>0</v>
      </c>
      <c r="O1227" s="20">
        <f>IFERROR(__xludf.DUMMYFUNCTION("""COMPUTED_VALUE"""),56.5204592287312)</f>
        <v>56.52045923</v>
      </c>
      <c r="P1227" s="20">
        <f>IFERROR(__xludf.DUMMYFUNCTION("""COMPUTED_VALUE"""),23040.0)</f>
        <v>23040</v>
      </c>
      <c r="Q1227" s="20">
        <f>IFERROR(__xludf.DUMMYFUNCTION("""COMPUTED_VALUE"""),40764.0)</f>
        <v>40764</v>
      </c>
    </row>
    <row r="1228">
      <c r="A1228" s="20">
        <f>IFERROR(__xludf.DUMMYFUNCTION("""COMPUTED_VALUE"""),1362.0)</f>
        <v>1362</v>
      </c>
      <c r="B1228" s="20" t="str">
        <f>IFERROR(__xludf.DUMMYFUNCTION("""COMPUTED_VALUE"""),"Airplane Seat Assignment Probability")</f>
        <v>Airplane Seat Assignment Probability</v>
      </c>
      <c r="C1228" s="20" t="str">
        <f>IFERROR(__xludf.DUMMYFUNCTION("""COMPUTED_VALUE"""),"airplane-seat-assignment-probability")</f>
        <v>airplane-seat-assignment-probability</v>
      </c>
      <c r="D1228" s="20" t="b">
        <f>IFERROR(__xludf.DUMMYFUNCTION("""COMPUTED_VALUE"""),FALSE)</f>
        <v>0</v>
      </c>
      <c r="E1228" s="20" t="str">
        <f>IFERROR(__xludf.DUMMYFUNCTION("""COMPUTED_VALUE"""),"Medium")</f>
        <v>Medium</v>
      </c>
      <c r="F1228" s="20">
        <f>IFERROR(__xludf.DUMMYFUNCTION("""COMPUTED_VALUE"""),462.0)</f>
        <v>462</v>
      </c>
      <c r="G1228" s="20">
        <f>IFERROR(__xludf.DUMMYFUNCTION("""COMPUTED_VALUE"""),787.0)</f>
        <v>787</v>
      </c>
      <c r="H1228" s="20" t="str">
        <f>IFERROR(__xludf.DUMMYFUNCTION("""COMPUTED_VALUE"""),"Algorithms")</f>
        <v>Algorithms</v>
      </c>
      <c r="I1228" s="20">
        <f>IFERROR(__xludf.DUMMYFUNCTION("""COMPUTED_VALUE"""),0.65)</f>
        <v>0.65</v>
      </c>
      <c r="J1228" s="20">
        <f>IFERROR(__xludf.DUMMYFUNCTION("""COMPUTED_VALUE"""),1227.0)</f>
        <v>1227</v>
      </c>
      <c r="K1228" s="20" t="b">
        <f>IFERROR(__xludf.DUMMYFUNCTION("""COMPUTED_VALUE"""),FALSE)</f>
        <v>0</v>
      </c>
      <c r="L1228" s="20" t="str">
        <f>IFERROR(__xludf.DUMMYFUNCTION("""COMPUTED_VALUE"""),"Math;Dynamic Programming;Brainteaser;Probability and Statistics;")</f>
        <v>Math;Dynamic Programming;Brainteaser;Probability and Statistics;</v>
      </c>
      <c r="M1228" s="20" t="b">
        <f>IFERROR(__xludf.DUMMYFUNCTION("""COMPUTED_VALUE"""),FALSE)</f>
        <v>0</v>
      </c>
      <c r="N1228" s="20" t="b">
        <f>IFERROR(__xludf.DUMMYFUNCTION("""COMPUTED_VALUE"""),FALSE)</f>
        <v>0</v>
      </c>
      <c r="O1228" s="20">
        <f>IFERROR(__xludf.DUMMYFUNCTION("""COMPUTED_VALUE"""),64.9732620320855)</f>
        <v>64.97326203</v>
      </c>
      <c r="P1228" s="20">
        <f>IFERROR(__xludf.DUMMYFUNCTION("""COMPUTED_VALUE"""),30128.0)</f>
        <v>30128</v>
      </c>
      <c r="Q1228" s="20">
        <f>IFERROR(__xludf.DUMMYFUNCTION("""COMPUTED_VALUE"""),46371.0)</f>
        <v>46371</v>
      </c>
    </row>
    <row r="1229">
      <c r="A1229" s="20">
        <f>IFERROR(__xludf.DUMMYFUNCTION("""COMPUTED_VALUE"""),1164.0)</f>
        <v>1164</v>
      </c>
      <c r="B1229" s="20" t="str">
        <f>IFERROR(__xludf.DUMMYFUNCTION("""COMPUTED_VALUE"""),"Missing Number In Arithmetic Progression")</f>
        <v>Missing Number In Arithmetic Progression</v>
      </c>
      <c r="C1229" s="20" t="str">
        <f>IFERROR(__xludf.DUMMYFUNCTION("""COMPUTED_VALUE"""),"missing-number-in-arithmetic-progression")</f>
        <v>missing-number-in-arithmetic-progression</v>
      </c>
      <c r="D1229" s="20" t="b">
        <f>IFERROR(__xludf.DUMMYFUNCTION("""COMPUTED_VALUE"""),TRUE)</f>
        <v>1</v>
      </c>
      <c r="E1229" s="20" t="str">
        <f>IFERROR(__xludf.DUMMYFUNCTION("""COMPUTED_VALUE"""),"Easy")</f>
        <v>Easy</v>
      </c>
      <c r="F1229" s="20">
        <f>IFERROR(__xludf.DUMMYFUNCTION("""COMPUTED_VALUE"""),269.0)</f>
        <v>269</v>
      </c>
      <c r="G1229" s="20">
        <f>IFERROR(__xludf.DUMMYFUNCTION("""COMPUTED_VALUE"""),36.0)</f>
        <v>36</v>
      </c>
      <c r="H1229" s="20" t="str">
        <f>IFERROR(__xludf.DUMMYFUNCTION("""COMPUTED_VALUE"""),"Algorithms")</f>
        <v>Algorithms</v>
      </c>
      <c r="I1229" s="20">
        <f>IFERROR(__xludf.DUMMYFUNCTION("""COMPUTED_VALUE"""),0.514)</f>
        <v>0.514</v>
      </c>
      <c r="J1229" s="20">
        <f>IFERROR(__xludf.DUMMYFUNCTION("""COMPUTED_VALUE"""),1228.0)</f>
        <v>1228</v>
      </c>
      <c r="K1229" s="20" t="b">
        <f>IFERROR(__xludf.DUMMYFUNCTION("""COMPUTED_VALUE"""),TRUE)</f>
        <v>1</v>
      </c>
      <c r="L1229" s="20" t="str">
        <f>IFERROR(__xludf.DUMMYFUNCTION("""COMPUTED_VALUE"""),"Array;Math;")</f>
        <v>Array;Math;</v>
      </c>
      <c r="M1229" s="20" t="b">
        <f>IFERROR(__xludf.DUMMYFUNCTION("""COMPUTED_VALUE"""),TRUE)</f>
        <v>1</v>
      </c>
      <c r="N1229" s="20" t="b">
        <f>IFERROR(__xludf.DUMMYFUNCTION("""COMPUTED_VALUE"""),TRUE)</f>
        <v>1</v>
      </c>
      <c r="O1229" s="20">
        <f>IFERROR(__xludf.DUMMYFUNCTION("""COMPUTED_VALUE"""),51.4411817690506)</f>
        <v>51.44118177</v>
      </c>
      <c r="P1229" s="20">
        <f>IFERROR(__xludf.DUMMYFUNCTION("""COMPUTED_VALUE"""),22844.0)</f>
        <v>22844</v>
      </c>
      <c r="Q1229" s="20">
        <f>IFERROR(__xludf.DUMMYFUNCTION("""COMPUTED_VALUE"""),44408.0)</f>
        <v>44408</v>
      </c>
    </row>
    <row r="1230">
      <c r="A1230" s="20">
        <f>IFERROR(__xludf.DUMMYFUNCTION("""COMPUTED_VALUE"""),1165.0)</f>
        <v>1165</v>
      </c>
      <c r="B1230" s="20" t="str">
        <f>IFERROR(__xludf.DUMMYFUNCTION("""COMPUTED_VALUE"""),"Meeting Scheduler")</f>
        <v>Meeting Scheduler</v>
      </c>
      <c r="C1230" s="20" t="str">
        <f>IFERROR(__xludf.DUMMYFUNCTION("""COMPUTED_VALUE"""),"meeting-scheduler")</f>
        <v>meeting-scheduler</v>
      </c>
      <c r="D1230" s="20" t="b">
        <f>IFERROR(__xludf.DUMMYFUNCTION("""COMPUTED_VALUE"""),TRUE)</f>
        <v>1</v>
      </c>
      <c r="E1230" s="20" t="str">
        <f>IFERROR(__xludf.DUMMYFUNCTION("""COMPUTED_VALUE"""),"Medium")</f>
        <v>Medium</v>
      </c>
      <c r="F1230" s="20">
        <f>IFERROR(__xludf.DUMMYFUNCTION("""COMPUTED_VALUE"""),805.0)</f>
        <v>805</v>
      </c>
      <c r="G1230" s="20">
        <f>IFERROR(__xludf.DUMMYFUNCTION("""COMPUTED_VALUE"""),30.0)</f>
        <v>30</v>
      </c>
      <c r="H1230" s="20" t="str">
        <f>IFERROR(__xludf.DUMMYFUNCTION("""COMPUTED_VALUE"""),"Algorithms")</f>
        <v>Algorithms</v>
      </c>
      <c r="I1230" s="20">
        <f>IFERROR(__xludf.DUMMYFUNCTION("""COMPUTED_VALUE"""),0.553)</f>
        <v>0.553</v>
      </c>
      <c r="J1230" s="20">
        <f>IFERROR(__xludf.DUMMYFUNCTION("""COMPUTED_VALUE"""),1229.0)</f>
        <v>1229</v>
      </c>
      <c r="K1230" s="20" t="b">
        <f>IFERROR(__xludf.DUMMYFUNCTION("""COMPUTED_VALUE"""),TRUE)</f>
        <v>1</v>
      </c>
      <c r="L1230" s="20" t="str">
        <f>IFERROR(__xludf.DUMMYFUNCTION("""COMPUTED_VALUE"""),"Array;Two Pointers;Sorting;")</f>
        <v>Array;Two Pointers;Sorting;</v>
      </c>
      <c r="M1230" s="20" t="b">
        <f>IFERROR(__xludf.DUMMYFUNCTION("""COMPUTED_VALUE"""),TRUE)</f>
        <v>1</v>
      </c>
      <c r="N1230" s="20" t="b">
        <f>IFERROR(__xludf.DUMMYFUNCTION("""COMPUTED_VALUE"""),FALSE)</f>
        <v>0</v>
      </c>
      <c r="O1230" s="20">
        <f>IFERROR(__xludf.DUMMYFUNCTION("""COMPUTED_VALUE"""),55.2845198803045)</f>
        <v>55.28451988</v>
      </c>
      <c r="P1230" s="20">
        <f>IFERROR(__xludf.DUMMYFUNCTION("""COMPUTED_VALUE"""),68173.0)</f>
        <v>68173</v>
      </c>
      <c r="Q1230" s="20">
        <f>IFERROR(__xludf.DUMMYFUNCTION("""COMPUTED_VALUE"""),123313.0)</f>
        <v>123313</v>
      </c>
    </row>
    <row r="1231">
      <c r="A1231" s="20">
        <f>IFERROR(__xludf.DUMMYFUNCTION("""COMPUTED_VALUE"""),1166.0)</f>
        <v>1166</v>
      </c>
      <c r="B1231" s="20" t="str">
        <f>IFERROR(__xludf.DUMMYFUNCTION("""COMPUTED_VALUE"""),"Toss Strange Coins")</f>
        <v>Toss Strange Coins</v>
      </c>
      <c r="C1231" s="20" t="str">
        <f>IFERROR(__xludf.DUMMYFUNCTION("""COMPUTED_VALUE"""),"toss-strange-coins")</f>
        <v>toss-strange-coins</v>
      </c>
      <c r="D1231" s="20" t="b">
        <f>IFERROR(__xludf.DUMMYFUNCTION("""COMPUTED_VALUE"""),TRUE)</f>
        <v>1</v>
      </c>
      <c r="E1231" s="20" t="str">
        <f>IFERROR(__xludf.DUMMYFUNCTION("""COMPUTED_VALUE"""),"Medium")</f>
        <v>Medium</v>
      </c>
      <c r="F1231" s="20">
        <f>IFERROR(__xludf.DUMMYFUNCTION("""COMPUTED_VALUE"""),261.0)</f>
        <v>261</v>
      </c>
      <c r="G1231" s="20">
        <f>IFERROR(__xludf.DUMMYFUNCTION("""COMPUTED_VALUE"""),30.0)</f>
        <v>30</v>
      </c>
      <c r="H1231" s="20" t="str">
        <f>IFERROR(__xludf.DUMMYFUNCTION("""COMPUTED_VALUE"""),"Algorithms")</f>
        <v>Algorithms</v>
      </c>
      <c r="I1231" s="20">
        <f>IFERROR(__xludf.DUMMYFUNCTION("""COMPUTED_VALUE"""),0.536)</f>
        <v>0.536</v>
      </c>
      <c r="J1231" s="20">
        <f>IFERROR(__xludf.DUMMYFUNCTION("""COMPUTED_VALUE"""),1230.0)</f>
        <v>1230</v>
      </c>
      <c r="K1231" s="20" t="b">
        <f>IFERROR(__xludf.DUMMYFUNCTION("""COMPUTED_VALUE"""),TRUE)</f>
        <v>1</v>
      </c>
      <c r="L1231" s="20" t="str">
        <f>IFERROR(__xludf.DUMMYFUNCTION("""COMPUTED_VALUE"""),"Math;Dynamic Programming;Probability and Statistics;")</f>
        <v>Math;Dynamic Programming;Probability and Statistics;</v>
      </c>
      <c r="M1231" s="20" t="b">
        <f>IFERROR(__xludf.DUMMYFUNCTION("""COMPUTED_VALUE"""),FALSE)</f>
        <v>0</v>
      </c>
      <c r="N1231" s="20" t="b">
        <f>IFERROR(__xludf.DUMMYFUNCTION("""COMPUTED_VALUE"""),FALSE)</f>
        <v>0</v>
      </c>
      <c r="O1231" s="20">
        <f>IFERROR(__xludf.DUMMYFUNCTION("""COMPUTED_VALUE"""),53.6457407078072)</f>
        <v>53.64574071</v>
      </c>
      <c r="P1231" s="20">
        <f>IFERROR(__xludf.DUMMYFUNCTION("""COMPUTED_VALUE"""),12066.0)</f>
        <v>12066</v>
      </c>
      <c r="Q1231" s="20">
        <f>IFERROR(__xludf.DUMMYFUNCTION("""COMPUTED_VALUE"""),22492.0)</f>
        <v>22492</v>
      </c>
    </row>
    <row r="1232">
      <c r="A1232" s="20">
        <f>IFERROR(__xludf.DUMMYFUNCTION("""COMPUTED_VALUE"""),1192.0)</f>
        <v>1192</v>
      </c>
      <c r="B1232" s="20" t="str">
        <f>IFERROR(__xludf.DUMMYFUNCTION("""COMPUTED_VALUE"""),"Divide Chocolate")</f>
        <v>Divide Chocolate</v>
      </c>
      <c r="C1232" s="20" t="str">
        <f>IFERROR(__xludf.DUMMYFUNCTION("""COMPUTED_VALUE"""),"divide-chocolate")</f>
        <v>divide-chocolate</v>
      </c>
      <c r="D1232" s="20" t="b">
        <f>IFERROR(__xludf.DUMMYFUNCTION("""COMPUTED_VALUE"""),TRUE)</f>
        <v>1</v>
      </c>
      <c r="E1232" s="20" t="str">
        <f>IFERROR(__xludf.DUMMYFUNCTION("""COMPUTED_VALUE"""),"Hard")</f>
        <v>Hard</v>
      </c>
      <c r="F1232" s="20">
        <f>IFERROR(__xludf.DUMMYFUNCTION("""COMPUTED_VALUE"""),830.0)</f>
        <v>830</v>
      </c>
      <c r="G1232" s="20">
        <f>IFERROR(__xludf.DUMMYFUNCTION("""COMPUTED_VALUE"""),49.0)</f>
        <v>49</v>
      </c>
      <c r="H1232" s="20" t="str">
        <f>IFERROR(__xludf.DUMMYFUNCTION("""COMPUTED_VALUE"""),"Algorithms")</f>
        <v>Algorithms</v>
      </c>
      <c r="I1232" s="20">
        <f>IFERROR(__xludf.DUMMYFUNCTION("""COMPUTED_VALUE"""),0.57)</f>
        <v>0.57</v>
      </c>
      <c r="J1232" s="20">
        <f>IFERROR(__xludf.DUMMYFUNCTION("""COMPUTED_VALUE"""),1231.0)</f>
        <v>1231</v>
      </c>
      <c r="K1232" s="20" t="b">
        <f>IFERROR(__xludf.DUMMYFUNCTION("""COMPUTED_VALUE"""),TRUE)</f>
        <v>1</v>
      </c>
      <c r="L1232" s="20" t="str">
        <f>IFERROR(__xludf.DUMMYFUNCTION("""COMPUTED_VALUE"""),"Array;Binary Search;")</f>
        <v>Array;Binary Search;</v>
      </c>
      <c r="M1232" s="20" t="b">
        <f>IFERROR(__xludf.DUMMYFUNCTION("""COMPUTED_VALUE"""),TRUE)</f>
        <v>1</v>
      </c>
      <c r="N1232" s="20" t="b">
        <f>IFERROR(__xludf.DUMMYFUNCTION("""COMPUTED_VALUE"""),FALSE)</f>
        <v>0</v>
      </c>
      <c r="O1232" s="20">
        <f>IFERROR(__xludf.DUMMYFUNCTION("""COMPUTED_VALUE"""),57.0405600384759)</f>
        <v>57.04056004</v>
      </c>
      <c r="P1232" s="20">
        <f>IFERROR(__xludf.DUMMYFUNCTION("""COMPUTED_VALUE"""),42696.0)</f>
        <v>42696</v>
      </c>
      <c r="Q1232" s="20">
        <f>IFERROR(__xludf.DUMMYFUNCTION("""COMPUTED_VALUE"""),74852.0)</f>
        <v>74852</v>
      </c>
    </row>
    <row r="1233">
      <c r="A1233" s="20">
        <f>IFERROR(__xludf.DUMMYFUNCTION("""COMPUTED_VALUE"""),1349.0)</f>
        <v>1349</v>
      </c>
      <c r="B1233" s="20" t="str">
        <f>IFERROR(__xludf.DUMMYFUNCTION("""COMPUTED_VALUE"""),"Check If It Is a Straight Line")</f>
        <v>Check If It Is a Straight Line</v>
      </c>
      <c r="C1233" s="20" t="str">
        <f>IFERROR(__xludf.DUMMYFUNCTION("""COMPUTED_VALUE"""),"check-if-it-is-a-straight-line")</f>
        <v>check-if-it-is-a-straight-line</v>
      </c>
      <c r="D1233" s="20" t="b">
        <f>IFERROR(__xludf.DUMMYFUNCTION("""COMPUTED_VALUE"""),FALSE)</f>
        <v>0</v>
      </c>
      <c r="E1233" s="20" t="str">
        <f>IFERROR(__xludf.DUMMYFUNCTION("""COMPUTED_VALUE"""),"Easy")</f>
        <v>Easy</v>
      </c>
      <c r="F1233" s="20">
        <f>IFERROR(__xludf.DUMMYFUNCTION("""COMPUTED_VALUE"""),1180.0)</f>
        <v>1180</v>
      </c>
      <c r="G1233" s="20">
        <f>IFERROR(__xludf.DUMMYFUNCTION("""COMPUTED_VALUE"""),173.0)</f>
        <v>173</v>
      </c>
      <c r="H1233" s="20" t="str">
        <f>IFERROR(__xludf.DUMMYFUNCTION("""COMPUTED_VALUE"""),"Algorithms")</f>
        <v>Algorithms</v>
      </c>
      <c r="I1233" s="20">
        <f>IFERROR(__xludf.DUMMYFUNCTION("""COMPUTED_VALUE"""),0.408)</f>
        <v>0.408</v>
      </c>
      <c r="J1233" s="20">
        <f>IFERROR(__xludf.DUMMYFUNCTION("""COMPUTED_VALUE"""),1232.0)</f>
        <v>1232</v>
      </c>
      <c r="K1233" s="20" t="b">
        <f>IFERROR(__xludf.DUMMYFUNCTION("""COMPUTED_VALUE"""),FALSE)</f>
        <v>0</v>
      </c>
      <c r="L1233" s="20" t="str">
        <f>IFERROR(__xludf.DUMMYFUNCTION("""COMPUTED_VALUE"""),"Array;Math;Geometry;")</f>
        <v>Array;Math;Geometry;</v>
      </c>
      <c r="M1233" s="20" t="b">
        <f>IFERROR(__xludf.DUMMYFUNCTION("""COMPUTED_VALUE"""),FALSE)</f>
        <v>0</v>
      </c>
      <c r="N1233" s="20" t="b">
        <f>IFERROR(__xludf.DUMMYFUNCTION("""COMPUTED_VALUE"""),FALSE)</f>
        <v>0</v>
      </c>
      <c r="O1233" s="20">
        <f>IFERROR(__xludf.DUMMYFUNCTION("""COMPUTED_VALUE"""),40.8116606423932)</f>
        <v>40.81166064</v>
      </c>
      <c r="P1233" s="20">
        <f>IFERROR(__xludf.DUMMYFUNCTION("""COMPUTED_VALUE"""),138877.0)</f>
        <v>138877</v>
      </c>
      <c r="Q1233" s="20">
        <f>IFERROR(__xludf.DUMMYFUNCTION("""COMPUTED_VALUE"""),340288.0)</f>
        <v>340288</v>
      </c>
    </row>
    <row r="1234">
      <c r="A1234" s="20">
        <f>IFERROR(__xludf.DUMMYFUNCTION("""COMPUTED_VALUE"""),1350.0)</f>
        <v>1350</v>
      </c>
      <c r="B1234" s="20" t="str">
        <f>IFERROR(__xludf.DUMMYFUNCTION("""COMPUTED_VALUE"""),"Remove Sub-Folders from the Filesystem")</f>
        <v>Remove Sub-Folders from the Filesystem</v>
      </c>
      <c r="C1234" s="20" t="str">
        <f>IFERROR(__xludf.DUMMYFUNCTION("""COMPUTED_VALUE"""),"remove-sub-folders-from-the-filesystem")</f>
        <v>remove-sub-folders-from-the-filesystem</v>
      </c>
      <c r="D1234" s="20" t="b">
        <f>IFERROR(__xludf.DUMMYFUNCTION("""COMPUTED_VALUE"""),FALSE)</f>
        <v>0</v>
      </c>
      <c r="E1234" s="20" t="str">
        <f>IFERROR(__xludf.DUMMYFUNCTION("""COMPUTED_VALUE"""),"Medium")</f>
        <v>Medium</v>
      </c>
      <c r="F1234" s="20">
        <f>IFERROR(__xludf.DUMMYFUNCTION("""COMPUTED_VALUE"""),687.0)</f>
        <v>687</v>
      </c>
      <c r="G1234" s="20">
        <f>IFERROR(__xludf.DUMMYFUNCTION("""COMPUTED_VALUE"""),92.0)</f>
        <v>92</v>
      </c>
      <c r="H1234" s="20" t="str">
        <f>IFERROR(__xludf.DUMMYFUNCTION("""COMPUTED_VALUE"""),"Algorithms")</f>
        <v>Algorithms</v>
      </c>
      <c r="I1234" s="20">
        <f>IFERROR(__xludf.DUMMYFUNCTION("""COMPUTED_VALUE"""),0.654)</f>
        <v>0.654</v>
      </c>
      <c r="J1234" s="20">
        <f>IFERROR(__xludf.DUMMYFUNCTION("""COMPUTED_VALUE"""),1233.0)</f>
        <v>1233</v>
      </c>
      <c r="K1234" s="20" t="b">
        <f>IFERROR(__xludf.DUMMYFUNCTION("""COMPUTED_VALUE"""),FALSE)</f>
        <v>0</v>
      </c>
      <c r="L1234" s="20" t="str">
        <f>IFERROR(__xludf.DUMMYFUNCTION("""COMPUTED_VALUE"""),"Array;String;Trie;")</f>
        <v>Array;String;Trie;</v>
      </c>
      <c r="M1234" s="20" t="b">
        <f>IFERROR(__xludf.DUMMYFUNCTION("""COMPUTED_VALUE"""),FALSE)</f>
        <v>0</v>
      </c>
      <c r="N1234" s="20" t="b">
        <f>IFERROR(__xludf.DUMMYFUNCTION("""COMPUTED_VALUE"""),FALSE)</f>
        <v>0</v>
      </c>
      <c r="O1234" s="20">
        <f>IFERROR(__xludf.DUMMYFUNCTION("""COMPUTED_VALUE"""),65.4421654337592)</f>
        <v>65.44216543</v>
      </c>
      <c r="P1234" s="20">
        <f>IFERROR(__xludf.DUMMYFUNCTION("""COMPUTED_VALUE"""),46710.0)</f>
        <v>46710</v>
      </c>
      <c r="Q1234" s="20">
        <f>IFERROR(__xludf.DUMMYFUNCTION("""COMPUTED_VALUE"""),71376.0)</f>
        <v>71376</v>
      </c>
    </row>
    <row r="1235">
      <c r="A1235" s="20">
        <f>IFERROR(__xludf.DUMMYFUNCTION("""COMPUTED_VALUE"""),1351.0)</f>
        <v>1351</v>
      </c>
      <c r="B1235" s="20" t="str">
        <f>IFERROR(__xludf.DUMMYFUNCTION("""COMPUTED_VALUE"""),"Replace the Substring for Balanced String")</f>
        <v>Replace the Substring for Balanced String</v>
      </c>
      <c r="C1235" s="20" t="str">
        <f>IFERROR(__xludf.DUMMYFUNCTION("""COMPUTED_VALUE"""),"replace-the-substring-for-balanced-string")</f>
        <v>replace-the-substring-for-balanced-string</v>
      </c>
      <c r="D1235" s="20" t="b">
        <f>IFERROR(__xludf.DUMMYFUNCTION("""COMPUTED_VALUE"""),FALSE)</f>
        <v>0</v>
      </c>
      <c r="E1235" s="20" t="str">
        <f>IFERROR(__xludf.DUMMYFUNCTION("""COMPUTED_VALUE"""),"Medium")</f>
        <v>Medium</v>
      </c>
      <c r="F1235" s="20">
        <f>IFERROR(__xludf.DUMMYFUNCTION("""COMPUTED_VALUE"""),945.0)</f>
        <v>945</v>
      </c>
      <c r="G1235" s="20">
        <f>IFERROR(__xludf.DUMMYFUNCTION("""COMPUTED_VALUE"""),180.0)</f>
        <v>180</v>
      </c>
      <c r="H1235" s="20" t="str">
        <f>IFERROR(__xludf.DUMMYFUNCTION("""COMPUTED_VALUE"""),"Algorithms")</f>
        <v>Algorithms</v>
      </c>
      <c r="I1235" s="20">
        <f>IFERROR(__xludf.DUMMYFUNCTION("""COMPUTED_VALUE"""),0.369)</f>
        <v>0.369</v>
      </c>
      <c r="J1235" s="20">
        <f>IFERROR(__xludf.DUMMYFUNCTION("""COMPUTED_VALUE"""),1234.0)</f>
        <v>1234</v>
      </c>
      <c r="K1235" s="20" t="b">
        <f>IFERROR(__xludf.DUMMYFUNCTION("""COMPUTED_VALUE"""),FALSE)</f>
        <v>0</v>
      </c>
      <c r="L1235" s="20" t="str">
        <f>IFERROR(__xludf.DUMMYFUNCTION("""COMPUTED_VALUE"""),"String;Sliding Window;")</f>
        <v>String;Sliding Window;</v>
      </c>
      <c r="M1235" s="20" t="b">
        <f>IFERROR(__xludf.DUMMYFUNCTION("""COMPUTED_VALUE"""),FALSE)</f>
        <v>0</v>
      </c>
      <c r="N1235" s="20" t="b">
        <f>IFERROR(__xludf.DUMMYFUNCTION("""COMPUTED_VALUE"""),FALSE)</f>
        <v>0</v>
      </c>
      <c r="O1235" s="20">
        <f>IFERROR(__xludf.DUMMYFUNCTION("""COMPUTED_VALUE"""),36.8879685350159)</f>
        <v>36.88796854</v>
      </c>
      <c r="P1235" s="20">
        <f>IFERROR(__xludf.DUMMYFUNCTION("""COMPUTED_VALUE"""),26542.0)</f>
        <v>26542</v>
      </c>
      <c r="Q1235" s="20">
        <f>IFERROR(__xludf.DUMMYFUNCTION("""COMPUTED_VALUE"""),71953.0)</f>
        <v>71953</v>
      </c>
    </row>
    <row r="1236">
      <c r="A1236" s="20">
        <f>IFERROR(__xludf.DUMMYFUNCTION("""COMPUTED_VALUE"""),1352.0)</f>
        <v>1352</v>
      </c>
      <c r="B1236" s="20" t="str">
        <f>IFERROR(__xludf.DUMMYFUNCTION("""COMPUTED_VALUE"""),"Maximum Profit in Job Scheduling")</f>
        <v>Maximum Profit in Job Scheduling</v>
      </c>
      <c r="C1236" s="20" t="str">
        <f>IFERROR(__xludf.DUMMYFUNCTION("""COMPUTED_VALUE"""),"maximum-profit-in-job-scheduling")</f>
        <v>maximum-profit-in-job-scheduling</v>
      </c>
      <c r="D1236" s="20" t="b">
        <f>IFERROR(__xludf.DUMMYFUNCTION("""COMPUTED_VALUE"""),FALSE)</f>
        <v>0</v>
      </c>
      <c r="E1236" s="20" t="str">
        <f>IFERROR(__xludf.DUMMYFUNCTION("""COMPUTED_VALUE"""),"Hard")</f>
        <v>Hard</v>
      </c>
      <c r="F1236" s="20">
        <f>IFERROR(__xludf.DUMMYFUNCTION("""COMPUTED_VALUE"""),4790.0)</f>
        <v>4790</v>
      </c>
      <c r="G1236" s="20">
        <f>IFERROR(__xludf.DUMMYFUNCTION("""COMPUTED_VALUE"""),55.0)</f>
        <v>55</v>
      </c>
      <c r="H1236" s="20" t="str">
        <f>IFERROR(__xludf.DUMMYFUNCTION("""COMPUTED_VALUE"""),"Algorithms")</f>
        <v>Algorithms</v>
      </c>
      <c r="I1236" s="20">
        <f>IFERROR(__xludf.DUMMYFUNCTION("""COMPUTED_VALUE"""),0.535)</f>
        <v>0.535</v>
      </c>
      <c r="J1236" s="20">
        <f>IFERROR(__xludf.DUMMYFUNCTION("""COMPUTED_VALUE"""),1235.0)</f>
        <v>1235</v>
      </c>
      <c r="K1236" s="20" t="b">
        <f>IFERROR(__xludf.DUMMYFUNCTION("""COMPUTED_VALUE"""),FALSE)</f>
        <v>0</v>
      </c>
      <c r="L1236" s="20" t="str">
        <f>IFERROR(__xludf.DUMMYFUNCTION("""COMPUTED_VALUE"""),"Array;Binary Search;Dynamic Programming;Sorting;")</f>
        <v>Array;Binary Search;Dynamic Programming;Sorting;</v>
      </c>
      <c r="M1236" s="20" t="b">
        <f>IFERROR(__xludf.DUMMYFUNCTION("""COMPUTED_VALUE"""),TRUE)</f>
        <v>1</v>
      </c>
      <c r="N1236" s="20" t="b">
        <f>IFERROR(__xludf.DUMMYFUNCTION("""COMPUTED_VALUE"""),FALSE)</f>
        <v>0</v>
      </c>
      <c r="O1236" s="20">
        <f>IFERROR(__xludf.DUMMYFUNCTION("""COMPUTED_VALUE"""),53.5310673439534)</f>
        <v>53.53106734</v>
      </c>
      <c r="P1236" s="20">
        <f>IFERROR(__xludf.DUMMYFUNCTION("""COMPUTED_VALUE"""),173460.0)</f>
        <v>173460</v>
      </c>
      <c r="Q1236" s="20">
        <f>IFERROR(__xludf.DUMMYFUNCTION("""COMPUTED_VALUE"""),324037.0)</f>
        <v>324037</v>
      </c>
    </row>
    <row r="1237">
      <c r="A1237" s="20">
        <f>IFERROR(__xludf.DUMMYFUNCTION("""COMPUTED_VALUE"""),1271.0)</f>
        <v>1271</v>
      </c>
      <c r="B1237" s="20" t="str">
        <f>IFERROR(__xludf.DUMMYFUNCTION("""COMPUTED_VALUE"""),"Web Crawler")</f>
        <v>Web Crawler</v>
      </c>
      <c r="C1237" s="20" t="str">
        <f>IFERROR(__xludf.DUMMYFUNCTION("""COMPUTED_VALUE"""),"web-crawler")</f>
        <v>web-crawler</v>
      </c>
      <c r="D1237" s="20" t="b">
        <f>IFERROR(__xludf.DUMMYFUNCTION("""COMPUTED_VALUE"""),TRUE)</f>
        <v>1</v>
      </c>
      <c r="E1237" s="20" t="str">
        <f>IFERROR(__xludf.DUMMYFUNCTION("""COMPUTED_VALUE"""),"Medium")</f>
        <v>Medium</v>
      </c>
      <c r="F1237" s="20">
        <f>IFERROR(__xludf.DUMMYFUNCTION("""COMPUTED_VALUE"""),210.0)</f>
        <v>210</v>
      </c>
      <c r="G1237" s="20">
        <f>IFERROR(__xludf.DUMMYFUNCTION("""COMPUTED_VALUE"""),249.0)</f>
        <v>249</v>
      </c>
      <c r="H1237" s="20" t="str">
        <f>IFERROR(__xludf.DUMMYFUNCTION("""COMPUTED_VALUE"""),"Algorithms")</f>
        <v>Algorithms</v>
      </c>
      <c r="I1237" s="20">
        <f>IFERROR(__xludf.DUMMYFUNCTION("""COMPUTED_VALUE"""),0.664)</f>
        <v>0.664</v>
      </c>
      <c r="J1237" s="20">
        <f>IFERROR(__xludf.DUMMYFUNCTION("""COMPUTED_VALUE"""),1236.0)</f>
        <v>1236</v>
      </c>
      <c r="K1237" s="20" t="b">
        <f>IFERROR(__xludf.DUMMYFUNCTION("""COMPUTED_VALUE"""),TRUE)</f>
        <v>1</v>
      </c>
      <c r="L1237" s="20" t="str">
        <f>IFERROR(__xludf.DUMMYFUNCTION("""COMPUTED_VALUE"""),"String;Depth-First Search;Breadth-First Search;Interactive;")</f>
        <v>String;Depth-First Search;Breadth-First Search;Interactive;</v>
      </c>
      <c r="M1237" s="20" t="b">
        <f>IFERROR(__xludf.DUMMYFUNCTION("""COMPUTED_VALUE"""),FALSE)</f>
        <v>0</v>
      </c>
      <c r="N1237" s="20" t="b">
        <f>IFERROR(__xludf.DUMMYFUNCTION("""COMPUTED_VALUE"""),FALSE)</f>
        <v>0</v>
      </c>
      <c r="O1237" s="20">
        <f>IFERROR(__xludf.DUMMYFUNCTION("""COMPUTED_VALUE"""),66.4225233841058)</f>
        <v>66.42252338</v>
      </c>
      <c r="P1237" s="20">
        <f>IFERROR(__xludf.DUMMYFUNCTION("""COMPUTED_VALUE"""),28476.0)</f>
        <v>28476</v>
      </c>
      <c r="Q1237" s="20">
        <f>IFERROR(__xludf.DUMMYFUNCTION("""COMPUTED_VALUE"""),42871.0)</f>
        <v>42871</v>
      </c>
    </row>
    <row r="1238">
      <c r="A1238" s="20">
        <f>IFERROR(__xludf.DUMMYFUNCTION("""COMPUTED_VALUE"""),1358.0)</f>
        <v>1358</v>
      </c>
      <c r="B1238" s="20" t="str">
        <f>IFERROR(__xludf.DUMMYFUNCTION("""COMPUTED_VALUE"""),"Find Positive Integer Solution for a Given Equation")</f>
        <v>Find Positive Integer Solution for a Given Equation</v>
      </c>
      <c r="C1238" s="20" t="str">
        <f>IFERROR(__xludf.DUMMYFUNCTION("""COMPUTED_VALUE"""),"find-positive-integer-solution-for-a-given-equation")</f>
        <v>find-positive-integer-solution-for-a-given-equation</v>
      </c>
      <c r="D1238" s="20" t="b">
        <f>IFERROR(__xludf.DUMMYFUNCTION("""COMPUTED_VALUE"""),FALSE)</f>
        <v>0</v>
      </c>
      <c r="E1238" s="20" t="str">
        <f>IFERROR(__xludf.DUMMYFUNCTION("""COMPUTED_VALUE"""),"Medium")</f>
        <v>Medium</v>
      </c>
      <c r="F1238" s="20">
        <f>IFERROR(__xludf.DUMMYFUNCTION("""COMPUTED_VALUE"""),414.0)</f>
        <v>414</v>
      </c>
      <c r="G1238" s="20">
        <f>IFERROR(__xludf.DUMMYFUNCTION("""COMPUTED_VALUE"""),1283.0)</f>
        <v>1283</v>
      </c>
      <c r="H1238" s="20" t="str">
        <f>IFERROR(__xludf.DUMMYFUNCTION("""COMPUTED_VALUE"""),"Algorithms")</f>
        <v>Algorithms</v>
      </c>
      <c r="I1238" s="20">
        <f>IFERROR(__xludf.DUMMYFUNCTION("""COMPUTED_VALUE"""),0.693)</f>
        <v>0.693</v>
      </c>
      <c r="J1238" s="20">
        <f>IFERROR(__xludf.DUMMYFUNCTION("""COMPUTED_VALUE"""),1237.0)</f>
        <v>1237</v>
      </c>
      <c r="K1238" s="20" t="b">
        <f>IFERROR(__xludf.DUMMYFUNCTION("""COMPUTED_VALUE"""),FALSE)</f>
        <v>0</v>
      </c>
      <c r="L1238" s="20" t="str">
        <f>IFERROR(__xludf.DUMMYFUNCTION("""COMPUTED_VALUE"""),"Math;Two Pointers;Binary Search;Interactive;")</f>
        <v>Math;Two Pointers;Binary Search;Interactive;</v>
      </c>
      <c r="M1238" s="20" t="b">
        <f>IFERROR(__xludf.DUMMYFUNCTION("""COMPUTED_VALUE"""),FALSE)</f>
        <v>0</v>
      </c>
      <c r="N1238" s="20" t="b">
        <f>IFERROR(__xludf.DUMMYFUNCTION("""COMPUTED_VALUE"""),FALSE)</f>
        <v>0</v>
      </c>
      <c r="O1238" s="20">
        <f>IFERROR(__xludf.DUMMYFUNCTION("""COMPUTED_VALUE"""),69.2861054413302)</f>
        <v>69.28610544</v>
      </c>
      <c r="P1238" s="20">
        <f>IFERROR(__xludf.DUMMYFUNCTION("""COMPUTED_VALUE"""),55670.0)</f>
        <v>55670</v>
      </c>
      <c r="Q1238" s="20">
        <f>IFERROR(__xludf.DUMMYFUNCTION("""COMPUTED_VALUE"""),80348.0)</f>
        <v>80348</v>
      </c>
    </row>
    <row r="1239">
      <c r="A1239" s="20">
        <f>IFERROR(__xludf.DUMMYFUNCTION("""COMPUTED_VALUE"""),1359.0)</f>
        <v>1359</v>
      </c>
      <c r="B1239" s="20" t="str">
        <f>IFERROR(__xludf.DUMMYFUNCTION("""COMPUTED_VALUE"""),"Circular Permutation in Binary Representation")</f>
        <v>Circular Permutation in Binary Representation</v>
      </c>
      <c r="C1239" s="20" t="str">
        <f>IFERROR(__xludf.DUMMYFUNCTION("""COMPUTED_VALUE"""),"circular-permutation-in-binary-representation")</f>
        <v>circular-permutation-in-binary-representation</v>
      </c>
      <c r="D1239" s="20" t="b">
        <f>IFERROR(__xludf.DUMMYFUNCTION("""COMPUTED_VALUE"""),FALSE)</f>
        <v>0</v>
      </c>
      <c r="E1239" s="20" t="str">
        <f>IFERROR(__xludf.DUMMYFUNCTION("""COMPUTED_VALUE"""),"Medium")</f>
        <v>Medium</v>
      </c>
      <c r="F1239" s="20">
        <f>IFERROR(__xludf.DUMMYFUNCTION("""COMPUTED_VALUE"""),321.0)</f>
        <v>321</v>
      </c>
      <c r="G1239" s="20">
        <f>IFERROR(__xludf.DUMMYFUNCTION("""COMPUTED_VALUE"""),171.0)</f>
        <v>171</v>
      </c>
      <c r="H1239" s="20" t="str">
        <f>IFERROR(__xludf.DUMMYFUNCTION("""COMPUTED_VALUE"""),"Algorithms")</f>
        <v>Algorithms</v>
      </c>
      <c r="I1239" s="20">
        <f>IFERROR(__xludf.DUMMYFUNCTION("""COMPUTED_VALUE"""),0.69)</f>
        <v>0.69</v>
      </c>
      <c r="J1239" s="20">
        <f>IFERROR(__xludf.DUMMYFUNCTION("""COMPUTED_VALUE"""),1238.0)</f>
        <v>1238</v>
      </c>
      <c r="K1239" s="20" t="b">
        <f>IFERROR(__xludf.DUMMYFUNCTION("""COMPUTED_VALUE"""),FALSE)</f>
        <v>0</v>
      </c>
      <c r="L1239" s="20" t="str">
        <f>IFERROR(__xludf.DUMMYFUNCTION("""COMPUTED_VALUE"""),"Math;Backtracking;Bit Manipulation;")</f>
        <v>Math;Backtracking;Bit Manipulation;</v>
      </c>
      <c r="M1239" s="20" t="b">
        <f>IFERROR(__xludf.DUMMYFUNCTION("""COMPUTED_VALUE"""),FALSE)</f>
        <v>0</v>
      </c>
      <c r="N1239" s="20" t="b">
        <f>IFERROR(__xludf.DUMMYFUNCTION("""COMPUTED_VALUE"""),FALSE)</f>
        <v>0</v>
      </c>
      <c r="O1239" s="20">
        <f>IFERROR(__xludf.DUMMYFUNCTION("""COMPUTED_VALUE"""),68.9733130191183)</f>
        <v>68.97331302</v>
      </c>
      <c r="P1239" s="20">
        <f>IFERROR(__xludf.DUMMYFUNCTION("""COMPUTED_VALUE"""),14034.0)</f>
        <v>14034</v>
      </c>
      <c r="Q1239" s="20">
        <f>IFERROR(__xludf.DUMMYFUNCTION("""COMPUTED_VALUE"""),20347.0)</f>
        <v>20347</v>
      </c>
    </row>
    <row r="1240">
      <c r="A1240" s="20">
        <f>IFERROR(__xludf.DUMMYFUNCTION("""COMPUTED_VALUE"""),1360.0)</f>
        <v>1360</v>
      </c>
      <c r="B1240" s="20" t="str">
        <f>IFERROR(__xludf.DUMMYFUNCTION("""COMPUTED_VALUE"""),"Maximum Length of a Concatenated String with Unique Characters")</f>
        <v>Maximum Length of a Concatenated String with Unique Characters</v>
      </c>
      <c r="C1240" s="20" t="str">
        <f>IFERROR(__xludf.DUMMYFUNCTION("""COMPUTED_VALUE"""),"maximum-length-of-a-concatenated-string-with-unique-characters")</f>
        <v>maximum-length-of-a-concatenated-string-with-unique-characters</v>
      </c>
      <c r="D1240" s="20" t="b">
        <f>IFERROR(__xludf.DUMMYFUNCTION("""COMPUTED_VALUE"""),FALSE)</f>
        <v>0</v>
      </c>
      <c r="E1240" s="20" t="str">
        <f>IFERROR(__xludf.DUMMYFUNCTION("""COMPUTED_VALUE"""),"Medium")</f>
        <v>Medium</v>
      </c>
      <c r="F1240" s="20">
        <f>IFERROR(__xludf.DUMMYFUNCTION("""COMPUTED_VALUE"""),3262.0)</f>
        <v>3262</v>
      </c>
      <c r="G1240" s="20">
        <f>IFERROR(__xludf.DUMMYFUNCTION("""COMPUTED_VALUE"""),229.0)</f>
        <v>229</v>
      </c>
      <c r="H1240" s="20" t="str">
        <f>IFERROR(__xludf.DUMMYFUNCTION("""COMPUTED_VALUE"""),"Algorithms")</f>
        <v>Algorithms</v>
      </c>
      <c r="I1240" s="20">
        <f>IFERROR(__xludf.DUMMYFUNCTION("""COMPUTED_VALUE"""),0.522)</f>
        <v>0.522</v>
      </c>
      <c r="J1240" s="20">
        <f>IFERROR(__xludf.DUMMYFUNCTION("""COMPUTED_VALUE"""),1239.0)</f>
        <v>1239</v>
      </c>
      <c r="K1240" s="20" t="b">
        <f>IFERROR(__xludf.DUMMYFUNCTION("""COMPUTED_VALUE"""),FALSE)</f>
        <v>0</v>
      </c>
      <c r="L1240" s="20" t="str">
        <f>IFERROR(__xludf.DUMMYFUNCTION("""COMPUTED_VALUE"""),"Array;String;Backtracking;Bit Manipulation;")</f>
        <v>Array;String;Backtracking;Bit Manipulation;</v>
      </c>
      <c r="M1240" s="20" t="b">
        <f>IFERROR(__xludf.DUMMYFUNCTION("""COMPUTED_VALUE"""),TRUE)</f>
        <v>1</v>
      </c>
      <c r="N1240" s="20" t="b">
        <f>IFERROR(__xludf.DUMMYFUNCTION("""COMPUTED_VALUE"""),FALSE)</f>
        <v>0</v>
      </c>
      <c r="O1240" s="20">
        <f>IFERROR(__xludf.DUMMYFUNCTION("""COMPUTED_VALUE"""),52.2185282370933)</f>
        <v>52.21852824</v>
      </c>
      <c r="P1240" s="20">
        <f>IFERROR(__xludf.DUMMYFUNCTION("""COMPUTED_VALUE"""),166963.0)</f>
        <v>166963</v>
      </c>
      <c r="Q1240" s="20">
        <f>IFERROR(__xludf.DUMMYFUNCTION("""COMPUTED_VALUE"""),319739.0)</f>
        <v>319739</v>
      </c>
    </row>
    <row r="1241">
      <c r="A1241" s="20">
        <f>IFERROR(__xludf.DUMMYFUNCTION("""COMPUTED_VALUE"""),1361.0)</f>
        <v>1361</v>
      </c>
      <c r="B1241" s="20" t="str">
        <f>IFERROR(__xludf.DUMMYFUNCTION("""COMPUTED_VALUE"""),"Tiling a Rectangle with the Fewest Squares")</f>
        <v>Tiling a Rectangle with the Fewest Squares</v>
      </c>
      <c r="C1241" s="20" t="str">
        <f>IFERROR(__xludf.DUMMYFUNCTION("""COMPUTED_VALUE"""),"tiling-a-rectangle-with-the-fewest-squares")</f>
        <v>tiling-a-rectangle-with-the-fewest-squares</v>
      </c>
      <c r="D1241" s="20" t="b">
        <f>IFERROR(__xludf.DUMMYFUNCTION("""COMPUTED_VALUE"""),FALSE)</f>
        <v>0</v>
      </c>
      <c r="E1241" s="20" t="str">
        <f>IFERROR(__xludf.DUMMYFUNCTION("""COMPUTED_VALUE"""),"Hard")</f>
        <v>Hard</v>
      </c>
      <c r="F1241" s="20">
        <f>IFERROR(__xludf.DUMMYFUNCTION("""COMPUTED_VALUE"""),580.0)</f>
        <v>580</v>
      </c>
      <c r="G1241" s="20">
        <f>IFERROR(__xludf.DUMMYFUNCTION("""COMPUTED_VALUE"""),529.0)</f>
        <v>529</v>
      </c>
      <c r="H1241" s="20" t="str">
        <f>IFERROR(__xludf.DUMMYFUNCTION("""COMPUTED_VALUE"""),"Algorithms")</f>
        <v>Algorithms</v>
      </c>
      <c r="I1241" s="20">
        <f>IFERROR(__xludf.DUMMYFUNCTION("""COMPUTED_VALUE"""),0.54)</f>
        <v>0.54</v>
      </c>
      <c r="J1241" s="20">
        <f>IFERROR(__xludf.DUMMYFUNCTION("""COMPUTED_VALUE"""),1240.0)</f>
        <v>1240</v>
      </c>
      <c r="K1241" s="20" t="b">
        <f>IFERROR(__xludf.DUMMYFUNCTION("""COMPUTED_VALUE"""),FALSE)</f>
        <v>0</v>
      </c>
      <c r="L1241" s="20" t="str">
        <f>IFERROR(__xludf.DUMMYFUNCTION("""COMPUTED_VALUE"""),"Dynamic Programming;Backtracking;")</f>
        <v>Dynamic Programming;Backtracking;</v>
      </c>
      <c r="M1241" s="20" t="b">
        <f>IFERROR(__xludf.DUMMYFUNCTION("""COMPUTED_VALUE"""),FALSE)</f>
        <v>0</v>
      </c>
      <c r="N1241" s="20" t="b">
        <f>IFERROR(__xludf.DUMMYFUNCTION("""COMPUTED_VALUE"""),FALSE)</f>
        <v>0</v>
      </c>
      <c r="O1241" s="20">
        <f>IFERROR(__xludf.DUMMYFUNCTION("""COMPUTED_VALUE"""),53.9967457837237)</f>
        <v>53.99674578</v>
      </c>
      <c r="P1241" s="20">
        <f>IFERROR(__xludf.DUMMYFUNCTION("""COMPUTED_VALUE"""),20907.0)</f>
        <v>20907</v>
      </c>
      <c r="Q1241" s="20">
        <f>IFERROR(__xludf.DUMMYFUNCTION("""COMPUTED_VALUE"""),38719.0)</f>
        <v>38719</v>
      </c>
    </row>
    <row r="1242">
      <c r="A1242" s="20">
        <f>IFERROR(__xludf.DUMMYFUNCTION("""COMPUTED_VALUE"""),1377.0)</f>
        <v>1377</v>
      </c>
      <c r="B1242" s="20" t="str">
        <f>IFERROR(__xludf.DUMMYFUNCTION("""COMPUTED_VALUE"""),"Number of Comments per Post")</f>
        <v>Number of Comments per Post</v>
      </c>
      <c r="C1242" s="20" t="str">
        <f>IFERROR(__xludf.DUMMYFUNCTION("""COMPUTED_VALUE"""),"number-of-comments-per-post")</f>
        <v>number-of-comments-per-post</v>
      </c>
      <c r="D1242" s="20" t="b">
        <f>IFERROR(__xludf.DUMMYFUNCTION("""COMPUTED_VALUE"""),TRUE)</f>
        <v>1</v>
      </c>
      <c r="E1242" s="20" t="str">
        <f>IFERROR(__xludf.DUMMYFUNCTION("""COMPUTED_VALUE"""),"Easy")</f>
        <v>Easy</v>
      </c>
      <c r="F1242" s="20">
        <f>IFERROR(__xludf.DUMMYFUNCTION("""COMPUTED_VALUE"""),148.0)</f>
        <v>148</v>
      </c>
      <c r="G1242" s="20">
        <f>IFERROR(__xludf.DUMMYFUNCTION("""COMPUTED_VALUE"""),464.0)</f>
        <v>464</v>
      </c>
      <c r="H1242" s="20" t="str">
        <f>IFERROR(__xludf.DUMMYFUNCTION("""COMPUTED_VALUE"""),"Database")</f>
        <v>Database</v>
      </c>
      <c r="I1242" s="20">
        <f>IFERROR(__xludf.DUMMYFUNCTION("""COMPUTED_VALUE"""),0.674)</f>
        <v>0.674</v>
      </c>
      <c r="J1242" s="20">
        <f>IFERROR(__xludf.DUMMYFUNCTION("""COMPUTED_VALUE"""),1241.0)</f>
        <v>1241</v>
      </c>
      <c r="K1242" s="20" t="b">
        <f>IFERROR(__xludf.DUMMYFUNCTION("""COMPUTED_VALUE"""),TRUE)</f>
        <v>1</v>
      </c>
      <c r="L1242" s="20" t="str">
        <f>IFERROR(__xludf.DUMMYFUNCTION("""COMPUTED_VALUE"""),"Database;")</f>
        <v>Database;</v>
      </c>
      <c r="M1242" s="20" t="b">
        <f>IFERROR(__xludf.DUMMYFUNCTION("""COMPUTED_VALUE"""),FALSE)</f>
        <v>0</v>
      </c>
      <c r="N1242" s="20" t="b">
        <f>IFERROR(__xludf.DUMMYFUNCTION("""COMPUTED_VALUE"""),FALSE)</f>
        <v>0</v>
      </c>
      <c r="O1242" s="20">
        <f>IFERROR(__xludf.DUMMYFUNCTION("""COMPUTED_VALUE"""),67.4000641054993)</f>
        <v>67.40006411</v>
      </c>
      <c r="P1242" s="20">
        <f>IFERROR(__xludf.DUMMYFUNCTION("""COMPUTED_VALUE"""),29439.0)</f>
        <v>29439</v>
      </c>
      <c r="Q1242" s="20">
        <f>IFERROR(__xludf.DUMMYFUNCTION("""COMPUTED_VALUE"""),43678.0)</f>
        <v>43678</v>
      </c>
    </row>
    <row r="1243">
      <c r="A1243" s="20">
        <f>IFERROR(__xludf.DUMMYFUNCTION("""COMPUTED_VALUE"""),1368.0)</f>
        <v>1368</v>
      </c>
      <c r="B1243" s="20" t="str">
        <f>IFERROR(__xludf.DUMMYFUNCTION("""COMPUTED_VALUE"""),"Web Crawler Multithreaded")</f>
        <v>Web Crawler Multithreaded</v>
      </c>
      <c r="C1243" s="20" t="str">
        <f>IFERROR(__xludf.DUMMYFUNCTION("""COMPUTED_VALUE"""),"web-crawler-multithreaded")</f>
        <v>web-crawler-multithreaded</v>
      </c>
      <c r="D1243" s="20" t="b">
        <f>IFERROR(__xludf.DUMMYFUNCTION("""COMPUTED_VALUE"""),TRUE)</f>
        <v>1</v>
      </c>
      <c r="E1243" s="20" t="str">
        <f>IFERROR(__xludf.DUMMYFUNCTION("""COMPUTED_VALUE"""),"Medium")</f>
        <v>Medium</v>
      </c>
      <c r="F1243" s="20">
        <f>IFERROR(__xludf.DUMMYFUNCTION("""COMPUTED_VALUE"""),452.0)</f>
        <v>452</v>
      </c>
      <c r="G1243" s="20">
        <f>IFERROR(__xludf.DUMMYFUNCTION("""COMPUTED_VALUE"""),77.0)</f>
        <v>77</v>
      </c>
      <c r="H1243" s="20" t="str">
        <f>IFERROR(__xludf.DUMMYFUNCTION("""COMPUTED_VALUE"""),"Concurrency")</f>
        <v>Concurrency</v>
      </c>
      <c r="I1243" s="20">
        <f>IFERROR(__xludf.DUMMYFUNCTION("""COMPUTED_VALUE"""),0.49)</f>
        <v>0.49</v>
      </c>
      <c r="J1243" s="20">
        <f>IFERROR(__xludf.DUMMYFUNCTION("""COMPUTED_VALUE"""),1242.0)</f>
        <v>1242</v>
      </c>
      <c r="K1243" s="20" t="b">
        <f>IFERROR(__xludf.DUMMYFUNCTION("""COMPUTED_VALUE"""),TRUE)</f>
        <v>1</v>
      </c>
      <c r="L1243" s="20" t="str">
        <f>IFERROR(__xludf.DUMMYFUNCTION("""COMPUTED_VALUE"""),"Depth-First Search;Breadth-First Search;Concurrency;")</f>
        <v>Depth-First Search;Breadth-First Search;Concurrency;</v>
      </c>
      <c r="M1243" s="20" t="b">
        <f>IFERROR(__xludf.DUMMYFUNCTION("""COMPUTED_VALUE"""),FALSE)</f>
        <v>0</v>
      </c>
      <c r="N1243" s="20" t="b">
        <f>IFERROR(__xludf.DUMMYFUNCTION("""COMPUTED_VALUE"""),FALSE)</f>
        <v>0</v>
      </c>
      <c r="O1243" s="20">
        <f>IFERROR(__xludf.DUMMYFUNCTION("""COMPUTED_VALUE"""),48.9731613285883)</f>
        <v>48.97316133</v>
      </c>
      <c r="P1243" s="20">
        <f>IFERROR(__xludf.DUMMYFUNCTION("""COMPUTED_VALUE"""),39633.0)</f>
        <v>39633</v>
      </c>
      <c r="Q1243" s="20">
        <f>IFERROR(__xludf.DUMMYFUNCTION("""COMPUTED_VALUE"""),80928.0)</f>
        <v>80928</v>
      </c>
    </row>
    <row r="1244">
      <c r="A1244" s="20">
        <f>IFERROR(__xludf.DUMMYFUNCTION("""COMPUTED_VALUE"""),1175.0)</f>
        <v>1175</v>
      </c>
      <c r="B1244" s="20" t="str">
        <f>IFERROR(__xludf.DUMMYFUNCTION("""COMPUTED_VALUE"""),"Array Transformation")</f>
        <v>Array Transformation</v>
      </c>
      <c r="C1244" s="20" t="str">
        <f>IFERROR(__xludf.DUMMYFUNCTION("""COMPUTED_VALUE"""),"array-transformation")</f>
        <v>array-transformation</v>
      </c>
      <c r="D1244" s="20" t="b">
        <f>IFERROR(__xludf.DUMMYFUNCTION("""COMPUTED_VALUE"""),TRUE)</f>
        <v>1</v>
      </c>
      <c r="E1244" s="20" t="str">
        <f>IFERROR(__xludf.DUMMYFUNCTION("""COMPUTED_VALUE"""),"Easy")</f>
        <v>Easy</v>
      </c>
      <c r="F1244" s="20">
        <f>IFERROR(__xludf.DUMMYFUNCTION("""COMPUTED_VALUE"""),129.0)</f>
        <v>129</v>
      </c>
      <c r="G1244" s="20">
        <f>IFERROR(__xludf.DUMMYFUNCTION("""COMPUTED_VALUE"""),63.0)</f>
        <v>63</v>
      </c>
      <c r="H1244" s="20" t="str">
        <f>IFERROR(__xludf.DUMMYFUNCTION("""COMPUTED_VALUE"""),"Algorithms")</f>
        <v>Algorithms</v>
      </c>
      <c r="I1244" s="20">
        <f>IFERROR(__xludf.DUMMYFUNCTION("""COMPUTED_VALUE"""),0.508)</f>
        <v>0.508</v>
      </c>
      <c r="J1244" s="20">
        <f>IFERROR(__xludf.DUMMYFUNCTION("""COMPUTED_VALUE"""),1243.0)</f>
        <v>1243</v>
      </c>
      <c r="K1244" s="20" t="b">
        <f>IFERROR(__xludf.DUMMYFUNCTION("""COMPUTED_VALUE"""),TRUE)</f>
        <v>1</v>
      </c>
      <c r="L1244" s="20" t="str">
        <f>IFERROR(__xludf.DUMMYFUNCTION("""COMPUTED_VALUE"""),"Array;Simulation;")</f>
        <v>Array;Simulation;</v>
      </c>
      <c r="M1244" s="20" t="b">
        <f>IFERROR(__xludf.DUMMYFUNCTION("""COMPUTED_VALUE"""),FALSE)</f>
        <v>0</v>
      </c>
      <c r="N1244" s="20" t="b">
        <f>IFERROR(__xludf.DUMMYFUNCTION("""COMPUTED_VALUE"""),FALSE)</f>
        <v>0</v>
      </c>
      <c r="O1244" s="20">
        <f>IFERROR(__xludf.DUMMYFUNCTION("""COMPUTED_VALUE"""),50.8412812668706)</f>
        <v>50.84128127</v>
      </c>
      <c r="P1244" s="20">
        <f>IFERROR(__xludf.DUMMYFUNCTION("""COMPUTED_VALUE"""),11301.0)</f>
        <v>11301</v>
      </c>
      <c r="Q1244" s="20">
        <f>IFERROR(__xludf.DUMMYFUNCTION("""COMPUTED_VALUE"""),22228.0)</f>
        <v>22228</v>
      </c>
    </row>
    <row r="1245">
      <c r="A1245" s="20">
        <f>IFERROR(__xludf.DUMMYFUNCTION("""COMPUTED_VALUE"""),1176.0)</f>
        <v>1176</v>
      </c>
      <c r="B1245" s="20" t="str">
        <f>IFERROR(__xludf.DUMMYFUNCTION("""COMPUTED_VALUE"""),"Design A Leaderboard")</f>
        <v>Design A Leaderboard</v>
      </c>
      <c r="C1245" s="20" t="str">
        <f>IFERROR(__xludf.DUMMYFUNCTION("""COMPUTED_VALUE"""),"design-a-leaderboard")</f>
        <v>design-a-leaderboard</v>
      </c>
      <c r="D1245" s="20" t="b">
        <f>IFERROR(__xludf.DUMMYFUNCTION("""COMPUTED_VALUE"""),TRUE)</f>
        <v>1</v>
      </c>
      <c r="E1245" s="20" t="str">
        <f>IFERROR(__xludf.DUMMYFUNCTION("""COMPUTED_VALUE"""),"Medium")</f>
        <v>Medium</v>
      </c>
      <c r="F1245" s="20">
        <f>IFERROR(__xludf.DUMMYFUNCTION("""COMPUTED_VALUE"""),650.0)</f>
        <v>650</v>
      </c>
      <c r="G1245" s="20">
        <f>IFERROR(__xludf.DUMMYFUNCTION("""COMPUTED_VALUE"""),87.0)</f>
        <v>87</v>
      </c>
      <c r="H1245" s="20" t="str">
        <f>IFERROR(__xludf.DUMMYFUNCTION("""COMPUTED_VALUE"""),"Algorithms")</f>
        <v>Algorithms</v>
      </c>
      <c r="I1245" s="20">
        <f>IFERROR(__xludf.DUMMYFUNCTION("""COMPUTED_VALUE"""),0.688)</f>
        <v>0.688</v>
      </c>
      <c r="J1245" s="20">
        <f>IFERROR(__xludf.DUMMYFUNCTION("""COMPUTED_VALUE"""),1244.0)</f>
        <v>1244</v>
      </c>
      <c r="K1245" s="20" t="b">
        <f>IFERROR(__xludf.DUMMYFUNCTION("""COMPUTED_VALUE"""),TRUE)</f>
        <v>1</v>
      </c>
      <c r="L1245" s="20" t="str">
        <f>IFERROR(__xludf.DUMMYFUNCTION("""COMPUTED_VALUE"""),"Hash Table;Design;Sorting;")</f>
        <v>Hash Table;Design;Sorting;</v>
      </c>
      <c r="M1245" s="20" t="b">
        <f>IFERROR(__xludf.DUMMYFUNCTION("""COMPUTED_VALUE"""),TRUE)</f>
        <v>1</v>
      </c>
      <c r="N1245" s="20" t="b">
        <f>IFERROR(__xludf.DUMMYFUNCTION("""COMPUTED_VALUE"""),FALSE)</f>
        <v>0</v>
      </c>
      <c r="O1245" s="20">
        <f>IFERROR(__xludf.DUMMYFUNCTION("""COMPUTED_VALUE"""),68.8243539517665)</f>
        <v>68.82435395</v>
      </c>
      <c r="P1245" s="20">
        <f>IFERROR(__xludf.DUMMYFUNCTION("""COMPUTED_VALUE"""),57447.0)</f>
        <v>57447</v>
      </c>
      <c r="Q1245" s="20">
        <f>IFERROR(__xludf.DUMMYFUNCTION("""COMPUTED_VALUE"""),83469.0)</f>
        <v>83469</v>
      </c>
    </row>
    <row r="1246">
      <c r="A1246" s="20">
        <f>IFERROR(__xludf.DUMMYFUNCTION("""COMPUTED_VALUE"""),1177.0)</f>
        <v>1177</v>
      </c>
      <c r="B1246" s="20" t="str">
        <f>IFERROR(__xludf.DUMMYFUNCTION("""COMPUTED_VALUE"""),"Tree Diameter")</f>
        <v>Tree Diameter</v>
      </c>
      <c r="C1246" s="20" t="str">
        <f>IFERROR(__xludf.DUMMYFUNCTION("""COMPUTED_VALUE"""),"tree-diameter")</f>
        <v>tree-diameter</v>
      </c>
      <c r="D1246" s="20" t="b">
        <f>IFERROR(__xludf.DUMMYFUNCTION("""COMPUTED_VALUE"""),TRUE)</f>
        <v>1</v>
      </c>
      <c r="E1246" s="20" t="str">
        <f>IFERROR(__xludf.DUMMYFUNCTION("""COMPUTED_VALUE"""),"Medium")</f>
        <v>Medium</v>
      </c>
      <c r="F1246" s="20">
        <f>IFERROR(__xludf.DUMMYFUNCTION("""COMPUTED_VALUE"""),703.0)</f>
        <v>703</v>
      </c>
      <c r="G1246" s="20">
        <f>IFERROR(__xludf.DUMMYFUNCTION("""COMPUTED_VALUE"""),17.0)</f>
        <v>17</v>
      </c>
      <c r="H1246" s="20" t="str">
        <f>IFERROR(__xludf.DUMMYFUNCTION("""COMPUTED_VALUE"""),"Algorithms")</f>
        <v>Algorithms</v>
      </c>
      <c r="I1246" s="20">
        <f>IFERROR(__xludf.DUMMYFUNCTION("""COMPUTED_VALUE"""),0.615)</f>
        <v>0.615</v>
      </c>
      <c r="J1246" s="20">
        <f>IFERROR(__xludf.DUMMYFUNCTION("""COMPUTED_VALUE"""),1245.0)</f>
        <v>1245</v>
      </c>
      <c r="K1246" s="20" t="b">
        <f>IFERROR(__xludf.DUMMYFUNCTION("""COMPUTED_VALUE"""),TRUE)</f>
        <v>1</v>
      </c>
      <c r="L1246" s="20" t="str">
        <f>IFERROR(__xludf.DUMMYFUNCTION("""COMPUTED_VALUE"""),"Tree;Depth-First Search;Breadth-First Search;Graph;Topological Sort;")</f>
        <v>Tree;Depth-First Search;Breadth-First Search;Graph;Topological Sort;</v>
      </c>
      <c r="M1246" s="20" t="b">
        <f>IFERROR(__xludf.DUMMYFUNCTION("""COMPUTED_VALUE"""),TRUE)</f>
        <v>1</v>
      </c>
      <c r="N1246" s="20" t="b">
        <f>IFERROR(__xludf.DUMMYFUNCTION("""COMPUTED_VALUE"""),FALSE)</f>
        <v>0</v>
      </c>
      <c r="O1246" s="20">
        <f>IFERROR(__xludf.DUMMYFUNCTION("""COMPUTED_VALUE"""),61.5078617339781)</f>
        <v>61.50786173</v>
      </c>
      <c r="P1246" s="20">
        <f>IFERROR(__xludf.DUMMYFUNCTION("""COMPUTED_VALUE"""),29378.0)</f>
        <v>29378</v>
      </c>
      <c r="Q1246" s="20">
        <f>IFERROR(__xludf.DUMMYFUNCTION("""COMPUTED_VALUE"""),47763.0)</f>
        <v>47763</v>
      </c>
    </row>
    <row r="1247">
      <c r="A1247" s="20">
        <f>IFERROR(__xludf.DUMMYFUNCTION("""COMPUTED_VALUE"""),1202.0)</f>
        <v>1202</v>
      </c>
      <c r="B1247" s="20" t="str">
        <f>IFERROR(__xludf.DUMMYFUNCTION("""COMPUTED_VALUE"""),"Palindrome Removal")</f>
        <v>Palindrome Removal</v>
      </c>
      <c r="C1247" s="20" t="str">
        <f>IFERROR(__xludf.DUMMYFUNCTION("""COMPUTED_VALUE"""),"palindrome-removal")</f>
        <v>palindrome-removal</v>
      </c>
      <c r="D1247" s="20" t="b">
        <f>IFERROR(__xludf.DUMMYFUNCTION("""COMPUTED_VALUE"""),TRUE)</f>
        <v>1</v>
      </c>
      <c r="E1247" s="20" t="str">
        <f>IFERROR(__xludf.DUMMYFUNCTION("""COMPUTED_VALUE"""),"Hard")</f>
        <v>Hard</v>
      </c>
      <c r="F1247" s="20">
        <f>IFERROR(__xludf.DUMMYFUNCTION("""COMPUTED_VALUE"""),288.0)</f>
        <v>288</v>
      </c>
      <c r="G1247" s="20">
        <f>IFERROR(__xludf.DUMMYFUNCTION("""COMPUTED_VALUE"""),13.0)</f>
        <v>13</v>
      </c>
      <c r="H1247" s="20" t="str">
        <f>IFERROR(__xludf.DUMMYFUNCTION("""COMPUTED_VALUE"""),"Algorithms")</f>
        <v>Algorithms</v>
      </c>
      <c r="I1247" s="20">
        <f>IFERROR(__xludf.DUMMYFUNCTION("""COMPUTED_VALUE"""),0.461)</f>
        <v>0.461</v>
      </c>
      <c r="J1247" s="20">
        <f>IFERROR(__xludf.DUMMYFUNCTION("""COMPUTED_VALUE"""),1246.0)</f>
        <v>1246</v>
      </c>
      <c r="K1247" s="20" t="b">
        <f>IFERROR(__xludf.DUMMYFUNCTION("""COMPUTED_VALUE"""),TRUE)</f>
        <v>1</v>
      </c>
      <c r="L1247" s="20" t="str">
        <f>IFERROR(__xludf.DUMMYFUNCTION("""COMPUTED_VALUE"""),"Array;Dynamic Programming;")</f>
        <v>Array;Dynamic Programming;</v>
      </c>
      <c r="M1247" s="20" t="b">
        <f>IFERROR(__xludf.DUMMYFUNCTION("""COMPUTED_VALUE"""),FALSE)</f>
        <v>0</v>
      </c>
      <c r="N1247" s="20" t="b">
        <f>IFERROR(__xludf.DUMMYFUNCTION("""COMPUTED_VALUE"""),FALSE)</f>
        <v>0</v>
      </c>
      <c r="O1247" s="20">
        <f>IFERROR(__xludf.DUMMYFUNCTION("""COMPUTED_VALUE"""),46.0625417103632)</f>
        <v>46.06254171</v>
      </c>
      <c r="P1247" s="20">
        <f>IFERROR(__xludf.DUMMYFUNCTION("""COMPUTED_VALUE"""),9663.0)</f>
        <v>9663</v>
      </c>
      <c r="Q1247" s="20">
        <f>IFERROR(__xludf.DUMMYFUNCTION("""COMPUTED_VALUE"""),20978.0)</f>
        <v>20978</v>
      </c>
    </row>
    <row r="1248">
      <c r="A1248" s="20">
        <f>IFERROR(__xludf.DUMMYFUNCTION("""COMPUTED_VALUE"""),1369.0)</f>
        <v>1369</v>
      </c>
      <c r="B1248" s="20" t="str">
        <f>IFERROR(__xludf.DUMMYFUNCTION("""COMPUTED_VALUE"""),"Minimum Swaps to Make Strings Equal")</f>
        <v>Minimum Swaps to Make Strings Equal</v>
      </c>
      <c r="C1248" s="20" t="str">
        <f>IFERROR(__xludf.DUMMYFUNCTION("""COMPUTED_VALUE"""),"minimum-swaps-to-make-strings-equal")</f>
        <v>minimum-swaps-to-make-strings-equal</v>
      </c>
      <c r="D1248" s="20" t="b">
        <f>IFERROR(__xludf.DUMMYFUNCTION("""COMPUTED_VALUE"""),FALSE)</f>
        <v>0</v>
      </c>
      <c r="E1248" s="20" t="str">
        <f>IFERROR(__xludf.DUMMYFUNCTION("""COMPUTED_VALUE"""),"Medium")</f>
        <v>Medium</v>
      </c>
      <c r="F1248" s="20">
        <f>IFERROR(__xludf.DUMMYFUNCTION("""COMPUTED_VALUE"""),1090.0)</f>
        <v>1090</v>
      </c>
      <c r="G1248" s="20">
        <f>IFERROR(__xludf.DUMMYFUNCTION("""COMPUTED_VALUE"""),226.0)</f>
        <v>226</v>
      </c>
      <c r="H1248" s="20" t="str">
        <f>IFERROR(__xludf.DUMMYFUNCTION("""COMPUTED_VALUE"""),"Algorithms")</f>
        <v>Algorithms</v>
      </c>
      <c r="I1248" s="20">
        <f>IFERROR(__xludf.DUMMYFUNCTION("""COMPUTED_VALUE"""),0.639)</f>
        <v>0.639</v>
      </c>
      <c r="J1248" s="20">
        <f>IFERROR(__xludf.DUMMYFUNCTION("""COMPUTED_VALUE"""),1247.0)</f>
        <v>1247</v>
      </c>
      <c r="K1248" s="20" t="b">
        <f>IFERROR(__xludf.DUMMYFUNCTION("""COMPUTED_VALUE"""),FALSE)</f>
        <v>0</v>
      </c>
      <c r="L1248" s="20" t="str">
        <f>IFERROR(__xludf.DUMMYFUNCTION("""COMPUTED_VALUE"""),"Math;String;Greedy;")</f>
        <v>Math;String;Greedy;</v>
      </c>
      <c r="M1248" s="20" t="b">
        <f>IFERROR(__xludf.DUMMYFUNCTION("""COMPUTED_VALUE"""),FALSE)</f>
        <v>0</v>
      </c>
      <c r="N1248" s="20" t="b">
        <f>IFERROR(__xludf.DUMMYFUNCTION("""COMPUTED_VALUE"""),FALSE)</f>
        <v>0</v>
      </c>
      <c r="O1248" s="20">
        <f>IFERROR(__xludf.DUMMYFUNCTION("""COMPUTED_VALUE"""),63.8544317749143)</f>
        <v>63.85443177</v>
      </c>
      <c r="P1248" s="20">
        <f>IFERROR(__xludf.DUMMYFUNCTION("""COMPUTED_VALUE"""),31864.0)</f>
        <v>31864</v>
      </c>
      <c r="Q1248" s="20">
        <f>IFERROR(__xludf.DUMMYFUNCTION("""COMPUTED_VALUE"""),49901.0)</f>
        <v>49901</v>
      </c>
    </row>
    <row r="1249">
      <c r="A1249" s="20">
        <f>IFERROR(__xludf.DUMMYFUNCTION("""COMPUTED_VALUE"""),1370.0)</f>
        <v>1370</v>
      </c>
      <c r="B1249" s="20" t="str">
        <f>IFERROR(__xludf.DUMMYFUNCTION("""COMPUTED_VALUE"""),"Count Number of Nice Subarrays")</f>
        <v>Count Number of Nice Subarrays</v>
      </c>
      <c r="C1249" s="20" t="str">
        <f>IFERROR(__xludf.DUMMYFUNCTION("""COMPUTED_VALUE"""),"count-number-of-nice-subarrays")</f>
        <v>count-number-of-nice-subarrays</v>
      </c>
      <c r="D1249" s="20" t="b">
        <f>IFERROR(__xludf.DUMMYFUNCTION("""COMPUTED_VALUE"""),FALSE)</f>
        <v>0</v>
      </c>
      <c r="E1249" s="20" t="str">
        <f>IFERROR(__xludf.DUMMYFUNCTION("""COMPUTED_VALUE"""),"Medium")</f>
        <v>Medium</v>
      </c>
      <c r="F1249" s="20">
        <f>IFERROR(__xludf.DUMMYFUNCTION("""COMPUTED_VALUE"""),2437.0)</f>
        <v>2437</v>
      </c>
      <c r="G1249" s="20">
        <f>IFERROR(__xludf.DUMMYFUNCTION("""COMPUTED_VALUE"""),53.0)</f>
        <v>53</v>
      </c>
      <c r="H1249" s="20" t="str">
        <f>IFERROR(__xludf.DUMMYFUNCTION("""COMPUTED_VALUE"""),"Algorithms")</f>
        <v>Algorithms</v>
      </c>
      <c r="I1249" s="20">
        <f>IFERROR(__xludf.DUMMYFUNCTION("""COMPUTED_VALUE"""),0.599)</f>
        <v>0.599</v>
      </c>
      <c r="J1249" s="20">
        <f>IFERROR(__xludf.DUMMYFUNCTION("""COMPUTED_VALUE"""),1248.0)</f>
        <v>1248</v>
      </c>
      <c r="K1249" s="20" t="b">
        <f>IFERROR(__xludf.DUMMYFUNCTION("""COMPUTED_VALUE"""),FALSE)</f>
        <v>0</v>
      </c>
      <c r="L1249" s="20" t="str">
        <f>IFERROR(__xludf.DUMMYFUNCTION("""COMPUTED_VALUE"""),"Array;Hash Table;Math;Sliding Window;")</f>
        <v>Array;Hash Table;Math;Sliding Window;</v>
      </c>
      <c r="M1249" s="20" t="b">
        <f>IFERROR(__xludf.DUMMYFUNCTION("""COMPUTED_VALUE"""),FALSE)</f>
        <v>0</v>
      </c>
      <c r="N1249" s="20" t="b">
        <f>IFERROR(__xludf.DUMMYFUNCTION("""COMPUTED_VALUE"""),FALSE)</f>
        <v>0</v>
      </c>
      <c r="O1249" s="20">
        <f>IFERROR(__xludf.DUMMYFUNCTION("""COMPUTED_VALUE"""),59.9274636687227)</f>
        <v>59.92746367</v>
      </c>
      <c r="P1249" s="20">
        <f>IFERROR(__xludf.DUMMYFUNCTION("""COMPUTED_VALUE"""),71216.0)</f>
        <v>71216</v>
      </c>
      <c r="Q1249" s="20">
        <f>IFERROR(__xludf.DUMMYFUNCTION("""COMPUTED_VALUE"""),118837.0)</f>
        <v>118837</v>
      </c>
    </row>
    <row r="1250">
      <c r="A1250" s="20">
        <f>IFERROR(__xludf.DUMMYFUNCTION("""COMPUTED_VALUE"""),1371.0)</f>
        <v>1371</v>
      </c>
      <c r="B1250" s="20" t="str">
        <f>IFERROR(__xludf.DUMMYFUNCTION("""COMPUTED_VALUE"""),"Minimum Remove to Make Valid Parentheses")</f>
        <v>Minimum Remove to Make Valid Parentheses</v>
      </c>
      <c r="C1250" s="20" t="str">
        <f>IFERROR(__xludf.DUMMYFUNCTION("""COMPUTED_VALUE"""),"minimum-remove-to-make-valid-parentheses")</f>
        <v>minimum-remove-to-make-valid-parentheses</v>
      </c>
      <c r="D1250" s="20" t="b">
        <f>IFERROR(__xludf.DUMMYFUNCTION("""COMPUTED_VALUE"""),FALSE)</f>
        <v>0</v>
      </c>
      <c r="E1250" s="20" t="str">
        <f>IFERROR(__xludf.DUMMYFUNCTION("""COMPUTED_VALUE"""),"Medium")</f>
        <v>Medium</v>
      </c>
      <c r="F1250" s="20">
        <f>IFERROR(__xludf.DUMMYFUNCTION("""COMPUTED_VALUE"""),5487.0)</f>
        <v>5487</v>
      </c>
      <c r="G1250" s="20">
        <f>IFERROR(__xludf.DUMMYFUNCTION("""COMPUTED_VALUE"""),103.0)</f>
        <v>103</v>
      </c>
      <c r="H1250" s="20" t="str">
        <f>IFERROR(__xludf.DUMMYFUNCTION("""COMPUTED_VALUE"""),"Algorithms")</f>
        <v>Algorithms</v>
      </c>
      <c r="I1250" s="20">
        <f>IFERROR(__xludf.DUMMYFUNCTION("""COMPUTED_VALUE"""),0.657)</f>
        <v>0.657</v>
      </c>
      <c r="J1250" s="20">
        <f>IFERROR(__xludf.DUMMYFUNCTION("""COMPUTED_VALUE"""),1249.0)</f>
        <v>1249</v>
      </c>
      <c r="K1250" s="20" t="b">
        <f>IFERROR(__xludf.DUMMYFUNCTION("""COMPUTED_VALUE"""),FALSE)</f>
        <v>0</v>
      </c>
      <c r="L1250" s="20" t="str">
        <f>IFERROR(__xludf.DUMMYFUNCTION("""COMPUTED_VALUE"""),"String;Stack;")</f>
        <v>String;Stack;</v>
      </c>
      <c r="M1250" s="20" t="b">
        <f>IFERROR(__xludf.DUMMYFUNCTION("""COMPUTED_VALUE"""),TRUE)</f>
        <v>1</v>
      </c>
      <c r="N1250" s="20" t="b">
        <f>IFERROR(__xludf.DUMMYFUNCTION("""COMPUTED_VALUE"""),FALSE)</f>
        <v>0</v>
      </c>
      <c r="O1250" s="20">
        <f>IFERROR(__xludf.DUMMYFUNCTION("""COMPUTED_VALUE"""),65.7338763908816)</f>
        <v>65.73387639</v>
      </c>
      <c r="P1250" s="20">
        <f>IFERROR(__xludf.DUMMYFUNCTION("""COMPUTED_VALUE"""),482884.0)</f>
        <v>482884</v>
      </c>
      <c r="Q1250" s="20">
        <f>IFERROR(__xludf.DUMMYFUNCTION("""COMPUTED_VALUE"""),734605.0)</f>
        <v>734605</v>
      </c>
    </row>
    <row r="1251">
      <c r="A1251" s="20">
        <f>IFERROR(__xludf.DUMMYFUNCTION("""COMPUTED_VALUE"""),1372.0)</f>
        <v>1372</v>
      </c>
      <c r="B1251" s="20" t="str">
        <f>IFERROR(__xludf.DUMMYFUNCTION("""COMPUTED_VALUE"""),"Check If It Is a Good Array")</f>
        <v>Check If It Is a Good Array</v>
      </c>
      <c r="C1251" s="20" t="str">
        <f>IFERROR(__xludf.DUMMYFUNCTION("""COMPUTED_VALUE"""),"check-if-it-is-a-good-array")</f>
        <v>check-if-it-is-a-good-array</v>
      </c>
      <c r="D1251" s="20" t="b">
        <f>IFERROR(__xludf.DUMMYFUNCTION("""COMPUTED_VALUE"""),FALSE)</f>
        <v>0</v>
      </c>
      <c r="E1251" s="20" t="str">
        <f>IFERROR(__xludf.DUMMYFUNCTION("""COMPUTED_VALUE"""),"Hard")</f>
        <v>Hard</v>
      </c>
      <c r="F1251" s="20">
        <f>IFERROR(__xludf.DUMMYFUNCTION("""COMPUTED_VALUE"""),362.0)</f>
        <v>362</v>
      </c>
      <c r="G1251" s="20">
        <f>IFERROR(__xludf.DUMMYFUNCTION("""COMPUTED_VALUE"""),324.0)</f>
        <v>324</v>
      </c>
      <c r="H1251" s="20" t="str">
        <f>IFERROR(__xludf.DUMMYFUNCTION("""COMPUTED_VALUE"""),"Algorithms")</f>
        <v>Algorithms</v>
      </c>
      <c r="I1251" s="20">
        <f>IFERROR(__xludf.DUMMYFUNCTION("""COMPUTED_VALUE"""),0.587)</f>
        <v>0.587</v>
      </c>
      <c r="J1251" s="20">
        <f>IFERROR(__xludf.DUMMYFUNCTION("""COMPUTED_VALUE"""),1250.0)</f>
        <v>1250</v>
      </c>
      <c r="K1251" s="20" t="b">
        <f>IFERROR(__xludf.DUMMYFUNCTION("""COMPUTED_VALUE"""),FALSE)</f>
        <v>0</v>
      </c>
      <c r="L1251" s="20" t="str">
        <f>IFERROR(__xludf.DUMMYFUNCTION("""COMPUTED_VALUE"""),"Array;Math;Number Theory;")</f>
        <v>Array;Math;Number Theory;</v>
      </c>
      <c r="M1251" s="20" t="b">
        <f>IFERROR(__xludf.DUMMYFUNCTION("""COMPUTED_VALUE"""),FALSE)</f>
        <v>0</v>
      </c>
      <c r="N1251" s="20" t="b">
        <f>IFERROR(__xludf.DUMMYFUNCTION("""COMPUTED_VALUE"""),FALSE)</f>
        <v>0</v>
      </c>
      <c r="O1251" s="20">
        <f>IFERROR(__xludf.DUMMYFUNCTION("""COMPUTED_VALUE"""),58.7349828375286)</f>
        <v>58.73498284</v>
      </c>
      <c r="P1251" s="20">
        <f>IFERROR(__xludf.DUMMYFUNCTION("""COMPUTED_VALUE"""),16427.0)</f>
        <v>16427</v>
      </c>
      <c r="Q1251" s="20">
        <f>IFERROR(__xludf.DUMMYFUNCTION("""COMPUTED_VALUE"""),27968.0)</f>
        <v>27968</v>
      </c>
    </row>
    <row r="1252">
      <c r="A1252" s="20">
        <f>IFERROR(__xludf.DUMMYFUNCTION("""COMPUTED_VALUE"""),1390.0)</f>
        <v>1390</v>
      </c>
      <c r="B1252" s="20" t="str">
        <f>IFERROR(__xludf.DUMMYFUNCTION("""COMPUTED_VALUE"""),"Average Selling Price")</f>
        <v>Average Selling Price</v>
      </c>
      <c r="C1252" s="20" t="str">
        <f>IFERROR(__xludf.DUMMYFUNCTION("""COMPUTED_VALUE"""),"average-selling-price")</f>
        <v>average-selling-price</v>
      </c>
      <c r="D1252" s="20" t="b">
        <f>IFERROR(__xludf.DUMMYFUNCTION("""COMPUTED_VALUE"""),TRUE)</f>
        <v>1</v>
      </c>
      <c r="E1252" s="20" t="str">
        <f>IFERROR(__xludf.DUMMYFUNCTION("""COMPUTED_VALUE"""),"Easy")</f>
        <v>Easy</v>
      </c>
      <c r="F1252" s="20">
        <f>IFERROR(__xludf.DUMMYFUNCTION("""COMPUTED_VALUE"""),279.0)</f>
        <v>279</v>
      </c>
      <c r="G1252" s="20">
        <f>IFERROR(__xludf.DUMMYFUNCTION("""COMPUTED_VALUE"""),30.0)</f>
        <v>30</v>
      </c>
      <c r="H1252" s="20" t="str">
        <f>IFERROR(__xludf.DUMMYFUNCTION("""COMPUTED_VALUE"""),"Database")</f>
        <v>Database</v>
      </c>
      <c r="I1252" s="20">
        <f>IFERROR(__xludf.DUMMYFUNCTION("""COMPUTED_VALUE"""),0.827)</f>
        <v>0.827</v>
      </c>
      <c r="J1252" s="20">
        <f>IFERROR(__xludf.DUMMYFUNCTION("""COMPUTED_VALUE"""),1251.0)</f>
        <v>1251</v>
      </c>
      <c r="K1252" s="20" t="b">
        <f>IFERROR(__xludf.DUMMYFUNCTION("""COMPUTED_VALUE"""),TRUE)</f>
        <v>1</v>
      </c>
      <c r="L1252" s="20" t="str">
        <f>IFERROR(__xludf.DUMMYFUNCTION("""COMPUTED_VALUE"""),"Database;")</f>
        <v>Database;</v>
      </c>
      <c r="M1252" s="20" t="b">
        <f>IFERROR(__xludf.DUMMYFUNCTION("""COMPUTED_VALUE"""),FALSE)</f>
        <v>0</v>
      </c>
      <c r="N1252" s="20" t="b">
        <f>IFERROR(__xludf.DUMMYFUNCTION("""COMPUTED_VALUE"""),FALSE)</f>
        <v>0</v>
      </c>
      <c r="O1252" s="20">
        <f>IFERROR(__xludf.DUMMYFUNCTION("""COMPUTED_VALUE"""),82.7019089574155)</f>
        <v>82.70190896</v>
      </c>
      <c r="P1252" s="20">
        <f>IFERROR(__xludf.DUMMYFUNCTION("""COMPUTED_VALUE"""),47870.0)</f>
        <v>47870</v>
      </c>
      <c r="Q1252" s="20">
        <f>IFERROR(__xludf.DUMMYFUNCTION("""COMPUTED_VALUE"""),57883.0)</f>
        <v>57883</v>
      </c>
    </row>
    <row r="1253">
      <c r="A1253" s="20">
        <f>IFERROR(__xludf.DUMMYFUNCTION("""COMPUTED_VALUE"""),1378.0)</f>
        <v>1378</v>
      </c>
      <c r="B1253" s="20" t="str">
        <f>IFERROR(__xludf.DUMMYFUNCTION("""COMPUTED_VALUE"""),"Cells with Odd Values in a Matrix")</f>
        <v>Cells with Odd Values in a Matrix</v>
      </c>
      <c r="C1253" s="20" t="str">
        <f>IFERROR(__xludf.DUMMYFUNCTION("""COMPUTED_VALUE"""),"cells-with-odd-values-in-a-matrix")</f>
        <v>cells-with-odd-values-in-a-matrix</v>
      </c>
      <c r="D1253" s="20" t="b">
        <f>IFERROR(__xludf.DUMMYFUNCTION("""COMPUTED_VALUE"""),FALSE)</f>
        <v>0</v>
      </c>
      <c r="E1253" s="20" t="str">
        <f>IFERROR(__xludf.DUMMYFUNCTION("""COMPUTED_VALUE"""),"Easy")</f>
        <v>Easy</v>
      </c>
      <c r="F1253" s="20">
        <f>IFERROR(__xludf.DUMMYFUNCTION("""COMPUTED_VALUE"""),930.0)</f>
        <v>930</v>
      </c>
      <c r="G1253" s="20">
        <f>IFERROR(__xludf.DUMMYFUNCTION("""COMPUTED_VALUE"""),1282.0)</f>
        <v>1282</v>
      </c>
      <c r="H1253" s="20" t="str">
        <f>IFERROR(__xludf.DUMMYFUNCTION("""COMPUTED_VALUE"""),"Algorithms")</f>
        <v>Algorithms</v>
      </c>
      <c r="I1253" s="20">
        <f>IFERROR(__xludf.DUMMYFUNCTION("""COMPUTED_VALUE"""),0.786)</f>
        <v>0.786</v>
      </c>
      <c r="J1253" s="20">
        <f>IFERROR(__xludf.DUMMYFUNCTION("""COMPUTED_VALUE"""),1252.0)</f>
        <v>1252</v>
      </c>
      <c r="K1253" s="20" t="b">
        <f>IFERROR(__xludf.DUMMYFUNCTION("""COMPUTED_VALUE"""),FALSE)</f>
        <v>0</v>
      </c>
      <c r="L1253" s="20" t="str">
        <f>IFERROR(__xludf.DUMMYFUNCTION("""COMPUTED_VALUE"""),"Array;Math;Simulation;")</f>
        <v>Array;Math;Simulation;</v>
      </c>
      <c r="M1253" s="20" t="b">
        <f>IFERROR(__xludf.DUMMYFUNCTION("""COMPUTED_VALUE"""),FALSE)</f>
        <v>0</v>
      </c>
      <c r="N1253" s="20" t="b">
        <f>IFERROR(__xludf.DUMMYFUNCTION("""COMPUTED_VALUE"""),FALSE)</f>
        <v>0</v>
      </c>
      <c r="O1253" s="20">
        <f>IFERROR(__xludf.DUMMYFUNCTION("""COMPUTED_VALUE"""),78.5751057981763)</f>
        <v>78.5751058</v>
      </c>
      <c r="P1253" s="20">
        <f>IFERROR(__xludf.DUMMYFUNCTION("""COMPUTED_VALUE"""),90051.0)</f>
        <v>90051</v>
      </c>
      <c r="Q1253" s="20">
        <f>IFERROR(__xludf.DUMMYFUNCTION("""COMPUTED_VALUE"""),114605.0)</f>
        <v>114605</v>
      </c>
    </row>
    <row r="1254">
      <c r="A1254" s="20">
        <f>IFERROR(__xludf.DUMMYFUNCTION("""COMPUTED_VALUE"""),1379.0)</f>
        <v>1379</v>
      </c>
      <c r="B1254" s="20" t="str">
        <f>IFERROR(__xludf.DUMMYFUNCTION("""COMPUTED_VALUE"""),"Reconstruct a 2-Row Binary Matrix")</f>
        <v>Reconstruct a 2-Row Binary Matrix</v>
      </c>
      <c r="C1254" s="20" t="str">
        <f>IFERROR(__xludf.DUMMYFUNCTION("""COMPUTED_VALUE"""),"reconstruct-a-2-row-binary-matrix")</f>
        <v>reconstruct-a-2-row-binary-matrix</v>
      </c>
      <c r="D1254" s="20" t="b">
        <f>IFERROR(__xludf.DUMMYFUNCTION("""COMPUTED_VALUE"""),FALSE)</f>
        <v>0</v>
      </c>
      <c r="E1254" s="20" t="str">
        <f>IFERROR(__xludf.DUMMYFUNCTION("""COMPUTED_VALUE"""),"Medium")</f>
        <v>Medium</v>
      </c>
      <c r="F1254" s="20">
        <f>IFERROR(__xludf.DUMMYFUNCTION("""COMPUTED_VALUE"""),375.0)</f>
        <v>375</v>
      </c>
      <c r="G1254" s="20">
        <f>IFERROR(__xludf.DUMMYFUNCTION("""COMPUTED_VALUE"""),27.0)</f>
        <v>27</v>
      </c>
      <c r="H1254" s="20" t="str">
        <f>IFERROR(__xludf.DUMMYFUNCTION("""COMPUTED_VALUE"""),"Algorithms")</f>
        <v>Algorithms</v>
      </c>
      <c r="I1254" s="20">
        <f>IFERROR(__xludf.DUMMYFUNCTION("""COMPUTED_VALUE"""),0.439)</f>
        <v>0.439</v>
      </c>
      <c r="J1254" s="20">
        <f>IFERROR(__xludf.DUMMYFUNCTION("""COMPUTED_VALUE"""),1253.0)</f>
        <v>1253</v>
      </c>
      <c r="K1254" s="20" t="b">
        <f>IFERROR(__xludf.DUMMYFUNCTION("""COMPUTED_VALUE"""),FALSE)</f>
        <v>0</v>
      </c>
      <c r="L1254" s="20" t="str">
        <f>IFERROR(__xludf.DUMMYFUNCTION("""COMPUTED_VALUE"""),"Array;Greedy;Matrix;")</f>
        <v>Array;Greedy;Matrix;</v>
      </c>
      <c r="M1254" s="20" t="b">
        <f>IFERROR(__xludf.DUMMYFUNCTION("""COMPUTED_VALUE"""),FALSE)</f>
        <v>0</v>
      </c>
      <c r="N1254" s="20" t="b">
        <f>IFERROR(__xludf.DUMMYFUNCTION("""COMPUTED_VALUE"""),FALSE)</f>
        <v>0</v>
      </c>
      <c r="O1254" s="20">
        <f>IFERROR(__xludf.DUMMYFUNCTION("""COMPUTED_VALUE"""),43.9457350235539)</f>
        <v>43.94573502</v>
      </c>
      <c r="P1254" s="20">
        <f>IFERROR(__xludf.DUMMYFUNCTION("""COMPUTED_VALUE"""),21736.0)</f>
        <v>21736</v>
      </c>
      <c r="Q1254" s="20">
        <f>IFERROR(__xludf.DUMMYFUNCTION("""COMPUTED_VALUE"""),49461.0)</f>
        <v>49461</v>
      </c>
    </row>
    <row r="1255">
      <c r="A1255" s="20">
        <f>IFERROR(__xludf.DUMMYFUNCTION("""COMPUTED_VALUE"""),1380.0)</f>
        <v>1380</v>
      </c>
      <c r="B1255" s="20" t="str">
        <f>IFERROR(__xludf.DUMMYFUNCTION("""COMPUTED_VALUE"""),"Number of Closed Islands")</f>
        <v>Number of Closed Islands</v>
      </c>
      <c r="C1255" s="20" t="str">
        <f>IFERROR(__xludf.DUMMYFUNCTION("""COMPUTED_VALUE"""),"number-of-closed-islands")</f>
        <v>number-of-closed-islands</v>
      </c>
      <c r="D1255" s="20" t="b">
        <f>IFERROR(__xludf.DUMMYFUNCTION("""COMPUTED_VALUE"""),FALSE)</f>
        <v>0</v>
      </c>
      <c r="E1255" s="20" t="str">
        <f>IFERROR(__xludf.DUMMYFUNCTION("""COMPUTED_VALUE"""),"Medium")</f>
        <v>Medium</v>
      </c>
      <c r="F1255" s="20">
        <f>IFERROR(__xludf.DUMMYFUNCTION("""COMPUTED_VALUE"""),2628.0)</f>
        <v>2628</v>
      </c>
      <c r="G1255" s="20">
        <f>IFERROR(__xludf.DUMMYFUNCTION("""COMPUTED_VALUE"""),63.0)</f>
        <v>63</v>
      </c>
      <c r="H1255" s="20" t="str">
        <f>IFERROR(__xludf.DUMMYFUNCTION("""COMPUTED_VALUE"""),"Algorithms")</f>
        <v>Algorithms</v>
      </c>
      <c r="I1255" s="20">
        <f>IFERROR(__xludf.DUMMYFUNCTION("""COMPUTED_VALUE"""),0.642)</f>
        <v>0.642</v>
      </c>
      <c r="J1255" s="20">
        <f>IFERROR(__xludf.DUMMYFUNCTION("""COMPUTED_VALUE"""),1254.0)</f>
        <v>1254</v>
      </c>
      <c r="K1255" s="20" t="b">
        <f>IFERROR(__xludf.DUMMYFUNCTION("""COMPUTED_VALUE"""),FALSE)</f>
        <v>0</v>
      </c>
      <c r="L1255" s="20" t="str">
        <f>IFERROR(__xludf.DUMMYFUNCTION("""COMPUTED_VALUE"""),"Array;Depth-First Search;Breadth-First Search;Union Find;Matrix;")</f>
        <v>Array;Depth-First Search;Breadth-First Search;Union Find;Matrix;</v>
      </c>
      <c r="M1255" s="20" t="b">
        <f>IFERROR(__xludf.DUMMYFUNCTION("""COMPUTED_VALUE"""),FALSE)</f>
        <v>0</v>
      </c>
      <c r="N1255" s="20" t="b">
        <f>IFERROR(__xludf.DUMMYFUNCTION("""COMPUTED_VALUE"""),FALSE)</f>
        <v>0</v>
      </c>
      <c r="O1255" s="20">
        <f>IFERROR(__xludf.DUMMYFUNCTION("""COMPUTED_VALUE"""),64.168791162099)</f>
        <v>64.16879116</v>
      </c>
      <c r="P1255" s="20">
        <f>IFERROR(__xludf.DUMMYFUNCTION("""COMPUTED_VALUE"""),120817.0)</f>
        <v>120817</v>
      </c>
      <c r="Q1255" s="20">
        <f>IFERROR(__xludf.DUMMYFUNCTION("""COMPUTED_VALUE"""),188280.0)</f>
        <v>188280</v>
      </c>
    </row>
    <row r="1256">
      <c r="A1256" s="20">
        <f>IFERROR(__xludf.DUMMYFUNCTION("""COMPUTED_VALUE"""),1381.0)</f>
        <v>1381</v>
      </c>
      <c r="B1256" s="20" t="str">
        <f>IFERROR(__xludf.DUMMYFUNCTION("""COMPUTED_VALUE"""),"Maximum Score Words Formed by Letters")</f>
        <v>Maximum Score Words Formed by Letters</v>
      </c>
      <c r="C1256" s="20" t="str">
        <f>IFERROR(__xludf.DUMMYFUNCTION("""COMPUTED_VALUE"""),"maximum-score-words-formed-by-letters")</f>
        <v>maximum-score-words-formed-by-letters</v>
      </c>
      <c r="D1256" s="20" t="b">
        <f>IFERROR(__xludf.DUMMYFUNCTION("""COMPUTED_VALUE"""),FALSE)</f>
        <v>0</v>
      </c>
      <c r="E1256" s="20" t="str">
        <f>IFERROR(__xludf.DUMMYFUNCTION("""COMPUTED_VALUE"""),"Hard")</f>
        <v>Hard</v>
      </c>
      <c r="F1256" s="20">
        <f>IFERROR(__xludf.DUMMYFUNCTION("""COMPUTED_VALUE"""),911.0)</f>
        <v>911</v>
      </c>
      <c r="G1256" s="20">
        <f>IFERROR(__xludf.DUMMYFUNCTION("""COMPUTED_VALUE"""),47.0)</f>
        <v>47</v>
      </c>
      <c r="H1256" s="20" t="str">
        <f>IFERROR(__xludf.DUMMYFUNCTION("""COMPUTED_VALUE"""),"Algorithms")</f>
        <v>Algorithms</v>
      </c>
      <c r="I1256" s="20">
        <f>IFERROR(__xludf.DUMMYFUNCTION("""COMPUTED_VALUE"""),0.728)</f>
        <v>0.728</v>
      </c>
      <c r="J1256" s="20">
        <f>IFERROR(__xludf.DUMMYFUNCTION("""COMPUTED_VALUE"""),1255.0)</f>
        <v>1255</v>
      </c>
      <c r="K1256" s="20" t="b">
        <f>IFERROR(__xludf.DUMMYFUNCTION("""COMPUTED_VALUE"""),FALSE)</f>
        <v>0</v>
      </c>
      <c r="L1256" s="20" t="str">
        <f>IFERROR(__xludf.DUMMYFUNCTION("""COMPUTED_VALUE"""),"Array;String;Dynamic Programming;Backtracking;Bit Manipulation;Bitmask;")</f>
        <v>Array;String;Dynamic Programming;Backtracking;Bit Manipulation;Bitmask;</v>
      </c>
      <c r="M1256" s="20" t="b">
        <f>IFERROR(__xludf.DUMMYFUNCTION("""COMPUTED_VALUE"""),FALSE)</f>
        <v>0</v>
      </c>
      <c r="N1256" s="20" t="b">
        <f>IFERROR(__xludf.DUMMYFUNCTION("""COMPUTED_VALUE"""),FALSE)</f>
        <v>0</v>
      </c>
      <c r="O1256" s="20">
        <f>IFERROR(__xludf.DUMMYFUNCTION("""COMPUTED_VALUE"""),72.7657351788978)</f>
        <v>72.76573518</v>
      </c>
      <c r="P1256" s="20">
        <f>IFERROR(__xludf.DUMMYFUNCTION("""COMPUTED_VALUE"""),27862.0)</f>
        <v>27862</v>
      </c>
      <c r="Q1256" s="20">
        <f>IFERROR(__xludf.DUMMYFUNCTION("""COMPUTED_VALUE"""),38290.0)</f>
        <v>38290</v>
      </c>
    </row>
    <row r="1257">
      <c r="A1257" s="20">
        <f>IFERROR(__xludf.DUMMYFUNCTION("""COMPUTED_VALUE"""),1189.0)</f>
        <v>1189</v>
      </c>
      <c r="B1257" s="20" t="str">
        <f>IFERROR(__xludf.DUMMYFUNCTION("""COMPUTED_VALUE"""),"Encode Number")</f>
        <v>Encode Number</v>
      </c>
      <c r="C1257" s="20" t="str">
        <f>IFERROR(__xludf.DUMMYFUNCTION("""COMPUTED_VALUE"""),"encode-number")</f>
        <v>encode-number</v>
      </c>
      <c r="D1257" s="20" t="b">
        <f>IFERROR(__xludf.DUMMYFUNCTION("""COMPUTED_VALUE"""),TRUE)</f>
        <v>1</v>
      </c>
      <c r="E1257" s="20" t="str">
        <f>IFERROR(__xludf.DUMMYFUNCTION("""COMPUTED_VALUE"""),"Medium")</f>
        <v>Medium</v>
      </c>
      <c r="F1257" s="20">
        <f>IFERROR(__xludf.DUMMYFUNCTION("""COMPUTED_VALUE"""),67.0)</f>
        <v>67</v>
      </c>
      <c r="G1257" s="20">
        <f>IFERROR(__xludf.DUMMYFUNCTION("""COMPUTED_VALUE"""),229.0)</f>
        <v>229</v>
      </c>
      <c r="H1257" s="20" t="str">
        <f>IFERROR(__xludf.DUMMYFUNCTION("""COMPUTED_VALUE"""),"Algorithms")</f>
        <v>Algorithms</v>
      </c>
      <c r="I1257" s="20">
        <f>IFERROR(__xludf.DUMMYFUNCTION("""COMPUTED_VALUE"""),0.699)</f>
        <v>0.699</v>
      </c>
      <c r="J1257" s="20">
        <f>IFERROR(__xludf.DUMMYFUNCTION("""COMPUTED_VALUE"""),1256.0)</f>
        <v>1256</v>
      </c>
      <c r="K1257" s="20" t="b">
        <f>IFERROR(__xludf.DUMMYFUNCTION("""COMPUTED_VALUE"""),TRUE)</f>
        <v>1</v>
      </c>
      <c r="L1257" s="20" t="str">
        <f>IFERROR(__xludf.DUMMYFUNCTION("""COMPUTED_VALUE"""),"Math;String;Bit Manipulation;")</f>
        <v>Math;String;Bit Manipulation;</v>
      </c>
      <c r="M1257" s="20" t="b">
        <f>IFERROR(__xludf.DUMMYFUNCTION("""COMPUTED_VALUE"""),FALSE)</f>
        <v>0</v>
      </c>
      <c r="N1257" s="20" t="b">
        <f>IFERROR(__xludf.DUMMYFUNCTION("""COMPUTED_VALUE"""),FALSE)</f>
        <v>0</v>
      </c>
      <c r="O1257" s="20">
        <f>IFERROR(__xludf.DUMMYFUNCTION("""COMPUTED_VALUE"""),69.8818301181698)</f>
        <v>69.88183012</v>
      </c>
      <c r="P1257" s="20">
        <f>IFERROR(__xludf.DUMMYFUNCTION("""COMPUTED_VALUE"""),6919.0)</f>
        <v>6919</v>
      </c>
      <c r="Q1257" s="20">
        <f>IFERROR(__xludf.DUMMYFUNCTION("""COMPUTED_VALUE"""),9901.0)</f>
        <v>9901</v>
      </c>
    </row>
    <row r="1258">
      <c r="A1258" s="20">
        <f>IFERROR(__xludf.DUMMYFUNCTION("""COMPUTED_VALUE"""),1190.0)</f>
        <v>1190</v>
      </c>
      <c r="B1258" s="20" t="str">
        <f>IFERROR(__xludf.DUMMYFUNCTION("""COMPUTED_VALUE"""),"Smallest Common Region")</f>
        <v>Smallest Common Region</v>
      </c>
      <c r="C1258" s="20" t="str">
        <f>IFERROR(__xludf.DUMMYFUNCTION("""COMPUTED_VALUE"""),"smallest-common-region")</f>
        <v>smallest-common-region</v>
      </c>
      <c r="D1258" s="20" t="b">
        <f>IFERROR(__xludf.DUMMYFUNCTION("""COMPUTED_VALUE"""),TRUE)</f>
        <v>1</v>
      </c>
      <c r="E1258" s="20" t="str">
        <f>IFERROR(__xludf.DUMMYFUNCTION("""COMPUTED_VALUE"""),"Medium")</f>
        <v>Medium</v>
      </c>
      <c r="F1258" s="20">
        <f>IFERROR(__xludf.DUMMYFUNCTION("""COMPUTED_VALUE"""),379.0)</f>
        <v>379</v>
      </c>
      <c r="G1258" s="20">
        <f>IFERROR(__xludf.DUMMYFUNCTION("""COMPUTED_VALUE"""),29.0)</f>
        <v>29</v>
      </c>
      <c r="H1258" s="20" t="str">
        <f>IFERROR(__xludf.DUMMYFUNCTION("""COMPUTED_VALUE"""),"Algorithms")</f>
        <v>Algorithms</v>
      </c>
      <c r="I1258" s="20">
        <f>IFERROR(__xludf.DUMMYFUNCTION("""COMPUTED_VALUE"""),0.641)</f>
        <v>0.641</v>
      </c>
      <c r="J1258" s="20">
        <f>IFERROR(__xludf.DUMMYFUNCTION("""COMPUTED_VALUE"""),1257.0)</f>
        <v>1257</v>
      </c>
      <c r="K1258" s="20" t="b">
        <f>IFERROR(__xludf.DUMMYFUNCTION("""COMPUTED_VALUE"""),TRUE)</f>
        <v>1</v>
      </c>
      <c r="L1258" s="20" t="str">
        <f>IFERROR(__xludf.DUMMYFUNCTION("""COMPUTED_VALUE"""),"Array;Hash Table;String;Tree;Depth-First Search;Breadth-First Search;")</f>
        <v>Array;Hash Table;String;Tree;Depth-First Search;Breadth-First Search;</v>
      </c>
      <c r="M1258" s="20" t="b">
        <f>IFERROR(__xludf.DUMMYFUNCTION("""COMPUTED_VALUE"""),FALSE)</f>
        <v>0</v>
      </c>
      <c r="N1258" s="20" t="b">
        <f>IFERROR(__xludf.DUMMYFUNCTION("""COMPUTED_VALUE"""),FALSE)</f>
        <v>0</v>
      </c>
      <c r="O1258" s="20">
        <f>IFERROR(__xludf.DUMMYFUNCTION("""COMPUTED_VALUE"""),64.0760049389491)</f>
        <v>64.07600494</v>
      </c>
      <c r="P1258" s="20">
        <f>IFERROR(__xludf.DUMMYFUNCTION("""COMPUTED_VALUE"""),18681.0)</f>
        <v>18681</v>
      </c>
      <c r="Q1258" s="20">
        <f>IFERROR(__xludf.DUMMYFUNCTION("""COMPUTED_VALUE"""),29155.0)</f>
        <v>29155</v>
      </c>
    </row>
    <row r="1259">
      <c r="A1259" s="20">
        <f>IFERROR(__xludf.DUMMYFUNCTION("""COMPUTED_VALUE"""),1191.0)</f>
        <v>1191</v>
      </c>
      <c r="B1259" s="20" t="str">
        <f>IFERROR(__xludf.DUMMYFUNCTION("""COMPUTED_VALUE"""),"Synonymous Sentences")</f>
        <v>Synonymous Sentences</v>
      </c>
      <c r="C1259" s="20" t="str">
        <f>IFERROR(__xludf.DUMMYFUNCTION("""COMPUTED_VALUE"""),"synonymous-sentences")</f>
        <v>synonymous-sentences</v>
      </c>
      <c r="D1259" s="20" t="b">
        <f>IFERROR(__xludf.DUMMYFUNCTION("""COMPUTED_VALUE"""),TRUE)</f>
        <v>1</v>
      </c>
      <c r="E1259" s="20" t="str">
        <f>IFERROR(__xludf.DUMMYFUNCTION("""COMPUTED_VALUE"""),"Medium")</f>
        <v>Medium</v>
      </c>
      <c r="F1259" s="20">
        <f>IFERROR(__xludf.DUMMYFUNCTION("""COMPUTED_VALUE"""),302.0)</f>
        <v>302</v>
      </c>
      <c r="G1259" s="20">
        <f>IFERROR(__xludf.DUMMYFUNCTION("""COMPUTED_VALUE"""),130.0)</f>
        <v>130</v>
      </c>
      <c r="H1259" s="20" t="str">
        <f>IFERROR(__xludf.DUMMYFUNCTION("""COMPUTED_VALUE"""),"Algorithms")</f>
        <v>Algorithms</v>
      </c>
      <c r="I1259" s="20">
        <f>IFERROR(__xludf.DUMMYFUNCTION("""COMPUTED_VALUE"""),0.564)</f>
        <v>0.564</v>
      </c>
      <c r="J1259" s="20">
        <f>IFERROR(__xludf.DUMMYFUNCTION("""COMPUTED_VALUE"""),1258.0)</f>
        <v>1258</v>
      </c>
      <c r="K1259" s="20" t="b">
        <f>IFERROR(__xludf.DUMMYFUNCTION("""COMPUTED_VALUE"""),TRUE)</f>
        <v>1</v>
      </c>
      <c r="L1259" s="20" t="str">
        <f>IFERROR(__xludf.DUMMYFUNCTION("""COMPUTED_VALUE"""),"Array;Hash Table;String;Backtracking;Union Find;")</f>
        <v>Array;Hash Table;String;Backtracking;Union Find;</v>
      </c>
      <c r="M1259" s="20" t="b">
        <f>IFERROR(__xludf.DUMMYFUNCTION("""COMPUTED_VALUE"""),FALSE)</f>
        <v>0</v>
      </c>
      <c r="N1259" s="20" t="b">
        <f>IFERROR(__xludf.DUMMYFUNCTION("""COMPUTED_VALUE"""),FALSE)</f>
        <v>0</v>
      </c>
      <c r="O1259" s="20">
        <f>IFERROR(__xludf.DUMMYFUNCTION("""COMPUTED_VALUE"""),56.4240397537269)</f>
        <v>56.42403975</v>
      </c>
      <c r="P1259" s="20">
        <f>IFERROR(__xludf.DUMMYFUNCTION("""COMPUTED_VALUE"""),18054.0)</f>
        <v>18054</v>
      </c>
      <c r="Q1259" s="20">
        <f>IFERROR(__xludf.DUMMYFUNCTION("""COMPUTED_VALUE"""),31997.0)</f>
        <v>31997</v>
      </c>
    </row>
    <row r="1260">
      <c r="A1260" s="20">
        <f>IFERROR(__xludf.DUMMYFUNCTION("""COMPUTED_VALUE"""),1213.0)</f>
        <v>1213</v>
      </c>
      <c r="B1260" s="20" t="str">
        <f>IFERROR(__xludf.DUMMYFUNCTION("""COMPUTED_VALUE"""),"Handshakes That Don't Cross")</f>
        <v>Handshakes That Don't Cross</v>
      </c>
      <c r="C1260" s="20" t="str">
        <f>IFERROR(__xludf.DUMMYFUNCTION("""COMPUTED_VALUE"""),"handshakes-that-dont-cross")</f>
        <v>handshakes-that-dont-cross</v>
      </c>
      <c r="D1260" s="20" t="b">
        <f>IFERROR(__xludf.DUMMYFUNCTION("""COMPUTED_VALUE"""),TRUE)</f>
        <v>1</v>
      </c>
      <c r="E1260" s="20" t="str">
        <f>IFERROR(__xludf.DUMMYFUNCTION("""COMPUTED_VALUE"""),"Hard")</f>
        <v>Hard</v>
      </c>
      <c r="F1260" s="20">
        <f>IFERROR(__xludf.DUMMYFUNCTION("""COMPUTED_VALUE"""),131.0)</f>
        <v>131</v>
      </c>
      <c r="G1260" s="20">
        <f>IFERROR(__xludf.DUMMYFUNCTION("""COMPUTED_VALUE"""),10.0)</f>
        <v>10</v>
      </c>
      <c r="H1260" s="20" t="str">
        <f>IFERROR(__xludf.DUMMYFUNCTION("""COMPUTED_VALUE"""),"Algorithms")</f>
        <v>Algorithms</v>
      </c>
      <c r="I1260" s="20">
        <f>IFERROR(__xludf.DUMMYFUNCTION("""COMPUTED_VALUE"""),0.564)</f>
        <v>0.564</v>
      </c>
      <c r="J1260" s="20">
        <f>IFERROR(__xludf.DUMMYFUNCTION("""COMPUTED_VALUE"""),1259.0)</f>
        <v>1259</v>
      </c>
      <c r="K1260" s="20" t="b">
        <f>IFERROR(__xludf.DUMMYFUNCTION("""COMPUTED_VALUE"""),TRUE)</f>
        <v>1</v>
      </c>
      <c r="L1260" s="20" t="str">
        <f>IFERROR(__xludf.DUMMYFUNCTION("""COMPUTED_VALUE"""),"Math;Dynamic Programming;")</f>
        <v>Math;Dynamic Programming;</v>
      </c>
      <c r="M1260" s="20" t="b">
        <f>IFERROR(__xludf.DUMMYFUNCTION("""COMPUTED_VALUE"""),FALSE)</f>
        <v>0</v>
      </c>
      <c r="N1260" s="20" t="b">
        <f>IFERROR(__xludf.DUMMYFUNCTION("""COMPUTED_VALUE"""),FALSE)</f>
        <v>0</v>
      </c>
      <c r="O1260" s="20">
        <f>IFERROR(__xludf.DUMMYFUNCTION("""COMPUTED_VALUE"""),56.3796585276298)</f>
        <v>56.37965853</v>
      </c>
      <c r="P1260" s="20">
        <f>IFERROR(__xludf.DUMMYFUNCTION("""COMPUTED_VALUE"""),6142.0)</f>
        <v>6142</v>
      </c>
      <c r="Q1260" s="20">
        <f>IFERROR(__xludf.DUMMYFUNCTION("""COMPUTED_VALUE"""),10894.0)</f>
        <v>10894</v>
      </c>
    </row>
    <row r="1261">
      <c r="A1261" s="20">
        <f>IFERROR(__xludf.DUMMYFUNCTION("""COMPUTED_VALUE"""),1386.0)</f>
        <v>1386</v>
      </c>
      <c r="B1261" s="20" t="str">
        <f>IFERROR(__xludf.DUMMYFUNCTION("""COMPUTED_VALUE"""),"Shift 2D Grid")</f>
        <v>Shift 2D Grid</v>
      </c>
      <c r="C1261" s="20" t="str">
        <f>IFERROR(__xludf.DUMMYFUNCTION("""COMPUTED_VALUE"""),"shift-2d-grid")</f>
        <v>shift-2d-grid</v>
      </c>
      <c r="D1261" s="20" t="b">
        <f>IFERROR(__xludf.DUMMYFUNCTION("""COMPUTED_VALUE"""),FALSE)</f>
        <v>0</v>
      </c>
      <c r="E1261" s="20" t="str">
        <f>IFERROR(__xludf.DUMMYFUNCTION("""COMPUTED_VALUE"""),"Easy")</f>
        <v>Easy</v>
      </c>
      <c r="F1261" s="20">
        <f>IFERROR(__xludf.DUMMYFUNCTION("""COMPUTED_VALUE"""),1540.0)</f>
        <v>1540</v>
      </c>
      <c r="G1261" s="20">
        <f>IFERROR(__xludf.DUMMYFUNCTION("""COMPUTED_VALUE"""),319.0)</f>
        <v>319</v>
      </c>
      <c r="H1261" s="20" t="str">
        <f>IFERROR(__xludf.DUMMYFUNCTION("""COMPUTED_VALUE"""),"Algorithms")</f>
        <v>Algorithms</v>
      </c>
      <c r="I1261" s="20">
        <f>IFERROR(__xludf.DUMMYFUNCTION("""COMPUTED_VALUE"""),0.679)</f>
        <v>0.679</v>
      </c>
      <c r="J1261" s="20">
        <f>IFERROR(__xludf.DUMMYFUNCTION("""COMPUTED_VALUE"""),1260.0)</f>
        <v>1260</v>
      </c>
      <c r="K1261" s="20" t="b">
        <f>IFERROR(__xludf.DUMMYFUNCTION("""COMPUTED_VALUE"""),FALSE)</f>
        <v>0</v>
      </c>
      <c r="L1261" s="20" t="str">
        <f>IFERROR(__xludf.DUMMYFUNCTION("""COMPUTED_VALUE"""),"Array;Matrix;Simulation;")</f>
        <v>Array;Matrix;Simulation;</v>
      </c>
      <c r="M1261" s="20" t="b">
        <f>IFERROR(__xludf.DUMMYFUNCTION("""COMPUTED_VALUE"""),TRUE)</f>
        <v>1</v>
      </c>
      <c r="N1261" s="20" t="b">
        <f>IFERROR(__xludf.DUMMYFUNCTION("""COMPUTED_VALUE"""),FALSE)</f>
        <v>0</v>
      </c>
      <c r="O1261" s="20">
        <f>IFERROR(__xludf.DUMMYFUNCTION("""COMPUTED_VALUE"""),67.9215957807274)</f>
        <v>67.92159578</v>
      </c>
      <c r="P1261" s="20">
        <f>IFERROR(__xludf.DUMMYFUNCTION("""COMPUTED_VALUE"""),92209.0)</f>
        <v>92209</v>
      </c>
      <c r="Q1261" s="20">
        <f>IFERROR(__xludf.DUMMYFUNCTION("""COMPUTED_VALUE"""),135758.0)</f>
        <v>135758</v>
      </c>
    </row>
    <row r="1262">
      <c r="A1262" s="20">
        <f>IFERROR(__xludf.DUMMYFUNCTION("""COMPUTED_VALUE"""),1387.0)</f>
        <v>1387</v>
      </c>
      <c r="B1262" s="20" t="str">
        <f>IFERROR(__xludf.DUMMYFUNCTION("""COMPUTED_VALUE"""),"Find Elements in a Contaminated Binary Tree")</f>
        <v>Find Elements in a Contaminated Binary Tree</v>
      </c>
      <c r="C1262" s="20" t="str">
        <f>IFERROR(__xludf.DUMMYFUNCTION("""COMPUTED_VALUE"""),"find-elements-in-a-contaminated-binary-tree")</f>
        <v>find-elements-in-a-contaminated-binary-tree</v>
      </c>
      <c r="D1262" s="20" t="b">
        <f>IFERROR(__xludf.DUMMYFUNCTION("""COMPUTED_VALUE"""),FALSE)</f>
        <v>0</v>
      </c>
      <c r="E1262" s="20" t="str">
        <f>IFERROR(__xludf.DUMMYFUNCTION("""COMPUTED_VALUE"""),"Medium")</f>
        <v>Medium</v>
      </c>
      <c r="F1262" s="20">
        <f>IFERROR(__xludf.DUMMYFUNCTION("""COMPUTED_VALUE"""),804.0)</f>
        <v>804</v>
      </c>
      <c r="G1262" s="20">
        <f>IFERROR(__xludf.DUMMYFUNCTION("""COMPUTED_VALUE"""),90.0)</f>
        <v>90</v>
      </c>
      <c r="H1262" s="20" t="str">
        <f>IFERROR(__xludf.DUMMYFUNCTION("""COMPUTED_VALUE"""),"Algorithms")</f>
        <v>Algorithms</v>
      </c>
      <c r="I1262" s="20">
        <f>IFERROR(__xludf.DUMMYFUNCTION("""COMPUTED_VALUE"""),0.762)</f>
        <v>0.762</v>
      </c>
      <c r="J1262" s="20">
        <f>IFERROR(__xludf.DUMMYFUNCTION("""COMPUTED_VALUE"""),1261.0)</f>
        <v>1261</v>
      </c>
      <c r="K1262" s="20" t="b">
        <f>IFERROR(__xludf.DUMMYFUNCTION("""COMPUTED_VALUE"""),FALSE)</f>
        <v>0</v>
      </c>
      <c r="L1262" s="20" t="str">
        <f>IFERROR(__xludf.DUMMYFUNCTION("""COMPUTED_VALUE"""),"Hash Table;Tree;Depth-First Search;Breadth-First Search;Design;Binary Tree;")</f>
        <v>Hash Table;Tree;Depth-First Search;Breadth-First Search;Design;Binary Tree;</v>
      </c>
      <c r="M1262" s="20" t="b">
        <f>IFERROR(__xludf.DUMMYFUNCTION("""COMPUTED_VALUE"""),FALSE)</f>
        <v>0</v>
      </c>
      <c r="N1262" s="20" t="b">
        <f>IFERROR(__xludf.DUMMYFUNCTION("""COMPUTED_VALUE"""),FALSE)</f>
        <v>0</v>
      </c>
      <c r="O1262" s="20">
        <f>IFERROR(__xludf.DUMMYFUNCTION("""COMPUTED_VALUE"""),76.1503423465243)</f>
        <v>76.15034235</v>
      </c>
      <c r="P1262" s="20">
        <f>IFERROR(__xludf.DUMMYFUNCTION("""COMPUTED_VALUE"""),52495.0)</f>
        <v>52495</v>
      </c>
      <c r="Q1262" s="20">
        <f>IFERROR(__xludf.DUMMYFUNCTION("""COMPUTED_VALUE"""),68936.0)</f>
        <v>68936</v>
      </c>
    </row>
    <row r="1263">
      <c r="A1263" s="20">
        <f>IFERROR(__xludf.DUMMYFUNCTION("""COMPUTED_VALUE"""),1388.0)</f>
        <v>1388</v>
      </c>
      <c r="B1263" s="20" t="str">
        <f>IFERROR(__xludf.DUMMYFUNCTION("""COMPUTED_VALUE"""),"Greatest Sum Divisible by Three")</f>
        <v>Greatest Sum Divisible by Three</v>
      </c>
      <c r="C1263" s="20" t="str">
        <f>IFERROR(__xludf.DUMMYFUNCTION("""COMPUTED_VALUE"""),"greatest-sum-divisible-by-three")</f>
        <v>greatest-sum-divisible-by-three</v>
      </c>
      <c r="D1263" s="20" t="b">
        <f>IFERROR(__xludf.DUMMYFUNCTION("""COMPUTED_VALUE"""),FALSE)</f>
        <v>0</v>
      </c>
      <c r="E1263" s="20" t="str">
        <f>IFERROR(__xludf.DUMMYFUNCTION("""COMPUTED_VALUE"""),"Medium")</f>
        <v>Medium</v>
      </c>
      <c r="F1263" s="20">
        <f>IFERROR(__xludf.DUMMYFUNCTION("""COMPUTED_VALUE"""),1472.0)</f>
        <v>1472</v>
      </c>
      <c r="G1263" s="20">
        <f>IFERROR(__xludf.DUMMYFUNCTION("""COMPUTED_VALUE"""),36.0)</f>
        <v>36</v>
      </c>
      <c r="H1263" s="20" t="str">
        <f>IFERROR(__xludf.DUMMYFUNCTION("""COMPUTED_VALUE"""),"Algorithms")</f>
        <v>Algorithms</v>
      </c>
      <c r="I1263" s="20">
        <f>IFERROR(__xludf.DUMMYFUNCTION("""COMPUTED_VALUE"""),0.509)</f>
        <v>0.509</v>
      </c>
      <c r="J1263" s="20">
        <f>IFERROR(__xludf.DUMMYFUNCTION("""COMPUTED_VALUE"""),1262.0)</f>
        <v>1262</v>
      </c>
      <c r="K1263" s="20" t="b">
        <f>IFERROR(__xludf.DUMMYFUNCTION("""COMPUTED_VALUE"""),FALSE)</f>
        <v>0</v>
      </c>
      <c r="L1263" s="20" t="str">
        <f>IFERROR(__xludf.DUMMYFUNCTION("""COMPUTED_VALUE"""),"Array;Dynamic Programming;Greedy;")</f>
        <v>Array;Dynamic Programming;Greedy;</v>
      </c>
      <c r="M1263" s="20" t="b">
        <f>IFERROR(__xludf.DUMMYFUNCTION("""COMPUTED_VALUE"""),FALSE)</f>
        <v>0</v>
      </c>
      <c r="N1263" s="20" t="b">
        <f>IFERROR(__xludf.DUMMYFUNCTION("""COMPUTED_VALUE"""),FALSE)</f>
        <v>0</v>
      </c>
      <c r="O1263" s="20">
        <f>IFERROR(__xludf.DUMMYFUNCTION("""COMPUTED_VALUE"""),50.8766046027523)</f>
        <v>50.8766046</v>
      </c>
      <c r="P1263" s="20">
        <f>IFERROR(__xludf.DUMMYFUNCTION("""COMPUTED_VALUE"""),43993.0)</f>
        <v>43993</v>
      </c>
      <c r="Q1263" s="20">
        <f>IFERROR(__xludf.DUMMYFUNCTION("""COMPUTED_VALUE"""),86469.0)</f>
        <v>86469</v>
      </c>
    </row>
    <row r="1264">
      <c r="A1264" s="20">
        <f>IFERROR(__xludf.DUMMYFUNCTION("""COMPUTED_VALUE"""),1389.0)</f>
        <v>1389</v>
      </c>
      <c r="B1264" s="20" t="str">
        <f>IFERROR(__xludf.DUMMYFUNCTION("""COMPUTED_VALUE"""),"Minimum Moves to Move a Box to Their Target Location")</f>
        <v>Minimum Moves to Move a Box to Their Target Location</v>
      </c>
      <c r="C1264" s="20" t="str">
        <f>IFERROR(__xludf.DUMMYFUNCTION("""COMPUTED_VALUE"""),"minimum-moves-to-move-a-box-to-their-target-location")</f>
        <v>minimum-moves-to-move-a-box-to-their-target-location</v>
      </c>
      <c r="D1264" s="20" t="b">
        <f>IFERROR(__xludf.DUMMYFUNCTION("""COMPUTED_VALUE"""),FALSE)</f>
        <v>0</v>
      </c>
      <c r="E1264" s="20" t="str">
        <f>IFERROR(__xludf.DUMMYFUNCTION("""COMPUTED_VALUE"""),"Hard")</f>
        <v>Hard</v>
      </c>
      <c r="F1264" s="20">
        <f>IFERROR(__xludf.DUMMYFUNCTION("""COMPUTED_VALUE"""),736.0)</f>
        <v>736</v>
      </c>
      <c r="G1264" s="20">
        <f>IFERROR(__xludf.DUMMYFUNCTION("""COMPUTED_VALUE"""),52.0)</f>
        <v>52</v>
      </c>
      <c r="H1264" s="20" t="str">
        <f>IFERROR(__xludf.DUMMYFUNCTION("""COMPUTED_VALUE"""),"Algorithms")</f>
        <v>Algorithms</v>
      </c>
      <c r="I1264" s="20">
        <f>IFERROR(__xludf.DUMMYFUNCTION("""COMPUTED_VALUE"""),0.491)</f>
        <v>0.491</v>
      </c>
      <c r="J1264" s="20">
        <f>IFERROR(__xludf.DUMMYFUNCTION("""COMPUTED_VALUE"""),1263.0)</f>
        <v>1263</v>
      </c>
      <c r="K1264" s="20" t="b">
        <f>IFERROR(__xludf.DUMMYFUNCTION("""COMPUTED_VALUE"""),FALSE)</f>
        <v>0</v>
      </c>
      <c r="L1264" s="20" t="str">
        <f>IFERROR(__xludf.DUMMYFUNCTION("""COMPUTED_VALUE"""),"Array;Breadth-First Search;Heap (Priority Queue);Matrix;")</f>
        <v>Array;Breadth-First Search;Heap (Priority Queue);Matrix;</v>
      </c>
      <c r="M1264" s="20" t="b">
        <f>IFERROR(__xludf.DUMMYFUNCTION("""COMPUTED_VALUE"""),FALSE)</f>
        <v>0</v>
      </c>
      <c r="N1264" s="20" t="b">
        <f>IFERROR(__xludf.DUMMYFUNCTION("""COMPUTED_VALUE"""),FALSE)</f>
        <v>0</v>
      </c>
      <c r="O1264" s="20">
        <f>IFERROR(__xludf.DUMMYFUNCTION("""COMPUTED_VALUE"""),49.0558300699157)</f>
        <v>49.05583007</v>
      </c>
      <c r="P1264" s="20">
        <f>IFERROR(__xludf.DUMMYFUNCTION("""COMPUTED_VALUE"""),23926.0)</f>
        <v>23926</v>
      </c>
      <c r="Q1264" s="20">
        <f>IFERROR(__xludf.DUMMYFUNCTION("""COMPUTED_VALUE"""),48773.0)</f>
        <v>48773</v>
      </c>
    </row>
    <row r="1265">
      <c r="A1265" s="20">
        <f>IFERROR(__xludf.DUMMYFUNCTION("""COMPUTED_VALUE"""),1399.0)</f>
        <v>1399</v>
      </c>
      <c r="B1265" s="20" t="str">
        <f>IFERROR(__xludf.DUMMYFUNCTION("""COMPUTED_VALUE"""),"Page Recommendations")</f>
        <v>Page Recommendations</v>
      </c>
      <c r="C1265" s="20" t="str">
        <f>IFERROR(__xludf.DUMMYFUNCTION("""COMPUTED_VALUE"""),"page-recommendations")</f>
        <v>page-recommendations</v>
      </c>
      <c r="D1265" s="20" t="b">
        <f>IFERROR(__xludf.DUMMYFUNCTION("""COMPUTED_VALUE"""),TRUE)</f>
        <v>1</v>
      </c>
      <c r="E1265" s="20" t="str">
        <f>IFERROR(__xludf.DUMMYFUNCTION("""COMPUTED_VALUE"""),"Medium")</f>
        <v>Medium</v>
      </c>
      <c r="F1265" s="20">
        <f>IFERROR(__xludf.DUMMYFUNCTION("""COMPUTED_VALUE"""),197.0)</f>
        <v>197</v>
      </c>
      <c r="G1265" s="20">
        <f>IFERROR(__xludf.DUMMYFUNCTION("""COMPUTED_VALUE"""),17.0)</f>
        <v>17</v>
      </c>
      <c r="H1265" s="20" t="str">
        <f>IFERROR(__xludf.DUMMYFUNCTION("""COMPUTED_VALUE"""),"Database")</f>
        <v>Database</v>
      </c>
      <c r="I1265" s="20">
        <f>IFERROR(__xludf.DUMMYFUNCTION("""COMPUTED_VALUE"""),0.675)</f>
        <v>0.675</v>
      </c>
      <c r="J1265" s="20">
        <f>IFERROR(__xludf.DUMMYFUNCTION("""COMPUTED_VALUE"""),1264.0)</f>
        <v>1264</v>
      </c>
      <c r="K1265" s="20" t="b">
        <f>IFERROR(__xludf.DUMMYFUNCTION("""COMPUTED_VALUE"""),TRUE)</f>
        <v>1</v>
      </c>
      <c r="L1265" s="20" t="str">
        <f>IFERROR(__xludf.DUMMYFUNCTION("""COMPUTED_VALUE"""),"Database;")</f>
        <v>Database;</v>
      </c>
      <c r="M1265" s="20" t="b">
        <f>IFERROR(__xludf.DUMMYFUNCTION("""COMPUTED_VALUE"""),FALSE)</f>
        <v>0</v>
      </c>
      <c r="N1265" s="20" t="b">
        <f>IFERROR(__xludf.DUMMYFUNCTION("""COMPUTED_VALUE"""),FALSE)</f>
        <v>0</v>
      </c>
      <c r="O1265" s="20">
        <f>IFERROR(__xludf.DUMMYFUNCTION("""COMPUTED_VALUE"""),67.5174216027874)</f>
        <v>67.5174216</v>
      </c>
      <c r="P1265" s="20">
        <f>IFERROR(__xludf.DUMMYFUNCTION("""COMPUTED_VALUE"""),31004.0)</f>
        <v>31004</v>
      </c>
      <c r="Q1265" s="20">
        <f>IFERROR(__xludf.DUMMYFUNCTION("""COMPUTED_VALUE"""),45920.0)</f>
        <v>45920</v>
      </c>
    </row>
    <row r="1266">
      <c r="A1266" s="20">
        <f>IFERROR(__xludf.DUMMYFUNCTION("""COMPUTED_VALUE"""),1404.0)</f>
        <v>1404</v>
      </c>
      <c r="B1266" s="20" t="str">
        <f>IFERROR(__xludf.DUMMYFUNCTION("""COMPUTED_VALUE"""),"Print Immutable Linked List in Reverse")</f>
        <v>Print Immutable Linked List in Reverse</v>
      </c>
      <c r="C1266" s="20" t="str">
        <f>IFERROR(__xludf.DUMMYFUNCTION("""COMPUTED_VALUE"""),"print-immutable-linked-list-in-reverse")</f>
        <v>print-immutable-linked-list-in-reverse</v>
      </c>
      <c r="D1266" s="20" t="b">
        <f>IFERROR(__xludf.DUMMYFUNCTION("""COMPUTED_VALUE"""),TRUE)</f>
        <v>1</v>
      </c>
      <c r="E1266" s="20" t="str">
        <f>IFERROR(__xludf.DUMMYFUNCTION("""COMPUTED_VALUE"""),"Medium")</f>
        <v>Medium</v>
      </c>
      <c r="F1266" s="20">
        <f>IFERROR(__xludf.DUMMYFUNCTION("""COMPUTED_VALUE"""),508.0)</f>
        <v>508</v>
      </c>
      <c r="G1266" s="20">
        <f>IFERROR(__xludf.DUMMYFUNCTION("""COMPUTED_VALUE"""),91.0)</f>
        <v>91</v>
      </c>
      <c r="H1266" s="20" t="str">
        <f>IFERROR(__xludf.DUMMYFUNCTION("""COMPUTED_VALUE"""),"Algorithms")</f>
        <v>Algorithms</v>
      </c>
      <c r="I1266" s="20">
        <f>IFERROR(__xludf.DUMMYFUNCTION("""COMPUTED_VALUE"""),0.943)</f>
        <v>0.943</v>
      </c>
      <c r="J1266" s="20">
        <f>IFERROR(__xludf.DUMMYFUNCTION("""COMPUTED_VALUE"""),1265.0)</f>
        <v>1265</v>
      </c>
      <c r="K1266" s="20" t="b">
        <f>IFERROR(__xludf.DUMMYFUNCTION("""COMPUTED_VALUE"""),TRUE)</f>
        <v>1</v>
      </c>
      <c r="L1266" s="20" t="str">
        <f>IFERROR(__xludf.DUMMYFUNCTION("""COMPUTED_VALUE"""),"Linked List;Two Pointers;Stack;Recursion;")</f>
        <v>Linked List;Two Pointers;Stack;Recursion;</v>
      </c>
      <c r="M1266" s="20" t="b">
        <f>IFERROR(__xludf.DUMMYFUNCTION("""COMPUTED_VALUE"""),FALSE)</f>
        <v>0</v>
      </c>
      <c r="N1266" s="20" t="b">
        <f>IFERROR(__xludf.DUMMYFUNCTION("""COMPUTED_VALUE"""),FALSE)</f>
        <v>0</v>
      </c>
      <c r="O1266" s="20">
        <f>IFERROR(__xludf.DUMMYFUNCTION("""COMPUTED_VALUE"""),94.2614431341195)</f>
        <v>94.26144313</v>
      </c>
      <c r="P1266" s="20">
        <f>IFERROR(__xludf.DUMMYFUNCTION("""COMPUTED_VALUE"""),47159.0)</f>
        <v>47159</v>
      </c>
      <c r="Q1266" s="20">
        <f>IFERROR(__xludf.DUMMYFUNCTION("""COMPUTED_VALUE"""),50030.0)</f>
        <v>50030</v>
      </c>
    </row>
    <row r="1267">
      <c r="A1267" s="20">
        <f>IFERROR(__xludf.DUMMYFUNCTION("""COMPUTED_VALUE"""),1395.0)</f>
        <v>1395</v>
      </c>
      <c r="B1267" s="20" t="str">
        <f>IFERROR(__xludf.DUMMYFUNCTION("""COMPUTED_VALUE"""),"Minimum Time Visiting All Points")</f>
        <v>Minimum Time Visiting All Points</v>
      </c>
      <c r="C1267" s="20" t="str">
        <f>IFERROR(__xludf.DUMMYFUNCTION("""COMPUTED_VALUE"""),"minimum-time-visiting-all-points")</f>
        <v>minimum-time-visiting-all-points</v>
      </c>
      <c r="D1267" s="20" t="b">
        <f>IFERROR(__xludf.DUMMYFUNCTION("""COMPUTED_VALUE"""),FALSE)</f>
        <v>0</v>
      </c>
      <c r="E1267" s="20" t="str">
        <f>IFERROR(__xludf.DUMMYFUNCTION("""COMPUTED_VALUE"""),"Easy")</f>
        <v>Easy</v>
      </c>
      <c r="F1267" s="20">
        <f>IFERROR(__xludf.DUMMYFUNCTION("""COMPUTED_VALUE"""),1362.0)</f>
        <v>1362</v>
      </c>
      <c r="G1267" s="20">
        <f>IFERROR(__xludf.DUMMYFUNCTION("""COMPUTED_VALUE"""),173.0)</f>
        <v>173</v>
      </c>
      <c r="H1267" s="20" t="str">
        <f>IFERROR(__xludf.DUMMYFUNCTION("""COMPUTED_VALUE"""),"Algorithms")</f>
        <v>Algorithms</v>
      </c>
      <c r="I1267" s="20">
        <f>IFERROR(__xludf.DUMMYFUNCTION("""COMPUTED_VALUE"""),0.791)</f>
        <v>0.791</v>
      </c>
      <c r="J1267" s="20">
        <f>IFERROR(__xludf.DUMMYFUNCTION("""COMPUTED_VALUE"""),1266.0)</f>
        <v>1266</v>
      </c>
      <c r="K1267" s="20" t="b">
        <f>IFERROR(__xludf.DUMMYFUNCTION("""COMPUTED_VALUE"""),FALSE)</f>
        <v>0</v>
      </c>
      <c r="L1267" s="20" t="str">
        <f>IFERROR(__xludf.DUMMYFUNCTION("""COMPUTED_VALUE"""),"Array;Math;Geometry;")</f>
        <v>Array;Math;Geometry;</v>
      </c>
      <c r="M1267" s="20" t="b">
        <f>IFERROR(__xludf.DUMMYFUNCTION("""COMPUTED_VALUE"""),FALSE)</f>
        <v>0</v>
      </c>
      <c r="N1267" s="20" t="b">
        <f>IFERROR(__xludf.DUMMYFUNCTION("""COMPUTED_VALUE"""),FALSE)</f>
        <v>0</v>
      </c>
      <c r="O1267" s="20">
        <f>IFERROR(__xludf.DUMMYFUNCTION("""COMPUTED_VALUE"""),79.1162231298497)</f>
        <v>79.11622313</v>
      </c>
      <c r="P1267" s="20">
        <f>IFERROR(__xludf.DUMMYFUNCTION("""COMPUTED_VALUE"""),129590.0)</f>
        <v>129590</v>
      </c>
      <c r="Q1267" s="20">
        <f>IFERROR(__xludf.DUMMYFUNCTION("""COMPUTED_VALUE"""),163797.0)</f>
        <v>163797</v>
      </c>
    </row>
    <row r="1268">
      <c r="A1268" s="20">
        <f>IFERROR(__xludf.DUMMYFUNCTION("""COMPUTED_VALUE"""),1396.0)</f>
        <v>1396</v>
      </c>
      <c r="B1268" s="20" t="str">
        <f>IFERROR(__xludf.DUMMYFUNCTION("""COMPUTED_VALUE"""),"Count Servers that Communicate")</f>
        <v>Count Servers that Communicate</v>
      </c>
      <c r="C1268" s="20" t="str">
        <f>IFERROR(__xludf.DUMMYFUNCTION("""COMPUTED_VALUE"""),"count-servers-that-communicate")</f>
        <v>count-servers-that-communicate</v>
      </c>
      <c r="D1268" s="20" t="b">
        <f>IFERROR(__xludf.DUMMYFUNCTION("""COMPUTED_VALUE"""),FALSE)</f>
        <v>0</v>
      </c>
      <c r="E1268" s="20" t="str">
        <f>IFERROR(__xludf.DUMMYFUNCTION("""COMPUTED_VALUE"""),"Medium")</f>
        <v>Medium</v>
      </c>
      <c r="F1268" s="20">
        <f>IFERROR(__xludf.DUMMYFUNCTION("""COMPUTED_VALUE"""),1073.0)</f>
        <v>1073</v>
      </c>
      <c r="G1268" s="20">
        <f>IFERROR(__xludf.DUMMYFUNCTION("""COMPUTED_VALUE"""),76.0)</f>
        <v>76</v>
      </c>
      <c r="H1268" s="20" t="str">
        <f>IFERROR(__xludf.DUMMYFUNCTION("""COMPUTED_VALUE"""),"Algorithms")</f>
        <v>Algorithms</v>
      </c>
      <c r="I1268" s="20">
        <f>IFERROR(__xludf.DUMMYFUNCTION("""COMPUTED_VALUE"""),0.593)</f>
        <v>0.593</v>
      </c>
      <c r="J1268" s="20">
        <f>IFERROR(__xludf.DUMMYFUNCTION("""COMPUTED_VALUE"""),1267.0)</f>
        <v>1267</v>
      </c>
      <c r="K1268" s="20" t="b">
        <f>IFERROR(__xludf.DUMMYFUNCTION("""COMPUTED_VALUE"""),FALSE)</f>
        <v>0</v>
      </c>
      <c r="L1268" s="20" t="str">
        <f>IFERROR(__xludf.DUMMYFUNCTION("""COMPUTED_VALUE"""),"Array;Depth-First Search;Breadth-First Search;Union Find;Matrix;Counting;")</f>
        <v>Array;Depth-First Search;Breadth-First Search;Union Find;Matrix;Counting;</v>
      </c>
      <c r="M1268" s="20" t="b">
        <f>IFERROR(__xludf.DUMMYFUNCTION("""COMPUTED_VALUE"""),FALSE)</f>
        <v>0</v>
      </c>
      <c r="N1268" s="20" t="b">
        <f>IFERROR(__xludf.DUMMYFUNCTION("""COMPUTED_VALUE"""),FALSE)</f>
        <v>0</v>
      </c>
      <c r="O1268" s="20">
        <f>IFERROR(__xludf.DUMMYFUNCTION("""COMPUTED_VALUE"""),59.3273343797553)</f>
        <v>59.32733438</v>
      </c>
      <c r="P1268" s="20">
        <f>IFERROR(__xludf.DUMMYFUNCTION("""COMPUTED_VALUE"""),49513.0)</f>
        <v>49513</v>
      </c>
      <c r="Q1268" s="20">
        <f>IFERROR(__xludf.DUMMYFUNCTION("""COMPUTED_VALUE"""),83458.0)</f>
        <v>83458</v>
      </c>
    </row>
    <row r="1269">
      <c r="A1269" s="20">
        <f>IFERROR(__xludf.DUMMYFUNCTION("""COMPUTED_VALUE"""),1397.0)</f>
        <v>1397</v>
      </c>
      <c r="B1269" s="20" t="str">
        <f>IFERROR(__xludf.DUMMYFUNCTION("""COMPUTED_VALUE"""),"Search Suggestions System")</f>
        <v>Search Suggestions System</v>
      </c>
      <c r="C1269" s="20" t="str">
        <f>IFERROR(__xludf.DUMMYFUNCTION("""COMPUTED_VALUE"""),"search-suggestions-system")</f>
        <v>search-suggestions-system</v>
      </c>
      <c r="D1269" s="20" t="b">
        <f>IFERROR(__xludf.DUMMYFUNCTION("""COMPUTED_VALUE"""),FALSE)</f>
        <v>0</v>
      </c>
      <c r="E1269" s="20" t="str">
        <f>IFERROR(__xludf.DUMMYFUNCTION("""COMPUTED_VALUE"""),"Medium")</f>
        <v>Medium</v>
      </c>
      <c r="F1269" s="20">
        <f>IFERROR(__xludf.DUMMYFUNCTION("""COMPUTED_VALUE"""),3935.0)</f>
        <v>3935</v>
      </c>
      <c r="G1269" s="20">
        <f>IFERROR(__xludf.DUMMYFUNCTION("""COMPUTED_VALUE"""),189.0)</f>
        <v>189</v>
      </c>
      <c r="H1269" s="20" t="str">
        <f>IFERROR(__xludf.DUMMYFUNCTION("""COMPUTED_VALUE"""),"Algorithms")</f>
        <v>Algorithms</v>
      </c>
      <c r="I1269" s="20">
        <f>IFERROR(__xludf.DUMMYFUNCTION("""COMPUTED_VALUE"""),0.664)</f>
        <v>0.664</v>
      </c>
      <c r="J1269" s="20">
        <f>IFERROR(__xludf.DUMMYFUNCTION("""COMPUTED_VALUE"""),1268.0)</f>
        <v>1268</v>
      </c>
      <c r="K1269" s="20" t="b">
        <f>IFERROR(__xludf.DUMMYFUNCTION("""COMPUTED_VALUE"""),FALSE)</f>
        <v>0</v>
      </c>
      <c r="L1269" s="20" t="str">
        <f>IFERROR(__xludf.DUMMYFUNCTION("""COMPUTED_VALUE"""),"Array;String;Trie;")</f>
        <v>Array;String;Trie;</v>
      </c>
      <c r="M1269" s="20" t="b">
        <f>IFERROR(__xludf.DUMMYFUNCTION("""COMPUTED_VALUE"""),TRUE)</f>
        <v>1</v>
      </c>
      <c r="N1269" s="20" t="b">
        <f>IFERROR(__xludf.DUMMYFUNCTION("""COMPUTED_VALUE"""),FALSE)</f>
        <v>0</v>
      </c>
      <c r="O1269" s="20">
        <f>IFERROR(__xludf.DUMMYFUNCTION("""COMPUTED_VALUE"""),66.4272755812758)</f>
        <v>66.42727558</v>
      </c>
      <c r="P1269" s="20">
        <f>IFERROR(__xludf.DUMMYFUNCTION("""COMPUTED_VALUE"""),239098.0)</f>
        <v>239098</v>
      </c>
      <c r="Q1269" s="20">
        <f>IFERROR(__xludf.DUMMYFUNCTION("""COMPUTED_VALUE"""),359940.0)</f>
        <v>359940</v>
      </c>
    </row>
    <row r="1270">
      <c r="A1270" s="20">
        <f>IFERROR(__xludf.DUMMYFUNCTION("""COMPUTED_VALUE"""),1398.0)</f>
        <v>1398</v>
      </c>
      <c r="B1270" s="20" t="str">
        <f>IFERROR(__xludf.DUMMYFUNCTION("""COMPUTED_VALUE"""),"Number of Ways to Stay in the Same Place After Some Steps")</f>
        <v>Number of Ways to Stay in the Same Place After Some Steps</v>
      </c>
      <c r="C1270" s="20" t="str">
        <f>IFERROR(__xludf.DUMMYFUNCTION("""COMPUTED_VALUE"""),"number-of-ways-to-stay-in-the-same-place-after-some-steps")</f>
        <v>number-of-ways-to-stay-in-the-same-place-after-some-steps</v>
      </c>
      <c r="D1270" s="20" t="b">
        <f>IFERROR(__xludf.DUMMYFUNCTION("""COMPUTED_VALUE"""),FALSE)</f>
        <v>0</v>
      </c>
      <c r="E1270" s="20" t="str">
        <f>IFERROR(__xludf.DUMMYFUNCTION("""COMPUTED_VALUE"""),"Hard")</f>
        <v>Hard</v>
      </c>
      <c r="F1270" s="20">
        <f>IFERROR(__xludf.DUMMYFUNCTION("""COMPUTED_VALUE"""),652.0)</f>
        <v>652</v>
      </c>
      <c r="G1270" s="20">
        <f>IFERROR(__xludf.DUMMYFUNCTION("""COMPUTED_VALUE"""),35.0)</f>
        <v>35</v>
      </c>
      <c r="H1270" s="20" t="str">
        <f>IFERROR(__xludf.DUMMYFUNCTION("""COMPUTED_VALUE"""),"Algorithms")</f>
        <v>Algorithms</v>
      </c>
      <c r="I1270" s="20">
        <f>IFERROR(__xludf.DUMMYFUNCTION("""COMPUTED_VALUE"""),0.436)</f>
        <v>0.436</v>
      </c>
      <c r="J1270" s="20">
        <f>IFERROR(__xludf.DUMMYFUNCTION("""COMPUTED_VALUE"""),1269.0)</f>
        <v>1269</v>
      </c>
      <c r="K1270" s="20" t="b">
        <f>IFERROR(__xludf.DUMMYFUNCTION("""COMPUTED_VALUE"""),FALSE)</f>
        <v>0</v>
      </c>
      <c r="L1270" s="20" t="str">
        <f>IFERROR(__xludf.DUMMYFUNCTION("""COMPUTED_VALUE"""),"Dynamic Programming;")</f>
        <v>Dynamic Programming;</v>
      </c>
      <c r="M1270" s="20" t="b">
        <f>IFERROR(__xludf.DUMMYFUNCTION("""COMPUTED_VALUE"""),FALSE)</f>
        <v>0</v>
      </c>
      <c r="N1270" s="20" t="b">
        <f>IFERROR(__xludf.DUMMYFUNCTION("""COMPUTED_VALUE"""),FALSE)</f>
        <v>0</v>
      </c>
      <c r="O1270" s="20">
        <f>IFERROR(__xludf.DUMMYFUNCTION("""COMPUTED_VALUE"""),43.6210514456321)</f>
        <v>43.62105145</v>
      </c>
      <c r="P1270" s="20">
        <f>IFERROR(__xludf.DUMMYFUNCTION("""COMPUTED_VALUE"""),30974.0)</f>
        <v>30974</v>
      </c>
      <c r="Q1270" s="20">
        <f>IFERROR(__xludf.DUMMYFUNCTION("""COMPUTED_VALUE"""),71007.0)</f>
        <v>71007</v>
      </c>
    </row>
    <row r="1271">
      <c r="A1271" s="20">
        <f>IFERROR(__xludf.DUMMYFUNCTION("""COMPUTED_VALUE"""),1405.0)</f>
        <v>1405</v>
      </c>
      <c r="B1271" s="20" t="str">
        <f>IFERROR(__xludf.DUMMYFUNCTION("""COMPUTED_VALUE"""),"All People Report to the Given Manager")</f>
        <v>All People Report to the Given Manager</v>
      </c>
      <c r="C1271" s="20" t="str">
        <f>IFERROR(__xludf.DUMMYFUNCTION("""COMPUTED_VALUE"""),"all-people-report-to-the-given-manager")</f>
        <v>all-people-report-to-the-given-manager</v>
      </c>
      <c r="D1271" s="20" t="b">
        <f>IFERROR(__xludf.DUMMYFUNCTION("""COMPUTED_VALUE"""),TRUE)</f>
        <v>1</v>
      </c>
      <c r="E1271" s="20" t="str">
        <f>IFERROR(__xludf.DUMMYFUNCTION("""COMPUTED_VALUE"""),"Medium")</f>
        <v>Medium</v>
      </c>
      <c r="F1271" s="20">
        <f>IFERROR(__xludf.DUMMYFUNCTION("""COMPUTED_VALUE"""),347.0)</f>
        <v>347</v>
      </c>
      <c r="G1271" s="20">
        <f>IFERROR(__xludf.DUMMYFUNCTION("""COMPUTED_VALUE"""),24.0)</f>
        <v>24</v>
      </c>
      <c r="H1271" s="20" t="str">
        <f>IFERROR(__xludf.DUMMYFUNCTION("""COMPUTED_VALUE"""),"Database")</f>
        <v>Database</v>
      </c>
      <c r="I1271" s="20">
        <f>IFERROR(__xludf.DUMMYFUNCTION("""COMPUTED_VALUE"""),0.878)</f>
        <v>0.878</v>
      </c>
      <c r="J1271" s="20">
        <f>IFERROR(__xludf.DUMMYFUNCTION("""COMPUTED_VALUE"""),1270.0)</f>
        <v>1270</v>
      </c>
      <c r="K1271" s="20" t="b">
        <f>IFERROR(__xludf.DUMMYFUNCTION("""COMPUTED_VALUE"""),TRUE)</f>
        <v>1</v>
      </c>
      <c r="L1271" s="20" t="str">
        <f>IFERROR(__xludf.DUMMYFUNCTION("""COMPUTED_VALUE"""),"Database;")</f>
        <v>Database;</v>
      </c>
      <c r="M1271" s="20" t="b">
        <f>IFERROR(__xludf.DUMMYFUNCTION("""COMPUTED_VALUE"""),FALSE)</f>
        <v>0</v>
      </c>
      <c r="N1271" s="20" t="b">
        <f>IFERROR(__xludf.DUMMYFUNCTION("""COMPUTED_VALUE"""),FALSE)</f>
        <v>0</v>
      </c>
      <c r="O1271" s="20">
        <f>IFERROR(__xludf.DUMMYFUNCTION("""COMPUTED_VALUE"""),87.7750897455907)</f>
        <v>87.77508975</v>
      </c>
      <c r="P1271" s="20">
        <f>IFERROR(__xludf.DUMMYFUNCTION("""COMPUTED_VALUE"""),44990.0)</f>
        <v>44990</v>
      </c>
      <c r="Q1271" s="20">
        <f>IFERROR(__xludf.DUMMYFUNCTION("""COMPUTED_VALUE"""),51256.0)</f>
        <v>51256</v>
      </c>
    </row>
    <row r="1272">
      <c r="A1272" s="20">
        <f>IFERROR(__xludf.DUMMYFUNCTION("""COMPUTED_VALUE"""),1199.0)</f>
        <v>1199</v>
      </c>
      <c r="B1272" s="20" t="str">
        <f>IFERROR(__xludf.DUMMYFUNCTION("""COMPUTED_VALUE"""),"Hexspeak")</f>
        <v>Hexspeak</v>
      </c>
      <c r="C1272" s="20" t="str">
        <f>IFERROR(__xludf.DUMMYFUNCTION("""COMPUTED_VALUE"""),"hexspeak")</f>
        <v>hexspeak</v>
      </c>
      <c r="D1272" s="20" t="b">
        <f>IFERROR(__xludf.DUMMYFUNCTION("""COMPUTED_VALUE"""),TRUE)</f>
        <v>1</v>
      </c>
      <c r="E1272" s="20" t="str">
        <f>IFERROR(__xludf.DUMMYFUNCTION("""COMPUTED_VALUE"""),"Easy")</f>
        <v>Easy</v>
      </c>
      <c r="F1272" s="20">
        <f>IFERROR(__xludf.DUMMYFUNCTION("""COMPUTED_VALUE"""),62.0)</f>
        <v>62</v>
      </c>
      <c r="G1272" s="20">
        <f>IFERROR(__xludf.DUMMYFUNCTION("""COMPUTED_VALUE"""),110.0)</f>
        <v>110</v>
      </c>
      <c r="H1272" s="20" t="str">
        <f>IFERROR(__xludf.DUMMYFUNCTION("""COMPUTED_VALUE"""),"Algorithms")</f>
        <v>Algorithms</v>
      </c>
      <c r="I1272" s="20">
        <f>IFERROR(__xludf.DUMMYFUNCTION("""COMPUTED_VALUE"""),0.571)</f>
        <v>0.571</v>
      </c>
      <c r="J1272" s="20">
        <f>IFERROR(__xludf.DUMMYFUNCTION("""COMPUTED_VALUE"""),1271.0)</f>
        <v>1271</v>
      </c>
      <c r="K1272" s="20" t="b">
        <f>IFERROR(__xludf.DUMMYFUNCTION("""COMPUTED_VALUE"""),TRUE)</f>
        <v>1</v>
      </c>
      <c r="L1272" s="20" t="str">
        <f>IFERROR(__xludf.DUMMYFUNCTION("""COMPUTED_VALUE"""),"Math;String;")</f>
        <v>Math;String;</v>
      </c>
      <c r="M1272" s="20" t="b">
        <f>IFERROR(__xludf.DUMMYFUNCTION("""COMPUTED_VALUE"""),FALSE)</f>
        <v>0</v>
      </c>
      <c r="N1272" s="20" t="b">
        <f>IFERROR(__xludf.DUMMYFUNCTION("""COMPUTED_VALUE"""),FALSE)</f>
        <v>0</v>
      </c>
      <c r="O1272" s="20">
        <f>IFERROR(__xludf.DUMMYFUNCTION("""COMPUTED_VALUE"""),57.0569620253164)</f>
        <v>57.05696203</v>
      </c>
      <c r="P1272" s="20">
        <f>IFERROR(__xludf.DUMMYFUNCTION("""COMPUTED_VALUE"""),9015.0)</f>
        <v>9015</v>
      </c>
      <c r="Q1272" s="20">
        <f>IFERROR(__xludf.DUMMYFUNCTION("""COMPUTED_VALUE"""),15800.0)</f>
        <v>15800</v>
      </c>
    </row>
    <row r="1273">
      <c r="A1273" s="20">
        <f>IFERROR(__xludf.DUMMYFUNCTION("""COMPUTED_VALUE"""),1200.0)</f>
        <v>1200</v>
      </c>
      <c r="B1273" s="20" t="str">
        <f>IFERROR(__xludf.DUMMYFUNCTION("""COMPUTED_VALUE"""),"Remove Interval")</f>
        <v>Remove Interval</v>
      </c>
      <c r="C1273" s="20" t="str">
        <f>IFERROR(__xludf.DUMMYFUNCTION("""COMPUTED_VALUE"""),"remove-interval")</f>
        <v>remove-interval</v>
      </c>
      <c r="D1273" s="20" t="b">
        <f>IFERROR(__xludf.DUMMYFUNCTION("""COMPUTED_VALUE"""),TRUE)</f>
        <v>1</v>
      </c>
      <c r="E1273" s="20" t="str">
        <f>IFERROR(__xludf.DUMMYFUNCTION("""COMPUTED_VALUE"""),"Medium")</f>
        <v>Medium</v>
      </c>
      <c r="F1273" s="20">
        <f>IFERROR(__xludf.DUMMYFUNCTION("""COMPUTED_VALUE"""),374.0)</f>
        <v>374</v>
      </c>
      <c r="G1273" s="20">
        <f>IFERROR(__xludf.DUMMYFUNCTION("""COMPUTED_VALUE"""),26.0)</f>
        <v>26</v>
      </c>
      <c r="H1273" s="20" t="str">
        <f>IFERROR(__xludf.DUMMYFUNCTION("""COMPUTED_VALUE"""),"Algorithms")</f>
        <v>Algorithms</v>
      </c>
      <c r="I1273" s="20">
        <f>IFERROR(__xludf.DUMMYFUNCTION("""COMPUTED_VALUE"""),0.634)</f>
        <v>0.634</v>
      </c>
      <c r="J1273" s="20">
        <f>IFERROR(__xludf.DUMMYFUNCTION("""COMPUTED_VALUE"""),1272.0)</f>
        <v>1272</v>
      </c>
      <c r="K1273" s="20" t="b">
        <f>IFERROR(__xludf.DUMMYFUNCTION("""COMPUTED_VALUE"""),TRUE)</f>
        <v>1</v>
      </c>
      <c r="L1273" s="20" t="str">
        <f>IFERROR(__xludf.DUMMYFUNCTION("""COMPUTED_VALUE"""),"Array;")</f>
        <v>Array;</v>
      </c>
      <c r="M1273" s="20" t="b">
        <f>IFERROR(__xludf.DUMMYFUNCTION("""COMPUTED_VALUE"""),TRUE)</f>
        <v>1</v>
      </c>
      <c r="N1273" s="20" t="b">
        <f>IFERROR(__xludf.DUMMYFUNCTION("""COMPUTED_VALUE"""),TRUE)</f>
        <v>1</v>
      </c>
      <c r="O1273" s="20">
        <f>IFERROR(__xludf.DUMMYFUNCTION("""COMPUTED_VALUE"""),63.3554984756463)</f>
        <v>63.35549848</v>
      </c>
      <c r="P1273" s="20">
        <f>IFERROR(__xludf.DUMMYFUNCTION("""COMPUTED_VALUE"""),26392.0)</f>
        <v>26392</v>
      </c>
      <c r="Q1273" s="20">
        <f>IFERROR(__xludf.DUMMYFUNCTION("""COMPUTED_VALUE"""),41657.0)</f>
        <v>41657</v>
      </c>
    </row>
    <row r="1274">
      <c r="A1274" s="20">
        <f>IFERROR(__xludf.DUMMYFUNCTION("""COMPUTED_VALUE"""),1201.0)</f>
        <v>1201</v>
      </c>
      <c r="B1274" s="20" t="str">
        <f>IFERROR(__xludf.DUMMYFUNCTION("""COMPUTED_VALUE"""),"Delete Tree Nodes")</f>
        <v>Delete Tree Nodes</v>
      </c>
      <c r="C1274" s="20" t="str">
        <f>IFERROR(__xludf.DUMMYFUNCTION("""COMPUTED_VALUE"""),"delete-tree-nodes")</f>
        <v>delete-tree-nodes</v>
      </c>
      <c r="D1274" s="20" t="b">
        <f>IFERROR(__xludf.DUMMYFUNCTION("""COMPUTED_VALUE"""),TRUE)</f>
        <v>1</v>
      </c>
      <c r="E1274" s="20" t="str">
        <f>IFERROR(__xludf.DUMMYFUNCTION("""COMPUTED_VALUE"""),"Medium")</f>
        <v>Medium</v>
      </c>
      <c r="F1274" s="20">
        <f>IFERROR(__xludf.DUMMYFUNCTION("""COMPUTED_VALUE"""),206.0)</f>
        <v>206</v>
      </c>
      <c r="G1274" s="20">
        <f>IFERROR(__xludf.DUMMYFUNCTION("""COMPUTED_VALUE"""),60.0)</f>
        <v>60</v>
      </c>
      <c r="H1274" s="20" t="str">
        <f>IFERROR(__xludf.DUMMYFUNCTION("""COMPUTED_VALUE"""),"Algorithms")</f>
        <v>Algorithms</v>
      </c>
      <c r="I1274" s="20">
        <f>IFERROR(__xludf.DUMMYFUNCTION("""COMPUTED_VALUE"""),0.61)</f>
        <v>0.61</v>
      </c>
      <c r="J1274" s="20">
        <f>IFERROR(__xludf.DUMMYFUNCTION("""COMPUTED_VALUE"""),1273.0)</f>
        <v>1273</v>
      </c>
      <c r="K1274" s="20" t="b">
        <f>IFERROR(__xludf.DUMMYFUNCTION("""COMPUTED_VALUE"""),TRUE)</f>
        <v>1</v>
      </c>
      <c r="L1274" s="20" t="str">
        <f>IFERROR(__xludf.DUMMYFUNCTION("""COMPUTED_VALUE"""),"Tree;Depth-First Search;Breadth-First Search;")</f>
        <v>Tree;Depth-First Search;Breadth-First Search;</v>
      </c>
      <c r="M1274" s="20" t="b">
        <f>IFERROR(__xludf.DUMMYFUNCTION("""COMPUTED_VALUE"""),FALSE)</f>
        <v>0</v>
      </c>
      <c r="N1274" s="20" t="b">
        <f>IFERROR(__xludf.DUMMYFUNCTION("""COMPUTED_VALUE"""),FALSE)</f>
        <v>0</v>
      </c>
      <c r="O1274" s="20">
        <f>IFERROR(__xludf.DUMMYFUNCTION("""COMPUTED_VALUE"""),60.9617821650103)</f>
        <v>60.96178217</v>
      </c>
      <c r="P1274" s="20">
        <f>IFERROR(__xludf.DUMMYFUNCTION("""COMPUTED_VALUE"""),9140.0)</f>
        <v>9140</v>
      </c>
      <c r="Q1274" s="20">
        <f>IFERROR(__xludf.DUMMYFUNCTION("""COMPUTED_VALUE"""),14993.0)</f>
        <v>14993</v>
      </c>
    </row>
    <row r="1275">
      <c r="A1275" s="20">
        <f>IFERROR(__xludf.DUMMYFUNCTION("""COMPUTED_VALUE"""),1233.0)</f>
        <v>1233</v>
      </c>
      <c r="B1275" s="20" t="str">
        <f>IFERROR(__xludf.DUMMYFUNCTION("""COMPUTED_VALUE"""),"Number of Ships in a Rectangle")</f>
        <v>Number of Ships in a Rectangle</v>
      </c>
      <c r="C1275" s="20" t="str">
        <f>IFERROR(__xludf.DUMMYFUNCTION("""COMPUTED_VALUE"""),"number-of-ships-in-a-rectangle")</f>
        <v>number-of-ships-in-a-rectangle</v>
      </c>
      <c r="D1275" s="20" t="b">
        <f>IFERROR(__xludf.DUMMYFUNCTION("""COMPUTED_VALUE"""),TRUE)</f>
        <v>1</v>
      </c>
      <c r="E1275" s="20" t="str">
        <f>IFERROR(__xludf.DUMMYFUNCTION("""COMPUTED_VALUE"""),"Hard")</f>
        <v>Hard</v>
      </c>
      <c r="F1275" s="20">
        <f>IFERROR(__xludf.DUMMYFUNCTION("""COMPUTED_VALUE"""),462.0)</f>
        <v>462</v>
      </c>
      <c r="G1275" s="20">
        <f>IFERROR(__xludf.DUMMYFUNCTION("""COMPUTED_VALUE"""),53.0)</f>
        <v>53</v>
      </c>
      <c r="H1275" s="20" t="str">
        <f>IFERROR(__xludf.DUMMYFUNCTION("""COMPUTED_VALUE"""),"Algorithms")</f>
        <v>Algorithms</v>
      </c>
      <c r="I1275" s="20">
        <f>IFERROR(__xludf.DUMMYFUNCTION("""COMPUTED_VALUE"""),0.693)</f>
        <v>0.693</v>
      </c>
      <c r="J1275" s="20">
        <f>IFERROR(__xludf.DUMMYFUNCTION("""COMPUTED_VALUE"""),1274.0)</f>
        <v>1274</v>
      </c>
      <c r="K1275" s="20" t="b">
        <f>IFERROR(__xludf.DUMMYFUNCTION("""COMPUTED_VALUE"""),TRUE)</f>
        <v>1</v>
      </c>
      <c r="L1275" s="20" t="str">
        <f>IFERROR(__xludf.DUMMYFUNCTION("""COMPUTED_VALUE"""),"Array;Divide and Conquer;Interactive;")</f>
        <v>Array;Divide and Conquer;Interactive;</v>
      </c>
      <c r="M1275" s="20" t="b">
        <f>IFERROR(__xludf.DUMMYFUNCTION("""COMPUTED_VALUE"""),TRUE)</f>
        <v>1</v>
      </c>
      <c r="N1275" s="20" t="b">
        <f>IFERROR(__xludf.DUMMYFUNCTION("""COMPUTED_VALUE"""),FALSE)</f>
        <v>0</v>
      </c>
      <c r="O1275" s="20">
        <f>IFERROR(__xludf.DUMMYFUNCTION("""COMPUTED_VALUE"""),69.3106508875739)</f>
        <v>69.31065089</v>
      </c>
      <c r="P1275" s="20">
        <f>IFERROR(__xludf.DUMMYFUNCTION("""COMPUTED_VALUE"""),23427.0)</f>
        <v>23427</v>
      </c>
      <c r="Q1275" s="20">
        <f>IFERROR(__xludf.DUMMYFUNCTION("""COMPUTED_VALUE"""),33800.0)</f>
        <v>33800</v>
      </c>
    </row>
    <row r="1276">
      <c r="A1276" s="20">
        <f>IFERROR(__xludf.DUMMYFUNCTION("""COMPUTED_VALUE"""),1400.0)</f>
        <v>1400</v>
      </c>
      <c r="B1276" s="20" t="str">
        <f>IFERROR(__xludf.DUMMYFUNCTION("""COMPUTED_VALUE"""),"Find Winner on a Tic Tac Toe Game")</f>
        <v>Find Winner on a Tic Tac Toe Game</v>
      </c>
      <c r="C1276" s="20" t="str">
        <f>IFERROR(__xludf.DUMMYFUNCTION("""COMPUTED_VALUE"""),"find-winner-on-a-tic-tac-toe-game")</f>
        <v>find-winner-on-a-tic-tac-toe-game</v>
      </c>
      <c r="D1276" s="20" t="b">
        <f>IFERROR(__xludf.DUMMYFUNCTION("""COMPUTED_VALUE"""),FALSE)</f>
        <v>0</v>
      </c>
      <c r="E1276" s="20" t="str">
        <f>IFERROR(__xludf.DUMMYFUNCTION("""COMPUTED_VALUE"""),"Easy")</f>
        <v>Easy</v>
      </c>
      <c r="F1276" s="20">
        <f>IFERROR(__xludf.DUMMYFUNCTION("""COMPUTED_VALUE"""),1145.0)</f>
        <v>1145</v>
      </c>
      <c r="G1276" s="20">
        <f>IFERROR(__xludf.DUMMYFUNCTION("""COMPUTED_VALUE"""),282.0)</f>
        <v>282</v>
      </c>
      <c r="H1276" s="20" t="str">
        <f>IFERROR(__xludf.DUMMYFUNCTION("""COMPUTED_VALUE"""),"Algorithms")</f>
        <v>Algorithms</v>
      </c>
      <c r="I1276" s="20">
        <f>IFERROR(__xludf.DUMMYFUNCTION("""COMPUTED_VALUE"""),0.543)</f>
        <v>0.543</v>
      </c>
      <c r="J1276" s="20">
        <f>IFERROR(__xludf.DUMMYFUNCTION("""COMPUTED_VALUE"""),1275.0)</f>
        <v>1275</v>
      </c>
      <c r="K1276" s="20" t="b">
        <f>IFERROR(__xludf.DUMMYFUNCTION("""COMPUTED_VALUE"""),FALSE)</f>
        <v>0</v>
      </c>
      <c r="L1276" s="20" t="str">
        <f>IFERROR(__xludf.DUMMYFUNCTION("""COMPUTED_VALUE"""),"Array;Hash Table;Matrix;Simulation;")</f>
        <v>Array;Hash Table;Matrix;Simulation;</v>
      </c>
      <c r="M1276" s="20" t="b">
        <f>IFERROR(__xludf.DUMMYFUNCTION("""COMPUTED_VALUE"""),TRUE)</f>
        <v>1</v>
      </c>
      <c r="N1276" s="20" t="b">
        <f>IFERROR(__xludf.DUMMYFUNCTION("""COMPUTED_VALUE"""),FALSE)</f>
        <v>0</v>
      </c>
      <c r="O1276" s="20">
        <f>IFERROR(__xludf.DUMMYFUNCTION("""COMPUTED_VALUE"""),54.2829633049735)</f>
        <v>54.2829633</v>
      </c>
      <c r="P1276" s="20">
        <f>IFERROR(__xludf.DUMMYFUNCTION("""COMPUTED_VALUE"""),96405.0)</f>
        <v>96405</v>
      </c>
      <c r="Q1276" s="20">
        <f>IFERROR(__xludf.DUMMYFUNCTION("""COMPUTED_VALUE"""),177596.0)</f>
        <v>177596</v>
      </c>
    </row>
    <row r="1277">
      <c r="A1277" s="20">
        <f>IFERROR(__xludf.DUMMYFUNCTION("""COMPUTED_VALUE"""),1401.0)</f>
        <v>1401</v>
      </c>
      <c r="B1277" s="20" t="str">
        <f>IFERROR(__xludf.DUMMYFUNCTION("""COMPUTED_VALUE"""),"Number of Burgers with No Waste of Ingredients")</f>
        <v>Number of Burgers with No Waste of Ingredients</v>
      </c>
      <c r="C1277" s="20" t="str">
        <f>IFERROR(__xludf.DUMMYFUNCTION("""COMPUTED_VALUE"""),"number-of-burgers-with-no-waste-of-ingredients")</f>
        <v>number-of-burgers-with-no-waste-of-ingredients</v>
      </c>
      <c r="D1277" s="20" t="b">
        <f>IFERROR(__xludf.DUMMYFUNCTION("""COMPUTED_VALUE"""),FALSE)</f>
        <v>0</v>
      </c>
      <c r="E1277" s="20" t="str">
        <f>IFERROR(__xludf.DUMMYFUNCTION("""COMPUTED_VALUE"""),"Medium")</f>
        <v>Medium</v>
      </c>
      <c r="F1277" s="20">
        <f>IFERROR(__xludf.DUMMYFUNCTION("""COMPUTED_VALUE"""),262.0)</f>
        <v>262</v>
      </c>
      <c r="G1277" s="20">
        <f>IFERROR(__xludf.DUMMYFUNCTION("""COMPUTED_VALUE"""),210.0)</f>
        <v>210</v>
      </c>
      <c r="H1277" s="20" t="str">
        <f>IFERROR(__xludf.DUMMYFUNCTION("""COMPUTED_VALUE"""),"Algorithms")</f>
        <v>Algorithms</v>
      </c>
      <c r="I1277" s="20">
        <f>IFERROR(__xludf.DUMMYFUNCTION("""COMPUTED_VALUE"""),0.507)</f>
        <v>0.507</v>
      </c>
      <c r="J1277" s="20">
        <f>IFERROR(__xludf.DUMMYFUNCTION("""COMPUTED_VALUE"""),1276.0)</f>
        <v>1276</v>
      </c>
      <c r="K1277" s="20" t="b">
        <f>IFERROR(__xludf.DUMMYFUNCTION("""COMPUTED_VALUE"""),FALSE)</f>
        <v>0</v>
      </c>
      <c r="L1277" s="20" t="str">
        <f>IFERROR(__xludf.DUMMYFUNCTION("""COMPUTED_VALUE"""),"Math;")</f>
        <v>Math;</v>
      </c>
      <c r="M1277" s="20" t="b">
        <f>IFERROR(__xludf.DUMMYFUNCTION("""COMPUTED_VALUE"""),FALSE)</f>
        <v>0</v>
      </c>
      <c r="N1277" s="20" t="b">
        <f>IFERROR(__xludf.DUMMYFUNCTION("""COMPUTED_VALUE"""),FALSE)</f>
        <v>0</v>
      </c>
      <c r="O1277" s="20">
        <f>IFERROR(__xludf.DUMMYFUNCTION("""COMPUTED_VALUE"""),50.6707692307692)</f>
        <v>50.67076923</v>
      </c>
      <c r="P1277" s="20">
        <f>IFERROR(__xludf.DUMMYFUNCTION("""COMPUTED_VALUE"""),20585.0)</f>
        <v>20585</v>
      </c>
      <c r="Q1277" s="20">
        <f>IFERROR(__xludf.DUMMYFUNCTION("""COMPUTED_VALUE"""),40625.0)</f>
        <v>40625</v>
      </c>
    </row>
    <row r="1278">
      <c r="A1278" s="20">
        <f>IFERROR(__xludf.DUMMYFUNCTION("""COMPUTED_VALUE"""),1402.0)</f>
        <v>1402</v>
      </c>
      <c r="B1278" s="20" t="str">
        <f>IFERROR(__xludf.DUMMYFUNCTION("""COMPUTED_VALUE"""),"Count Square Submatrices with All Ones")</f>
        <v>Count Square Submatrices with All Ones</v>
      </c>
      <c r="C1278" s="20" t="str">
        <f>IFERROR(__xludf.DUMMYFUNCTION("""COMPUTED_VALUE"""),"count-square-submatrices-with-all-ones")</f>
        <v>count-square-submatrices-with-all-ones</v>
      </c>
      <c r="D1278" s="20" t="b">
        <f>IFERROR(__xludf.DUMMYFUNCTION("""COMPUTED_VALUE"""),FALSE)</f>
        <v>0</v>
      </c>
      <c r="E1278" s="20" t="str">
        <f>IFERROR(__xludf.DUMMYFUNCTION("""COMPUTED_VALUE"""),"Medium")</f>
        <v>Medium</v>
      </c>
      <c r="F1278" s="20">
        <f>IFERROR(__xludf.DUMMYFUNCTION("""COMPUTED_VALUE"""),4026.0)</f>
        <v>4026</v>
      </c>
      <c r="G1278" s="20">
        <f>IFERROR(__xludf.DUMMYFUNCTION("""COMPUTED_VALUE"""),69.0)</f>
        <v>69</v>
      </c>
      <c r="H1278" s="20" t="str">
        <f>IFERROR(__xludf.DUMMYFUNCTION("""COMPUTED_VALUE"""),"Algorithms")</f>
        <v>Algorithms</v>
      </c>
      <c r="I1278" s="20">
        <f>IFERROR(__xludf.DUMMYFUNCTION("""COMPUTED_VALUE"""),0.744)</f>
        <v>0.744</v>
      </c>
      <c r="J1278" s="20">
        <f>IFERROR(__xludf.DUMMYFUNCTION("""COMPUTED_VALUE"""),1277.0)</f>
        <v>1277</v>
      </c>
      <c r="K1278" s="20" t="b">
        <f>IFERROR(__xludf.DUMMYFUNCTION("""COMPUTED_VALUE"""),FALSE)</f>
        <v>0</v>
      </c>
      <c r="L1278" s="20" t="str">
        <f>IFERROR(__xludf.DUMMYFUNCTION("""COMPUTED_VALUE"""),"Array;Dynamic Programming;Matrix;")</f>
        <v>Array;Dynamic Programming;Matrix;</v>
      </c>
      <c r="M1278" s="20" t="b">
        <f>IFERROR(__xludf.DUMMYFUNCTION("""COMPUTED_VALUE"""),FALSE)</f>
        <v>0</v>
      </c>
      <c r="N1278" s="20" t="b">
        <f>IFERROR(__xludf.DUMMYFUNCTION("""COMPUTED_VALUE"""),FALSE)</f>
        <v>0</v>
      </c>
      <c r="O1278" s="20">
        <f>IFERROR(__xludf.DUMMYFUNCTION("""COMPUTED_VALUE"""),74.4240907587537)</f>
        <v>74.42409076</v>
      </c>
      <c r="P1278" s="20">
        <f>IFERROR(__xludf.DUMMYFUNCTION("""COMPUTED_VALUE"""),186766.0)</f>
        <v>186766</v>
      </c>
      <c r="Q1278" s="20">
        <f>IFERROR(__xludf.DUMMYFUNCTION("""COMPUTED_VALUE"""),250949.0)</f>
        <v>250949</v>
      </c>
    </row>
    <row r="1279">
      <c r="A1279" s="20">
        <f>IFERROR(__xludf.DUMMYFUNCTION("""COMPUTED_VALUE"""),1403.0)</f>
        <v>1403</v>
      </c>
      <c r="B1279" s="20" t="str">
        <f>IFERROR(__xludf.DUMMYFUNCTION("""COMPUTED_VALUE"""),"Palindrome Partitioning III")</f>
        <v>Palindrome Partitioning III</v>
      </c>
      <c r="C1279" s="20" t="str">
        <f>IFERROR(__xludf.DUMMYFUNCTION("""COMPUTED_VALUE"""),"palindrome-partitioning-iii")</f>
        <v>palindrome-partitioning-iii</v>
      </c>
      <c r="D1279" s="20" t="b">
        <f>IFERROR(__xludf.DUMMYFUNCTION("""COMPUTED_VALUE"""),FALSE)</f>
        <v>0</v>
      </c>
      <c r="E1279" s="20" t="str">
        <f>IFERROR(__xludf.DUMMYFUNCTION("""COMPUTED_VALUE"""),"Hard")</f>
        <v>Hard</v>
      </c>
      <c r="F1279" s="20">
        <f>IFERROR(__xludf.DUMMYFUNCTION("""COMPUTED_VALUE"""),927.0)</f>
        <v>927</v>
      </c>
      <c r="G1279" s="20">
        <f>IFERROR(__xludf.DUMMYFUNCTION("""COMPUTED_VALUE"""),15.0)</f>
        <v>15</v>
      </c>
      <c r="H1279" s="20" t="str">
        <f>IFERROR(__xludf.DUMMYFUNCTION("""COMPUTED_VALUE"""),"Algorithms")</f>
        <v>Algorithms</v>
      </c>
      <c r="I1279" s="20">
        <f>IFERROR(__xludf.DUMMYFUNCTION("""COMPUTED_VALUE"""),0.608)</f>
        <v>0.608</v>
      </c>
      <c r="J1279" s="20">
        <f>IFERROR(__xludf.DUMMYFUNCTION("""COMPUTED_VALUE"""),1278.0)</f>
        <v>1278</v>
      </c>
      <c r="K1279" s="20" t="b">
        <f>IFERROR(__xludf.DUMMYFUNCTION("""COMPUTED_VALUE"""),FALSE)</f>
        <v>0</v>
      </c>
      <c r="L1279" s="20" t="str">
        <f>IFERROR(__xludf.DUMMYFUNCTION("""COMPUTED_VALUE"""),"String;Dynamic Programming;")</f>
        <v>String;Dynamic Programming;</v>
      </c>
      <c r="M1279" s="20" t="b">
        <f>IFERROR(__xludf.DUMMYFUNCTION("""COMPUTED_VALUE"""),FALSE)</f>
        <v>0</v>
      </c>
      <c r="N1279" s="20" t="b">
        <f>IFERROR(__xludf.DUMMYFUNCTION("""COMPUTED_VALUE"""),FALSE)</f>
        <v>0</v>
      </c>
      <c r="O1279" s="20">
        <f>IFERROR(__xludf.DUMMYFUNCTION("""COMPUTED_VALUE"""),60.7792993455425)</f>
        <v>60.77929935</v>
      </c>
      <c r="P1279" s="20">
        <f>IFERROR(__xludf.DUMMYFUNCTION("""COMPUTED_VALUE"""),22103.0)</f>
        <v>22103</v>
      </c>
      <c r="Q1279" s="20">
        <f>IFERROR(__xludf.DUMMYFUNCTION("""COMPUTED_VALUE"""),36366.0)</f>
        <v>36366</v>
      </c>
    </row>
    <row r="1280">
      <c r="A1280" s="20">
        <f>IFERROR(__xludf.DUMMYFUNCTION("""COMPUTED_VALUE"""),1410.0)</f>
        <v>1410</v>
      </c>
      <c r="B1280" s="20" t="str">
        <f>IFERROR(__xludf.DUMMYFUNCTION("""COMPUTED_VALUE"""),"Traffic Light Controlled Intersection")</f>
        <v>Traffic Light Controlled Intersection</v>
      </c>
      <c r="C1280" s="20" t="str">
        <f>IFERROR(__xludf.DUMMYFUNCTION("""COMPUTED_VALUE"""),"traffic-light-controlled-intersection")</f>
        <v>traffic-light-controlled-intersection</v>
      </c>
      <c r="D1280" s="20" t="b">
        <f>IFERROR(__xludf.DUMMYFUNCTION("""COMPUTED_VALUE"""),TRUE)</f>
        <v>1</v>
      </c>
      <c r="E1280" s="20" t="str">
        <f>IFERROR(__xludf.DUMMYFUNCTION("""COMPUTED_VALUE"""),"Easy")</f>
        <v>Easy</v>
      </c>
      <c r="F1280" s="20">
        <f>IFERROR(__xludf.DUMMYFUNCTION("""COMPUTED_VALUE"""),60.0)</f>
        <v>60</v>
      </c>
      <c r="G1280" s="20">
        <f>IFERROR(__xludf.DUMMYFUNCTION("""COMPUTED_VALUE"""),288.0)</f>
        <v>288</v>
      </c>
      <c r="H1280" s="20" t="str">
        <f>IFERROR(__xludf.DUMMYFUNCTION("""COMPUTED_VALUE"""),"Concurrency")</f>
        <v>Concurrency</v>
      </c>
      <c r="I1280" s="20">
        <f>IFERROR(__xludf.DUMMYFUNCTION("""COMPUTED_VALUE"""),0.743)</f>
        <v>0.743</v>
      </c>
      <c r="J1280" s="20">
        <f>IFERROR(__xludf.DUMMYFUNCTION("""COMPUTED_VALUE"""),1279.0)</f>
        <v>1279</v>
      </c>
      <c r="K1280" s="20" t="b">
        <f>IFERROR(__xludf.DUMMYFUNCTION("""COMPUTED_VALUE"""),TRUE)</f>
        <v>1</v>
      </c>
      <c r="L1280" s="20" t="str">
        <f>IFERROR(__xludf.DUMMYFUNCTION("""COMPUTED_VALUE"""),"Concurrency;")</f>
        <v>Concurrency;</v>
      </c>
      <c r="M1280" s="20" t="b">
        <f>IFERROR(__xludf.DUMMYFUNCTION("""COMPUTED_VALUE"""),FALSE)</f>
        <v>0</v>
      </c>
      <c r="N1280" s="20" t="b">
        <f>IFERROR(__xludf.DUMMYFUNCTION("""COMPUTED_VALUE"""),FALSE)</f>
        <v>0</v>
      </c>
      <c r="O1280" s="20">
        <f>IFERROR(__xludf.DUMMYFUNCTION("""COMPUTED_VALUE"""),74.2998352553542)</f>
        <v>74.29983526</v>
      </c>
      <c r="P1280" s="20">
        <f>IFERROR(__xludf.DUMMYFUNCTION("""COMPUTED_VALUE"""),10373.0)</f>
        <v>10373</v>
      </c>
      <c r="Q1280" s="20">
        <f>IFERROR(__xludf.DUMMYFUNCTION("""COMPUTED_VALUE"""),13961.0)</f>
        <v>13961</v>
      </c>
    </row>
    <row r="1281">
      <c r="A1281" s="20">
        <f>IFERROR(__xludf.DUMMYFUNCTION("""COMPUTED_VALUE"""),1415.0)</f>
        <v>1415</v>
      </c>
      <c r="B1281" s="20" t="str">
        <f>IFERROR(__xludf.DUMMYFUNCTION("""COMPUTED_VALUE"""),"Students and Examinations")</f>
        <v>Students and Examinations</v>
      </c>
      <c r="C1281" s="20" t="str">
        <f>IFERROR(__xludf.DUMMYFUNCTION("""COMPUTED_VALUE"""),"students-and-examinations")</f>
        <v>students-and-examinations</v>
      </c>
      <c r="D1281" s="20" t="b">
        <f>IFERROR(__xludf.DUMMYFUNCTION("""COMPUTED_VALUE"""),TRUE)</f>
        <v>1</v>
      </c>
      <c r="E1281" s="20" t="str">
        <f>IFERROR(__xludf.DUMMYFUNCTION("""COMPUTED_VALUE"""),"Easy")</f>
        <v>Easy</v>
      </c>
      <c r="F1281" s="20">
        <f>IFERROR(__xludf.DUMMYFUNCTION("""COMPUTED_VALUE"""),314.0)</f>
        <v>314</v>
      </c>
      <c r="G1281" s="20">
        <f>IFERROR(__xludf.DUMMYFUNCTION("""COMPUTED_VALUE"""),48.0)</f>
        <v>48</v>
      </c>
      <c r="H1281" s="20" t="str">
        <f>IFERROR(__xludf.DUMMYFUNCTION("""COMPUTED_VALUE"""),"Database")</f>
        <v>Database</v>
      </c>
      <c r="I1281" s="20">
        <f>IFERROR(__xludf.DUMMYFUNCTION("""COMPUTED_VALUE"""),0.74)</f>
        <v>0.74</v>
      </c>
      <c r="J1281" s="20">
        <f>IFERROR(__xludf.DUMMYFUNCTION("""COMPUTED_VALUE"""),1280.0)</f>
        <v>1280</v>
      </c>
      <c r="K1281" s="20" t="b">
        <f>IFERROR(__xludf.DUMMYFUNCTION("""COMPUTED_VALUE"""),TRUE)</f>
        <v>1</v>
      </c>
      <c r="L1281" s="20" t="str">
        <f>IFERROR(__xludf.DUMMYFUNCTION("""COMPUTED_VALUE"""),"Database;")</f>
        <v>Database;</v>
      </c>
      <c r="M1281" s="20" t="b">
        <f>IFERROR(__xludf.DUMMYFUNCTION("""COMPUTED_VALUE"""),FALSE)</f>
        <v>0</v>
      </c>
      <c r="N1281" s="20" t="b">
        <f>IFERROR(__xludf.DUMMYFUNCTION("""COMPUTED_VALUE"""),FALSE)</f>
        <v>0</v>
      </c>
      <c r="O1281" s="20">
        <f>IFERROR(__xludf.DUMMYFUNCTION("""COMPUTED_VALUE"""),74.0003672588716)</f>
        <v>74.00036726</v>
      </c>
      <c r="P1281" s="20">
        <f>IFERROR(__xludf.DUMMYFUNCTION("""COMPUTED_VALUE"""),32239.0)</f>
        <v>32239</v>
      </c>
      <c r="Q1281" s="20">
        <f>IFERROR(__xludf.DUMMYFUNCTION("""COMPUTED_VALUE"""),43566.0)</f>
        <v>43566</v>
      </c>
    </row>
    <row r="1282">
      <c r="A1282" s="20">
        <f>IFERROR(__xludf.DUMMYFUNCTION("""COMPUTED_VALUE"""),1406.0)</f>
        <v>1406</v>
      </c>
      <c r="B1282" s="20" t="str">
        <f>IFERROR(__xludf.DUMMYFUNCTION("""COMPUTED_VALUE"""),"Subtract the Product and Sum of Digits of an Integer")</f>
        <v>Subtract the Product and Sum of Digits of an Integer</v>
      </c>
      <c r="C1282" s="20" t="str">
        <f>IFERROR(__xludf.DUMMYFUNCTION("""COMPUTED_VALUE"""),"subtract-the-product-and-sum-of-digits-of-an-integer")</f>
        <v>subtract-the-product-and-sum-of-digits-of-an-integer</v>
      </c>
      <c r="D1282" s="20" t="b">
        <f>IFERROR(__xludf.DUMMYFUNCTION("""COMPUTED_VALUE"""),FALSE)</f>
        <v>0</v>
      </c>
      <c r="E1282" s="20" t="str">
        <f>IFERROR(__xludf.DUMMYFUNCTION("""COMPUTED_VALUE"""),"Easy")</f>
        <v>Easy</v>
      </c>
      <c r="F1282" s="20">
        <f>IFERROR(__xludf.DUMMYFUNCTION("""COMPUTED_VALUE"""),1818.0)</f>
        <v>1818</v>
      </c>
      <c r="G1282" s="20">
        <f>IFERROR(__xludf.DUMMYFUNCTION("""COMPUTED_VALUE"""),204.0)</f>
        <v>204</v>
      </c>
      <c r="H1282" s="20" t="str">
        <f>IFERROR(__xludf.DUMMYFUNCTION("""COMPUTED_VALUE"""),"Algorithms")</f>
        <v>Algorithms</v>
      </c>
      <c r="I1282" s="20">
        <f>IFERROR(__xludf.DUMMYFUNCTION("""COMPUTED_VALUE"""),0.867)</f>
        <v>0.867</v>
      </c>
      <c r="J1282" s="20">
        <f>IFERROR(__xludf.DUMMYFUNCTION("""COMPUTED_VALUE"""),1281.0)</f>
        <v>1281</v>
      </c>
      <c r="K1282" s="20" t="b">
        <f>IFERROR(__xludf.DUMMYFUNCTION("""COMPUTED_VALUE"""),FALSE)</f>
        <v>0</v>
      </c>
      <c r="L1282" s="20" t="str">
        <f>IFERROR(__xludf.DUMMYFUNCTION("""COMPUTED_VALUE"""),"Math;")</f>
        <v>Math;</v>
      </c>
      <c r="M1282" s="20" t="b">
        <f>IFERROR(__xludf.DUMMYFUNCTION("""COMPUTED_VALUE"""),FALSE)</f>
        <v>0</v>
      </c>
      <c r="N1282" s="20" t="b">
        <f>IFERROR(__xludf.DUMMYFUNCTION("""COMPUTED_VALUE"""),FALSE)</f>
        <v>0</v>
      </c>
      <c r="O1282" s="20">
        <f>IFERROR(__xludf.DUMMYFUNCTION("""COMPUTED_VALUE"""),86.7043606915625)</f>
        <v>86.70436069</v>
      </c>
      <c r="P1282" s="20">
        <f>IFERROR(__xludf.DUMMYFUNCTION("""COMPUTED_VALUE"""),331683.0)</f>
        <v>331683</v>
      </c>
      <c r="Q1282" s="20">
        <f>IFERROR(__xludf.DUMMYFUNCTION("""COMPUTED_VALUE"""),382545.0)</f>
        <v>382545</v>
      </c>
    </row>
    <row r="1283">
      <c r="A1283" s="20">
        <f>IFERROR(__xludf.DUMMYFUNCTION("""COMPUTED_VALUE"""),1407.0)</f>
        <v>1407</v>
      </c>
      <c r="B1283" s="20" t="str">
        <f>IFERROR(__xludf.DUMMYFUNCTION("""COMPUTED_VALUE"""),"Group the People Given the Group Size They Belong To")</f>
        <v>Group the People Given the Group Size They Belong To</v>
      </c>
      <c r="C1283" s="20" t="str">
        <f>IFERROR(__xludf.DUMMYFUNCTION("""COMPUTED_VALUE"""),"group-the-people-given-the-group-size-they-belong-to")</f>
        <v>group-the-people-given-the-group-size-they-belong-to</v>
      </c>
      <c r="D1283" s="20" t="b">
        <f>IFERROR(__xludf.DUMMYFUNCTION("""COMPUTED_VALUE"""),FALSE)</f>
        <v>0</v>
      </c>
      <c r="E1283" s="20" t="str">
        <f>IFERROR(__xludf.DUMMYFUNCTION("""COMPUTED_VALUE"""),"Medium")</f>
        <v>Medium</v>
      </c>
      <c r="F1283" s="20">
        <f>IFERROR(__xludf.DUMMYFUNCTION("""COMPUTED_VALUE"""),1380.0)</f>
        <v>1380</v>
      </c>
      <c r="G1283" s="20">
        <f>IFERROR(__xludf.DUMMYFUNCTION("""COMPUTED_VALUE"""),512.0)</f>
        <v>512</v>
      </c>
      <c r="H1283" s="20" t="str">
        <f>IFERROR(__xludf.DUMMYFUNCTION("""COMPUTED_VALUE"""),"Algorithms")</f>
        <v>Algorithms</v>
      </c>
      <c r="I1283" s="20">
        <f>IFERROR(__xludf.DUMMYFUNCTION("""COMPUTED_VALUE"""),0.856)</f>
        <v>0.856</v>
      </c>
      <c r="J1283" s="20">
        <f>IFERROR(__xludf.DUMMYFUNCTION("""COMPUTED_VALUE"""),1282.0)</f>
        <v>1282</v>
      </c>
      <c r="K1283" s="20" t="b">
        <f>IFERROR(__xludf.DUMMYFUNCTION("""COMPUTED_VALUE"""),FALSE)</f>
        <v>0</v>
      </c>
      <c r="L1283" s="20" t="str">
        <f>IFERROR(__xludf.DUMMYFUNCTION("""COMPUTED_VALUE"""),"Array;Hash Table;")</f>
        <v>Array;Hash Table;</v>
      </c>
      <c r="M1283" s="20" t="b">
        <f>IFERROR(__xludf.DUMMYFUNCTION("""COMPUTED_VALUE"""),FALSE)</f>
        <v>0</v>
      </c>
      <c r="N1283" s="20" t="b">
        <f>IFERROR(__xludf.DUMMYFUNCTION("""COMPUTED_VALUE"""),FALSE)</f>
        <v>0</v>
      </c>
      <c r="O1283" s="20">
        <f>IFERROR(__xludf.DUMMYFUNCTION("""COMPUTED_VALUE"""),85.6498309191848)</f>
        <v>85.64983092</v>
      </c>
      <c r="P1283" s="20">
        <f>IFERROR(__xludf.DUMMYFUNCTION("""COMPUTED_VALUE"""),94725.0)</f>
        <v>94725</v>
      </c>
      <c r="Q1283" s="20">
        <f>IFERROR(__xludf.DUMMYFUNCTION("""COMPUTED_VALUE"""),110596.0)</f>
        <v>110596</v>
      </c>
    </row>
    <row r="1284">
      <c r="A1284" s="20">
        <f>IFERROR(__xludf.DUMMYFUNCTION("""COMPUTED_VALUE"""),1408.0)</f>
        <v>1408</v>
      </c>
      <c r="B1284" s="20" t="str">
        <f>IFERROR(__xludf.DUMMYFUNCTION("""COMPUTED_VALUE"""),"Find the Smallest Divisor Given a Threshold")</f>
        <v>Find the Smallest Divisor Given a Threshold</v>
      </c>
      <c r="C1284" s="20" t="str">
        <f>IFERROR(__xludf.DUMMYFUNCTION("""COMPUTED_VALUE"""),"find-the-smallest-divisor-given-a-threshold")</f>
        <v>find-the-smallest-divisor-given-a-threshold</v>
      </c>
      <c r="D1284" s="20" t="b">
        <f>IFERROR(__xludf.DUMMYFUNCTION("""COMPUTED_VALUE"""),FALSE)</f>
        <v>0</v>
      </c>
      <c r="E1284" s="20" t="str">
        <f>IFERROR(__xludf.DUMMYFUNCTION("""COMPUTED_VALUE"""),"Medium")</f>
        <v>Medium</v>
      </c>
      <c r="F1284" s="20">
        <f>IFERROR(__xludf.DUMMYFUNCTION("""COMPUTED_VALUE"""),1826.0)</f>
        <v>1826</v>
      </c>
      <c r="G1284" s="20">
        <f>IFERROR(__xludf.DUMMYFUNCTION("""COMPUTED_VALUE"""),163.0)</f>
        <v>163</v>
      </c>
      <c r="H1284" s="20" t="str">
        <f>IFERROR(__xludf.DUMMYFUNCTION("""COMPUTED_VALUE"""),"Algorithms")</f>
        <v>Algorithms</v>
      </c>
      <c r="I1284" s="20">
        <f>IFERROR(__xludf.DUMMYFUNCTION("""COMPUTED_VALUE"""),0.556)</f>
        <v>0.556</v>
      </c>
      <c r="J1284" s="20">
        <f>IFERROR(__xludf.DUMMYFUNCTION("""COMPUTED_VALUE"""),1283.0)</f>
        <v>1283</v>
      </c>
      <c r="K1284" s="20" t="b">
        <f>IFERROR(__xludf.DUMMYFUNCTION("""COMPUTED_VALUE"""),FALSE)</f>
        <v>0</v>
      </c>
      <c r="L1284" s="20" t="str">
        <f>IFERROR(__xludf.DUMMYFUNCTION("""COMPUTED_VALUE"""),"Array;Binary Search;")</f>
        <v>Array;Binary Search;</v>
      </c>
      <c r="M1284" s="20" t="b">
        <f>IFERROR(__xludf.DUMMYFUNCTION("""COMPUTED_VALUE"""),TRUE)</f>
        <v>1</v>
      </c>
      <c r="N1284" s="20" t="b">
        <f>IFERROR(__xludf.DUMMYFUNCTION("""COMPUTED_VALUE"""),FALSE)</f>
        <v>0</v>
      </c>
      <c r="O1284" s="20">
        <f>IFERROR(__xludf.DUMMYFUNCTION("""COMPUTED_VALUE"""),55.5578489345085)</f>
        <v>55.55784893</v>
      </c>
      <c r="P1284" s="20">
        <f>IFERROR(__xludf.DUMMYFUNCTION("""COMPUTED_VALUE"""),99591.0)</f>
        <v>99591</v>
      </c>
      <c r="Q1284" s="20">
        <f>IFERROR(__xludf.DUMMYFUNCTION("""COMPUTED_VALUE"""),179254.0)</f>
        <v>179254</v>
      </c>
    </row>
    <row r="1285">
      <c r="A1285" s="20">
        <f>IFERROR(__xludf.DUMMYFUNCTION("""COMPUTED_VALUE"""),1409.0)</f>
        <v>1409</v>
      </c>
      <c r="B1285" s="20" t="str">
        <f>IFERROR(__xludf.DUMMYFUNCTION("""COMPUTED_VALUE"""),"Minimum Number of Flips to Convert Binary Matrix to Zero Matrix")</f>
        <v>Minimum Number of Flips to Convert Binary Matrix to Zero Matrix</v>
      </c>
      <c r="C1285" s="20" t="str">
        <f>IFERROR(__xludf.DUMMYFUNCTION("""COMPUTED_VALUE"""),"minimum-number-of-flips-to-convert-binary-matrix-to-zero-matrix")</f>
        <v>minimum-number-of-flips-to-convert-binary-matrix-to-zero-matrix</v>
      </c>
      <c r="D1285" s="20" t="b">
        <f>IFERROR(__xludf.DUMMYFUNCTION("""COMPUTED_VALUE"""),FALSE)</f>
        <v>0</v>
      </c>
      <c r="E1285" s="20" t="str">
        <f>IFERROR(__xludf.DUMMYFUNCTION("""COMPUTED_VALUE"""),"Hard")</f>
        <v>Hard</v>
      </c>
      <c r="F1285" s="20">
        <f>IFERROR(__xludf.DUMMYFUNCTION("""COMPUTED_VALUE"""),803.0)</f>
        <v>803</v>
      </c>
      <c r="G1285" s="20">
        <f>IFERROR(__xludf.DUMMYFUNCTION("""COMPUTED_VALUE"""),80.0)</f>
        <v>80</v>
      </c>
      <c r="H1285" s="20" t="str">
        <f>IFERROR(__xludf.DUMMYFUNCTION("""COMPUTED_VALUE"""),"Algorithms")</f>
        <v>Algorithms</v>
      </c>
      <c r="I1285" s="20">
        <f>IFERROR(__xludf.DUMMYFUNCTION("""COMPUTED_VALUE"""),0.72)</f>
        <v>0.72</v>
      </c>
      <c r="J1285" s="20">
        <f>IFERROR(__xludf.DUMMYFUNCTION("""COMPUTED_VALUE"""),1284.0)</f>
        <v>1284</v>
      </c>
      <c r="K1285" s="20" t="b">
        <f>IFERROR(__xludf.DUMMYFUNCTION("""COMPUTED_VALUE"""),FALSE)</f>
        <v>0</v>
      </c>
      <c r="L1285" s="20" t="str">
        <f>IFERROR(__xludf.DUMMYFUNCTION("""COMPUTED_VALUE"""),"Array;Bit Manipulation;Breadth-First Search;Matrix;")</f>
        <v>Array;Bit Manipulation;Breadth-First Search;Matrix;</v>
      </c>
      <c r="M1285" s="20" t="b">
        <f>IFERROR(__xludf.DUMMYFUNCTION("""COMPUTED_VALUE"""),TRUE)</f>
        <v>1</v>
      </c>
      <c r="N1285" s="20" t="b">
        <f>IFERROR(__xludf.DUMMYFUNCTION("""COMPUTED_VALUE"""),FALSE)</f>
        <v>0</v>
      </c>
      <c r="O1285" s="20">
        <f>IFERROR(__xludf.DUMMYFUNCTION("""COMPUTED_VALUE"""),71.9989846427211)</f>
        <v>71.99898464</v>
      </c>
      <c r="P1285" s="20">
        <f>IFERROR(__xludf.DUMMYFUNCTION("""COMPUTED_VALUE"""),28364.0)</f>
        <v>28364</v>
      </c>
      <c r="Q1285" s="20">
        <f>IFERROR(__xludf.DUMMYFUNCTION("""COMPUTED_VALUE"""),39395.0)</f>
        <v>39395</v>
      </c>
    </row>
    <row r="1286">
      <c r="A1286" s="20">
        <f>IFERROR(__xludf.DUMMYFUNCTION("""COMPUTED_VALUE"""),1420.0)</f>
        <v>1420</v>
      </c>
      <c r="B1286" s="20" t="str">
        <f>IFERROR(__xludf.DUMMYFUNCTION("""COMPUTED_VALUE"""),"Find the Start and End Number of Continuous Ranges")</f>
        <v>Find the Start and End Number of Continuous Ranges</v>
      </c>
      <c r="C1286" s="20" t="str">
        <f>IFERROR(__xludf.DUMMYFUNCTION("""COMPUTED_VALUE"""),"find-the-start-and-end-number-of-continuous-ranges")</f>
        <v>find-the-start-and-end-number-of-continuous-ranges</v>
      </c>
      <c r="D1286" s="20" t="b">
        <f>IFERROR(__xludf.DUMMYFUNCTION("""COMPUTED_VALUE"""),TRUE)</f>
        <v>1</v>
      </c>
      <c r="E1286" s="20" t="str">
        <f>IFERROR(__xludf.DUMMYFUNCTION("""COMPUTED_VALUE"""),"Medium")</f>
        <v>Medium</v>
      </c>
      <c r="F1286" s="20">
        <f>IFERROR(__xludf.DUMMYFUNCTION("""COMPUTED_VALUE"""),454.0)</f>
        <v>454</v>
      </c>
      <c r="G1286" s="20">
        <f>IFERROR(__xludf.DUMMYFUNCTION("""COMPUTED_VALUE"""),27.0)</f>
        <v>27</v>
      </c>
      <c r="H1286" s="20" t="str">
        <f>IFERROR(__xludf.DUMMYFUNCTION("""COMPUTED_VALUE"""),"Database")</f>
        <v>Database</v>
      </c>
      <c r="I1286" s="20">
        <f>IFERROR(__xludf.DUMMYFUNCTION("""COMPUTED_VALUE"""),0.875)</f>
        <v>0.875</v>
      </c>
      <c r="J1286" s="20">
        <f>IFERROR(__xludf.DUMMYFUNCTION("""COMPUTED_VALUE"""),1285.0)</f>
        <v>1285</v>
      </c>
      <c r="K1286" s="20" t="b">
        <f>IFERROR(__xludf.DUMMYFUNCTION("""COMPUTED_VALUE"""),TRUE)</f>
        <v>1</v>
      </c>
      <c r="L1286" s="20" t="str">
        <f>IFERROR(__xludf.DUMMYFUNCTION("""COMPUTED_VALUE"""),"Database;")</f>
        <v>Database;</v>
      </c>
      <c r="M1286" s="20" t="b">
        <f>IFERROR(__xludf.DUMMYFUNCTION("""COMPUTED_VALUE"""),FALSE)</f>
        <v>0</v>
      </c>
      <c r="N1286" s="20" t="b">
        <f>IFERROR(__xludf.DUMMYFUNCTION("""COMPUTED_VALUE"""),FALSE)</f>
        <v>0</v>
      </c>
      <c r="O1286" s="20">
        <f>IFERROR(__xludf.DUMMYFUNCTION("""COMPUTED_VALUE"""),87.4613902565827)</f>
        <v>87.46139026</v>
      </c>
      <c r="P1286" s="20">
        <f>IFERROR(__xludf.DUMMYFUNCTION("""COMPUTED_VALUE"""),28599.0)</f>
        <v>28599</v>
      </c>
      <c r="Q1286" s="20">
        <f>IFERROR(__xludf.DUMMYFUNCTION("""COMPUTED_VALUE"""),32699.0)</f>
        <v>32699</v>
      </c>
    </row>
    <row r="1287">
      <c r="A1287" s="20">
        <f>IFERROR(__xludf.DUMMYFUNCTION("""COMPUTED_VALUE"""),1211.0)</f>
        <v>1211</v>
      </c>
      <c r="B1287" s="20" t="str">
        <f>IFERROR(__xludf.DUMMYFUNCTION("""COMPUTED_VALUE"""),"Iterator for Combination")</f>
        <v>Iterator for Combination</v>
      </c>
      <c r="C1287" s="20" t="str">
        <f>IFERROR(__xludf.DUMMYFUNCTION("""COMPUTED_VALUE"""),"iterator-for-combination")</f>
        <v>iterator-for-combination</v>
      </c>
      <c r="D1287" s="20" t="b">
        <f>IFERROR(__xludf.DUMMYFUNCTION("""COMPUTED_VALUE"""),FALSE)</f>
        <v>0</v>
      </c>
      <c r="E1287" s="20" t="str">
        <f>IFERROR(__xludf.DUMMYFUNCTION("""COMPUTED_VALUE"""),"Medium")</f>
        <v>Medium</v>
      </c>
      <c r="F1287" s="20">
        <f>IFERROR(__xludf.DUMMYFUNCTION("""COMPUTED_VALUE"""),1246.0)</f>
        <v>1246</v>
      </c>
      <c r="G1287" s="20">
        <f>IFERROR(__xludf.DUMMYFUNCTION("""COMPUTED_VALUE"""),99.0)</f>
        <v>99</v>
      </c>
      <c r="H1287" s="20" t="str">
        <f>IFERROR(__xludf.DUMMYFUNCTION("""COMPUTED_VALUE"""),"Algorithms")</f>
        <v>Algorithms</v>
      </c>
      <c r="I1287" s="20">
        <f>IFERROR(__xludf.DUMMYFUNCTION("""COMPUTED_VALUE"""),0.735)</f>
        <v>0.735</v>
      </c>
      <c r="J1287" s="20">
        <f>IFERROR(__xludf.DUMMYFUNCTION("""COMPUTED_VALUE"""),1286.0)</f>
        <v>1286</v>
      </c>
      <c r="K1287" s="20" t="b">
        <f>IFERROR(__xludf.DUMMYFUNCTION("""COMPUTED_VALUE"""),FALSE)</f>
        <v>0</v>
      </c>
      <c r="L1287" s="20" t="str">
        <f>IFERROR(__xludf.DUMMYFUNCTION("""COMPUTED_VALUE"""),"String;Backtracking;Design;Iterator;")</f>
        <v>String;Backtracking;Design;Iterator;</v>
      </c>
      <c r="M1287" s="20" t="b">
        <f>IFERROR(__xludf.DUMMYFUNCTION("""COMPUTED_VALUE"""),TRUE)</f>
        <v>1</v>
      </c>
      <c r="N1287" s="20" t="b">
        <f>IFERROR(__xludf.DUMMYFUNCTION("""COMPUTED_VALUE"""),FALSE)</f>
        <v>0</v>
      </c>
      <c r="O1287" s="20">
        <f>IFERROR(__xludf.DUMMYFUNCTION("""COMPUTED_VALUE"""),73.4569194631612)</f>
        <v>73.45691946</v>
      </c>
      <c r="P1287" s="20">
        <f>IFERROR(__xludf.DUMMYFUNCTION("""COMPUTED_VALUE"""),66610.0)</f>
        <v>66610</v>
      </c>
      <c r="Q1287" s="20">
        <f>IFERROR(__xludf.DUMMYFUNCTION("""COMPUTED_VALUE"""),90679.0)</f>
        <v>90679</v>
      </c>
    </row>
    <row r="1288">
      <c r="A1288" s="20">
        <f>IFERROR(__xludf.DUMMYFUNCTION("""COMPUTED_VALUE"""),1221.0)</f>
        <v>1221</v>
      </c>
      <c r="B1288" s="20" t="str">
        <f>IFERROR(__xludf.DUMMYFUNCTION("""COMPUTED_VALUE"""),"Element Appearing More Than 25% In Sorted Array")</f>
        <v>Element Appearing More Than 25% In Sorted Array</v>
      </c>
      <c r="C1288" s="20" t="str">
        <f>IFERROR(__xludf.DUMMYFUNCTION("""COMPUTED_VALUE"""),"element-appearing-more-than-25-in-sorted-array")</f>
        <v>element-appearing-more-than-25-in-sorted-array</v>
      </c>
      <c r="D1288" s="20" t="b">
        <f>IFERROR(__xludf.DUMMYFUNCTION("""COMPUTED_VALUE"""),FALSE)</f>
        <v>0</v>
      </c>
      <c r="E1288" s="20" t="str">
        <f>IFERROR(__xludf.DUMMYFUNCTION("""COMPUTED_VALUE"""),"Easy")</f>
        <v>Easy</v>
      </c>
      <c r="F1288" s="20">
        <f>IFERROR(__xludf.DUMMYFUNCTION("""COMPUTED_VALUE"""),768.0)</f>
        <v>768</v>
      </c>
      <c r="G1288" s="20">
        <f>IFERROR(__xludf.DUMMYFUNCTION("""COMPUTED_VALUE"""),40.0)</f>
        <v>40</v>
      </c>
      <c r="H1288" s="20" t="str">
        <f>IFERROR(__xludf.DUMMYFUNCTION("""COMPUTED_VALUE"""),"Algorithms")</f>
        <v>Algorithms</v>
      </c>
      <c r="I1288" s="20">
        <f>IFERROR(__xludf.DUMMYFUNCTION("""COMPUTED_VALUE"""),0.595)</f>
        <v>0.595</v>
      </c>
      <c r="J1288" s="20">
        <f>IFERROR(__xludf.DUMMYFUNCTION("""COMPUTED_VALUE"""),1287.0)</f>
        <v>1287</v>
      </c>
      <c r="K1288" s="20" t="b">
        <f>IFERROR(__xludf.DUMMYFUNCTION("""COMPUTED_VALUE"""),FALSE)</f>
        <v>0</v>
      </c>
      <c r="L1288" s="20" t="str">
        <f>IFERROR(__xludf.DUMMYFUNCTION("""COMPUTED_VALUE"""),"Array;")</f>
        <v>Array;</v>
      </c>
      <c r="M1288" s="20" t="b">
        <f>IFERROR(__xludf.DUMMYFUNCTION("""COMPUTED_VALUE"""),FALSE)</f>
        <v>0</v>
      </c>
      <c r="N1288" s="20" t="b">
        <f>IFERROR(__xludf.DUMMYFUNCTION("""COMPUTED_VALUE"""),FALSE)</f>
        <v>0</v>
      </c>
      <c r="O1288" s="20">
        <f>IFERROR(__xludf.DUMMYFUNCTION("""COMPUTED_VALUE"""),59.5187191957437)</f>
        <v>59.5187192</v>
      </c>
      <c r="P1288" s="20">
        <f>IFERROR(__xludf.DUMMYFUNCTION("""COMPUTED_VALUE"""),72939.0)</f>
        <v>72939</v>
      </c>
      <c r="Q1288" s="20">
        <f>IFERROR(__xludf.DUMMYFUNCTION("""COMPUTED_VALUE"""),122548.0)</f>
        <v>122548</v>
      </c>
    </row>
    <row r="1289">
      <c r="A1289" s="20">
        <f>IFERROR(__xludf.DUMMYFUNCTION("""COMPUTED_VALUE"""),1222.0)</f>
        <v>1222</v>
      </c>
      <c r="B1289" s="20" t="str">
        <f>IFERROR(__xludf.DUMMYFUNCTION("""COMPUTED_VALUE"""),"Remove Covered Intervals")</f>
        <v>Remove Covered Intervals</v>
      </c>
      <c r="C1289" s="20" t="str">
        <f>IFERROR(__xludf.DUMMYFUNCTION("""COMPUTED_VALUE"""),"remove-covered-intervals")</f>
        <v>remove-covered-intervals</v>
      </c>
      <c r="D1289" s="20" t="b">
        <f>IFERROR(__xludf.DUMMYFUNCTION("""COMPUTED_VALUE"""),FALSE)</f>
        <v>0</v>
      </c>
      <c r="E1289" s="20" t="str">
        <f>IFERROR(__xludf.DUMMYFUNCTION("""COMPUTED_VALUE"""),"Medium")</f>
        <v>Medium</v>
      </c>
      <c r="F1289" s="20">
        <f>IFERROR(__xludf.DUMMYFUNCTION("""COMPUTED_VALUE"""),2026.0)</f>
        <v>2026</v>
      </c>
      <c r="G1289" s="20">
        <f>IFERROR(__xludf.DUMMYFUNCTION("""COMPUTED_VALUE"""),51.0)</f>
        <v>51</v>
      </c>
      <c r="H1289" s="20" t="str">
        <f>IFERROR(__xludf.DUMMYFUNCTION("""COMPUTED_VALUE"""),"Algorithms")</f>
        <v>Algorithms</v>
      </c>
      <c r="I1289" s="20">
        <f>IFERROR(__xludf.DUMMYFUNCTION("""COMPUTED_VALUE"""),0.572)</f>
        <v>0.572</v>
      </c>
      <c r="J1289" s="20">
        <f>IFERROR(__xludf.DUMMYFUNCTION("""COMPUTED_VALUE"""),1288.0)</f>
        <v>1288</v>
      </c>
      <c r="K1289" s="20" t="b">
        <f>IFERROR(__xludf.DUMMYFUNCTION("""COMPUTED_VALUE"""),FALSE)</f>
        <v>0</v>
      </c>
      <c r="L1289" s="20" t="str">
        <f>IFERROR(__xludf.DUMMYFUNCTION("""COMPUTED_VALUE"""),"Array;Sorting;")</f>
        <v>Array;Sorting;</v>
      </c>
      <c r="M1289" s="20" t="b">
        <f>IFERROR(__xludf.DUMMYFUNCTION("""COMPUTED_VALUE"""),TRUE)</f>
        <v>1</v>
      </c>
      <c r="N1289" s="20" t="b">
        <f>IFERROR(__xludf.DUMMYFUNCTION("""COMPUTED_VALUE"""),FALSE)</f>
        <v>0</v>
      </c>
      <c r="O1289" s="20">
        <f>IFERROR(__xludf.DUMMYFUNCTION("""COMPUTED_VALUE"""),57.1604438413726)</f>
        <v>57.16044384</v>
      </c>
      <c r="P1289" s="20">
        <f>IFERROR(__xludf.DUMMYFUNCTION("""COMPUTED_VALUE"""),104471.0)</f>
        <v>104471</v>
      </c>
      <c r="Q1289" s="20">
        <f>IFERROR(__xludf.DUMMYFUNCTION("""COMPUTED_VALUE"""),182766.0)</f>
        <v>182766</v>
      </c>
    </row>
    <row r="1290">
      <c r="A1290" s="20">
        <f>IFERROR(__xludf.DUMMYFUNCTION("""COMPUTED_VALUE"""),1224.0)</f>
        <v>1224</v>
      </c>
      <c r="B1290" s="20" t="str">
        <f>IFERROR(__xludf.DUMMYFUNCTION("""COMPUTED_VALUE"""),"Minimum Falling Path Sum II")</f>
        <v>Minimum Falling Path Sum II</v>
      </c>
      <c r="C1290" s="20" t="str">
        <f>IFERROR(__xludf.DUMMYFUNCTION("""COMPUTED_VALUE"""),"minimum-falling-path-sum-ii")</f>
        <v>minimum-falling-path-sum-ii</v>
      </c>
      <c r="D1290" s="20" t="b">
        <f>IFERROR(__xludf.DUMMYFUNCTION("""COMPUTED_VALUE"""),FALSE)</f>
        <v>0</v>
      </c>
      <c r="E1290" s="20" t="str">
        <f>IFERROR(__xludf.DUMMYFUNCTION("""COMPUTED_VALUE"""),"Hard")</f>
        <v>Hard</v>
      </c>
      <c r="F1290" s="20">
        <f>IFERROR(__xludf.DUMMYFUNCTION("""COMPUTED_VALUE"""),1268.0)</f>
        <v>1268</v>
      </c>
      <c r="G1290" s="20">
        <f>IFERROR(__xludf.DUMMYFUNCTION("""COMPUTED_VALUE"""),76.0)</f>
        <v>76</v>
      </c>
      <c r="H1290" s="20" t="str">
        <f>IFERROR(__xludf.DUMMYFUNCTION("""COMPUTED_VALUE"""),"Algorithms")</f>
        <v>Algorithms</v>
      </c>
      <c r="I1290" s="20">
        <f>IFERROR(__xludf.DUMMYFUNCTION("""COMPUTED_VALUE"""),0.588)</f>
        <v>0.588</v>
      </c>
      <c r="J1290" s="20">
        <f>IFERROR(__xludf.DUMMYFUNCTION("""COMPUTED_VALUE"""),1289.0)</f>
        <v>1289</v>
      </c>
      <c r="K1290" s="20" t="b">
        <f>IFERROR(__xludf.DUMMYFUNCTION("""COMPUTED_VALUE"""),FALSE)</f>
        <v>0</v>
      </c>
      <c r="L1290" s="20" t="str">
        <f>IFERROR(__xludf.DUMMYFUNCTION("""COMPUTED_VALUE"""),"Array;Dynamic Programming;Matrix;")</f>
        <v>Array;Dynamic Programming;Matrix;</v>
      </c>
      <c r="M1290" s="20" t="b">
        <f>IFERROR(__xludf.DUMMYFUNCTION("""COMPUTED_VALUE"""),FALSE)</f>
        <v>0</v>
      </c>
      <c r="N1290" s="20" t="b">
        <f>IFERROR(__xludf.DUMMYFUNCTION("""COMPUTED_VALUE"""),FALSE)</f>
        <v>0</v>
      </c>
      <c r="O1290" s="20">
        <f>IFERROR(__xludf.DUMMYFUNCTION("""COMPUTED_VALUE"""),58.7897357334354)</f>
        <v>58.78973573</v>
      </c>
      <c r="P1290" s="20">
        <f>IFERROR(__xludf.DUMMYFUNCTION("""COMPUTED_VALUE"""),38373.0)</f>
        <v>38373</v>
      </c>
      <c r="Q1290" s="20">
        <f>IFERROR(__xludf.DUMMYFUNCTION("""COMPUTED_VALUE"""),65273.0)</f>
        <v>65273</v>
      </c>
    </row>
    <row r="1291">
      <c r="A1291" s="20">
        <f>IFERROR(__xludf.DUMMYFUNCTION("""COMPUTED_VALUE"""),1411.0)</f>
        <v>1411</v>
      </c>
      <c r="B1291" s="20" t="str">
        <f>IFERROR(__xludf.DUMMYFUNCTION("""COMPUTED_VALUE"""),"Convert Binary Number in a Linked List to Integer")</f>
        <v>Convert Binary Number in a Linked List to Integer</v>
      </c>
      <c r="C1291" s="20" t="str">
        <f>IFERROR(__xludf.DUMMYFUNCTION("""COMPUTED_VALUE"""),"convert-binary-number-in-a-linked-list-to-integer")</f>
        <v>convert-binary-number-in-a-linked-list-to-integer</v>
      </c>
      <c r="D1291" s="20" t="b">
        <f>IFERROR(__xludf.DUMMYFUNCTION("""COMPUTED_VALUE"""),FALSE)</f>
        <v>0</v>
      </c>
      <c r="E1291" s="20" t="str">
        <f>IFERROR(__xludf.DUMMYFUNCTION("""COMPUTED_VALUE"""),"Easy")</f>
        <v>Easy</v>
      </c>
      <c r="F1291" s="20">
        <f>IFERROR(__xludf.DUMMYFUNCTION("""COMPUTED_VALUE"""),3328.0)</f>
        <v>3328</v>
      </c>
      <c r="G1291" s="20">
        <f>IFERROR(__xludf.DUMMYFUNCTION("""COMPUTED_VALUE"""),145.0)</f>
        <v>145</v>
      </c>
      <c r="H1291" s="20" t="str">
        <f>IFERROR(__xludf.DUMMYFUNCTION("""COMPUTED_VALUE"""),"Algorithms")</f>
        <v>Algorithms</v>
      </c>
      <c r="I1291" s="20">
        <f>IFERROR(__xludf.DUMMYFUNCTION("""COMPUTED_VALUE"""),0.825)</f>
        <v>0.825</v>
      </c>
      <c r="J1291" s="20">
        <f>IFERROR(__xludf.DUMMYFUNCTION("""COMPUTED_VALUE"""),1290.0)</f>
        <v>1290</v>
      </c>
      <c r="K1291" s="20" t="b">
        <f>IFERROR(__xludf.DUMMYFUNCTION("""COMPUTED_VALUE"""),FALSE)</f>
        <v>0</v>
      </c>
      <c r="L1291" s="20" t="str">
        <f>IFERROR(__xludf.DUMMYFUNCTION("""COMPUTED_VALUE"""),"Linked List;Math;")</f>
        <v>Linked List;Math;</v>
      </c>
      <c r="M1291" s="20" t="b">
        <f>IFERROR(__xludf.DUMMYFUNCTION("""COMPUTED_VALUE"""),TRUE)</f>
        <v>1</v>
      </c>
      <c r="N1291" s="20" t="b">
        <f>IFERROR(__xludf.DUMMYFUNCTION("""COMPUTED_VALUE"""),FALSE)</f>
        <v>0</v>
      </c>
      <c r="O1291" s="20">
        <f>IFERROR(__xludf.DUMMYFUNCTION("""COMPUTED_VALUE"""),82.4626883123564)</f>
        <v>82.46268831</v>
      </c>
      <c r="P1291" s="20">
        <f>IFERROR(__xludf.DUMMYFUNCTION("""COMPUTED_VALUE"""),352616.0)</f>
        <v>352616</v>
      </c>
      <c r="Q1291" s="20">
        <f>IFERROR(__xludf.DUMMYFUNCTION("""COMPUTED_VALUE"""),427607.0)</f>
        <v>427607</v>
      </c>
    </row>
    <row r="1292">
      <c r="A1292" s="20">
        <f>IFERROR(__xludf.DUMMYFUNCTION("""COMPUTED_VALUE"""),1212.0)</f>
        <v>1212</v>
      </c>
      <c r="B1292" s="20" t="str">
        <f>IFERROR(__xludf.DUMMYFUNCTION("""COMPUTED_VALUE"""),"Sequential Digits")</f>
        <v>Sequential Digits</v>
      </c>
      <c r="C1292" s="20" t="str">
        <f>IFERROR(__xludf.DUMMYFUNCTION("""COMPUTED_VALUE"""),"sequential-digits")</f>
        <v>sequential-digits</v>
      </c>
      <c r="D1292" s="20" t="b">
        <f>IFERROR(__xludf.DUMMYFUNCTION("""COMPUTED_VALUE"""),FALSE)</f>
        <v>0</v>
      </c>
      <c r="E1292" s="20" t="str">
        <f>IFERROR(__xludf.DUMMYFUNCTION("""COMPUTED_VALUE"""),"Medium")</f>
        <v>Medium</v>
      </c>
      <c r="F1292" s="20">
        <f>IFERROR(__xludf.DUMMYFUNCTION("""COMPUTED_VALUE"""),1833.0)</f>
        <v>1833</v>
      </c>
      <c r="G1292" s="20">
        <f>IFERROR(__xludf.DUMMYFUNCTION("""COMPUTED_VALUE"""),108.0)</f>
        <v>108</v>
      </c>
      <c r="H1292" s="20" t="str">
        <f>IFERROR(__xludf.DUMMYFUNCTION("""COMPUTED_VALUE"""),"Algorithms")</f>
        <v>Algorithms</v>
      </c>
      <c r="I1292" s="20">
        <f>IFERROR(__xludf.DUMMYFUNCTION("""COMPUTED_VALUE"""),0.613)</f>
        <v>0.613</v>
      </c>
      <c r="J1292" s="20">
        <f>IFERROR(__xludf.DUMMYFUNCTION("""COMPUTED_VALUE"""),1291.0)</f>
        <v>1291</v>
      </c>
      <c r="K1292" s="20" t="b">
        <f>IFERROR(__xludf.DUMMYFUNCTION("""COMPUTED_VALUE"""),FALSE)</f>
        <v>0</v>
      </c>
      <c r="L1292" s="20" t="str">
        <f>IFERROR(__xludf.DUMMYFUNCTION("""COMPUTED_VALUE"""),"Enumeration;")</f>
        <v>Enumeration;</v>
      </c>
      <c r="M1292" s="20" t="b">
        <f>IFERROR(__xludf.DUMMYFUNCTION("""COMPUTED_VALUE"""),TRUE)</f>
        <v>1</v>
      </c>
      <c r="N1292" s="20" t="b">
        <f>IFERROR(__xludf.DUMMYFUNCTION("""COMPUTED_VALUE"""),FALSE)</f>
        <v>0</v>
      </c>
      <c r="O1292" s="20">
        <f>IFERROR(__xludf.DUMMYFUNCTION("""COMPUTED_VALUE"""),61.3481025927737)</f>
        <v>61.34810259</v>
      </c>
      <c r="P1292" s="20">
        <f>IFERROR(__xludf.DUMMYFUNCTION("""COMPUTED_VALUE"""),87783.0)</f>
        <v>87783</v>
      </c>
      <c r="Q1292" s="20">
        <f>IFERROR(__xludf.DUMMYFUNCTION("""COMPUTED_VALUE"""),143090.0)</f>
        <v>143090</v>
      </c>
    </row>
    <row r="1293">
      <c r="A1293" s="20">
        <f>IFERROR(__xludf.DUMMYFUNCTION("""COMPUTED_VALUE"""),1413.0)</f>
        <v>1413</v>
      </c>
      <c r="B1293" s="20" t="str">
        <f>IFERROR(__xludf.DUMMYFUNCTION("""COMPUTED_VALUE"""),"Maximum Side Length of a Square with Sum Less than or Equal to Threshold")</f>
        <v>Maximum Side Length of a Square with Sum Less than or Equal to Threshold</v>
      </c>
      <c r="C1293" s="20" t="str">
        <f>IFERROR(__xludf.DUMMYFUNCTION("""COMPUTED_VALUE"""),"maximum-side-length-of-a-square-with-sum-less-than-or-equal-to-threshold")</f>
        <v>maximum-side-length-of-a-square-with-sum-less-than-or-equal-to-threshold</v>
      </c>
      <c r="D1293" s="20" t="b">
        <f>IFERROR(__xludf.DUMMYFUNCTION("""COMPUTED_VALUE"""),FALSE)</f>
        <v>0</v>
      </c>
      <c r="E1293" s="20" t="str">
        <f>IFERROR(__xludf.DUMMYFUNCTION("""COMPUTED_VALUE"""),"Medium")</f>
        <v>Medium</v>
      </c>
      <c r="F1293" s="20">
        <f>IFERROR(__xludf.DUMMYFUNCTION("""COMPUTED_VALUE"""),940.0)</f>
        <v>940</v>
      </c>
      <c r="G1293" s="20">
        <f>IFERROR(__xludf.DUMMYFUNCTION("""COMPUTED_VALUE"""),79.0)</f>
        <v>79</v>
      </c>
      <c r="H1293" s="20" t="str">
        <f>IFERROR(__xludf.DUMMYFUNCTION("""COMPUTED_VALUE"""),"Algorithms")</f>
        <v>Algorithms</v>
      </c>
      <c r="I1293" s="20">
        <f>IFERROR(__xludf.DUMMYFUNCTION("""COMPUTED_VALUE"""),0.532)</f>
        <v>0.532</v>
      </c>
      <c r="J1293" s="20">
        <f>IFERROR(__xludf.DUMMYFUNCTION("""COMPUTED_VALUE"""),1292.0)</f>
        <v>1292</v>
      </c>
      <c r="K1293" s="20" t="b">
        <f>IFERROR(__xludf.DUMMYFUNCTION("""COMPUTED_VALUE"""),FALSE)</f>
        <v>0</v>
      </c>
      <c r="L1293" s="20" t="str">
        <f>IFERROR(__xludf.DUMMYFUNCTION("""COMPUTED_VALUE"""),"Array;Binary Search;Matrix;Prefix Sum;")</f>
        <v>Array;Binary Search;Matrix;Prefix Sum;</v>
      </c>
      <c r="M1293" s="20" t="b">
        <f>IFERROR(__xludf.DUMMYFUNCTION("""COMPUTED_VALUE"""),FALSE)</f>
        <v>0</v>
      </c>
      <c r="N1293" s="20" t="b">
        <f>IFERROR(__xludf.DUMMYFUNCTION("""COMPUTED_VALUE"""),FALSE)</f>
        <v>0</v>
      </c>
      <c r="O1293" s="20">
        <f>IFERROR(__xludf.DUMMYFUNCTION("""COMPUTED_VALUE"""),53.1916473317865)</f>
        <v>53.19164733</v>
      </c>
      <c r="P1293" s="20">
        <f>IFERROR(__xludf.DUMMYFUNCTION("""COMPUTED_VALUE"""),28657.0)</f>
        <v>28657</v>
      </c>
      <c r="Q1293" s="20">
        <f>IFERROR(__xludf.DUMMYFUNCTION("""COMPUTED_VALUE"""),53875.0)</f>
        <v>53875</v>
      </c>
    </row>
    <row r="1294">
      <c r="A1294" s="20">
        <f>IFERROR(__xludf.DUMMYFUNCTION("""COMPUTED_VALUE"""),1414.0)</f>
        <v>1414</v>
      </c>
      <c r="B1294" s="20" t="str">
        <f>IFERROR(__xludf.DUMMYFUNCTION("""COMPUTED_VALUE"""),"Shortest Path in a Grid with Obstacles Elimination")</f>
        <v>Shortest Path in a Grid with Obstacles Elimination</v>
      </c>
      <c r="C1294" s="20" t="str">
        <f>IFERROR(__xludf.DUMMYFUNCTION("""COMPUTED_VALUE"""),"shortest-path-in-a-grid-with-obstacles-elimination")</f>
        <v>shortest-path-in-a-grid-with-obstacles-elimination</v>
      </c>
      <c r="D1294" s="20" t="b">
        <f>IFERROR(__xludf.DUMMYFUNCTION("""COMPUTED_VALUE"""),FALSE)</f>
        <v>0</v>
      </c>
      <c r="E1294" s="20" t="str">
        <f>IFERROR(__xludf.DUMMYFUNCTION("""COMPUTED_VALUE"""),"Hard")</f>
        <v>Hard</v>
      </c>
      <c r="F1294" s="20">
        <f>IFERROR(__xludf.DUMMYFUNCTION("""COMPUTED_VALUE"""),3927.0)</f>
        <v>3927</v>
      </c>
      <c r="G1294" s="20">
        <f>IFERROR(__xludf.DUMMYFUNCTION("""COMPUTED_VALUE"""),71.0)</f>
        <v>71</v>
      </c>
      <c r="H1294" s="20" t="str">
        <f>IFERROR(__xludf.DUMMYFUNCTION("""COMPUTED_VALUE"""),"Algorithms")</f>
        <v>Algorithms</v>
      </c>
      <c r="I1294" s="20">
        <f>IFERROR(__xludf.DUMMYFUNCTION("""COMPUTED_VALUE"""),0.455)</f>
        <v>0.455</v>
      </c>
      <c r="J1294" s="20">
        <f>IFERROR(__xludf.DUMMYFUNCTION("""COMPUTED_VALUE"""),1293.0)</f>
        <v>1293</v>
      </c>
      <c r="K1294" s="20" t="b">
        <f>IFERROR(__xludf.DUMMYFUNCTION("""COMPUTED_VALUE"""),FALSE)</f>
        <v>0</v>
      </c>
      <c r="L1294" s="20" t="str">
        <f>IFERROR(__xludf.DUMMYFUNCTION("""COMPUTED_VALUE"""),"Array;Breadth-First Search;Matrix;")</f>
        <v>Array;Breadth-First Search;Matrix;</v>
      </c>
      <c r="M1294" s="20" t="b">
        <f>IFERROR(__xludf.DUMMYFUNCTION("""COMPUTED_VALUE"""),TRUE)</f>
        <v>1</v>
      </c>
      <c r="N1294" s="20" t="b">
        <f>IFERROR(__xludf.DUMMYFUNCTION("""COMPUTED_VALUE"""),FALSE)</f>
        <v>0</v>
      </c>
      <c r="O1294" s="20">
        <f>IFERROR(__xludf.DUMMYFUNCTION("""COMPUTED_VALUE"""),45.5294183711397)</f>
        <v>45.52941837</v>
      </c>
      <c r="P1294" s="20">
        <f>IFERROR(__xludf.DUMMYFUNCTION("""COMPUTED_VALUE"""),170265.0)</f>
        <v>170265</v>
      </c>
      <c r="Q1294" s="20">
        <f>IFERROR(__xludf.DUMMYFUNCTION("""COMPUTED_VALUE"""),373961.0)</f>
        <v>373961</v>
      </c>
    </row>
    <row r="1295">
      <c r="A1295" s="20">
        <f>IFERROR(__xludf.DUMMYFUNCTION("""COMPUTED_VALUE"""),1425.0)</f>
        <v>1425</v>
      </c>
      <c r="B1295" s="20" t="str">
        <f>IFERROR(__xludf.DUMMYFUNCTION("""COMPUTED_VALUE"""),"Weather Type in Each Country")</f>
        <v>Weather Type in Each Country</v>
      </c>
      <c r="C1295" s="20" t="str">
        <f>IFERROR(__xludf.DUMMYFUNCTION("""COMPUTED_VALUE"""),"weather-type-in-each-country")</f>
        <v>weather-type-in-each-country</v>
      </c>
      <c r="D1295" s="20" t="b">
        <f>IFERROR(__xludf.DUMMYFUNCTION("""COMPUTED_VALUE"""),TRUE)</f>
        <v>1</v>
      </c>
      <c r="E1295" s="20" t="str">
        <f>IFERROR(__xludf.DUMMYFUNCTION("""COMPUTED_VALUE"""),"Easy")</f>
        <v>Easy</v>
      </c>
      <c r="F1295" s="20">
        <f>IFERROR(__xludf.DUMMYFUNCTION("""COMPUTED_VALUE"""),116.0)</f>
        <v>116</v>
      </c>
      <c r="G1295" s="20">
        <f>IFERROR(__xludf.DUMMYFUNCTION("""COMPUTED_VALUE"""),24.0)</f>
        <v>24</v>
      </c>
      <c r="H1295" s="20" t="str">
        <f>IFERROR(__xludf.DUMMYFUNCTION("""COMPUTED_VALUE"""),"Database")</f>
        <v>Database</v>
      </c>
      <c r="I1295" s="20">
        <f>IFERROR(__xludf.DUMMYFUNCTION("""COMPUTED_VALUE"""),0.678)</f>
        <v>0.678</v>
      </c>
      <c r="J1295" s="20">
        <f>IFERROR(__xludf.DUMMYFUNCTION("""COMPUTED_VALUE"""),1294.0)</f>
        <v>1294</v>
      </c>
      <c r="K1295" s="20" t="b">
        <f>IFERROR(__xludf.DUMMYFUNCTION("""COMPUTED_VALUE"""),TRUE)</f>
        <v>1</v>
      </c>
      <c r="L1295" s="20" t="str">
        <f>IFERROR(__xludf.DUMMYFUNCTION("""COMPUTED_VALUE"""),"Database;")</f>
        <v>Database;</v>
      </c>
      <c r="M1295" s="20" t="b">
        <f>IFERROR(__xludf.DUMMYFUNCTION("""COMPUTED_VALUE"""),FALSE)</f>
        <v>0</v>
      </c>
      <c r="N1295" s="20" t="b">
        <f>IFERROR(__xludf.DUMMYFUNCTION("""COMPUTED_VALUE"""),FALSE)</f>
        <v>0</v>
      </c>
      <c r="O1295" s="20">
        <f>IFERROR(__xludf.DUMMYFUNCTION("""COMPUTED_VALUE"""),67.7598524517182)</f>
        <v>67.75985245</v>
      </c>
      <c r="P1295" s="20">
        <f>IFERROR(__xludf.DUMMYFUNCTION("""COMPUTED_VALUE"""),31963.0)</f>
        <v>31963</v>
      </c>
      <c r="Q1295" s="20">
        <f>IFERROR(__xludf.DUMMYFUNCTION("""COMPUTED_VALUE"""),47171.0)</f>
        <v>47171</v>
      </c>
    </row>
    <row r="1296">
      <c r="A1296" s="20">
        <f>IFERROR(__xludf.DUMMYFUNCTION("""COMPUTED_VALUE"""),1421.0)</f>
        <v>1421</v>
      </c>
      <c r="B1296" s="20" t="str">
        <f>IFERROR(__xludf.DUMMYFUNCTION("""COMPUTED_VALUE"""),"Find Numbers with Even Number of Digits")</f>
        <v>Find Numbers with Even Number of Digits</v>
      </c>
      <c r="C1296" s="20" t="str">
        <f>IFERROR(__xludf.DUMMYFUNCTION("""COMPUTED_VALUE"""),"find-numbers-with-even-number-of-digits")</f>
        <v>find-numbers-with-even-number-of-digits</v>
      </c>
      <c r="D1296" s="20" t="b">
        <f>IFERROR(__xludf.DUMMYFUNCTION("""COMPUTED_VALUE"""),FALSE)</f>
        <v>0</v>
      </c>
      <c r="E1296" s="20" t="str">
        <f>IFERROR(__xludf.DUMMYFUNCTION("""COMPUTED_VALUE"""),"Easy")</f>
        <v>Easy</v>
      </c>
      <c r="F1296" s="20">
        <f>IFERROR(__xludf.DUMMYFUNCTION("""COMPUTED_VALUE"""),1744.0)</f>
        <v>1744</v>
      </c>
      <c r="G1296" s="20">
        <f>IFERROR(__xludf.DUMMYFUNCTION("""COMPUTED_VALUE"""),107.0)</f>
        <v>107</v>
      </c>
      <c r="H1296" s="20" t="str">
        <f>IFERROR(__xludf.DUMMYFUNCTION("""COMPUTED_VALUE"""),"Algorithms")</f>
        <v>Algorithms</v>
      </c>
      <c r="I1296" s="20">
        <f>IFERROR(__xludf.DUMMYFUNCTION("""COMPUTED_VALUE"""),0.77)</f>
        <v>0.77</v>
      </c>
      <c r="J1296" s="20">
        <f>IFERROR(__xludf.DUMMYFUNCTION("""COMPUTED_VALUE"""),1295.0)</f>
        <v>1295</v>
      </c>
      <c r="K1296" s="20" t="b">
        <f>IFERROR(__xludf.DUMMYFUNCTION("""COMPUTED_VALUE"""),FALSE)</f>
        <v>0</v>
      </c>
      <c r="L1296" s="20" t="str">
        <f>IFERROR(__xludf.DUMMYFUNCTION("""COMPUTED_VALUE"""),"Array;")</f>
        <v>Array;</v>
      </c>
      <c r="M1296" s="20" t="b">
        <f>IFERROR(__xludf.DUMMYFUNCTION("""COMPUTED_VALUE"""),FALSE)</f>
        <v>0</v>
      </c>
      <c r="N1296" s="20" t="b">
        <f>IFERROR(__xludf.DUMMYFUNCTION("""COMPUTED_VALUE"""),FALSE)</f>
        <v>0</v>
      </c>
      <c r="O1296" s="20">
        <f>IFERROR(__xludf.DUMMYFUNCTION("""COMPUTED_VALUE"""),76.9967932318749)</f>
        <v>76.99679323</v>
      </c>
      <c r="P1296" s="20">
        <f>IFERROR(__xludf.DUMMYFUNCTION("""COMPUTED_VALUE"""),517666.0)</f>
        <v>517666</v>
      </c>
      <c r="Q1296" s="20">
        <f>IFERROR(__xludf.DUMMYFUNCTION("""COMPUTED_VALUE"""),672322.0)</f>
        <v>672322</v>
      </c>
    </row>
    <row r="1297">
      <c r="A1297" s="20">
        <f>IFERROR(__xludf.DUMMYFUNCTION("""COMPUTED_VALUE"""),1422.0)</f>
        <v>1422</v>
      </c>
      <c r="B1297" s="20" t="str">
        <f>IFERROR(__xludf.DUMMYFUNCTION("""COMPUTED_VALUE"""),"Divide Array in Sets of K Consecutive Numbers")</f>
        <v>Divide Array in Sets of K Consecutive Numbers</v>
      </c>
      <c r="C1297" s="20" t="str">
        <f>IFERROR(__xludf.DUMMYFUNCTION("""COMPUTED_VALUE"""),"divide-array-in-sets-of-k-consecutive-numbers")</f>
        <v>divide-array-in-sets-of-k-consecutive-numbers</v>
      </c>
      <c r="D1297" s="20" t="b">
        <f>IFERROR(__xludf.DUMMYFUNCTION("""COMPUTED_VALUE"""),FALSE)</f>
        <v>0</v>
      </c>
      <c r="E1297" s="20" t="str">
        <f>IFERROR(__xludf.DUMMYFUNCTION("""COMPUTED_VALUE"""),"Medium")</f>
        <v>Medium</v>
      </c>
      <c r="F1297" s="20">
        <f>IFERROR(__xludf.DUMMYFUNCTION("""COMPUTED_VALUE"""),1391.0)</f>
        <v>1391</v>
      </c>
      <c r="G1297" s="20">
        <f>IFERROR(__xludf.DUMMYFUNCTION("""COMPUTED_VALUE"""),94.0)</f>
        <v>94</v>
      </c>
      <c r="H1297" s="20" t="str">
        <f>IFERROR(__xludf.DUMMYFUNCTION("""COMPUTED_VALUE"""),"Algorithms")</f>
        <v>Algorithms</v>
      </c>
      <c r="I1297" s="20">
        <f>IFERROR(__xludf.DUMMYFUNCTION("""COMPUTED_VALUE"""),0.566)</f>
        <v>0.566</v>
      </c>
      <c r="J1297" s="20">
        <f>IFERROR(__xludf.DUMMYFUNCTION("""COMPUTED_VALUE"""),1296.0)</f>
        <v>1296</v>
      </c>
      <c r="K1297" s="20" t="b">
        <f>IFERROR(__xludf.DUMMYFUNCTION("""COMPUTED_VALUE"""),FALSE)</f>
        <v>0</v>
      </c>
      <c r="L1297" s="20" t="str">
        <f>IFERROR(__xludf.DUMMYFUNCTION("""COMPUTED_VALUE"""),"Array;Hash Table;Greedy;Sorting;")</f>
        <v>Array;Hash Table;Greedy;Sorting;</v>
      </c>
      <c r="M1297" s="20" t="b">
        <f>IFERROR(__xludf.DUMMYFUNCTION("""COMPUTED_VALUE"""),FALSE)</f>
        <v>0</v>
      </c>
      <c r="N1297" s="20" t="b">
        <f>IFERROR(__xludf.DUMMYFUNCTION("""COMPUTED_VALUE"""),FALSE)</f>
        <v>0</v>
      </c>
      <c r="O1297" s="20">
        <f>IFERROR(__xludf.DUMMYFUNCTION("""COMPUTED_VALUE"""),56.6357329489143)</f>
        <v>56.63573295</v>
      </c>
      <c r="P1297" s="20">
        <f>IFERROR(__xludf.DUMMYFUNCTION("""COMPUTED_VALUE"""),69145.0)</f>
        <v>69145</v>
      </c>
      <c r="Q1297" s="20">
        <f>IFERROR(__xludf.DUMMYFUNCTION("""COMPUTED_VALUE"""),122084.0)</f>
        <v>122084</v>
      </c>
    </row>
    <row r="1298">
      <c r="A1298" s="20">
        <f>IFERROR(__xludf.DUMMYFUNCTION("""COMPUTED_VALUE"""),1423.0)</f>
        <v>1423</v>
      </c>
      <c r="B1298" s="20" t="str">
        <f>IFERROR(__xludf.DUMMYFUNCTION("""COMPUTED_VALUE"""),"Maximum Number of Occurrences of a Substring")</f>
        <v>Maximum Number of Occurrences of a Substring</v>
      </c>
      <c r="C1298" s="20" t="str">
        <f>IFERROR(__xludf.DUMMYFUNCTION("""COMPUTED_VALUE"""),"maximum-number-of-occurrences-of-a-substring")</f>
        <v>maximum-number-of-occurrences-of-a-substring</v>
      </c>
      <c r="D1298" s="20" t="b">
        <f>IFERROR(__xludf.DUMMYFUNCTION("""COMPUTED_VALUE"""),FALSE)</f>
        <v>0</v>
      </c>
      <c r="E1298" s="20" t="str">
        <f>IFERROR(__xludf.DUMMYFUNCTION("""COMPUTED_VALUE"""),"Medium")</f>
        <v>Medium</v>
      </c>
      <c r="F1298" s="20">
        <f>IFERROR(__xludf.DUMMYFUNCTION("""COMPUTED_VALUE"""),790.0)</f>
        <v>790</v>
      </c>
      <c r="G1298" s="20">
        <f>IFERROR(__xludf.DUMMYFUNCTION("""COMPUTED_VALUE"""),340.0)</f>
        <v>340</v>
      </c>
      <c r="H1298" s="20" t="str">
        <f>IFERROR(__xludf.DUMMYFUNCTION("""COMPUTED_VALUE"""),"Algorithms")</f>
        <v>Algorithms</v>
      </c>
      <c r="I1298" s="20">
        <f>IFERROR(__xludf.DUMMYFUNCTION("""COMPUTED_VALUE"""),0.52)</f>
        <v>0.52</v>
      </c>
      <c r="J1298" s="20">
        <f>IFERROR(__xludf.DUMMYFUNCTION("""COMPUTED_VALUE"""),1297.0)</f>
        <v>1297</v>
      </c>
      <c r="K1298" s="20" t="b">
        <f>IFERROR(__xludf.DUMMYFUNCTION("""COMPUTED_VALUE"""),FALSE)</f>
        <v>0</v>
      </c>
      <c r="L1298" s="20" t="str">
        <f>IFERROR(__xludf.DUMMYFUNCTION("""COMPUTED_VALUE"""),"Hash Table;String;Sliding Window;")</f>
        <v>Hash Table;String;Sliding Window;</v>
      </c>
      <c r="M1298" s="20" t="b">
        <f>IFERROR(__xludf.DUMMYFUNCTION("""COMPUTED_VALUE"""),FALSE)</f>
        <v>0</v>
      </c>
      <c r="N1298" s="20" t="b">
        <f>IFERROR(__xludf.DUMMYFUNCTION("""COMPUTED_VALUE"""),FALSE)</f>
        <v>0</v>
      </c>
      <c r="O1298" s="20">
        <f>IFERROR(__xludf.DUMMYFUNCTION("""COMPUTED_VALUE"""),52.0152141999199)</f>
        <v>52.0152142</v>
      </c>
      <c r="P1298" s="20">
        <f>IFERROR(__xludf.DUMMYFUNCTION("""COMPUTED_VALUE"""),38975.0)</f>
        <v>38975</v>
      </c>
      <c r="Q1298" s="20">
        <f>IFERROR(__xludf.DUMMYFUNCTION("""COMPUTED_VALUE"""),74930.0)</f>
        <v>74930</v>
      </c>
    </row>
    <row r="1299">
      <c r="A1299" s="20">
        <f>IFERROR(__xludf.DUMMYFUNCTION("""COMPUTED_VALUE"""),1424.0)</f>
        <v>1424</v>
      </c>
      <c r="B1299" s="20" t="str">
        <f>IFERROR(__xludf.DUMMYFUNCTION("""COMPUTED_VALUE"""),"Maximum Candies You Can Get from Boxes")</f>
        <v>Maximum Candies You Can Get from Boxes</v>
      </c>
      <c r="C1299" s="20" t="str">
        <f>IFERROR(__xludf.DUMMYFUNCTION("""COMPUTED_VALUE"""),"maximum-candies-you-can-get-from-boxes")</f>
        <v>maximum-candies-you-can-get-from-boxes</v>
      </c>
      <c r="D1299" s="20" t="b">
        <f>IFERROR(__xludf.DUMMYFUNCTION("""COMPUTED_VALUE"""),FALSE)</f>
        <v>0</v>
      </c>
      <c r="E1299" s="20" t="str">
        <f>IFERROR(__xludf.DUMMYFUNCTION("""COMPUTED_VALUE"""),"Hard")</f>
        <v>Hard</v>
      </c>
      <c r="F1299" s="20">
        <f>IFERROR(__xludf.DUMMYFUNCTION("""COMPUTED_VALUE"""),238.0)</f>
        <v>238</v>
      </c>
      <c r="G1299" s="20">
        <f>IFERROR(__xludf.DUMMYFUNCTION("""COMPUTED_VALUE"""),126.0)</f>
        <v>126</v>
      </c>
      <c r="H1299" s="20" t="str">
        <f>IFERROR(__xludf.DUMMYFUNCTION("""COMPUTED_VALUE"""),"Algorithms")</f>
        <v>Algorithms</v>
      </c>
      <c r="I1299" s="20">
        <f>IFERROR(__xludf.DUMMYFUNCTION("""COMPUTED_VALUE"""),0.606)</f>
        <v>0.606</v>
      </c>
      <c r="J1299" s="20">
        <f>IFERROR(__xludf.DUMMYFUNCTION("""COMPUTED_VALUE"""),1298.0)</f>
        <v>1298</v>
      </c>
      <c r="K1299" s="20" t="b">
        <f>IFERROR(__xludf.DUMMYFUNCTION("""COMPUTED_VALUE"""),FALSE)</f>
        <v>0</v>
      </c>
      <c r="L1299" s="20" t="str">
        <f>IFERROR(__xludf.DUMMYFUNCTION("""COMPUTED_VALUE"""),"Array;Breadth-First Search;Graph;")</f>
        <v>Array;Breadth-First Search;Graph;</v>
      </c>
      <c r="M1299" s="20" t="b">
        <f>IFERROR(__xludf.DUMMYFUNCTION("""COMPUTED_VALUE"""),FALSE)</f>
        <v>0</v>
      </c>
      <c r="N1299" s="20" t="b">
        <f>IFERROR(__xludf.DUMMYFUNCTION("""COMPUTED_VALUE"""),FALSE)</f>
        <v>0</v>
      </c>
      <c r="O1299" s="20">
        <f>IFERROR(__xludf.DUMMYFUNCTION("""COMPUTED_VALUE"""),60.6200855976908)</f>
        <v>60.6200856</v>
      </c>
      <c r="P1299" s="20">
        <f>IFERROR(__xludf.DUMMYFUNCTION("""COMPUTED_VALUE"""),12181.0)</f>
        <v>12181</v>
      </c>
      <c r="Q1299" s="20">
        <f>IFERROR(__xludf.DUMMYFUNCTION("""COMPUTED_VALUE"""),20094.0)</f>
        <v>20094</v>
      </c>
    </row>
    <row r="1300">
      <c r="A1300" s="20">
        <f>IFERROR(__xludf.DUMMYFUNCTION("""COMPUTED_VALUE"""),1231.0)</f>
        <v>1231</v>
      </c>
      <c r="B1300" s="20" t="str">
        <f>IFERROR(__xludf.DUMMYFUNCTION("""COMPUTED_VALUE"""),"Replace Elements with Greatest Element on Right Side")</f>
        <v>Replace Elements with Greatest Element on Right Side</v>
      </c>
      <c r="C1300" s="20" t="str">
        <f>IFERROR(__xludf.DUMMYFUNCTION("""COMPUTED_VALUE"""),"replace-elements-with-greatest-element-on-right-side")</f>
        <v>replace-elements-with-greatest-element-on-right-side</v>
      </c>
      <c r="D1300" s="20" t="b">
        <f>IFERROR(__xludf.DUMMYFUNCTION("""COMPUTED_VALUE"""),FALSE)</f>
        <v>0</v>
      </c>
      <c r="E1300" s="20" t="str">
        <f>IFERROR(__xludf.DUMMYFUNCTION("""COMPUTED_VALUE"""),"Easy")</f>
        <v>Easy</v>
      </c>
      <c r="F1300" s="20">
        <f>IFERROR(__xludf.DUMMYFUNCTION("""COMPUTED_VALUE"""),1750.0)</f>
        <v>1750</v>
      </c>
      <c r="G1300" s="20">
        <f>IFERROR(__xludf.DUMMYFUNCTION("""COMPUTED_VALUE"""),182.0)</f>
        <v>182</v>
      </c>
      <c r="H1300" s="20" t="str">
        <f>IFERROR(__xludf.DUMMYFUNCTION("""COMPUTED_VALUE"""),"Algorithms")</f>
        <v>Algorithms</v>
      </c>
      <c r="I1300" s="20">
        <f>IFERROR(__xludf.DUMMYFUNCTION("""COMPUTED_VALUE"""),0.743)</f>
        <v>0.743</v>
      </c>
      <c r="J1300" s="20">
        <f>IFERROR(__xludf.DUMMYFUNCTION("""COMPUTED_VALUE"""),1299.0)</f>
        <v>1299</v>
      </c>
      <c r="K1300" s="20" t="b">
        <f>IFERROR(__xludf.DUMMYFUNCTION("""COMPUTED_VALUE"""),FALSE)</f>
        <v>0</v>
      </c>
      <c r="L1300" s="20" t="str">
        <f>IFERROR(__xludf.DUMMYFUNCTION("""COMPUTED_VALUE"""),"Array;")</f>
        <v>Array;</v>
      </c>
      <c r="M1300" s="20" t="b">
        <f>IFERROR(__xludf.DUMMYFUNCTION("""COMPUTED_VALUE"""),FALSE)</f>
        <v>0</v>
      </c>
      <c r="N1300" s="20" t="b">
        <f>IFERROR(__xludf.DUMMYFUNCTION("""COMPUTED_VALUE"""),FALSE)</f>
        <v>0</v>
      </c>
      <c r="O1300" s="20">
        <f>IFERROR(__xludf.DUMMYFUNCTION("""COMPUTED_VALUE"""),74.2899449249889)</f>
        <v>74.28994492</v>
      </c>
      <c r="P1300" s="20">
        <f>IFERROR(__xludf.DUMMYFUNCTION("""COMPUTED_VALUE"""),262889.0)</f>
        <v>262889</v>
      </c>
      <c r="Q1300" s="20">
        <f>IFERROR(__xludf.DUMMYFUNCTION("""COMPUTED_VALUE"""),353872.0)</f>
        <v>353872</v>
      </c>
    </row>
    <row r="1301">
      <c r="A1301" s="20">
        <f>IFERROR(__xludf.DUMMYFUNCTION("""COMPUTED_VALUE"""),1232.0)</f>
        <v>1232</v>
      </c>
      <c r="B1301" s="20" t="str">
        <f>IFERROR(__xludf.DUMMYFUNCTION("""COMPUTED_VALUE"""),"Sum of Mutated Array Closest to Target")</f>
        <v>Sum of Mutated Array Closest to Target</v>
      </c>
      <c r="C1301" s="20" t="str">
        <f>IFERROR(__xludf.DUMMYFUNCTION("""COMPUTED_VALUE"""),"sum-of-mutated-array-closest-to-target")</f>
        <v>sum-of-mutated-array-closest-to-target</v>
      </c>
      <c r="D1301" s="20" t="b">
        <f>IFERROR(__xludf.DUMMYFUNCTION("""COMPUTED_VALUE"""),FALSE)</f>
        <v>0</v>
      </c>
      <c r="E1301" s="20" t="str">
        <f>IFERROR(__xludf.DUMMYFUNCTION("""COMPUTED_VALUE"""),"Medium")</f>
        <v>Medium</v>
      </c>
      <c r="F1301" s="20">
        <f>IFERROR(__xludf.DUMMYFUNCTION("""COMPUTED_VALUE"""),929.0)</f>
        <v>929</v>
      </c>
      <c r="G1301" s="20">
        <f>IFERROR(__xludf.DUMMYFUNCTION("""COMPUTED_VALUE"""),125.0)</f>
        <v>125</v>
      </c>
      <c r="H1301" s="20" t="str">
        <f>IFERROR(__xludf.DUMMYFUNCTION("""COMPUTED_VALUE"""),"Algorithms")</f>
        <v>Algorithms</v>
      </c>
      <c r="I1301" s="20">
        <f>IFERROR(__xludf.DUMMYFUNCTION("""COMPUTED_VALUE"""),0.432)</f>
        <v>0.432</v>
      </c>
      <c r="J1301" s="20">
        <f>IFERROR(__xludf.DUMMYFUNCTION("""COMPUTED_VALUE"""),1300.0)</f>
        <v>1300</v>
      </c>
      <c r="K1301" s="20" t="b">
        <f>IFERROR(__xludf.DUMMYFUNCTION("""COMPUTED_VALUE"""),FALSE)</f>
        <v>0</v>
      </c>
      <c r="L1301" s="20" t="str">
        <f>IFERROR(__xludf.DUMMYFUNCTION("""COMPUTED_VALUE"""),"Array;Binary Search;Sorting;")</f>
        <v>Array;Binary Search;Sorting;</v>
      </c>
      <c r="M1301" s="20" t="b">
        <f>IFERROR(__xludf.DUMMYFUNCTION("""COMPUTED_VALUE"""),FALSE)</f>
        <v>0</v>
      </c>
      <c r="N1301" s="20" t="b">
        <f>IFERROR(__xludf.DUMMYFUNCTION("""COMPUTED_VALUE"""),FALSE)</f>
        <v>0</v>
      </c>
      <c r="O1301" s="20">
        <f>IFERROR(__xludf.DUMMYFUNCTION("""COMPUTED_VALUE"""),43.2153247227804)</f>
        <v>43.21532472</v>
      </c>
      <c r="P1301" s="20">
        <f>IFERROR(__xludf.DUMMYFUNCTION("""COMPUTED_VALUE"""),30749.0)</f>
        <v>30749</v>
      </c>
      <c r="Q1301" s="20">
        <f>IFERROR(__xludf.DUMMYFUNCTION("""COMPUTED_VALUE"""),71153.0)</f>
        <v>71153</v>
      </c>
    </row>
    <row r="1302">
      <c r="A1302" s="20">
        <f>IFERROR(__xludf.DUMMYFUNCTION("""COMPUTED_VALUE"""),1234.0)</f>
        <v>1234</v>
      </c>
      <c r="B1302" s="20" t="str">
        <f>IFERROR(__xludf.DUMMYFUNCTION("""COMPUTED_VALUE"""),"Number of Paths with Max Score")</f>
        <v>Number of Paths with Max Score</v>
      </c>
      <c r="C1302" s="20" t="str">
        <f>IFERROR(__xludf.DUMMYFUNCTION("""COMPUTED_VALUE"""),"number-of-paths-with-max-score")</f>
        <v>number-of-paths-with-max-score</v>
      </c>
      <c r="D1302" s="20" t="b">
        <f>IFERROR(__xludf.DUMMYFUNCTION("""COMPUTED_VALUE"""),FALSE)</f>
        <v>0</v>
      </c>
      <c r="E1302" s="20" t="str">
        <f>IFERROR(__xludf.DUMMYFUNCTION("""COMPUTED_VALUE"""),"Hard")</f>
        <v>Hard</v>
      </c>
      <c r="F1302" s="20">
        <f>IFERROR(__xludf.DUMMYFUNCTION("""COMPUTED_VALUE"""),413.0)</f>
        <v>413</v>
      </c>
      <c r="G1302" s="20">
        <f>IFERROR(__xludf.DUMMYFUNCTION("""COMPUTED_VALUE"""),22.0)</f>
        <v>22</v>
      </c>
      <c r="H1302" s="20" t="str">
        <f>IFERROR(__xludf.DUMMYFUNCTION("""COMPUTED_VALUE"""),"Algorithms")</f>
        <v>Algorithms</v>
      </c>
      <c r="I1302" s="20">
        <f>IFERROR(__xludf.DUMMYFUNCTION("""COMPUTED_VALUE"""),0.388)</f>
        <v>0.388</v>
      </c>
      <c r="J1302" s="20">
        <f>IFERROR(__xludf.DUMMYFUNCTION("""COMPUTED_VALUE"""),1301.0)</f>
        <v>1301</v>
      </c>
      <c r="K1302" s="20" t="b">
        <f>IFERROR(__xludf.DUMMYFUNCTION("""COMPUTED_VALUE"""),FALSE)</f>
        <v>0</v>
      </c>
      <c r="L1302" s="20" t="str">
        <f>IFERROR(__xludf.DUMMYFUNCTION("""COMPUTED_VALUE"""),"Array;Dynamic Programming;Matrix;")</f>
        <v>Array;Dynamic Programming;Matrix;</v>
      </c>
      <c r="M1302" s="20" t="b">
        <f>IFERROR(__xludf.DUMMYFUNCTION("""COMPUTED_VALUE"""),FALSE)</f>
        <v>0</v>
      </c>
      <c r="N1302" s="20" t="b">
        <f>IFERROR(__xludf.DUMMYFUNCTION("""COMPUTED_VALUE"""),FALSE)</f>
        <v>0</v>
      </c>
      <c r="O1302" s="20">
        <f>IFERROR(__xludf.DUMMYFUNCTION("""COMPUTED_VALUE"""),38.7816668483989)</f>
        <v>38.78166685</v>
      </c>
      <c r="P1302" s="20">
        <f>IFERROR(__xludf.DUMMYFUNCTION("""COMPUTED_VALUE"""),10670.0)</f>
        <v>10670</v>
      </c>
      <c r="Q1302" s="20">
        <f>IFERROR(__xludf.DUMMYFUNCTION("""COMPUTED_VALUE"""),27513.0)</f>
        <v>27513</v>
      </c>
    </row>
    <row r="1303">
      <c r="A1303" s="20">
        <f>IFERROR(__xludf.DUMMYFUNCTION("""COMPUTED_VALUE"""),1254.0)</f>
        <v>1254</v>
      </c>
      <c r="B1303" s="20" t="str">
        <f>IFERROR(__xludf.DUMMYFUNCTION("""COMPUTED_VALUE"""),"Deepest Leaves Sum")</f>
        <v>Deepest Leaves Sum</v>
      </c>
      <c r="C1303" s="20" t="str">
        <f>IFERROR(__xludf.DUMMYFUNCTION("""COMPUTED_VALUE"""),"deepest-leaves-sum")</f>
        <v>deepest-leaves-sum</v>
      </c>
      <c r="D1303" s="20" t="b">
        <f>IFERROR(__xludf.DUMMYFUNCTION("""COMPUTED_VALUE"""),FALSE)</f>
        <v>0</v>
      </c>
      <c r="E1303" s="20" t="str">
        <f>IFERROR(__xludf.DUMMYFUNCTION("""COMPUTED_VALUE"""),"Medium")</f>
        <v>Medium</v>
      </c>
      <c r="F1303" s="20">
        <f>IFERROR(__xludf.DUMMYFUNCTION("""COMPUTED_VALUE"""),3949.0)</f>
        <v>3949</v>
      </c>
      <c r="G1303" s="20">
        <f>IFERROR(__xludf.DUMMYFUNCTION("""COMPUTED_VALUE"""),104.0)</f>
        <v>104</v>
      </c>
      <c r="H1303" s="20" t="str">
        <f>IFERROR(__xludf.DUMMYFUNCTION("""COMPUTED_VALUE"""),"Algorithms")</f>
        <v>Algorithms</v>
      </c>
      <c r="I1303" s="20">
        <f>IFERROR(__xludf.DUMMYFUNCTION("""COMPUTED_VALUE"""),0.868)</f>
        <v>0.868</v>
      </c>
      <c r="J1303" s="20">
        <f>IFERROR(__xludf.DUMMYFUNCTION("""COMPUTED_VALUE"""),1302.0)</f>
        <v>1302</v>
      </c>
      <c r="K1303" s="20" t="b">
        <f>IFERROR(__xludf.DUMMYFUNCTION("""COMPUTED_VALUE"""),FALSE)</f>
        <v>0</v>
      </c>
      <c r="L1303" s="20" t="str">
        <f>IFERROR(__xludf.DUMMYFUNCTION("""COMPUTED_VALUE"""),"Tree;Depth-First Search;Breadth-First Search;Binary Tree;")</f>
        <v>Tree;Depth-First Search;Breadth-First Search;Binary Tree;</v>
      </c>
      <c r="M1303" s="20" t="b">
        <f>IFERROR(__xludf.DUMMYFUNCTION("""COMPUTED_VALUE"""),TRUE)</f>
        <v>1</v>
      </c>
      <c r="N1303" s="20" t="b">
        <f>IFERROR(__xludf.DUMMYFUNCTION("""COMPUTED_VALUE"""),FALSE)</f>
        <v>0</v>
      </c>
      <c r="O1303" s="20">
        <f>IFERROR(__xludf.DUMMYFUNCTION("""COMPUTED_VALUE"""),86.8008140645514)</f>
        <v>86.80081406</v>
      </c>
      <c r="P1303" s="20">
        <f>IFERROR(__xludf.DUMMYFUNCTION("""COMPUTED_VALUE"""),257180.0)</f>
        <v>257180</v>
      </c>
      <c r="Q1303" s="20">
        <f>IFERROR(__xludf.DUMMYFUNCTION("""COMPUTED_VALUE"""),296288.0)</f>
        <v>296288</v>
      </c>
    </row>
    <row r="1304">
      <c r="A1304" s="20">
        <f>IFERROR(__xludf.DUMMYFUNCTION("""COMPUTED_VALUE"""),1438.0)</f>
        <v>1438</v>
      </c>
      <c r="B1304" s="20" t="str">
        <f>IFERROR(__xludf.DUMMYFUNCTION("""COMPUTED_VALUE"""),"Find the Team Size")</f>
        <v>Find the Team Size</v>
      </c>
      <c r="C1304" s="20" t="str">
        <f>IFERROR(__xludf.DUMMYFUNCTION("""COMPUTED_VALUE"""),"find-the-team-size")</f>
        <v>find-the-team-size</v>
      </c>
      <c r="D1304" s="20" t="b">
        <f>IFERROR(__xludf.DUMMYFUNCTION("""COMPUTED_VALUE"""),TRUE)</f>
        <v>1</v>
      </c>
      <c r="E1304" s="20" t="str">
        <f>IFERROR(__xludf.DUMMYFUNCTION("""COMPUTED_VALUE"""),"Easy")</f>
        <v>Easy</v>
      </c>
      <c r="F1304" s="20">
        <f>IFERROR(__xludf.DUMMYFUNCTION("""COMPUTED_VALUE"""),282.0)</f>
        <v>282</v>
      </c>
      <c r="G1304" s="20">
        <f>IFERROR(__xludf.DUMMYFUNCTION("""COMPUTED_VALUE"""),16.0)</f>
        <v>16</v>
      </c>
      <c r="H1304" s="20" t="str">
        <f>IFERROR(__xludf.DUMMYFUNCTION("""COMPUTED_VALUE"""),"Database")</f>
        <v>Database</v>
      </c>
      <c r="I1304" s="20">
        <f>IFERROR(__xludf.DUMMYFUNCTION("""COMPUTED_VALUE"""),0.907)</f>
        <v>0.907</v>
      </c>
      <c r="J1304" s="20">
        <f>IFERROR(__xludf.DUMMYFUNCTION("""COMPUTED_VALUE"""),1303.0)</f>
        <v>1303</v>
      </c>
      <c r="K1304" s="20" t="b">
        <f>IFERROR(__xludf.DUMMYFUNCTION("""COMPUTED_VALUE"""),TRUE)</f>
        <v>1</v>
      </c>
      <c r="L1304" s="20" t="str">
        <f>IFERROR(__xludf.DUMMYFUNCTION("""COMPUTED_VALUE"""),"Database;")</f>
        <v>Database;</v>
      </c>
      <c r="M1304" s="20" t="b">
        <f>IFERROR(__xludf.DUMMYFUNCTION("""COMPUTED_VALUE"""),FALSE)</f>
        <v>0</v>
      </c>
      <c r="N1304" s="20" t="b">
        <f>IFERROR(__xludf.DUMMYFUNCTION("""COMPUTED_VALUE"""),FALSE)</f>
        <v>0</v>
      </c>
      <c r="O1304" s="20">
        <f>IFERROR(__xludf.DUMMYFUNCTION("""COMPUTED_VALUE"""),90.7022490328503)</f>
        <v>90.70224903</v>
      </c>
      <c r="P1304" s="20">
        <f>IFERROR(__xludf.DUMMYFUNCTION("""COMPUTED_VALUE"""),55332.0)</f>
        <v>55332</v>
      </c>
      <c r="Q1304" s="20">
        <f>IFERROR(__xludf.DUMMYFUNCTION("""COMPUTED_VALUE"""),61004.0)</f>
        <v>61004</v>
      </c>
    </row>
    <row r="1305">
      <c r="A1305" s="20">
        <f>IFERROR(__xludf.DUMMYFUNCTION("""COMPUTED_VALUE"""),1426.0)</f>
        <v>1426</v>
      </c>
      <c r="B1305" s="20" t="str">
        <f>IFERROR(__xludf.DUMMYFUNCTION("""COMPUTED_VALUE"""),"Find N Unique Integers Sum up to Zero")</f>
        <v>Find N Unique Integers Sum up to Zero</v>
      </c>
      <c r="C1305" s="20" t="str">
        <f>IFERROR(__xludf.DUMMYFUNCTION("""COMPUTED_VALUE"""),"find-n-unique-integers-sum-up-to-zero")</f>
        <v>find-n-unique-integers-sum-up-to-zero</v>
      </c>
      <c r="D1305" s="20" t="b">
        <f>IFERROR(__xludf.DUMMYFUNCTION("""COMPUTED_VALUE"""),FALSE)</f>
        <v>0</v>
      </c>
      <c r="E1305" s="20" t="str">
        <f>IFERROR(__xludf.DUMMYFUNCTION("""COMPUTED_VALUE"""),"Easy")</f>
        <v>Easy</v>
      </c>
      <c r="F1305" s="20">
        <f>IFERROR(__xludf.DUMMYFUNCTION("""COMPUTED_VALUE"""),1521.0)</f>
        <v>1521</v>
      </c>
      <c r="G1305" s="20">
        <f>IFERROR(__xludf.DUMMYFUNCTION("""COMPUTED_VALUE"""),531.0)</f>
        <v>531</v>
      </c>
      <c r="H1305" s="20" t="str">
        <f>IFERROR(__xludf.DUMMYFUNCTION("""COMPUTED_VALUE"""),"Algorithms")</f>
        <v>Algorithms</v>
      </c>
      <c r="I1305" s="20">
        <f>IFERROR(__xludf.DUMMYFUNCTION("""COMPUTED_VALUE"""),0.771)</f>
        <v>0.771</v>
      </c>
      <c r="J1305" s="20">
        <f>IFERROR(__xludf.DUMMYFUNCTION("""COMPUTED_VALUE"""),1304.0)</f>
        <v>1304</v>
      </c>
      <c r="K1305" s="20" t="b">
        <f>IFERROR(__xludf.DUMMYFUNCTION("""COMPUTED_VALUE"""),FALSE)</f>
        <v>0</v>
      </c>
      <c r="L1305" s="20" t="str">
        <f>IFERROR(__xludf.DUMMYFUNCTION("""COMPUTED_VALUE"""),"Array;Math;")</f>
        <v>Array;Math;</v>
      </c>
      <c r="M1305" s="20" t="b">
        <f>IFERROR(__xludf.DUMMYFUNCTION("""COMPUTED_VALUE"""),FALSE)</f>
        <v>0</v>
      </c>
      <c r="N1305" s="20" t="b">
        <f>IFERROR(__xludf.DUMMYFUNCTION("""COMPUTED_VALUE"""),FALSE)</f>
        <v>0</v>
      </c>
      <c r="O1305" s="20">
        <f>IFERROR(__xludf.DUMMYFUNCTION("""COMPUTED_VALUE"""),77.1342318635374)</f>
        <v>77.13423186</v>
      </c>
      <c r="P1305" s="20">
        <f>IFERROR(__xludf.DUMMYFUNCTION("""COMPUTED_VALUE"""),173235.0)</f>
        <v>173235</v>
      </c>
      <c r="Q1305" s="20">
        <f>IFERROR(__xludf.DUMMYFUNCTION("""COMPUTED_VALUE"""),224589.0)</f>
        <v>224589</v>
      </c>
    </row>
    <row r="1306">
      <c r="A1306" s="20">
        <f>IFERROR(__xludf.DUMMYFUNCTION("""COMPUTED_VALUE"""),1427.0)</f>
        <v>1427</v>
      </c>
      <c r="B1306" s="20" t="str">
        <f>IFERROR(__xludf.DUMMYFUNCTION("""COMPUTED_VALUE"""),"All Elements in Two Binary Search Trees")</f>
        <v>All Elements in Two Binary Search Trees</v>
      </c>
      <c r="C1306" s="20" t="str">
        <f>IFERROR(__xludf.DUMMYFUNCTION("""COMPUTED_VALUE"""),"all-elements-in-two-binary-search-trees")</f>
        <v>all-elements-in-two-binary-search-trees</v>
      </c>
      <c r="D1306" s="20" t="b">
        <f>IFERROR(__xludf.DUMMYFUNCTION("""COMPUTED_VALUE"""),FALSE)</f>
        <v>0</v>
      </c>
      <c r="E1306" s="20" t="str">
        <f>IFERROR(__xludf.DUMMYFUNCTION("""COMPUTED_VALUE"""),"Medium")</f>
        <v>Medium</v>
      </c>
      <c r="F1306" s="20">
        <f>IFERROR(__xludf.DUMMYFUNCTION("""COMPUTED_VALUE"""),2603.0)</f>
        <v>2603</v>
      </c>
      <c r="G1306" s="20">
        <f>IFERROR(__xludf.DUMMYFUNCTION("""COMPUTED_VALUE"""),76.0)</f>
        <v>76</v>
      </c>
      <c r="H1306" s="20" t="str">
        <f>IFERROR(__xludf.DUMMYFUNCTION("""COMPUTED_VALUE"""),"Algorithms")</f>
        <v>Algorithms</v>
      </c>
      <c r="I1306" s="20">
        <f>IFERROR(__xludf.DUMMYFUNCTION("""COMPUTED_VALUE"""),0.798)</f>
        <v>0.798</v>
      </c>
      <c r="J1306" s="20">
        <f>IFERROR(__xludf.DUMMYFUNCTION("""COMPUTED_VALUE"""),1305.0)</f>
        <v>1305</v>
      </c>
      <c r="K1306" s="20" t="b">
        <f>IFERROR(__xludf.DUMMYFUNCTION("""COMPUTED_VALUE"""),FALSE)</f>
        <v>0</v>
      </c>
      <c r="L1306" s="20" t="str">
        <f>IFERROR(__xludf.DUMMYFUNCTION("""COMPUTED_VALUE"""),"Tree;Depth-First Search;Binary Search Tree;Sorting;Binary Tree;")</f>
        <v>Tree;Depth-First Search;Binary Search Tree;Sorting;Binary Tree;</v>
      </c>
      <c r="M1306" s="20" t="b">
        <f>IFERROR(__xludf.DUMMYFUNCTION("""COMPUTED_VALUE"""),TRUE)</f>
        <v>1</v>
      </c>
      <c r="N1306" s="20" t="b">
        <f>IFERROR(__xludf.DUMMYFUNCTION("""COMPUTED_VALUE"""),FALSE)</f>
        <v>0</v>
      </c>
      <c r="O1306" s="20">
        <f>IFERROR(__xludf.DUMMYFUNCTION("""COMPUTED_VALUE"""),79.8067168326614)</f>
        <v>79.80671683</v>
      </c>
      <c r="P1306" s="20">
        <f>IFERROR(__xludf.DUMMYFUNCTION("""COMPUTED_VALUE"""),180931.0)</f>
        <v>180931</v>
      </c>
      <c r="Q1306" s="20">
        <f>IFERROR(__xludf.DUMMYFUNCTION("""COMPUTED_VALUE"""),226712.0)</f>
        <v>226712</v>
      </c>
    </row>
    <row r="1307">
      <c r="A1307" s="20">
        <f>IFERROR(__xludf.DUMMYFUNCTION("""COMPUTED_VALUE"""),1428.0)</f>
        <v>1428</v>
      </c>
      <c r="B1307" s="20" t="str">
        <f>IFERROR(__xludf.DUMMYFUNCTION("""COMPUTED_VALUE"""),"Jump Game III")</f>
        <v>Jump Game III</v>
      </c>
      <c r="C1307" s="20" t="str">
        <f>IFERROR(__xludf.DUMMYFUNCTION("""COMPUTED_VALUE"""),"jump-game-iii")</f>
        <v>jump-game-iii</v>
      </c>
      <c r="D1307" s="20" t="b">
        <f>IFERROR(__xludf.DUMMYFUNCTION("""COMPUTED_VALUE"""),FALSE)</f>
        <v>0</v>
      </c>
      <c r="E1307" s="20" t="str">
        <f>IFERROR(__xludf.DUMMYFUNCTION("""COMPUTED_VALUE"""),"Medium")</f>
        <v>Medium</v>
      </c>
      <c r="F1307" s="20">
        <f>IFERROR(__xludf.DUMMYFUNCTION("""COMPUTED_VALUE"""),3382.0)</f>
        <v>3382</v>
      </c>
      <c r="G1307" s="20">
        <f>IFERROR(__xludf.DUMMYFUNCTION("""COMPUTED_VALUE"""),81.0)</f>
        <v>81</v>
      </c>
      <c r="H1307" s="20" t="str">
        <f>IFERROR(__xludf.DUMMYFUNCTION("""COMPUTED_VALUE"""),"Algorithms")</f>
        <v>Algorithms</v>
      </c>
      <c r="I1307" s="20">
        <f>IFERROR(__xludf.DUMMYFUNCTION("""COMPUTED_VALUE"""),0.632)</f>
        <v>0.632</v>
      </c>
      <c r="J1307" s="20">
        <f>IFERROR(__xludf.DUMMYFUNCTION("""COMPUTED_VALUE"""),1306.0)</f>
        <v>1306</v>
      </c>
      <c r="K1307" s="20" t="b">
        <f>IFERROR(__xludf.DUMMYFUNCTION("""COMPUTED_VALUE"""),FALSE)</f>
        <v>0</v>
      </c>
      <c r="L1307" s="20" t="str">
        <f>IFERROR(__xludf.DUMMYFUNCTION("""COMPUTED_VALUE"""),"Array;Depth-First Search;Breadth-First Search;")</f>
        <v>Array;Depth-First Search;Breadth-First Search;</v>
      </c>
      <c r="M1307" s="20" t="b">
        <f>IFERROR(__xludf.DUMMYFUNCTION("""COMPUTED_VALUE"""),TRUE)</f>
        <v>1</v>
      </c>
      <c r="N1307" s="20" t="b">
        <f>IFERROR(__xludf.DUMMYFUNCTION("""COMPUTED_VALUE"""),TRUE)</f>
        <v>1</v>
      </c>
      <c r="O1307" s="20">
        <f>IFERROR(__xludf.DUMMYFUNCTION("""COMPUTED_VALUE"""),63.2305462685282)</f>
        <v>63.23054627</v>
      </c>
      <c r="P1307" s="20">
        <f>IFERROR(__xludf.DUMMYFUNCTION("""COMPUTED_VALUE"""),176264.0)</f>
        <v>176264</v>
      </c>
      <c r="Q1307" s="20">
        <f>IFERROR(__xludf.DUMMYFUNCTION("""COMPUTED_VALUE"""),278764.0)</f>
        <v>278764</v>
      </c>
    </row>
    <row r="1308">
      <c r="A1308" s="20">
        <f>IFERROR(__xludf.DUMMYFUNCTION("""COMPUTED_VALUE"""),1429.0)</f>
        <v>1429</v>
      </c>
      <c r="B1308" s="20" t="str">
        <f>IFERROR(__xludf.DUMMYFUNCTION("""COMPUTED_VALUE"""),"Verbal Arithmetic Puzzle")</f>
        <v>Verbal Arithmetic Puzzle</v>
      </c>
      <c r="C1308" s="20" t="str">
        <f>IFERROR(__xludf.DUMMYFUNCTION("""COMPUTED_VALUE"""),"verbal-arithmetic-puzzle")</f>
        <v>verbal-arithmetic-puzzle</v>
      </c>
      <c r="D1308" s="20" t="b">
        <f>IFERROR(__xludf.DUMMYFUNCTION("""COMPUTED_VALUE"""),FALSE)</f>
        <v>0</v>
      </c>
      <c r="E1308" s="20" t="str">
        <f>IFERROR(__xludf.DUMMYFUNCTION("""COMPUTED_VALUE"""),"Hard")</f>
        <v>Hard</v>
      </c>
      <c r="F1308" s="20">
        <f>IFERROR(__xludf.DUMMYFUNCTION("""COMPUTED_VALUE"""),403.0)</f>
        <v>403</v>
      </c>
      <c r="G1308" s="20">
        <f>IFERROR(__xludf.DUMMYFUNCTION("""COMPUTED_VALUE"""),101.0)</f>
        <v>101</v>
      </c>
      <c r="H1308" s="20" t="str">
        <f>IFERROR(__xludf.DUMMYFUNCTION("""COMPUTED_VALUE"""),"Algorithms")</f>
        <v>Algorithms</v>
      </c>
      <c r="I1308" s="20">
        <f>IFERROR(__xludf.DUMMYFUNCTION("""COMPUTED_VALUE"""),0.345)</f>
        <v>0.345</v>
      </c>
      <c r="J1308" s="20">
        <f>IFERROR(__xludf.DUMMYFUNCTION("""COMPUTED_VALUE"""),1307.0)</f>
        <v>1307</v>
      </c>
      <c r="K1308" s="20" t="b">
        <f>IFERROR(__xludf.DUMMYFUNCTION("""COMPUTED_VALUE"""),FALSE)</f>
        <v>0</v>
      </c>
      <c r="L1308" s="20" t="str">
        <f>IFERROR(__xludf.DUMMYFUNCTION("""COMPUTED_VALUE"""),"Array;Math;String;Backtracking;")</f>
        <v>Array;Math;String;Backtracking;</v>
      </c>
      <c r="M1308" s="20" t="b">
        <f>IFERROR(__xludf.DUMMYFUNCTION("""COMPUTED_VALUE"""),FALSE)</f>
        <v>0</v>
      </c>
      <c r="N1308" s="20" t="b">
        <f>IFERROR(__xludf.DUMMYFUNCTION("""COMPUTED_VALUE"""),FALSE)</f>
        <v>0</v>
      </c>
      <c r="O1308" s="20">
        <f>IFERROR(__xludf.DUMMYFUNCTION("""COMPUTED_VALUE"""),34.506414214173)</f>
        <v>34.50641421</v>
      </c>
      <c r="P1308" s="20">
        <f>IFERROR(__xludf.DUMMYFUNCTION("""COMPUTED_VALUE"""),10059.0)</f>
        <v>10059</v>
      </c>
      <c r="Q1308" s="20">
        <f>IFERROR(__xludf.DUMMYFUNCTION("""COMPUTED_VALUE"""),29153.0)</f>
        <v>29153</v>
      </c>
    </row>
    <row r="1309">
      <c r="A1309" s="20">
        <f>IFERROR(__xludf.DUMMYFUNCTION("""COMPUTED_VALUE"""),1439.0)</f>
        <v>1439</v>
      </c>
      <c r="B1309" s="20" t="str">
        <f>IFERROR(__xludf.DUMMYFUNCTION("""COMPUTED_VALUE"""),"Running Total for Different Genders")</f>
        <v>Running Total for Different Genders</v>
      </c>
      <c r="C1309" s="20" t="str">
        <f>IFERROR(__xludf.DUMMYFUNCTION("""COMPUTED_VALUE"""),"running-total-for-different-genders")</f>
        <v>running-total-for-different-genders</v>
      </c>
      <c r="D1309" s="20" t="b">
        <f>IFERROR(__xludf.DUMMYFUNCTION("""COMPUTED_VALUE"""),TRUE)</f>
        <v>1</v>
      </c>
      <c r="E1309" s="20" t="str">
        <f>IFERROR(__xludf.DUMMYFUNCTION("""COMPUTED_VALUE"""),"Medium")</f>
        <v>Medium</v>
      </c>
      <c r="F1309" s="20">
        <f>IFERROR(__xludf.DUMMYFUNCTION("""COMPUTED_VALUE"""),181.0)</f>
        <v>181</v>
      </c>
      <c r="G1309" s="20">
        <f>IFERROR(__xludf.DUMMYFUNCTION("""COMPUTED_VALUE"""),50.0)</f>
        <v>50</v>
      </c>
      <c r="H1309" s="20" t="str">
        <f>IFERROR(__xludf.DUMMYFUNCTION("""COMPUTED_VALUE"""),"Database")</f>
        <v>Database</v>
      </c>
      <c r="I1309" s="20">
        <f>IFERROR(__xludf.DUMMYFUNCTION("""COMPUTED_VALUE"""),0.88)</f>
        <v>0.88</v>
      </c>
      <c r="J1309" s="20">
        <f>IFERROR(__xludf.DUMMYFUNCTION("""COMPUTED_VALUE"""),1308.0)</f>
        <v>1308</v>
      </c>
      <c r="K1309" s="20" t="b">
        <f>IFERROR(__xludf.DUMMYFUNCTION("""COMPUTED_VALUE"""),TRUE)</f>
        <v>1</v>
      </c>
      <c r="L1309" s="20" t="str">
        <f>IFERROR(__xludf.DUMMYFUNCTION("""COMPUTED_VALUE"""),"Database;")</f>
        <v>Database;</v>
      </c>
      <c r="M1309" s="20" t="b">
        <f>IFERROR(__xludf.DUMMYFUNCTION("""COMPUTED_VALUE"""),FALSE)</f>
        <v>0</v>
      </c>
      <c r="N1309" s="20" t="b">
        <f>IFERROR(__xludf.DUMMYFUNCTION("""COMPUTED_VALUE"""),FALSE)</f>
        <v>0</v>
      </c>
      <c r="O1309" s="20">
        <f>IFERROR(__xludf.DUMMYFUNCTION("""COMPUTED_VALUE"""),88.0106571936056)</f>
        <v>88.01065719</v>
      </c>
      <c r="P1309" s="20">
        <f>IFERROR(__xludf.DUMMYFUNCTION("""COMPUTED_VALUE"""),32703.0)</f>
        <v>32703</v>
      </c>
      <c r="Q1309" s="20">
        <f>IFERROR(__xludf.DUMMYFUNCTION("""COMPUTED_VALUE"""),37158.0)</f>
        <v>37158</v>
      </c>
    </row>
    <row r="1310">
      <c r="A1310" s="20">
        <f>IFERROR(__xludf.DUMMYFUNCTION("""COMPUTED_VALUE"""),1434.0)</f>
        <v>1434</v>
      </c>
      <c r="B1310" s="20" t="str">
        <f>IFERROR(__xludf.DUMMYFUNCTION("""COMPUTED_VALUE"""),"Decrypt String from Alphabet to Integer Mapping")</f>
        <v>Decrypt String from Alphabet to Integer Mapping</v>
      </c>
      <c r="C1310" s="20" t="str">
        <f>IFERROR(__xludf.DUMMYFUNCTION("""COMPUTED_VALUE"""),"decrypt-string-from-alphabet-to-integer-mapping")</f>
        <v>decrypt-string-from-alphabet-to-integer-mapping</v>
      </c>
      <c r="D1310" s="20" t="b">
        <f>IFERROR(__xludf.DUMMYFUNCTION("""COMPUTED_VALUE"""),FALSE)</f>
        <v>0</v>
      </c>
      <c r="E1310" s="20" t="str">
        <f>IFERROR(__xludf.DUMMYFUNCTION("""COMPUTED_VALUE"""),"Easy")</f>
        <v>Easy</v>
      </c>
      <c r="F1310" s="20">
        <f>IFERROR(__xludf.DUMMYFUNCTION("""COMPUTED_VALUE"""),1248.0)</f>
        <v>1248</v>
      </c>
      <c r="G1310" s="20">
        <f>IFERROR(__xludf.DUMMYFUNCTION("""COMPUTED_VALUE"""),85.0)</f>
        <v>85</v>
      </c>
      <c r="H1310" s="20" t="str">
        <f>IFERROR(__xludf.DUMMYFUNCTION("""COMPUTED_VALUE"""),"Algorithms")</f>
        <v>Algorithms</v>
      </c>
      <c r="I1310" s="20">
        <f>IFERROR(__xludf.DUMMYFUNCTION("""COMPUTED_VALUE"""),0.795)</f>
        <v>0.795</v>
      </c>
      <c r="J1310" s="20">
        <f>IFERROR(__xludf.DUMMYFUNCTION("""COMPUTED_VALUE"""),1309.0)</f>
        <v>1309</v>
      </c>
      <c r="K1310" s="20" t="b">
        <f>IFERROR(__xludf.DUMMYFUNCTION("""COMPUTED_VALUE"""),FALSE)</f>
        <v>0</v>
      </c>
      <c r="L1310" s="20" t="str">
        <f>IFERROR(__xludf.DUMMYFUNCTION("""COMPUTED_VALUE"""),"String;")</f>
        <v>String;</v>
      </c>
      <c r="M1310" s="20" t="b">
        <f>IFERROR(__xludf.DUMMYFUNCTION("""COMPUTED_VALUE"""),FALSE)</f>
        <v>0</v>
      </c>
      <c r="N1310" s="20" t="b">
        <f>IFERROR(__xludf.DUMMYFUNCTION("""COMPUTED_VALUE"""),FALSE)</f>
        <v>0</v>
      </c>
      <c r="O1310" s="20">
        <f>IFERROR(__xludf.DUMMYFUNCTION("""COMPUTED_VALUE"""),79.5308618075049)</f>
        <v>79.53086181</v>
      </c>
      <c r="P1310" s="20">
        <f>IFERROR(__xludf.DUMMYFUNCTION("""COMPUTED_VALUE"""),98596.0)</f>
        <v>98596</v>
      </c>
      <c r="Q1310" s="20">
        <f>IFERROR(__xludf.DUMMYFUNCTION("""COMPUTED_VALUE"""),123972.0)</f>
        <v>123972</v>
      </c>
    </row>
    <row r="1311">
      <c r="A1311" s="20">
        <f>IFERROR(__xludf.DUMMYFUNCTION("""COMPUTED_VALUE"""),1435.0)</f>
        <v>1435</v>
      </c>
      <c r="B1311" s="20" t="str">
        <f>IFERROR(__xludf.DUMMYFUNCTION("""COMPUTED_VALUE"""),"XOR Queries of a Subarray")</f>
        <v>XOR Queries of a Subarray</v>
      </c>
      <c r="C1311" s="20" t="str">
        <f>IFERROR(__xludf.DUMMYFUNCTION("""COMPUTED_VALUE"""),"xor-queries-of-a-subarray")</f>
        <v>xor-queries-of-a-subarray</v>
      </c>
      <c r="D1311" s="20" t="b">
        <f>IFERROR(__xludf.DUMMYFUNCTION("""COMPUTED_VALUE"""),FALSE)</f>
        <v>0</v>
      </c>
      <c r="E1311" s="20" t="str">
        <f>IFERROR(__xludf.DUMMYFUNCTION("""COMPUTED_VALUE"""),"Medium")</f>
        <v>Medium</v>
      </c>
      <c r="F1311" s="20">
        <f>IFERROR(__xludf.DUMMYFUNCTION("""COMPUTED_VALUE"""),1180.0)</f>
        <v>1180</v>
      </c>
      <c r="G1311" s="20">
        <f>IFERROR(__xludf.DUMMYFUNCTION("""COMPUTED_VALUE"""),36.0)</f>
        <v>36</v>
      </c>
      <c r="H1311" s="20" t="str">
        <f>IFERROR(__xludf.DUMMYFUNCTION("""COMPUTED_VALUE"""),"Algorithms")</f>
        <v>Algorithms</v>
      </c>
      <c r="I1311" s="20">
        <f>IFERROR(__xludf.DUMMYFUNCTION("""COMPUTED_VALUE"""),0.722)</f>
        <v>0.722</v>
      </c>
      <c r="J1311" s="20">
        <f>IFERROR(__xludf.DUMMYFUNCTION("""COMPUTED_VALUE"""),1310.0)</f>
        <v>1310</v>
      </c>
      <c r="K1311" s="20" t="b">
        <f>IFERROR(__xludf.DUMMYFUNCTION("""COMPUTED_VALUE"""),FALSE)</f>
        <v>0</v>
      </c>
      <c r="L1311" s="20" t="str">
        <f>IFERROR(__xludf.DUMMYFUNCTION("""COMPUTED_VALUE"""),"Array;Bit Manipulation;Prefix Sum;")</f>
        <v>Array;Bit Manipulation;Prefix Sum;</v>
      </c>
      <c r="M1311" s="20" t="b">
        <f>IFERROR(__xludf.DUMMYFUNCTION("""COMPUTED_VALUE"""),FALSE)</f>
        <v>0</v>
      </c>
      <c r="N1311" s="20" t="b">
        <f>IFERROR(__xludf.DUMMYFUNCTION("""COMPUTED_VALUE"""),FALSE)</f>
        <v>0</v>
      </c>
      <c r="O1311" s="20">
        <f>IFERROR(__xludf.DUMMYFUNCTION("""COMPUTED_VALUE"""),72.2057433423514)</f>
        <v>72.20574334</v>
      </c>
      <c r="P1311" s="20">
        <f>IFERROR(__xludf.DUMMYFUNCTION("""COMPUTED_VALUE"""),44302.0)</f>
        <v>44302</v>
      </c>
      <c r="Q1311" s="20">
        <f>IFERROR(__xludf.DUMMYFUNCTION("""COMPUTED_VALUE"""),61356.0)</f>
        <v>61356</v>
      </c>
    </row>
    <row r="1312">
      <c r="A1312" s="20">
        <f>IFERROR(__xludf.DUMMYFUNCTION("""COMPUTED_VALUE"""),1436.0)</f>
        <v>1436</v>
      </c>
      <c r="B1312" s="20" t="str">
        <f>IFERROR(__xludf.DUMMYFUNCTION("""COMPUTED_VALUE"""),"Get Watched Videos by Your Friends")</f>
        <v>Get Watched Videos by Your Friends</v>
      </c>
      <c r="C1312" s="20" t="str">
        <f>IFERROR(__xludf.DUMMYFUNCTION("""COMPUTED_VALUE"""),"get-watched-videos-by-your-friends")</f>
        <v>get-watched-videos-by-your-friends</v>
      </c>
      <c r="D1312" s="20" t="b">
        <f>IFERROR(__xludf.DUMMYFUNCTION("""COMPUTED_VALUE"""),FALSE)</f>
        <v>0</v>
      </c>
      <c r="E1312" s="20" t="str">
        <f>IFERROR(__xludf.DUMMYFUNCTION("""COMPUTED_VALUE"""),"Medium")</f>
        <v>Medium</v>
      </c>
      <c r="F1312" s="20">
        <f>IFERROR(__xludf.DUMMYFUNCTION("""COMPUTED_VALUE"""),269.0)</f>
        <v>269</v>
      </c>
      <c r="G1312" s="20">
        <f>IFERROR(__xludf.DUMMYFUNCTION("""COMPUTED_VALUE"""),346.0)</f>
        <v>346</v>
      </c>
      <c r="H1312" s="20" t="str">
        <f>IFERROR(__xludf.DUMMYFUNCTION("""COMPUTED_VALUE"""),"Algorithms")</f>
        <v>Algorithms</v>
      </c>
      <c r="I1312" s="20">
        <f>IFERROR(__xludf.DUMMYFUNCTION("""COMPUTED_VALUE"""),0.459)</f>
        <v>0.459</v>
      </c>
      <c r="J1312" s="20">
        <f>IFERROR(__xludf.DUMMYFUNCTION("""COMPUTED_VALUE"""),1311.0)</f>
        <v>1311</v>
      </c>
      <c r="K1312" s="20" t="b">
        <f>IFERROR(__xludf.DUMMYFUNCTION("""COMPUTED_VALUE"""),FALSE)</f>
        <v>0</v>
      </c>
      <c r="L1312" s="20" t="str">
        <f>IFERROR(__xludf.DUMMYFUNCTION("""COMPUTED_VALUE"""),"Array;Hash Table;Breadth-First Search;Graph;Sorting;")</f>
        <v>Array;Hash Table;Breadth-First Search;Graph;Sorting;</v>
      </c>
      <c r="M1312" s="20" t="b">
        <f>IFERROR(__xludf.DUMMYFUNCTION("""COMPUTED_VALUE"""),FALSE)</f>
        <v>0</v>
      </c>
      <c r="N1312" s="20" t="b">
        <f>IFERROR(__xludf.DUMMYFUNCTION("""COMPUTED_VALUE"""),FALSE)</f>
        <v>0</v>
      </c>
      <c r="O1312" s="20">
        <f>IFERROR(__xludf.DUMMYFUNCTION("""COMPUTED_VALUE"""),45.9340659340659)</f>
        <v>45.93406593</v>
      </c>
      <c r="P1312" s="20">
        <f>IFERROR(__xludf.DUMMYFUNCTION("""COMPUTED_VALUE"""),17347.0)</f>
        <v>17347</v>
      </c>
      <c r="Q1312" s="20">
        <f>IFERROR(__xludf.DUMMYFUNCTION("""COMPUTED_VALUE"""),37765.0)</f>
        <v>37765</v>
      </c>
    </row>
    <row r="1313">
      <c r="A1313" s="20">
        <f>IFERROR(__xludf.DUMMYFUNCTION("""COMPUTED_VALUE"""),1437.0)</f>
        <v>1437</v>
      </c>
      <c r="B1313" s="20" t="str">
        <f>IFERROR(__xludf.DUMMYFUNCTION("""COMPUTED_VALUE"""),"Minimum Insertion Steps to Make a String Palindrome")</f>
        <v>Minimum Insertion Steps to Make a String Palindrome</v>
      </c>
      <c r="C1313" s="20" t="str">
        <f>IFERROR(__xludf.DUMMYFUNCTION("""COMPUTED_VALUE"""),"minimum-insertion-steps-to-make-a-string-palindrome")</f>
        <v>minimum-insertion-steps-to-make-a-string-palindrome</v>
      </c>
      <c r="D1313" s="20" t="b">
        <f>IFERROR(__xludf.DUMMYFUNCTION("""COMPUTED_VALUE"""),FALSE)</f>
        <v>0</v>
      </c>
      <c r="E1313" s="20" t="str">
        <f>IFERROR(__xludf.DUMMYFUNCTION("""COMPUTED_VALUE"""),"Hard")</f>
        <v>Hard</v>
      </c>
      <c r="F1313" s="20">
        <f>IFERROR(__xludf.DUMMYFUNCTION("""COMPUTED_VALUE"""),2820.0)</f>
        <v>2820</v>
      </c>
      <c r="G1313" s="20">
        <f>IFERROR(__xludf.DUMMYFUNCTION("""COMPUTED_VALUE"""),34.0)</f>
        <v>34</v>
      </c>
      <c r="H1313" s="20" t="str">
        <f>IFERROR(__xludf.DUMMYFUNCTION("""COMPUTED_VALUE"""),"Algorithms")</f>
        <v>Algorithms</v>
      </c>
      <c r="I1313" s="20">
        <f>IFERROR(__xludf.DUMMYFUNCTION("""COMPUTED_VALUE"""),0.658)</f>
        <v>0.658</v>
      </c>
      <c r="J1313" s="20">
        <f>IFERROR(__xludf.DUMMYFUNCTION("""COMPUTED_VALUE"""),1312.0)</f>
        <v>1312</v>
      </c>
      <c r="K1313" s="20" t="b">
        <f>IFERROR(__xludf.DUMMYFUNCTION("""COMPUTED_VALUE"""),FALSE)</f>
        <v>0</v>
      </c>
      <c r="L1313" s="20" t="str">
        <f>IFERROR(__xludf.DUMMYFUNCTION("""COMPUTED_VALUE"""),"String;Dynamic Programming;")</f>
        <v>String;Dynamic Programming;</v>
      </c>
      <c r="M1313" s="20" t="b">
        <f>IFERROR(__xludf.DUMMYFUNCTION("""COMPUTED_VALUE"""),FALSE)</f>
        <v>0</v>
      </c>
      <c r="N1313" s="20" t="b">
        <f>IFERROR(__xludf.DUMMYFUNCTION("""COMPUTED_VALUE"""),FALSE)</f>
        <v>0</v>
      </c>
      <c r="O1313" s="20">
        <f>IFERROR(__xludf.DUMMYFUNCTION("""COMPUTED_VALUE"""),65.8314393760786)</f>
        <v>65.83143938</v>
      </c>
      <c r="P1313" s="20">
        <f>IFERROR(__xludf.DUMMYFUNCTION("""COMPUTED_VALUE"""),69806.0)</f>
        <v>69806</v>
      </c>
      <c r="Q1313" s="20">
        <f>IFERROR(__xludf.DUMMYFUNCTION("""COMPUTED_VALUE"""),106038.0)</f>
        <v>106038</v>
      </c>
    </row>
    <row r="1314">
      <c r="A1314" s="20">
        <f>IFERROR(__xludf.DUMMYFUNCTION("""COMPUTED_VALUE"""),1241.0)</f>
        <v>1241</v>
      </c>
      <c r="B1314" s="20" t="str">
        <f>IFERROR(__xludf.DUMMYFUNCTION("""COMPUTED_VALUE"""),"Decompress Run-Length Encoded List")</f>
        <v>Decompress Run-Length Encoded List</v>
      </c>
      <c r="C1314" s="20" t="str">
        <f>IFERROR(__xludf.DUMMYFUNCTION("""COMPUTED_VALUE"""),"decompress-run-length-encoded-list")</f>
        <v>decompress-run-length-encoded-list</v>
      </c>
      <c r="D1314" s="20" t="b">
        <f>IFERROR(__xludf.DUMMYFUNCTION("""COMPUTED_VALUE"""),FALSE)</f>
        <v>0</v>
      </c>
      <c r="E1314" s="20" t="str">
        <f>IFERROR(__xludf.DUMMYFUNCTION("""COMPUTED_VALUE"""),"Easy")</f>
        <v>Easy</v>
      </c>
      <c r="F1314" s="20">
        <f>IFERROR(__xludf.DUMMYFUNCTION("""COMPUTED_VALUE"""),967.0)</f>
        <v>967</v>
      </c>
      <c r="G1314" s="20">
        <f>IFERROR(__xludf.DUMMYFUNCTION("""COMPUTED_VALUE"""),1203.0)</f>
        <v>1203</v>
      </c>
      <c r="H1314" s="20" t="str">
        <f>IFERROR(__xludf.DUMMYFUNCTION("""COMPUTED_VALUE"""),"Algorithms")</f>
        <v>Algorithms</v>
      </c>
      <c r="I1314" s="20">
        <f>IFERROR(__xludf.DUMMYFUNCTION("""COMPUTED_VALUE"""),0.859)</f>
        <v>0.859</v>
      </c>
      <c r="J1314" s="20">
        <f>IFERROR(__xludf.DUMMYFUNCTION("""COMPUTED_VALUE"""),1313.0)</f>
        <v>1313</v>
      </c>
      <c r="K1314" s="20" t="b">
        <f>IFERROR(__xludf.DUMMYFUNCTION("""COMPUTED_VALUE"""),FALSE)</f>
        <v>0</v>
      </c>
      <c r="L1314" s="20" t="str">
        <f>IFERROR(__xludf.DUMMYFUNCTION("""COMPUTED_VALUE"""),"Array;")</f>
        <v>Array;</v>
      </c>
      <c r="M1314" s="20" t="b">
        <f>IFERROR(__xludf.DUMMYFUNCTION("""COMPUTED_VALUE"""),FALSE)</f>
        <v>0</v>
      </c>
      <c r="N1314" s="20" t="b">
        <f>IFERROR(__xludf.DUMMYFUNCTION("""COMPUTED_VALUE"""),FALSE)</f>
        <v>0</v>
      </c>
      <c r="O1314" s="20">
        <f>IFERROR(__xludf.DUMMYFUNCTION("""COMPUTED_VALUE"""),85.8574168642716)</f>
        <v>85.85741686</v>
      </c>
      <c r="P1314" s="20">
        <f>IFERROR(__xludf.DUMMYFUNCTION("""COMPUTED_VALUE"""),212176.0)</f>
        <v>212176</v>
      </c>
      <c r="Q1314" s="20">
        <f>IFERROR(__xludf.DUMMYFUNCTION("""COMPUTED_VALUE"""),247126.0)</f>
        <v>247126</v>
      </c>
    </row>
    <row r="1315">
      <c r="A1315" s="20">
        <f>IFERROR(__xludf.DUMMYFUNCTION("""COMPUTED_VALUE"""),1242.0)</f>
        <v>1242</v>
      </c>
      <c r="B1315" s="20" t="str">
        <f>IFERROR(__xludf.DUMMYFUNCTION("""COMPUTED_VALUE"""),"Matrix Block Sum")</f>
        <v>Matrix Block Sum</v>
      </c>
      <c r="C1315" s="20" t="str">
        <f>IFERROR(__xludf.DUMMYFUNCTION("""COMPUTED_VALUE"""),"matrix-block-sum")</f>
        <v>matrix-block-sum</v>
      </c>
      <c r="D1315" s="20" t="b">
        <f>IFERROR(__xludf.DUMMYFUNCTION("""COMPUTED_VALUE"""),FALSE)</f>
        <v>0</v>
      </c>
      <c r="E1315" s="20" t="str">
        <f>IFERROR(__xludf.DUMMYFUNCTION("""COMPUTED_VALUE"""),"Medium")</f>
        <v>Medium</v>
      </c>
      <c r="F1315" s="20">
        <f>IFERROR(__xludf.DUMMYFUNCTION("""COMPUTED_VALUE"""),2025.0)</f>
        <v>2025</v>
      </c>
      <c r="G1315" s="20">
        <f>IFERROR(__xludf.DUMMYFUNCTION("""COMPUTED_VALUE"""),317.0)</f>
        <v>317</v>
      </c>
      <c r="H1315" s="20" t="str">
        <f>IFERROR(__xludf.DUMMYFUNCTION("""COMPUTED_VALUE"""),"Algorithms")</f>
        <v>Algorithms</v>
      </c>
      <c r="I1315" s="20">
        <f>IFERROR(__xludf.DUMMYFUNCTION("""COMPUTED_VALUE"""),0.754)</f>
        <v>0.754</v>
      </c>
      <c r="J1315" s="20">
        <f>IFERROR(__xludf.DUMMYFUNCTION("""COMPUTED_VALUE"""),1314.0)</f>
        <v>1314</v>
      </c>
      <c r="K1315" s="20" t="b">
        <f>IFERROR(__xludf.DUMMYFUNCTION("""COMPUTED_VALUE"""),FALSE)</f>
        <v>0</v>
      </c>
      <c r="L1315" s="20" t="str">
        <f>IFERROR(__xludf.DUMMYFUNCTION("""COMPUTED_VALUE"""),"Array;Matrix;Prefix Sum;")</f>
        <v>Array;Matrix;Prefix Sum;</v>
      </c>
      <c r="M1315" s="20" t="b">
        <f>IFERROR(__xludf.DUMMYFUNCTION("""COMPUTED_VALUE"""),FALSE)</f>
        <v>0</v>
      </c>
      <c r="N1315" s="20" t="b">
        <f>IFERROR(__xludf.DUMMYFUNCTION("""COMPUTED_VALUE"""),FALSE)</f>
        <v>0</v>
      </c>
      <c r="O1315" s="20">
        <f>IFERROR(__xludf.DUMMYFUNCTION("""COMPUTED_VALUE"""),75.395901741552)</f>
        <v>75.39590174</v>
      </c>
      <c r="P1315" s="20">
        <f>IFERROR(__xludf.DUMMYFUNCTION("""COMPUTED_VALUE"""),72558.0)</f>
        <v>72558</v>
      </c>
      <c r="Q1315" s="20">
        <f>IFERROR(__xludf.DUMMYFUNCTION("""COMPUTED_VALUE"""),96236.0)</f>
        <v>96236</v>
      </c>
    </row>
    <row r="1316">
      <c r="A1316" s="20">
        <f>IFERROR(__xludf.DUMMYFUNCTION("""COMPUTED_VALUE"""),1243.0)</f>
        <v>1243</v>
      </c>
      <c r="B1316" s="20" t="str">
        <f>IFERROR(__xludf.DUMMYFUNCTION("""COMPUTED_VALUE"""),"Sum of Nodes with Even-Valued Grandparent")</f>
        <v>Sum of Nodes with Even-Valued Grandparent</v>
      </c>
      <c r="C1316" s="20" t="str">
        <f>IFERROR(__xludf.DUMMYFUNCTION("""COMPUTED_VALUE"""),"sum-of-nodes-with-even-valued-grandparent")</f>
        <v>sum-of-nodes-with-even-valued-grandparent</v>
      </c>
      <c r="D1316" s="20" t="b">
        <f>IFERROR(__xludf.DUMMYFUNCTION("""COMPUTED_VALUE"""),FALSE)</f>
        <v>0</v>
      </c>
      <c r="E1316" s="20" t="str">
        <f>IFERROR(__xludf.DUMMYFUNCTION("""COMPUTED_VALUE"""),"Medium")</f>
        <v>Medium</v>
      </c>
      <c r="F1316" s="20">
        <f>IFERROR(__xludf.DUMMYFUNCTION("""COMPUTED_VALUE"""),2228.0)</f>
        <v>2228</v>
      </c>
      <c r="G1316" s="20">
        <f>IFERROR(__xludf.DUMMYFUNCTION("""COMPUTED_VALUE"""),66.0)</f>
        <v>66</v>
      </c>
      <c r="H1316" s="20" t="str">
        <f>IFERROR(__xludf.DUMMYFUNCTION("""COMPUTED_VALUE"""),"Algorithms")</f>
        <v>Algorithms</v>
      </c>
      <c r="I1316" s="20">
        <f>IFERROR(__xludf.DUMMYFUNCTION("""COMPUTED_VALUE"""),0.856)</f>
        <v>0.856</v>
      </c>
      <c r="J1316" s="20">
        <f>IFERROR(__xludf.DUMMYFUNCTION("""COMPUTED_VALUE"""),1315.0)</f>
        <v>1315</v>
      </c>
      <c r="K1316" s="20" t="b">
        <f>IFERROR(__xludf.DUMMYFUNCTION("""COMPUTED_VALUE"""),FALSE)</f>
        <v>0</v>
      </c>
      <c r="L1316" s="20" t="str">
        <f>IFERROR(__xludf.DUMMYFUNCTION("""COMPUTED_VALUE"""),"Tree;Depth-First Search;Breadth-First Search;Binary Tree;")</f>
        <v>Tree;Depth-First Search;Breadth-First Search;Binary Tree;</v>
      </c>
      <c r="M1316" s="20" t="b">
        <f>IFERROR(__xludf.DUMMYFUNCTION("""COMPUTED_VALUE"""),FALSE)</f>
        <v>0</v>
      </c>
      <c r="N1316" s="20" t="b">
        <f>IFERROR(__xludf.DUMMYFUNCTION("""COMPUTED_VALUE"""),FALSE)</f>
        <v>0</v>
      </c>
      <c r="O1316" s="20">
        <f>IFERROR(__xludf.DUMMYFUNCTION("""COMPUTED_VALUE"""),85.5924043104547)</f>
        <v>85.59240431</v>
      </c>
      <c r="P1316" s="20">
        <f>IFERROR(__xludf.DUMMYFUNCTION("""COMPUTED_VALUE"""),120884.0)</f>
        <v>120884</v>
      </c>
      <c r="Q1316" s="20">
        <f>IFERROR(__xludf.DUMMYFUNCTION("""COMPUTED_VALUE"""),141233.0)</f>
        <v>141233</v>
      </c>
    </row>
    <row r="1317">
      <c r="A1317" s="20">
        <f>IFERROR(__xludf.DUMMYFUNCTION("""COMPUTED_VALUE"""),1244.0)</f>
        <v>1244</v>
      </c>
      <c r="B1317" s="20" t="str">
        <f>IFERROR(__xludf.DUMMYFUNCTION("""COMPUTED_VALUE"""),"Distinct Echo Substrings")</f>
        <v>Distinct Echo Substrings</v>
      </c>
      <c r="C1317" s="20" t="str">
        <f>IFERROR(__xludf.DUMMYFUNCTION("""COMPUTED_VALUE"""),"distinct-echo-substrings")</f>
        <v>distinct-echo-substrings</v>
      </c>
      <c r="D1317" s="20" t="b">
        <f>IFERROR(__xludf.DUMMYFUNCTION("""COMPUTED_VALUE"""),FALSE)</f>
        <v>0</v>
      </c>
      <c r="E1317" s="20" t="str">
        <f>IFERROR(__xludf.DUMMYFUNCTION("""COMPUTED_VALUE"""),"Hard")</f>
        <v>Hard</v>
      </c>
      <c r="F1317" s="20">
        <f>IFERROR(__xludf.DUMMYFUNCTION("""COMPUTED_VALUE"""),253.0)</f>
        <v>253</v>
      </c>
      <c r="G1317" s="20">
        <f>IFERROR(__xludf.DUMMYFUNCTION("""COMPUTED_VALUE"""),184.0)</f>
        <v>184</v>
      </c>
      <c r="H1317" s="20" t="str">
        <f>IFERROR(__xludf.DUMMYFUNCTION("""COMPUTED_VALUE"""),"Algorithms")</f>
        <v>Algorithms</v>
      </c>
      <c r="I1317" s="20">
        <f>IFERROR(__xludf.DUMMYFUNCTION("""COMPUTED_VALUE"""),0.497)</f>
        <v>0.497</v>
      </c>
      <c r="J1317" s="20">
        <f>IFERROR(__xludf.DUMMYFUNCTION("""COMPUTED_VALUE"""),1316.0)</f>
        <v>1316</v>
      </c>
      <c r="K1317" s="20" t="b">
        <f>IFERROR(__xludf.DUMMYFUNCTION("""COMPUTED_VALUE"""),FALSE)</f>
        <v>0</v>
      </c>
      <c r="L1317" s="20" t="str">
        <f>IFERROR(__xludf.DUMMYFUNCTION("""COMPUTED_VALUE"""),"String;Trie;Rolling Hash;Hash Function;")</f>
        <v>String;Trie;Rolling Hash;Hash Function;</v>
      </c>
      <c r="M1317" s="20" t="b">
        <f>IFERROR(__xludf.DUMMYFUNCTION("""COMPUTED_VALUE"""),FALSE)</f>
        <v>0</v>
      </c>
      <c r="N1317" s="20" t="b">
        <f>IFERROR(__xludf.DUMMYFUNCTION("""COMPUTED_VALUE"""),FALSE)</f>
        <v>0</v>
      </c>
      <c r="O1317" s="20">
        <f>IFERROR(__xludf.DUMMYFUNCTION("""COMPUTED_VALUE"""),49.6704366714103)</f>
        <v>49.67043667</v>
      </c>
      <c r="P1317" s="20">
        <f>IFERROR(__xludf.DUMMYFUNCTION("""COMPUTED_VALUE"""),13263.0)</f>
        <v>13263</v>
      </c>
      <c r="Q1317" s="20">
        <f>IFERROR(__xludf.DUMMYFUNCTION("""COMPUTED_VALUE"""),26702.0)</f>
        <v>26702</v>
      </c>
    </row>
    <row r="1318">
      <c r="A1318" s="20">
        <f>IFERROR(__xludf.DUMMYFUNCTION("""COMPUTED_VALUE"""),1440.0)</f>
        <v>1440</v>
      </c>
      <c r="B1318" s="20" t="str">
        <f>IFERROR(__xludf.DUMMYFUNCTION("""COMPUTED_VALUE"""),"Convert Integer to the Sum of Two No-Zero Integers")</f>
        <v>Convert Integer to the Sum of Two No-Zero Integers</v>
      </c>
      <c r="C1318" s="20" t="str">
        <f>IFERROR(__xludf.DUMMYFUNCTION("""COMPUTED_VALUE"""),"convert-integer-to-the-sum-of-two-no-zero-integers")</f>
        <v>convert-integer-to-the-sum-of-two-no-zero-integers</v>
      </c>
      <c r="D1318" s="20" t="b">
        <f>IFERROR(__xludf.DUMMYFUNCTION("""COMPUTED_VALUE"""),FALSE)</f>
        <v>0</v>
      </c>
      <c r="E1318" s="20" t="str">
        <f>IFERROR(__xludf.DUMMYFUNCTION("""COMPUTED_VALUE"""),"Easy")</f>
        <v>Easy</v>
      </c>
      <c r="F1318" s="20">
        <f>IFERROR(__xludf.DUMMYFUNCTION("""COMPUTED_VALUE"""),312.0)</f>
        <v>312</v>
      </c>
      <c r="G1318" s="20">
        <f>IFERROR(__xludf.DUMMYFUNCTION("""COMPUTED_VALUE"""),255.0)</f>
        <v>255</v>
      </c>
      <c r="H1318" s="20" t="str">
        <f>IFERROR(__xludf.DUMMYFUNCTION("""COMPUTED_VALUE"""),"Algorithms")</f>
        <v>Algorithms</v>
      </c>
      <c r="I1318" s="20">
        <f>IFERROR(__xludf.DUMMYFUNCTION("""COMPUTED_VALUE"""),0.559)</f>
        <v>0.559</v>
      </c>
      <c r="J1318" s="20">
        <f>IFERROR(__xludf.DUMMYFUNCTION("""COMPUTED_VALUE"""),1317.0)</f>
        <v>1317</v>
      </c>
      <c r="K1318" s="20" t="b">
        <f>IFERROR(__xludf.DUMMYFUNCTION("""COMPUTED_VALUE"""),FALSE)</f>
        <v>0</v>
      </c>
      <c r="L1318" s="20" t="str">
        <f>IFERROR(__xludf.DUMMYFUNCTION("""COMPUTED_VALUE"""),"Math;")</f>
        <v>Math;</v>
      </c>
      <c r="M1318" s="20" t="b">
        <f>IFERROR(__xludf.DUMMYFUNCTION("""COMPUTED_VALUE"""),FALSE)</f>
        <v>0</v>
      </c>
      <c r="N1318" s="20" t="b">
        <f>IFERROR(__xludf.DUMMYFUNCTION("""COMPUTED_VALUE"""),FALSE)</f>
        <v>0</v>
      </c>
      <c r="O1318" s="20">
        <f>IFERROR(__xludf.DUMMYFUNCTION("""COMPUTED_VALUE"""),55.9374402752118)</f>
        <v>55.93744028</v>
      </c>
      <c r="P1318" s="20">
        <f>IFERROR(__xludf.DUMMYFUNCTION("""COMPUTED_VALUE"""),35122.0)</f>
        <v>35122</v>
      </c>
      <c r="Q1318" s="20">
        <f>IFERROR(__xludf.DUMMYFUNCTION("""COMPUTED_VALUE"""),62788.0)</f>
        <v>62788</v>
      </c>
    </row>
    <row r="1319">
      <c r="A1319" s="20">
        <f>IFERROR(__xludf.DUMMYFUNCTION("""COMPUTED_VALUE"""),1441.0)</f>
        <v>1441</v>
      </c>
      <c r="B1319" s="20" t="str">
        <f>IFERROR(__xludf.DUMMYFUNCTION("""COMPUTED_VALUE"""),"Minimum Flips to Make a OR b Equal to c")</f>
        <v>Minimum Flips to Make a OR b Equal to c</v>
      </c>
      <c r="C1319" s="20" t="str">
        <f>IFERROR(__xludf.DUMMYFUNCTION("""COMPUTED_VALUE"""),"minimum-flips-to-make-a-or-b-equal-to-c")</f>
        <v>minimum-flips-to-make-a-or-b-equal-to-c</v>
      </c>
      <c r="D1319" s="20" t="b">
        <f>IFERROR(__xludf.DUMMYFUNCTION("""COMPUTED_VALUE"""),FALSE)</f>
        <v>0</v>
      </c>
      <c r="E1319" s="20" t="str">
        <f>IFERROR(__xludf.DUMMYFUNCTION("""COMPUTED_VALUE"""),"Medium")</f>
        <v>Medium</v>
      </c>
      <c r="F1319" s="20">
        <f>IFERROR(__xludf.DUMMYFUNCTION("""COMPUTED_VALUE"""),565.0)</f>
        <v>565</v>
      </c>
      <c r="G1319" s="20">
        <f>IFERROR(__xludf.DUMMYFUNCTION("""COMPUTED_VALUE"""),43.0)</f>
        <v>43</v>
      </c>
      <c r="H1319" s="20" t="str">
        <f>IFERROR(__xludf.DUMMYFUNCTION("""COMPUTED_VALUE"""),"Algorithms")</f>
        <v>Algorithms</v>
      </c>
      <c r="I1319" s="20">
        <f>IFERROR(__xludf.DUMMYFUNCTION("""COMPUTED_VALUE"""),0.661)</f>
        <v>0.661</v>
      </c>
      <c r="J1319" s="20">
        <f>IFERROR(__xludf.DUMMYFUNCTION("""COMPUTED_VALUE"""),1318.0)</f>
        <v>1318</v>
      </c>
      <c r="K1319" s="20" t="b">
        <f>IFERROR(__xludf.DUMMYFUNCTION("""COMPUTED_VALUE"""),FALSE)</f>
        <v>0</v>
      </c>
      <c r="L1319" s="20" t="str">
        <f>IFERROR(__xludf.DUMMYFUNCTION("""COMPUTED_VALUE"""),"Bit Manipulation;")</f>
        <v>Bit Manipulation;</v>
      </c>
      <c r="M1319" s="20" t="b">
        <f>IFERROR(__xludf.DUMMYFUNCTION("""COMPUTED_VALUE"""),FALSE)</f>
        <v>0</v>
      </c>
      <c r="N1319" s="20" t="b">
        <f>IFERROR(__xludf.DUMMYFUNCTION("""COMPUTED_VALUE"""),FALSE)</f>
        <v>0</v>
      </c>
      <c r="O1319" s="20">
        <f>IFERROR(__xludf.DUMMYFUNCTION("""COMPUTED_VALUE"""),66.1173138970776)</f>
        <v>66.1173139</v>
      </c>
      <c r="P1319" s="20">
        <f>IFERROR(__xludf.DUMMYFUNCTION("""COMPUTED_VALUE"""),28484.0)</f>
        <v>28484</v>
      </c>
      <c r="Q1319" s="20">
        <f>IFERROR(__xludf.DUMMYFUNCTION("""COMPUTED_VALUE"""),43081.0)</f>
        <v>43081</v>
      </c>
    </row>
    <row r="1320">
      <c r="A1320" s="20">
        <f>IFERROR(__xludf.DUMMYFUNCTION("""COMPUTED_VALUE"""),1442.0)</f>
        <v>1442</v>
      </c>
      <c r="B1320" s="20" t="str">
        <f>IFERROR(__xludf.DUMMYFUNCTION("""COMPUTED_VALUE"""),"Number of Operations to Make Network Connected")</f>
        <v>Number of Operations to Make Network Connected</v>
      </c>
      <c r="C1320" s="20" t="str">
        <f>IFERROR(__xludf.DUMMYFUNCTION("""COMPUTED_VALUE"""),"number-of-operations-to-make-network-connected")</f>
        <v>number-of-operations-to-make-network-connected</v>
      </c>
      <c r="D1320" s="20" t="b">
        <f>IFERROR(__xludf.DUMMYFUNCTION("""COMPUTED_VALUE"""),FALSE)</f>
        <v>0</v>
      </c>
      <c r="E1320" s="20" t="str">
        <f>IFERROR(__xludf.DUMMYFUNCTION("""COMPUTED_VALUE"""),"Medium")</f>
        <v>Medium</v>
      </c>
      <c r="F1320" s="20">
        <f>IFERROR(__xludf.DUMMYFUNCTION("""COMPUTED_VALUE"""),2975.0)</f>
        <v>2975</v>
      </c>
      <c r="G1320" s="20">
        <f>IFERROR(__xludf.DUMMYFUNCTION("""COMPUTED_VALUE"""),36.0)</f>
        <v>36</v>
      </c>
      <c r="H1320" s="20" t="str">
        <f>IFERROR(__xludf.DUMMYFUNCTION("""COMPUTED_VALUE"""),"Algorithms")</f>
        <v>Algorithms</v>
      </c>
      <c r="I1320" s="20">
        <f>IFERROR(__xludf.DUMMYFUNCTION("""COMPUTED_VALUE"""),0.586)</f>
        <v>0.586</v>
      </c>
      <c r="J1320" s="20">
        <f>IFERROR(__xludf.DUMMYFUNCTION("""COMPUTED_VALUE"""),1319.0)</f>
        <v>1319</v>
      </c>
      <c r="K1320" s="20" t="b">
        <f>IFERROR(__xludf.DUMMYFUNCTION("""COMPUTED_VALUE"""),FALSE)</f>
        <v>0</v>
      </c>
      <c r="L1320" s="20" t="str">
        <f>IFERROR(__xludf.DUMMYFUNCTION("""COMPUTED_VALUE"""),"Depth-First Search;Breadth-First Search;Union Find;Graph;")</f>
        <v>Depth-First Search;Breadth-First Search;Union Find;Graph;</v>
      </c>
      <c r="M1320" s="20" t="b">
        <f>IFERROR(__xludf.DUMMYFUNCTION("""COMPUTED_VALUE"""),FALSE)</f>
        <v>0</v>
      </c>
      <c r="N1320" s="20" t="b">
        <f>IFERROR(__xludf.DUMMYFUNCTION("""COMPUTED_VALUE"""),FALSE)</f>
        <v>0</v>
      </c>
      <c r="O1320" s="20">
        <f>IFERROR(__xludf.DUMMYFUNCTION("""COMPUTED_VALUE"""),58.6044288330674)</f>
        <v>58.60442883</v>
      </c>
      <c r="P1320" s="20">
        <f>IFERROR(__xludf.DUMMYFUNCTION("""COMPUTED_VALUE"""),109114.0)</f>
        <v>109114</v>
      </c>
      <c r="Q1320" s="20">
        <f>IFERROR(__xludf.DUMMYFUNCTION("""COMPUTED_VALUE"""),186187.0)</f>
        <v>186187</v>
      </c>
    </row>
    <row r="1321">
      <c r="A1321" s="20">
        <f>IFERROR(__xludf.DUMMYFUNCTION("""COMPUTED_VALUE"""),1443.0)</f>
        <v>1443</v>
      </c>
      <c r="B1321" s="20" t="str">
        <f>IFERROR(__xludf.DUMMYFUNCTION("""COMPUTED_VALUE"""),"Minimum Distance to Type a Word Using Two Fingers")</f>
        <v>Minimum Distance to Type a Word Using Two Fingers</v>
      </c>
      <c r="C1321" s="20" t="str">
        <f>IFERROR(__xludf.DUMMYFUNCTION("""COMPUTED_VALUE"""),"minimum-distance-to-type-a-word-using-two-fingers")</f>
        <v>minimum-distance-to-type-a-word-using-two-fingers</v>
      </c>
      <c r="D1321" s="20" t="b">
        <f>IFERROR(__xludf.DUMMYFUNCTION("""COMPUTED_VALUE"""),FALSE)</f>
        <v>0</v>
      </c>
      <c r="E1321" s="20" t="str">
        <f>IFERROR(__xludf.DUMMYFUNCTION("""COMPUTED_VALUE"""),"Hard")</f>
        <v>Hard</v>
      </c>
      <c r="F1321" s="20">
        <f>IFERROR(__xludf.DUMMYFUNCTION("""COMPUTED_VALUE"""),881.0)</f>
        <v>881</v>
      </c>
      <c r="G1321" s="20">
        <f>IFERROR(__xludf.DUMMYFUNCTION("""COMPUTED_VALUE"""),31.0)</f>
        <v>31</v>
      </c>
      <c r="H1321" s="20" t="str">
        <f>IFERROR(__xludf.DUMMYFUNCTION("""COMPUTED_VALUE"""),"Algorithms")</f>
        <v>Algorithms</v>
      </c>
      <c r="I1321" s="20">
        <f>IFERROR(__xludf.DUMMYFUNCTION("""COMPUTED_VALUE"""),0.596)</f>
        <v>0.596</v>
      </c>
      <c r="J1321" s="20">
        <f>IFERROR(__xludf.DUMMYFUNCTION("""COMPUTED_VALUE"""),1320.0)</f>
        <v>1320</v>
      </c>
      <c r="K1321" s="20" t="b">
        <f>IFERROR(__xludf.DUMMYFUNCTION("""COMPUTED_VALUE"""),FALSE)</f>
        <v>0</v>
      </c>
      <c r="L1321" s="20" t="str">
        <f>IFERROR(__xludf.DUMMYFUNCTION("""COMPUTED_VALUE"""),"String;Dynamic Programming;")</f>
        <v>String;Dynamic Programming;</v>
      </c>
      <c r="M1321" s="20" t="b">
        <f>IFERROR(__xludf.DUMMYFUNCTION("""COMPUTED_VALUE"""),FALSE)</f>
        <v>0</v>
      </c>
      <c r="N1321" s="20" t="b">
        <f>IFERROR(__xludf.DUMMYFUNCTION("""COMPUTED_VALUE"""),FALSE)</f>
        <v>0</v>
      </c>
      <c r="O1321" s="20">
        <f>IFERROR(__xludf.DUMMYFUNCTION("""COMPUTED_VALUE"""),59.5528679570082)</f>
        <v>59.55286796</v>
      </c>
      <c r="P1321" s="20">
        <f>IFERROR(__xludf.DUMMYFUNCTION("""COMPUTED_VALUE"""),26983.0)</f>
        <v>26983</v>
      </c>
      <c r="Q1321" s="20">
        <f>IFERROR(__xludf.DUMMYFUNCTION("""COMPUTED_VALUE"""),45310.0)</f>
        <v>45310</v>
      </c>
    </row>
    <row r="1322">
      <c r="A1322" s="20">
        <f>IFERROR(__xludf.DUMMYFUNCTION("""COMPUTED_VALUE"""),1452.0)</f>
        <v>1452</v>
      </c>
      <c r="B1322" s="20" t="str">
        <f>IFERROR(__xludf.DUMMYFUNCTION("""COMPUTED_VALUE"""),"Restaurant Growth")</f>
        <v>Restaurant Growth</v>
      </c>
      <c r="C1322" s="20" t="str">
        <f>IFERROR(__xludf.DUMMYFUNCTION("""COMPUTED_VALUE"""),"restaurant-growth")</f>
        <v>restaurant-growth</v>
      </c>
      <c r="D1322" s="20" t="b">
        <f>IFERROR(__xludf.DUMMYFUNCTION("""COMPUTED_VALUE"""),TRUE)</f>
        <v>1</v>
      </c>
      <c r="E1322" s="20" t="str">
        <f>IFERROR(__xludf.DUMMYFUNCTION("""COMPUTED_VALUE"""),"Medium")</f>
        <v>Medium</v>
      </c>
      <c r="F1322" s="20">
        <f>IFERROR(__xludf.DUMMYFUNCTION("""COMPUTED_VALUE"""),334.0)</f>
        <v>334</v>
      </c>
      <c r="G1322" s="20">
        <f>IFERROR(__xludf.DUMMYFUNCTION("""COMPUTED_VALUE"""),53.0)</f>
        <v>53</v>
      </c>
      <c r="H1322" s="20" t="str">
        <f>IFERROR(__xludf.DUMMYFUNCTION("""COMPUTED_VALUE"""),"Database")</f>
        <v>Database</v>
      </c>
      <c r="I1322" s="20">
        <f>IFERROR(__xludf.DUMMYFUNCTION("""COMPUTED_VALUE"""),0.715)</f>
        <v>0.715</v>
      </c>
      <c r="J1322" s="20">
        <f>IFERROR(__xludf.DUMMYFUNCTION("""COMPUTED_VALUE"""),1321.0)</f>
        <v>1321</v>
      </c>
      <c r="K1322" s="20" t="b">
        <f>IFERROR(__xludf.DUMMYFUNCTION("""COMPUTED_VALUE"""),TRUE)</f>
        <v>1</v>
      </c>
      <c r="L1322" s="20" t="str">
        <f>IFERROR(__xludf.DUMMYFUNCTION("""COMPUTED_VALUE"""),"Database;")</f>
        <v>Database;</v>
      </c>
      <c r="M1322" s="20" t="b">
        <f>IFERROR(__xludf.DUMMYFUNCTION("""COMPUTED_VALUE"""),FALSE)</f>
        <v>0</v>
      </c>
      <c r="N1322" s="20" t="b">
        <f>IFERROR(__xludf.DUMMYFUNCTION("""COMPUTED_VALUE"""),FALSE)</f>
        <v>0</v>
      </c>
      <c r="O1322" s="20">
        <f>IFERROR(__xludf.DUMMYFUNCTION("""COMPUTED_VALUE"""),71.4736574191906)</f>
        <v>71.47365742</v>
      </c>
      <c r="P1322" s="20">
        <f>IFERROR(__xludf.DUMMYFUNCTION("""COMPUTED_VALUE"""),28082.0)</f>
        <v>28082</v>
      </c>
      <c r="Q1322" s="20">
        <f>IFERROR(__xludf.DUMMYFUNCTION("""COMPUTED_VALUE"""),39290.0)</f>
        <v>39290</v>
      </c>
    </row>
    <row r="1323">
      <c r="A1323" s="20">
        <f>IFERROR(__xludf.DUMMYFUNCTION("""COMPUTED_VALUE"""),1453.0)</f>
        <v>1453</v>
      </c>
      <c r="B1323" s="20" t="str">
        <f>IFERROR(__xludf.DUMMYFUNCTION("""COMPUTED_VALUE"""),"Ads Performance")</f>
        <v>Ads Performance</v>
      </c>
      <c r="C1323" s="20" t="str">
        <f>IFERROR(__xludf.DUMMYFUNCTION("""COMPUTED_VALUE"""),"ads-performance")</f>
        <v>ads-performance</v>
      </c>
      <c r="D1323" s="20" t="b">
        <f>IFERROR(__xludf.DUMMYFUNCTION("""COMPUTED_VALUE"""),TRUE)</f>
        <v>1</v>
      </c>
      <c r="E1323" s="20" t="str">
        <f>IFERROR(__xludf.DUMMYFUNCTION("""COMPUTED_VALUE"""),"Easy")</f>
        <v>Easy</v>
      </c>
      <c r="F1323" s="20">
        <f>IFERROR(__xludf.DUMMYFUNCTION("""COMPUTED_VALUE"""),220.0)</f>
        <v>220</v>
      </c>
      <c r="G1323" s="20">
        <f>IFERROR(__xludf.DUMMYFUNCTION("""COMPUTED_VALUE"""),54.0)</f>
        <v>54</v>
      </c>
      <c r="H1323" s="20" t="str">
        <f>IFERROR(__xludf.DUMMYFUNCTION("""COMPUTED_VALUE"""),"Database")</f>
        <v>Database</v>
      </c>
      <c r="I1323" s="20">
        <f>IFERROR(__xludf.DUMMYFUNCTION("""COMPUTED_VALUE"""),0.608)</f>
        <v>0.608</v>
      </c>
      <c r="J1323" s="20">
        <f>IFERROR(__xludf.DUMMYFUNCTION("""COMPUTED_VALUE"""),1322.0)</f>
        <v>1322</v>
      </c>
      <c r="K1323" s="20" t="b">
        <f>IFERROR(__xludf.DUMMYFUNCTION("""COMPUTED_VALUE"""),TRUE)</f>
        <v>1</v>
      </c>
      <c r="L1323" s="20" t="str">
        <f>IFERROR(__xludf.DUMMYFUNCTION("""COMPUTED_VALUE"""),"Database;")</f>
        <v>Database;</v>
      </c>
      <c r="M1323" s="20" t="b">
        <f>IFERROR(__xludf.DUMMYFUNCTION("""COMPUTED_VALUE"""),FALSE)</f>
        <v>0</v>
      </c>
      <c r="N1323" s="20" t="b">
        <f>IFERROR(__xludf.DUMMYFUNCTION("""COMPUTED_VALUE"""),FALSE)</f>
        <v>0</v>
      </c>
      <c r="O1323" s="20">
        <f>IFERROR(__xludf.DUMMYFUNCTION("""COMPUTED_VALUE"""),60.8378026833918)</f>
        <v>60.83780268</v>
      </c>
      <c r="P1323" s="20">
        <f>IFERROR(__xludf.DUMMYFUNCTION("""COMPUTED_VALUE"""),34144.0)</f>
        <v>34144</v>
      </c>
      <c r="Q1323" s="20">
        <f>IFERROR(__xludf.DUMMYFUNCTION("""COMPUTED_VALUE"""),56123.0)</f>
        <v>56123</v>
      </c>
    </row>
    <row r="1324">
      <c r="A1324" s="20">
        <f>IFERROR(__xludf.DUMMYFUNCTION("""COMPUTED_VALUE"""),1448.0)</f>
        <v>1448</v>
      </c>
      <c r="B1324" s="20" t="str">
        <f>IFERROR(__xludf.DUMMYFUNCTION("""COMPUTED_VALUE"""),"Maximum 69 Number")</f>
        <v>Maximum 69 Number</v>
      </c>
      <c r="C1324" s="20" t="str">
        <f>IFERROR(__xludf.DUMMYFUNCTION("""COMPUTED_VALUE"""),"maximum-69-number")</f>
        <v>maximum-69-number</v>
      </c>
      <c r="D1324" s="20" t="b">
        <f>IFERROR(__xludf.DUMMYFUNCTION("""COMPUTED_VALUE"""),FALSE)</f>
        <v>0</v>
      </c>
      <c r="E1324" s="20" t="str">
        <f>IFERROR(__xludf.DUMMYFUNCTION("""COMPUTED_VALUE"""),"Easy")</f>
        <v>Easy</v>
      </c>
      <c r="F1324" s="20">
        <f>IFERROR(__xludf.DUMMYFUNCTION("""COMPUTED_VALUE"""),2304.0)</f>
        <v>2304</v>
      </c>
      <c r="G1324" s="20">
        <f>IFERROR(__xludf.DUMMYFUNCTION("""COMPUTED_VALUE"""),189.0)</f>
        <v>189</v>
      </c>
      <c r="H1324" s="20" t="str">
        <f>IFERROR(__xludf.DUMMYFUNCTION("""COMPUTED_VALUE"""),"Algorithms")</f>
        <v>Algorithms</v>
      </c>
      <c r="I1324" s="20">
        <f>IFERROR(__xludf.DUMMYFUNCTION("""COMPUTED_VALUE"""),0.821)</f>
        <v>0.821</v>
      </c>
      <c r="J1324" s="20">
        <f>IFERROR(__xludf.DUMMYFUNCTION("""COMPUTED_VALUE"""),1323.0)</f>
        <v>1323</v>
      </c>
      <c r="K1324" s="20" t="b">
        <f>IFERROR(__xludf.DUMMYFUNCTION("""COMPUTED_VALUE"""),FALSE)</f>
        <v>0</v>
      </c>
      <c r="L1324" s="20" t="str">
        <f>IFERROR(__xludf.DUMMYFUNCTION("""COMPUTED_VALUE"""),"Math;Greedy;")</f>
        <v>Math;Greedy;</v>
      </c>
      <c r="M1324" s="20" t="b">
        <f>IFERROR(__xludf.DUMMYFUNCTION("""COMPUTED_VALUE"""),TRUE)</f>
        <v>1</v>
      </c>
      <c r="N1324" s="20" t="b">
        <f>IFERROR(__xludf.DUMMYFUNCTION("""COMPUTED_VALUE"""),FALSE)</f>
        <v>0</v>
      </c>
      <c r="O1324" s="20">
        <f>IFERROR(__xludf.DUMMYFUNCTION("""COMPUTED_VALUE"""),82.0677061727792)</f>
        <v>82.06770617</v>
      </c>
      <c r="P1324" s="20">
        <f>IFERROR(__xludf.DUMMYFUNCTION("""COMPUTED_VALUE"""),201793.0)</f>
        <v>201793</v>
      </c>
      <c r="Q1324" s="20">
        <f>IFERROR(__xludf.DUMMYFUNCTION("""COMPUTED_VALUE"""),245886.0)</f>
        <v>245886</v>
      </c>
    </row>
    <row r="1325">
      <c r="A1325" s="20">
        <f>IFERROR(__xludf.DUMMYFUNCTION("""COMPUTED_VALUE"""),1449.0)</f>
        <v>1449</v>
      </c>
      <c r="B1325" s="20" t="str">
        <f>IFERROR(__xludf.DUMMYFUNCTION("""COMPUTED_VALUE"""),"Print Words Vertically")</f>
        <v>Print Words Vertically</v>
      </c>
      <c r="C1325" s="20" t="str">
        <f>IFERROR(__xludf.DUMMYFUNCTION("""COMPUTED_VALUE"""),"print-words-vertically")</f>
        <v>print-words-vertically</v>
      </c>
      <c r="D1325" s="20" t="b">
        <f>IFERROR(__xludf.DUMMYFUNCTION("""COMPUTED_VALUE"""),FALSE)</f>
        <v>0</v>
      </c>
      <c r="E1325" s="20" t="str">
        <f>IFERROR(__xludf.DUMMYFUNCTION("""COMPUTED_VALUE"""),"Medium")</f>
        <v>Medium</v>
      </c>
      <c r="F1325" s="20">
        <f>IFERROR(__xludf.DUMMYFUNCTION("""COMPUTED_VALUE"""),602.0)</f>
        <v>602</v>
      </c>
      <c r="G1325" s="20">
        <f>IFERROR(__xludf.DUMMYFUNCTION("""COMPUTED_VALUE"""),100.0)</f>
        <v>100</v>
      </c>
      <c r="H1325" s="20" t="str">
        <f>IFERROR(__xludf.DUMMYFUNCTION("""COMPUTED_VALUE"""),"Algorithms")</f>
        <v>Algorithms</v>
      </c>
      <c r="I1325" s="20">
        <f>IFERROR(__xludf.DUMMYFUNCTION("""COMPUTED_VALUE"""),0.607)</f>
        <v>0.607</v>
      </c>
      <c r="J1325" s="20">
        <f>IFERROR(__xludf.DUMMYFUNCTION("""COMPUTED_VALUE"""),1324.0)</f>
        <v>1324</v>
      </c>
      <c r="K1325" s="20" t="b">
        <f>IFERROR(__xludf.DUMMYFUNCTION("""COMPUTED_VALUE"""),FALSE)</f>
        <v>0</v>
      </c>
      <c r="L1325" s="20" t="str">
        <f>IFERROR(__xludf.DUMMYFUNCTION("""COMPUTED_VALUE"""),"Array;String;Simulation;")</f>
        <v>Array;String;Simulation;</v>
      </c>
      <c r="M1325" s="20" t="b">
        <f>IFERROR(__xludf.DUMMYFUNCTION("""COMPUTED_VALUE"""),FALSE)</f>
        <v>0</v>
      </c>
      <c r="N1325" s="20" t="b">
        <f>IFERROR(__xludf.DUMMYFUNCTION("""COMPUTED_VALUE"""),FALSE)</f>
        <v>0</v>
      </c>
      <c r="O1325" s="20">
        <f>IFERROR(__xludf.DUMMYFUNCTION("""COMPUTED_VALUE"""),60.6596678460259)</f>
        <v>60.65966785</v>
      </c>
      <c r="P1325" s="20">
        <f>IFERROR(__xludf.DUMMYFUNCTION("""COMPUTED_VALUE"""),31374.0)</f>
        <v>31374</v>
      </c>
      <c r="Q1325" s="20">
        <f>IFERROR(__xludf.DUMMYFUNCTION("""COMPUTED_VALUE"""),51722.0)</f>
        <v>51722</v>
      </c>
    </row>
    <row r="1326">
      <c r="A1326" s="20">
        <f>IFERROR(__xludf.DUMMYFUNCTION("""COMPUTED_VALUE"""),1450.0)</f>
        <v>1450</v>
      </c>
      <c r="B1326" s="20" t="str">
        <f>IFERROR(__xludf.DUMMYFUNCTION("""COMPUTED_VALUE"""),"Delete Leaves With a Given Value")</f>
        <v>Delete Leaves With a Given Value</v>
      </c>
      <c r="C1326" s="20" t="str">
        <f>IFERROR(__xludf.DUMMYFUNCTION("""COMPUTED_VALUE"""),"delete-leaves-with-a-given-value")</f>
        <v>delete-leaves-with-a-given-value</v>
      </c>
      <c r="D1326" s="20" t="b">
        <f>IFERROR(__xludf.DUMMYFUNCTION("""COMPUTED_VALUE"""),FALSE)</f>
        <v>0</v>
      </c>
      <c r="E1326" s="20" t="str">
        <f>IFERROR(__xludf.DUMMYFUNCTION("""COMPUTED_VALUE"""),"Medium")</f>
        <v>Medium</v>
      </c>
      <c r="F1326" s="20">
        <f>IFERROR(__xludf.DUMMYFUNCTION("""COMPUTED_VALUE"""),1843.0)</f>
        <v>1843</v>
      </c>
      <c r="G1326" s="20">
        <f>IFERROR(__xludf.DUMMYFUNCTION("""COMPUTED_VALUE"""),32.0)</f>
        <v>32</v>
      </c>
      <c r="H1326" s="20" t="str">
        <f>IFERROR(__xludf.DUMMYFUNCTION("""COMPUTED_VALUE"""),"Algorithms")</f>
        <v>Algorithms</v>
      </c>
      <c r="I1326" s="20">
        <f>IFERROR(__xludf.DUMMYFUNCTION("""COMPUTED_VALUE"""),0.747)</f>
        <v>0.747</v>
      </c>
      <c r="J1326" s="20">
        <f>IFERROR(__xludf.DUMMYFUNCTION("""COMPUTED_VALUE"""),1325.0)</f>
        <v>1325</v>
      </c>
      <c r="K1326" s="20" t="b">
        <f>IFERROR(__xludf.DUMMYFUNCTION("""COMPUTED_VALUE"""),FALSE)</f>
        <v>0</v>
      </c>
      <c r="L1326" s="20" t="str">
        <f>IFERROR(__xludf.DUMMYFUNCTION("""COMPUTED_VALUE"""),"Tree;Depth-First Search;Binary Tree;")</f>
        <v>Tree;Depth-First Search;Binary Tree;</v>
      </c>
      <c r="M1326" s="20" t="b">
        <f>IFERROR(__xludf.DUMMYFUNCTION("""COMPUTED_VALUE"""),FALSE)</f>
        <v>0</v>
      </c>
      <c r="N1326" s="20" t="b">
        <f>IFERROR(__xludf.DUMMYFUNCTION("""COMPUTED_VALUE"""),FALSE)</f>
        <v>0</v>
      </c>
      <c r="O1326" s="20">
        <f>IFERROR(__xludf.DUMMYFUNCTION("""COMPUTED_VALUE"""),74.7169056836977)</f>
        <v>74.71690568</v>
      </c>
      <c r="P1326" s="20">
        <f>IFERROR(__xludf.DUMMYFUNCTION("""COMPUTED_VALUE"""),82214.0)</f>
        <v>82214</v>
      </c>
      <c r="Q1326" s="20">
        <f>IFERROR(__xludf.DUMMYFUNCTION("""COMPUTED_VALUE"""),110034.0)</f>
        <v>110034</v>
      </c>
    </row>
    <row r="1327">
      <c r="A1327" s="20">
        <f>IFERROR(__xludf.DUMMYFUNCTION("""COMPUTED_VALUE"""),1451.0)</f>
        <v>1451</v>
      </c>
      <c r="B1327" s="20" t="str">
        <f>IFERROR(__xludf.DUMMYFUNCTION("""COMPUTED_VALUE"""),"Minimum Number of Taps to Open to Water a Garden")</f>
        <v>Minimum Number of Taps to Open to Water a Garden</v>
      </c>
      <c r="C1327" s="20" t="str">
        <f>IFERROR(__xludf.DUMMYFUNCTION("""COMPUTED_VALUE"""),"minimum-number-of-taps-to-open-to-water-a-garden")</f>
        <v>minimum-number-of-taps-to-open-to-water-a-garden</v>
      </c>
      <c r="D1327" s="20" t="b">
        <f>IFERROR(__xludf.DUMMYFUNCTION("""COMPUTED_VALUE"""),FALSE)</f>
        <v>0</v>
      </c>
      <c r="E1327" s="20" t="str">
        <f>IFERROR(__xludf.DUMMYFUNCTION("""COMPUTED_VALUE"""),"Hard")</f>
        <v>Hard</v>
      </c>
      <c r="F1327" s="20">
        <f>IFERROR(__xludf.DUMMYFUNCTION("""COMPUTED_VALUE"""),1846.0)</f>
        <v>1846</v>
      </c>
      <c r="G1327" s="20">
        <f>IFERROR(__xludf.DUMMYFUNCTION("""COMPUTED_VALUE"""),120.0)</f>
        <v>120</v>
      </c>
      <c r="H1327" s="20" t="str">
        <f>IFERROR(__xludf.DUMMYFUNCTION("""COMPUTED_VALUE"""),"Algorithms")</f>
        <v>Algorithms</v>
      </c>
      <c r="I1327" s="20">
        <f>IFERROR(__xludf.DUMMYFUNCTION("""COMPUTED_VALUE"""),0.477)</f>
        <v>0.477</v>
      </c>
      <c r="J1327" s="20">
        <f>IFERROR(__xludf.DUMMYFUNCTION("""COMPUTED_VALUE"""),1326.0)</f>
        <v>1326</v>
      </c>
      <c r="K1327" s="20" t="b">
        <f>IFERROR(__xludf.DUMMYFUNCTION("""COMPUTED_VALUE"""),FALSE)</f>
        <v>0</v>
      </c>
      <c r="L1327" s="20" t="str">
        <f>IFERROR(__xludf.DUMMYFUNCTION("""COMPUTED_VALUE"""),"Array;Dynamic Programming;Greedy;")</f>
        <v>Array;Dynamic Programming;Greedy;</v>
      </c>
      <c r="M1327" s="20" t="b">
        <f>IFERROR(__xludf.DUMMYFUNCTION("""COMPUTED_VALUE"""),FALSE)</f>
        <v>0</v>
      </c>
      <c r="N1327" s="20" t="b">
        <f>IFERROR(__xludf.DUMMYFUNCTION("""COMPUTED_VALUE"""),FALSE)</f>
        <v>0</v>
      </c>
      <c r="O1327" s="20">
        <f>IFERROR(__xludf.DUMMYFUNCTION("""COMPUTED_VALUE"""),47.73322119672)</f>
        <v>47.7332212</v>
      </c>
      <c r="P1327" s="20">
        <f>IFERROR(__xludf.DUMMYFUNCTION("""COMPUTED_VALUE"""),65836.0)</f>
        <v>65836</v>
      </c>
      <c r="Q1327" s="20">
        <f>IFERROR(__xludf.DUMMYFUNCTION("""COMPUTED_VALUE"""),137925.0)</f>
        <v>137925</v>
      </c>
    </row>
    <row r="1328">
      <c r="A1328" s="20">
        <f>IFERROR(__xludf.DUMMYFUNCTION("""COMPUTED_VALUE"""),1462.0)</f>
        <v>1462</v>
      </c>
      <c r="B1328" s="20" t="str">
        <f>IFERROR(__xludf.DUMMYFUNCTION("""COMPUTED_VALUE"""),"List the Products Ordered in a Period")</f>
        <v>List the Products Ordered in a Period</v>
      </c>
      <c r="C1328" s="20" t="str">
        <f>IFERROR(__xludf.DUMMYFUNCTION("""COMPUTED_VALUE"""),"list-the-products-ordered-in-a-period")</f>
        <v>list-the-products-ordered-in-a-period</v>
      </c>
      <c r="D1328" s="20" t="b">
        <f>IFERROR(__xludf.DUMMYFUNCTION("""COMPUTED_VALUE"""),TRUE)</f>
        <v>1</v>
      </c>
      <c r="E1328" s="20" t="str">
        <f>IFERROR(__xludf.DUMMYFUNCTION("""COMPUTED_VALUE"""),"Easy")</f>
        <v>Easy</v>
      </c>
      <c r="F1328" s="20">
        <f>IFERROR(__xludf.DUMMYFUNCTION("""COMPUTED_VALUE"""),97.0)</f>
        <v>97</v>
      </c>
      <c r="G1328" s="20">
        <f>IFERROR(__xludf.DUMMYFUNCTION("""COMPUTED_VALUE"""),22.0)</f>
        <v>22</v>
      </c>
      <c r="H1328" s="20" t="str">
        <f>IFERROR(__xludf.DUMMYFUNCTION("""COMPUTED_VALUE"""),"Database")</f>
        <v>Database</v>
      </c>
      <c r="I1328" s="20">
        <f>IFERROR(__xludf.DUMMYFUNCTION("""COMPUTED_VALUE"""),0.77)</f>
        <v>0.77</v>
      </c>
      <c r="J1328" s="20">
        <f>IFERROR(__xludf.DUMMYFUNCTION("""COMPUTED_VALUE"""),1327.0)</f>
        <v>1327</v>
      </c>
      <c r="K1328" s="20" t="b">
        <f>IFERROR(__xludf.DUMMYFUNCTION("""COMPUTED_VALUE"""),TRUE)</f>
        <v>1</v>
      </c>
      <c r="L1328" s="20" t="str">
        <f>IFERROR(__xludf.DUMMYFUNCTION("""COMPUTED_VALUE"""),"Database;")</f>
        <v>Database;</v>
      </c>
      <c r="M1328" s="20" t="b">
        <f>IFERROR(__xludf.DUMMYFUNCTION("""COMPUTED_VALUE"""),FALSE)</f>
        <v>0</v>
      </c>
      <c r="N1328" s="20" t="b">
        <f>IFERROR(__xludf.DUMMYFUNCTION("""COMPUTED_VALUE"""),FALSE)</f>
        <v>0</v>
      </c>
      <c r="O1328" s="20">
        <f>IFERROR(__xludf.DUMMYFUNCTION("""COMPUTED_VALUE"""),76.9920662297343)</f>
        <v>76.99206623</v>
      </c>
      <c r="P1328" s="20">
        <f>IFERROR(__xludf.DUMMYFUNCTION("""COMPUTED_VALUE"""),33480.0)</f>
        <v>33480</v>
      </c>
      <c r="Q1328" s="20">
        <f>IFERROR(__xludf.DUMMYFUNCTION("""COMPUTED_VALUE"""),43485.0)</f>
        <v>43485</v>
      </c>
    </row>
    <row r="1329">
      <c r="A1329" s="20">
        <f>IFERROR(__xludf.DUMMYFUNCTION("""COMPUTED_VALUE"""),1252.0)</f>
        <v>1252</v>
      </c>
      <c r="B1329" s="20" t="str">
        <f>IFERROR(__xludf.DUMMYFUNCTION("""COMPUTED_VALUE"""),"Break a Palindrome")</f>
        <v>Break a Palindrome</v>
      </c>
      <c r="C1329" s="20" t="str">
        <f>IFERROR(__xludf.DUMMYFUNCTION("""COMPUTED_VALUE"""),"break-a-palindrome")</f>
        <v>break-a-palindrome</v>
      </c>
      <c r="D1329" s="20" t="b">
        <f>IFERROR(__xludf.DUMMYFUNCTION("""COMPUTED_VALUE"""),FALSE)</f>
        <v>0</v>
      </c>
      <c r="E1329" s="20" t="str">
        <f>IFERROR(__xludf.DUMMYFUNCTION("""COMPUTED_VALUE"""),"Medium")</f>
        <v>Medium</v>
      </c>
      <c r="F1329" s="20">
        <f>IFERROR(__xludf.DUMMYFUNCTION("""COMPUTED_VALUE"""),1991.0)</f>
        <v>1991</v>
      </c>
      <c r="G1329" s="20">
        <f>IFERROR(__xludf.DUMMYFUNCTION("""COMPUTED_VALUE"""),683.0)</f>
        <v>683</v>
      </c>
      <c r="H1329" s="20" t="str">
        <f>IFERROR(__xludf.DUMMYFUNCTION("""COMPUTED_VALUE"""),"Algorithms")</f>
        <v>Algorithms</v>
      </c>
      <c r="I1329" s="20">
        <f>IFERROR(__xludf.DUMMYFUNCTION("""COMPUTED_VALUE"""),0.53)</f>
        <v>0.53</v>
      </c>
      <c r="J1329" s="20">
        <f>IFERROR(__xludf.DUMMYFUNCTION("""COMPUTED_VALUE"""),1328.0)</f>
        <v>1328</v>
      </c>
      <c r="K1329" s="20" t="b">
        <f>IFERROR(__xludf.DUMMYFUNCTION("""COMPUTED_VALUE"""),FALSE)</f>
        <v>0</v>
      </c>
      <c r="L1329" s="20" t="str">
        <f>IFERROR(__xludf.DUMMYFUNCTION("""COMPUTED_VALUE"""),"String;Greedy;")</f>
        <v>String;Greedy;</v>
      </c>
      <c r="M1329" s="20" t="b">
        <f>IFERROR(__xludf.DUMMYFUNCTION("""COMPUTED_VALUE"""),TRUE)</f>
        <v>1</v>
      </c>
      <c r="N1329" s="20" t="b">
        <f>IFERROR(__xludf.DUMMYFUNCTION("""COMPUTED_VALUE"""),FALSE)</f>
        <v>0</v>
      </c>
      <c r="O1329" s="20">
        <f>IFERROR(__xludf.DUMMYFUNCTION("""COMPUTED_VALUE"""),53.0081705286925)</f>
        <v>53.00817053</v>
      </c>
      <c r="P1329" s="20">
        <f>IFERROR(__xludf.DUMMYFUNCTION("""COMPUTED_VALUE"""),138513.0)</f>
        <v>138513</v>
      </c>
      <c r="Q1329" s="20">
        <f>IFERROR(__xludf.DUMMYFUNCTION("""COMPUTED_VALUE"""),261305.0)</f>
        <v>261305</v>
      </c>
    </row>
    <row r="1330">
      <c r="A1330" s="20">
        <f>IFERROR(__xludf.DUMMYFUNCTION("""COMPUTED_VALUE"""),1253.0)</f>
        <v>1253</v>
      </c>
      <c r="B1330" s="20" t="str">
        <f>IFERROR(__xludf.DUMMYFUNCTION("""COMPUTED_VALUE"""),"Sort the Matrix Diagonally")</f>
        <v>Sort the Matrix Diagonally</v>
      </c>
      <c r="C1330" s="20" t="str">
        <f>IFERROR(__xludf.DUMMYFUNCTION("""COMPUTED_VALUE"""),"sort-the-matrix-diagonally")</f>
        <v>sort-the-matrix-diagonally</v>
      </c>
      <c r="D1330" s="20" t="b">
        <f>IFERROR(__xludf.DUMMYFUNCTION("""COMPUTED_VALUE"""),FALSE)</f>
        <v>0</v>
      </c>
      <c r="E1330" s="20" t="str">
        <f>IFERROR(__xludf.DUMMYFUNCTION("""COMPUTED_VALUE"""),"Medium")</f>
        <v>Medium</v>
      </c>
      <c r="F1330" s="20">
        <f>IFERROR(__xludf.DUMMYFUNCTION("""COMPUTED_VALUE"""),2974.0)</f>
        <v>2974</v>
      </c>
      <c r="G1330" s="20">
        <f>IFERROR(__xludf.DUMMYFUNCTION("""COMPUTED_VALUE"""),214.0)</f>
        <v>214</v>
      </c>
      <c r="H1330" s="20" t="str">
        <f>IFERROR(__xludf.DUMMYFUNCTION("""COMPUTED_VALUE"""),"Algorithms")</f>
        <v>Algorithms</v>
      </c>
      <c r="I1330" s="20">
        <f>IFERROR(__xludf.DUMMYFUNCTION("""COMPUTED_VALUE"""),0.835)</f>
        <v>0.835</v>
      </c>
      <c r="J1330" s="20">
        <f>IFERROR(__xludf.DUMMYFUNCTION("""COMPUTED_VALUE"""),1329.0)</f>
        <v>1329</v>
      </c>
      <c r="K1330" s="20" t="b">
        <f>IFERROR(__xludf.DUMMYFUNCTION("""COMPUTED_VALUE"""),FALSE)</f>
        <v>0</v>
      </c>
      <c r="L1330" s="20" t="str">
        <f>IFERROR(__xludf.DUMMYFUNCTION("""COMPUTED_VALUE"""),"Array;Sorting;Matrix;")</f>
        <v>Array;Sorting;Matrix;</v>
      </c>
      <c r="M1330" s="20" t="b">
        <f>IFERROR(__xludf.DUMMYFUNCTION("""COMPUTED_VALUE"""),TRUE)</f>
        <v>1</v>
      </c>
      <c r="N1330" s="20" t="b">
        <f>IFERROR(__xludf.DUMMYFUNCTION("""COMPUTED_VALUE"""),TRUE)</f>
        <v>1</v>
      </c>
      <c r="O1330" s="20">
        <f>IFERROR(__xludf.DUMMYFUNCTION("""COMPUTED_VALUE"""),83.5320884056258)</f>
        <v>83.53208841</v>
      </c>
      <c r="P1330" s="20">
        <f>IFERROR(__xludf.DUMMYFUNCTION("""COMPUTED_VALUE"""),141352.0)</f>
        <v>141352</v>
      </c>
      <c r="Q1330" s="20">
        <f>IFERROR(__xludf.DUMMYFUNCTION("""COMPUTED_VALUE"""),169219.0)</f>
        <v>169219</v>
      </c>
    </row>
    <row r="1331">
      <c r="A1331" s="20">
        <f>IFERROR(__xludf.DUMMYFUNCTION("""COMPUTED_VALUE"""),1255.0)</f>
        <v>1255</v>
      </c>
      <c r="B1331" s="20" t="str">
        <f>IFERROR(__xludf.DUMMYFUNCTION("""COMPUTED_VALUE"""),"Reverse Subarray To Maximize Array Value")</f>
        <v>Reverse Subarray To Maximize Array Value</v>
      </c>
      <c r="C1331" s="20" t="str">
        <f>IFERROR(__xludf.DUMMYFUNCTION("""COMPUTED_VALUE"""),"reverse-subarray-to-maximize-array-value")</f>
        <v>reverse-subarray-to-maximize-array-value</v>
      </c>
      <c r="D1331" s="20" t="b">
        <f>IFERROR(__xludf.DUMMYFUNCTION("""COMPUTED_VALUE"""),FALSE)</f>
        <v>0</v>
      </c>
      <c r="E1331" s="20" t="str">
        <f>IFERROR(__xludf.DUMMYFUNCTION("""COMPUTED_VALUE"""),"Hard")</f>
        <v>Hard</v>
      </c>
      <c r="F1331" s="20">
        <f>IFERROR(__xludf.DUMMYFUNCTION("""COMPUTED_VALUE"""),392.0)</f>
        <v>392</v>
      </c>
      <c r="G1331" s="20">
        <f>IFERROR(__xludf.DUMMYFUNCTION("""COMPUTED_VALUE"""),36.0)</f>
        <v>36</v>
      </c>
      <c r="H1331" s="20" t="str">
        <f>IFERROR(__xludf.DUMMYFUNCTION("""COMPUTED_VALUE"""),"Algorithms")</f>
        <v>Algorithms</v>
      </c>
      <c r="I1331" s="20">
        <f>IFERROR(__xludf.DUMMYFUNCTION("""COMPUTED_VALUE"""),0.403)</f>
        <v>0.403</v>
      </c>
      <c r="J1331" s="20">
        <f>IFERROR(__xludf.DUMMYFUNCTION("""COMPUTED_VALUE"""),1330.0)</f>
        <v>1330</v>
      </c>
      <c r="K1331" s="20" t="b">
        <f>IFERROR(__xludf.DUMMYFUNCTION("""COMPUTED_VALUE"""),FALSE)</f>
        <v>0</v>
      </c>
      <c r="L1331" s="20" t="str">
        <f>IFERROR(__xludf.DUMMYFUNCTION("""COMPUTED_VALUE"""),"Array;Math;Greedy;")</f>
        <v>Array;Math;Greedy;</v>
      </c>
      <c r="M1331" s="20" t="b">
        <f>IFERROR(__xludf.DUMMYFUNCTION("""COMPUTED_VALUE"""),FALSE)</f>
        <v>0</v>
      </c>
      <c r="N1331" s="20" t="b">
        <f>IFERROR(__xludf.DUMMYFUNCTION("""COMPUTED_VALUE"""),FALSE)</f>
        <v>0</v>
      </c>
      <c r="O1331" s="20">
        <f>IFERROR(__xludf.DUMMYFUNCTION("""COMPUTED_VALUE"""),40.2692998204667)</f>
        <v>40.26929982</v>
      </c>
      <c r="P1331" s="20">
        <f>IFERROR(__xludf.DUMMYFUNCTION("""COMPUTED_VALUE"""),4486.0)</f>
        <v>4486</v>
      </c>
      <c r="Q1331" s="20">
        <f>IFERROR(__xludf.DUMMYFUNCTION("""COMPUTED_VALUE"""),11140.0)</f>
        <v>11140</v>
      </c>
    </row>
    <row r="1332">
      <c r="A1332" s="20">
        <f>IFERROR(__xludf.DUMMYFUNCTION("""COMPUTED_VALUE"""),1256.0)</f>
        <v>1256</v>
      </c>
      <c r="B1332" s="20" t="str">
        <f>IFERROR(__xludf.DUMMYFUNCTION("""COMPUTED_VALUE"""),"Rank Transform of an Array")</f>
        <v>Rank Transform of an Array</v>
      </c>
      <c r="C1332" s="20" t="str">
        <f>IFERROR(__xludf.DUMMYFUNCTION("""COMPUTED_VALUE"""),"rank-transform-of-an-array")</f>
        <v>rank-transform-of-an-array</v>
      </c>
      <c r="D1332" s="20" t="b">
        <f>IFERROR(__xludf.DUMMYFUNCTION("""COMPUTED_VALUE"""),FALSE)</f>
        <v>0</v>
      </c>
      <c r="E1332" s="20" t="str">
        <f>IFERROR(__xludf.DUMMYFUNCTION("""COMPUTED_VALUE"""),"Easy")</f>
        <v>Easy</v>
      </c>
      <c r="F1332" s="20">
        <f>IFERROR(__xludf.DUMMYFUNCTION("""COMPUTED_VALUE"""),1272.0)</f>
        <v>1272</v>
      </c>
      <c r="G1332" s="20">
        <f>IFERROR(__xludf.DUMMYFUNCTION("""COMPUTED_VALUE"""),63.0)</f>
        <v>63</v>
      </c>
      <c r="H1332" s="20" t="str">
        <f>IFERROR(__xludf.DUMMYFUNCTION("""COMPUTED_VALUE"""),"Algorithms")</f>
        <v>Algorithms</v>
      </c>
      <c r="I1332" s="20">
        <f>IFERROR(__xludf.DUMMYFUNCTION("""COMPUTED_VALUE"""),0.591)</f>
        <v>0.591</v>
      </c>
      <c r="J1332" s="20">
        <f>IFERROR(__xludf.DUMMYFUNCTION("""COMPUTED_VALUE"""),1331.0)</f>
        <v>1331</v>
      </c>
      <c r="K1332" s="20" t="b">
        <f>IFERROR(__xludf.DUMMYFUNCTION("""COMPUTED_VALUE"""),FALSE)</f>
        <v>0</v>
      </c>
      <c r="L1332" s="20" t="str">
        <f>IFERROR(__xludf.DUMMYFUNCTION("""COMPUTED_VALUE"""),"Array;Hash Table;Sorting;")</f>
        <v>Array;Hash Table;Sorting;</v>
      </c>
      <c r="M1332" s="20" t="b">
        <f>IFERROR(__xludf.DUMMYFUNCTION("""COMPUTED_VALUE"""),FALSE)</f>
        <v>0</v>
      </c>
      <c r="N1332" s="20" t="b">
        <f>IFERROR(__xludf.DUMMYFUNCTION("""COMPUTED_VALUE"""),FALSE)</f>
        <v>0</v>
      </c>
      <c r="O1332" s="20">
        <f>IFERROR(__xludf.DUMMYFUNCTION("""COMPUTED_VALUE"""),59.103481815833)</f>
        <v>59.10348182</v>
      </c>
      <c r="P1332" s="20">
        <f>IFERROR(__xludf.DUMMYFUNCTION("""COMPUTED_VALUE"""),77778.0)</f>
        <v>77778</v>
      </c>
      <c r="Q1332" s="20">
        <f>IFERROR(__xludf.DUMMYFUNCTION("""COMPUTED_VALUE"""),131597.0)</f>
        <v>131597</v>
      </c>
    </row>
    <row r="1333">
      <c r="A1333" s="20">
        <f>IFERROR(__xludf.DUMMYFUNCTION("""COMPUTED_VALUE"""),1454.0)</f>
        <v>1454</v>
      </c>
      <c r="B1333" s="20" t="str">
        <f>IFERROR(__xludf.DUMMYFUNCTION("""COMPUTED_VALUE"""),"Remove Palindromic Subsequences")</f>
        <v>Remove Palindromic Subsequences</v>
      </c>
      <c r="C1333" s="20" t="str">
        <f>IFERROR(__xludf.DUMMYFUNCTION("""COMPUTED_VALUE"""),"remove-palindromic-subsequences")</f>
        <v>remove-palindromic-subsequences</v>
      </c>
      <c r="D1333" s="20" t="b">
        <f>IFERROR(__xludf.DUMMYFUNCTION("""COMPUTED_VALUE"""),FALSE)</f>
        <v>0</v>
      </c>
      <c r="E1333" s="20" t="str">
        <f>IFERROR(__xludf.DUMMYFUNCTION("""COMPUTED_VALUE"""),"Easy")</f>
        <v>Easy</v>
      </c>
      <c r="F1333" s="20">
        <f>IFERROR(__xludf.DUMMYFUNCTION("""COMPUTED_VALUE"""),1457.0)</f>
        <v>1457</v>
      </c>
      <c r="G1333" s="20">
        <f>IFERROR(__xludf.DUMMYFUNCTION("""COMPUTED_VALUE"""),1595.0)</f>
        <v>1595</v>
      </c>
      <c r="H1333" s="20" t="str">
        <f>IFERROR(__xludf.DUMMYFUNCTION("""COMPUTED_VALUE"""),"Algorithms")</f>
        <v>Algorithms</v>
      </c>
      <c r="I1333" s="20">
        <f>IFERROR(__xludf.DUMMYFUNCTION("""COMPUTED_VALUE"""),0.762)</f>
        <v>0.762</v>
      </c>
      <c r="J1333" s="20">
        <f>IFERROR(__xludf.DUMMYFUNCTION("""COMPUTED_VALUE"""),1332.0)</f>
        <v>1332</v>
      </c>
      <c r="K1333" s="20" t="b">
        <f>IFERROR(__xludf.DUMMYFUNCTION("""COMPUTED_VALUE"""),FALSE)</f>
        <v>0</v>
      </c>
      <c r="L1333" s="20" t="str">
        <f>IFERROR(__xludf.DUMMYFUNCTION("""COMPUTED_VALUE"""),"Two Pointers;String;")</f>
        <v>Two Pointers;String;</v>
      </c>
      <c r="M1333" s="20" t="b">
        <f>IFERROR(__xludf.DUMMYFUNCTION("""COMPUTED_VALUE"""),TRUE)</f>
        <v>1</v>
      </c>
      <c r="N1333" s="20" t="b">
        <f>IFERROR(__xludf.DUMMYFUNCTION("""COMPUTED_VALUE"""),FALSE)</f>
        <v>0</v>
      </c>
      <c r="O1333" s="20">
        <f>IFERROR(__xludf.DUMMYFUNCTION("""COMPUTED_VALUE"""),76.1700107930976)</f>
        <v>76.17001079</v>
      </c>
      <c r="P1333" s="20">
        <f>IFERROR(__xludf.DUMMYFUNCTION("""COMPUTED_VALUE"""),117151.0)</f>
        <v>117151</v>
      </c>
      <c r="Q1333" s="20">
        <f>IFERROR(__xludf.DUMMYFUNCTION("""COMPUTED_VALUE"""),153802.0)</f>
        <v>153802</v>
      </c>
    </row>
    <row r="1334">
      <c r="A1334" s="20">
        <f>IFERROR(__xludf.DUMMYFUNCTION("""COMPUTED_VALUE"""),1455.0)</f>
        <v>1455</v>
      </c>
      <c r="B1334" s="20" t="str">
        <f>IFERROR(__xludf.DUMMYFUNCTION("""COMPUTED_VALUE"""),"Filter Restaurants by Vegan-Friendly, Price and Distance")</f>
        <v>Filter Restaurants by Vegan-Friendly, Price and Distance</v>
      </c>
      <c r="C1334" s="20" t="str">
        <f>IFERROR(__xludf.DUMMYFUNCTION("""COMPUTED_VALUE"""),"filter-restaurants-by-vegan-friendly-price-and-distance")</f>
        <v>filter-restaurants-by-vegan-friendly-price-and-distance</v>
      </c>
      <c r="D1334" s="20" t="b">
        <f>IFERROR(__xludf.DUMMYFUNCTION("""COMPUTED_VALUE"""),FALSE)</f>
        <v>0</v>
      </c>
      <c r="E1334" s="20" t="str">
        <f>IFERROR(__xludf.DUMMYFUNCTION("""COMPUTED_VALUE"""),"Medium")</f>
        <v>Medium</v>
      </c>
      <c r="F1334" s="20">
        <f>IFERROR(__xludf.DUMMYFUNCTION("""COMPUTED_VALUE"""),256.0)</f>
        <v>256</v>
      </c>
      <c r="G1334" s="20">
        <f>IFERROR(__xludf.DUMMYFUNCTION("""COMPUTED_VALUE"""),196.0)</f>
        <v>196</v>
      </c>
      <c r="H1334" s="20" t="str">
        <f>IFERROR(__xludf.DUMMYFUNCTION("""COMPUTED_VALUE"""),"Algorithms")</f>
        <v>Algorithms</v>
      </c>
      <c r="I1334" s="20">
        <f>IFERROR(__xludf.DUMMYFUNCTION("""COMPUTED_VALUE"""),0.597)</f>
        <v>0.597</v>
      </c>
      <c r="J1334" s="20">
        <f>IFERROR(__xludf.DUMMYFUNCTION("""COMPUTED_VALUE"""),1333.0)</f>
        <v>1333</v>
      </c>
      <c r="K1334" s="20" t="b">
        <f>IFERROR(__xludf.DUMMYFUNCTION("""COMPUTED_VALUE"""),FALSE)</f>
        <v>0</v>
      </c>
      <c r="L1334" s="20" t="str">
        <f>IFERROR(__xludf.DUMMYFUNCTION("""COMPUTED_VALUE"""),"Array;Sorting;")</f>
        <v>Array;Sorting;</v>
      </c>
      <c r="M1334" s="20" t="b">
        <f>IFERROR(__xludf.DUMMYFUNCTION("""COMPUTED_VALUE"""),FALSE)</f>
        <v>0</v>
      </c>
      <c r="N1334" s="20" t="b">
        <f>IFERROR(__xludf.DUMMYFUNCTION("""COMPUTED_VALUE"""),FALSE)</f>
        <v>0</v>
      </c>
      <c r="O1334" s="20">
        <f>IFERROR(__xludf.DUMMYFUNCTION("""COMPUTED_VALUE"""),59.7470378032725)</f>
        <v>59.7470378</v>
      </c>
      <c r="P1334" s="20">
        <f>IFERROR(__xludf.DUMMYFUNCTION("""COMPUTED_VALUE"""),25414.0)</f>
        <v>25414</v>
      </c>
      <c r="Q1334" s="20">
        <f>IFERROR(__xludf.DUMMYFUNCTION("""COMPUTED_VALUE"""),42536.0)</f>
        <v>42536</v>
      </c>
    </row>
    <row r="1335">
      <c r="A1335" s="20">
        <f>IFERROR(__xludf.DUMMYFUNCTION("""COMPUTED_VALUE"""),1456.0)</f>
        <v>1456</v>
      </c>
      <c r="B1335" s="20" t="str">
        <f>IFERROR(__xludf.DUMMYFUNCTION("""COMPUTED_VALUE"""),"Find the City With the Smallest Number of Neighbors at a Threshold Distance")</f>
        <v>Find the City With the Smallest Number of Neighbors at a Threshold Distance</v>
      </c>
      <c r="C1335" s="20" t="str">
        <f>IFERROR(__xludf.DUMMYFUNCTION("""COMPUTED_VALUE"""),"find-the-city-with-the-smallest-number-of-neighbors-at-a-threshold-distance")</f>
        <v>find-the-city-with-the-smallest-number-of-neighbors-at-a-threshold-distance</v>
      </c>
      <c r="D1335" s="20" t="b">
        <f>IFERROR(__xludf.DUMMYFUNCTION("""COMPUTED_VALUE"""),FALSE)</f>
        <v>0</v>
      </c>
      <c r="E1335" s="20" t="str">
        <f>IFERROR(__xludf.DUMMYFUNCTION("""COMPUTED_VALUE"""),"Medium")</f>
        <v>Medium</v>
      </c>
      <c r="F1335" s="20">
        <f>IFERROR(__xludf.DUMMYFUNCTION("""COMPUTED_VALUE"""),1721.0)</f>
        <v>1721</v>
      </c>
      <c r="G1335" s="20">
        <f>IFERROR(__xludf.DUMMYFUNCTION("""COMPUTED_VALUE"""),70.0)</f>
        <v>70</v>
      </c>
      <c r="H1335" s="20" t="str">
        <f>IFERROR(__xludf.DUMMYFUNCTION("""COMPUTED_VALUE"""),"Algorithms")</f>
        <v>Algorithms</v>
      </c>
      <c r="I1335" s="20">
        <f>IFERROR(__xludf.DUMMYFUNCTION("""COMPUTED_VALUE"""),0.535)</f>
        <v>0.535</v>
      </c>
      <c r="J1335" s="20">
        <f>IFERROR(__xludf.DUMMYFUNCTION("""COMPUTED_VALUE"""),1334.0)</f>
        <v>1334</v>
      </c>
      <c r="K1335" s="20" t="b">
        <f>IFERROR(__xludf.DUMMYFUNCTION("""COMPUTED_VALUE"""),FALSE)</f>
        <v>0</v>
      </c>
      <c r="L1335" s="20" t="str">
        <f>IFERROR(__xludf.DUMMYFUNCTION("""COMPUTED_VALUE"""),"Dynamic Programming;Graph;Shortest Path;")</f>
        <v>Dynamic Programming;Graph;Shortest Path;</v>
      </c>
      <c r="M1335" s="20" t="b">
        <f>IFERROR(__xludf.DUMMYFUNCTION("""COMPUTED_VALUE"""),FALSE)</f>
        <v>0</v>
      </c>
      <c r="N1335" s="20" t="b">
        <f>IFERROR(__xludf.DUMMYFUNCTION("""COMPUTED_VALUE"""),FALSE)</f>
        <v>0</v>
      </c>
      <c r="O1335" s="20">
        <f>IFERROR(__xludf.DUMMYFUNCTION("""COMPUTED_VALUE"""),53.532035645912)</f>
        <v>53.53203565</v>
      </c>
      <c r="P1335" s="20">
        <f>IFERROR(__xludf.DUMMYFUNCTION("""COMPUTED_VALUE"""),55085.0)</f>
        <v>55085</v>
      </c>
      <c r="Q1335" s="20">
        <f>IFERROR(__xludf.DUMMYFUNCTION("""COMPUTED_VALUE"""),102901.0)</f>
        <v>102901</v>
      </c>
    </row>
    <row r="1336">
      <c r="A1336" s="20">
        <f>IFERROR(__xludf.DUMMYFUNCTION("""COMPUTED_VALUE"""),1457.0)</f>
        <v>1457</v>
      </c>
      <c r="B1336" s="20" t="str">
        <f>IFERROR(__xludf.DUMMYFUNCTION("""COMPUTED_VALUE"""),"Minimum Difficulty of a Job Schedule")</f>
        <v>Minimum Difficulty of a Job Schedule</v>
      </c>
      <c r="C1336" s="20" t="str">
        <f>IFERROR(__xludf.DUMMYFUNCTION("""COMPUTED_VALUE"""),"minimum-difficulty-of-a-job-schedule")</f>
        <v>minimum-difficulty-of-a-job-schedule</v>
      </c>
      <c r="D1336" s="20" t="b">
        <f>IFERROR(__xludf.DUMMYFUNCTION("""COMPUTED_VALUE"""),FALSE)</f>
        <v>0</v>
      </c>
      <c r="E1336" s="20" t="str">
        <f>IFERROR(__xludf.DUMMYFUNCTION("""COMPUTED_VALUE"""),"Hard")</f>
        <v>Hard</v>
      </c>
      <c r="F1336" s="20">
        <f>IFERROR(__xludf.DUMMYFUNCTION("""COMPUTED_VALUE"""),2437.0)</f>
        <v>2437</v>
      </c>
      <c r="G1336" s="20">
        <f>IFERROR(__xludf.DUMMYFUNCTION("""COMPUTED_VALUE"""),225.0)</f>
        <v>225</v>
      </c>
      <c r="H1336" s="20" t="str">
        <f>IFERROR(__xludf.DUMMYFUNCTION("""COMPUTED_VALUE"""),"Algorithms")</f>
        <v>Algorithms</v>
      </c>
      <c r="I1336" s="20">
        <f>IFERROR(__xludf.DUMMYFUNCTION("""COMPUTED_VALUE"""),0.587)</f>
        <v>0.587</v>
      </c>
      <c r="J1336" s="20">
        <f>IFERROR(__xludf.DUMMYFUNCTION("""COMPUTED_VALUE"""),1335.0)</f>
        <v>1335</v>
      </c>
      <c r="K1336" s="20" t="b">
        <f>IFERROR(__xludf.DUMMYFUNCTION("""COMPUTED_VALUE"""),FALSE)</f>
        <v>0</v>
      </c>
      <c r="L1336" s="20" t="str">
        <f>IFERROR(__xludf.DUMMYFUNCTION("""COMPUTED_VALUE"""),"Array;Dynamic Programming;")</f>
        <v>Array;Dynamic Programming;</v>
      </c>
      <c r="M1336" s="20" t="b">
        <f>IFERROR(__xludf.DUMMYFUNCTION("""COMPUTED_VALUE"""),TRUE)</f>
        <v>1</v>
      </c>
      <c r="N1336" s="20" t="b">
        <f>IFERROR(__xludf.DUMMYFUNCTION("""COMPUTED_VALUE"""),FALSE)</f>
        <v>0</v>
      </c>
      <c r="O1336" s="20">
        <f>IFERROR(__xludf.DUMMYFUNCTION("""COMPUTED_VALUE"""),58.655103724421)</f>
        <v>58.65510372</v>
      </c>
      <c r="P1336" s="20">
        <f>IFERROR(__xludf.DUMMYFUNCTION("""COMPUTED_VALUE"""),116604.0)</f>
        <v>116604</v>
      </c>
      <c r="Q1336" s="20">
        <f>IFERROR(__xludf.DUMMYFUNCTION("""COMPUTED_VALUE"""),198796.0)</f>
        <v>198796</v>
      </c>
    </row>
    <row r="1337">
      <c r="A1337" s="20">
        <f>IFERROR(__xludf.DUMMYFUNCTION("""COMPUTED_VALUE"""),1467.0)</f>
        <v>1467</v>
      </c>
      <c r="B1337" s="20" t="str">
        <f>IFERROR(__xludf.DUMMYFUNCTION("""COMPUTED_VALUE"""),"Number of Transactions per Visit")</f>
        <v>Number of Transactions per Visit</v>
      </c>
      <c r="C1337" s="20" t="str">
        <f>IFERROR(__xludf.DUMMYFUNCTION("""COMPUTED_VALUE"""),"number-of-transactions-per-visit")</f>
        <v>number-of-transactions-per-visit</v>
      </c>
      <c r="D1337" s="20" t="b">
        <f>IFERROR(__xludf.DUMMYFUNCTION("""COMPUTED_VALUE"""),TRUE)</f>
        <v>1</v>
      </c>
      <c r="E1337" s="20" t="str">
        <f>IFERROR(__xludf.DUMMYFUNCTION("""COMPUTED_VALUE"""),"Hard")</f>
        <v>Hard</v>
      </c>
      <c r="F1337" s="20">
        <f>IFERROR(__xludf.DUMMYFUNCTION("""COMPUTED_VALUE"""),79.0)</f>
        <v>79</v>
      </c>
      <c r="G1337" s="20">
        <f>IFERROR(__xludf.DUMMYFUNCTION("""COMPUTED_VALUE"""),275.0)</f>
        <v>275</v>
      </c>
      <c r="H1337" s="20" t="str">
        <f>IFERROR(__xludf.DUMMYFUNCTION("""COMPUTED_VALUE"""),"Database")</f>
        <v>Database</v>
      </c>
      <c r="I1337" s="20">
        <f>IFERROR(__xludf.DUMMYFUNCTION("""COMPUTED_VALUE"""),0.512)</f>
        <v>0.512</v>
      </c>
      <c r="J1337" s="20">
        <f>IFERROR(__xludf.DUMMYFUNCTION("""COMPUTED_VALUE"""),1336.0)</f>
        <v>1336</v>
      </c>
      <c r="K1337" s="20" t="b">
        <f>IFERROR(__xludf.DUMMYFUNCTION("""COMPUTED_VALUE"""),TRUE)</f>
        <v>1</v>
      </c>
      <c r="L1337" s="20" t="str">
        <f>IFERROR(__xludf.DUMMYFUNCTION("""COMPUTED_VALUE"""),"Database;")</f>
        <v>Database;</v>
      </c>
      <c r="M1337" s="20" t="b">
        <f>IFERROR(__xludf.DUMMYFUNCTION("""COMPUTED_VALUE"""),FALSE)</f>
        <v>0</v>
      </c>
      <c r="N1337" s="20" t="b">
        <f>IFERROR(__xludf.DUMMYFUNCTION("""COMPUTED_VALUE"""),FALSE)</f>
        <v>0</v>
      </c>
      <c r="O1337" s="20">
        <f>IFERROR(__xludf.DUMMYFUNCTION("""COMPUTED_VALUE"""),51.1972633979475)</f>
        <v>51.1972634</v>
      </c>
      <c r="P1337" s="20">
        <f>IFERROR(__xludf.DUMMYFUNCTION("""COMPUTED_VALUE"""),10327.0)</f>
        <v>10327</v>
      </c>
      <c r="Q1337" s="20">
        <f>IFERROR(__xludf.DUMMYFUNCTION("""COMPUTED_VALUE"""),20171.0)</f>
        <v>20171</v>
      </c>
    </row>
    <row r="1338">
      <c r="A1338" s="20">
        <f>IFERROR(__xludf.DUMMYFUNCTION("""COMPUTED_VALUE"""),1463.0)</f>
        <v>1463</v>
      </c>
      <c r="B1338" s="20" t="str">
        <f>IFERROR(__xludf.DUMMYFUNCTION("""COMPUTED_VALUE"""),"The K Weakest Rows in a Matrix")</f>
        <v>The K Weakest Rows in a Matrix</v>
      </c>
      <c r="C1338" s="20" t="str">
        <f>IFERROR(__xludf.DUMMYFUNCTION("""COMPUTED_VALUE"""),"the-k-weakest-rows-in-a-matrix")</f>
        <v>the-k-weakest-rows-in-a-matrix</v>
      </c>
      <c r="D1338" s="20" t="b">
        <f>IFERROR(__xludf.DUMMYFUNCTION("""COMPUTED_VALUE"""),FALSE)</f>
        <v>0</v>
      </c>
      <c r="E1338" s="20" t="str">
        <f>IFERROR(__xludf.DUMMYFUNCTION("""COMPUTED_VALUE"""),"Easy")</f>
        <v>Easy</v>
      </c>
      <c r="F1338" s="20">
        <f>IFERROR(__xludf.DUMMYFUNCTION("""COMPUTED_VALUE"""),2990.0)</f>
        <v>2990</v>
      </c>
      <c r="G1338" s="20">
        <f>IFERROR(__xludf.DUMMYFUNCTION("""COMPUTED_VALUE"""),176.0)</f>
        <v>176</v>
      </c>
      <c r="H1338" s="20" t="str">
        <f>IFERROR(__xludf.DUMMYFUNCTION("""COMPUTED_VALUE"""),"Algorithms")</f>
        <v>Algorithms</v>
      </c>
      <c r="I1338" s="20">
        <f>IFERROR(__xludf.DUMMYFUNCTION("""COMPUTED_VALUE"""),0.725)</f>
        <v>0.725</v>
      </c>
      <c r="J1338" s="20">
        <f>IFERROR(__xludf.DUMMYFUNCTION("""COMPUTED_VALUE"""),1337.0)</f>
        <v>1337</v>
      </c>
      <c r="K1338" s="20" t="b">
        <f>IFERROR(__xludf.DUMMYFUNCTION("""COMPUTED_VALUE"""),FALSE)</f>
        <v>0</v>
      </c>
      <c r="L1338" s="20" t="str">
        <f>IFERROR(__xludf.DUMMYFUNCTION("""COMPUTED_VALUE"""),"Array;Binary Search;Sorting;Heap (Priority Queue);Matrix;")</f>
        <v>Array;Binary Search;Sorting;Heap (Priority Queue);Matrix;</v>
      </c>
      <c r="M1338" s="20" t="b">
        <f>IFERROR(__xludf.DUMMYFUNCTION("""COMPUTED_VALUE"""),TRUE)</f>
        <v>1</v>
      </c>
      <c r="N1338" s="20" t="b">
        <f>IFERROR(__xludf.DUMMYFUNCTION("""COMPUTED_VALUE"""),FALSE)</f>
        <v>0</v>
      </c>
      <c r="O1338" s="20">
        <f>IFERROR(__xludf.DUMMYFUNCTION("""COMPUTED_VALUE"""),72.5264843358294)</f>
        <v>72.52648434</v>
      </c>
      <c r="P1338" s="20">
        <f>IFERROR(__xludf.DUMMYFUNCTION("""COMPUTED_VALUE"""),224210.0)</f>
        <v>224210</v>
      </c>
      <c r="Q1338" s="20">
        <f>IFERROR(__xludf.DUMMYFUNCTION("""COMPUTED_VALUE"""),309143.0)</f>
        <v>309143</v>
      </c>
    </row>
    <row r="1339">
      <c r="A1339" s="20">
        <f>IFERROR(__xludf.DUMMYFUNCTION("""COMPUTED_VALUE"""),1464.0)</f>
        <v>1464</v>
      </c>
      <c r="B1339" s="20" t="str">
        <f>IFERROR(__xludf.DUMMYFUNCTION("""COMPUTED_VALUE"""),"Reduce Array Size to The Half")</f>
        <v>Reduce Array Size to The Half</v>
      </c>
      <c r="C1339" s="20" t="str">
        <f>IFERROR(__xludf.DUMMYFUNCTION("""COMPUTED_VALUE"""),"reduce-array-size-to-the-half")</f>
        <v>reduce-array-size-to-the-half</v>
      </c>
      <c r="D1339" s="20" t="b">
        <f>IFERROR(__xludf.DUMMYFUNCTION("""COMPUTED_VALUE"""),FALSE)</f>
        <v>0</v>
      </c>
      <c r="E1339" s="20" t="str">
        <f>IFERROR(__xludf.DUMMYFUNCTION("""COMPUTED_VALUE"""),"Medium")</f>
        <v>Medium</v>
      </c>
      <c r="F1339" s="20">
        <f>IFERROR(__xludf.DUMMYFUNCTION("""COMPUTED_VALUE"""),2889.0)</f>
        <v>2889</v>
      </c>
      <c r="G1339" s="20">
        <f>IFERROR(__xludf.DUMMYFUNCTION("""COMPUTED_VALUE"""),140.0)</f>
        <v>140</v>
      </c>
      <c r="H1339" s="20" t="str">
        <f>IFERROR(__xludf.DUMMYFUNCTION("""COMPUTED_VALUE"""),"Algorithms")</f>
        <v>Algorithms</v>
      </c>
      <c r="I1339" s="20">
        <f>IFERROR(__xludf.DUMMYFUNCTION("""COMPUTED_VALUE"""),0.696)</f>
        <v>0.696</v>
      </c>
      <c r="J1339" s="20">
        <f>IFERROR(__xludf.DUMMYFUNCTION("""COMPUTED_VALUE"""),1338.0)</f>
        <v>1338</v>
      </c>
      <c r="K1339" s="20" t="b">
        <f>IFERROR(__xludf.DUMMYFUNCTION("""COMPUTED_VALUE"""),FALSE)</f>
        <v>0</v>
      </c>
      <c r="L1339" s="20" t="str">
        <f>IFERROR(__xludf.DUMMYFUNCTION("""COMPUTED_VALUE"""),"Array;Hash Table;Greedy;Sorting;Heap (Priority Queue);")</f>
        <v>Array;Hash Table;Greedy;Sorting;Heap (Priority Queue);</v>
      </c>
      <c r="M1339" s="20" t="b">
        <f>IFERROR(__xludf.DUMMYFUNCTION("""COMPUTED_VALUE"""),TRUE)</f>
        <v>1</v>
      </c>
      <c r="N1339" s="20" t="b">
        <f>IFERROR(__xludf.DUMMYFUNCTION("""COMPUTED_VALUE"""),FALSE)</f>
        <v>0</v>
      </c>
      <c r="O1339" s="20">
        <f>IFERROR(__xludf.DUMMYFUNCTION("""COMPUTED_VALUE"""),69.6267565763344)</f>
        <v>69.62675658</v>
      </c>
      <c r="P1339" s="20">
        <f>IFERROR(__xludf.DUMMYFUNCTION("""COMPUTED_VALUE"""),164794.0)</f>
        <v>164794</v>
      </c>
      <c r="Q1339" s="20">
        <f>IFERROR(__xludf.DUMMYFUNCTION("""COMPUTED_VALUE"""),236682.0)</f>
        <v>236682</v>
      </c>
    </row>
    <row r="1340">
      <c r="A1340" s="20">
        <f>IFERROR(__xludf.DUMMYFUNCTION("""COMPUTED_VALUE"""),1465.0)</f>
        <v>1465</v>
      </c>
      <c r="B1340" s="20" t="str">
        <f>IFERROR(__xludf.DUMMYFUNCTION("""COMPUTED_VALUE"""),"Maximum Product of Splitted Binary Tree")</f>
        <v>Maximum Product of Splitted Binary Tree</v>
      </c>
      <c r="C1340" s="20" t="str">
        <f>IFERROR(__xludf.DUMMYFUNCTION("""COMPUTED_VALUE"""),"maximum-product-of-splitted-binary-tree")</f>
        <v>maximum-product-of-splitted-binary-tree</v>
      </c>
      <c r="D1340" s="20" t="b">
        <f>IFERROR(__xludf.DUMMYFUNCTION("""COMPUTED_VALUE"""),FALSE)</f>
        <v>0</v>
      </c>
      <c r="E1340" s="20" t="str">
        <f>IFERROR(__xludf.DUMMYFUNCTION("""COMPUTED_VALUE"""),"Medium")</f>
        <v>Medium</v>
      </c>
      <c r="F1340" s="20">
        <f>IFERROR(__xludf.DUMMYFUNCTION("""COMPUTED_VALUE"""),2731.0)</f>
        <v>2731</v>
      </c>
      <c r="G1340" s="20">
        <f>IFERROR(__xludf.DUMMYFUNCTION("""COMPUTED_VALUE"""),100.0)</f>
        <v>100</v>
      </c>
      <c r="H1340" s="20" t="str">
        <f>IFERROR(__xludf.DUMMYFUNCTION("""COMPUTED_VALUE"""),"Algorithms")</f>
        <v>Algorithms</v>
      </c>
      <c r="I1340" s="20">
        <f>IFERROR(__xludf.DUMMYFUNCTION("""COMPUTED_VALUE"""),0.479)</f>
        <v>0.479</v>
      </c>
      <c r="J1340" s="20">
        <f>IFERROR(__xludf.DUMMYFUNCTION("""COMPUTED_VALUE"""),1339.0)</f>
        <v>1339</v>
      </c>
      <c r="K1340" s="20" t="b">
        <f>IFERROR(__xludf.DUMMYFUNCTION("""COMPUTED_VALUE"""),FALSE)</f>
        <v>0</v>
      </c>
      <c r="L1340" s="20" t="str">
        <f>IFERROR(__xludf.DUMMYFUNCTION("""COMPUTED_VALUE"""),"Tree;Depth-First Search;Binary Tree;")</f>
        <v>Tree;Depth-First Search;Binary Tree;</v>
      </c>
      <c r="M1340" s="20" t="b">
        <f>IFERROR(__xludf.DUMMYFUNCTION("""COMPUTED_VALUE"""),TRUE)</f>
        <v>1</v>
      </c>
      <c r="N1340" s="20" t="b">
        <f>IFERROR(__xludf.DUMMYFUNCTION("""COMPUTED_VALUE"""),FALSE)</f>
        <v>0</v>
      </c>
      <c r="O1340" s="20">
        <f>IFERROR(__xludf.DUMMYFUNCTION("""COMPUTED_VALUE"""),47.934671094959)</f>
        <v>47.93467109</v>
      </c>
      <c r="P1340" s="20">
        <f>IFERROR(__xludf.DUMMYFUNCTION("""COMPUTED_VALUE"""),110267.0)</f>
        <v>110267</v>
      </c>
      <c r="Q1340" s="20">
        <f>IFERROR(__xludf.DUMMYFUNCTION("""COMPUTED_VALUE"""),230036.0)</f>
        <v>230036</v>
      </c>
    </row>
    <row r="1341">
      <c r="A1341" s="20">
        <f>IFERROR(__xludf.DUMMYFUNCTION("""COMPUTED_VALUE"""),1466.0)</f>
        <v>1466</v>
      </c>
      <c r="B1341" s="20" t="str">
        <f>IFERROR(__xludf.DUMMYFUNCTION("""COMPUTED_VALUE"""),"Jump Game V")</f>
        <v>Jump Game V</v>
      </c>
      <c r="C1341" s="20" t="str">
        <f>IFERROR(__xludf.DUMMYFUNCTION("""COMPUTED_VALUE"""),"jump-game-v")</f>
        <v>jump-game-v</v>
      </c>
      <c r="D1341" s="20" t="b">
        <f>IFERROR(__xludf.DUMMYFUNCTION("""COMPUTED_VALUE"""),FALSE)</f>
        <v>0</v>
      </c>
      <c r="E1341" s="20" t="str">
        <f>IFERROR(__xludf.DUMMYFUNCTION("""COMPUTED_VALUE"""),"Hard")</f>
        <v>Hard</v>
      </c>
      <c r="F1341" s="20">
        <f>IFERROR(__xludf.DUMMYFUNCTION("""COMPUTED_VALUE"""),885.0)</f>
        <v>885</v>
      </c>
      <c r="G1341" s="20">
        <f>IFERROR(__xludf.DUMMYFUNCTION("""COMPUTED_VALUE"""),32.0)</f>
        <v>32</v>
      </c>
      <c r="H1341" s="20" t="str">
        <f>IFERROR(__xludf.DUMMYFUNCTION("""COMPUTED_VALUE"""),"Algorithms")</f>
        <v>Algorithms</v>
      </c>
      <c r="I1341" s="20">
        <f>IFERROR(__xludf.DUMMYFUNCTION("""COMPUTED_VALUE"""),0.625)</f>
        <v>0.625</v>
      </c>
      <c r="J1341" s="20">
        <f>IFERROR(__xludf.DUMMYFUNCTION("""COMPUTED_VALUE"""),1340.0)</f>
        <v>1340</v>
      </c>
      <c r="K1341" s="20" t="b">
        <f>IFERROR(__xludf.DUMMYFUNCTION("""COMPUTED_VALUE"""),FALSE)</f>
        <v>0</v>
      </c>
      <c r="L1341" s="20" t="str">
        <f>IFERROR(__xludf.DUMMYFUNCTION("""COMPUTED_VALUE"""),"Array;Dynamic Programming;Sorting;")</f>
        <v>Array;Dynamic Programming;Sorting;</v>
      </c>
      <c r="M1341" s="20" t="b">
        <f>IFERROR(__xludf.DUMMYFUNCTION("""COMPUTED_VALUE"""),FALSE)</f>
        <v>0</v>
      </c>
      <c r="N1341" s="20" t="b">
        <f>IFERROR(__xludf.DUMMYFUNCTION("""COMPUTED_VALUE"""),FALSE)</f>
        <v>0</v>
      </c>
      <c r="O1341" s="20">
        <f>IFERROR(__xludf.DUMMYFUNCTION("""COMPUTED_VALUE"""),62.5179702891219)</f>
        <v>62.51797029</v>
      </c>
      <c r="P1341" s="20">
        <f>IFERROR(__xludf.DUMMYFUNCTION("""COMPUTED_VALUE"""),23483.0)</f>
        <v>23483</v>
      </c>
      <c r="Q1341" s="20">
        <f>IFERROR(__xludf.DUMMYFUNCTION("""COMPUTED_VALUE"""),37562.0)</f>
        <v>37562</v>
      </c>
    </row>
    <row r="1342">
      <c r="A1342" s="20">
        <f>IFERROR(__xludf.DUMMYFUNCTION("""COMPUTED_VALUE"""),1480.0)</f>
        <v>1480</v>
      </c>
      <c r="B1342" s="20" t="str">
        <f>IFERROR(__xludf.DUMMYFUNCTION("""COMPUTED_VALUE"""),"Movie Rating")</f>
        <v>Movie Rating</v>
      </c>
      <c r="C1342" s="20" t="str">
        <f>IFERROR(__xludf.DUMMYFUNCTION("""COMPUTED_VALUE"""),"movie-rating")</f>
        <v>movie-rating</v>
      </c>
      <c r="D1342" s="20" t="b">
        <f>IFERROR(__xludf.DUMMYFUNCTION("""COMPUTED_VALUE"""),TRUE)</f>
        <v>1</v>
      </c>
      <c r="E1342" s="20" t="str">
        <f>IFERROR(__xludf.DUMMYFUNCTION("""COMPUTED_VALUE"""),"Medium")</f>
        <v>Medium</v>
      </c>
      <c r="F1342" s="20">
        <f>IFERROR(__xludf.DUMMYFUNCTION("""COMPUTED_VALUE"""),135.0)</f>
        <v>135</v>
      </c>
      <c r="G1342" s="20">
        <f>IFERROR(__xludf.DUMMYFUNCTION("""COMPUTED_VALUE"""),74.0)</f>
        <v>74</v>
      </c>
      <c r="H1342" s="20" t="str">
        <f>IFERROR(__xludf.DUMMYFUNCTION("""COMPUTED_VALUE"""),"Database")</f>
        <v>Database</v>
      </c>
      <c r="I1342" s="20">
        <f>IFERROR(__xludf.DUMMYFUNCTION("""COMPUTED_VALUE"""),0.579)</f>
        <v>0.579</v>
      </c>
      <c r="J1342" s="20">
        <f>IFERROR(__xludf.DUMMYFUNCTION("""COMPUTED_VALUE"""),1341.0)</f>
        <v>1341</v>
      </c>
      <c r="K1342" s="20" t="b">
        <f>IFERROR(__xludf.DUMMYFUNCTION("""COMPUTED_VALUE"""),TRUE)</f>
        <v>1</v>
      </c>
      <c r="L1342" s="20" t="str">
        <f>IFERROR(__xludf.DUMMYFUNCTION("""COMPUTED_VALUE"""),"Database;")</f>
        <v>Database;</v>
      </c>
      <c r="M1342" s="20" t="b">
        <f>IFERROR(__xludf.DUMMYFUNCTION("""COMPUTED_VALUE"""),FALSE)</f>
        <v>0</v>
      </c>
      <c r="N1342" s="20" t="b">
        <f>IFERROR(__xludf.DUMMYFUNCTION("""COMPUTED_VALUE"""),FALSE)</f>
        <v>0</v>
      </c>
      <c r="O1342" s="20">
        <f>IFERROR(__xludf.DUMMYFUNCTION("""COMPUTED_VALUE"""),57.9416761041902)</f>
        <v>57.9416761</v>
      </c>
      <c r="P1342" s="20">
        <f>IFERROR(__xludf.DUMMYFUNCTION("""COMPUTED_VALUE"""),24558.0)</f>
        <v>24558</v>
      </c>
      <c r="Q1342" s="20">
        <f>IFERROR(__xludf.DUMMYFUNCTION("""COMPUTED_VALUE"""),42384.0)</f>
        <v>42384</v>
      </c>
    </row>
    <row r="1343">
      <c r="A1343" s="20">
        <f>IFERROR(__xludf.DUMMYFUNCTION("""COMPUTED_VALUE"""),1444.0)</f>
        <v>1444</v>
      </c>
      <c r="B1343" s="20" t="str">
        <f>IFERROR(__xludf.DUMMYFUNCTION("""COMPUTED_VALUE"""),"Number of Steps to Reduce a Number to Zero")</f>
        <v>Number of Steps to Reduce a Number to Zero</v>
      </c>
      <c r="C1343" s="20" t="str">
        <f>IFERROR(__xludf.DUMMYFUNCTION("""COMPUTED_VALUE"""),"number-of-steps-to-reduce-a-number-to-zero")</f>
        <v>number-of-steps-to-reduce-a-number-to-zero</v>
      </c>
      <c r="D1343" s="20" t="b">
        <f>IFERROR(__xludf.DUMMYFUNCTION("""COMPUTED_VALUE"""),FALSE)</f>
        <v>0</v>
      </c>
      <c r="E1343" s="20" t="str">
        <f>IFERROR(__xludf.DUMMYFUNCTION("""COMPUTED_VALUE"""),"Easy")</f>
        <v>Easy</v>
      </c>
      <c r="F1343" s="20">
        <f>IFERROR(__xludf.DUMMYFUNCTION("""COMPUTED_VALUE"""),3034.0)</f>
        <v>3034</v>
      </c>
      <c r="G1343" s="20">
        <f>IFERROR(__xludf.DUMMYFUNCTION("""COMPUTED_VALUE"""),143.0)</f>
        <v>143</v>
      </c>
      <c r="H1343" s="20" t="str">
        <f>IFERROR(__xludf.DUMMYFUNCTION("""COMPUTED_VALUE"""),"Algorithms")</f>
        <v>Algorithms</v>
      </c>
      <c r="I1343" s="20">
        <f>IFERROR(__xludf.DUMMYFUNCTION("""COMPUTED_VALUE"""),0.853)</f>
        <v>0.853</v>
      </c>
      <c r="J1343" s="20">
        <f>IFERROR(__xludf.DUMMYFUNCTION("""COMPUTED_VALUE"""),1342.0)</f>
        <v>1342</v>
      </c>
      <c r="K1343" s="20" t="b">
        <f>IFERROR(__xludf.DUMMYFUNCTION("""COMPUTED_VALUE"""),FALSE)</f>
        <v>0</v>
      </c>
      <c r="L1343" s="20" t="str">
        <f>IFERROR(__xludf.DUMMYFUNCTION("""COMPUTED_VALUE"""),"Math;Bit Manipulation;")</f>
        <v>Math;Bit Manipulation;</v>
      </c>
      <c r="M1343" s="20" t="b">
        <f>IFERROR(__xludf.DUMMYFUNCTION("""COMPUTED_VALUE"""),TRUE)</f>
        <v>1</v>
      </c>
      <c r="N1343" s="20" t="b">
        <f>IFERROR(__xludf.DUMMYFUNCTION("""COMPUTED_VALUE"""),TRUE)</f>
        <v>1</v>
      </c>
      <c r="O1343" s="20">
        <f>IFERROR(__xludf.DUMMYFUNCTION("""COMPUTED_VALUE"""),85.2973142599098)</f>
        <v>85.29731426</v>
      </c>
      <c r="P1343" s="20">
        <f>IFERROR(__xludf.DUMMYFUNCTION("""COMPUTED_VALUE"""),445764.0)</f>
        <v>445764</v>
      </c>
      <c r="Q1343" s="20">
        <f>IFERROR(__xludf.DUMMYFUNCTION("""COMPUTED_VALUE"""),522602.0)</f>
        <v>522602</v>
      </c>
    </row>
    <row r="1344">
      <c r="A1344" s="20">
        <f>IFERROR(__xludf.DUMMYFUNCTION("""COMPUTED_VALUE"""),1445.0)</f>
        <v>1445</v>
      </c>
      <c r="B1344" s="20" t="str">
        <f>IFERROR(__xludf.DUMMYFUNCTION("""COMPUTED_VALUE"""),"Number of Sub-arrays of Size K and Average Greater than or Equal to Threshold")</f>
        <v>Number of Sub-arrays of Size K and Average Greater than or Equal to Threshold</v>
      </c>
      <c r="C1344" s="20" t="str">
        <f>IFERROR(__xludf.DUMMYFUNCTION("""COMPUTED_VALUE"""),"number-of-sub-arrays-of-size-k-and-average-greater-than-or-equal-to-threshold")</f>
        <v>number-of-sub-arrays-of-size-k-and-average-greater-than-or-equal-to-threshold</v>
      </c>
      <c r="D1344" s="20" t="b">
        <f>IFERROR(__xludf.DUMMYFUNCTION("""COMPUTED_VALUE"""),FALSE)</f>
        <v>0</v>
      </c>
      <c r="E1344" s="20" t="str">
        <f>IFERROR(__xludf.DUMMYFUNCTION("""COMPUTED_VALUE"""),"Medium")</f>
        <v>Medium</v>
      </c>
      <c r="F1344" s="20">
        <f>IFERROR(__xludf.DUMMYFUNCTION("""COMPUTED_VALUE"""),939.0)</f>
        <v>939</v>
      </c>
      <c r="G1344" s="20">
        <f>IFERROR(__xludf.DUMMYFUNCTION("""COMPUTED_VALUE"""),72.0)</f>
        <v>72</v>
      </c>
      <c r="H1344" s="20" t="str">
        <f>IFERROR(__xludf.DUMMYFUNCTION("""COMPUTED_VALUE"""),"Algorithms")</f>
        <v>Algorithms</v>
      </c>
      <c r="I1344" s="20">
        <f>IFERROR(__xludf.DUMMYFUNCTION("""COMPUTED_VALUE"""),0.675)</f>
        <v>0.675</v>
      </c>
      <c r="J1344" s="20">
        <f>IFERROR(__xludf.DUMMYFUNCTION("""COMPUTED_VALUE"""),1343.0)</f>
        <v>1343</v>
      </c>
      <c r="K1344" s="20" t="b">
        <f>IFERROR(__xludf.DUMMYFUNCTION("""COMPUTED_VALUE"""),FALSE)</f>
        <v>0</v>
      </c>
      <c r="L1344" s="20" t="str">
        <f>IFERROR(__xludf.DUMMYFUNCTION("""COMPUTED_VALUE"""),"Array;Sliding Window;")</f>
        <v>Array;Sliding Window;</v>
      </c>
      <c r="M1344" s="20" t="b">
        <f>IFERROR(__xludf.DUMMYFUNCTION("""COMPUTED_VALUE"""),FALSE)</f>
        <v>0</v>
      </c>
      <c r="N1344" s="20" t="b">
        <f>IFERROR(__xludf.DUMMYFUNCTION("""COMPUTED_VALUE"""),FALSE)</f>
        <v>0</v>
      </c>
      <c r="O1344" s="20">
        <f>IFERROR(__xludf.DUMMYFUNCTION("""COMPUTED_VALUE"""),67.5350956639873)</f>
        <v>67.53509566</v>
      </c>
      <c r="P1344" s="20">
        <f>IFERROR(__xludf.DUMMYFUNCTION("""COMPUTED_VALUE"""),47721.0)</f>
        <v>47721</v>
      </c>
      <c r="Q1344" s="20">
        <f>IFERROR(__xludf.DUMMYFUNCTION("""COMPUTED_VALUE"""),70658.0)</f>
        <v>70658</v>
      </c>
    </row>
    <row r="1345">
      <c r="A1345" s="20">
        <f>IFERROR(__xludf.DUMMYFUNCTION("""COMPUTED_VALUE"""),1446.0)</f>
        <v>1446</v>
      </c>
      <c r="B1345" s="20" t="str">
        <f>IFERROR(__xludf.DUMMYFUNCTION("""COMPUTED_VALUE"""),"Angle Between Hands of a Clock")</f>
        <v>Angle Between Hands of a Clock</v>
      </c>
      <c r="C1345" s="20" t="str">
        <f>IFERROR(__xludf.DUMMYFUNCTION("""COMPUTED_VALUE"""),"angle-between-hands-of-a-clock")</f>
        <v>angle-between-hands-of-a-clock</v>
      </c>
      <c r="D1345" s="20" t="b">
        <f>IFERROR(__xludf.DUMMYFUNCTION("""COMPUTED_VALUE"""),FALSE)</f>
        <v>0</v>
      </c>
      <c r="E1345" s="20" t="str">
        <f>IFERROR(__xludf.DUMMYFUNCTION("""COMPUTED_VALUE"""),"Medium")</f>
        <v>Medium</v>
      </c>
      <c r="F1345" s="20">
        <f>IFERROR(__xludf.DUMMYFUNCTION("""COMPUTED_VALUE"""),1114.0)</f>
        <v>1114</v>
      </c>
      <c r="G1345" s="20">
        <f>IFERROR(__xludf.DUMMYFUNCTION("""COMPUTED_VALUE"""),223.0)</f>
        <v>223</v>
      </c>
      <c r="H1345" s="20" t="str">
        <f>IFERROR(__xludf.DUMMYFUNCTION("""COMPUTED_VALUE"""),"Algorithms")</f>
        <v>Algorithms</v>
      </c>
      <c r="I1345" s="20">
        <f>IFERROR(__xludf.DUMMYFUNCTION("""COMPUTED_VALUE"""),0.633)</f>
        <v>0.633</v>
      </c>
      <c r="J1345" s="20">
        <f>IFERROR(__xludf.DUMMYFUNCTION("""COMPUTED_VALUE"""),1344.0)</f>
        <v>1344</v>
      </c>
      <c r="K1345" s="20" t="b">
        <f>IFERROR(__xludf.DUMMYFUNCTION("""COMPUTED_VALUE"""),FALSE)</f>
        <v>0</v>
      </c>
      <c r="L1345" s="20" t="str">
        <f>IFERROR(__xludf.DUMMYFUNCTION("""COMPUTED_VALUE"""),"Math;")</f>
        <v>Math;</v>
      </c>
      <c r="M1345" s="20" t="b">
        <f>IFERROR(__xludf.DUMMYFUNCTION("""COMPUTED_VALUE"""),TRUE)</f>
        <v>1</v>
      </c>
      <c r="N1345" s="20" t="b">
        <f>IFERROR(__xludf.DUMMYFUNCTION("""COMPUTED_VALUE"""),FALSE)</f>
        <v>0</v>
      </c>
      <c r="O1345" s="20">
        <f>IFERROR(__xludf.DUMMYFUNCTION("""COMPUTED_VALUE"""),63.3226393826411)</f>
        <v>63.32263938</v>
      </c>
      <c r="P1345" s="20">
        <f>IFERROR(__xludf.DUMMYFUNCTION("""COMPUTED_VALUE"""),102241.0)</f>
        <v>102241</v>
      </c>
      <c r="Q1345" s="20">
        <f>IFERROR(__xludf.DUMMYFUNCTION("""COMPUTED_VALUE"""),161460.0)</f>
        <v>161460</v>
      </c>
    </row>
    <row r="1346">
      <c r="A1346" s="20">
        <f>IFERROR(__xludf.DUMMYFUNCTION("""COMPUTED_VALUE"""),1447.0)</f>
        <v>1447</v>
      </c>
      <c r="B1346" s="20" t="str">
        <f>IFERROR(__xludf.DUMMYFUNCTION("""COMPUTED_VALUE"""),"Jump Game IV")</f>
        <v>Jump Game IV</v>
      </c>
      <c r="C1346" s="20" t="str">
        <f>IFERROR(__xludf.DUMMYFUNCTION("""COMPUTED_VALUE"""),"jump-game-iv")</f>
        <v>jump-game-iv</v>
      </c>
      <c r="D1346" s="20" t="b">
        <f>IFERROR(__xludf.DUMMYFUNCTION("""COMPUTED_VALUE"""),FALSE)</f>
        <v>0</v>
      </c>
      <c r="E1346" s="20" t="str">
        <f>IFERROR(__xludf.DUMMYFUNCTION("""COMPUTED_VALUE"""),"Hard")</f>
        <v>Hard</v>
      </c>
      <c r="F1346" s="20">
        <f>IFERROR(__xludf.DUMMYFUNCTION("""COMPUTED_VALUE"""),2175.0)</f>
        <v>2175</v>
      </c>
      <c r="G1346" s="20">
        <f>IFERROR(__xludf.DUMMYFUNCTION("""COMPUTED_VALUE"""),83.0)</f>
        <v>83</v>
      </c>
      <c r="H1346" s="20" t="str">
        <f>IFERROR(__xludf.DUMMYFUNCTION("""COMPUTED_VALUE"""),"Algorithms")</f>
        <v>Algorithms</v>
      </c>
      <c r="I1346" s="20">
        <f>IFERROR(__xludf.DUMMYFUNCTION("""COMPUTED_VALUE"""),0.439)</f>
        <v>0.439</v>
      </c>
      <c r="J1346" s="20">
        <f>IFERROR(__xludf.DUMMYFUNCTION("""COMPUTED_VALUE"""),1345.0)</f>
        <v>1345</v>
      </c>
      <c r="K1346" s="20" t="b">
        <f>IFERROR(__xludf.DUMMYFUNCTION("""COMPUTED_VALUE"""),FALSE)</f>
        <v>0</v>
      </c>
      <c r="L1346" s="20" t="str">
        <f>IFERROR(__xludf.DUMMYFUNCTION("""COMPUTED_VALUE"""),"Array;Hash Table;Breadth-First Search;")</f>
        <v>Array;Hash Table;Breadth-First Search;</v>
      </c>
      <c r="M1346" s="20" t="b">
        <f>IFERROR(__xludf.DUMMYFUNCTION("""COMPUTED_VALUE"""),TRUE)</f>
        <v>1</v>
      </c>
      <c r="N1346" s="20" t="b">
        <f>IFERROR(__xludf.DUMMYFUNCTION("""COMPUTED_VALUE"""),FALSE)</f>
        <v>0</v>
      </c>
      <c r="O1346" s="20">
        <f>IFERROR(__xludf.DUMMYFUNCTION("""COMPUTED_VALUE"""),43.9359279936439)</f>
        <v>43.93592799</v>
      </c>
      <c r="P1346" s="20">
        <f>IFERROR(__xludf.DUMMYFUNCTION("""COMPUTED_VALUE"""),82397.0)</f>
        <v>82397</v>
      </c>
      <c r="Q1346" s="20">
        <f>IFERROR(__xludf.DUMMYFUNCTION("""COMPUTED_VALUE"""),187539.0)</f>
        <v>187539</v>
      </c>
    </row>
    <row r="1347">
      <c r="A1347" s="20">
        <f>IFERROR(__xludf.DUMMYFUNCTION("""COMPUTED_VALUE"""),1468.0)</f>
        <v>1468</v>
      </c>
      <c r="B1347" s="20" t="str">
        <f>IFERROR(__xludf.DUMMYFUNCTION("""COMPUTED_VALUE"""),"Check If N and Its Double Exist")</f>
        <v>Check If N and Its Double Exist</v>
      </c>
      <c r="C1347" s="20" t="str">
        <f>IFERROR(__xludf.DUMMYFUNCTION("""COMPUTED_VALUE"""),"check-if-n-and-its-double-exist")</f>
        <v>check-if-n-and-its-double-exist</v>
      </c>
      <c r="D1347" s="20" t="b">
        <f>IFERROR(__xludf.DUMMYFUNCTION("""COMPUTED_VALUE"""),FALSE)</f>
        <v>0</v>
      </c>
      <c r="E1347" s="20" t="str">
        <f>IFERROR(__xludf.DUMMYFUNCTION("""COMPUTED_VALUE"""),"Easy")</f>
        <v>Easy</v>
      </c>
      <c r="F1347" s="20">
        <f>IFERROR(__xludf.DUMMYFUNCTION("""COMPUTED_VALUE"""),1400.0)</f>
        <v>1400</v>
      </c>
      <c r="G1347" s="20">
        <f>IFERROR(__xludf.DUMMYFUNCTION("""COMPUTED_VALUE"""),155.0)</f>
        <v>155</v>
      </c>
      <c r="H1347" s="20" t="str">
        <f>IFERROR(__xludf.DUMMYFUNCTION("""COMPUTED_VALUE"""),"Algorithms")</f>
        <v>Algorithms</v>
      </c>
      <c r="I1347" s="20">
        <f>IFERROR(__xludf.DUMMYFUNCTION("""COMPUTED_VALUE"""),0.363)</f>
        <v>0.363</v>
      </c>
      <c r="J1347" s="20">
        <f>IFERROR(__xludf.DUMMYFUNCTION("""COMPUTED_VALUE"""),1346.0)</f>
        <v>1346</v>
      </c>
      <c r="K1347" s="20" t="b">
        <f>IFERROR(__xludf.DUMMYFUNCTION("""COMPUTED_VALUE"""),FALSE)</f>
        <v>0</v>
      </c>
      <c r="L1347" s="20" t="str">
        <f>IFERROR(__xludf.DUMMYFUNCTION("""COMPUTED_VALUE"""),"Array;Hash Table;Two Pointers;Binary Search;Sorting;")</f>
        <v>Array;Hash Table;Two Pointers;Binary Search;Sorting;</v>
      </c>
      <c r="M1347" s="20" t="b">
        <f>IFERROR(__xludf.DUMMYFUNCTION("""COMPUTED_VALUE"""),FALSE)</f>
        <v>0</v>
      </c>
      <c r="N1347" s="20" t="b">
        <f>IFERROR(__xludf.DUMMYFUNCTION("""COMPUTED_VALUE"""),FALSE)</f>
        <v>0</v>
      </c>
      <c r="O1347" s="20">
        <f>IFERROR(__xludf.DUMMYFUNCTION("""COMPUTED_VALUE"""),36.3357291018899)</f>
        <v>36.3357291</v>
      </c>
      <c r="P1347" s="20">
        <f>IFERROR(__xludf.DUMMYFUNCTION("""COMPUTED_VALUE"""),257678.0)</f>
        <v>257678</v>
      </c>
      <c r="Q1347" s="20">
        <f>IFERROR(__xludf.DUMMYFUNCTION("""COMPUTED_VALUE"""),709147.0)</f>
        <v>709147</v>
      </c>
    </row>
    <row r="1348">
      <c r="A1348" s="20">
        <f>IFERROR(__xludf.DUMMYFUNCTION("""COMPUTED_VALUE"""),1469.0)</f>
        <v>1469</v>
      </c>
      <c r="B1348" s="20" t="str">
        <f>IFERROR(__xludf.DUMMYFUNCTION("""COMPUTED_VALUE"""),"Minimum Number of Steps to Make Two Strings Anagram")</f>
        <v>Minimum Number of Steps to Make Two Strings Anagram</v>
      </c>
      <c r="C1348" s="20" t="str">
        <f>IFERROR(__xludf.DUMMYFUNCTION("""COMPUTED_VALUE"""),"minimum-number-of-steps-to-make-two-strings-anagram")</f>
        <v>minimum-number-of-steps-to-make-two-strings-anagram</v>
      </c>
      <c r="D1348" s="20" t="b">
        <f>IFERROR(__xludf.DUMMYFUNCTION("""COMPUTED_VALUE"""),FALSE)</f>
        <v>0</v>
      </c>
      <c r="E1348" s="20" t="str">
        <f>IFERROR(__xludf.DUMMYFUNCTION("""COMPUTED_VALUE"""),"Medium")</f>
        <v>Medium</v>
      </c>
      <c r="F1348" s="20">
        <f>IFERROR(__xludf.DUMMYFUNCTION("""COMPUTED_VALUE"""),1636.0)</f>
        <v>1636</v>
      </c>
      <c r="G1348" s="20">
        <f>IFERROR(__xludf.DUMMYFUNCTION("""COMPUTED_VALUE"""),75.0)</f>
        <v>75</v>
      </c>
      <c r="H1348" s="20" t="str">
        <f>IFERROR(__xludf.DUMMYFUNCTION("""COMPUTED_VALUE"""),"Algorithms")</f>
        <v>Algorithms</v>
      </c>
      <c r="I1348" s="20">
        <f>IFERROR(__xludf.DUMMYFUNCTION("""COMPUTED_VALUE"""),0.776)</f>
        <v>0.776</v>
      </c>
      <c r="J1348" s="20">
        <f>IFERROR(__xludf.DUMMYFUNCTION("""COMPUTED_VALUE"""),1347.0)</f>
        <v>1347</v>
      </c>
      <c r="K1348" s="20" t="b">
        <f>IFERROR(__xludf.DUMMYFUNCTION("""COMPUTED_VALUE"""),FALSE)</f>
        <v>0</v>
      </c>
      <c r="L1348" s="20" t="str">
        <f>IFERROR(__xludf.DUMMYFUNCTION("""COMPUTED_VALUE"""),"Hash Table;String;Counting;")</f>
        <v>Hash Table;String;Counting;</v>
      </c>
      <c r="M1348" s="20" t="b">
        <f>IFERROR(__xludf.DUMMYFUNCTION("""COMPUTED_VALUE"""),FALSE)</f>
        <v>0</v>
      </c>
      <c r="N1348" s="20" t="b">
        <f>IFERROR(__xludf.DUMMYFUNCTION("""COMPUTED_VALUE"""),FALSE)</f>
        <v>0</v>
      </c>
      <c r="O1348" s="20">
        <f>IFERROR(__xludf.DUMMYFUNCTION("""COMPUTED_VALUE"""),77.5909005670979)</f>
        <v>77.59090057</v>
      </c>
      <c r="P1348" s="20">
        <f>IFERROR(__xludf.DUMMYFUNCTION("""COMPUTED_VALUE"""),119989.0)</f>
        <v>119989</v>
      </c>
      <c r="Q1348" s="20">
        <f>IFERROR(__xludf.DUMMYFUNCTION("""COMPUTED_VALUE"""),154644.0)</f>
        <v>154644</v>
      </c>
    </row>
    <row r="1349">
      <c r="A1349" s="20">
        <f>IFERROR(__xludf.DUMMYFUNCTION("""COMPUTED_VALUE"""),1470.0)</f>
        <v>1470</v>
      </c>
      <c r="B1349" s="20" t="str">
        <f>IFERROR(__xludf.DUMMYFUNCTION("""COMPUTED_VALUE"""),"Tweet Counts Per Frequency")</f>
        <v>Tweet Counts Per Frequency</v>
      </c>
      <c r="C1349" s="20" t="str">
        <f>IFERROR(__xludf.DUMMYFUNCTION("""COMPUTED_VALUE"""),"tweet-counts-per-frequency")</f>
        <v>tweet-counts-per-frequency</v>
      </c>
      <c r="D1349" s="20" t="b">
        <f>IFERROR(__xludf.DUMMYFUNCTION("""COMPUTED_VALUE"""),FALSE)</f>
        <v>0</v>
      </c>
      <c r="E1349" s="20" t="str">
        <f>IFERROR(__xludf.DUMMYFUNCTION("""COMPUTED_VALUE"""),"Medium")</f>
        <v>Medium</v>
      </c>
      <c r="F1349" s="20">
        <f>IFERROR(__xludf.DUMMYFUNCTION("""COMPUTED_VALUE"""),141.0)</f>
        <v>141</v>
      </c>
      <c r="G1349" s="20">
        <f>IFERROR(__xludf.DUMMYFUNCTION("""COMPUTED_VALUE"""),241.0)</f>
        <v>241</v>
      </c>
      <c r="H1349" s="20" t="str">
        <f>IFERROR(__xludf.DUMMYFUNCTION("""COMPUTED_VALUE"""),"Algorithms")</f>
        <v>Algorithms</v>
      </c>
      <c r="I1349" s="20">
        <f>IFERROR(__xludf.DUMMYFUNCTION("""COMPUTED_VALUE"""),0.436)</f>
        <v>0.436</v>
      </c>
      <c r="J1349" s="20">
        <f>IFERROR(__xludf.DUMMYFUNCTION("""COMPUTED_VALUE"""),1348.0)</f>
        <v>1348</v>
      </c>
      <c r="K1349" s="20" t="b">
        <f>IFERROR(__xludf.DUMMYFUNCTION("""COMPUTED_VALUE"""),FALSE)</f>
        <v>0</v>
      </c>
      <c r="L1349" s="20" t="str">
        <f>IFERROR(__xludf.DUMMYFUNCTION("""COMPUTED_VALUE"""),"Hash Table;Binary Search;Design;Sorting;Ordered Set;")</f>
        <v>Hash Table;Binary Search;Design;Sorting;Ordered Set;</v>
      </c>
      <c r="M1349" s="20" t="b">
        <f>IFERROR(__xludf.DUMMYFUNCTION("""COMPUTED_VALUE"""),FALSE)</f>
        <v>0</v>
      </c>
      <c r="N1349" s="20" t="b">
        <f>IFERROR(__xludf.DUMMYFUNCTION("""COMPUTED_VALUE"""),FALSE)</f>
        <v>0</v>
      </c>
      <c r="O1349" s="20">
        <f>IFERROR(__xludf.DUMMYFUNCTION("""COMPUTED_VALUE"""),43.6147993435775)</f>
        <v>43.61479934</v>
      </c>
      <c r="P1349" s="20">
        <f>IFERROR(__xludf.DUMMYFUNCTION("""COMPUTED_VALUE"""),29235.0)</f>
        <v>29235</v>
      </c>
      <c r="Q1349" s="20">
        <f>IFERROR(__xludf.DUMMYFUNCTION("""COMPUTED_VALUE"""),67026.0)</f>
        <v>67026</v>
      </c>
    </row>
    <row r="1350">
      <c r="A1350" s="20">
        <f>IFERROR(__xludf.DUMMYFUNCTION("""COMPUTED_VALUE"""),1471.0)</f>
        <v>1471</v>
      </c>
      <c r="B1350" s="20" t="str">
        <f>IFERROR(__xludf.DUMMYFUNCTION("""COMPUTED_VALUE"""),"Maximum Students Taking Exam")</f>
        <v>Maximum Students Taking Exam</v>
      </c>
      <c r="C1350" s="20" t="str">
        <f>IFERROR(__xludf.DUMMYFUNCTION("""COMPUTED_VALUE"""),"maximum-students-taking-exam")</f>
        <v>maximum-students-taking-exam</v>
      </c>
      <c r="D1350" s="20" t="b">
        <f>IFERROR(__xludf.DUMMYFUNCTION("""COMPUTED_VALUE"""),FALSE)</f>
        <v>0</v>
      </c>
      <c r="E1350" s="20" t="str">
        <f>IFERROR(__xludf.DUMMYFUNCTION("""COMPUTED_VALUE"""),"Hard")</f>
        <v>Hard</v>
      </c>
      <c r="F1350" s="20">
        <f>IFERROR(__xludf.DUMMYFUNCTION("""COMPUTED_VALUE"""),674.0)</f>
        <v>674</v>
      </c>
      <c r="G1350" s="20">
        <f>IFERROR(__xludf.DUMMYFUNCTION("""COMPUTED_VALUE"""),12.0)</f>
        <v>12</v>
      </c>
      <c r="H1350" s="20" t="str">
        <f>IFERROR(__xludf.DUMMYFUNCTION("""COMPUTED_VALUE"""),"Algorithms")</f>
        <v>Algorithms</v>
      </c>
      <c r="I1350" s="20">
        <f>IFERROR(__xludf.DUMMYFUNCTION("""COMPUTED_VALUE"""),0.485)</f>
        <v>0.485</v>
      </c>
      <c r="J1350" s="20">
        <f>IFERROR(__xludf.DUMMYFUNCTION("""COMPUTED_VALUE"""),1349.0)</f>
        <v>1349</v>
      </c>
      <c r="K1350" s="20" t="b">
        <f>IFERROR(__xludf.DUMMYFUNCTION("""COMPUTED_VALUE"""),FALSE)</f>
        <v>0</v>
      </c>
      <c r="L1350" s="20" t="str">
        <f>IFERROR(__xludf.DUMMYFUNCTION("""COMPUTED_VALUE"""),"Array;Dynamic Programming;Bit Manipulation;Matrix;Bitmask;")</f>
        <v>Array;Dynamic Programming;Bit Manipulation;Matrix;Bitmask;</v>
      </c>
      <c r="M1350" s="20" t="b">
        <f>IFERROR(__xludf.DUMMYFUNCTION("""COMPUTED_VALUE"""),FALSE)</f>
        <v>0</v>
      </c>
      <c r="N1350" s="20" t="b">
        <f>IFERROR(__xludf.DUMMYFUNCTION("""COMPUTED_VALUE"""),FALSE)</f>
        <v>0</v>
      </c>
      <c r="O1350" s="20">
        <f>IFERROR(__xludf.DUMMYFUNCTION("""COMPUTED_VALUE"""),48.5281247513724)</f>
        <v>48.52812475</v>
      </c>
      <c r="P1350" s="20">
        <f>IFERROR(__xludf.DUMMYFUNCTION("""COMPUTED_VALUE"""),12199.0)</f>
        <v>12199</v>
      </c>
      <c r="Q1350" s="20">
        <f>IFERROR(__xludf.DUMMYFUNCTION("""COMPUTED_VALUE"""),25138.0)</f>
        <v>25138</v>
      </c>
    </row>
    <row r="1351">
      <c r="A1351" s="20">
        <f>IFERROR(__xludf.DUMMYFUNCTION("""COMPUTED_VALUE"""),1481.0)</f>
        <v>1481</v>
      </c>
      <c r="B1351" s="20" t="str">
        <f>IFERROR(__xludf.DUMMYFUNCTION("""COMPUTED_VALUE"""),"Students With Invalid Departments")</f>
        <v>Students With Invalid Departments</v>
      </c>
      <c r="C1351" s="20" t="str">
        <f>IFERROR(__xludf.DUMMYFUNCTION("""COMPUTED_VALUE"""),"students-with-invalid-departments")</f>
        <v>students-with-invalid-departments</v>
      </c>
      <c r="D1351" s="20" t="b">
        <f>IFERROR(__xludf.DUMMYFUNCTION("""COMPUTED_VALUE"""),TRUE)</f>
        <v>1</v>
      </c>
      <c r="E1351" s="20" t="str">
        <f>IFERROR(__xludf.DUMMYFUNCTION("""COMPUTED_VALUE"""),"Easy")</f>
        <v>Easy</v>
      </c>
      <c r="F1351" s="20">
        <f>IFERROR(__xludf.DUMMYFUNCTION("""COMPUTED_VALUE"""),155.0)</f>
        <v>155</v>
      </c>
      <c r="G1351" s="20">
        <f>IFERROR(__xludf.DUMMYFUNCTION("""COMPUTED_VALUE"""),9.0)</f>
        <v>9</v>
      </c>
      <c r="H1351" s="20" t="str">
        <f>IFERROR(__xludf.DUMMYFUNCTION("""COMPUTED_VALUE"""),"Database")</f>
        <v>Database</v>
      </c>
      <c r="I1351" s="20">
        <f>IFERROR(__xludf.DUMMYFUNCTION("""COMPUTED_VALUE"""),0.904)</f>
        <v>0.904</v>
      </c>
      <c r="J1351" s="20">
        <f>IFERROR(__xludf.DUMMYFUNCTION("""COMPUTED_VALUE"""),1350.0)</f>
        <v>1350</v>
      </c>
      <c r="K1351" s="20" t="b">
        <f>IFERROR(__xludf.DUMMYFUNCTION("""COMPUTED_VALUE"""),TRUE)</f>
        <v>1</v>
      </c>
      <c r="L1351" s="20" t="str">
        <f>IFERROR(__xludf.DUMMYFUNCTION("""COMPUTED_VALUE"""),"Database;")</f>
        <v>Database;</v>
      </c>
      <c r="M1351" s="20" t="b">
        <f>IFERROR(__xludf.DUMMYFUNCTION("""COMPUTED_VALUE"""),FALSE)</f>
        <v>0</v>
      </c>
      <c r="N1351" s="20" t="b">
        <f>IFERROR(__xludf.DUMMYFUNCTION("""COMPUTED_VALUE"""),FALSE)</f>
        <v>0</v>
      </c>
      <c r="O1351" s="20">
        <f>IFERROR(__xludf.DUMMYFUNCTION("""COMPUTED_VALUE"""),90.4447974583002)</f>
        <v>90.44479746</v>
      </c>
      <c r="P1351" s="20">
        <f>IFERROR(__xludf.DUMMYFUNCTION("""COMPUTED_VALUE"""),45548.0)</f>
        <v>45548</v>
      </c>
      <c r="Q1351" s="20">
        <f>IFERROR(__xludf.DUMMYFUNCTION("""COMPUTED_VALUE"""),50360.0)</f>
        <v>50360</v>
      </c>
    </row>
    <row r="1352">
      <c r="A1352" s="20">
        <f>IFERROR(__xludf.DUMMYFUNCTION("""COMPUTED_VALUE"""),1476.0)</f>
        <v>1476</v>
      </c>
      <c r="B1352" s="20" t="str">
        <f>IFERROR(__xludf.DUMMYFUNCTION("""COMPUTED_VALUE"""),"Count Negative Numbers in a Sorted Matrix")</f>
        <v>Count Negative Numbers in a Sorted Matrix</v>
      </c>
      <c r="C1352" s="20" t="str">
        <f>IFERROR(__xludf.DUMMYFUNCTION("""COMPUTED_VALUE"""),"count-negative-numbers-in-a-sorted-matrix")</f>
        <v>count-negative-numbers-in-a-sorted-matrix</v>
      </c>
      <c r="D1352" s="20" t="b">
        <f>IFERROR(__xludf.DUMMYFUNCTION("""COMPUTED_VALUE"""),FALSE)</f>
        <v>0</v>
      </c>
      <c r="E1352" s="20" t="str">
        <f>IFERROR(__xludf.DUMMYFUNCTION("""COMPUTED_VALUE"""),"Easy")</f>
        <v>Easy</v>
      </c>
      <c r="F1352" s="20">
        <f>IFERROR(__xludf.DUMMYFUNCTION("""COMPUTED_VALUE"""),2938.0)</f>
        <v>2938</v>
      </c>
      <c r="G1352" s="20">
        <f>IFERROR(__xludf.DUMMYFUNCTION("""COMPUTED_VALUE"""),90.0)</f>
        <v>90</v>
      </c>
      <c r="H1352" s="20" t="str">
        <f>IFERROR(__xludf.DUMMYFUNCTION("""COMPUTED_VALUE"""),"Algorithms")</f>
        <v>Algorithms</v>
      </c>
      <c r="I1352" s="20">
        <f>IFERROR(__xludf.DUMMYFUNCTION("""COMPUTED_VALUE"""),0.753)</f>
        <v>0.753</v>
      </c>
      <c r="J1352" s="20">
        <f>IFERROR(__xludf.DUMMYFUNCTION("""COMPUTED_VALUE"""),1351.0)</f>
        <v>1351</v>
      </c>
      <c r="K1352" s="20" t="b">
        <f>IFERROR(__xludf.DUMMYFUNCTION("""COMPUTED_VALUE"""),FALSE)</f>
        <v>0</v>
      </c>
      <c r="L1352" s="20" t="str">
        <f>IFERROR(__xludf.DUMMYFUNCTION("""COMPUTED_VALUE"""),"Array;Binary Search;Matrix;")</f>
        <v>Array;Binary Search;Matrix;</v>
      </c>
      <c r="M1352" s="20" t="b">
        <f>IFERROR(__xludf.DUMMYFUNCTION("""COMPUTED_VALUE"""),FALSE)</f>
        <v>0</v>
      </c>
      <c r="N1352" s="20" t="b">
        <f>IFERROR(__xludf.DUMMYFUNCTION("""COMPUTED_VALUE"""),FALSE)</f>
        <v>0</v>
      </c>
      <c r="O1352" s="20">
        <f>IFERROR(__xludf.DUMMYFUNCTION("""COMPUTED_VALUE"""),75.2978957441519)</f>
        <v>75.29789574</v>
      </c>
      <c r="P1352" s="20">
        <f>IFERROR(__xludf.DUMMYFUNCTION("""COMPUTED_VALUE"""),221105.0)</f>
        <v>221105</v>
      </c>
      <c r="Q1352" s="20">
        <f>IFERROR(__xludf.DUMMYFUNCTION("""COMPUTED_VALUE"""),293641.0)</f>
        <v>293641</v>
      </c>
    </row>
    <row r="1353">
      <c r="A1353" s="20">
        <f>IFERROR(__xludf.DUMMYFUNCTION("""COMPUTED_VALUE"""),1477.0)</f>
        <v>1477</v>
      </c>
      <c r="B1353" s="20" t="str">
        <f>IFERROR(__xludf.DUMMYFUNCTION("""COMPUTED_VALUE"""),"Product of the Last K Numbers")</f>
        <v>Product of the Last K Numbers</v>
      </c>
      <c r="C1353" s="20" t="str">
        <f>IFERROR(__xludf.DUMMYFUNCTION("""COMPUTED_VALUE"""),"product-of-the-last-k-numbers")</f>
        <v>product-of-the-last-k-numbers</v>
      </c>
      <c r="D1353" s="20" t="b">
        <f>IFERROR(__xludf.DUMMYFUNCTION("""COMPUTED_VALUE"""),FALSE)</f>
        <v>0</v>
      </c>
      <c r="E1353" s="20" t="str">
        <f>IFERROR(__xludf.DUMMYFUNCTION("""COMPUTED_VALUE"""),"Medium")</f>
        <v>Medium</v>
      </c>
      <c r="F1353" s="20">
        <f>IFERROR(__xludf.DUMMYFUNCTION("""COMPUTED_VALUE"""),1184.0)</f>
        <v>1184</v>
      </c>
      <c r="G1353" s="20">
        <f>IFERROR(__xludf.DUMMYFUNCTION("""COMPUTED_VALUE"""),58.0)</f>
        <v>58</v>
      </c>
      <c r="H1353" s="20" t="str">
        <f>IFERROR(__xludf.DUMMYFUNCTION("""COMPUTED_VALUE"""),"Algorithms")</f>
        <v>Algorithms</v>
      </c>
      <c r="I1353" s="20">
        <f>IFERROR(__xludf.DUMMYFUNCTION("""COMPUTED_VALUE"""),0.499)</f>
        <v>0.499</v>
      </c>
      <c r="J1353" s="20">
        <f>IFERROR(__xludf.DUMMYFUNCTION("""COMPUTED_VALUE"""),1352.0)</f>
        <v>1352</v>
      </c>
      <c r="K1353" s="20" t="b">
        <f>IFERROR(__xludf.DUMMYFUNCTION("""COMPUTED_VALUE"""),FALSE)</f>
        <v>0</v>
      </c>
      <c r="L1353" s="20" t="str">
        <f>IFERROR(__xludf.DUMMYFUNCTION("""COMPUTED_VALUE"""),"Array;Math;Design;Queue;Data Stream;")</f>
        <v>Array;Math;Design;Queue;Data Stream;</v>
      </c>
      <c r="M1353" s="20" t="b">
        <f>IFERROR(__xludf.DUMMYFUNCTION("""COMPUTED_VALUE"""),FALSE)</f>
        <v>0</v>
      </c>
      <c r="N1353" s="20" t="b">
        <f>IFERROR(__xludf.DUMMYFUNCTION("""COMPUTED_VALUE"""),FALSE)</f>
        <v>0</v>
      </c>
      <c r="O1353" s="20">
        <f>IFERROR(__xludf.DUMMYFUNCTION("""COMPUTED_VALUE"""),49.9177835691238)</f>
        <v>49.91778357</v>
      </c>
      <c r="P1353" s="20">
        <f>IFERROR(__xludf.DUMMYFUNCTION("""COMPUTED_VALUE"""),64358.0)</f>
        <v>64358</v>
      </c>
      <c r="Q1353" s="20">
        <f>IFERROR(__xludf.DUMMYFUNCTION("""COMPUTED_VALUE"""),128927.0)</f>
        <v>128927</v>
      </c>
    </row>
    <row r="1354">
      <c r="A1354" s="20">
        <f>IFERROR(__xludf.DUMMYFUNCTION("""COMPUTED_VALUE"""),1478.0)</f>
        <v>1478</v>
      </c>
      <c r="B1354" s="20" t="str">
        <f>IFERROR(__xludf.DUMMYFUNCTION("""COMPUTED_VALUE"""),"Maximum Number of Events That Can Be Attended")</f>
        <v>Maximum Number of Events That Can Be Attended</v>
      </c>
      <c r="C1354" s="20" t="str">
        <f>IFERROR(__xludf.DUMMYFUNCTION("""COMPUTED_VALUE"""),"maximum-number-of-events-that-can-be-attended")</f>
        <v>maximum-number-of-events-that-can-be-attended</v>
      </c>
      <c r="D1354" s="20" t="b">
        <f>IFERROR(__xludf.DUMMYFUNCTION("""COMPUTED_VALUE"""),FALSE)</f>
        <v>0</v>
      </c>
      <c r="E1354" s="20" t="str">
        <f>IFERROR(__xludf.DUMMYFUNCTION("""COMPUTED_VALUE"""),"Medium")</f>
        <v>Medium</v>
      </c>
      <c r="F1354" s="20">
        <f>IFERROR(__xludf.DUMMYFUNCTION("""COMPUTED_VALUE"""),2247.0)</f>
        <v>2247</v>
      </c>
      <c r="G1354" s="20">
        <f>IFERROR(__xludf.DUMMYFUNCTION("""COMPUTED_VALUE"""),302.0)</f>
        <v>302</v>
      </c>
      <c r="H1354" s="20" t="str">
        <f>IFERROR(__xludf.DUMMYFUNCTION("""COMPUTED_VALUE"""),"Algorithms")</f>
        <v>Algorithms</v>
      </c>
      <c r="I1354" s="20">
        <f>IFERROR(__xludf.DUMMYFUNCTION("""COMPUTED_VALUE"""),0.326)</f>
        <v>0.326</v>
      </c>
      <c r="J1354" s="20">
        <f>IFERROR(__xludf.DUMMYFUNCTION("""COMPUTED_VALUE"""),1353.0)</f>
        <v>1353</v>
      </c>
      <c r="K1354" s="20" t="b">
        <f>IFERROR(__xludf.DUMMYFUNCTION("""COMPUTED_VALUE"""),FALSE)</f>
        <v>0</v>
      </c>
      <c r="L1354" s="20" t="str">
        <f>IFERROR(__xludf.DUMMYFUNCTION("""COMPUTED_VALUE"""),"Array;Greedy;Sorting;Heap (Priority Queue);")</f>
        <v>Array;Greedy;Sorting;Heap (Priority Queue);</v>
      </c>
      <c r="M1354" s="20" t="b">
        <f>IFERROR(__xludf.DUMMYFUNCTION("""COMPUTED_VALUE"""),FALSE)</f>
        <v>0</v>
      </c>
      <c r="N1354" s="20" t="b">
        <f>IFERROR(__xludf.DUMMYFUNCTION("""COMPUTED_VALUE"""),FALSE)</f>
        <v>0</v>
      </c>
      <c r="O1354" s="20">
        <f>IFERROR(__xludf.DUMMYFUNCTION("""COMPUTED_VALUE"""),32.6282131348205)</f>
        <v>32.62821313</v>
      </c>
      <c r="P1354" s="20">
        <f>IFERROR(__xludf.DUMMYFUNCTION("""COMPUTED_VALUE"""),65305.0)</f>
        <v>65305</v>
      </c>
      <c r="Q1354" s="20">
        <f>IFERROR(__xludf.DUMMYFUNCTION("""COMPUTED_VALUE"""),200145.0)</f>
        <v>200145</v>
      </c>
    </row>
    <row r="1355">
      <c r="A1355" s="20">
        <f>IFERROR(__xludf.DUMMYFUNCTION("""COMPUTED_VALUE"""),1479.0)</f>
        <v>1479</v>
      </c>
      <c r="B1355" s="20" t="str">
        <f>IFERROR(__xludf.DUMMYFUNCTION("""COMPUTED_VALUE"""),"Construct Target Array With Multiple Sums")</f>
        <v>Construct Target Array With Multiple Sums</v>
      </c>
      <c r="C1355" s="20" t="str">
        <f>IFERROR(__xludf.DUMMYFUNCTION("""COMPUTED_VALUE"""),"construct-target-array-with-multiple-sums")</f>
        <v>construct-target-array-with-multiple-sums</v>
      </c>
      <c r="D1355" s="20" t="b">
        <f>IFERROR(__xludf.DUMMYFUNCTION("""COMPUTED_VALUE"""),FALSE)</f>
        <v>0</v>
      </c>
      <c r="E1355" s="20" t="str">
        <f>IFERROR(__xludf.DUMMYFUNCTION("""COMPUTED_VALUE"""),"Hard")</f>
        <v>Hard</v>
      </c>
      <c r="F1355" s="20">
        <f>IFERROR(__xludf.DUMMYFUNCTION("""COMPUTED_VALUE"""),1956.0)</f>
        <v>1956</v>
      </c>
      <c r="G1355" s="20">
        <f>IFERROR(__xludf.DUMMYFUNCTION("""COMPUTED_VALUE"""),156.0)</f>
        <v>156</v>
      </c>
      <c r="H1355" s="20" t="str">
        <f>IFERROR(__xludf.DUMMYFUNCTION("""COMPUTED_VALUE"""),"Algorithms")</f>
        <v>Algorithms</v>
      </c>
      <c r="I1355" s="20">
        <f>IFERROR(__xludf.DUMMYFUNCTION("""COMPUTED_VALUE"""),0.363)</f>
        <v>0.363</v>
      </c>
      <c r="J1355" s="20">
        <f>IFERROR(__xludf.DUMMYFUNCTION("""COMPUTED_VALUE"""),1354.0)</f>
        <v>1354</v>
      </c>
      <c r="K1355" s="20" t="b">
        <f>IFERROR(__xludf.DUMMYFUNCTION("""COMPUTED_VALUE"""),FALSE)</f>
        <v>0</v>
      </c>
      <c r="L1355" s="20" t="str">
        <f>IFERROR(__xludf.DUMMYFUNCTION("""COMPUTED_VALUE"""),"Array;Heap (Priority Queue);")</f>
        <v>Array;Heap (Priority Queue);</v>
      </c>
      <c r="M1355" s="20" t="b">
        <f>IFERROR(__xludf.DUMMYFUNCTION("""COMPUTED_VALUE"""),TRUE)</f>
        <v>1</v>
      </c>
      <c r="N1355" s="20" t="b">
        <f>IFERROR(__xludf.DUMMYFUNCTION("""COMPUTED_VALUE"""),FALSE)</f>
        <v>0</v>
      </c>
      <c r="O1355" s="20">
        <f>IFERROR(__xludf.DUMMYFUNCTION("""COMPUTED_VALUE"""),36.3201672703175)</f>
        <v>36.32016727</v>
      </c>
      <c r="P1355" s="20">
        <f>IFERROR(__xludf.DUMMYFUNCTION("""COMPUTED_VALUE"""),63577.0)</f>
        <v>63577</v>
      </c>
      <c r="Q1355" s="20">
        <f>IFERROR(__xludf.DUMMYFUNCTION("""COMPUTED_VALUE"""),175046.0)</f>
        <v>175046</v>
      </c>
    </row>
    <row r="1356">
      <c r="A1356" s="20">
        <f>IFERROR(__xludf.DUMMYFUNCTION("""COMPUTED_VALUE"""),1494.0)</f>
        <v>1494</v>
      </c>
      <c r="B1356" s="20" t="str">
        <f>IFERROR(__xludf.DUMMYFUNCTION("""COMPUTED_VALUE"""),"Activity Participants")</f>
        <v>Activity Participants</v>
      </c>
      <c r="C1356" s="20" t="str">
        <f>IFERROR(__xludf.DUMMYFUNCTION("""COMPUTED_VALUE"""),"activity-participants")</f>
        <v>activity-participants</v>
      </c>
      <c r="D1356" s="20" t="b">
        <f>IFERROR(__xludf.DUMMYFUNCTION("""COMPUTED_VALUE"""),TRUE)</f>
        <v>1</v>
      </c>
      <c r="E1356" s="20" t="str">
        <f>IFERROR(__xludf.DUMMYFUNCTION("""COMPUTED_VALUE"""),"Medium")</f>
        <v>Medium</v>
      </c>
      <c r="F1356" s="20">
        <f>IFERROR(__xludf.DUMMYFUNCTION("""COMPUTED_VALUE"""),115.0)</f>
        <v>115</v>
      </c>
      <c r="G1356" s="20">
        <f>IFERROR(__xludf.DUMMYFUNCTION("""COMPUTED_VALUE"""),47.0)</f>
        <v>47</v>
      </c>
      <c r="H1356" s="20" t="str">
        <f>IFERROR(__xludf.DUMMYFUNCTION("""COMPUTED_VALUE"""),"Database")</f>
        <v>Database</v>
      </c>
      <c r="I1356" s="20">
        <f>IFERROR(__xludf.DUMMYFUNCTION("""COMPUTED_VALUE"""),0.743)</f>
        <v>0.743</v>
      </c>
      <c r="J1356" s="20">
        <f>IFERROR(__xludf.DUMMYFUNCTION("""COMPUTED_VALUE"""),1355.0)</f>
        <v>1355</v>
      </c>
      <c r="K1356" s="20" t="b">
        <f>IFERROR(__xludf.DUMMYFUNCTION("""COMPUTED_VALUE"""),TRUE)</f>
        <v>1</v>
      </c>
      <c r="L1356" s="20" t="str">
        <f>IFERROR(__xludf.DUMMYFUNCTION("""COMPUTED_VALUE"""),"Database;")</f>
        <v>Database;</v>
      </c>
      <c r="M1356" s="20" t="b">
        <f>IFERROR(__xludf.DUMMYFUNCTION("""COMPUTED_VALUE"""),FALSE)</f>
        <v>0</v>
      </c>
      <c r="N1356" s="20" t="b">
        <f>IFERROR(__xludf.DUMMYFUNCTION("""COMPUTED_VALUE"""),FALSE)</f>
        <v>0</v>
      </c>
      <c r="O1356" s="20">
        <f>IFERROR(__xludf.DUMMYFUNCTION("""COMPUTED_VALUE"""),74.3449041247919)</f>
        <v>74.34490412</v>
      </c>
      <c r="P1356" s="20">
        <f>IFERROR(__xludf.DUMMYFUNCTION("""COMPUTED_VALUE"""),24116.0)</f>
        <v>24116</v>
      </c>
      <c r="Q1356" s="20">
        <f>IFERROR(__xludf.DUMMYFUNCTION("""COMPUTED_VALUE"""),32438.0)</f>
        <v>32438</v>
      </c>
    </row>
    <row r="1357">
      <c r="A1357" s="20">
        <f>IFERROR(__xludf.DUMMYFUNCTION("""COMPUTED_VALUE"""),1458.0)</f>
        <v>1458</v>
      </c>
      <c r="B1357" s="20" t="str">
        <f>IFERROR(__xludf.DUMMYFUNCTION("""COMPUTED_VALUE"""),"Sort Integers by The Number of 1 Bits")</f>
        <v>Sort Integers by The Number of 1 Bits</v>
      </c>
      <c r="C1357" s="20" t="str">
        <f>IFERROR(__xludf.DUMMYFUNCTION("""COMPUTED_VALUE"""),"sort-integers-by-the-number-of-1-bits")</f>
        <v>sort-integers-by-the-number-of-1-bits</v>
      </c>
      <c r="D1357" s="20" t="b">
        <f>IFERROR(__xludf.DUMMYFUNCTION("""COMPUTED_VALUE"""),FALSE)</f>
        <v>0</v>
      </c>
      <c r="E1357" s="20" t="str">
        <f>IFERROR(__xludf.DUMMYFUNCTION("""COMPUTED_VALUE"""),"Easy")</f>
        <v>Easy</v>
      </c>
      <c r="F1357" s="20">
        <f>IFERROR(__xludf.DUMMYFUNCTION("""COMPUTED_VALUE"""),1429.0)</f>
        <v>1429</v>
      </c>
      <c r="G1357" s="20">
        <f>IFERROR(__xludf.DUMMYFUNCTION("""COMPUTED_VALUE"""),63.0)</f>
        <v>63</v>
      </c>
      <c r="H1357" s="20" t="str">
        <f>IFERROR(__xludf.DUMMYFUNCTION("""COMPUTED_VALUE"""),"Algorithms")</f>
        <v>Algorithms</v>
      </c>
      <c r="I1357" s="20">
        <f>IFERROR(__xludf.DUMMYFUNCTION("""COMPUTED_VALUE"""),0.723)</f>
        <v>0.723</v>
      </c>
      <c r="J1357" s="20">
        <f>IFERROR(__xludf.DUMMYFUNCTION("""COMPUTED_VALUE"""),1356.0)</f>
        <v>1356</v>
      </c>
      <c r="K1357" s="20" t="b">
        <f>IFERROR(__xludf.DUMMYFUNCTION("""COMPUTED_VALUE"""),FALSE)</f>
        <v>0</v>
      </c>
      <c r="L1357" s="20" t="str">
        <f>IFERROR(__xludf.DUMMYFUNCTION("""COMPUTED_VALUE"""),"Array;Bit Manipulation;Sorting;Counting;")</f>
        <v>Array;Bit Manipulation;Sorting;Counting;</v>
      </c>
      <c r="M1357" s="20" t="b">
        <f>IFERROR(__xludf.DUMMYFUNCTION("""COMPUTED_VALUE"""),FALSE)</f>
        <v>0</v>
      </c>
      <c r="N1357" s="20" t="b">
        <f>IFERROR(__xludf.DUMMYFUNCTION("""COMPUTED_VALUE"""),FALSE)</f>
        <v>0</v>
      </c>
      <c r="O1357" s="20">
        <f>IFERROR(__xludf.DUMMYFUNCTION("""COMPUTED_VALUE"""),72.2610272262513)</f>
        <v>72.26102723</v>
      </c>
      <c r="P1357" s="20">
        <f>IFERROR(__xludf.DUMMYFUNCTION("""COMPUTED_VALUE"""),97246.0)</f>
        <v>97246</v>
      </c>
      <c r="Q1357" s="20">
        <f>IFERROR(__xludf.DUMMYFUNCTION("""COMPUTED_VALUE"""),134576.0)</f>
        <v>134576</v>
      </c>
    </row>
    <row r="1358">
      <c r="A1358" s="20">
        <f>IFERROR(__xludf.DUMMYFUNCTION("""COMPUTED_VALUE"""),1459.0)</f>
        <v>1459</v>
      </c>
      <c r="B1358" s="20" t="str">
        <f>IFERROR(__xludf.DUMMYFUNCTION("""COMPUTED_VALUE"""),"Apply Discount Every n Orders")</f>
        <v>Apply Discount Every n Orders</v>
      </c>
      <c r="C1358" s="20" t="str">
        <f>IFERROR(__xludf.DUMMYFUNCTION("""COMPUTED_VALUE"""),"apply-discount-every-n-orders")</f>
        <v>apply-discount-every-n-orders</v>
      </c>
      <c r="D1358" s="20" t="b">
        <f>IFERROR(__xludf.DUMMYFUNCTION("""COMPUTED_VALUE"""),FALSE)</f>
        <v>0</v>
      </c>
      <c r="E1358" s="20" t="str">
        <f>IFERROR(__xludf.DUMMYFUNCTION("""COMPUTED_VALUE"""),"Medium")</f>
        <v>Medium</v>
      </c>
      <c r="F1358" s="20">
        <f>IFERROR(__xludf.DUMMYFUNCTION("""COMPUTED_VALUE"""),139.0)</f>
        <v>139</v>
      </c>
      <c r="G1358" s="20">
        <f>IFERROR(__xludf.DUMMYFUNCTION("""COMPUTED_VALUE"""),188.0)</f>
        <v>188</v>
      </c>
      <c r="H1358" s="20" t="str">
        <f>IFERROR(__xludf.DUMMYFUNCTION("""COMPUTED_VALUE"""),"Algorithms")</f>
        <v>Algorithms</v>
      </c>
      <c r="I1358" s="20">
        <f>IFERROR(__xludf.DUMMYFUNCTION("""COMPUTED_VALUE"""),0.7)</f>
        <v>0.7</v>
      </c>
      <c r="J1358" s="20">
        <f>IFERROR(__xludf.DUMMYFUNCTION("""COMPUTED_VALUE"""),1357.0)</f>
        <v>1357</v>
      </c>
      <c r="K1358" s="20" t="b">
        <f>IFERROR(__xludf.DUMMYFUNCTION("""COMPUTED_VALUE"""),FALSE)</f>
        <v>0</v>
      </c>
      <c r="L1358" s="20" t="str">
        <f>IFERROR(__xludf.DUMMYFUNCTION("""COMPUTED_VALUE"""),"Array;Hash Table;Design;")</f>
        <v>Array;Hash Table;Design;</v>
      </c>
      <c r="M1358" s="20" t="b">
        <f>IFERROR(__xludf.DUMMYFUNCTION("""COMPUTED_VALUE"""),FALSE)</f>
        <v>0</v>
      </c>
      <c r="N1358" s="20" t="b">
        <f>IFERROR(__xludf.DUMMYFUNCTION("""COMPUTED_VALUE"""),FALSE)</f>
        <v>0</v>
      </c>
      <c r="O1358" s="20">
        <f>IFERROR(__xludf.DUMMYFUNCTION("""COMPUTED_VALUE"""),69.9740623327432)</f>
        <v>69.97406233</v>
      </c>
      <c r="P1358" s="20">
        <f>IFERROR(__xludf.DUMMYFUNCTION("""COMPUTED_VALUE"""),16996.0)</f>
        <v>16996</v>
      </c>
      <c r="Q1358" s="20">
        <f>IFERROR(__xludf.DUMMYFUNCTION("""COMPUTED_VALUE"""),24289.0)</f>
        <v>24289</v>
      </c>
    </row>
    <row r="1359">
      <c r="A1359" s="20">
        <f>IFERROR(__xludf.DUMMYFUNCTION("""COMPUTED_VALUE"""),1460.0)</f>
        <v>1460</v>
      </c>
      <c r="B1359" s="20" t="str">
        <f>IFERROR(__xludf.DUMMYFUNCTION("""COMPUTED_VALUE"""),"Number of Substrings Containing All Three Characters")</f>
        <v>Number of Substrings Containing All Three Characters</v>
      </c>
      <c r="C1359" s="20" t="str">
        <f>IFERROR(__xludf.DUMMYFUNCTION("""COMPUTED_VALUE"""),"number-of-substrings-containing-all-three-characters")</f>
        <v>number-of-substrings-containing-all-three-characters</v>
      </c>
      <c r="D1359" s="20" t="b">
        <f>IFERROR(__xludf.DUMMYFUNCTION("""COMPUTED_VALUE"""),FALSE)</f>
        <v>0</v>
      </c>
      <c r="E1359" s="20" t="str">
        <f>IFERROR(__xludf.DUMMYFUNCTION("""COMPUTED_VALUE"""),"Medium")</f>
        <v>Medium</v>
      </c>
      <c r="F1359" s="20">
        <f>IFERROR(__xludf.DUMMYFUNCTION("""COMPUTED_VALUE"""),1990.0)</f>
        <v>1990</v>
      </c>
      <c r="G1359" s="20">
        <f>IFERROR(__xludf.DUMMYFUNCTION("""COMPUTED_VALUE"""),34.0)</f>
        <v>34</v>
      </c>
      <c r="H1359" s="20" t="str">
        <f>IFERROR(__xludf.DUMMYFUNCTION("""COMPUTED_VALUE"""),"Algorithms")</f>
        <v>Algorithms</v>
      </c>
      <c r="I1359" s="20">
        <f>IFERROR(__xludf.DUMMYFUNCTION("""COMPUTED_VALUE"""),0.632)</f>
        <v>0.632</v>
      </c>
      <c r="J1359" s="20">
        <f>IFERROR(__xludf.DUMMYFUNCTION("""COMPUTED_VALUE"""),1358.0)</f>
        <v>1358</v>
      </c>
      <c r="K1359" s="20" t="b">
        <f>IFERROR(__xludf.DUMMYFUNCTION("""COMPUTED_VALUE"""),FALSE)</f>
        <v>0</v>
      </c>
      <c r="L1359" s="20" t="str">
        <f>IFERROR(__xludf.DUMMYFUNCTION("""COMPUTED_VALUE"""),"Hash Table;String;Sliding Window;")</f>
        <v>Hash Table;String;Sliding Window;</v>
      </c>
      <c r="M1359" s="20" t="b">
        <f>IFERROR(__xludf.DUMMYFUNCTION("""COMPUTED_VALUE"""),FALSE)</f>
        <v>0</v>
      </c>
      <c r="N1359" s="20" t="b">
        <f>IFERROR(__xludf.DUMMYFUNCTION("""COMPUTED_VALUE"""),FALSE)</f>
        <v>0</v>
      </c>
      <c r="O1359" s="20">
        <f>IFERROR(__xludf.DUMMYFUNCTION("""COMPUTED_VALUE"""),63.1531104766538)</f>
        <v>63.15311048</v>
      </c>
      <c r="P1359" s="20">
        <f>IFERROR(__xludf.DUMMYFUNCTION("""COMPUTED_VALUE"""),49322.0)</f>
        <v>49322</v>
      </c>
      <c r="Q1359" s="20">
        <f>IFERROR(__xludf.DUMMYFUNCTION("""COMPUTED_VALUE"""),78099.0)</f>
        <v>78099</v>
      </c>
    </row>
    <row r="1360">
      <c r="A1360" s="20">
        <f>IFERROR(__xludf.DUMMYFUNCTION("""COMPUTED_VALUE"""),1461.0)</f>
        <v>1461</v>
      </c>
      <c r="B1360" s="20" t="str">
        <f>IFERROR(__xludf.DUMMYFUNCTION("""COMPUTED_VALUE"""),"Count All Valid Pickup and Delivery Options")</f>
        <v>Count All Valid Pickup and Delivery Options</v>
      </c>
      <c r="C1360" s="20" t="str">
        <f>IFERROR(__xludf.DUMMYFUNCTION("""COMPUTED_VALUE"""),"count-all-valid-pickup-and-delivery-options")</f>
        <v>count-all-valid-pickup-and-delivery-options</v>
      </c>
      <c r="D1360" s="20" t="b">
        <f>IFERROR(__xludf.DUMMYFUNCTION("""COMPUTED_VALUE"""),FALSE)</f>
        <v>0</v>
      </c>
      <c r="E1360" s="20" t="str">
        <f>IFERROR(__xludf.DUMMYFUNCTION("""COMPUTED_VALUE"""),"Hard")</f>
        <v>Hard</v>
      </c>
      <c r="F1360" s="20">
        <f>IFERROR(__xludf.DUMMYFUNCTION("""COMPUTED_VALUE"""),1682.0)</f>
        <v>1682</v>
      </c>
      <c r="G1360" s="20">
        <f>IFERROR(__xludf.DUMMYFUNCTION("""COMPUTED_VALUE"""),150.0)</f>
        <v>150</v>
      </c>
      <c r="H1360" s="20" t="str">
        <f>IFERROR(__xludf.DUMMYFUNCTION("""COMPUTED_VALUE"""),"Algorithms")</f>
        <v>Algorithms</v>
      </c>
      <c r="I1360" s="20">
        <f>IFERROR(__xludf.DUMMYFUNCTION("""COMPUTED_VALUE"""),0.629)</f>
        <v>0.629</v>
      </c>
      <c r="J1360" s="20">
        <f>IFERROR(__xludf.DUMMYFUNCTION("""COMPUTED_VALUE"""),1359.0)</f>
        <v>1359</v>
      </c>
      <c r="K1360" s="20" t="b">
        <f>IFERROR(__xludf.DUMMYFUNCTION("""COMPUTED_VALUE"""),FALSE)</f>
        <v>0</v>
      </c>
      <c r="L1360" s="20" t="str">
        <f>IFERROR(__xludf.DUMMYFUNCTION("""COMPUTED_VALUE"""),"Math;Dynamic Programming;Combinatorics;")</f>
        <v>Math;Dynamic Programming;Combinatorics;</v>
      </c>
      <c r="M1360" s="20" t="b">
        <f>IFERROR(__xludf.DUMMYFUNCTION("""COMPUTED_VALUE"""),TRUE)</f>
        <v>1</v>
      </c>
      <c r="N1360" s="20" t="b">
        <f>IFERROR(__xludf.DUMMYFUNCTION("""COMPUTED_VALUE"""),FALSE)</f>
        <v>0</v>
      </c>
      <c r="O1360" s="20">
        <f>IFERROR(__xludf.DUMMYFUNCTION("""COMPUTED_VALUE"""),62.8712544550534)</f>
        <v>62.87125446</v>
      </c>
      <c r="P1360" s="20">
        <f>IFERROR(__xludf.DUMMYFUNCTION("""COMPUTED_VALUE"""),57155.0)</f>
        <v>57155</v>
      </c>
      <c r="Q1360" s="20">
        <f>IFERROR(__xludf.DUMMYFUNCTION("""COMPUTED_VALUE"""),90908.0)</f>
        <v>90908</v>
      </c>
    </row>
    <row r="1361">
      <c r="A1361" s="20">
        <f>IFERROR(__xludf.DUMMYFUNCTION("""COMPUTED_VALUE"""),1274.0)</f>
        <v>1274</v>
      </c>
      <c r="B1361" s="20" t="str">
        <f>IFERROR(__xludf.DUMMYFUNCTION("""COMPUTED_VALUE"""),"Number of Days Between Two Dates")</f>
        <v>Number of Days Between Two Dates</v>
      </c>
      <c r="C1361" s="20" t="str">
        <f>IFERROR(__xludf.DUMMYFUNCTION("""COMPUTED_VALUE"""),"number-of-days-between-two-dates")</f>
        <v>number-of-days-between-two-dates</v>
      </c>
      <c r="D1361" s="20" t="b">
        <f>IFERROR(__xludf.DUMMYFUNCTION("""COMPUTED_VALUE"""),FALSE)</f>
        <v>0</v>
      </c>
      <c r="E1361" s="20" t="str">
        <f>IFERROR(__xludf.DUMMYFUNCTION("""COMPUTED_VALUE"""),"Easy")</f>
        <v>Easy</v>
      </c>
      <c r="F1361" s="20">
        <f>IFERROR(__xludf.DUMMYFUNCTION("""COMPUTED_VALUE"""),258.0)</f>
        <v>258</v>
      </c>
      <c r="G1361" s="20">
        <f>IFERROR(__xludf.DUMMYFUNCTION("""COMPUTED_VALUE"""),1016.0)</f>
        <v>1016</v>
      </c>
      <c r="H1361" s="20" t="str">
        <f>IFERROR(__xludf.DUMMYFUNCTION("""COMPUTED_VALUE"""),"Algorithms")</f>
        <v>Algorithms</v>
      </c>
      <c r="I1361" s="20">
        <f>IFERROR(__xludf.DUMMYFUNCTION("""COMPUTED_VALUE"""),0.477)</f>
        <v>0.477</v>
      </c>
      <c r="J1361" s="20">
        <f>IFERROR(__xludf.DUMMYFUNCTION("""COMPUTED_VALUE"""),1360.0)</f>
        <v>1360</v>
      </c>
      <c r="K1361" s="20" t="b">
        <f>IFERROR(__xludf.DUMMYFUNCTION("""COMPUTED_VALUE"""),FALSE)</f>
        <v>0</v>
      </c>
      <c r="L1361" s="20" t="str">
        <f>IFERROR(__xludf.DUMMYFUNCTION("""COMPUTED_VALUE"""),"Math;String;")</f>
        <v>Math;String;</v>
      </c>
      <c r="M1361" s="20" t="b">
        <f>IFERROR(__xludf.DUMMYFUNCTION("""COMPUTED_VALUE"""),FALSE)</f>
        <v>0</v>
      </c>
      <c r="N1361" s="20" t="b">
        <f>IFERROR(__xludf.DUMMYFUNCTION("""COMPUTED_VALUE"""),FALSE)</f>
        <v>0</v>
      </c>
      <c r="O1361" s="20">
        <f>IFERROR(__xludf.DUMMYFUNCTION("""COMPUTED_VALUE"""),47.7327795084804)</f>
        <v>47.73277951</v>
      </c>
      <c r="P1361" s="20">
        <f>IFERROR(__xludf.DUMMYFUNCTION("""COMPUTED_VALUE"""),37233.0)</f>
        <v>37233</v>
      </c>
      <c r="Q1361" s="20">
        <f>IFERROR(__xludf.DUMMYFUNCTION("""COMPUTED_VALUE"""),78003.0)</f>
        <v>78003</v>
      </c>
    </row>
    <row r="1362">
      <c r="A1362" s="20">
        <f>IFERROR(__xludf.DUMMYFUNCTION("""COMPUTED_VALUE"""),1275.0)</f>
        <v>1275</v>
      </c>
      <c r="B1362" s="20" t="str">
        <f>IFERROR(__xludf.DUMMYFUNCTION("""COMPUTED_VALUE"""),"Validate Binary Tree Nodes")</f>
        <v>Validate Binary Tree Nodes</v>
      </c>
      <c r="C1362" s="20" t="str">
        <f>IFERROR(__xludf.DUMMYFUNCTION("""COMPUTED_VALUE"""),"validate-binary-tree-nodes")</f>
        <v>validate-binary-tree-nodes</v>
      </c>
      <c r="D1362" s="20" t="b">
        <f>IFERROR(__xludf.DUMMYFUNCTION("""COMPUTED_VALUE"""),FALSE)</f>
        <v>0</v>
      </c>
      <c r="E1362" s="20" t="str">
        <f>IFERROR(__xludf.DUMMYFUNCTION("""COMPUTED_VALUE"""),"Medium")</f>
        <v>Medium</v>
      </c>
      <c r="F1362" s="20">
        <f>IFERROR(__xludf.DUMMYFUNCTION("""COMPUTED_VALUE"""),1014.0)</f>
        <v>1014</v>
      </c>
      <c r="G1362" s="20">
        <f>IFERROR(__xludf.DUMMYFUNCTION("""COMPUTED_VALUE"""),296.0)</f>
        <v>296</v>
      </c>
      <c r="H1362" s="20" t="str">
        <f>IFERROR(__xludf.DUMMYFUNCTION("""COMPUTED_VALUE"""),"Algorithms")</f>
        <v>Algorithms</v>
      </c>
      <c r="I1362" s="20">
        <f>IFERROR(__xludf.DUMMYFUNCTION("""COMPUTED_VALUE"""),0.401)</f>
        <v>0.401</v>
      </c>
      <c r="J1362" s="20">
        <f>IFERROR(__xludf.DUMMYFUNCTION("""COMPUTED_VALUE"""),1361.0)</f>
        <v>1361</v>
      </c>
      <c r="K1362" s="20" t="b">
        <f>IFERROR(__xludf.DUMMYFUNCTION("""COMPUTED_VALUE"""),FALSE)</f>
        <v>0</v>
      </c>
      <c r="L1362" s="20" t="str">
        <f>IFERROR(__xludf.DUMMYFUNCTION("""COMPUTED_VALUE"""),"Tree;Depth-First Search;Breadth-First Search;Union Find;Graph;Binary Tree;")</f>
        <v>Tree;Depth-First Search;Breadth-First Search;Union Find;Graph;Binary Tree;</v>
      </c>
      <c r="M1362" s="20" t="b">
        <f>IFERROR(__xludf.DUMMYFUNCTION("""COMPUTED_VALUE"""),FALSE)</f>
        <v>0</v>
      </c>
      <c r="N1362" s="20" t="b">
        <f>IFERROR(__xludf.DUMMYFUNCTION("""COMPUTED_VALUE"""),FALSE)</f>
        <v>0</v>
      </c>
      <c r="O1362" s="20">
        <f>IFERROR(__xludf.DUMMYFUNCTION("""COMPUTED_VALUE"""),40.0987687991895)</f>
        <v>40.0987688</v>
      </c>
      <c r="P1362" s="20">
        <f>IFERROR(__xludf.DUMMYFUNCTION("""COMPUTED_VALUE"""),41167.0)</f>
        <v>41167</v>
      </c>
      <c r="Q1362" s="20">
        <f>IFERROR(__xludf.DUMMYFUNCTION("""COMPUTED_VALUE"""),102664.0)</f>
        <v>102664</v>
      </c>
    </row>
    <row r="1363">
      <c r="A1363" s="20">
        <f>IFERROR(__xludf.DUMMYFUNCTION("""COMPUTED_VALUE"""),1276.0)</f>
        <v>1276</v>
      </c>
      <c r="B1363" s="20" t="str">
        <f>IFERROR(__xludf.DUMMYFUNCTION("""COMPUTED_VALUE"""),"Closest Divisors")</f>
        <v>Closest Divisors</v>
      </c>
      <c r="C1363" s="20" t="str">
        <f>IFERROR(__xludf.DUMMYFUNCTION("""COMPUTED_VALUE"""),"closest-divisors")</f>
        <v>closest-divisors</v>
      </c>
      <c r="D1363" s="20" t="b">
        <f>IFERROR(__xludf.DUMMYFUNCTION("""COMPUTED_VALUE"""),FALSE)</f>
        <v>0</v>
      </c>
      <c r="E1363" s="20" t="str">
        <f>IFERROR(__xludf.DUMMYFUNCTION("""COMPUTED_VALUE"""),"Medium")</f>
        <v>Medium</v>
      </c>
      <c r="F1363" s="20">
        <f>IFERROR(__xludf.DUMMYFUNCTION("""COMPUTED_VALUE"""),236.0)</f>
        <v>236</v>
      </c>
      <c r="G1363" s="20">
        <f>IFERROR(__xludf.DUMMYFUNCTION("""COMPUTED_VALUE"""),91.0)</f>
        <v>91</v>
      </c>
      <c r="H1363" s="20" t="str">
        <f>IFERROR(__xludf.DUMMYFUNCTION("""COMPUTED_VALUE"""),"Algorithms")</f>
        <v>Algorithms</v>
      </c>
      <c r="I1363" s="20">
        <f>IFERROR(__xludf.DUMMYFUNCTION("""COMPUTED_VALUE"""),0.599)</f>
        <v>0.599</v>
      </c>
      <c r="J1363" s="20">
        <f>IFERROR(__xludf.DUMMYFUNCTION("""COMPUTED_VALUE"""),1362.0)</f>
        <v>1362</v>
      </c>
      <c r="K1363" s="20" t="b">
        <f>IFERROR(__xludf.DUMMYFUNCTION("""COMPUTED_VALUE"""),FALSE)</f>
        <v>0</v>
      </c>
      <c r="L1363" s="20" t="str">
        <f>IFERROR(__xludf.DUMMYFUNCTION("""COMPUTED_VALUE"""),"Math;")</f>
        <v>Math;</v>
      </c>
      <c r="M1363" s="20" t="b">
        <f>IFERROR(__xludf.DUMMYFUNCTION("""COMPUTED_VALUE"""),FALSE)</f>
        <v>0</v>
      </c>
      <c r="N1363" s="20" t="b">
        <f>IFERROR(__xludf.DUMMYFUNCTION("""COMPUTED_VALUE"""),FALSE)</f>
        <v>0</v>
      </c>
      <c r="O1363" s="20">
        <f>IFERROR(__xludf.DUMMYFUNCTION("""COMPUTED_VALUE"""),59.9477229315371)</f>
        <v>59.94772293</v>
      </c>
      <c r="P1363" s="20">
        <f>IFERROR(__xludf.DUMMYFUNCTION("""COMPUTED_VALUE"""),17889.0)</f>
        <v>17889</v>
      </c>
      <c r="Q1363" s="20">
        <f>IFERROR(__xludf.DUMMYFUNCTION("""COMPUTED_VALUE"""),29841.0)</f>
        <v>29841</v>
      </c>
    </row>
    <row r="1364">
      <c r="A1364" s="20">
        <f>IFERROR(__xludf.DUMMYFUNCTION("""COMPUTED_VALUE"""),1277.0)</f>
        <v>1277</v>
      </c>
      <c r="B1364" s="20" t="str">
        <f>IFERROR(__xludf.DUMMYFUNCTION("""COMPUTED_VALUE"""),"Largest Multiple of Three")</f>
        <v>Largest Multiple of Three</v>
      </c>
      <c r="C1364" s="20" t="str">
        <f>IFERROR(__xludf.DUMMYFUNCTION("""COMPUTED_VALUE"""),"largest-multiple-of-three")</f>
        <v>largest-multiple-of-three</v>
      </c>
      <c r="D1364" s="20" t="b">
        <f>IFERROR(__xludf.DUMMYFUNCTION("""COMPUTED_VALUE"""),FALSE)</f>
        <v>0</v>
      </c>
      <c r="E1364" s="20" t="str">
        <f>IFERROR(__xludf.DUMMYFUNCTION("""COMPUTED_VALUE"""),"Hard")</f>
        <v>Hard</v>
      </c>
      <c r="F1364" s="20">
        <f>IFERROR(__xludf.DUMMYFUNCTION("""COMPUTED_VALUE"""),500.0)</f>
        <v>500</v>
      </c>
      <c r="G1364" s="20">
        <f>IFERROR(__xludf.DUMMYFUNCTION("""COMPUTED_VALUE"""),67.0)</f>
        <v>67</v>
      </c>
      <c r="H1364" s="20" t="str">
        <f>IFERROR(__xludf.DUMMYFUNCTION("""COMPUTED_VALUE"""),"Algorithms")</f>
        <v>Algorithms</v>
      </c>
      <c r="I1364" s="20">
        <f>IFERROR(__xludf.DUMMYFUNCTION("""COMPUTED_VALUE"""),0.333)</f>
        <v>0.333</v>
      </c>
      <c r="J1364" s="20">
        <f>IFERROR(__xludf.DUMMYFUNCTION("""COMPUTED_VALUE"""),1363.0)</f>
        <v>1363</v>
      </c>
      <c r="K1364" s="20" t="b">
        <f>IFERROR(__xludf.DUMMYFUNCTION("""COMPUTED_VALUE"""),FALSE)</f>
        <v>0</v>
      </c>
      <c r="L1364" s="20" t="str">
        <f>IFERROR(__xludf.DUMMYFUNCTION("""COMPUTED_VALUE"""),"Array;Dynamic Programming;Greedy;")</f>
        <v>Array;Dynamic Programming;Greedy;</v>
      </c>
      <c r="M1364" s="20" t="b">
        <f>IFERROR(__xludf.DUMMYFUNCTION("""COMPUTED_VALUE"""),FALSE)</f>
        <v>0</v>
      </c>
      <c r="N1364" s="20" t="b">
        <f>IFERROR(__xludf.DUMMYFUNCTION("""COMPUTED_VALUE"""),FALSE)</f>
        <v>0</v>
      </c>
      <c r="O1364" s="20">
        <f>IFERROR(__xludf.DUMMYFUNCTION("""COMPUTED_VALUE"""),33.2847464586327)</f>
        <v>33.28474646</v>
      </c>
      <c r="P1364" s="20">
        <f>IFERROR(__xludf.DUMMYFUNCTION("""COMPUTED_VALUE"""),16213.0)</f>
        <v>16213</v>
      </c>
      <c r="Q1364" s="20">
        <f>IFERROR(__xludf.DUMMYFUNCTION("""COMPUTED_VALUE"""),48710.0)</f>
        <v>48710</v>
      </c>
    </row>
    <row r="1365">
      <c r="A1365" s="20">
        <f>IFERROR(__xludf.DUMMYFUNCTION("""COMPUTED_VALUE"""),1495.0)</f>
        <v>1495</v>
      </c>
      <c r="B1365" s="20" t="str">
        <f>IFERROR(__xludf.DUMMYFUNCTION("""COMPUTED_VALUE"""),"Number of Trusted Contacts of a Customer")</f>
        <v>Number of Trusted Contacts of a Customer</v>
      </c>
      <c r="C1365" s="20" t="str">
        <f>IFERROR(__xludf.DUMMYFUNCTION("""COMPUTED_VALUE"""),"number-of-trusted-contacts-of-a-customer")</f>
        <v>number-of-trusted-contacts-of-a-customer</v>
      </c>
      <c r="D1365" s="20" t="b">
        <f>IFERROR(__xludf.DUMMYFUNCTION("""COMPUTED_VALUE"""),TRUE)</f>
        <v>1</v>
      </c>
      <c r="E1365" s="20" t="str">
        <f>IFERROR(__xludf.DUMMYFUNCTION("""COMPUTED_VALUE"""),"Medium")</f>
        <v>Medium</v>
      </c>
      <c r="F1365" s="20">
        <f>IFERROR(__xludf.DUMMYFUNCTION("""COMPUTED_VALUE"""),69.0)</f>
        <v>69</v>
      </c>
      <c r="G1365" s="20">
        <f>IFERROR(__xludf.DUMMYFUNCTION("""COMPUTED_VALUE"""),323.0)</f>
        <v>323</v>
      </c>
      <c r="H1365" s="20" t="str">
        <f>IFERROR(__xludf.DUMMYFUNCTION("""COMPUTED_VALUE"""),"Database")</f>
        <v>Database</v>
      </c>
      <c r="I1365" s="20">
        <f>IFERROR(__xludf.DUMMYFUNCTION("""COMPUTED_VALUE"""),0.788)</f>
        <v>0.788</v>
      </c>
      <c r="J1365" s="20">
        <f>IFERROR(__xludf.DUMMYFUNCTION("""COMPUTED_VALUE"""),1364.0)</f>
        <v>1364</v>
      </c>
      <c r="K1365" s="20" t="b">
        <f>IFERROR(__xludf.DUMMYFUNCTION("""COMPUTED_VALUE"""),TRUE)</f>
        <v>1</v>
      </c>
      <c r="L1365" s="20" t="str">
        <f>IFERROR(__xludf.DUMMYFUNCTION("""COMPUTED_VALUE"""),"Database;")</f>
        <v>Database;</v>
      </c>
      <c r="M1365" s="20" t="b">
        <f>IFERROR(__xludf.DUMMYFUNCTION("""COMPUTED_VALUE"""),FALSE)</f>
        <v>0</v>
      </c>
      <c r="N1365" s="20" t="b">
        <f>IFERROR(__xludf.DUMMYFUNCTION("""COMPUTED_VALUE"""),FALSE)</f>
        <v>0</v>
      </c>
      <c r="O1365" s="20">
        <f>IFERROR(__xludf.DUMMYFUNCTION("""COMPUTED_VALUE"""),78.7561146051712)</f>
        <v>78.75611461</v>
      </c>
      <c r="P1365" s="20">
        <f>IFERROR(__xludf.DUMMYFUNCTION("""COMPUTED_VALUE"""),15778.0)</f>
        <v>15778</v>
      </c>
      <c r="Q1365" s="20">
        <f>IFERROR(__xludf.DUMMYFUNCTION("""COMPUTED_VALUE"""),20034.0)</f>
        <v>20034</v>
      </c>
    </row>
    <row r="1366">
      <c r="A1366" s="20">
        <f>IFERROR(__xludf.DUMMYFUNCTION("""COMPUTED_VALUE"""),1482.0)</f>
        <v>1482</v>
      </c>
      <c r="B1366" s="20" t="str">
        <f>IFERROR(__xludf.DUMMYFUNCTION("""COMPUTED_VALUE"""),"How Many Numbers Are Smaller Than the Current Number")</f>
        <v>How Many Numbers Are Smaller Than the Current Number</v>
      </c>
      <c r="C1366" s="20" t="str">
        <f>IFERROR(__xludf.DUMMYFUNCTION("""COMPUTED_VALUE"""),"how-many-numbers-are-smaller-than-the-current-number")</f>
        <v>how-many-numbers-are-smaller-than-the-current-number</v>
      </c>
      <c r="D1366" s="20" t="b">
        <f>IFERROR(__xludf.DUMMYFUNCTION("""COMPUTED_VALUE"""),FALSE)</f>
        <v>0</v>
      </c>
      <c r="E1366" s="20" t="str">
        <f>IFERROR(__xludf.DUMMYFUNCTION("""COMPUTED_VALUE"""),"Easy")</f>
        <v>Easy</v>
      </c>
      <c r="F1366" s="20">
        <f>IFERROR(__xludf.DUMMYFUNCTION("""COMPUTED_VALUE"""),4235.0)</f>
        <v>4235</v>
      </c>
      <c r="G1366" s="20">
        <f>IFERROR(__xludf.DUMMYFUNCTION("""COMPUTED_VALUE"""),86.0)</f>
        <v>86</v>
      </c>
      <c r="H1366" s="20" t="str">
        <f>IFERROR(__xludf.DUMMYFUNCTION("""COMPUTED_VALUE"""),"Algorithms")</f>
        <v>Algorithms</v>
      </c>
      <c r="I1366" s="20">
        <f>IFERROR(__xludf.DUMMYFUNCTION("""COMPUTED_VALUE"""),0.867)</f>
        <v>0.867</v>
      </c>
      <c r="J1366" s="20">
        <f>IFERROR(__xludf.DUMMYFUNCTION("""COMPUTED_VALUE"""),1365.0)</f>
        <v>1365</v>
      </c>
      <c r="K1366" s="20" t="b">
        <f>IFERROR(__xludf.DUMMYFUNCTION("""COMPUTED_VALUE"""),FALSE)</f>
        <v>0</v>
      </c>
      <c r="L1366" s="20" t="str">
        <f>IFERROR(__xludf.DUMMYFUNCTION("""COMPUTED_VALUE"""),"Array;Hash Table;Sorting;Counting;")</f>
        <v>Array;Hash Table;Sorting;Counting;</v>
      </c>
      <c r="M1366" s="20" t="b">
        <f>IFERROR(__xludf.DUMMYFUNCTION("""COMPUTED_VALUE"""),FALSE)</f>
        <v>0</v>
      </c>
      <c r="N1366" s="20" t="b">
        <f>IFERROR(__xludf.DUMMYFUNCTION("""COMPUTED_VALUE"""),FALSE)</f>
        <v>0</v>
      </c>
      <c r="O1366" s="20">
        <f>IFERROR(__xludf.DUMMYFUNCTION("""COMPUTED_VALUE"""),86.6794985358792)</f>
        <v>86.67949854</v>
      </c>
      <c r="P1366" s="20">
        <f>IFERROR(__xludf.DUMMYFUNCTION("""COMPUTED_VALUE"""),390432.0)</f>
        <v>390432</v>
      </c>
      <c r="Q1366" s="20">
        <f>IFERROR(__xludf.DUMMYFUNCTION("""COMPUTED_VALUE"""),450433.0)</f>
        <v>450433</v>
      </c>
    </row>
    <row r="1367">
      <c r="A1367" s="20">
        <f>IFERROR(__xludf.DUMMYFUNCTION("""COMPUTED_VALUE"""),1483.0)</f>
        <v>1483</v>
      </c>
      <c r="B1367" s="20" t="str">
        <f>IFERROR(__xludf.DUMMYFUNCTION("""COMPUTED_VALUE"""),"Rank Teams by Votes")</f>
        <v>Rank Teams by Votes</v>
      </c>
      <c r="C1367" s="20" t="str">
        <f>IFERROR(__xludf.DUMMYFUNCTION("""COMPUTED_VALUE"""),"rank-teams-by-votes")</f>
        <v>rank-teams-by-votes</v>
      </c>
      <c r="D1367" s="20" t="b">
        <f>IFERROR(__xludf.DUMMYFUNCTION("""COMPUTED_VALUE"""),FALSE)</f>
        <v>0</v>
      </c>
      <c r="E1367" s="20" t="str">
        <f>IFERROR(__xludf.DUMMYFUNCTION("""COMPUTED_VALUE"""),"Medium")</f>
        <v>Medium</v>
      </c>
      <c r="F1367" s="20">
        <f>IFERROR(__xludf.DUMMYFUNCTION("""COMPUTED_VALUE"""),1064.0)</f>
        <v>1064</v>
      </c>
      <c r="G1367" s="20">
        <f>IFERROR(__xludf.DUMMYFUNCTION("""COMPUTED_VALUE"""),124.0)</f>
        <v>124</v>
      </c>
      <c r="H1367" s="20" t="str">
        <f>IFERROR(__xludf.DUMMYFUNCTION("""COMPUTED_VALUE"""),"Algorithms")</f>
        <v>Algorithms</v>
      </c>
      <c r="I1367" s="20">
        <f>IFERROR(__xludf.DUMMYFUNCTION("""COMPUTED_VALUE"""),0.581)</f>
        <v>0.581</v>
      </c>
      <c r="J1367" s="20">
        <f>IFERROR(__xludf.DUMMYFUNCTION("""COMPUTED_VALUE"""),1366.0)</f>
        <v>1366</v>
      </c>
      <c r="K1367" s="20" t="b">
        <f>IFERROR(__xludf.DUMMYFUNCTION("""COMPUTED_VALUE"""),FALSE)</f>
        <v>0</v>
      </c>
      <c r="L1367" s="20" t="str">
        <f>IFERROR(__xludf.DUMMYFUNCTION("""COMPUTED_VALUE"""),"Array;Hash Table;String;Sorting;Counting;")</f>
        <v>Array;Hash Table;String;Sorting;Counting;</v>
      </c>
      <c r="M1367" s="20" t="b">
        <f>IFERROR(__xludf.DUMMYFUNCTION("""COMPUTED_VALUE"""),FALSE)</f>
        <v>0</v>
      </c>
      <c r="N1367" s="20" t="b">
        <f>IFERROR(__xludf.DUMMYFUNCTION("""COMPUTED_VALUE"""),FALSE)</f>
        <v>0</v>
      </c>
      <c r="O1367" s="20">
        <f>IFERROR(__xludf.DUMMYFUNCTION("""COMPUTED_VALUE"""),58.0891417733523)</f>
        <v>58.08914177</v>
      </c>
      <c r="P1367" s="20">
        <f>IFERROR(__xludf.DUMMYFUNCTION("""COMPUTED_VALUE"""),49004.0)</f>
        <v>49004</v>
      </c>
      <c r="Q1367" s="20">
        <f>IFERROR(__xludf.DUMMYFUNCTION("""COMPUTED_VALUE"""),84360.0)</f>
        <v>84360</v>
      </c>
    </row>
    <row r="1368">
      <c r="A1368" s="20">
        <f>IFERROR(__xludf.DUMMYFUNCTION("""COMPUTED_VALUE"""),1484.0)</f>
        <v>1484</v>
      </c>
      <c r="B1368" s="20" t="str">
        <f>IFERROR(__xludf.DUMMYFUNCTION("""COMPUTED_VALUE"""),"Linked List in Binary Tree")</f>
        <v>Linked List in Binary Tree</v>
      </c>
      <c r="C1368" s="20" t="str">
        <f>IFERROR(__xludf.DUMMYFUNCTION("""COMPUTED_VALUE"""),"linked-list-in-binary-tree")</f>
        <v>linked-list-in-binary-tree</v>
      </c>
      <c r="D1368" s="20" t="b">
        <f>IFERROR(__xludf.DUMMYFUNCTION("""COMPUTED_VALUE"""),FALSE)</f>
        <v>0</v>
      </c>
      <c r="E1368" s="20" t="str">
        <f>IFERROR(__xludf.DUMMYFUNCTION("""COMPUTED_VALUE"""),"Medium")</f>
        <v>Medium</v>
      </c>
      <c r="F1368" s="20">
        <f>IFERROR(__xludf.DUMMYFUNCTION("""COMPUTED_VALUE"""),1831.0)</f>
        <v>1831</v>
      </c>
      <c r="G1368" s="20">
        <f>IFERROR(__xludf.DUMMYFUNCTION("""COMPUTED_VALUE"""),59.0)</f>
        <v>59</v>
      </c>
      <c r="H1368" s="20" t="str">
        <f>IFERROR(__xludf.DUMMYFUNCTION("""COMPUTED_VALUE"""),"Algorithms")</f>
        <v>Algorithms</v>
      </c>
      <c r="I1368" s="20">
        <f>IFERROR(__xludf.DUMMYFUNCTION("""COMPUTED_VALUE"""),0.436)</f>
        <v>0.436</v>
      </c>
      <c r="J1368" s="20">
        <f>IFERROR(__xludf.DUMMYFUNCTION("""COMPUTED_VALUE"""),1367.0)</f>
        <v>1367</v>
      </c>
      <c r="K1368" s="20" t="b">
        <f>IFERROR(__xludf.DUMMYFUNCTION("""COMPUTED_VALUE"""),FALSE)</f>
        <v>0</v>
      </c>
      <c r="L1368" s="20" t="str">
        <f>IFERROR(__xludf.DUMMYFUNCTION("""COMPUTED_VALUE"""),"Linked List;Tree;Depth-First Search;Breadth-First Search;Binary Tree;")</f>
        <v>Linked List;Tree;Depth-First Search;Breadth-First Search;Binary Tree;</v>
      </c>
      <c r="M1368" s="20" t="b">
        <f>IFERROR(__xludf.DUMMYFUNCTION("""COMPUTED_VALUE"""),FALSE)</f>
        <v>0</v>
      </c>
      <c r="N1368" s="20" t="b">
        <f>IFERROR(__xludf.DUMMYFUNCTION("""COMPUTED_VALUE"""),FALSE)</f>
        <v>0</v>
      </c>
      <c r="O1368" s="20">
        <f>IFERROR(__xludf.DUMMYFUNCTION("""COMPUTED_VALUE"""),43.5565447528552)</f>
        <v>43.55654475</v>
      </c>
      <c r="P1368" s="20">
        <f>IFERROR(__xludf.DUMMYFUNCTION("""COMPUTED_VALUE"""),61056.0)</f>
        <v>61056</v>
      </c>
      <c r="Q1368" s="20">
        <f>IFERROR(__xludf.DUMMYFUNCTION("""COMPUTED_VALUE"""),140175.0)</f>
        <v>140175</v>
      </c>
    </row>
    <row r="1369">
      <c r="A1369" s="20">
        <f>IFERROR(__xludf.DUMMYFUNCTION("""COMPUTED_VALUE"""),1485.0)</f>
        <v>1485</v>
      </c>
      <c r="B1369" s="20" t="str">
        <f>IFERROR(__xludf.DUMMYFUNCTION("""COMPUTED_VALUE"""),"Minimum Cost to Make at Least One Valid Path in a Grid")</f>
        <v>Minimum Cost to Make at Least One Valid Path in a Grid</v>
      </c>
      <c r="C1369" s="20" t="str">
        <f>IFERROR(__xludf.DUMMYFUNCTION("""COMPUTED_VALUE"""),"minimum-cost-to-make-at-least-one-valid-path-in-a-grid")</f>
        <v>minimum-cost-to-make-at-least-one-valid-path-in-a-grid</v>
      </c>
      <c r="D1369" s="20" t="b">
        <f>IFERROR(__xludf.DUMMYFUNCTION("""COMPUTED_VALUE"""),FALSE)</f>
        <v>0</v>
      </c>
      <c r="E1369" s="20" t="str">
        <f>IFERROR(__xludf.DUMMYFUNCTION("""COMPUTED_VALUE"""),"Hard")</f>
        <v>Hard</v>
      </c>
      <c r="F1369" s="20">
        <f>IFERROR(__xludf.DUMMYFUNCTION("""COMPUTED_VALUE"""),1405.0)</f>
        <v>1405</v>
      </c>
      <c r="G1369" s="20">
        <f>IFERROR(__xludf.DUMMYFUNCTION("""COMPUTED_VALUE"""),14.0)</f>
        <v>14</v>
      </c>
      <c r="H1369" s="20" t="str">
        <f>IFERROR(__xludf.DUMMYFUNCTION("""COMPUTED_VALUE"""),"Algorithms")</f>
        <v>Algorithms</v>
      </c>
      <c r="I1369" s="20">
        <f>IFERROR(__xludf.DUMMYFUNCTION("""COMPUTED_VALUE"""),0.614)</f>
        <v>0.614</v>
      </c>
      <c r="J1369" s="20">
        <f>IFERROR(__xludf.DUMMYFUNCTION("""COMPUTED_VALUE"""),1368.0)</f>
        <v>1368</v>
      </c>
      <c r="K1369" s="20" t="b">
        <f>IFERROR(__xludf.DUMMYFUNCTION("""COMPUTED_VALUE"""),FALSE)</f>
        <v>0</v>
      </c>
      <c r="L1369" s="20" t="str">
        <f>IFERROR(__xludf.DUMMYFUNCTION("""COMPUTED_VALUE"""),"Array;Breadth-First Search;Graph;Heap (Priority Queue);Matrix;Shortest Path;")</f>
        <v>Array;Breadth-First Search;Graph;Heap (Priority Queue);Matrix;Shortest Path;</v>
      </c>
      <c r="M1369" s="20" t="b">
        <f>IFERROR(__xludf.DUMMYFUNCTION("""COMPUTED_VALUE"""),FALSE)</f>
        <v>0</v>
      </c>
      <c r="N1369" s="20" t="b">
        <f>IFERROR(__xludf.DUMMYFUNCTION("""COMPUTED_VALUE"""),FALSE)</f>
        <v>0</v>
      </c>
      <c r="O1369" s="20">
        <f>IFERROR(__xludf.DUMMYFUNCTION("""COMPUTED_VALUE"""),61.3520449598804)</f>
        <v>61.35204496</v>
      </c>
      <c r="P1369" s="20">
        <f>IFERROR(__xludf.DUMMYFUNCTION("""COMPUTED_VALUE"""),37772.0)</f>
        <v>37772</v>
      </c>
      <c r="Q1369" s="20">
        <f>IFERROR(__xludf.DUMMYFUNCTION("""COMPUTED_VALUE"""),61566.0)</f>
        <v>61566</v>
      </c>
    </row>
    <row r="1370">
      <c r="A1370" s="20">
        <f>IFERROR(__xludf.DUMMYFUNCTION("""COMPUTED_VALUE"""),1504.0)</f>
        <v>1504</v>
      </c>
      <c r="B1370" s="20" t="str">
        <f>IFERROR(__xludf.DUMMYFUNCTION("""COMPUTED_VALUE"""),"Get the Second Most Recent Activity")</f>
        <v>Get the Second Most Recent Activity</v>
      </c>
      <c r="C1370" s="20" t="str">
        <f>IFERROR(__xludf.DUMMYFUNCTION("""COMPUTED_VALUE"""),"get-the-second-most-recent-activity")</f>
        <v>get-the-second-most-recent-activity</v>
      </c>
      <c r="D1370" s="20" t="b">
        <f>IFERROR(__xludf.DUMMYFUNCTION("""COMPUTED_VALUE"""),TRUE)</f>
        <v>1</v>
      </c>
      <c r="E1370" s="20" t="str">
        <f>IFERROR(__xludf.DUMMYFUNCTION("""COMPUTED_VALUE"""),"Hard")</f>
        <v>Hard</v>
      </c>
      <c r="F1370" s="20">
        <f>IFERROR(__xludf.DUMMYFUNCTION("""COMPUTED_VALUE"""),136.0)</f>
        <v>136</v>
      </c>
      <c r="G1370" s="20">
        <f>IFERROR(__xludf.DUMMYFUNCTION("""COMPUTED_VALUE"""),13.0)</f>
        <v>13</v>
      </c>
      <c r="H1370" s="20" t="str">
        <f>IFERROR(__xludf.DUMMYFUNCTION("""COMPUTED_VALUE"""),"Database")</f>
        <v>Database</v>
      </c>
      <c r="I1370" s="20">
        <f>IFERROR(__xludf.DUMMYFUNCTION("""COMPUTED_VALUE"""),0.697)</f>
        <v>0.697</v>
      </c>
      <c r="J1370" s="20">
        <f>IFERROR(__xludf.DUMMYFUNCTION("""COMPUTED_VALUE"""),1369.0)</f>
        <v>1369</v>
      </c>
      <c r="K1370" s="20" t="b">
        <f>IFERROR(__xludf.DUMMYFUNCTION("""COMPUTED_VALUE"""),TRUE)</f>
        <v>1</v>
      </c>
      <c r="L1370" s="20" t="str">
        <f>IFERROR(__xludf.DUMMYFUNCTION("""COMPUTED_VALUE"""),"Database;")</f>
        <v>Database;</v>
      </c>
      <c r="M1370" s="20" t="b">
        <f>IFERROR(__xludf.DUMMYFUNCTION("""COMPUTED_VALUE"""),FALSE)</f>
        <v>0</v>
      </c>
      <c r="N1370" s="20" t="b">
        <f>IFERROR(__xludf.DUMMYFUNCTION("""COMPUTED_VALUE"""),FALSE)</f>
        <v>0</v>
      </c>
      <c r="O1370" s="20">
        <f>IFERROR(__xludf.DUMMYFUNCTION("""COMPUTED_VALUE"""),69.7339020922201)</f>
        <v>69.73390209</v>
      </c>
      <c r="P1370" s="20">
        <f>IFERROR(__xludf.DUMMYFUNCTION("""COMPUTED_VALUE"""),17165.0)</f>
        <v>17165</v>
      </c>
      <c r="Q1370" s="20">
        <f>IFERROR(__xludf.DUMMYFUNCTION("""COMPUTED_VALUE"""),24615.0)</f>
        <v>24615</v>
      </c>
    </row>
    <row r="1371">
      <c r="A1371" s="20">
        <f>IFERROR(__xludf.DUMMYFUNCTION("""COMPUTED_VALUE"""),1472.0)</f>
        <v>1472</v>
      </c>
      <c r="B1371" s="20" t="str">
        <f>IFERROR(__xludf.DUMMYFUNCTION("""COMPUTED_VALUE"""),"Increasing Decreasing String")</f>
        <v>Increasing Decreasing String</v>
      </c>
      <c r="C1371" s="20" t="str">
        <f>IFERROR(__xludf.DUMMYFUNCTION("""COMPUTED_VALUE"""),"increasing-decreasing-string")</f>
        <v>increasing-decreasing-string</v>
      </c>
      <c r="D1371" s="20" t="b">
        <f>IFERROR(__xludf.DUMMYFUNCTION("""COMPUTED_VALUE"""),FALSE)</f>
        <v>0</v>
      </c>
      <c r="E1371" s="20" t="str">
        <f>IFERROR(__xludf.DUMMYFUNCTION("""COMPUTED_VALUE"""),"Easy")</f>
        <v>Easy</v>
      </c>
      <c r="F1371" s="20">
        <f>IFERROR(__xludf.DUMMYFUNCTION("""COMPUTED_VALUE"""),612.0)</f>
        <v>612</v>
      </c>
      <c r="G1371" s="20">
        <f>IFERROR(__xludf.DUMMYFUNCTION("""COMPUTED_VALUE"""),723.0)</f>
        <v>723</v>
      </c>
      <c r="H1371" s="20" t="str">
        <f>IFERROR(__xludf.DUMMYFUNCTION("""COMPUTED_VALUE"""),"Algorithms")</f>
        <v>Algorithms</v>
      </c>
      <c r="I1371" s="20">
        <f>IFERROR(__xludf.DUMMYFUNCTION("""COMPUTED_VALUE"""),0.773)</f>
        <v>0.773</v>
      </c>
      <c r="J1371" s="20">
        <f>IFERROR(__xludf.DUMMYFUNCTION("""COMPUTED_VALUE"""),1370.0)</f>
        <v>1370</v>
      </c>
      <c r="K1371" s="20" t="b">
        <f>IFERROR(__xludf.DUMMYFUNCTION("""COMPUTED_VALUE"""),FALSE)</f>
        <v>0</v>
      </c>
      <c r="L1371" s="20" t="str">
        <f>IFERROR(__xludf.DUMMYFUNCTION("""COMPUTED_VALUE"""),"Hash Table;String;Counting;")</f>
        <v>Hash Table;String;Counting;</v>
      </c>
      <c r="M1371" s="20" t="b">
        <f>IFERROR(__xludf.DUMMYFUNCTION("""COMPUTED_VALUE"""),FALSE)</f>
        <v>0</v>
      </c>
      <c r="N1371" s="20" t="b">
        <f>IFERROR(__xludf.DUMMYFUNCTION("""COMPUTED_VALUE"""),FALSE)</f>
        <v>0</v>
      </c>
      <c r="O1371" s="20">
        <f>IFERROR(__xludf.DUMMYFUNCTION("""COMPUTED_VALUE"""),77.3441384110569)</f>
        <v>77.34413841</v>
      </c>
      <c r="P1371" s="20">
        <f>IFERROR(__xludf.DUMMYFUNCTION("""COMPUTED_VALUE"""),62228.0)</f>
        <v>62228</v>
      </c>
      <c r="Q1371" s="20">
        <f>IFERROR(__xludf.DUMMYFUNCTION("""COMPUTED_VALUE"""),80456.0)</f>
        <v>80456</v>
      </c>
    </row>
    <row r="1372">
      <c r="A1372" s="20">
        <f>IFERROR(__xludf.DUMMYFUNCTION("""COMPUTED_VALUE"""),1473.0)</f>
        <v>1473</v>
      </c>
      <c r="B1372" s="20" t="str">
        <f>IFERROR(__xludf.DUMMYFUNCTION("""COMPUTED_VALUE"""),"Find the Longest Substring Containing Vowels in Even Counts")</f>
        <v>Find the Longest Substring Containing Vowels in Even Counts</v>
      </c>
      <c r="C1372" s="20" t="str">
        <f>IFERROR(__xludf.DUMMYFUNCTION("""COMPUTED_VALUE"""),"find-the-longest-substring-containing-vowels-in-even-counts")</f>
        <v>find-the-longest-substring-containing-vowels-in-even-counts</v>
      </c>
      <c r="D1372" s="20" t="b">
        <f>IFERROR(__xludf.DUMMYFUNCTION("""COMPUTED_VALUE"""),FALSE)</f>
        <v>0</v>
      </c>
      <c r="E1372" s="20" t="str">
        <f>IFERROR(__xludf.DUMMYFUNCTION("""COMPUTED_VALUE"""),"Medium")</f>
        <v>Medium</v>
      </c>
      <c r="F1372" s="20">
        <f>IFERROR(__xludf.DUMMYFUNCTION("""COMPUTED_VALUE"""),1336.0)</f>
        <v>1336</v>
      </c>
      <c r="G1372" s="20">
        <f>IFERROR(__xludf.DUMMYFUNCTION("""COMPUTED_VALUE"""),47.0)</f>
        <v>47</v>
      </c>
      <c r="H1372" s="20" t="str">
        <f>IFERROR(__xludf.DUMMYFUNCTION("""COMPUTED_VALUE"""),"Algorithms")</f>
        <v>Algorithms</v>
      </c>
      <c r="I1372" s="20">
        <f>IFERROR(__xludf.DUMMYFUNCTION("""COMPUTED_VALUE"""),0.632)</f>
        <v>0.632</v>
      </c>
      <c r="J1372" s="20">
        <f>IFERROR(__xludf.DUMMYFUNCTION("""COMPUTED_VALUE"""),1371.0)</f>
        <v>1371</v>
      </c>
      <c r="K1372" s="20" t="b">
        <f>IFERROR(__xludf.DUMMYFUNCTION("""COMPUTED_VALUE"""),FALSE)</f>
        <v>0</v>
      </c>
      <c r="L1372" s="20" t="str">
        <f>IFERROR(__xludf.DUMMYFUNCTION("""COMPUTED_VALUE"""),"Hash Table;String;Bit Manipulation;Prefix Sum;")</f>
        <v>Hash Table;String;Bit Manipulation;Prefix Sum;</v>
      </c>
      <c r="M1372" s="20" t="b">
        <f>IFERROR(__xludf.DUMMYFUNCTION("""COMPUTED_VALUE"""),FALSE)</f>
        <v>0</v>
      </c>
      <c r="N1372" s="20" t="b">
        <f>IFERROR(__xludf.DUMMYFUNCTION("""COMPUTED_VALUE"""),FALSE)</f>
        <v>0</v>
      </c>
      <c r="O1372" s="20">
        <f>IFERROR(__xludf.DUMMYFUNCTION("""COMPUTED_VALUE"""),63.1707604405961)</f>
        <v>63.17076044</v>
      </c>
      <c r="P1372" s="20">
        <f>IFERROR(__xludf.DUMMYFUNCTION("""COMPUTED_VALUE"""),21449.0)</f>
        <v>21449</v>
      </c>
      <c r="Q1372" s="20">
        <f>IFERROR(__xludf.DUMMYFUNCTION("""COMPUTED_VALUE"""),33954.0)</f>
        <v>33954</v>
      </c>
    </row>
    <row r="1373">
      <c r="A1373" s="20">
        <f>IFERROR(__xludf.DUMMYFUNCTION("""COMPUTED_VALUE"""),1474.0)</f>
        <v>1474</v>
      </c>
      <c r="B1373" s="20" t="str">
        <f>IFERROR(__xludf.DUMMYFUNCTION("""COMPUTED_VALUE"""),"Longest ZigZag Path in a Binary Tree")</f>
        <v>Longest ZigZag Path in a Binary Tree</v>
      </c>
      <c r="C1373" s="20" t="str">
        <f>IFERROR(__xludf.DUMMYFUNCTION("""COMPUTED_VALUE"""),"longest-zigzag-path-in-a-binary-tree")</f>
        <v>longest-zigzag-path-in-a-binary-tree</v>
      </c>
      <c r="D1373" s="20" t="b">
        <f>IFERROR(__xludf.DUMMYFUNCTION("""COMPUTED_VALUE"""),FALSE)</f>
        <v>0</v>
      </c>
      <c r="E1373" s="20" t="str">
        <f>IFERROR(__xludf.DUMMYFUNCTION("""COMPUTED_VALUE"""),"Medium")</f>
        <v>Medium</v>
      </c>
      <c r="F1373" s="20">
        <f>IFERROR(__xludf.DUMMYFUNCTION("""COMPUTED_VALUE"""),1416.0)</f>
        <v>1416</v>
      </c>
      <c r="G1373" s="20">
        <f>IFERROR(__xludf.DUMMYFUNCTION("""COMPUTED_VALUE"""),26.0)</f>
        <v>26</v>
      </c>
      <c r="H1373" s="20" t="str">
        <f>IFERROR(__xludf.DUMMYFUNCTION("""COMPUTED_VALUE"""),"Algorithms")</f>
        <v>Algorithms</v>
      </c>
      <c r="I1373" s="20">
        <f>IFERROR(__xludf.DUMMYFUNCTION("""COMPUTED_VALUE"""),0.6)</f>
        <v>0.6</v>
      </c>
      <c r="J1373" s="20">
        <f>IFERROR(__xludf.DUMMYFUNCTION("""COMPUTED_VALUE"""),1372.0)</f>
        <v>1372</v>
      </c>
      <c r="K1373" s="20" t="b">
        <f>IFERROR(__xludf.DUMMYFUNCTION("""COMPUTED_VALUE"""),FALSE)</f>
        <v>0</v>
      </c>
      <c r="L1373" s="20" t="str">
        <f>IFERROR(__xludf.DUMMYFUNCTION("""COMPUTED_VALUE"""),"Dynamic Programming;Tree;Depth-First Search;Binary Tree;")</f>
        <v>Dynamic Programming;Tree;Depth-First Search;Binary Tree;</v>
      </c>
      <c r="M1373" s="20" t="b">
        <f>IFERROR(__xludf.DUMMYFUNCTION("""COMPUTED_VALUE"""),FALSE)</f>
        <v>0</v>
      </c>
      <c r="N1373" s="20" t="b">
        <f>IFERROR(__xludf.DUMMYFUNCTION("""COMPUTED_VALUE"""),FALSE)</f>
        <v>0</v>
      </c>
      <c r="O1373" s="20">
        <f>IFERROR(__xludf.DUMMYFUNCTION("""COMPUTED_VALUE"""),59.9687053541057)</f>
        <v>59.96870535</v>
      </c>
      <c r="P1373" s="20">
        <f>IFERROR(__xludf.DUMMYFUNCTION("""COMPUTED_VALUE"""),44074.0)</f>
        <v>44074</v>
      </c>
      <c r="Q1373" s="20">
        <f>IFERROR(__xludf.DUMMYFUNCTION("""COMPUTED_VALUE"""),73495.0)</f>
        <v>73495</v>
      </c>
    </row>
    <row r="1374">
      <c r="A1374" s="20">
        <f>IFERROR(__xludf.DUMMYFUNCTION("""COMPUTED_VALUE"""),1475.0)</f>
        <v>1475</v>
      </c>
      <c r="B1374" s="20" t="str">
        <f>IFERROR(__xludf.DUMMYFUNCTION("""COMPUTED_VALUE"""),"Maximum Sum BST in Binary Tree")</f>
        <v>Maximum Sum BST in Binary Tree</v>
      </c>
      <c r="C1374" s="20" t="str">
        <f>IFERROR(__xludf.DUMMYFUNCTION("""COMPUTED_VALUE"""),"maximum-sum-bst-in-binary-tree")</f>
        <v>maximum-sum-bst-in-binary-tree</v>
      </c>
      <c r="D1374" s="20" t="b">
        <f>IFERROR(__xludf.DUMMYFUNCTION("""COMPUTED_VALUE"""),FALSE)</f>
        <v>0</v>
      </c>
      <c r="E1374" s="20" t="str">
        <f>IFERROR(__xludf.DUMMYFUNCTION("""COMPUTED_VALUE"""),"Hard")</f>
        <v>Hard</v>
      </c>
      <c r="F1374" s="20">
        <f>IFERROR(__xludf.DUMMYFUNCTION("""COMPUTED_VALUE"""),1836.0)</f>
        <v>1836</v>
      </c>
      <c r="G1374" s="20">
        <f>IFERROR(__xludf.DUMMYFUNCTION("""COMPUTED_VALUE"""),152.0)</f>
        <v>152</v>
      </c>
      <c r="H1374" s="20" t="str">
        <f>IFERROR(__xludf.DUMMYFUNCTION("""COMPUTED_VALUE"""),"Algorithms")</f>
        <v>Algorithms</v>
      </c>
      <c r="I1374" s="20">
        <f>IFERROR(__xludf.DUMMYFUNCTION("""COMPUTED_VALUE"""),0.393)</f>
        <v>0.393</v>
      </c>
      <c r="J1374" s="20">
        <f>IFERROR(__xludf.DUMMYFUNCTION("""COMPUTED_VALUE"""),1373.0)</f>
        <v>1373</v>
      </c>
      <c r="K1374" s="20" t="b">
        <f>IFERROR(__xludf.DUMMYFUNCTION("""COMPUTED_VALUE"""),FALSE)</f>
        <v>0</v>
      </c>
      <c r="L1374" s="20" t="str">
        <f>IFERROR(__xludf.DUMMYFUNCTION("""COMPUTED_VALUE"""),"Dynamic Programming;Tree;Depth-First Search;Binary Search Tree;Binary Tree;")</f>
        <v>Dynamic Programming;Tree;Depth-First Search;Binary Search Tree;Binary Tree;</v>
      </c>
      <c r="M1374" s="20" t="b">
        <f>IFERROR(__xludf.DUMMYFUNCTION("""COMPUTED_VALUE"""),FALSE)</f>
        <v>0</v>
      </c>
      <c r="N1374" s="20" t="b">
        <f>IFERROR(__xludf.DUMMYFUNCTION("""COMPUTED_VALUE"""),FALSE)</f>
        <v>0</v>
      </c>
      <c r="O1374" s="20">
        <f>IFERROR(__xludf.DUMMYFUNCTION("""COMPUTED_VALUE"""),39.2788433265283)</f>
        <v>39.27884333</v>
      </c>
      <c r="P1374" s="20">
        <f>IFERROR(__xludf.DUMMYFUNCTION("""COMPUTED_VALUE"""),46754.0)</f>
        <v>46754</v>
      </c>
      <c r="Q1374" s="20">
        <f>IFERROR(__xludf.DUMMYFUNCTION("""COMPUTED_VALUE"""),119031.0)</f>
        <v>119031</v>
      </c>
    </row>
    <row r="1375">
      <c r="A1375" s="20">
        <f>IFERROR(__xludf.DUMMYFUNCTION("""COMPUTED_VALUE"""),1490.0)</f>
        <v>1490</v>
      </c>
      <c r="B1375" s="20" t="str">
        <f>IFERROR(__xludf.DUMMYFUNCTION("""COMPUTED_VALUE"""),"Generate a String With Characters That Have Odd Counts")</f>
        <v>Generate a String With Characters That Have Odd Counts</v>
      </c>
      <c r="C1375" s="20" t="str">
        <f>IFERROR(__xludf.DUMMYFUNCTION("""COMPUTED_VALUE"""),"generate-a-string-with-characters-that-have-odd-counts")</f>
        <v>generate-a-string-with-characters-that-have-odd-counts</v>
      </c>
      <c r="D1375" s="20" t="b">
        <f>IFERROR(__xludf.DUMMYFUNCTION("""COMPUTED_VALUE"""),FALSE)</f>
        <v>0</v>
      </c>
      <c r="E1375" s="20" t="str">
        <f>IFERROR(__xludf.DUMMYFUNCTION("""COMPUTED_VALUE"""),"Easy")</f>
        <v>Easy</v>
      </c>
      <c r="F1375" s="20">
        <f>IFERROR(__xludf.DUMMYFUNCTION("""COMPUTED_VALUE"""),365.0)</f>
        <v>365</v>
      </c>
      <c r="G1375" s="20">
        <f>IFERROR(__xludf.DUMMYFUNCTION("""COMPUTED_VALUE"""),1128.0)</f>
        <v>1128</v>
      </c>
      <c r="H1375" s="20" t="str">
        <f>IFERROR(__xludf.DUMMYFUNCTION("""COMPUTED_VALUE"""),"Algorithms")</f>
        <v>Algorithms</v>
      </c>
      <c r="I1375" s="20">
        <f>IFERROR(__xludf.DUMMYFUNCTION("""COMPUTED_VALUE"""),0.776)</f>
        <v>0.776</v>
      </c>
      <c r="J1375" s="20">
        <f>IFERROR(__xludf.DUMMYFUNCTION("""COMPUTED_VALUE"""),1374.0)</f>
        <v>1374</v>
      </c>
      <c r="K1375" s="20" t="b">
        <f>IFERROR(__xludf.DUMMYFUNCTION("""COMPUTED_VALUE"""),FALSE)</f>
        <v>0</v>
      </c>
      <c r="L1375" s="20" t="str">
        <f>IFERROR(__xludf.DUMMYFUNCTION("""COMPUTED_VALUE"""),"String;")</f>
        <v>String;</v>
      </c>
      <c r="M1375" s="20" t="b">
        <f>IFERROR(__xludf.DUMMYFUNCTION("""COMPUTED_VALUE"""),FALSE)</f>
        <v>0</v>
      </c>
      <c r="N1375" s="20" t="b">
        <f>IFERROR(__xludf.DUMMYFUNCTION("""COMPUTED_VALUE"""),FALSE)</f>
        <v>0</v>
      </c>
      <c r="O1375" s="20">
        <f>IFERROR(__xludf.DUMMYFUNCTION("""COMPUTED_VALUE"""),77.6007215874924)</f>
        <v>77.60072159</v>
      </c>
      <c r="P1375" s="20">
        <f>IFERROR(__xludf.DUMMYFUNCTION("""COMPUTED_VALUE"""),74849.0)</f>
        <v>74849</v>
      </c>
      <c r="Q1375" s="20">
        <f>IFERROR(__xludf.DUMMYFUNCTION("""COMPUTED_VALUE"""),96454.0)</f>
        <v>96454</v>
      </c>
    </row>
    <row r="1376">
      <c r="A1376" s="20">
        <f>IFERROR(__xludf.DUMMYFUNCTION("""COMPUTED_VALUE"""),1491.0)</f>
        <v>1491</v>
      </c>
      <c r="B1376" s="20" t="str">
        <f>IFERROR(__xludf.DUMMYFUNCTION("""COMPUTED_VALUE"""),"Number of Times Binary String Is Prefix-Aligned")</f>
        <v>Number of Times Binary String Is Prefix-Aligned</v>
      </c>
      <c r="C1376" s="20" t="str">
        <f>IFERROR(__xludf.DUMMYFUNCTION("""COMPUTED_VALUE"""),"number-of-times-binary-string-is-prefix-aligned")</f>
        <v>number-of-times-binary-string-is-prefix-aligned</v>
      </c>
      <c r="D1376" s="20" t="b">
        <f>IFERROR(__xludf.DUMMYFUNCTION("""COMPUTED_VALUE"""),FALSE)</f>
        <v>0</v>
      </c>
      <c r="E1376" s="20" t="str">
        <f>IFERROR(__xludf.DUMMYFUNCTION("""COMPUTED_VALUE"""),"Medium")</f>
        <v>Medium</v>
      </c>
      <c r="F1376" s="20">
        <f>IFERROR(__xludf.DUMMYFUNCTION("""COMPUTED_VALUE"""),803.0)</f>
        <v>803</v>
      </c>
      <c r="G1376" s="20">
        <f>IFERROR(__xludf.DUMMYFUNCTION("""COMPUTED_VALUE"""),122.0)</f>
        <v>122</v>
      </c>
      <c r="H1376" s="20" t="str">
        <f>IFERROR(__xludf.DUMMYFUNCTION("""COMPUTED_VALUE"""),"Algorithms")</f>
        <v>Algorithms</v>
      </c>
      <c r="I1376" s="20">
        <f>IFERROR(__xludf.DUMMYFUNCTION("""COMPUTED_VALUE"""),0.659)</f>
        <v>0.659</v>
      </c>
      <c r="J1376" s="20">
        <f>IFERROR(__xludf.DUMMYFUNCTION("""COMPUTED_VALUE"""),1375.0)</f>
        <v>1375</v>
      </c>
      <c r="K1376" s="20" t="b">
        <f>IFERROR(__xludf.DUMMYFUNCTION("""COMPUTED_VALUE"""),FALSE)</f>
        <v>0</v>
      </c>
      <c r="L1376" s="20" t="str">
        <f>IFERROR(__xludf.DUMMYFUNCTION("""COMPUTED_VALUE"""),"Array;")</f>
        <v>Array;</v>
      </c>
      <c r="M1376" s="20" t="b">
        <f>IFERROR(__xludf.DUMMYFUNCTION("""COMPUTED_VALUE"""),FALSE)</f>
        <v>0</v>
      </c>
      <c r="N1376" s="20" t="b">
        <f>IFERROR(__xludf.DUMMYFUNCTION("""COMPUTED_VALUE"""),FALSE)</f>
        <v>0</v>
      </c>
      <c r="O1376" s="20">
        <f>IFERROR(__xludf.DUMMYFUNCTION("""COMPUTED_VALUE"""),65.8770844381592)</f>
        <v>65.87708444</v>
      </c>
      <c r="P1376" s="20">
        <f>IFERROR(__xludf.DUMMYFUNCTION("""COMPUTED_VALUE"""),44720.0)</f>
        <v>44720</v>
      </c>
      <c r="Q1376" s="20">
        <f>IFERROR(__xludf.DUMMYFUNCTION("""COMPUTED_VALUE"""),67884.0)</f>
        <v>67884</v>
      </c>
    </row>
    <row r="1377">
      <c r="A1377" s="20">
        <f>IFERROR(__xludf.DUMMYFUNCTION("""COMPUTED_VALUE"""),1492.0)</f>
        <v>1492</v>
      </c>
      <c r="B1377" s="20" t="str">
        <f>IFERROR(__xludf.DUMMYFUNCTION("""COMPUTED_VALUE"""),"Time Needed to Inform All Employees")</f>
        <v>Time Needed to Inform All Employees</v>
      </c>
      <c r="C1377" s="20" t="str">
        <f>IFERROR(__xludf.DUMMYFUNCTION("""COMPUTED_VALUE"""),"time-needed-to-inform-all-employees")</f>
        <v>time-needed-to-inform-all-employees</v>
      </c>
      <c r="D1377" s="20" t="b">
        <f>IFERROR(__xludf.DUMMYFUNCTION("""COMPUTED_VALUE"""),FALSE)</f>
        <v>0</v>
      </c>
      <c r="E1377" s="20" t="str">
        <f>IFERROR(__xludf.DUMMYFUNCTION("""COMPUTED_VALUE"""),"Medium")</f>
        <v>Medium</v>
      </c>
      <c r="F1377" s="20">
        <f>IFERROR(__xludf.DUMMYFUNCTION("""COMPUTED_VALUE"""),2476.0)</f>
        <v>2476</v>
      </c>
      <c r="G1377" s="20">
        <f>IFERROR(__xludf.DUMMYFUNCTION("""COMPUTED_VALUE"""),158.0)</f>
        <v>158</v>
      </c>
      <c r="H1377" s="20" t="str">
        <f>IFERROR(__xludf.DUMMYFUNCTION("""COMPUTED_VALUE"""),"Algorithms")</f>
        <v>Algorithms</v>
      </c>
      <c r="I1377" s="20">
        <f>IFERROR(__xludf.DUMMYFUNCTION("""COMPUTED_VALUE"""),0.584)</f>
        <v>0.584</v>
      </c>
      <c r="J1377" s="20">
        <f>IFERROR(__xludf.DUMMYFUNCTION("""COMPUTED_VALUE"""),1376.0)</f>
        <v>1376</v>
      </c>
      <c r="K1377" s="20" t="b">
        <f>IFERROR(__xludf.DUMMYFUNCTION("""COMPUTED_VALUE"""),FALSE)</f>
        <v>0</v>
      </c>
      <c r="L1377" s="20" t="str">
        <f>IFERROR(__xludf.DUMMYFUNCTION("""COMPUTED_VALUE"""),"Tree;Depth-First Search;Breadth-First Search;")</f>
        <v>Tree;Depth-First Search;Breadth-First Search;</v>
      </c>
      <c r="M1377" s="20" t="b">
        <f>IFERROR(__xludf.DUMMYFUNCTION("""COMPUTED_VALUE"""),FALSE)</f>
        <v>0</v>
      </c>
      <c r="N1377" s="20" t="b">
        <f>IFERROR(__xludf.DUMMYFUNCTION("""COMPUTED_VALUE"""),FALSE)</f>
        <v>0</v>
      </c>
      <c r="O1377" s="20">
        <f>IFERROR(__xludf.DUMMYFUNCTION("""COMPUTED_VALUE"""),58.4221606542886)</f>
        <v>58.42216065</v>
      </c>
      <c r="P1377" s="20">
        <f>IFERROR(__xludf.DUMMYFUNCTION("""COMPUTED_VALUE"""),122934.0)</f>
        <v>122934</v>
      </c>
      <c r="Q1377" s="20">
        <f>IFERROR(__xludf.DUMMYFUNCTION("""COMPUTED_VALUE"""),210425.0)</f>
        <v>210425</v>
      </c>
    </row>
    <row r="1378">
      <c r="A1378" s="20">
        <f>IFERROR(__xludf.DUMMYFUNCTION("""COMPUTED_VALUE"""),1493.0)</f>
        <v>1493</v>
      </c>
      <c r="B1378" s="20" t="str">
        <f>IFERROR(__xludf.DUMMYFUNCTION("""COMPUTED_VALUE"""),"Frog Position After T Seconds")</f>
        <v>Frog Position After T Seconds</v>
      </c>
      <c r="C1378" s="20" t="str">
        <f>IFERROR(__xludf.DUMMYFUNCTION("""COMPUTED_VALUE"""),"frog-position-after-t-seconds")</f>
        <v>frog-position-after-t-seconds</v>
      </c>
      <c r="D1378" s="20" t="b">
        <f>IFERROR(__xludf.DUMMYFUNCTION("""COMPUTED_VALUE"""),FALSE)</f>
        <v>0</v>
      </c>
      <c r="E1378" s="20" t="str">
        <f>IFERROR(__xludf.DUMMYFUNCTION("""COMPUTED_VALUE"""),"Hard")</f>
        <v>Hard</v>
      </c>
      <c r="F1378" s="20">
        <f>IFERROR(__xludf.DUMMYFUNCTION("""COMPUTED_VALUE"""),586.0)</f>
        <v>586</v>
      </c>
      <c r="G1378" s="20">
        <f>IFERROR(__xludf.DUMMYFUNCTION("""COMPUTED_VALUE"""),122.0)</f>
        <v>122</v>
      </c>
      <c r="H1378" s="20" t="str">
        <f>IFERROR(__xludf.DUMMYFUNCTION("""COMPUTED_VALUE"""),"Algorithms")</f>
        <v>Algorithms</v>
      </c>
      <c r="I1378" s="20">
        <f>IFERROR(__xludf.DUMMYFUNCTION("""COMPUTED_VALUE"""),0.361)</f>
        <v>0.361</v>
      </c>
      <c r="J1378" s="20">
        <f>IFERROR(__xludf.DUMMYFUNCTION("""COMPUTED_VALUE"""),1377.0)</f>
        <v>1377</v>
      </c>
      <c r="K1378" s="20" t="b">
        <f>IFERROR(__xludf.DUMMYFUNCTION("""COMPUTED_VALUE"""),FALSE)</f>
        <v>0</v>
      </c>
      <c r="L1378" s="20" t="str">
        <f>IFERROR(__xludf.DUMMYFUNCTION("""COMPUTED_VALUE"""),"Tree;Depth-First Search;Breadth-First Search;Graph;")</f>
        <v>Tree;Depth-First Search;Breadth-First Search;Graph;</v>
      </c>
      <c r="M1378" s="20" t="b">
        <f>IFERROR(__xludf.DUMMYFUNCTION("""COMPUTED_VALUE"""),FALSE)</f>
        <v>0</v>
      </c>
      <c r="N1378" s="20" t="b">
        <f>IFERROR(__xludf.DUMMYFUNCTION("""COMPUTED_VALUE"""),FALSE)</f>
        <v>0</v>
      </c>
      <c r="O1378" s="20">
        <f>IFERROR(__xludf.DUMMYFUNCTION("""COMPUTED_VALUE"""),36.0683364254792)</f>
        <v>36.06833643</v>
      </c>
      <c r="P1378" s="20">
        <f>IFERROR(__xludf.DUMMYFUNCTION("""COMPUTED_VALUE"""),23329.0)</f>
        <v>23329</v>
      </c>
      <c r="Q1378" s="20">
        <f>IFERROR(__xludf.DUMMYFUNCTION("""COMPUTED_VALUE"""),64680.0)</f>
        <v>64680</v>
      </c>
    </row>
    <row r="1379">
      <c r="A1379" s="20">
        <f>IFERROR(__xludf.DUMMYFUNCTION("""COMPUTED_VALUE"""),1509.0)</f>
        <v>1509</v>
      </c>
      <c r="B1379" s="20" t="str">
        <f>IFERROR(__xludf.DUMMYFUNCTION("""COMPUTED_VALUE"""),"Replace Employee ID With The Unique Identifier")</f>
        <v>Replace Employee ID With The Unique Identifier</v>
      </c>
      <c r="C1379" s="20" t="str">
        <f>IFERROR(__xludf.DUMMYFUNCTION("""COMPUTED_VALUE"""),"replace-employee-id-with-the-unique-identifier")</f>
        <v>replace-employee-id-with-the-unique-identifier</v>
      </c>
      <c r="D1379" s="20" t="b">
        <f>IFERROR(__xludf.DUMMYFUNCTION("""COMPUTED_VALUE"""),TRUE)</f>
        <v>1</v>
      </c>
      <c r="E1379" s="20" t="str">
        <f>IFERROR(__xludf.DUMMYFUNCTION("""COMPUTED_VALUE"""),"Easy")</f>
        <v>Easy</v>
      </c>
      <c r="F1379" s="20">
        <f>IFERROR(__xludf.DUMMYFUNCTION("""COMPUTED_VALUE"""),85.0)</f>
        <v>85</v>
      </c>
      <c r="G1379" s="20">
        <f>IFERROR(__xludf.DUMMYFUNCTION("""COMPUTED_VALUE"""),33.0)</f>
        <v>33</v>
      </c>
      <c r="H1379" s="20" t="str">
        <f>IFERROR(__xludf.DUMMYFUNCTION("""COMPUTED_VALUE"""),"Database")</f>
        <v>Database</v>
      </c>
      <c r="I1379" s="20">
        <f>IFERROR(__xludf.DUMMYFUNCTION("""COMPUTED_VALUE"""),0.914)</f>
        <v>0.914</v>
      </c>
      <c r="J1379" s="20">
        <f>IFERROR(__xludf.DUMMYFUNCTION("""COMPUTED_VALUE"""),1378.0)</f>
        <v>1378</v>
      </c>
      <c r="K1379" s="20" t="b">
        <f>IFERROR(__xludf.DUMMYFUNCTION("""COMPUTED_VALUE"""),TRUE)</f>
        <v>1</v>
      </c>
      <c r="L1379" s="20" t="str">
        <f>IFERROR(__xludf.DUMMYFUNCTION("""COMPUTED_VALUE"""),"Database;")</f>
        <v>Database;</v>
      </c>
      <c r="M1379" s="20" t="b">
        <f>IFERROR(__xludf.DUMMYFUNCTION("""COMPUTED_VALUE"""),FALSE)</f>
        <v>0</v>
      </c>
      <c r="N1379" s="20" t="b">
        <f>IFERROR(__xludf.DUMMYFUNCTION("""COMPUTED_VALUE"""),FALSE)</f>
        <v>0</v>
      </c>
      <c r="O1379" s="20">
        <f>IFERROR(__xludf.DUMMYFUNCTION("""COMPUTED_VALUE"""),91.3979943929264)</f>
        <v>91.39799439</v>
      </c>
      <c r="P1379" s="20">
        <f>IFERROR(__xludf.DUMMYFUNCTION("""COMPUTED_VALUE"""),33905.0)</f>
        <v>33905</v>
      </c>
      <c r="Q1379" s="20">
        <f>IFERROR(__xludf.DUMMYFUNCTION("""COMPUTED_VALUE"""),37096.0)</f>
        <v>37096</v>
      </c>
    </row>
    <row r="1380">
      <c r="A1380" s="20">
        <f>IFERROR(__xludf.DUMMYFUNCTION("""COMPUTED_VALUE"""),1498.0)</f>
        <v>1498</v>
      </c>
      <c r="B1380" s="20" t="str">
        <f>IFERROR(__xludf.DUMMYFUNCTION("""COMPUTED_VALUE"""),"Find a Corresponding Node of a Binary Tree in a Clone of That Tree")</f>
        <v>Find a Corresponding Node of a Binary Tree in a Clone of That Tree</v>
      </c>
      <c r="C1380" s="20" t="str">
        <f>IFERROR(__xludf.DUMMYFUNCTION("""COMPUTED_VALUE"""),"find-a-corresponding-node-of-a-binary-tree-in-a-clone-of-that-tree")</f>
        <v>find-a-corresponding-node-of-a-binary-tree-in-a-clone-of-that-tree</v>
      </c>
      <c r="D1380" s="20" t="b">
        <f>IFERROR(__xludf.DUMMYFUNCTION("""COMPUTED_VALUE"""),FALSE)</f>
        <v>0</v>
      </c>
      <c r="E1380" s="20" t="str">
        <f>IFERROR(__xludf.DUMMYFUNCTION("""COMPUTED_VALUE"""),"Easy")</f>
        <v>Easy</v>
      </c>
      <c r="F1380" s="20">
        <f>IFERROR(__xludf.DUMMYFUNCTION("""COMPUTED_VALUE"""),1414.0)</f>
        <v>1414</v>
      </c>
      <c r="G1380" s="20">
        <f>IFERROR(__xludf.DUMMYFUNCTION("""COMPUTED_VALUE"""),1745.0)</f>
        <v>1745</v>
      </c>
      <c r="H1380" s="20" t="str">
        <f>IFERROR(__xludf.DUMMYFUNCTION("""COMPUTED_VALUE"""),"Algorithms")</f>
        <v>Algorithms</v>
      </c>
      <c r="I1380" s="20">
        <f>IFERROR(__xludf.DUMMYFUNCTION("""COMPUTED_VALUE"""),0.869)</f>
        <v>0.869</v>
      </c>
      <c r="J1380" s="20">
        <f>IFERROR(__xludf.DUMMYFUNCTION("""COMPUTED_VALUE"""),1379.0)</f>
        <v>1379</v>
      </c>
      <c r="K1380" s="20" t="b">
        <f>IFERROR(__xludf.DUMMYFUNCTION("""COMPUTED_VALUE"""),FALSE)</f>
        <v>0</v>
      </c>
      <c r="L1380" s="20" t="str">
        <f>IFERROR(__xludf.DUMMYFUNCTION("""COMPUTED_VALUE"""),"Tree;Depth-First Search;Breadth-First Search;Binary Tree;")</f>
        <v>Tree;Depth-First Search;Breadth-First Search;Binary Tree;</v>
      </c>
      <c r="M1380" s="20" t="b">
        <f>IFERROR(__xludf.DUMMYFUNCTION("""COMPUTED_VALUE"""),TRUE)</f>
        <v>1</v>
      </c>
      <c r="N1380" s="20" t="b">
        <f>IFERROR(__xludf.DUMMYFUNCTION("""COMPUTED_VALUE"""),FALSE)</f>
        <v>0</v>
      </c>
      <c r="O1380" s="20">
        <f>IFERROR(__xludf.DUMMYFUNCTION("""COMPUTED_VALUE"""),86.8888899627426)</f>
        <v>86.88888996</v>
      </c>
      <c r="P1380" s="20">
        <f>IFERROR(__xludf.DUMMYFUNCTION("""COMPUTED_VALUE"""),179802.0)</f>
        <v>179802</v>
      </c>
      <c r="Q1380" s="20">
        <f>IFERROR(__xludf.DUMMYFUNCTION("""COMPUTED_VALUE"""),206934.0)</f>
        <v>206934</v>
      </c>
    </row>
    <row r="1381">
      <c r="A1381" s="20">
        <f>IFERROR(__xludf.DUMMYFUNCTION("""COMPUTED_VALUE"""),1496.0)</f>
        <v>1496</v>
      </c>
      <c r="B1381" s="20" t="str">
        <f>IFERROR(__xludf.DUMMYFUNCTION("""COMPUTED_VALUE"""),"Lucky Numbers in a Matrix")</f>
        <v>Lucky Numbers in a Matrix</v>
      </c>
      <c r="C1381" s="20" t="str">
        <f>IFERROR(__xludf.DUMMYFUNCTION("""COMPUTED_VALUE"""),"lucky-numbers-in-a-matrix")</f>
        <v>lucky-numbers-in-a-matrix</v>
      </c>
      <c r="D1381" s="20" t="b">
        <f>IFERROR(__xludf.DUMMYFUNCTION("""COMPUTED_VALUE"""),FALSE)</f>
        <v>0</v>
      </c>
      <c r="E1381" s="20" t="str">
        <f>IFERROR(__xludf.DUMMYFUNCTION("""COMPUTED_VALUE"""),"Easy")</f>
        <v>Easy</v>
      </c>
      <c r="F1381" s="20">
        <f>IFERROR(__xludf.DUMMYFUNCTION("""COMPUTED_VALUE"""),1284.0)</f>
        <v>1284</v>
      </c>
      <c r="G1381" s="20">
        <f>IFERROR(__xludf.DUMMYFUNCTION("""COMPUTED_VALUE"""),73.0)</f>
        <v>73</v>
      </c>
      <c r="H1381" s="20" t="str">
        <f>IFERROR(__xludf.DUMMYFUNCTION("""COMPUTED_VALUE"""),"Algorithms")</f>
        <v>Algorithms</v>
      </c>
      <c r="I1381" s="20">
        <f>IFERROR(__xludf.DUMMYFUNCTION("""COMPUTED_VALUE"""),0.705)</f>
        <v>0.705</v>
      </c>
      <c r="J1381" s="20">
        <f>IFERROR(__xludf.DUMMYFUNCTION("""COMPUTED_VALUE"""),1380.0)</f>
        <v>1380</v>
      </c>
      <c r="K1381" s="20" t="b">
        <f>IFERROR(__xludf.DUMMYFUNCTION("""COMPUTED_VALUE"""),FALSE)</f>
        <v>0</v>
      </c>
      <c r="L1381" s="20" t="str">
        <f>IFERROR(__xludf.DUMMYFUNCTION("""COMPUTED_VALUE"""),"Array;Matrix;")</f>
        <v>Array;Matrix;</v>
      </c>
      <c r="M1381" s="20" t="b">
        <f>IFERROR(__xludf.DUMMYFUNCTION("""COMPUTED_VALUE"""),FALSE)</f>
        <v>0</v>
      </c>
      <c r="N1381" s="20" t="b">
        <f>IFERROR(__xludf.DUMMYFUNCTION("""COMPUTED_VALUE"""),FALSE)</f>
        <v>0</v>
      </c>
      <c r="O1381" s="20">
        <f>IFERROR(__xludf.DUMMYFUNCTION("""COMPUTED_VALUE"""),70.4927709968032)</f>
        <v>70.492771</v>
      </c>
      <c r="P1381" s="20">
        <f>IFERROR(__xludf.DUMMYFUNCTION("""COMPUTED_VALUE"""),77621.0)</f>
        <v>77621</v>
      </c>
      <c r="Q1381" s="20">
        <f>IFERROR(__xludf.DUMMYFUNCTION("""COMPUTED_VALUE"""),110112.0)</f>
        <v>110112</v>
      </c>
    </row>
    <row r="1382">
      <c r="A1382" s="20">
        <f>IFERROR(__xludf.DUMMYFUNCTION("""COMPUTED_VALUE"""),1497.0)</f>
        <v>1497</v>
      </c>
      <c r="B1382" s="20" t="str">
        <f>IFERROR(__xludf.DUMMYFUNCTION("""COMPUTED_VALUE"""),"Design a Stack With Increment Operation")</f>
        <v>Design a Stack With Increment Operation</v>
      </c>
      <c r="C1382" s="20" t="str">
        <f>IFERROR(__xludf.DUMMYFUNCTION("""COMPUTED_VALUE"""),"design-a-stack-with-increment-operation")</f>
        <v>design-a-stack-with-increment-operation</v>
      </c>
      <c r="D1382" s="20" t="b">
        <f>IFERROR(__xludf.DUMMYFUNCTION("""COMPUTED_VALUE"""),FALSE)</f>
        <v>0</v>
      </c>
      <c r="E1382" s="20" t="str">
        <f>IFERROR(__xludf.DUMMYFUNCTION("""COMPUTED_VALUE"""),"Medium")</f>
        <v>Medium</v>
      </c>
      <c r="F1382" s="20">
        <f>IFERROR(__xludf.DUMMYFUNCTION("""COMPUTED_VALUE"""),1485.0)</f>
        <v>1485</v>
      </c>
      <c r="G1382" s="20">
        <f>IFERROR(__xludf.DUMMYFUNCTION("""COMPUTED_VALUE"""),81.0)</f>
        <v>81</v>
      </c>
      <c r="H1382" s="20" t="str">
        <f>IFERROR(__xludf.DUMMYFUNCTION("""COMPUTED_VALUE"""),"Algorithms")</f>
        <v>Algorithms</v>
      </c>
      <c r="I1382" s="20">
        <f>IFERROR(__xludf.DUMMYFUNCTION("""COMPUTED_VALUE"""),0.773)</f>
        <v>0.773</v>
      </c>
      <c r="J1382" s="20">
        <f>IFERROR(__xludf.DUMMYFUNCTION("""COMPUTED_VALUE"""),1381.0)</f>
        <v>1381</v>
      </c>
      <c r="K1382" s="20" t="b">
        <f>IFERROR(__xludf.DUMMYFUNCTION("""COMPUTED_VALUE"""),FALSE)</f>
        <v>0</v>
      </c>
      <c r="L1382" s="20" t="str">
        <f>IFERROR(__xludf.DUMMYFUNCTION("""COMPUTED_VALUE"""),"Array;Stack;Design;")</f>
        <v>Array;Stack;Design;</v>
      </c>
      <c r="M1382" s="20" t="b">
        <f>IFERROR(__xludf.DUMMYFUNCTION("""COMPUTED_VALUE"""),FALSE)</f>
        <v>0</v>
      </c>
      <c r="N1382" s="20" t="b">
        <f>IFERROR(__xludf.DUMMYFUNCTION("""COMPUTED_VALUE"""),FALSE)</f>
        <v>0</v>
      </c>
      <c r="O1382" s="20">
        <f>IFERROR(__xludf.DUMMYFUNCTION("""COMPUTED_VALUE"""),77.2631691974552)</f>
        <v>77.2631692</v>
      </c>
      <c r="P1382" s="20">
        <f>IFERROR(__xludf.DUMMYFUNCTION("""COMPUTED_VALUE"""),86347.0)</f>
        <v>86347</v>
      </c>
      <c r="Q1382" s="20">
        <f>IFERROR(__xludf.DUMMYFUNCTION("""COMPUTED_VALUE"""),111757.0)</f>
        <v>111757</v>
      </c>
    </row>
    <row r="1383">
      <c r="A1383" s="20">
        <f>IFERROR(__xludf.DUMMYFUNCTION("""COMPUTED_VALUE"""),1285.0)</f>
        <v>1285</v>
      </c>
      <c r="B1383" s="20" t="str">
        <f>IFERROR(__xludf.DUMMYFUNCTION("""COMPUTED_VALUE"""),"Balance a Binary Search Tree")</f>
        <v>Balance a Binary Search Tree</v>
      </c>
      <c r="C1383" s="20" t="str">
        <f>IFERROR(__xludf.DUMMYFUNCTION("""COMPUTED_VALUE"""),"balance-a-binary-search-tree")</f>
        <v>balance-a-binary-search-tree</v>
      </c>
      <c r="D1383" s="20" t="b">
        <f>IFERROR(__xludf.DUMMYFUNCTION("""COMPUTED_VALUE"""),FALSE)</f>
        <v>0</v>
      </c>
      <c r="E1383" s="20" t="str">
        <f>IFERROR(__xludf.DUMMYFUNCTION("""COMPUTED_VALUE"""),"Medium")</f>
        <v>Medium</v>
      </c>
      <c r="F1383" s="20">
        <f>IFERROR(__xludf.DUMMYFUNCTION("""COMPUTED_VALUE"""),2381.0)</f>
        <v>2381</v>
      </c>
      <c r="G1383" s="20">
        <f>IFERROR(__xludf.DUMMYFUNCTION("""COMPUTED_VALUE"""),61.0)</f>
        <v>61</v>
      </c>
      <c r="H1383" s="20" t="str">
        <f>IFERROR(__xludf.DUMMYFUNCTION("""COMPUTED_VALUE"""),"Algorithms")</f>
        <v>Algorithms</v>
      </c>
      <c r="I1383" s="20">
        <f>IFERROR(__xludf.DUMMYFUNCTION("""COMPUTED_VALUE"""),0.807)</f>
        <v>0.807</v>
      </c>
      <c r="J1383" s="20">
        <f>IFERROR(__xludf.DUMMYFUNCTION("""COMPUTED_VALUE"""),1382.0)</f>
        <v>1382</v>
      </c>
      <c r="K1383" s="20" t="b">
        <f>IFERROR(__xludf.DUMMYFUNCTION("""COMPUTED_VALUE"""),FALSE)</f>
        <v>0</v>
      </c>
      <c r="L1383" s="20" t="str">
        <f>IFERROR(__xludf.DUMMYFUNCTION("""COMPUTED_VALUE"""),"Divide and Conquer;Greedy;Tree;Depth-First Search;Binary Search Tree;Binary Tree;")</f>
        <v>Divide and Conquer;Greedy;Tree;Depth-First Search;Binary Search Tree;Binary Tree;</v>
      </c>
      <c r="M1383" s="20" t="b">
        <f>IFERROR(__xludf.DUMMYFUNCTION("""COMPUTED_VALUE"""),FALSE)</f>
        <v>0</v>
      </c>
      <c r="N1383" s="20" t="b">
        <f>IFERROR(__xludf.DUMMYFUNCTION("""COMPUTED_VALUE"""),FALSE)</f>
        <v>0</v>
      </c>
      <c r="O1383" s="20">
        <f>IFERROR(__xludf.DUMMYFUNCTION("""COMPUTED_VALUE"""),80.6631036208184)</f>
        <v>80.66310362</v>
      </c>
      <c r="P1383" s="20">
        <f>IFERROR(__xludf.DUMMYFUNCTION("""COMPUTED_VALUE"""),111230.0)</f>
        <v>111230</v>
      </c>
      <c r="Q1383" s="20">
        <f>IFERROR(__xludf.DUMMYFUNCTION("""COMPUTED_VALUE"""),137895.0)</f>
        <v>137895</v>
      </c>
    </row>
    <row r="1384">
      <c r="A1384" s="20">
        <f>IFERROR(__xludf.DUMMYFUNCTION("""COMPUTED_VALUE"""),1499.0)</f>
        <v>1499</v>
      </c>
      <c r="B1384" s="20" t="str">
        <f>IFERROR(__xludf.DUMMYFUNCTION("""COMPUTED_VALUE"""),"Maximum Performance of a Team")</f>
        <v>Maximum Performance of a Team</v>
      </c>
      <c r="C1384" s="20" t="str">
        <f>IFERROR(__xludf.DUMMYFUNCTION("""COMPUTED_VALUE"""),"maximum-performance-of-a-team")</f>
        <v>maximum-performance-of-a-team</v>
      </c>
      <c r="D1384" s="20" t="b">
        <f>IFERROR(__xludf.DUMMYFUNCTION("""COMPUTED_VALUE"""),FALSE)</f>
        <v>0</v>
      </c>
      <c r="E1384" s="20" t="str">
        <f>IFERROR(__xludf.DUMMYFUNCTION("""COMPUTED_VALUE"""),"Hard")</f>
        <v>Hard</v>
      </c>
      <c r="F1384" s="20">
        <f>IFERROR(__xludf.DUMMYFUNCTION("""COMPUTED_VALUE"""),2693.0)</f>
        <v>2693</v>
      </c>
      <c r="G1384" s="20">
        <f>IFERROR(__xludf.DUMMYFUNCTION("""COMPUTED_VALUE"""),73.0)</f>
        <v>73</v>
      </c>
      <c r="H1384" s="20" t="str">
        <f>IFERROR(__xludf.DUMMYFUNCTION("""COMPUTED_VALUE"""),"Algorithms")</f>
        <v>Algorithms</v>
      </c>
      <c r="I1384" s="20">
        <f>IFERROR(__xludf.DUMMYFUNCTION("""COMPUTED_VALUE"""),0.487)</f>
        <v>0.487</v>
      </c>
      <c r="J1384" s="20">
        <f>IFERROR(__xludf.DUMMYFUNCTION("""COMPUTED_VALUE"""),1383.0)</f>
        <v>1383</v>
      </c>
      <c r="K1384" s="20" t="b">
        <f>IFERROR(__xludf.DUMMYFUNCTION("""COMPUTED_VALUE"""),FALSE)</f>
        <v>0</v>
      </c>
      <c r="L1384" s="20" t="str">
        <f>IFERROR(__xludf.DUMMYFUNCTION("""COMPUTED_VALUE"""),"Array;Greedy;Sorting;Heap (Priority Queue);")</f>
        <v>Array;Greedy;Sorting;Heap (Priority Queue);</v>
      </c>
      <c r="M1384" s="20" t="b">
        <f>IFERROR(__xludf.DUMMYFUNCTION("""COMPUTED_VALUE"""),TRUE)</f>
        <v>1</v>
      </c>
      <c r="N1384" s="20" t="b">
        <f>IFERROR(__xludf.DUMMYFUNCTION("""COMPUTED_VALUE"""),FALSE)</f>
        <v>0</v>
      </c>
      <c r="O1384" s="20">
        <f>IFERROR(__xludf.DUMMYFUNCTION("""COMPUTED_VALUE"""),48.7217334484609)</f>
        <v>48.72173345</v>
      </c>
      <c r="P1384" s="20">
        <f>IFERROR(__xludf.DUMMYFUNCTION("""COMPUTED_VALUE"""),83511.0)</f>
        <v>83511</v>
      </c>
      <c r="Q1384" s="20">
        <f>IFERROR(__xludf.DUMMYFUNCTION("""COMPUTED_VALUE"""),171404.0)</f>
        <v>171404</v>
      </c>
    </row>
    <row r="1385">
      <c r="A1385" s="20">
        <f>IFERROR(__xludf.DUMMYFUNCTION("""COMPUTED_VALUE"""),1518.0)</f>
        <v>1518</v>
      </c>
      <c r="B1385" s="20" t="str">
        <f>IFERROR(__xludf.DUMMYFUNCTION("""COMPUTED_VALUE"""),"Total Sales Amount by Year")</f>
        <v>Total Sales Amount by Year</v>
      </c>
      <c r="C1385" s="20" t="str">
        <f>IFERROR(__xludf.DUMMYFUNCTION("""COMPUTED_VALUE"""),"total-sales-amount-by-year")</f>
        <v>total-sales-amount-by-year</v>
      </c>
      <c r="D1385" s="20" t="b">
        <f>IFERROR(__xludf.DUMMYFUNCTION("""COMPUTED_VALUE"""),TRUE)</f>
        <v>1</v>
      </c>
      <c r="E1385" s="20" t="str">
        <f>IFERROR(__xludf.DUMMYFUNCTION("""COMPUTED_VALUE"""),"Hard")</f>
        <v>Hard</v>
      </c>
      <c r="F1385" s="20">
        <f>IFERROR(__xludf.DUMMYFUNCTION("""COMPUTED_VALUE"""),192.0)</f>
        <v>192</v>
      </c>
      <c r="G1385" s="20">
        <f>IFERROR(__xludf.DUMMYFUNCTION("""COMPUTED_VALUE"""),98.0)</f>
        <v>98</v>
      </c>
      <c r="H1385" s="20" t="str">
        <f>IFERROR(__xludf.DUMMYFUNCTION("""COMPUTED_VALUE"""),"Database")</f>
        <v>Database</v>
      </c>
      <c r="I1385" s="20">
        <f>IFERROR(__xludf.DUMMYFUNCTION("""COMPUTED_VALUE"""),0.672)</f>
        <v>0.672</v>
      </c>
      <c r="J1385" s="20">
        <f>IFERROR(__xludf.DUMMYFUNCTION("""COMPUTED_VALUE"""),1384.0)</f>
        <v>1384</v>
      </c>
      <c r="K1385" s="20" t="b">
        <f>IFERROR(__xludf.DUMMYFUNCTION("""COMPUTED_VALUE"""),TRUE)</f>
        <v>1</v>
      </c>
      <c r="L1385" s="20" t="str">
        <f>IFERROR(__xludf.DUMMYFUNCTION("""COMPUTED_VALUE"""),"Database;")</f>
        <v>Database;</v>
      </c>
      <c r="M1385" s="20" t="b">
        <f>IFERROR(__xludf.DUMMYFUNCTION("""COMPUTED_VALUE"""),FALSE)</f>
        <v>0</v>
      </c>
      <c r="N1385" s="20" t="b">
        <f>IFERROR(__xludf.DUMMYFUNCTION("""COMPUTED_VALUE"""),FALSE)</f>
        <v>0</v>
      </c>
      <c r="O1385" s="20">
        <f>IFERROR(__xludf.DUMMYFUNCTION("""COMPUTED_VALUE"""),67.1674679487179)</f>
        <v>67.16746795</v>
      </c>
      <c r="P1385" s="20">
        <f>IFERROR(__xludf.DUMMYFUNCTION("""COMPUTED_VALUE"""),13412.0)</f>
        <v>13412</v>
      </c>
      <c r="Q1385" s="20">
        <f>IFERROR(__xludf.DUMMYFUNCTION("""COMPUTED_VALUE"""),19968.0)</f>
        <v>19968</v>
      </c>
    </row>
    <row r="1386">
      <c r="A1386" s="20">
        <f>IFERROR(__xludf.DUMMYFUNCTION("""COMPUTED_VALUE"""),1486.0)</f>
        <v>1486</v>
      </c>
      <c r="B1386" s="20" t="str">
        <f>IFERROR(__xludf.DUMMYFUNCTION("""COMPUTED_VALUE"""),"Find the Distance Value Between Two Arrays")</f>
        <v>Find the Distance Value Between Two Arrays</v>
      </c>
      <c r="C1386" s="20" t="str">
        <f>IFERROR(__xludf.DUMMYFUNCTION("""COMPUTED_VALUE"""),"find-the-distance-value-between-two-arrays")</f>
        <v>find-the-distance-value-between-two-arrays</v>
      </c>
      <c r="D1386" s="20" t="b">
        <f>IFERROR(__xludf.DUMMYFUNCTION("""COMPUTED_VALUE"""),FALSE)</f>
        <v>0</v>
      </c>
      <c r="E1386" s="20" t="str">
        <f>IFERROR(__xludf.DUMMYFUNCTION("""COMPUTED_VALUE"""),"Easy")</f>
        <v>Easy</v>
      </c>
      <c r="F1386" s="20">
        <f>IFERROR(__xludf.DUMMYFUNCTION("""COMPUTED_VALUE"""),643.0)</f>
        <v>643</v>
      </c>
      <c r="G1386" s="20">
        <f>IFERROR(__xludf.DUMMYFUNCTION("""COMPUTED_VALUE"""),2397.0)</f>
        <v>2397</v>
      </c>
      <c r="H1386" s="20" t="str">
        <f>IFERROR(__xludf.DUMMYFUNCTION("""COMPUTED_VALUE"""),"Algorithms")</f>
        <v>Algorithms</v>
      </c>
      <c r="I1386" s="20">
        <f>IFERROR(__xludf.DUMMYFUNCTION("""COMPUTED_VALUE"""),0.658)</f>
        <v>0.658</v>
      </c>
      <c r="J1386" s="20">
        <f>IFERROR(__xludf.DUMMYFUNCTION("""COMPUTED_VALUE"""),1385.0)</f>
        <v>1385</v>
      </c>
      <c r="K1386" s="20" t="b">
        <f>IFERROR(__xludf.DUMMYFUNCTION("""COMPUTED_VALUE"""),FALSE)</f>
        <v>0</v>
      </c>
      <c r="L1386" s="20" t="str">
        <f>IFERROR(__xludf.DUMMYFUNCTION("""COMPUTED_VALUE"""),"Array;Two Pointers;Binary Search;Sorting;")</f>
        <v>Array;Two Pointers;Binary Search;Sorting;</v>
      </c>
      <c r="M1386" s="20" t="b">
        <f>IFERROR(__xludf.DUMMYFUNCTION("""COMPUTED_VALUE"""),FALSE)</f>
        <v>0</v>
      </c>
      <c r="N1386" s="20" t="b">
        <f>IFERROR(__xludf.DUMMYFUNCTION("""COMPUTED_VALUE"""),FALSE)</f>
        <v>0</v>
      </c>
      <c r="O1386" s="20">
        <f>IFERROR(__xludf.DUMMYFUNCTION("""COMPUTED_VALUE"""),65.7781104791813)</f>
        <v>65.77811048</v>
      </c>
      <c r="P1386" s="20">
        <f>IFERROR(__xludf.DUMMYFUNCTION("""COMPUTED_VALUE"""),72054.0)</f>
        <v>72054</v>
      </c>
      <c r="Q1386" s="20">
        <f>IFERROR(__xludf.DUMMYFUNCTION("""COMPUTED_VALUE"""),109541.0)</f>
        <v>109541</v>
      </c>
    </row>
    <row r="1387">
      <c r="A1387" s="20">
        <f>IFERROR(__xludf.DUMMYFUNCTION("""COMPUTED_VALUE"""),1487.0)</f>
        <v>1487</v>
      </c>
      <c r="B1387" s="20" t="str">
        <f>IFERROR(__xludf.DUMMYFUNCTION("""COMPUTED_VALUE"""),"Cinema Seat Allocation")</f>
        <v>Cinema Seat Allocation</v>
      </c>
      <c r="C1387" s="20" t="str">
        <f>IFERROR(__xludf.DUMMYFUNCTION("""COMPUTED_VALUE"""),"cinema-seat-allocation")</f>
        <v>cinema-seat-allocation</v>
      </c>
      <c r="D1387" s="20" t="b">
        <f>IFERROR(__xludf.DUMMYFUNCTION("""COMPUTED_VALUE"""),FALSE)</f>
        <v>0</v>
      </c>
      <c r="E1387" s="20" t="str">
        <f>IFERROR(__xludf.DUMMYFUNCTION("""COMPUTED_VALUE"""),"Medium")</f>
        <v>Medium</v>
      </c>
      <c r="F1387" s="20">
        <f>IFERROR(__xludf.DUMMYFUNCTION("""COMPUTED_VALUE"""),673.0)</f>
        <v>673</v>
      </c>
      <c r="G1387" s="20">
        <f>IFERROR(__xludf.DUMMYFUNCTION("""COMPUTED_VALUE"""),337.0)</f>
        <v>337</v>
      </c>
      <c r="H1387" s="20" t="str">
        <f>IFERROR(__xludf.DUMMYFUNCTION("""COMPUTED_VALUE"""),"Algorithms")</f>
        <v>Algorithms</v>
      </c>
      <c r="I1387" s="20">
        <f>IFERROR(__xludf.DUMMYFUNCTION("""COMPUTED_VALUE"""),0.409)</f>
        <v>0.409</v>
      </c>
      <c r="J1387" s="20">
        <f>IFERROR(__xludf.DUMMYFUNCTION("""COMPUTED_VALUE"""),1386.0)</f>
        <v>1386</v>
      </c>
      <c r="K1387" s="20" t="b">
        <f>IFERROR(__xludf.DUMMYFUNCTION("""COMPUTED_VALUE"""),FALSE)</f>
        <v>0</v>
      </c>
      <c r="L1387" s="20" t="str">
        <f>IFERROR(__xludf.DUMMYFUNCTION("""COMPUTED_VALUE"""),"Array;Hash Table;Greedy;Bit Manipulation;")</f>
        <v>Array;Hash Table;Greedy;Bit Manipulation;</v>
      </c>
      <c r="M1387" s="20" t="b">
        <f>IFERROR(__xludf.DUMMYFUNCTION("""COMPUTED_VALUE"""),FALSE)</f>
        <v>0</v>
      </c>
      <c r="N1387" s="20" t="b">
        <f>IFERROR(__xludf.DUMMYFUNCTION("""COMPUTED_VALUE"""),FALSE)</f>
        <v>0</v>
      </c>
      <c r="O1387" s="20">
        <f>IFERROR(__xludf.DUMMYFUNCTION("""COMPUTED_VALUE"""),40.8513306239434)</f>
        <v>40.85133062</v>
      </c>
      <c r="P1387" s="20">
        <f>IFERROR(__xludf.DUMMYFUNCTION("""COMPUTED_VALUE"""),36488.0)</f>
        <v>36488</v>
      </c>
      <c r="Q1387" s="20">
        <f>IFERROR(__xludf.DUMMYFUNCTION("""COMPUTED_VALUE"""),89319.0)</f>
        <v>89319</v>
      </c>
    </row>
    <row r="1388">
      <c r="A1388" s="20">
        <f>IFERROR(__xludf.DUMMYFUNCTION("""COMPUTED_VALUE"""),1488.0)</f>
        <v>1488</v>
      </c>
      <c r="B1388" s="20" t="str">
        <f>IFERROR(__xludf.DUMMYFUNCTION("""COMPUTED_VALUE"""),"Sort Integers by The Power Value")</f>
        <v>Sort Integers by The Power Value</v>
      </c>
      <c r="C1388" s="20" t="str">
        <f>IFERROR(__xludf.DUMMYFUNCTION("""COMPUTED_VALUE"""),"sort-integers-by-the-power-value")</f>
        <v>sort-integers-by-the-power-value</v>
      </c>
      <c r="D1388" s="20" t="b">
        <f>IFERROR(__xludf.DUMMYFUNCTION("""COMPUTED_VALUE"""),FALSE)</f>
        <v>0</v>
      </c>
      <c r="E1388" s="20" t="str">
        <f>IFERROR(__xludf.DUMMYFUNCTION("""COMPUTED_VALUE"""),"Medium")</f>
        <v>Medium</v>
      </c>
      <c r="F1388" s="20">
        <f>IFERROR(__xludf.DUMMYFUNCTION("""COMPUTED_VALUE"""),1159.0)</f>
        <v>1159</v>
      </c>
      <c r="G1388" s="20">
        <f>IFERROR(__xludf.DUMMYFUNCTION("""COMPUTED_VALUE"""),103.0)</f>
        <v>103</v>
      </c>
      <c r="H1388" s="20" t="str">
        <f>IFERROR(__xludf.DUMMYFUNCTION("""COMPUTED_VALUE"""),"Algorithms")</f>
        <v>Algorithms</v>
      </c>
      <c r="I1388" s="20">
        <f>IFERROR(__xludf.DUMMYFUNCTION("""COMPUTED_VALUE"""),0.701)</f>
        <v>0.701</v>
      </c>
      <c r="J1388" s="20">
        <f>IFERROR(__xludf.DUMMYFUNCTION("""COMPUTED_VALUE"""),1387.0)</f>
        <v>1387</v>
      </c>
      <c r="K1388" s="20" t="b">
        <f>IFERROR(__xludf.DUMMYFUNCTION("""COMPUTED_VALUE"""),FALSE)</f>
        <v>0</v>
      </c>
      <c r="L1388" s="20" t="str">
        <f>IFERROR(__xludf.DUMMYFUNCTION("""COMPUTED_VALUE"""),"Dynamic Programming;Memoization;Sorting;")</f>
        <v>Dynamic Programming;Memoization;Sorting;</v>
      </c>
      <c r="M1388" s="20" t="b">
        <f>IFERROR(__xludf.DUMMYFUNCTION("""COMPUTED_VALUE"""),FALSE)</f>
        <v>0</v>
      </c>
      <c r="N1388" s="20" t="b">
        <f>IFERROR(__xludf.DUMMYFUNCTION("""COMPUTED_VALUE"""),FALSE)</f>
        <v>0</v>
      </c>
      <c r="O1388" s="20">
        <f>IFERROR(__xludf.DUMMYFUNCTION("""COMPUTED_VALUE"""),70.1114429025899)</f>
        <v>70.1114429</v>
      </c>
      <c r="P1388" s="20">
        <f>IFERROR(__xludf.DUMMYFUNCTION("""COMPUTED_VALUE"""),71846.0)</f>
        <v>71846</v>
      </c>
      <c r="Q1388" s="20">
        <f>IFERROR(__xludf.DUMMYFUNCTION("""COMPUTED_VALUE"""),102474.0)</f>
        <v>102474</v>
      </c>
    </row>
    <row r="1389">
      <c r="A1389" s="20">
        <f>IFERROR(__xludf.DUMMYFUNCTION("""COMPUTED_VALUE"""),1489.0)</f>
        <v>1489</v>
      </c>
      <c r="B1389" s="20" t="str">
        <f>IFERROR(__xludf.DUMMYFUNCTION("""COMPUTED_VALUE"""),"Pizza With 3n Slices")</f>
        <v>Pizza With 3n Slices</v>
      </c>
      <c r="C1389" s="20" t="str">
        <f>IFERROR(__xludf.DUMMYFUNCTION("""COMPUTED_VALUE"""),"pizza-with-3n-slices")</f>
        <v>pizza-with-3n-slices</v>
      </c>
      <c r="D1389" s="20" t="b">
        <f>IFERROR(__xludf.DUMMYFUNCTION("""COMPUTED_VALUE"""),FALSE)</f>
        <v>0</v>
      </c>
      <c r="E1389" s="20" t="str">
        <f>IFERROR(__xludf.DUMMYFUNCTION("""COMPUTED_VALUE"""),"Hard")</f>
        <v>Hard</v>
      </c>
      <c r="F1389" s="20">
        <f>IFERROR(__xludf.DUMMYFUNCTION("""COMPUTED_VALUE"""),753.0)</f>
        <v>753</v>
      </c>
      <c r="G1389" s="20">
        <f>IFERROR(__xludf.DUMMYFUNCTION("""COMPUTED_VALUE"""),13.0)</f>
        <v>13</v>
      </c>
      <c r="H1389" s="20" t="str">
        <f>IFERROR(__xludf.DUMMYFUNCTION("""COMPUTED_VALUE"""),"Algorithms")</f>
        <v>Algorithms</v>
      </c>
      <c r="I1389" s="20">
        <f>IFERROR(__xludf.DUMMYFUNCTION("""COMPUTED_VALUE"""),0.501)</f>
        <v>0.501</v>
      </c>
      <c r="J1389" s="20">
        <f>IFERROR(__xludf.DUMMYFUNCTION("""COMPUTED_VALUE"""),1388.0)</f>
        <v>1388</v>
      </c>
      <c r="K1389" s="20" t="b">
        <f>IFERROR(__xludf.DUMMYFUNCTION("""COMPUTED_VALUE"""),FALSE)</f>
        <v>0</v>
      </c>
      <c r="L1389" s="20" t="str">
        <f>IFERROR(__xludf.DUMMYFUNCTION("""COMPUTED_VALUE"""),"Array;Dynamic Programming;Greedy;Heap (Priority Queue);")</f>
        <v>Array;Dynamic Programming;Greedy;Heap (Priority Queue);</v>
      </c>
      <c r="M1389" s="20" t="b">
        <f>IFERROR(__xludf.DUMMYFUNCTION("""COMPUTED_VALUE"""),FALSE)</f>
        <v>0</v>
      </c>
      <c r="N1389" s="20" t="b">
        <f>IFERROR(__xludf.DUMMYFUNCTION("""COMPUTED_VALUE"""),FALSE)</f>
        <v>0</v>
      </c>
      <c r="O1389" s="20">
        <f>IFERROR(__xludf.DUMMYFUNCTION("""COMPUTED_VALUE"""),50.1177973884917)</f>
        <v>50.11779739</v>
      </c>
      <c r="P1389" s="20">
        <f>IFERROR(__xludf.DUMMYFUNCTION("""COMPUTED_VALUE"""),12551.0)</f>
        <v>12551</v>
      </c>
      <c r="Q1389" s="20">
        <f>IFERROR(__xludf.DUMMYFUNCTION("""COMPUTED_VALUE"""),25043.0)</f>
        <v>25043</v>
      </c>
    </row>
    <row r="1390">
      <c r="A1390" s="20">
        <f>IFERROR(__xludf.DUMMYFUNCTION("""COMPUTED_VALUE"""),1505.0)</f>
        <v>1505</v>
      </c>
      <c r="B1390" s="20" t="str">
        <f>IFERROR(__xludf.DUMMYFUNCTION("""COMPUTED_VALUE"""),"Create Target Array in the Given Order")</f>
        <v>Create Target Array in the Given Order</v>
      </c>
      <c r="C1390" s="20" t="str">
        <f>IFERROR(__xludf.DUMMYFUNCTION("""COMPUTED_VALUE"""),"create-target-array-in-the-given-order")</f>
        <v>create-target-array-in-the-given-order</v>
      </c>
      <c r="D1390" s="20" t="b">
        <f>IFERROR(__xludf.DUMMYFUNCTION("""COMPUTED_VALUE"""),FALSE)</f>
        <v>0</v>
      </c>
      <c r="E1390" s="20" t="str">
        <f>IFERROR(__xludf.DUMMYFUNCTION("""COMPUTED_VALUE"""),"Easy")</f>
        <v>Easy</v>
      </c>
      <c r="F1390" s="20">
        <f>IFERROR(__xludf.DUMMYFUNCTION("""COMPUTED_VALUE"""),1449.0)</f>
        <v>1449</v>
      </c>
      <c r="G1390" s="20">
        <f>IFERROR(__xludf.DUMMYFUNCTION("""COMPUTED_VALUE"""),1461.0)</f>
        <v>1461</v>
      </c>
      <c r="H1390" s="20" t="str">
        <f>IFERROR(__xludf.DUMMYFUNCTION("""COMPUTED_VALUE"""),"Algorithms")</f>
        <v>Algorithms</v>
      </c>
      <c r="I1390" s="20">
        <f>IFERROR(__xludf.DUMMYFUNCTION("""COMPUTED_VALUE"""),0.859)</f>
        <v>0.859</v>
      </c>
      <c r="J1390" s="20">
        <f>IFERROR(__xludf.DUMMYFUNCTION("""COMPUTED_VALUE"""),1389.0)</f>
        <v>1389</v>
      </c>
      <c r="K1390" s="20" t="b">
        <f>IFERROR(__xludf.DUMMYFUNCTION("""COMPUTED_VALUE"""),FALSE)</f>
        <v>0</v>
      </c>
      <c r="L1390" s="20" t="str">
        <f>IFERROR(__xludf.DUMMYFUNCTION("""COMPUTED_VALUE"""),"Array;Simulation;")</f>
        <v>Array;Simulation;</v>
      </c>
      <c r="M1390" s="20" t="b">
        <f>IFERROR(__xludf.DUMMYFUNCTION("""COMPUTED_VALUE"""),FALSE)</f>
        <v>0</v>
      </c>
      <c r="N1390" s="20" t="b">
        <f>IFERROR(__xludf.DUMMYFUNCTION("""COMPUTED_VALUE"""),FALSE)</f>
        <v>0</v>
      </c>
      <c r="O1390" s="20">
        <f>IFERROR(__xludf.DUMMYFUNCTION("""COMPUTED_VALUE"""),85.8551617873651)</f>
        <v>85.85516179</v>
      </c>
      <c r="P1390" s="20">
        <f>IFERROR(__xludf.DUMMYFUNCTION("""COMPUTED_VALUE"""),175516.0)</f>
        <v>175516</v>
      </c>
      <c r="Q1390" s="20">
        <f>IFERROR(__xludf.DUMMYFUNCTION("""COMPUTED_VALUE"""),204432.0)</f>
        <v>204432</v>
      </c>
    </row>
    <row r="1391">
      <c r="A1391" s="20">
        <f>IFERROR(__xludf.DUMMYFUNCTION("""COMPUTED_VALUE"""),1284.0)</f>
        <v>1284</v>
      </c>
      <c r="B1391" s="20" t="str">
        <f>IFERROR(__xludf.DUMMYFUNCTION("""COMPUTED_VALUE"""),"Four Divisors")</f>
        <v>Four Divisors</v>
      </c>
      <c r="C1391" s="20" t="str">
        <f>IFERROR(__xludf.DUMMYFUNCTION("""COMPUTED_VALUE"""),"four-divisors")</f>
        <v>four-divisors</v>
      </c>
      <c r="D1391" s="20" t="b">
        <f>IFERROR(__xludf.DUMMYFUNCTION("""COMPUTED_VALUE"""),FALSE)</f>
        <v>0</v>
      </c>
      <c r="E1391" s="20" t="str">
        <f>IFERROR(__xludf.DUMMYFUNCTION("""COMPUTED_VALUE"""),"Medium")</f>
        <v>Medium</v>
      </c>
      <c r="F1391" s="20">
        <f>IFERROR(__xludf.DUMMYFUNCTION("""COMPUTED_VALUE"""),288.0)</f>
        <v>288</v>
      </c>
      <c r="G1391" s="20">
        <f>IFERROR(__xludf.DUMMYFUNCTION("""COMPUTED_VALUE"""),163.0)</f>
        <v>163</v>
      </c>
      <c r="H1391" s="20" t="str">
        <f>IFERROR(__xludf.DUMMYFUNCTION("""COMPUTED_VALUE"""),"Algorithms")</f>
        <v>Algorithms</v>
      </c>
      <c r="I1391" s="20">
        <f>IFERROR(__xludf.DUMMYFUNCTION("""COMPUTED_VALUE"""),0.412)</f>
        <v>0.412</v>
      </c>
      <c r="J1391" s="20">
        <f>IFERROR(__xludf.DUMMYFUNCTION("""COMPUTED_VALUE"""),1390.0)</f>
        <v>1390</v>
      </c>
      <c r="K1391" s="20" t="b">
        <f>IFERROR(__xludf.DUMMYFUNCTION("""COMPUTED_VALUE"""),FALSE)</f>
        <v>0</v>
      </c>
      <c r="L1391" s="20" t="str">
        <f>IFERROR(__xludf.DUMMYFUNCTION("""COMPUTED_VALUE"""),"Array;Math;")</f>
        <v>Array;Math;</v>
      </c>
      <c r="M1391" s="20" t="b">
        <f>IFERROR(__xludf.DUMMYFUNCTION("""COMPUTED_VALUE"""),FALSE)</f>
        <v>0</v>
      </c>
      <c r="N1391" s="20" t="b">
        <f>IFERROR(__xludf.DUMMYFUNCTION("""COMPUTED_VALUE"""),FALSE)</f>
        <v>0</v>
      </c>
      <c r="O1391" s="20">
        <f>IFERROR(__xludf.DUMMYFUNCTION("""COMPUTED_VALUE"""),41.24445203141)</f>
        <v>41.24445203</v>
      </c>
      <c r="P1391" s="20">
        <f>IFERROR(__xludf.DUMMYFUNCTION("""COMPUTED_VALUE"""),24161.0)</f>
        <v>24161</v>
      </c>
      <c r="Q1391" s="20">
        <f>IFERROR(__xludf.DUMMYFUNCTION("""COMPUTED_VALUE"""),58580.0)</f>
        <v>58580</v>
      </c>
    </row>
    <row r="1392">
      <c r="A1392" s="20">
        <f>IFERROR(__xludf.DUMMYFUNCTION("""COMPUTED_VALUE"""),1507.0)</f>
        <v>1507</v>
      </c>
      <c r="B1392" s="20" t="str">
        <f>IFERROR(__xludf.DUMMYFUNCTION("""COMPUTED_VALUE"""),"Check if There is a Valid Path in a Grid")</f>
        <v>Check if There is a Valid Path in a Grid</v>
      </c>
      <c r="C1392" s="20" t="str">
        <f>IFERROR(__xludf.DUMMYFUNCTION("""COMPUTED_VALUE"""),"check-if-there-is-a-valid-path-in-a-grid")</f>
        <v>check-if-there-is-a-valid-path-in-a-grid</v>
      </c>
      <c r="D1392" s="20" t="b">
        <f>IFERROR(__xludf.DUMMYFUNCTION("""COMPUTED_VALUE"""),FALSE)</f>
        <v>0</v>
      </c>
      <c r="E1392" s="20" t="str">
        <f>IFERROR(__xludf.DUMMYFUNCTION("""COMPUTED_VALUE"""),"Medium")</f>
        <v>Medium</v>
      </c>
      <c r="F1392" s="20">
        <f>IFERROR(__xludf.DUMMYFUNCTION("""COMPUTED_VALUE"""),670.0)</f>
        <v>670</v>
      </c>
      <c r="G1392" s="20">
        <f>IFERROR(__xludf.DUMMYFUNCTION("""COMPUTED_VALUE"""),280.0)</f>
        <v>280</v>
      </c>
      <c r="H1392" s="20" t="str">
        <f>IFERROR(__xludf.DUMMYFUNCTION("""COMPUTED_VALUE"""),"Algorithms")</f>
        <v>Algorithms</v>
      </c>
      <c r="I1392" s="20">
        <f>IFERROR(__xludf.DUMMYFUNCTION("""COMPUTED_VALUE"""),0.472)</f>
        <v>0.472</v>
      </c>
      <c r="J1392" s="20">
        <f>IFERROR(__xludf.DUMMYFUNCTION("""COMPUTED_VALUE"""),1391.0)</f>
        <v>1391</v>
      </c>
      <c r="K1392" s="20" t="b">
        <f>IFERROR(__xludf.DUMMYFUNCTION("""COMPUTED_VALUE"""),FALSE)</f>
        <v>0</v>
      </c>
      <c r="L1392" s="20" t="str">
        <f>IFERROR(__xludf.DUMMYFUNCTION("""COMPUTED_VALUE"""),"Array;Depth-First Search;Breadth-First Search;Union Find;Matrix;")</f>
        <v>Array;Depth-First Search;Breadth-First Search;Union Find;Matrix;</v>
      </c>
      <c r="M1392" s="20" t="b">
        <f>IFERROR(__xludf.DUMMYFUNCTION("""COMPUTED_VALUE"""),FALSE)</f>
        <v>0</v>
      </c>
      <c r="N1392" s="20" t="b">
        <f>IFERROR(__xludf.DUMMYFUNCTION("""COMPUTED_VALUE"""),FALSE)</f>
        <v>0</v>
      </c>
      <c r="O1392" s="20">
        <f>IFERROR(__xludf.DUMMYFUNCTION("""COMPUTED_VALUE"""),47.1955401367637)</f>
        <v>47.19554014</v>
      </c>
      <c r="P1392" s="20">
        <f>IFERROR(__xludf.DUMMYFUNCTION("""COMPUTED_VALUE"""),23535.0)</f>
        <v>23535</v>
      </c>
      <c r="Q1392" s="20">
        <f>IFERROR(__xludf.DUMMYFUNCTION("""COMPUTED_VALUE"""),49867.0)</f>
        <v>49867</v>
      </c>
    </row>
    <row r="1393">
      <c r="A1393" s="20">
        <f>IFERROR(__xludf.DUMMYFUNCTION("""COMPUTED_VALUE"""),1508.0)</f>
        <v>1508</v>
      </c>
      <c r="B1393" s="20" t="str">
        <f>IFERROR(__xludf.DUMMYFUNCTION("""COMPUTED_VALUE"""),"Longest Happy Prefix")</f>
        <v>Longest Happy Prefix</v>
      </c>
      <c r="C1393" s="20" t="str">
        <f>IFERROR(__xludf.DUMMYFUNCTION("""COMPUTED_VALUE"""),"longest-happy-prefix")</f>
        <v>longest-happy-prefix</v>
      </c>
      <c r="D1393" s="20" t="b">
        <f>IFERROR(__xludf.DUMMYFUNCTION("""COMPUTED_VALUE"""),FALSE)</f>
        <v>0</v>
      </c>
      <c r="E1393" s="20" t="str">
        <f>IFERROR(__xludf.DUMMYFUNCTION("""COMPUTED_VALUE"""),"Hard")</f>
        <v>Hard</v>
      </c>
      <c r="F1393" s="20">
        <f>IFERROR(__xludf.DUMMYFUNCTION("""COMPUTED_VALUE"""),897.0)</f>
        <v>897</v>
      </c>
      <c r="G1393" s="20">
        <f>IFERROR(__xludf.DUMMYFUNCTION("""COMPUTED_VALUE"""),29.0)</f>
        <v>29</v>
      </c>
      <c r="H1393" s="20" t="str">
        <f>IFERROR(__xludf.DUMMYFUNCTION("""COMPUTED_VALUE"""),"Algorithms")</f>
        <v>Algorithms</v>
      </c>
      <c r="I1393" s="20">
        <f>IFERROR(__xludf.DUMMYFUNCTION("""COMPUTED_VALUE"""),0.449)</f>
        <v>0.449</v>
      </c>
      <c r="J1393" s="20">
        <f>IFERROR(__xludf.DUMMYFUNCTION("""COMPUTED_VALUE"""),1392.0)</f>
        <v>1392</v>
      </c>
      <c r="K1393" s="20" t="b">
        <f>IFERROR(__xludf.DUMMYFUNCTION("""COMPUTED_VALUE"""),FALSE)</f>
        <v>0</v>
      </c>
      <c r="L1393" s="20" t="str">
        <f>IFERROR(__xludf.DUMMYFUNCTION("""COMPUTED_VALUE"""),"String;Rolling Hash;String Matching;Hash Function;")</f>
        <v>String;Rolling Hash;String Matching;Hash Function;</v>
      </c>
      <c r="M1393" s="20" t="b">
        <f>IFERROR(__xludf.DUMMYFUNCTION("""COMPUTED_VALUE"""),FALSE)</f>
        <v>0</v>
      </c>
      <c r="N1393" s="20" t="b">
        <f>IFERROR(__xludf.DUMMYFUNCTION("""COMPUTED_VALUE"""),FALSE)</f>
        <v>0</v>
      </c>
      <c r="O1393" s="20">
        <f>IFERROR(__xludf.DUMMYFUNCTION("""COMPUTED_VALUE"""),44.866266927171)</f>
        <v>44.86626693</v>
      </c>
      <c r="P1393" s="20">
        <f>IFERROR(__xludf.DUMMYFUNCTION("""COMPUTED_VALUE"""),26637.0)</f>
        <v>26637</v>
      </c>
      <c r="Q1393" s="20">
        <f>IFERROR(__xludf.DUMMYFUNCTION("""COMPUTED_VALUE"""),59371.0)</f>
        <v>59371</v>
      </c>
    </row>
    <row r="1394">
      <c r="A1394" s="20">
        <f>IFERROR(__xludf.DUMMYFUNCTION("""COMPUTED_VALUE"""),1523.0)</f>
        <v>1523</v>
      </c>
      <c r="B1394" s="20" t="str">
        <f>IFERROR(__xludf.DUMMYFUNCTION("""COMPUTED_VALUE"""),"Capital Gain/Loss")</f>
        <v>Capital Gain/Loss</v>
      </c>
      <c r="C1394" s="20" t="str">
        <f>IFERROR(__xludf.DUMMYFUNCTION("""COMPUTED_VALUE"""),"capital-gainloss")</f>
        <v>capital-gainloss</v>
      </c>
      <c r="D1394" s="20" t="b">
        <f>IFERROR(__xludf.DUMMYFUNCTION("""COMPUTED_VALUE"""),FALSE)</f>
        <v>0</v>
      </c>
      <c r="E1394" s="20" t="str">
        <f>IFERROR(__xludf.DUMMYFUNCTION("""COMPUTED_VALUE"""),"Medium")</f>
        <v>Medium</v>
      </c>
      <c r="F1394" s="20">
        <f>IFERROR(__xludf.DUMMYFUNCTION("""COMPUTED_VALUE"""),522.0)</f>
        <v>522</v>
      </c>
      <c r="G1394" s="20">
        <f>IFERROR(__xludf.DUMMYFUNCTION("""COMPUTED_VALUE"""),35.0)</f>
        <v>35</v>
      </c>
      <c r="H1394" s="20" t="str">
        <f>IFERROR(__xludf.DUMMYFUNCTION("""COMPUTED_VALUE"""),"Database")</f>
        <v>Database</v>
      </c>
      <c r="I1394" s="20">
        <f>IFERROR(__xludf.DUMMYFUNCTION("""COMPUTED_VALUE"""),0.9)</f>
        <v>0.9</v>
      </c>
      <c r="J1394" s="20">
        <f>IFERROR(__xludf.DUMMYFUNCTION("""COMPUTED_VALUE"""),1393.0)</f>
        <v>1393</v>
      </c>
      <c r="K1394" s="20" t="b">
        <f>IFERROR(__xludf.DUMMYFUNCTION("""COMPUTED_VALUE"""),FALSE)</f>
        <v>0</v>
      </c>
      <c r="L1394" s="20" t="str">
        <f>IFERROR(__xludf.DUMMYFUNCTION("""COMPUTED_VALUE"""),"Database;")</f>
        <v>Database;</v>
      </c>
      <c r="M1394" s="20" t="b">
        <f>IFERROR(__xludf.DUMMYFUNCTION("""COMPUTED_VALUE"""),FALSE)</f>
        <v>0</v>
      </c>
      <c r="N1394" s="20" t="b">
        <f>IFERROR(__xludf.DUMMYFUNCTION("""COMPUTED_VALUE"""),FALSE)</f>
        <v>0</v>
      </c>
      <c r="O1394" s="20">
        <f>IFERROR(__xludf.DUMMYFUNCTION("""COMPUTED_VALUE"""),89.9690034040904)</f>
        <v>89.9690034</v>
      </c>
      <c r="P1394" s="20">
        <f>IFERROR(__xludf.DUMMYFUNCTION("""COMPUTED_VALUE"""),65014.0)</f>
        <v>65014</v>
      </c>
      <c r="Q1394" s="20">
        <f>IFERROR(__xludf.DUMMYFUNCTION("""COMPUTED_VALUE"""),72263.0)</f>
        <v>72263</v>
      </c>
    </row>
    <row r="1395">
      <c r="A1395" s="20">
        <f>IFERROR(__xludf.DUMMYFUNCTION("""COMPUTED_VALUE"""),1510.0)</f>
        <v>1510</v>
      </c>
      <c r="B1395" s="20" t="str">
        <f>IFERROR(__xludf.DUMMYFUNCTION("""COMPUTED_VALUE"""),"Find Lucky Integer in an Array")</f>
        <v>Find Lucky Integer in an Array</v>
      </c>
      <c r="C1395" s="20" t="str">
        <f>IFERROR(__xludf.DUMMYFUNCTION("""COMPUTED_VALUE"""),"find-lucky-integer-in-an-array")</f>
        <v>find-lucky-integer-in-an-array</v>
      </c>
      <c r="D1395" s="20" t="b">
        <f>IFERROR(__xludf.DUMMYFUNCTION("""COMPUTED_VALUE"""),FALSE)</f>
        <v>0</v>
      </c>
      <c r="E1395" s="20" t="str">
        <f>IFERROR(__xludf.DUMMYFUNCTION("""COMPUTED_VALUE"""),"Easy")</f>
        <v>Easy</v>
      </c>
      <c r="F1395" s="20">
        <f>IFERROR(__xludf.DUMMYFUNCTION("""COMPUTED_VALUE"""),842.0)</f>
        <v>842</v>
      </c>
      <c r="G1395" s="20">
        <f>IFERROR(__xludf.DUMMYFUNCTION("""COMPUTED_VALUE"""),24.0)</f>
        <v>24</v>
      </c>
      <c r="H1395" s="20" t="str">
        <f>IFERROR(__xludf.DUMMYFUNCTION("""COMPUTED_VALUE"""),"Algorithms")</f>
        <v>Algorithms</v>
      </c>
      <c r="I1395" s="20">
        <f>IFERROR(__xludf.DUMMYFUNCTION("""COMPUTED_VALUE"""),0.638)</f>
        <v>0.638</v>
      </c>
      <c r="J1395" s="20">
        <f>IFERROR(__xludf.DUMMYFUNCTION("""COMPUTED_VALUE"""),1394.0)</f>
        <v>1394</v>
      </c>
      <c r="K1395" s="20" t="b">
        <f>IFERROR(__xludf.DUMMYFUNCTION("""COMPUTED_VALUE"""),FALSE)</f>
        <v>0</v>
      </c>
      <c r="L1395" s="20" t="str">
        <f>IFERROR(__xludf.DUMMYFUNCTION("""COMPUTED_VALUE"""),"Array;Hash Table;Counting;")</f>
        <v>Array;Hash Table;Counting;</v>
      </c>
      <c r="M1395" s="20" t="b">
        <f>IFERROR(__xludf.DUMMYFUNCTION("""COMPUTED_VALUE"""),TRUE)</f>
        <v>1</v>
      </c>
      <c r="N1395" s="20" t="b">
        <f>IFERROR(__xludf.DUMMYFUNCTION("""COMPUTED_VALUE"""),FALSE)</f>
        <v>0</v>
      </c>
      <c r="O1395" s="20">
        <f>IFERROR(__xludf.DUMMYFUNCTION("""COMPUTED_VALUE"""),63.7638820916312)</f>
        <v>63.76388209</v>
      </c>
      <c r="P1395" s="20">
        <f>IFERROR(__xludf.DUMMYFUNCTION("""COMPUTED_VALUE"""),84688.0)</f>
        <v>84688</v>
      </c>
      <c r="Q1395" s="20">
        <f>IFERROR(__xludf.DUMMYFUNCTION("""COMPUTED_VALUE"""),132815.0)</f>
        <v>132815</v>
      </c>
    </row>
    <row r="1396">
      <c r="A1396" s="20">
        <f>IFERROR(__xludf.DUMMYFUNCTION("""COMPUTED_VALUE"""),1511.0)</f>
        <v>1511</v>
      </c>
      <c r="B1396" s="20" t="str">
        <f>IFERROR(__xludf.DUMMYFUNCTION("""COMPUTED_VALUE"""),"Count Number of Teams")</f>
        <v>Count Number of Teams</v>
      </c>
      <c r="C1396" s="20" t="str">
        <f>IFERROR(__xludf.DUMMYFUNCTION("""COMPUTED_VALUE"""),"count-number-of-teams")</f>
        <v>count-number-of-teams</v>
      </c>
      <c r="D1396" s="20" t="b">
        <f>IFERROR(__xludf.DUMMYFUNCTION("""COMPUTED_VALUE"""),FALSE)</f>
        <v>0</v>
      </c>
      <c r="E1396" s="20" t="str">
        <f>IFERROR(__xludf.DUMMYFUNCTION("""COMPUTED_VALUE"""),"Medium")</f>
        <v>Medium</v>
      </c>
      <c r="F1396" s="20">
        <f>IFERROR(__xludf.DUMMYFUNCTION("""COMPUTED_VALUE"""),2323.0)</f>
        <v>2323</v>
      </c>
      <c r="G1396" s="20">
        <f>IFERROR(__xludf.DUMMYFUNCTION("""COMPUTED_VALUE"""),176.0)</f>
        <v>176</v>
      </c>
      <c r="H1396" s="20" t="str">
        <f>IFERROR(__xludf.DUMMYFUNCTION("""COMPUTED_VALUE"""),"Algorithms")</f>
        <v>Algorithms</v>
      </c>
      <c r="I1396" s="20">
        <f>IFERROR(__xludf.DUMMYFUNCTION("""COMPUTED_VALUE"""),0.678)</f>
        <v>0.678</v>
      </c>
      <c r="J1396" s="20">
        <f>IFERROR(__xludf.DUMMYFUNCTION("""COMPUTED_VALUE"""),1395.0)</f>
        <v>1395</v>
      </c>
      <c r="K1396" s="20" t="b">
        <f>IFERROR(__xludf.DUMMYFUNCTION("""COMPUTED_VALUE"""),FALSE)</f>
        <v>0</v>
      </c>
      <c r="L1396" s="20" t="str">
        <f>IFERROR(__xludf.DUMMYFUNCTION("""COMPUTED_VALUE"""),"Array;Dynamic Programming;Binary Indexed Tree;")</f>
        <v>Array;Dynamic Programming;Binary Indexed Tree;</v>
      </c>
      <c r="M1396" s="20" t="b">
        <f>IFERROR(__xludf.DUMMYFUNCTION("""COMPUTED_VALUE"""),FALSE)</f>
        <v>0</v>
      </c>
      <c r="N1396" s="20" t="b">
        <f>IFERROR(__xludf.DUMMYFUNCTION("""COMPUTED_VALUE"""),FALSE)</f>
        <v>0</v>
      </c>
      <c r="O1396" s="20">
        <f>IFERROR(__xludf.DUMMYFUNCTION("""COMPUTED_VALUE"""),67.8097660294495)</f>
        <v>67.80976603</v>
      </c>
      <c r="P1396" s="20">
        <f>IFERROR(__xludf.DUMMYFUNCTION("""COMPUTED_VALUE"""),97582.0)</f>
        <v>97582</v>
      </c>
      <c r="Q1396" s="20">
        <f>IFERROR(__xludf.DUMMYFUNCTION("""COMPUTED_VALUE"""),143905.0)</f>
        <v>143905</v>
      </c>
    </row>
    <row r="1397">
      <c r="A1397" s="20">
        <f>IFERROR(__xludf.DUMMYFUNCTION("""COMPUTED_VALUE"""),1512.0)</f>
        <v>1512</v>
      </c>
      <c r="B1397" s="20" t="str">
        <f>IFERROR(__xludf.DUMMYFUNCTION("""COMPUTED_VALUE"""),"Design Underground System")</f>
        <v>Design Underground System</v>
      </c>
      <c r="C1397" s="20" t="str">
        <f>IFERROR(__xludf.DUMMYFUNCTION("""COMPUTED_VALUE"""),"design-underground-system")</f>
        <v>design-underground-system</v>
      </c>
      <c r="D1397" s="20" t="b">
        <f>IFERROR(__xludf.DUMMYFUNCTION("""COMPUTED_VALUE"""),FALSE)</f>
        <v>0</v>
      </c>
      <c r="E1397" s="20" t="str">
        <f>IFERROR(__xludf.DUMMYFUNCTION("""COMPUTED_VALUE"""),"Medium")</f>
        <v>Medium</v>
      </c>
      <c r="F1397" s="20">
        <f>IFERROR(__xludf.DUMMYFUNCTION("""COMPUTED_VALUE"""),2348.0)</f>
        <v>2348</v>
      </c>
      <c r="G1397" s="20">
        <f>IFERROR(__xludf.DUMMYFUNCTION("""COMPUTED_VALUE"""),113.0)</f>
        <v>113</v>
      </c>
      <c r="H1397" s="20" t="str">
        <f>IFERROR(__xludf.DUMMYFUNCTION("""COMPUTED_VALUE"""),"Algorithms")</f>
        <v>Algorithms</v>
      </c>
      <c r="I1397" s="20">
        <f>IFERROR(__xludf.DUMMYFUNCTION("""COMPUTED_VALUE"""),0.736)</f>
        <v>0.736</v>
      </c>
      <c r="J1397" s="20">
        <f>IFERROR(__xludf.DUMMYFUNCTION("""COMPUTED_VALUE"""),1396.0)</f>
        <v>1396</v>
      </c>
      <c r="K1397" s="20" t="b">
        <f>IFERROR(__xludf.DUMMYFUNCTION("""COMPUTED_VALUE"""),FALSE)</f>
        <v>0</v>
      </c>
      <c r="L1397" s="20" t="str">
        <f>IFERROR(__xludf.DUMMYFUNCTION("""COMPUTED_VALUE"""),"Hash Table;String;Design;")</f>
        <v>Hash Table;String;Design;</v>
      </c>
      <c r="M1397" s="20" t="b">
        <f>IFERROR(__xludf.DUMMYFUNCTION("""COMPUTED_VALUE"""),TRUE)</f>
        <v>1</v>
      </c>
      <c r="N1397" s="20" t="b">
        <f>IFERROR(__xludf.DUMMYFUNCTION("""COMPUTED_VALUE"""),FALSE)</f>
        <v>0</v>
      </c>
      <c r="O1397" s="20">
        <f>IFERROR(__xludf.DUMMYFUNCTION("""COMPUTED_VALUE"""),73.5904236916761)</f>
        <v>73.59042369</v>
      </c>
      <c r="P1397" s="20">
        <f>IFERROR(__xludf.DUMMYFUNCTION("""COMPUTED_VALUE"""),159533.0)</f>
        <v>159533</v>
      </c>
      <c r="Q1397" s="20">
        <f>IFERROR(__xludf.DUMMYFUNCTION("""COMPUTED_VALUE"""),216785.0)</f>
        <v>216785</v>
      </c>
    </row>
    <row r="1398">
      <c r="A1398" s="20">
        <f>IFERROR(__xludf.DUMMYFUNCTION("""COMPUTED_VALUE"""),1513.0)</f>
        <v>1513</v>
      </c>
      <c r="B1398" s="20" t="str">
        <f>IFERROR(__xludf.DUMMYFUNCTION("""COMPUTED_VALUE"""),"Find All Good Strings")</f>
        <v>Find All Good Strings</v>
      </c>
      <c r="C1398" s="20" t="str">
        <f>IFERROR(__xludf.DUMMYFUNCTION("""COMPUTED_VALUE"""),"find-all-good-strings")</f>
        <v>find-all-good-strings</v>
      </c>
      <c r="D1398" s="20" t="b">
        <f>IFERROR(__xludf.DUMMYFUNCTION("""COMPUTED_VALUE"""),FALSE)</f>
        <v>0</v>
      </c>
      <c r="E1398" s="20" t="str">
        <f>IFERROR(__xludf.DUMMYFUNCTION("""COMPUTED_VALUE"""),"Hard")</f>
        <v>Hard</v>
      </c>
      <c r="F1398" s="20">
        <f>IFERROR(__xludf.DUMMYFUNCTION("""COMPUTED_VALUE"""),376.0)</f>
        <v>376</v>
      </c>
      <c r="G1398" s="20">
        <f>IFERROR(__xludf.DUMMYFUNCTION("""COMPUTED_VALUE"""),115.0)</f>
        <v>115</v>
      </c>
      <c r="H1398" s="20" t="str">
        <f>IFERROR(__xludf.DUMMYFUNCTION("""COMPUTED_VALUE"""),"Algorithms")</f>
        <v>Algorithms</v>
      </c>
      <c r="I1398" s="20">
        <f>IFERROR(__xludf.DUMMYFUNCTION("""COMPUTED_VALUE"""),0.423)</f>
        <v>0.423</v>
      </c>
      <c r="J1398" s="20">
        <f>IFERROR(__xludf.DUMMYFUNCTION("""COMPUTED_VALUE"""),1397.0)</f>
        <v>1397</v>
      </c>
      <c r="K1398" s="20" t="b">
        <f>IFERROR(__xludf.DUMMYFUNCTION("""COMPUTED_VALUE"""),FALSE)</f>
        <v>0</v>
      </c>
      <c r="L1398" s="20" t="str">
        <f>IFERROR(__xludf.DUMMYFUNCTION("""COMPUTED_VALUE"""),"String;Dynamic Programming;String Matching;")</f>
        <v>String;Dynamic Programming;String Matching;</v>
      </c>
      <c r="M1398" s="20" t="b">
        <f>IFERROR(__xludf.DUMMYFUNCTION("""COMPUTED_VALUE"""),FALSE)</f>
        <v>0</v>
      </c>
      <c r="N1398" s="20" t="b">
        <f>IFERROR(__xludf.DUMMYFUNCTION("""COMPUTED_VALUE"""),FALSE)</f>
        <v>0</v>
      </c>
      <c r="O1398" s="20">
        <f>IFERROR(__xludf.DUMMYFUNCTION("""COMPUTED_VALUE"""),42.2687373396353)</f>
        <v>42.26873734</v>
      </c>
      <c r="P1398" s="20">
        <f>IFERROR(__xludf.DUMMYFUNCTION("""COMPUTED_VALUE"""),5008.0)</f>
        <v>5008</v>
      </c>
      <c r="Q1398" s="20">
        <f>IFERROR(__xludf.DUMMYFUNCTION("""COMPUTED_VALUE"""),11848.0)</f>
        <v>11848</v>
      </c>
    </row>
    <row r="1399">
      <c r="A1399" s="20">
        <f>IFERROR(__xludf.DUMMYFUNCTION("""COMPUTED_VALUE"""),1536.0)</f>
        <v>1536</v>
      </c>
      <c r="B1399" s="20" t="str">
        <f>IFERROR(__xludf.DUMMYFUNCTION("""COMPUTED_VALUE"""),"Customers Who Bought Products A and B but Not C")</f>
        <v>Customers Who Bought Products A and B but Not C</v>
      </c>
      <c r="C1399" s="20" t="str">
        <f>IFERROR(__xludf.DUMMYFUNCTION("""COMPUTED_VALUE"""),"customers-who-bought-products-a-and-b-but-not-c")</f>
        <v>customers-who-bought-products-a-and-b-but-not-c</v>
      </c>
      <c r="D1399" s="20" t="b">
        <f>IFERROR(__xludf.DUMMYFUNCTION("""COMPUTED_VALUE"""),TRUE)</f>
        <v>1</v>
      </c>
      <c r="E1399" s="20" t="str">
        <f>IFERROR(__xludf.DUMMYFUNCTION("""COMPUTED_VALUE"""),"Medium")</f>
        <v>Medium</v>
      </c>
      <c r="F1399" s="20">
        <f>IFERROR(__xludf.DUMMYFUNCTION("""COMPUTED_VALUE"""),235.0)</f>
        <v>235</v>
      </c>
      <c r="G1399" s="20">
        <f>IFERROR(__xludf.DUMMYFUNCTION("""COMPUTED_VALUE"""),13.0)</f>
        <v>13</v>
      </c>
      <c r="H1399" s="20" t="str">
        <f>IFERROR(__xludf.DUMMYFUNCTION("""COMPUTED_VALUE"""),"Database")</f>
        <v>Database</v>
      </c>
      <c r="I1399" s="20">
        <f>IFERROR(__xludf.DUMMYFUNCTION("""COMPUTED_VALUE"""),0.772)</f>
        <v>0.772</v>
      </c>
      <c r="J1399" s="20">
        <f>IFERROR(__xludf.DUMMYFUNCTION("""COMPUTED_VALUE"""),1398.0)</f>
        <v>1398</v>
      </c>
      <c r="K1399" s="20" t="b">
        <f>IFERROR(__xludf.DUMMYFUNCTION("""COMPUTED_VALUE"""),TRUE)</f>
        <v>1</v>
      </c>
      <c r="L1399" s="20" t="str">
        <f>IFERROR(__xludf.DUMMYFUNCTION("""COMPUTED_VALUE"""),"Database;")</f>
        <v>Database;</v>
      </c>
      <c r="M1399" s="20" t="b">
        <f>IFERROR(__xludf.DUMMYFUNCTION("""COMPUTED_VALUE"""),FALSE)</f>
        <v>0</v>
      </c>
      <c r="N1399" s="20" t="b">
        <f>IFERROR(__xludf.DUMMYFUNCTION("""COMPUTED_VALUE"""),FALSE)</f>
        <v>0</v>
      </c>
      <c r="O1399" s="20">
        <f>IFERROR(__xludf.DUMMYFUNCTION("""COMPUTED_VALUE"""),77.2032781484227)</f>
        <v>77.20327815</v>
      </c>
      <c r="P1399" s="20">
        <f>IFERROR(__xludf.DUMMYFUNCTION("""COMPUTED_VALUE"""),37493.0)</f>
        <v>37493</v>
      </c>
      <c r="Q1399" s="20">
        <f>IFERROR(__xludf.DUMMYFUNCTION("""COMPUTED_VALUE"""),48564.0)</f>
        <v>48564</v>
      </c>
    </row>
    <row r="1400">
      <c r="A1400" s="20">
        <f>IFERROR(__xludf.DUMMYFUNCTION("""COMPUTED_VALUE"""),1500.0)</f>
        <v>1500</v>
      </c>
      <c r="B1400" s="20" t="str">
        <f>IFERROR(__xludf.DUMMYFUNCTION("""COMPUTED_VALUE"""),"Count Largest Group")</f>
        <v>Count Largest Group</v>
      </c>
      <c r="C1400" s="20" t="str">
        <f>IFERROR(__xludf.DUMMYFUNCTION("""COMPUTED_VALUE"""),"count-largest-group")</f>
        <v>count-largest-group</v>
      </c>
      <c r="D1400" s="20" t="b">
        <f>IFERROR(__xludf.DUMMYFUNCTION("""COMPUTED_VALUE"""),FALSE)</f>
        <v>0</v>
      </c>
      <c r="E1400" s="20" t="str">
        <f>IFERROR(__xludf.DUMMYFUNCTION("""COMPUTED_VALUE"""),"Easy")</f>
        <v>Easy</v>
      </c>
      <c r="F1400" s="20">
        <f>IFERROR(__xludf.DUMMYFUNCTION("""COMPUTED_VALUE"""),338.0)</f>
        <v>338</v>
      </c>
      <c r="G1400" s="20">
        <f>IFERROR(__xludf.DUMMYFUNCTION("""COMPUTED_VALUE"""),768.0)</f>
        <v>768</v>
      </c>
      <c r="H1400" s="20" t="str">
        <f>IFERROR(__xludf.DUMMYFUNCTION("""COMPUTED_VALUE"""),"Algorithms")</f>
        <v>Algorithms</v>
      </c>
      <c r="I1400" s="20">
        <f>IFERROR(__xludf.DUMMYFUNCTION("""COMPUTED_VALUE"""),0.672)</f>
        <v>0.672</v>
      </c>
      <c r="J1400" s="20">
        <f>IFERROR(__xludf.DUMMYFUNCTION("""COMPUTED_VALUE"""),1399.0)</f>
        <v>1399</v>
      </c>
      <c r="K1400" s="20" t="b">
        <f>IFERROR(__xludf.DUMMYFUNCTION("""COMPUTED_VALUE"""),FALSE)</f>
        <v>0</v>
      </c>
      <c r="L1400" s="20" t="str">
        <f>IFERROR(__xludf.DUMMYFUNCTION("""COMPUTED_VALUE"""),"Hash Table;Math;")</f>
        <v>Hash Table;Math;</v>
      </c>
      <c r="M1400" s="20" t="b">
        <f>IFERROR(__xludf.DUMMYFUNCTION("""COMPUTED_VALUE"""),FALSE)</f>
        <v>0</v>
      </c>
      <c r="N1400" s="20" t="b">
        <f>IFERROR(__xludf.DUMMYFUNCTION("""COMPUTED_VALUE"""),FALSE)</f>
        <v>0</v>
      </c>
      <c r="O1400" s="20">
        <f>IFERROR(__xludf.DUMMYFUNCTION("""COMPUTED_VALUE"""),67.1687424969988)</f>
        <v>67.1687425</v>
      </c>
      <c r="P1400" s="20">
        <f>IFERROR(__xludf.DUMMYFUNCTION("""COMPUTED_VALUE"""),35809.0)</f>
        <v>35809</v>
      </c>
      <c r="Q1400" s="20">
        <f>IFERROR(__xludf.DUMMYFUNCTION("""COMPUTED_VALUE"""),53312.0)</f>
        <v>53312</v>
      </c>
    </row>
    <row r="1401">
      <c r="A1401" s="20">
        <f>IFERROR(__xludf.DUMMYFUNCTION("""COMPUTED_VALUE"""),1502.0)</f>
        <v>1502</v>
      </c>
      <c r="B1401" s="20" t="str">
        <f>IFERROR(__xludf.DUMMYFUNCTION("""COMPUTED_VALUE"""),"Construct K Palindrome Strings")</f>
        <v>Construct K Palindrome Strings</v>
      </c>
      <c r="C1401" s="20" t="str">
        <f>IFERROR(__xludf.DUMMYFUNCTION("""COMPUTED_VALUE"""),"construct-k-palindrome-strings")</f>
        <v>construct-k-palindrome-strings</v>
      </c>
      <c r="D1401" s="20" t="b">
        <f>IFERROR(__xludf.DUMMYFUNCTION("""COMPUTED_VALUE"""),FALSE)</f>
        <v>0</v>
      </c>
      <c r="E1401" s="20" t="str">
        <f>IFERROR(__xludf.DUMMYFUNCTION("""COMPUTED_VALUE"""),"Medium")</f>
        <v>Medium</v>
      </c>
      <c r="F1401" s="20">
        <f>IFERROR(__xludf.DUMMYFUNCTION("""COMPUTED_VALUE"""),867.0)</f>
        <v>867</v>
      </c>
      <c r="G1401" s="20">
        <f>IFERROR(__xludf.DUMMYFUNCTION("""COMPUTED_VALUE"""),81.0)</f>
        <v>81</v>
      </c>
      <c r="H1401" s="20" t="str">
        <f>IFERROR(__xludf.DUMMYFUNCTION("""COMPUTED_VALUE"""),"Algorithms")</f>
        <v>Algorithms</v>
      </c>
      <c r="I1401" s="20">
        <f>IFERROR(__xludf.DUMMYFUNCTION("""COMPUTED_VALUE"""),0.631)</f>
        <v>0.631</v>
      </c>
      <c r="J1401" s="20">
        <f>IFERROR(__xludf.DUMMYFUNCTION("""COMPUTED_VALUE"""),1400.0)</f>
        <v>1400</v>
      </c>
      <c r="K1401" s="20" t="b">
        <f>IFERROR(__xludf.DUMMYFUNCTION("""COMPUTED_VALUE"""),FALSE)</f>
        <v>0</v>
      </c>
      <c r="L1401" s="20" t="str">
        <f>IFERROR(__xludf.DUMMYFUNCTION("""COMPUTED_VALUE"""),"Hash Table;String;Greedy;Counting;")</f>
        <v>Hash Table;String;Greedy;Counting;</v>
      </c>
      <c r="M1401" s="20" t="b">
        <f>IFERROR(__xludf.DUMMYFUNCTION("""COMPUTED_VALUE"""),FALSE)</f>
        <v>0</v>
      </c>
      <c r="N1401" s="20" t="b">
        <f>IFERROR(__xludf.DUMMYFUNCTION("""COMPUTED_VALUE"""),FALSE)</f>
        <v>0</v>
      </c>
      <c r="O1401" s="20">
        <f>IFERROR(__xludf.DUMMYFUNCTION("""COMPUTED_VALUE"""),63.0802304834888)</f>
        <v>63.08023048</v>
      </c>
      <c r="P1401" s="20">
        <f>IFERROR(__xludf.DUMMYFUNCTION("""COMPUTED_VALUE"""),43133.0)</f>
        <v>43133</v>
      </c>
      <c r="Q1401" s="20">
        <f>IFERROR(__xludf.DUMMYFUNCTION("""COMPUTED_VALUE"""),68378.0)</f>
        <v>68378</v>
      </c>
    </row>
    <row r="1402">
      <c r="A1402" s="20">
        <f>IFERROR(__xludf.DUMMYFUNCTION("""COMPUTED_VALUE"""),1501.0)</f>
        <v>1501</v>
      </c>
      <c r="B1402" s="20" t="str">
        <f>IFERROR(__xludf.DUMMYFUNCTION("""COMPUTED_VALUE"""),"Circle and Rectangle Overlapping")</f>
        <v>Circle and Rectangle Overlapping</v>
      </c>
      <c r="C1402" s="20" t="str">
        <f>IFERROR(__xludf.DUMMYFUNCTION("""COMPUTED_VALUE"""),"circle-and-rectangle-overlapping")</f>
        <v>circle-and-rectangle-overlapping</v>
      </c>
      <c r="D1402" s="20" t="b">
        <f>IFERROR(__xludf.DUMMYFUNCTION("""COMPUTED_VALUE"""),FALSE)</f>
        <v>0</v>
      </c>
      <c r="E1402" s="20" t="str">
        <f>IFERROR(__xludf.DUMMYFUNCTION("""COMPUTED_VALUE"""),"Medium")</f>
        <v>Medium</v>
      </c>
      <c r="F1402" s="20">
        <f>IFERROR(__xludf.DUMMYFUNCTION("""COMPUTED_VALUE"""),265.0)</f>
        <v>265</v>
      </c>
      <c r="G1402" s="20">
        <f>IFERROR(__xludf.DUMMYFUNCTION("""COMPUTED_VALUE"""),60.0)</f>
        <v>60</v>
      </c>
      <c r="H1402" s="20" t="str">
        <f>IFERROR(__xludf.DUMMYFUNCTION("""COMPUTED_VALUE"""),"Algorithms")</f>
        <v>Algorithms</v>
      </c>
      <c r="I1402" s="20">
        <f>IFERROR(__xludf.DUMMYFUNCTION("""COMPUTED_VALUE"""),0.442)</f>
        <v>0.442</v>
      </c>
      <c r="J1402" s="20">
        <f>IFERROR(__xludf.DUMMYFUNCTION("""COMPUTED_VALUE"""),1401.0)</f>
        <v>1401</v>
      </c>
      <c r="K1402" s="20" t="b">
        <f>IFERROR(__xludf.DUMMYFUNCTION("""COMPUTED_VALUE"""),FALSE)</f>
        <v>0</v>
      </c>
      <c r="L1402" s="20" t="str">
        <f>IFERROR(__xludf.DUMMYFUNCTION("""COMPUTED_VALUE"""),"Math;Geometry;")</f>
        <v>Math;Geometry;</v>
      </c>
      <c r="M1402" s="20" t="b">
        <f>IFERROR(__xludf.DUMMYFUNCTION("""COMPUTED_VALUE"""),FALSE)</f>
        <v>0</v>
      </c>
      <c r="N1402" s="20" t="b">
        <f>IFERROR(__xludf.DUMMYFUNCTION("""COMPUTED_VALUE"""),FALSE)</f>
        <v>0</v>
      </c>
      <c r="O1402" s="20">
        <f>IFERROR(__xludf.DUMMYFUNCTION("""COMPUTED_VALUE"""),44.2004415707301)</f>
        <v>44.20044157</v>
      </c>
      <c r="P1402" s="20">
        <f>IFERROR(__xludf.DUMMYFUNCTION("""COMPUTED_VALUE"""),11211.0)</f>
        <v>11211</v>
      </c>
      <c r="Q1402" s="20">
        <f>IFERROR(__xludf.DUMMYFUNCTION("""COMPUTED_VALUE"""),25364.0)</f>
        <v>25364</v>
      </c>
    </row>
    <row r="1403">
      <c r="A1403" s="20">
        <f>IFERROR(__xludf.DUMMYFUNCTION("""COMPUTED_VALUE"""),1503.0)</f>
        <v>1503</v>
      </c>
      <c r="B1403" s="20" t="str">
        <f>IFERROR(__xludf.DUMMYFUNCTION("""COMPUTED_VALUE"""),"Reducing Dishes")</f>
        <v>Reducing Dishes</v>
      </c>
      <c r="C1403" s="20" t="str">
        <f>IFERROR(__xludf.DUMMYFUNCTION("""COMPUTED_VALUE"""),"reducing-dishes")</f>
        <v>reducing-dishes</v>
      </c>
      <c r="D1403" s="20" t="b">
        <f>IFERROR(__xludf.DUMMYFUNCTION("""COMPUTED_VALUE"""),FALSE)</f>
        <v>0</v>
      </c>
      <c r="E1403" s="20" t="str">
        <f>IFERROR(__xludf.DUMMYFUNCTION("""COMPUTED_VALUE"""),"Hard")</f>
        <v>Hard</v>
      </c>
      <c r="F1403" s="20">
        <f>IFERROR(__xludf.DUMMYFUNCTION("""COMPUTED_VALUE"""),1332.0)</f>
        <v>1332</v>
      </c>
      <c r="G1403" s="20">
        <f>IFERROR(__xludf.DUMMYFUNCTION("""COMPUTED_VALUE"""),163.0)</f>
        <v>163</v>
      </c>
      <c r="H1403" s="20" t="str">
        <f>IFERROR(__xludf.DUMMYFUNCTION("""COMPUTED_VALUE"""),"Algorithms")</f>
        <v>Algorithms</v>
      </c>
      <c r="I1403" s="20">
        <f>IFERROR(__xludf.DUMMYFUNCTION("""COMPUTED_VALUE"""),0.72)</f>
        <v>0.72</v>
      </c>
      <c r="J1403" s="20">
        <f>IFERROR(__xludf.DUMMYFUNCTION("""COMPUTED_VALUE"""),1402.0)</f>
        <v>1402</v>
      </c>
      <c r="K1403" s="20" t="b">
        <f>IFERROR(__xludf.DUMMYFUNCTION("""COMPUTED_VALUE"""),FALSE)</f>
        <v>0</v>
      </c>
      <c r="L1403" s="20" t="str">
        <f>IFERROR(__xludf.DUMMYFUNCTION("""COMPUTED_VALUE"""),"Array;Dynamic Programming;Greedy;Sorting;")</f>
        <v>Array;Dynamic Programming;Greedy;Sorting;</v>
      </c>
      <c r="M1403" s="20" t="b">
        <f>IFERROR(__xludf.DUMMYFUNCTION("""COMPUTED_VALUE"""),FALSE)</f>
        <v>0</v>
      </c>
      <c r="N1403" s="20" t="b">
        <f>IFERROR(__xludf.DUMMYFUNCTION("""COMPUTED_VALUE"""),FALSE)</f>
        <v>0</v>
      </c>
      <c r="O1403" s="20">
        <f>IFERROR(__xludf.DUMMYFUNCTION("""COMPUTED_VALUE"""),72.0340311524703)</f>
        <v>72.03403115</v>
      </c>
      <c r="P1403" s="20">
        <f>IFERROR(__xludf.DUMMYFUNCTION("""COMPUTED_VALUE"""),50546.0)</f>
        <v>50546</v>
      </c>
      <c r="Q1403" s="20">
        <f>IFERROR(__xludf.DUMMYFUNCTION("""COMPUTED_VALUE"""),70170.0)</f>
        <v>70170</v>
      </c>
    </row>
    <row r="1404">
      <c r="A1404" s="20">
        <f>IFERROR(__xludf.DUMMYFUNCTION("""COMPUTED_VALUE"""),1519.0)</f>
        <v>1519</v>
      </c>
      <c r="B1404" s="20" t="str">
        <f>IFERROR(__xludf.DUMMYFUNCTION("""COMPUTED_VALUE"""),"Minimum Subsequence in Non-Increasing Order")</f>
        <v>Minimum Subsequence in Non-Increasing Order</v>
      </c>
      <c r="C1404" s="20" t="str">
        <f>IFERROR(__xludf.DUMMYFUNCTION("""COMPUTED_VALUE"""),"minimum-subsequence-in-non-increasing-order")</f>
        <v>minimum-subsequence-in-non-increasing-order</v>
      </c>
      <c r="D1404" s="20" t="b">
        <f>IFERROR(__xludf.DUMMYFUNCTION("""COMPUTED_VALUE"""),FALSE)</f>
        <v>0</v>
      </c>
      <c r="E1404" s="20" t="str">
        <f>IFERROR(__xludf.DUMMYFUNCTION("""COMPUTED_VALUE"""),"Easy")</f>
        <v>Easy</v>
      </c>
      <c r="F1404" s="20">
        <f>IFERROR(__xludf.DUMMYFUNCTION("""COMPUTED_VALUE"""),449.0)</f>
        <v>449</v>
      </c>
      <c r="G1404" s="20">
        <f>IFERROR(__xludf.DUMMYFUNCTION("""COMPUTED_VALUE"""),436.0)</f>
        <v>436</v>
      </c>
      <c r="H1404" s="20" t="str">
        <f>IFERROR(__xludf.DUMMYFUNCTION("""COMPUTED_VALUE"""),"Algorithms")</f>
        <v>Algorithms</v>
      </c>
      <c r="I1404" s="20">
        <f>IFERROR(__xludf.DUMMYFUNCTION("""COMPUTED_VALUE"""),0.722)</f>
        <v>0.722</v>
      </c>
      <c r="J1404" s="20">
        <f>IFERROR(__xludf.DUMMYFUNCTION("""COMPUTED_VALUE"""),1403.0)</f>
        <v>1403</v>
      </c>
      <c r="K1404" s="20" t="b">
        <f>IFERROR(__xludf.DUMMYFUNCTION("""COMPUTED_VALUE"""),FALSE)</f>
        <v>0</v>
      </c>
      <c r="L1404" s="20" t="str">
        <f>IFERROR(__xludf.DUMMYFUNCTION("""COMPUTED_VALUE"""),"Array;Greedy;Sorting;")</f>
        <v>Array;Greedy;Sorting;</v>
      </c>
      <c r="M1404" s="20" t="b">
        <f>IFERROR(__xludf.DUMMYFUNCTION("""COMPUTED_VALUE"""),FALSE)</f>
        <v>0</v>
      </c>
      <c r="N1404" s="20" t="b">
        <f>IFERROR(__xludf.DUMMYFUNCTION("""COMPUTED_VALUE"""),FALSE)</f>
        <v>0</v>
      </c>
      <c r="O1404" s="20">
        <f>IFERROR(__xludf.DUMMYFUNCTION("""COMPUTED_VALUE"""),72.1903127952658)</f>
        <v>72.1903128</v>
      </c>
      <c r="P1404" s="20">
        <f>IFERROR(__xludf.DUMMYFUNCTION("""COMPUTED_VALUE"""),58066.0)</f>
        <v>58066</v>
      </c>
      <c r="Q1404" s="20">
        <f>IFERROR(__xludf.DUMMYFUNCTION("""COMPUTED_VALUE"""),80432.0)</f>
        <v>80432</v>
      </c>
    </row>
    <row r="1405">
      <c r="A1405" s="20">
        <f>IFERROR(__xludf.DUMMYFUNCTION("""COMPUTED_VALUE"""),1520.0)</f>
        <v>1520</v>
      </c>
      <c r="B1405" s="20" t="str">
        <f>IFERROR(__xludf.DUMMYFUNCTION("""COMPUTED_VALUE"""),"Number of Steps to Reduce a Number in Binary Representation to One")</f>
        <v>Number of Steps to Reduce a Number in Binary Representation to One</v>
      </c>
      <c r="C1405" s="20" t="str">
        <f>IFERROR(__xludf.DUMMYFUNCTION("""COMPUTED_VALUE"""),"number-of-steps-to-reduce-a-number-in-binary-representation-to-one")</f>
        <v>number-of-steps-to-reduce-a-number-in-binary-representation-to-one</v>
      </c>
      <c r="D1405" s="20" t="b">
        <f>IFERROR(__xludf.DUMMYFUNCTION("""COMPUTED_VALUE"""),FALSE)</f>
        <v>0</v>
      </c>
      <c r="E1405" s="20" t="str">
        <f>IFERROR(__xludf.DUMMYFUNCTION("""COMPUTED_VALUE"""),"Medium")</f>
        <v>Medium</v>
      </c>
      <c r="F1405" s="20">
        <f>IFERROR(__xludf.DUMMYFUNCTION("""COMPUTED_VALUE"""),627.0)</f>
        <v>627</v>
      </c>
      <c r="G1405" s="20">
        <f>IFERROR(__xludf.DUMMYFUNCTION("""COMPUTED_VALUE"""),53.0)</f>
        <v>53</v>
      </c>
      <c r="H1405" s="20" t="str">
        <f>IFERROR(__xludf.DUMMYFUNCTION("""COMPUTED_VALUE"""),"Algorithms")</f>
        <v>Algorithms</v>
      </c>
      <c r="I1405" s="20">
        <f>IFERROR(__xludf.DUMMYFUNCTION("""COMPUTED_VALUE"""),0.524)</f>
        <v>0.524</v>
      </c>
      <c r="J1405" s="20">
        <f>IFERROR(__xludf.DUMMYFUNCTION("""COMPUTED_VALUE"""),1404.0)</f>
        <v>1404</v>
      </c>
      <c r="K1405" s="20" t="b">
        <f>IFERROR(__xludf.DUMMYFUNCTION("""COMPUTED_VALUE"""),FALSE)</f>
        <v>0</v>
      </c>
      <c r="L1405" s="20" t="str">
        <f>IFERROR(__xludf.DUMMYFUNCTION("""COMPUTED_VALUE"""),"String;Bit Manipulation;")</f>
        <v>String;Bit Manipulation;</v>
      </c>
      <c r="M1405" s="20" t="b">
        <f>IFERROR(__xludf.DUMMYFUNCTION("""COMPUTED_VALUE"""),FALSE)</f>
        <v>0</v>
      </c>
      <c r="N1405" s="20" t="b">
        <f>IFERROR(__xludf.DUMMYFUNCTION("""COMPUTED_VALUE"""),FALSE)</f>
        <v>0</v>
      </c>
      <c r="O1405" s="20">
        <f>IFERROR(__xludf.DUMMYFUNCTION("""COMPUTED_VALUE"""),52.4011782128268)</f>
        <v>52.40117821</v>
      </c>
      <c r="P1405" s="20">
        <f>IFERROR(__xludf.DUMMYFUNCTION("""COMPUTED_VALUE"""),32199.0)</f>
        <v>32199</v>
      </c>
      <c r="Q1405" s="20">
        <f>IFERROR(__xludf.DUMMYFUNCTION("""COMPUTED_VALUE"""),61448.0)</f>
        <v>61448</v>
      </c>
    </row>
    <row r="1406">
      <c r="A1406" s="20">
        <f>IFERROR(__xludf.DUMMYFUNCTION("""COMPUTED_VALUE"""),1304.0)</f>
        <v>1304</v>
      </c>
      <c r="B1406" s="20" t="str">
        <f>IFERROR(__xludf.DUMMYFUNCTION("""COMPUTED_VALUE"""),"Longest Happy String")</f>
        <v>Longest Happy String</v>
      </c>
      <c r="C1406" s="20" t="str">
        <f>IFERROR(__xludf.DUMMYFUNCTION("""COMPUTED_VALUE"""),"longest-happy-string")</f>
        <v>longest-happy-string</v>
      </c>
      <c r="D1406" s="20" t="b">
        <f>IFERROR(__xludf.DUMMYFUNCTION("""COMPUTED_VALUE"""),FALSE)</f>
        <v>0</v>
      </c>
      <c r="E1406" s="20" t="str">
        <f>IFERROR(__xludf.DUMMYFUNCTION("""COMPUTED_VALUE"""),"Medium")</f>
        <v>Medium</v>
      </c>
      <c r="F1406" s="20">
        <f>IFERROR(__xludf.DUMMYFUNCTION("""COMPUTED_VALUE"""),1579.0)</f>
        <v>1579</v>
      </c>
      <c r="G1406" s="20">
        <f>IFERROR(__xludf.DUMMYFUNCTION("""COMPUTED_VALUE"""),220.0)</f>
        <v>220</v>
      </c>
      <c r="H1406" s="20" t="str">
        <f>IFERROR(__xludf.DUMMYFUNCTION("""COMPUTED_VALUE"""),"Algorithms")</f>
        <v>Algorithms</v>
      </c>
      <c r="I1406" s="20">
        <f>IFERROR(__xludf.DUMMYFUNCTION("""COMPUTED_VALUE"""),0.575)</f>
        <v>0.575</v>
      </c>
      <c r="J1406" s="20">
        <f>IFERROR(__xludf.DUMMYFUNCTION("""COMPUTED_VALUE"""),1405.0)</f>
        <v>1405</v>
      </c>
      <c r="K1406" s="20" t="b">
        <f>IFERROR(__xludf.DUMMYFUNCTION("""COMPUTED_VALUE"""),FALSE)</f>
        <v>0</v>
      </c>
      <c r="L1406" s="20" t="str">
        <f>IFERROR(__xludf.DUMMYFUNCTION("""COMPUTED_VALUE"""),"String;Greedy;Heap (Priority Queue);")</f>
        <v>String;Greedy;Heap (Priority Queue);</v>
      </c>
      <c r="M1406" s="20" t="b">
        <f>IFERROR(__xludf.DUMMYFUNCTION("""COMPUTED_VALUE"""),FALSE)</f>
        <v>0</v>
      </c>
      <c r="N1406" s="20" t="b">
        <f>IFERROR(__xludf.DUMMYFUNCTION("""COMPUTED_VALUE"""),FALSE)</f>
        <v>0</v>
      </c>
      <c r="O1406" s="20">
        <f>IFERROR(__xludf.DUMMYFUNCTION("""COMPUTED_VALUE"""),57.4556528074878)</f>
        <v>57.45565281</v>
      </c>
      <c r="P1406" s="20">
        <f>IFERROR(__xludf.DUMMYFUNCTION("""COMPUTED_VALUE"""),61504.0)</f>
        <v>61504</v>
      </c>
      <c r="Q1406" s="20">
        <f>IFERROR(__xludf.DUMMYFUNCTION("""COMPUTED_VALUE"""),107049.0)</f>
        <v>107049</v>
      </c>
    </row>
    <row r="1407">
      <c r="A1407" s="20">
        <f>IFERROR(__xludf.DUMMYFUNCTION("""COMPUTED_VALUE"""),1522.0)</f>
        <v>1522</v>
      </c>
      <c r="B1407" s="20" t="str">
        <f>IFERROR(__xludf.DUMMYFUNCTION("""COMPUTED_VALUE"""),"Stone Game III")</f>
        <v>Stone Game III</v>
      </c>
      <c r="C1407" s="20" t="str">
        <f>IFERROR(__xludf.DUMMYFUNCTION("""COMPUTED_VALUE"""),"stone-game-iii")</f>
        <v>stone-game-iii</v>
      </c>
      <c r="D1407" s="20" t="b">
        <f>IFERROR(__xludf.DUMMYFUNCTION("""COMPUTED_VALUE"""),FALSE)</f>
        <v>0</v>
      </c>
      <c r="E1407" s="20" t="str">
        <f>IFERROR(__xludf.DUMMYFUNCTION("""COMPUTED_VALUE"""),"Hard")</f>
        <v>Hard</v>
      </c>
      <c r="F1407" s="20">
        <f>IFERROR(__xludf.DUMMYFUNCTION("""COMPUTED_VALUE"""),1168.0)</f>
        <v>1168</v>
      </c>
      <c r="G1407" s="20">
        <f>IFERROR(__xludf.DUMMYFUNCTION("""COMPUTED_VALUE"""),27.0)</f>
        <v>27</v>
      </c>
      <c r="H1407" s="20" t="str">
        <f>IFERROR(__xludf.DUMMYFUNCTION("""COMPUTED_VALUE"""),"Algorithms")</f>
        <v>Algorithms</v>
      </c>
      <c r="I1407" s="20">
        <f>IFERROR(__xludf.DUMMYFUNCTION("""COMPUTED_VALUE"""),0.595)</f>
        <v>0.595</v>
      </c>
      <c r="J1407" s="20">
        <f>IFERROR(__xludf.DUMMYFUNCTION("""COMPUTED_VALUE"""),1406.0)</f>
        <v>1406</v>
      </c>
      <c r="K1407" s="20" t="b">
        <f>IFERROR(__xludf.DUMMYFUNCTION("""COMPUTED_VALUE"""),FALSE)</f>
        <v>0</v>
      </c>
      <c r="L1407" s="20" t="str">
        <f>IFERROR(__xludf.DUMMYFUNCTION("""COMPUTED_VALUE"""),"Array;Math;Dynamic Programming;Game Theory;")</f>
        <v>Array;Math;Dynamic Programming;Game Theory;</v>
      </c>
      <c r="M1407" s="20" t="b">
        <f>IFERROR(__xludf.DUMMYFUNCTION("""COMPUTED_VALUE"""),FALSE)</f>
        <v>0</v>
      </c>
      <c r="N1407" s="20" t="b">
        <f>IFERROR(__xludf.DUMMYFUNCTION("""COMPUTED_VALUE"""),FALSE)</f>
        <v>0</v>
      </c>
      <c r="O1407" s="20">
        <f>IFERROR(__xludf.DUMMYFUNCTION("""COMPUTED_VALUE"""),59.5132296505756)</f>
        <v>59.51322965</v>
      </c>
      <c r="P1407" s="20">
        <f>IFERROR(__xludf.DUMMYFUNCTION("""COMPUTED_VALUE"""),41250.0)</f>
        <v>41250</v>
      </c>
      <c r="Q1407" s="20">
        <f>IFERROR(__xludf.DUMMYFUNCTION("""COMPUTED_VALUE"""),69312.0)</f>
        <v>69312</v>
      </c>
    </row>
    <row r="1408">
      <c r="A1408" s="20">
        <f>IFERROR(__xludf.DUMMYFUNCTION("""COMPUTED_VALUE"""),1541.0)</f>
        <v>1541</v>
      </c>
      <c r="B1408" s="20" t="str">
        <f>IFERROR(__xludf.DUMMYFUNCTION("""COMPUTED_VALUE"""),"Top Travellers")</f>
        <v>Top Travellers</v>
      </c>
      <c r="C1408" s="20" t="str">
        <f>IFERROR(__xludf.DUMMYFUNCTION("""COMPUTED_VALUE"""),"top-travellers")</f>
        <v>top-travellers</v>
      </c>
      <c r="D1408" s="20" t="b">
        <f>IFERROR(__xludf.DUMMYFUNCTION("""COMPUTED_VALUE"""),FALSE)</f>
        <v>0</v>
      </c>
      <c r="E1408" s="20" t="str">
        <f>IFERROR(__xludf.DUMMYFUNCTION("""COMPUTED_VALUE"""),"Easy")</f>
        <v>Easy</v>
      </c>
      <c r="F1408" s="20">
        <f>IFERROR(__xludf.DUMMYFUNCTION("""COMPUTED_VALUE"""),386.0)</f>
        <v>386</v>
      </c>
      <c r="G1408" s="20">
        <f>IFERROR(__xludf.DUMMYFUNCTION("""COMPUTED_VALUE"""),41.0)</f>
        <v>41</v>
      </c>
      <c r="H1408" s="20" t="str">
        <f>IFERROR(__xludf.DUMMYFUNCTION("""COMPUTED_VALUE"""),"Database")</f>
        <v>Database</v>
      </c>
      <c r="I1408" s="20">
        <f>IFERROR(__xludf.DUMMYFUNCTION("""COMPUTED_VALUE"""),0.655)</f>
        <v>0.655</v>
      </c>
      <c r="J1408" s="20">
        <f>IFERROR(__xludf.DUMMYFUNCTION("""COMPUTED_VALUE"""),1407.0)</f>
        <v>1407</v>
      </c>
      <c r="K1408" s="20" t="b">
        <f>IFERROR(__xludf.DUMMYFUNCTION("""COMPUTED_VALUE"""),FALSE)</f>
        <v>0</v>
      </c>
      <c r="L1408" s="20" t="str">
        <f>IFERROR(__xludf.DUMMYFUNCTION("""COMPUTED_VALUE"""),"Database;")</f>
        <v>Database;</v>
      </c>
      <c r="M1408" s="20" t="b">
        <f>IFERROR(__xludf.DUMMYFUNCTION("""COMPUTED_VALUE"""),FALSE)</f>
        <v>0</v>
      </c>
      <c r="N1408" s="20" t="b">
        <f>IFERROR(__xludf.DUMMYFUNCTION("""COMPUTED_VALUE"""),FALSE)</f>
        <v>0</v>
      </c>
      <c r="O1408" s="20">
        <f>IFERROR(__xludf.DUMMYFUNCTION("""COMPUTED_VALUE"""),65.4655540156675)</f>
        <v>65.46555402</v>
      </c>
      <c r="P1408" s="20">
        <f>IFERROR(__xludf.DUMMYFUNCTION("""COMPUTED_VALUE"""),66602.0)</f>
        <v>66602</v>
      </c>
      <c r="Q1408" s="20">
        <f>IFERROR(__xludf.DUMMYFUNCTION("""COMPUTED_VALUE"""),101736.0)</f>
        <v>101736</v>
      </c>
    </row>
    <row r="1409">
      <c r="A1409" s="20">
        <f>IFERROR(__xludf.DUMMYFUNCTION("""COMPUTED_VALUE"""),1524.0)</f>
        <v>1524</v>
      </c>
      <c r="B1409" s="20" t="str">
        <f>IFERROR(__xludf.DUMMYFUNCTION("""COMPUTED_VALUE"""),"String Matching in an Array")</f>
        <v>String Matching in an Array</v>
      </c>
      <c r="C1409" s="20" t="str">
        <f>IFERROR(__xludf.DUMMYFUNCTION("""COMPUTED_VALUE"""),"string-matching-in-an-array")</f>
        <v>string-matching-in-an-array</v>
      </c>
      <c r="D1409" s="20" t="b">
        <f>IFERROR(__xludf.DUMMYFUNCTION("""COMPUTED_VALUE"""),FALSE)</f>
        <v>0</v>
      </c>
      <c r="E1409" s="20" t="str">
        <f>IFERROR(__xludf.DUMMYFUNCTION("""COMPUTED_VALUE"""),"Easy")</f>
        <v>Easy</v>
      </c>
      <c r="F1409" s="20">
        <f>IFERROR(__xludf.DUMMYFUNCTION("""COMPUTED_VALUE"""),676.0)</f>
        <v>676</v>
      </c>
      <c r="G1409" s="20">
        <f>IFERROR(__xludf.DUMMYFUNCTION("""COMPUTED_VALUE"""),78.0)</f>
        <v>78</v>
      </c>
      <c r="H1409" s="20" t="str">
        <f>IFERROR(__xludf.DUMMYFUNCTION("""COMPUTED_VALUE"""),"Algorithms")</f>
        <v>Algorithms</v>
      </c>
      <c r="I1409" s="20">
        <f>IFERROR(__xludf.DUMMYFUNCTION("""COMPUTED_VALUE"""),0.638)</f>
        <v>0.638</v>
      </c>
      <c r="J1409" s="20">
        <f>IFERROR(__xludf.DUMMYFUNCTION("""COMPUTED_VALUE"""),1408.0)</f>
        <v>1408</v>
      </c>
      <c r="K1409" s="20" t="b">
        <f>IFERROR(__xludf.DUMMYFUNCTION("""COMPUTED_VALUE"""),FALSE)</f>
        <v>0</v>
      </c>
      <c r="L1409" s="20" t="str">
        <f>IFERROR(__xludf.DUMMYFUNCTION("""COMPUTED_VALUE"""),"Array;String;String Matching;")</f>
        <v>Array;String;String Matching;</v>
      </c>
      <c r="M1409" s="20" t="b">
        <f>IFERROR(__xludf.DUMMYFUNCTION("""COMPUTED_VALUE"""),FALSE)</f>
        <v>0</v>
      </c>
      <c r="N1409" s="20" t="b">
        <f>IFERROR(__xludf.DUMMYFUNCTION("""COMPUTED_VALUE"""),FALSE)</f>
        <v>0</v>
      </c>
      <c r="O1409" s="20">
        <f>IFERROR(__xludf.DUMMYFUNCTION("""COMPUTED_VALUE"""),63.849035823508)</f>
        <v>63.84903582</v>
      </c>
      <c r="P1409" s="20">
        <f>IFERROR(__xludf.DUMMYFUNCTION("""COMPUTED_VALUE"""),64930.0)</f>
        <v>64930</v>
      </c>
      <c r="Q1409" s="20">
        <f>IFERROR(__xludf.DUMMYFUNCTION("""COMPUTED_VALUE"""),101693.0)</f>
        <v>101693</v>
      </c>
    </row>
    <row r="1410">
      <c r="A1410" s="20">
        <f>IFERROR(__xludf.DUMMYFUNCTION("""COMPUTED_VALUE"""),1525.0)</f>
        <v>1525</v>
      </c>
      <c r="B1410" s="20" t="str">
        <f>IFERROR(__xludf.DUMMYFUNCTION("""COMPUTED_VALUE"""),"Queries on a Permutation With Key")</f>
        <v>Queries on a Permutation With Key</v>
      </c>
      <c r="C1410" s="20" t="str">
        <f>IFERROR(__xludf.DUMMYFUNCTION("""COMPUTED_VALUE"""),"queries-on-a-permutation-with-key")</f>
        <v>queries-on-a-permutation-with-key</v>
      </c>
      <c r="D1410" s="20" t="b">
        <f>IFERROR(__xludf.DUMMYFUNCTION("""COMPUTED_VALUE"""),FALSE)</f>
        <v>0</v>
      </c>
      <c r="E1410" s="20" t="str">
        <f>IFERROR(__xludf.DUMMYFUNCTION("""COMPUTED_VALUE"""),"Medium")</f>
        <v>Medium</v>
      </c>
      <c r="F1410" s="20">
        <f>IFERROR(__xludf.DUMMYFUNCTION("""COMPUTED_VALUE"""),388.0)</f>
        <v>388</v>
      </c>
      <c r="G1410" s="20">
        <f>IFERROR(__xludf.DUMMYFUNCTION("""COMPUTED_VALUE"""),569.0)</f>
        <v>569</v>
      </c>
      <c r="H1410" s="20" t="str">
        <f>IFERROR(__xludf.DUMMYFUNCTION("""COMPUTED_VALUE"""),"Algorithms")</f>
        <v>Algorithms</v>
      </c>
      <c r="I1410" s="20">
        <f>IFERROR(__xludf.DUMMYFUNCTION("""COMPUTED_VALUE"""),0.833)</f>
        <v>0.833</v>
      </c>
      <c r="J1410" s="20">
        <f>IFERROR(__xludf.DUMMYFUNCTION("""COMPUTED_VALUE"""),1409.0)</f>
        <v>1409</v>
      </c>
      <c r="K1410" s="20" t="b">
        <f>IFERROR(__xludf.DUMMYFUNCTION("""COMPUTED_VALUE"""),FALSE)</f>
        <v>0</v>
      </c>
      <c r="L1410" s="20" t="str">
        <f>IFERROR(__xludf.DUMMYFUNCTION("""COMPUTED_VALUE"""),"Array;Binary Indexed Tree;Simulation;")</f>
        <v>Array;Binary Indexed Tree;Simulation;</v>
      </c>
      <c r="M1410" s="20" t="b">
        <f>IFERROR(__xludf.DUMMYFUNCTION("""COMPUTED_VALUE"""),FALSE)</f>
        <v>0</v>
      </c>
      <c r="N1410" s="20" t="b">
        <f>IFERROR(__xludf.DUMMYFUNCTION("""COMPUTED_VALUE"""),FALSE)</f>
        <v>0</v>
      </c>
      <c r="O1410" s="20">
        <f>IFERROR(__xludf.DUMMYFUNCTION("""COMPUTED_VALUE"""),83.2820123170439)</f>
        <v>83.28201232</v>
      </c>
      <c r="P1410" s="20">
        <f>IFERROR(__xludf.DUMMYFUNCTION("""COMPUTED_VALUE"""),41651.0)</f>
        <v>41651</v>
      </c>
      <c r="Q1410" s="20">
        <f>IFERROR(__xludf.DUMMYFUNCTION("""COMPUTED_VALUE"""),50012.0)</f>
        <v>50012</v>
      </c>
    </row>
    <row r="1411">
      <c r="A1411" s="20">
        <f>IFERROR(__xludf.DUMMYFUNCTION("""COMPUTED_VALUE"""),1526.0)</f>
        <v>1526</v>
      </c>
      <c r="B1411" s="20" t="str">
        <f>IFERROR(__xludf.DUMMYFUNCTION("""COMPUTED_VALUE"""),"HTML Entity Parser")</f>
        <v>HTML Entity Parser</v>
      </c>
      <c r="C1411" s="20" t="str">
        <f>IFERROR(__xludf.DUMMYFUNCTION("""COMPUTED_VALUE"""),"html-entity-parser")</f>
        <v>html-entity-parser</v>
      </c>
      <c r="D1411" s="20" t="b">
        <f>IFERROR(__xludf.DUMMYFUNCTION("""COMPUTED_VALUE"""),FALSE)</f>
        <v>0</v>
      </c>
      <c r="E1411" s="20" t="str">
        <f>IFERROR(__xludf.DUMMYFUNCTION("""COMPUTED_VALUE"""),"Medium")</f>
        <v>Medium</v>
      </c>
      <c r="F1411" s="20">
        <f>IFERROR(__xludf.DUMMYFUNCTION("""COMPUTED_VALUE"""),152.0)</f>
        <v>152</v>
      </c>
      <c r="G1411" s="20">
        <f>IFERROR(__xludf.DUMMYFUNCTION("""COMPUTED_VALUE"""),285.0)</f>
        <v>285</v>
      </c>
      <c r="H1411" s="20" t="str">
        <f>IFERROR(__xludf.DUMMYFUNCTION("""COMPUTED_VALUE"""),"Algorithms")</f>
        <v>Algorithms</v>
      </c>
      <c r="I1411" s="20">
        <f>IFERROR(__xludf.DUMMYFUNCTION("""COMPUTED_VALUE"""),0.518)</f>
        <v>0.518</v>
      </c>
      <c r="J1411" s="20">
        <f>IFERROR(__xludf.DUMMYFUNCTION("""COMPUTED_VALUE"""),1410.0)</f>
        <v>1410</v>
      </c>
      <c r="K1411" s="20" t="b">
        <f>IFERROR(__xludf.DUMMYFUNCTION("""COMPUTED_VALUE"""),FALSE)</f>
        <v>0</v>
      </c>
      <c r="L1411" s="20" t="str">
        <f>IFERROR(__xludf.DUMMYFUNCTION("""COMPUTED_VALUE"""),"Hash Table;String;")</f>
        <v>Hash Table;String;</v>
      </c>
      <c r="M1411" s="20" t="b">
        <f>IFERROR(__xludf.DUMMYFUNCTION("""COMPUTED_VALUE"""),FALSE)</f>
        <v>0</v>
      </c>
      <c r="N1411" s="20" t="b">
        <f>IFERROR(__xludf.DUMMYFUNCTION("""COMPUTED_VALUE"""),FALSE)</f>
        <v>0</v>
      </c>
      <c r="O1411" s="20">
        <f>IFERROR(__xludf.DUMMYFUNCTION("""COMPUTED_VALUE"""),51.8198968683184)</f>
        <v>51.81989687</v>
      </c>
      <c r="P1411" s="20">
        <f>IFERROR(__xludf.DUMMYFUNCTION("""COMPUTED_VALUE"""),20601.0)</f>
        <v>20601</v>
      </c>
      <c r="Q1411" s="20">
        <f>IFERROR(__xludf.DUMMYFUNCTION("""COMPUTED_VALUE"""),39755.0)</f>
        <v>39755</v>
      </c>
    </row>
    <row r="1412">
      <c r="A1412" s="20">
        <f>IFERROR(__xludf.DUMMYFUNCTION("""COMPUTED_VALUE"""),1527.0)</f>
        <v>1527</v>
      </c>
      <c r="B1412" s="20" t="str">
        <f>IFERROR(__xludf.DUMMYFUNCTION("""COMPUTED_VALUE"""),"Number of Ways to Paint N × 3 Grid")</f>
        <v>Number of Ways to Paint N × 3 Grid</v>
      </c>
      <c r="C1412" s="20" t="str">
        <f>IFERROR(__xludf.DUMMYFUNCTION("""COMPUTED_VALUE"""),"number-of-ways-to-paint-n-3-grid")</f>
        <v>number-of-ways-to-paint-n-3-grid</v>
      </c>
      <c r="D1412" s="20" t="b">
        <f>IFERROR(__xludf.DUMMYFUNCTION("""COMPUTED_VALUE"""),FALSE)</f>
        <v>0</v>
      </c>
      <c r="E1412" s="20" t="str">
        <f>IFERROR(__xludf.DUMMYFUNCTION("""COMPUTED_VALUE"""),"Hard")</f>
        <v>Hard</v>
      </c>
      <c r="F1412" s="20">
        <f>IFERROR(__xludf.DUMMYFUNCTION("""COMPUTED_VALUE"""),913.0)</f>
        <v>913</v>
      </c>
      <c r="G1412" s="20">
        <f>IFERROR(__xludf.DUMMYFUNCTION("""COMPUTED_VALUE"""),45.0)</f>
        <v>45</v>
      </c>
      <c r="H1412" s="20" t="str">
        <f>IFERROR(__xludf.DUMMYFUNCTION("""COMPUTED_VALUE"""),"Algorithms")</f>
        <v>Algorithms</v>
      </c>
      <c r="I1412" s="20">
        <f>IFERROR(__xludf.DUMMYFUNCTION("""COMPUTED_VALUE"""),0.624)</f>
        <v>0.624</v>
      </c>
      <c r="J1412" s="20">
        <f>IFERROR(__xludf.DUMMYFUNCTION("""COMPUTED_VALUE"""),1411.0)</f>
        <v>1411</v>
      </c>
      <c r="K1412" s="20" t="b">
        <f>IFERROR(__xludf.DUMMYFUNCTION("""COMPUTED_VALUE"""),FALSE)</f>
        <v>0</v>
      </c>
      <c r="L1412" s="20" t="str">
        <f>IFERROR(__xludf.DUMMYFUNCTION("""COMPUTED_VALUE"""),"Dynamic Programming;")</f>
        <v>Dynamic Programming;</v>
      </c>
      <c r="M1412" s="20" t="b">
        <f>IFERROR(__xludf.DUMMYFUNCTION("""COMPUTED_VALUE"""),FALSE)</f>
        <v>0</v>
      </c>
      <c r="N1412" s="20" t="b">
        <f>IFERROR(__xludf.DUMMYFUNCTION("""COMPUTED_VALUE"""),FALSE)</f>
        <v>0</v>
      </c>
      <c r="O1412" s="20">
        <f>IFERROR(__xludf.DUMMYFUNCTION("""COMPUTED_VALUE"""),62.3568031084611)</f>
        <v>62.35680311</v>
      </c>
      <c r="P1412" s="20">
        <f>IFERROR(__xludf.DUMMYFUNCTION("""COMPUTED_VALUE"""),27924.0)</f>
        <v>27924</v>
      </c>
      <c r="Q1412" s="20">
        <f>IFERROR(__xludf.DUMMYFUNCTION("""COMPUTED_VALUE"""),44781.0)</f>
        <v>44781</v>
      </c>
    </row>
    <row r="1413">
      <c r="A1413" s="20">
        <f>IFERROR(__xludf.DUMMYFUNCTION("""COMPUTED_VALUE"""),1546.0)</f>
        <v>1546</v>
      </c>
      <c r="B1413" s="20" t="str">
        <f>IFERROR(__xludf.DUMMYFUNCTION("""COMPUTED_VALUE"""),"Find the Quiet Students in All Exams")</f>
        <v>Find the Quiet Students in All Exams</v>
      </c>
      <c r="C1413" s="20" t="str">
        <f>IFERROR(__xludf.DUMMYFUNCTION("""COMPUTED_VALUE"""),"find-the-quiet-students-in-all-exams")</f>
        <v>find-the-quiet-students-in-all-exams</v>
      </c>
      <c r="D1413" s="20" t="b">
        <f>IFERROR(__xludf.DUMMYFUNCTION("""COMPUTED_VALUE"""),TRUE)</f>
        <v>1</v>
      </c>
      <c r="E1413" s="20" t="str">
        <f>IFERROR(__xludf.DUMMYFUNCTION("""COMPUTED_VALUE"""),"Hard")</f>
        <v>Hard</v>
      </c>
      <c r="F1413" s="20">
        <f>IFERROR(__xludf.DUMMYFUNCTION("""COMPUTED_VALUE"""),176.0)</f>
        <v>176</v>
      </c>
      <c r="G1413" s="20">
        <f>IFERROR(__xludf.DUMMYFUNCTION("""COMPUTED_VALUE"""),14.0)</f>
        <v>14</v>
      </c>
      <c r="H1413" s="20" t="str">
        <f>IFERROR(__xludf.DUMMYFUNCTION("""COMPUTED_VALUE"""),"Database")</f>
        <v>Database</v>
      </c>
      <c r="I1413" s="20">
        <f>IFERROR(__xludf.DUMMYFUNCTION("""COMPUTED_VALUE"""),0.629)</f>
        <v>0.629</v>
      </c>
      <c r="J1413" s="20">
        <f>IFERROR(__xludf.DUMMYFUNCTION("""COMPUTED_VALUE"""),1412.0)</f>
        <v>1412</v>
      </c>
      <c r="K1413" s="20" t="b">
        <f>IFERROR(__xludf.DUMMYFUNCTION("""COMPUTED_VALUE"""),TRUE)</f>
        <v>1</v>
      </c>
      <c r="L1413" s="20" t="str">
        <f>IFERROR(__xludf.DUMMYFUNCTION("""COMPUTED_VALUE"""),"Database;")</f>
        <v>Database;</v>
      </c>
      <c r="M1413" s="20" t="b">
        <f>IFERROR(__xludf.DUMMYFUNCTION("""COMPUTED_VALUE"""),FALSE)</f>
        <v>0</v>
      </c>
      <c r="N1413" s="20" t="b">
        <f>IFERROR(__xludf.DUMMYFUNCTION("""COMPUTED_VALUE"""),FALSE)</f>
        <v>0</v>
      </c>
      <c r="O1413" s="20">
        <f>IFERROR(__xludf.DUMMYFUNCTION("""COMPUTED_VALUE"""),62.9319973194626)</f>
        <v>62.93199732</v>
      </c>
      <c r="P1413" s="20">
        <f>IFERROR(__xludf.DUMMYFUNCTION("""COMPUTED_VALUE"""),19721.0)</f>
        <v>19721</v>
      </c>
      <c r="Q1413" s="20">
        <f>IFERROR(__xludf.DUMMYFUNCTION("""COMPUTED_VALUE"""),31337.0)</f>
        <v>31337</v>
      </c>
    </row>
    <row r="1414">
      <c r="A1414" s="20">
        <f>IFERROR(__xludf.DUMMYFUNCTION("""COMPUTED_VALUE"""),1514.0)</f>
        <v>1514</v>
      </c>
      <c r="B1414" s="20" t="str">
        <f>IFERROR(__xludf.DUMMYFUNCTION("""COMPUTED_VALUE"""),"Minimum Value to Get Positive Step by Step Sum")</f>
        <v>Minimum Value to Get Positive Step by Step Sum</v>
      </c>
      <c r="C1414" s="20" t="str">
        <f>IFERROR(__xludf.DUMMYFUNCTION("""COMPUTED_VALUE"""),"minimum-value-to-get-positive-step-by-step-sum")</f>
        <v>minimum-value-to-get-positive-step-by-step-sum</v>
      </c>
      <c r="D1414" s="20" t="b">
        <f>IFERROR(__xludf.DUMMYFUNCTION("""COMPUTED_VALUE"""),FALSE)</f>
        <v>0</v>
      </c>
      <c r="E1414" s="20" t="str">
        <f>IFERROR(__xludf.DUMMYFUNCTION("""COMPUTED_VALUE"""),"Easy")</f>
        <v>Easy</v>
      </c>
      <c r="F1414" s="20">
        <f>IFERROR(__xludf.DUMMYFUNCTION("""COMPUTED_VALUE"""),1248.0)</f>
        <v>1248</v>
      </c>
      <c r="G1414" s="20">
        <f>IFERROR(__xludf.DUMMYFUNCTION("""COMPUTED_VALUE"""),258.0)</f>
        <v>258</v>
      </c>
      <c r="H1414" s="20" t="str">
        <f>IFERROR(__xludf.DUMMYFUNCTION("""COMPUTED_VALUE"""),"Algorithms")</f>
        <v>Algorithms</v>
      </c>
      <c r="I1414" s="20">
        <f>IFERROR(__xludf.DUMMYFUNCTION("""COMPUTED_VALUE"""),0.678)</f>
        <v>0.678</v>
      </c>
      <c r="J1414" s="20">
        <f>IFERROR(__xludf.DUMMYFUNCTION("""COMPUTED_VALUE"""),1413.0)</f>
        <v>1413</v>
      </c>
      <c r="K1414" s="20" t="b">
        <f>IFERROR(__xludf.DUMMYFUNCTION("""COMPUTED_VALUE"""),FALSE)</f>
        <v>0</v>
      </c>
      <c r="L1414" s="20" t="str">
        <f>IFERROR(__xludf.DUMMYFUNCTION("""COMPUTED_VALUE"""),"Array;Prefix Sum;")</f>
        <v>Array;Prefix Sum;</v>
      </c>
      <c r="M1414" s="20" t="b">
        <f>IFERROR(__xludf.DUMMYFUNCTION("""COMPUTED_VALUE"""),TRUE)</f>
        <v>1</v>
      </c>
      <c r="N1414" s="20" t="b">
        <f>IFERROR(__xludf.DUMMYFUNCTION("""COMPUTED_VALUE"""),FALSE)</f>
        <v>0</v>
      </c>
      <c r="O1414" s="20">
        <f>IFERROR(__xludf.DUMMYFUNCTION("""COMPUTED_VALUE"""),67.8111292285786)</f>
        <v>67.81112923</v>
      </c>
      <c r="P1414" s="20">
        <f>IFERROR(__xludf.DUMMYFUNCTION("""COMPUTED_VALUE"""),88581.0)</f>
        <v>88581</v>
      </c>
      <c r="Q1414" s="20">
        <f>IFERROR(__xludf.DUMMYFUNCTION("""COMPUTED_VALUE"""),130629.0)</f>
        <v>130629</v>
      </c>
    </row>
    <row r="1415">
      <c r="A1415" s="20">
        <f>IFERROR(__xludf.DUMMYFUNCTION("""COMPUTED_VALUE"""),1515.0)</f>
        <v>1515</v>
      </c>
      <c r="B1415" s="20" t="str">
        <f>IFERROR(__xludf.DUMMYFUNCTION("""COMPUTED_VALUE"""),"Find the Minimum Number of Fibonacci Numbers Whose Sum Is K")</f>
        <v>Find the Minimum Number of Fibonacci Numbers Whose Sum Is K</v>
      </c>
      <c r="C1415" s="20" t="str">
        <f>IFERROR(__xludf.DUMMYFUNCTION("""COMPUTED_VALUE"""),"find-the-minimum-number-of-fibonacci-numbers-whose-sum-is-k")</f>
        <v>find-the-minimum-number-of-fibonacci-numbers-whose-sum-is-k</v>
      </c>
      <c r="D1415" s="20" t="b">
        <f>IFERROR(__xludf.DUMMYFUNCTION("""COMPUTED_VALUE"""),FALSE)</f>
        <v>0</v>
      </c>
      <c r="E1415" s="20" t="str">
        <f>IFERROR(__xludf.DUMMYFUNCTION("""COMPUTED_VALUE"""),"Medium")</f>
        <v>Medium</v>
      </c>
      <c r="F1415" s="20">
        <f>IFERROR(__xludf.DUMMYFUNCTION("""COMPUTED_VALUE"""),836.0)</f>
        <v>836</v>
      </c>
      <c r="G1415" s="20">
        <f>IFERROR(__xludf.DUMMYFUNCTION("""COMPUTED_VALUE"""),58.0)</f>
        <v>58</v>
      </c>
      <c r="H1415" s="20" t="str">
        <f>IFERROR(__xludf.DUMMYFUNCTION("""COMPUTED_VALUE"""),"Algorithms")</f>
        <v>Algorithms</v>
      </c>
      <c r="I1415" s="20">
        <f>IFERROR(__xludf.DUMMYFUNCTION("""COMPUTED_VALUE"""),0.655)</f>
        <v>0.655</v>
      </c>
      <c r="J1415" s="20">
        <f>IFERROR(__xludf.DUMMYFUNCTION("""COMPUTED_VALUE"""),1414.0)</f>
        <v>1414</v>
      </c>
      <c r="K1415" s="20" t="b">
        <f>IFERROR(__xludf.DUMMYFUNCTION("""COMPUTED_VALUE"""),FALSE)</f>
        <v>0</v>
      </c>
      <c r="L1415" s="20" t="str">
        <f>IFERROR(__xludf.DUMMYFUNCTION("""COMPUTED_VALUE"""),"Math;Greedy;")</f>
        <v>Math;Greedy;</v>
      </c>
      <c r="M1415" s="20" t="b">
        <f>IFERROR(__xludf.DUMMYFUNCTION("""COMPUTED_VALUE"""),FALSE)</f>
        <v>0</v>
      </c>
      <c r="N1415" s="20" t="b">
        <f>IFERROR(__xludf.DUMMYFUNCTION("""COMPUTED_VALUE"""),FALSE)</f>
        <v>0</v>
      </c>
      <c r="O1415" s="20">
        <f>IFERROR(__xludf.DUMMYFUNCTION("""COMPUTED_VALUE"""),65.5227394923707)</f>
        <v>65.52273949</v>
      </c>
      <c r="P1415" s="20">
        <f>IFERROR(__xludf.DUMMYFUNCTION("""COMPUTED_VALUE"""),35341.0)</f>
        <v>35341</v>
      </c>
      <c r="Q1415" s="20">
        <f>IFERROR(__xludf.DUMMYFUNCTION("""COMPUTED_VALUE"""),53937.0)</f>
        <v>53937</v>
      </c>
    </row>
    <row r="1416">
      <c r="A1416" s="20">
        <f>IFERROR(__xludf.DUMMYFUNCTION("""COMPUTED_VALUE"""),1516.0)</f>
        <v>1516</v>
      </c>
      <c r="B1416" s="20" t="str">
        <f>IFERROR(__xludf.DUMMYFUNCTION("""COMPUTED_VALUE"""),"The k-th Lexicographical String of All Happy Strings of Length n")</f>
        <v>The k-th Lexicographical String of All Happy Strings of Length n</v>
      </c>
      <c r="C1416" s="20" t="str">
        <f>IFERROR(__xludf.DUMMYFUNCTION("""COMPUTED_VALUE"""),"the-k-th-lexicographical-string-of-all-happy-strings-of-length-n")</f>
        <v>the-k-th-lexicographical-string-of-all-happy-strings-of-length-n</v>
      </c>
      <c r="D1416" s="20" t="b">
        <f>IFERROR(__xludf.DUMMYFUNCTION("""COMPUTED_VALUE"""),FALSE)</f>
        <v>0</v>
      </c>
      <c r="E1416" s="20" t="str">
        <f>IFERROR(__xludf.DUMMYFUNCTION("""COMPUTED_VALUE"""),"Medium")</f>
        <v>Medium</v>
      </c>
      <c r="F1416" s="20">
        <f>IFERROR(__xludf.DUMMYFUNCTION("""COMPUTED_VALUE"""),795.0)</f>
        <v>795</v>
      </c>
      <c r="G1416" s="20">
        <f>IFERROR(__xludf.DUMMYFUNCTION("""COMPUTED_VALUE"""),20.0)</f>
        <v>20</v>
      </c>
      <c r="H1416" s="20" t="str">
        <f>IFERROR(__xludf.DUMMYFUNCTION("""COMPUTED_VALUE"""),"Algorithms")</f>
        <v>Algorithms</v>
      </c>
      <c r="I1416" s="20">
        <f>IFERROR(__xludf.DUMMYFUNCTION("""COMPUTED_VALUE"""),0.721)</f>
        <v>0.721</v>
      </c>
      <c r="J1416" s="20">
        <f>IFERROR(__xludf.DUMMYFUNCTION("""COMPUTED_VALUE"""),1415.0)</f>
        <v>1415</v>
      </c>
      <c r="K1416" s="20" t="b">
        <f>IFERROR(__xludf.DUMMYFUNCTION("""COMPUTED_VALUE"""),FALSE)</f>
        <v>0</v>
      </c>
      <c r="L1416" s="20" t="str">
        <f>IFERROR(__xludf.DUMMYFUNCTION("""COMPUTED_VALUE"""),"String;Backtracking;")</f>
        <v>String;Backtracking;</v>
      </c>
      <c r="M1416" s="20" t="b">
        <f>IFERROR(__xludf.DUMMYFUNCTION("""COMPUTED_VALUE"""),FALSE)</f>
        <v>0</v>
      </c>
      <c r="N1416" s="20" t="b">
        <f>IFERROR(__xludf.DUMMYFUNCTION("""COMPUTED_VALUE"""),FALSE)</f>
        <v>0</v>
      </c>
      <c r="O1416" s="20">
        <f>IFERROR(__xludf.DUMMYFUNCTION("""COMPUTED_VALUE"""),72.1420323325635)</f>
        <v>72.14203233</v>
      </c>
      <c r="P1416" s="20">
        <f>IFERROR(__xludf.DUMMYFUNCTION("""COMPUTED_VALUE"""),29986.0)</f>
        <v>29986</v>
      </c>
      <c r="Q1416" s="20">
        <f>IFERROR(__xludf.DUMMYFUNCTION("""COMPUTED_VALUE"""),41566.0)</f>
        <v>41566</v>
      </c>
    </row>
    <row r="1417">
      <c r="A1417" s="20">
        <f>IFERROR(__xludf.DUMMYFUNCTION("""COMPUTED_VALUE"""),1517.0)</f>
        <v>1517</v>
      </c>
      <c r="B1417" s="20" t="str">
        <f>IFERROR(__xludf.DUMMYFUNCTION("""COMPUTED_VALUE"""),"Restore The Array")</f>
        <v>Restore The Array</v>
      </c>
      <c r="C1417" s="20" t="str">
        <f>IFERROR(__xludf.DUMMYFUNCTION("""COMPUTED_VALUE"""),"restore-the-array")</f>
        <v>restore-the-array</v>
      </c>
      <c r="D1417" s="20" t="b">
        <f>IFERROR(__xludf.DUMMYFUNCTION("""COMPUTED_VALUE"""),FALSE)</f>
        <v>0</v>
      </c>
      <c r="E1417" s="20" t="str">
        <f>IFERROR(__xludf.DUMMYFUNCTION("""COMPUTED_VALUE"""),"Hard")</f>
        <v>Hard</v>
      </c>
      <c r="F1417" s="20">
        <f>IFERROR(__xludf.DUMMYFUNCTION("""COMPUTED_VALUE"""),453.0)</f>
        <v>453</v>
      </c>
      <c r="G1417" s="20">
        <f>IFERROR(__xludf.DUMMYFUNCTION("""COMPUTED_VALUE"""),15.0)</f>
        <v>15</v>
      </c>
      <c r="H1417" s="20" t="str">
        <f>IFERROR(__xludf.DUMMYFUNCTION("""COMPUTED_VALUE"""),"Algorithms")</f>
        <v>Algorithms</v>
      </c>
      <c r="I1417" s="20">
        <f>IFERROR(__xludf.DUMMYFUNCTION("""COMPUTED_VALUE"""),0.388)</f>
        <v>0.388</v>
      </c>
      <c r="J1417" s="20">
        <f>IFERROR(__xludf.DUMMYFUNCTION("""COMPUTED_VALUE"""),1416.0)</f>
        <v>1416</v>
      </c>
      <c r="K1417" s="20" t="b">
        <f>IFERROR(__xludf.DUMMYFUNCTION("""COMPUTED_VALUE"""),FALSE)</f>
        <v>0</v>
      </c>
      <c r="L1417" s="20" t="str">
        <f>IFERROR(__xludf.DUMMYFUNCTION("""COMPUTED_VALUE"""),"String;Dynamic Programming;")</f>
        <v>String;Dynamic Programming;</v>
      </c>
      <c r="M1417" s="20" t="b">
        <f>IFERROR(__xludf.DUMMYFUNCTION("""COMPUTED_VALUE"""),FALSE)</f>
        <v>0</v>
      </c>
      <c r="N1417" s="20" t="b">
        <f>IFERROR(__xludf.DUMMYFUNCTION("""COMPUTED_VALUE"""),FALSE)</f>
        <v>0</v>
      </c>
      <c r="O1417" s="20">
        <f>IFERROR(__xludf.DUMMYFUNCTION("""COMPUTED_VALUE"""),38.7594998774209)</f>
        <v>38.75949988</v>
      </c>
      <c r="P1417" s="20">
        <f>IFERROR(__xludf.DUMMYFUNCTION("""COMPUTED_VALUE"""),14229.0)</f>
        <v>14229</v>
      </c>
      <c r="Q1417" s="20">
        <f>IFERROR(__xludf.DUMMYFUNCTION("""COMPUTED_VALUE"""),36711.0)</f>
        <v>36711</v>
      </c>
    </row>
    <row r="1418">
      <c r="A1418" s="20">
        <f>IFERROR(__xludf.DUMMYFUNCTION("""COMPUTED_VALUE"""),1532.0)</f>
        <v>1532</v>
      </c>
      <c r="B1418" s="20" t="str">
        <f>IFERROR(__xludf.DUMMYFUNCTION("""COMPUTED_VALUE"""),"Reformat The String")</f>
        <v>Reformat The String</v>
      </c>
      <c r="C1418" s="20" t="str">
        <f>IFERROR(__xludf.DUMMYFUNCTION("""COMPUTED_VALUE"""),"reformat-the-string")</f>
        <v>reformat-the-string</v>
      </c>
      <c r="D1418" s="20" t="b">
        <f>IFERROR(__xludf.DUMMYFUNCTION("""COMPUTED_VALUE"""),FALSE)</f>
        <v>0</v>
      </c>
      <c r="E1418" s="20" t="str">
        <f>IFERROR(__xludf.DUMMYFUNCTION("""COMPUTED_VALUE"""),"Easy")</f>
        <v>Easy</v>
      </c>
      <c r="F1418" s="20">
        <f>IFERROR(__xludf.DUMMYFUNCTION("""COMPUTED_VALUE"""),467.0)</f>
        <v>467</v>
      </c>
      <c r="G1418" s="20">
        <f>IFERROR(__xludf.DUMMYFUNCTION("""COMPUTED_VALUE"""),88.0)</f>
        <v>88</v>
      </c>
      <c r="H1418" s="20" t="str">
        <f>IFERROR(__xludf.DUMMYFUNCTION("""COMPUTED_VALUE"""),"Algorithms")</f>
        <v>Algorithms</v>
      </c>
      <c r="I1418" s="20">
        <f>IFERROR(__xludf.DUMMYFUNCTION("""COMPUTED_VALUE"""),0.554)</f>
        <v>0.554</v>
      </c>
      <c r="J1418" s="20">
        <f>IFERROR(__xludf.DUMMYFUNCTION("""COMPUTED_VALUE"""),1417.0)</f>
        <v>1417</v>
      </c>
      <c r="K1418" s="20" t="b">
        <f>IFERROR(__xludf.DUMMYFUNCTION("""COMPUTED_VALUE"""),FALSE)</f>
        <v>0</v>
      </c>
      <c r="L1418" s="20" t="str">
        <f>IFERROR(__xludf.DUMMYFUNCTION("""COMPUTED_VALUE"""),"String;")</f>
        <v>String;</v>
      </c>
      <c r="M1418" s="20" t="b">
        <f>IFERROR(__xludf.DUMMYFUNCTION("""COMPUTED_VALUE"""),FALSE)</f>
        <v>0</v>
      </c>
      <c r="N1418" s="20" t="b">
        <f>IFERROR(__xludf.DUMMYFUNCTION("""COMPUTED_VALUE"""),FALSE)</f>
        <v>0</v>
      </c>
      <c r="O1418" s="20">
        <f>IFERROR(__xludf.DUMMYFUNCTION("""COMPUTED_VALUE"""),55.4132901134521)</f>
        <v>55.41329011</v>
      </c>
      <c r="P1418" s="20">
        <f>IFERROR(__xludf.DUMMYFUNCTION("""COMPUTED_VALUE"""),47866.0)</f>
        <v>47866</v>
      </c>
      <c r="Q1418" s="20">
        <f>IFERROR(__xludf.DUMMYFUNCTION("""COMPUTED_VALUE"""),86380.0)</f>
        <v>86380</v>
      </c>
    </row>
    <row r="1419">
      <c r="A1419" s="20">
        <f>IFERROR(__xludf.DUMMYFUNCTION("""COMPUTED_VALUE"""),1533.0)</f>
        <v>1533</v>
      </c>
      <c r="B1419" s="20" t="str">
        <f>IFERROR(__xludf.DUMMYFUNCTION("""COMPUTED_VALUE"""),"Display Table of Food Orders in a Restaurant")</f>
        <v>Display Table of Food Orders in a Restaurant</v>
      </c>
      <c r="C1419" s="20" t="str">
        <f>IFERROR(__xludf.DUMMYFUNCTION("""COMPUTED_VALUE"""),"display-table-of-food-orders-in-a-restaurant")</f>
        <v>display-table-of-food-orders-in-a-restaurant</v>
      </c>
      <c r="D1419" s="20" t="b">
        <f>IFERROR(__xludf.DUMMYFUNCTION("""COMPUTED_VALUE"""),FALSE)</f>
        <v>0</v>
      </c>
      <c r="E1419" s="20" t="str">
        <f>IFERROR(__xludf.DUMMYFUNCTION("""COMPUTED_VALUE"""),"Medium")</f>
        <v>Medium</v>
      </c>
      <c r="F1419" s="20">
        <f>IFERROR(__xludf.DUMMYFUNCTION("""COMPUTED_VALUE"""),271.0)</f>
        <v>271</v>
      </c>
      <c r="G1419" s="20">
        <f>IFERROR(__xludf.DUMMYFUNCTION("""COMPUTED_VALUE"""),406.0)</f>
        <v>406</v>
      </c>
      <c r="H1419" s="20" t="str">
        <f>IFERROR(__xludf.DUMMYFUNCTION("""COMPUTED_VALUE"""),"Algorithms")</f>
        <v>Algorithms</v>
      </c>
      <c r="I1419" s="20">
        <f>IFERROR(__xludf.DUMMYFUNCTION("""COMPUTED_VALUE"""),0.738)</f>
        <v>0.738</v>
      </c>
      <c r="J1419" s="20">
        <f>IFERROR(__xludf.DUMMYFUNCTION("""COMPUTED_VALUE"""),1418.0)</f>
        <v>1418</v>
      </c>
      <c r="K1419" s="20" t="b">
        <f>IFERROR(__xludf.DUMMYFUNCTION("""COMPUTED_VALUE"""),FALSE)</f>
        <v>0</v>
      </c>
      <c r="L1419" s="20" t="str">
        <f>IFERROR(__xludf.DUMMYFUNCTION("""COMPUTED_VALUE"""),"Array;Hash Table;String;Sorting;Ordered Set;")</f>
        <v>Array;Hash Table;String;Sorting;Ordered Set;</v>
      </c>
      <c r="M1419" s="20" t="b">
        <f>IFERROR(__xludf.DUMMYFUNCTION("""COMPUTED_VALUE"""),FALSE)</f>
        <v>0</v>
      </c>
      <c r="N1419" s="20" t="b">
        <f>IFERROR(__xludf.DUMMYFUNCTION("""COMPUTED_VALUE"""),FALSE)</f>
        <v>0</v>
      </c>
      <c r="O1419" s="20">
        <f>IFERROR(__xludf.DUMMYFUNCTION("""COMPUTED_VALUE"""),73.8314944834503)</f>
        <v>73.83149448</v>
      </c>
      <c r="P1419" s="20">
        <f>IFERROR(__xludf.DUMMYFUNCTION("""COMPUTED_VALUE"""),22083.0)</f>
        <v>22083</v>
      </c>
      <c r="Q1419" s="20">
        <f>IFERROR(__xludf.DUMMYFUNCTION("""COMPUTED_VALUE"""),29910.0)</f>
        <v>29910</v>
      </c>
    </row>
    <row r="1420">
      <c r="A1420" s="20">
        <f>IFERROR(__xludf.DUMMYFUNCTION("""COMPUTED_VALUE"""),1534.0)</f>
        <v>1534</v>
      </c>
      <c r="B1420" s="20" t="str">
        <f>IFERROR(__xludf.DUMMYFUNCTION("""COMPUTED_VALUE"""),"Minimum Number of Frogs Croaking")</f>
        <v>Minimum Number of Frogs Croaking</v>
      </c>
      <c r="C1420" s="20" t="str">
        <f>IFERROR(__xludf.DUMMYFUNCTION("""COMPUTED_VALUE"""),"minimum-number-of-frogs-croaking")</f>
        <v>minimum-number-of-frogs-croaking</v>
      </c>
      <c r="D1420" s="20" t="b">
        <f>IFERROR(__xludf.DUMMYFUNCTION("""COMPUTED_VALUE"""),FALSE)</f>
        <v>0</v>
      </c>
      <c r="E1420" s="20" t="str">
        <f>IFERROR(__xludf.DUMMYFUNCTION("""COMPUTED_VALUE"""),"Medium")</f>
        <v>Medium</v>
      </c>
      <c r="F1420" s="20">
        <f>IFERROR(__xludf.DUMMYFUNCTION("""COMPUTED_VALUE"""),802.0)</f>
        <v>802</v>
      </c>
      <c r="G1420" s="20">
        <f>IFERROR(__xludf.DUMMYFUNCTION("""COMPUTED_VALUE"""),59.0)</f>
        <v>59</v>
      </c>
      <c r="H1420" s="20" t="str">
        <f>IFERROR(__xludf.DUMMYFUNCTION("""COMPUTED_VALUE"""),"Algorithms")</f>
        <v>Algorithms</v>
      </c>
      <c r="I1420" s="20">
        <f>IFERROR(__xludf.DUMMYFUNCTION("""COMPUTED_VALUE"""),0.501)</f>
        <v>0.501</v>
      </c>
      <c r="J1420" s="20">
        <f>IFERROR(__xludf.DUMMYFUNCTION("""COMPUTED_VALUE"""),1419.0)</f>
        <v>1419</v>
      </c>
      <c r="K1420" s="20" t="b">
        <f>IFERROR(__xludf.DUMMYFUNCTION("""COMPUTED_VALUE"""),FALSE)</f>
        <v>0</v>
      </c>
      <c r="L1420" s="20" t="str">
        <f>IFERROR(__xludf.DUMMYFUNCTION("""COMPUTED_VALUE"""),"String;Counting;")</f>
        <v>String;Counting;</v>
      </c>
      <c r="M1420" s="20" t="b">
        <f>IFERROR(__xludf.DUMMYFUNCTION("""COMPUTED_VALUE"""),FALSE)</f>
        <v>0</v>
      </c>
      <c r="N1420" s="20" t="b">
        <f>IFERROR(__xludf.DUMMYFUNCTION("""COMPUTED_VALUE"""),FALSE)</f>
        <v>0</v>
      </c>
      <c r="O1420" s="20">
        <f>IFERROR(__xludf.DUMMYFUNCTION("""COMPUTED_VALUE"""),50.1129219312702)</f>
        <v>50.11292193</v>
      </c>
      <c r="P1420" s="20">
        <f>IFERROR(__xludf.DUMMYFUNCTION("""COMPUTED_VALUE"""),32840.0)</f>
        <v>32840</v>
      </c>
      <c r="Q1420" s="20">
        <f>IFERROR(__xludf.DUMMYFUNCTION("""COMPUTED_VALUE"""),65532.0)</f>
        <v>65532</v>
      </c>
    </row>
    <row r="1421">
      <c r="A1421" s="20">
        <f>IFERROR(__xludf.DUMMYFUNCTION("""COMPUTED_VALUE"""),1535.0)</f>
        <v>1535</v>
      </c>
      <c r="B1421" s="20" t="str">
        <f>IFERROR(__xludf.DUMMYFUNCTION("""COMPUTED_VALUE"""),"Build Array Where You Can Find The Maximum Exactly K Comparisons")</f>
        <v>Build Array Where You Can Find The Maximum Exactly K Comparisons</v>
      </c>
      <c r="C1421" s="20" t="str">
        <f>IFERROR(__xludf.DUMMYFUNCTION("""COMPUTED_VALUE"""),"build-array-where-you-can-find-the-maximum-exactly-k-comparisons")</f>
        <v>build-array-where-you-can-find-the-maximum-exactly-k-comparisons</v>
      </c>
      <c r="D1421" s="20" t="b">
        <f>IFERROR(__xludf.DUMMYFUNCTION("""COMPUTED_VALUE"""),FALSE)</f>
        <v>0</v>
      </c>
      <c r="E1421" s="20" t="str">
        <f>IFERROR(__xludf.DUMMYFUNCTION("""COMPUTED_VALUE"""),"Hard")</f>
        <v>Hard</v>
      </c>
      <c r="F1421" s="20">
        <f>IFERROR(__xludf.DUMMYFUNCTION("""COMPUTED_VALUE"""),463.0)</f>
        <v>463</v>
      </c>
      <c r="G1421" s="20">
        <f>IFERROR(__xludf.DUMMYFUNCTION("""COMPUTED_VALUE"""),11.0)</f>
        <v>11</v>
      </c>
      <c r="H1421" s="20" t="str">
        <f>IFERROR(__xludf.DUMMYFUNCTION("""COMPUTED_VALUE"""),"Algorithms")</f>
        <v>Algorithms</v>
      </c>
      <c r="I1421" s="20">
        <f>IFERROR(__xludf.DUMMYFUNCTION("""COMPUTED_VALUE"""),0.635)</f>
        <v>0.635</v>
      </c>
      <c r="J1421" s="20">
        <f>IFERROR(__xludf.DUMMYFUNCTION("""COMPUTED_VALUE"""),1420.0)</f>
        <v>1420</v>
      </c>
      <c r="K1421" s="20" t="b">
        <f>IFERROR(__xludf.DUMMYFUNCTION("""COMPUTED_VALUE"""),FALSE)</f>
        <v>0</v>
      </c>
      <c r="L1421" s="20" t="str">
        <f>IFERROR(__xludf.DUMMYFUNCTION("""COMPUTED_VALUE"""),"Dynamic Programming;")</f>
        <v>Dynamic Programming;</v>
      </c>
      <c r="M1421" s="20" t="b">
        <f>IFERROR(__xludf.DUMMYFUNCTION("""COMPUTED_VALUE"""),FALSE)</f>
        <v>0</v>
      </c>
      <c r="N1421" s="20" t="b">
        <f>IFERROR(__xludf.DUMMYFUNCTION("""COMPUTED_VALUE"""),FALSE)</f>
        <v>0</v>
      </c>
      <c r="O1421" s="20">
        <f>IFERROR(__xludf.DUMMYFUNCTION("""COMPUTED_VALUE"""),63.4674207883649)</f>
        <v>63.46742079</v>
      </c>
      <c r="P1421" s="20">
        <f>IFERROR(__xludf.DUMMYFUNCTION("""COMPUTED_VALUE"""),10997.0)</f>
        <v>10997</v>
      </c>
      <c r="Q1421" s="20">
        <f>IFERROR(__xludf.DUMMYFUNCTION("""COMPUTED_VALUE"""),17327.0)</f>
        <v>17327</v>
      </c>
    </row>
    <row r="1422">
      <c r="A1422" s="20">
        <f>IFERROR(__xludf.DUMMYFUNCTION("""COMPUTED_VALUE"""),1551.0)</f>
        <v>1551</v>
      </c>
      <c r="B1422" s="20" t="str">
        <f>IFERROR(__xludf.DUMMYFUNCTION("""COMPUTED_VALUE"""),"NPV Queries")</f>
        <v>NPV Queries</v>
      </c>
      <c r="C1422" s="20" t="str">
        <f>IFERROR(__xludf.DUMMYFUNCTION("""COMPUTED_VALUE"""),"npv-queries")</f>
        <v>npv-queries</v>
      </c>
      <c r="D1422" s="20" t="b">
        <f>IFERROR(__xludf.DUMMYFUNCTION("""COMPUTED_VALUE"""),TRUE)</f>
        <v>1</v>
      </c>
      <c r="E1422" s="20" t="str">
        <f>IFERROR(__xludf.DUMMYFUNCTION("""COMPUTED_VALUE"""),"Easy")</f>
        <v>Easy</v>
      </c>
      <c r="F1422" s="20">
        <f>IFERROR(__xludf.DUMMYFUNCTION("""COMPUTED_VALUE"""),39.0)</f>
        <v>39</v>
      </c>
      <c r="G1422" s="20">
        <f>IFERROR(__xludf.DUMMYFUNCTION("""COMPUTED_VALUE"""),267.0)</f>
        <v>267</v>
      </c>
      <c r="H1422" s="20" t="str">
        <f>IFERROR(__xludf.DUMMYFUNCTION("""COMPUTED_VALUE"""),"Database")</f>
        <v>Database</v>
      </c>
      <c r="I1422" s="20">
        <f>IFERROR(__xludf.DUMMYFUNCTION("""COMPUTED_VALUE"""),0.84)</f>
        <v>0.84</v>
      </c>
      <c r="J1422" s="20">
        <f>IFERROR(__xludf.DUMMYFUNCTION("""COMPUTED_VALUE"""),1421.0)</f>
        <v>1421</v>
      </c>
      <c r="K1422" s="20" t="b">
        <f>IFERROR(__xludf.DUMMYFUNCTION("""COMPUTED_VALUE"""),TRUE)</f>
        <v>1</v>
      </c>
      <c r="L1422" s="20" t="str">
        <f>IFERROR(__xludf.DUMMYFUNCTION("""COMPUTED_VALUE"""),"Database;")</f>
        <v>Database;</v>
      </c>
      <c r="M1422" s="20" t="b">
        <f>IFERROR(__xludf.DUMMYFUNCTION("""COMPUTED_VALUE"""),FALSE)</f>
        <v>0</v>
      </c>
      <c r="N1422" s="20" t="b">
        <f>IFERROR(__xludf.DUMMYFUNCTION("""COMPUTED_VALUE"""),FALSE)</f>
        <v>0</v>
      </c>
      <c r="O1422" s="20">
        <f>IFERROR(__xludf.DUMMYFUNCTION("""COMPUTED_VALUE"""),83.998900537951)</f>
        <v>83.99890054</v>
      </c>
      <c r="P1422" s="20">
        <f>IFERROR(__xludf.DUMMYFUNCTION("""COMPUTED_VALUE"""),21392.0)</f>
        <v>21392</v>
      </c>
      <c r="Q1422" s="20">
        <f>IFERROR(__xludf.DUMMYFUNCTION("""COMPUTED_VALUE"""),25467.0)</f>
        <v>25467</v>
      </c>
    </row>
    <row r="1423">
      <c r="A1423" s="20">
        <f>IFERROR(__xludf.DUMMYFUNCTION("""COMPUTED_VALUE"""),1537.0)</f>
        <v>1537</v>
      </c>
      <c r="B1423" s="20" t="str">
        <f>IFERROR(__xludf.DUMMYFUNCTION("""COMPUTED_VALUE"""),"Maximum Score After Splitting a String")</f>
        <v>Maximum Score After Splitting a String</v>
      </c>
      <c r="C1423" s="20" t="str">
        <f>IFERROR(__xludf.DUMMYFUNCTION("""COMPUTED_VALUE"""),"maximum-score-after-splitting-a-string")</f>
        <v>maximum-score-after-splitting-a-string</v>
      </c>
      <c r="D1423" s="20" t="b">
        <f>IFERROR(__xludf.DUMMYFUNCTION("""COMPUTED_VALUE"""),FALSE)</f>
        <v>0</v>
      </c>
      <c r="E1423" s="20" t="str">
        <f>IFERROR(__xludf.DUMMYFUNCTION("""COMPUTED_VALUE"""),"Easy")</f>
        <v>Easy</v>
      </c>
      <c r="F1423" s="20">
        <f>IFERROR(__xludf.DUMMYFUNCTION("""COMPUTED_VALUE"""),561.0)</f>
        <v>561</v>
      </c>
      <c r="G1423" s="20">
        <f>IFERROR(__xludf.DUMMYFUNCTION("""COMPUTED_VALUE"""),34.0)</f>
        <v>34</v>
      </c>
      <c r="H1423" s="20" t="str">
        <f>IFERROR(__xludf.DUMMYFUNCTION("""COMPUTED_VALUE"""),"Algorithms")</f>
        <v>Algorithms</v>
      </c>
      <c r="I1423" s="20">
        <f>IFERROR(__xludf.DUMMYFUNCTION("""COMPUTED_VALUE"""),0.579)</f>
        <v>0.579</v>
      </c>
      <c r="J1423" s="20">
        <f>IFERROR(__xludf.DUMMYFUNCTION("""COMPUTED_VALUE"""),1422.0)</f>
        <v>1422</v>
      </c>
      <c r="K1423" s="20" t="b">
        <f>IFERROR(__xludf.DUMMYFUNCTION("""COMPUTED_VALUE"""),FALSE)</f>
        <v>0</v>
      </c>
      <c r="L1423" s="20" t="str">
        <f>IFERROR(__xludf.DUMMYFUNCTION("""COMPUTED_VALUE"""),"String;")</f>
        <v>String;</v>
      </c>
      <c r="M1423" s="20" t="b">
        <f>IFERROR(__xludf.DUMMYFUNCTION("""COMPUTED_VALUE"""),FALSE)</f>
        <v>0</v>
      </c>
      <c r="N1423" s="20" t="b">
        <f>IFERROR(__xludf.DUMMYFUNCTION("""COMPUTED_VALUE"""),FALSE)</f>
        <v>0</v>
      </c>
      <c r="O1423" s="20">
        <f>IFERROR(__xludf.DUMMYFUNCTION("""COMPUTED_VALUE"""),57.8955700377298)</f>
        <v>57.89557004</v>
      </c>
      <c r="P1423" s="20">
        <f>IFERROR(__xludf.DUMMYFUNCTION("""COMPUTED_VALUE"""),43886.0)</f>
        <v>43886</v>
      </c>
      <c r="Q1423" s="20">
        <f>IFERROR(__xludf.DUMMYFUNCTION("""COMPUTED_VALUE"""),75802.0)</f>
        <v>75802</v>
      </c>
    </row>
    <row r="1424">
      <c r="A1424" s="20">
        <f>IFERROR(__xludf.DUMMYFUNCTION("""COMPUTED_VALUE"""),1538.0)</f>
        <v>1538</v>
      </c>
      <c r="B1424" s="20" t="str">
        <f>IFERROR(__xludf.DUMMYFUNCTION("""COMPUTED_VALUE"""),"Maximum Points You Can Obtain from Cards")</f>
        <v>Maximum Points You Can Obtain from Cards</v>
      </c>
      <c r="C1424" s="20" t="str">
        <f>IFERROR(__xludf.DUMMYFUNCTION("""COMPUTED_VALUE"""),"maximum-points-you-can-obtain-from-cards")</f>
        <v>maximum-points-you-can-obtain-from-cards</v>
      </c>
      <c r="D1424" s="20" t="b">
        <f>IFERROR(__xludf.DUMMYFUNCTION("""COMPUTED_VALUE"""),FALSE)</f>
        <v>0</v>
      </c>
      <c r="E1424" s="20" t="str">
        <f>IFERROR(__xludf.DUMMYFUNCTION("""COMPUTED_VALUE"""),"Medium")</f>
        <v>Medium</v>
      </c>
      <c r="F1424" s="20">
        <f>IFERROR(__xludf.DUMMYFUNCTION("""COMPUTED_VALUE"""),4970.0)</f>
        <v>4970</v>
      </c>
      <c r="G1424" s="20">
        <f>IFERROR(__xludf.DUMMYFUNCTION("""COMPUTED_VALUE"""),184.0)</f>
        <v>184</v>
      </c>
      <c r="H1424" s="20" t="str">
        <f>IFERROR(__xludf.DUMMYFUNCTION("""COMPUTED_VALUE"""),"Algorithms")</f>
        <v>Algorithms</v>
      </c>
      <c r="I1424" s="20">
        <f>IFERROR(__xludf.DUMMYFUNCTION("""COMPUTED_VALUE"""),0.522)</f>
        <v>0.522</v>
      </c>
      <c r="J1424" s="20">
        <f>IFERROR(__xludf.DUMMYFUNCTION("""COMPUTED_VALUE"""),1423.0)</f>
        <v>1423</v>
      </c>
      <c r="K1424" s="20" t="b">
        <f>IFERROR(__xludf.DUMMYFUNCTION("""COMPUTED_VALUE"""),FALSE)</f>
        <v>0</v>
      </c>
      <c r="L1424" s="20" t="str">
        <f>IFERROR(__xludf.DUMMYFUNCTION("""COMPUTED_VALUE"""),"Array;Sliding Window;Prefix Sum;")</f>
        <v>Array;Sliding Window;Prefix Sum;</v>
      </c>
      <c r="M1424" s="20" t="b">
        <f>IFERROR(__xludf.DUMMYFUNCTION("""COMPUTED_VALUE"""),TRUE)</f>
        <v>1</v>
      </c>
      <c r="N1424" s="20" t="b">
        <f>IFERROR(__xludf.DUMMYFUNCTION("""COMPUTED_VALUE"""),FALSE)</f>
        <v>0</v>
      </c>
      <c r="O1424" s="20">
        <f>IFERROR(__xludf.DUMMYFUNCTION("""COMPUTED_VALUE"""),52.2494135078404)</f>
        <v>52.24941351</v>
      </c>
      <c r="P1424" s="20">
        <f>IFERROR(__xludf.DUMMYFUNCTION("""COMPUTED_VALUE"""),211583.0)</f>
        <v>211583</v>
      </c>
      <c r="Q1424" s="20">
        <f>IFERROR(__xludf.DUMMYFUNCTION("""COMPUTED_VALUE"""),404949.0)</f>
        <v>404949</v>
      </c>
    </row>
    <row r="1425">
      <c r="A1425" s="20">
        <f>IFERROR(__xludf.DUMMYFUNCTION("""COMPUTED_VALUE"""),1539.0)</f>
        <v>1539</v>
      </c>
      <c r="B1425" s="20" t="str">
        <f>IFERROR(__xludf.DUMMYFUNCTION("""COMPUTED_VALUE"""),"Diagonal Traverse II")</f>
        <v>Diagonal Traverse II</v>
      </c>
      <c r="C1425" s="20" t="str">
        <f>IFERROR(__xludf.DUMMYFUNCTION("""COMPUTED_VALUE"""),"diagonal-traverse-ii")</f>
        <v>diagonal-traverse-ii</v>
      </c>
      <c r="D1425" s="20" t="b">
        <f>IFERROR(__xludf.DUMMYFUNCTION("""COMPUTED_VALUE"""),FALSE)</f>
        <v>0</v>
      </c>
      <c r="E1425" s="20" t="str">
        <f>IFERROR(__xludf.DUMMYFUNCTION("""COMPUTED_VALUE"""),"Medium")</f>
        <v>Medium</v>
      </c>
      <c r="F1425" s="20">
        <f>IFERROR(__xludf.DUMMYFUNCTION("""COMPUTED_VALUE"""),981.0)</f>
        <v>981</v>
      </c>
      <c r="G1425" s="20">
        <f>IFERROR(__xludf.DUMMYFUNCTION("""COMPUTED_VALUE"""),81.0)</f>
        <v>81</v>
      </c>
      <c r="H1425" s="20" t="str">
        <f>IFERROR(__xludf.DUMMYFUNCTION("""COMPUTED_VALUE"""),"Algorithms")</f>
        <v>Algorithms</v>
      </c>
      <c r="I1425" s="20">
        <f>IFERROR(__xludf.DUMMYFUNCTION("""COMPUTED_VALUE"""),0.504)</f>
        <v>0.504</v>
      </c>
      <c r="J1425" s="20">
        <f>IFERROR(__xludf.DUMMYFUNCTION("""COMPUTED_VALUE"""),1424.0)</f>
        <v>1424</v>
      </c>
      <c r="K1425" s="20" t="b">
        <f>IFERROR(__xludf.DUMMYFUNCTION("""COMPUTED_VALUE"""),FALSE)</f>
        <v>0</v>
      </c>
      <c r="L1425" s="20" t="str">
        <f>IFERROR(__xludf.DUMMYFUNCTION("""COMPUTED_VALUE"""),"Array;Sorting;Heap (Priority Queue);")</f>
        <v>Array;Sorting;Heap (Priority Queue);</v>
      </c>
      <c r="M1425" s="20" t="b">
        <f>IFERROR(__xludf.DUMMYFUNCTION("""COMPUTED_VALUE"""),FALSE)</f>
        <v>0</v>
      </c>
      <c r="N1425" s="20" t="b">
        <f>IFERROR(__xludf.DUMMYFUNCTION("""COMPUTED_VALUE"""),FALSE)</f>
        <v>0</v>
      </c>
      <c r="O1425" s="20">
        <f>IFERROR(__xludf.DUMMYFUNCTION("""COMPUTED_VALUE"""),50.3867451398483)</f>
        <v>50.38674514</v>
      </c>
      <c r="P1425" s="20">
        <f>IFERROR(__xludf.DUMMYFUNCTION("""COMPUTED_VALUE"""),46316.0)</f>
        <v>46316</v>
      </c>
      <c r="Q1425" s="20">
        <f>IFERROR(__xludf.DUMMYFUNCTION("""COMPUTED_VALUE"""),91920.0)</f>
        <v>91920</v>
      </c>
    </row>
    <row r="1426">
      <c r="A1426" s="20">
        <f>IFERROR(__xludf.DUMMYFUNCTION("""COMPUTED_VALUE"""),1286.0)</f>
        <v>1286</v>
      </c>
      <c r="B1426" s="20" t="str">
        <f>IFERROR(__xludf.DUMMYFUNCTION("""COMPUTED_VALUE"""),"Constrained Subsequence Sum")</f>
        <v>Constrained Subsequence Sum</v>
      </c>
      <c r="C1426" s="20" t="str">
        <f>IFERROR(__xludf.DUMMYFUNCTION("""COMPUTED_VALUE"""),"constrained-subsequence-sum")</f>
        <v>constrained-subsequence-sum</v>
      </c>
      <c r="D1426" s="20" t="b">
        <f>IFERROR(__xludf.DUMMYFUNCTION("""COMPUTED_VALUE"""),FALSE)</f>
        <v>0</v>
      </c>
      <c r="E1426" s="20" t="str">
        <f>IFERROR(__xludf.DUMMYFUNCTION("""COMPUTED_VALUE"""),"Hard")</f>
        <v>Hard</v>
      </c>
      <c r="F1426" s="20">
        <f>IFERROR(__xludf.DUMMYFUNCTION("""COMPUTED_VALUE"""),1013.0)</f>
        <v>1013</v>
      </c>
      <c r="G1426" s="20">
        <f>IFERROR(__xludf.DUMMYFUNCTION("""COMPUTED_VALUE"""),41.0)</f>
        <v>41</v>
      </c>
      <c r="H1426" s="20" t="str">
        <f>IFERROR(__xludf.DUMMYFUNCTION("""COMPUTED_VALUE"""),"Algorithms")</f>
        <v>Algorithms</v>
      </c>
      <c r="I1426" s="20">
        <f>IFERROR(__xludf.DUMMYFUNCTION("""COMPUTED_VALUE"""),0.474)</f>
        <v>0.474</v>
      </c>
      <c r="J1426" s="20">
        <f>IFERROR(__xludf.DUMMYFUNCTION("""COMPUTED_VALUE"""),1425.0)</f>
        <v>1425</v>
      </c>
      <c r="K1426" s="20" t="b">
        <f>IFERROR(__xludf.DUMMYFUNCTION("""COMPUTED_VALUE"""),FALSE)</f>
        <v>0</v>
      </c>
      <c r="L1426" s="20" t="str">
        <f>IFERROR(__xludf.DUMMYFUNCTION("""COMPUTED_VALUE"""),"Array;Dynamic Programming;Queue;Sliding Window;Heap (Priority Queue);Monotonic Queue;")</f>
        <v>Array;Dynamic Programming;Queue;Sliding Window;Heap (Priority Queue);Monotonic Queue;</v>
      </c>
      <c r="M1426" s="20" t="b">
        <f>IFERROR(__xludf.DUMMYFUNCTION("""COMPUTED_VALUE"""),FALSE)</f>
        <v>0</v>
      </c>
      <c r="N1426" s="20" t="b">
        <f>IFERROR(__xludf.DUMMYFUNCTION("""COMPUTED_VALUE"""),FALSE)</f>
        <v>0</v>
      </c>
      <c r="O1426" s="20">
        <f>IFERROR(__xludf.DUMMYFUNCTION("""COMPUTED_VALUE"""),47.4115340967708)</f>
        <v>47.4115341</v>
      </c>
      <c r="P1426" s="20">
        <f>IFERROR(__xludf.DUMMYFUNCTION("""COMPUTED_VALUE"""),22978.0)</f>
        <v>22978</v>
      </c>
      <c r="Q1426" s="20">
        <f>IFERROR(__xludf.DUMMYFUNCTION("""COMPUTED_VALUE"""),48465.0)</f>
        <v>48465</v>
      </c>
    </row>
    <row r="1427">
      <c r="A1427" s="20">
        <f>IFERROR(__xludf.DUMMYFUNCTION("""COMPUTED_VALUE"""),1391.0)</f>
        <v>1391</v>
      </c>
      <c r="B1427" s="20" t="str">
        <f>IFERROR(__xludf.DUMMYFUNCTION("""COMPUTED_VALUE"""),"Counting Elements")</f>
        <v>Counting Elements</v>
      </c>
      <c r="C1427" s="20" t="str">
        <f>IFERROR(__xludf.DUMMYFUNCTION("""COMPUTED_VALUE"""),"counting-elements")</f>
        <v>counting-elements</v>
      </c>
      <c r="D1427" s="20" t="b">
        <f>IFERROR(__xludf.DUMMYFUNCTION("""COMPUTED_VALUE"""),TRUE)</f>
        <v>1</v>
      </c>
      <c r="E1427" s="20" t="str">
        <f>IFERROR(__xludf.DUMMYFUNCTION("""COMPUTED_VALUE"""),"Easy")</f>
        <v>Easy</v>
      </c>
      <c r="F1427" s="20">
        <f>IFERROR(__xludf.DUMMYFUNCTION("""COMPUTED_VALUE"""),102.0)</f>
        <v>102</v>
      </c>
      <c r="G1427" s="20">
        <f>IFERROR(__xludf.DUMMYFUNCTION("""COMPUTED_VALUE"""),25.0)</f>
        <v>25</v>
      </c>
      <c r="H1427" s="20" t="str">
        <f>IFERROR(__xludf.DUMMYFUNCTION("""COMPUTED_VALUE"""),"Algorithms")</f>
        <v>Algorithms</v>
      </c>
      <c r="I1427" s="20">
        <f>IFERROR(__xludf.DUMMYFUNCTION("""COMPUTED_VALUE"""),0.597)</f>
        <v>0.597</v>
      </c>
      <c r="J1427" s="20">
        <f>IFERROR(__xludf.DUMMYFUNCTION("""COMPUTED_VALUE"""),1426.0)</f>
        <v>1426</v>
      </c>
      <c r="K1427" s="20" t="b">
        <f>IFERROR(__xludf.DUMMYFUNCTION("""COMPUTED_VALUE"""),TRUE)</f>
        <v>1</v>
      </c>
      <c r="L1427" s="20" t="str">
        <f>IFERROR(__xludf.DUMMYFUNCTION("""COMPUTED_VALUE"""),"Array;Hash Table;")</f>
        <v>Array;Hash Table;</v>
      </c>
      <c r="M1427" s="20" t="b">
        <f>IFERROR(__xludf.DUMMYFUNCTION("""COMPUTED_VALUE"""),TRUE)</f>
        <v>1</v>
      </c>
      <c r="N1427" s="20" t="b">
        <f>IFERROR(__xludf.DUMMYFUNCTION("""COMPUTED_VALUE"""),FALSE)</f>
        <v>0</v>
      </c>
      <c r="O1427" s="20">
        <f>IFERROR(__xludf.DUMMYFUNCTION("""COMPUTED_VALUE"""),59.6675848253411)</f>
        <v>59.66758483</v>
      </c>
      <c r="P1427" s="20">
        <f>IFERROR(__xludf.DUMMYFUNCTION("""COMPUTED_VALUE"""),95313.0)</f>
        <v>95313</v>
      </c>
      <c r="Q1427" s="20">
        <f>IFERROR(__xludf.DUMMYFUNCTION("""COMPUTED_VALUE"""),159740.0)</f>
        <v>159740</v>
      </c>
    </row>
    <row r="1428">
      <c r="A1428" s="20">
        <f>IFERROR(__xludf.DUMMYFUNCTION("""COMPUTED_VALUE"""),1345.0)</f>
        <v>1345</v>
      </c>
      <c r="B1428" s="20" t="str">
        <f>IFERROR(__xludf.DUMMYFUNCTION("""COMPUTED_VALUE"""),"Perform String Shifts")</f>
        <v>Perform String Shifts</v>
      </c>
      <c r="C1428" s="20" t="str">
        <f>IFERROR(__xludf.DUMMYFUNCTION("""COMPUTED_VALUE"""),"perform-string-shifts")</f>
        <v>perform-string-shifts</v>
      </c>
      <c r="D1428" s="20" t="b">
        <f>IFERROR(__xludf.DUMMYFUNCTION("""COMPUTED_VALUE"""),TRUE)</f>
        <v>1</v>
      </c>
      <c r="E1428" s="20" t="str">
        <f>IFERROR(__xludf.DUMMYFUNCTION("""COMPUTED_VALUE"""),"Easy")</f>
        <v>Easy</v>
      </c>
      <c r="F1428" s="20">
        <f>IFERROR(__xludf.DUMMYFUNCTION("""COMPUTED_VALUE"""),178.0)</f>
        <v>178</v>
      </c>
      <c r="G1428" s="20">
        <f>IFERROR(__xludf.DUMMYFUNCTION("""COMPUTED_VALUE"""),4.0)</f>
        <v>4</v>
      </c>
      <c r="H1428" s="20" t="str">
        <f>IFERROR(__xludf.DUMMYFUNCTION("""COMPUTED_VALUE"""),"Algorithms")</f>
        <v>Algorithms</v>
      </c>
      <c r="I1428" s="20">
        <f>IFERROR(__xludf.DUMMYFUNCTION("""COMPUTED_VALUE"""),0.543)</f>
        <v>0.543</v>
      </c>
      <c r="J1428" s="20">
        <f>IFERROR(__xludf.DUMMYFUNCTION("""COMPUTED_VALUE"""),1427.0)</f>
        <v>1427</v>
      </c>
      <c r="K1428" s="20" t="b">
        <f>IFERROR(__xludf.DUMMYFUNCTION("""COMPUTED_VALUE"""),TRUE)</f>
        <v>1</v>
      </c>
      <c r="L1428" s="20" t="str">
        <f>IFERROR(__xludf.DUMMYFUNCTION("""COMPUTED_VALUE"""),"Array;Math;String;")</f>
        <v>Array;Math;String;</v>
      </c>
      <c r="M1428" s="20" t="b">
        <f>IFERROR(__xludf.DUMMYFUNCTION("""COMPUTED_VALUE"""),TRUE)</f>
        <v>1</v>
      </c>
      <c r="N1428" s="20" t="b">
        <f>IFERROR(__xludf.DUMMYFUNCTION("""COMPUTED_VALUE"""),FALSE)</f>
        <v>0</v>
      </c>
      <c r="O1428" s="20">
        <f>IFERROR(__xludf.DUMMYFUNCTION("""COMPUTED_VALUE"""),54.2764778784847)</f>
        <v>54.27647788</v>
      </c>
      <c r="P1428" s="20">
        <f>IFERROR(__xludf.DUMMYFUNCTION("""COMPUTED_VALUE"""),72699.0)</f>
        <v>72699</v>
      </c>
      <c r="Q1428" s="20">
        <f>IFERROR(__xludf.DUMMYFUNCTION("""COMPUTED_VALUE"""),133942.0)</f>
        <v>133942</v>
      </c>
    </row>
    <row r="1429">
      <c r="A1429" s="20">
        <f>IFERROR(__xludf.DUMMYFUNCTION("""COMPUTED_VALUE"""),1374.0)</f>
        <v>1374</v>
      </c>
      <c r="B1429" s="20" t="str">
        <f>IFERROR(__xludf.DUMMYFUNCTION("""COMPUTED_VALUE"""),"Leftmost Column with at Least a One")</f>
        <v>Leftmost Column with at Least a One</v>
      </c>
      <c r="C1429" s="20" t="str">
        <f>IFERROR(__xludf.DUMMYFUNCTION("""COMPUTED_VALUE"""),"leftmost-column-with-at-least-a-one")</f>
        <v>leftmost-column-with-at-least-a-one</v>
      </c>
      <c r="D1429" s="20" t="b">
        <f>IFERROR(__xludf.DUMMYFUNCTION("""COMPUTED_VALUE"""),TRUE)</f>
        <v>1</v>
      </c>
      <c r="E1429" s="20" t="str">
        <f>IFERROR(__xludf.DUMMYFUNCTION("""COMPUTED_VALUE"""),"Medium")</f>
        <v>Medium</v>
      </c>
      <c r="F1429" s="20">
        <f>IFERROR(__xludf.DUMMYFUNCTION("""COMPUTED_VALUE"""),1101.0)</f>
        <v>1101</v>
      </c>
      <c r="G1429" s="20">
        <f>IFERROR(__xludf.DUMMYFUNCTION("""COMPUTED_VALUE"""),128.0)</f>
        <v>128</v>
      </c>
      <c r="H1429" s="20" t="str">
        <f>IFERROR(__xludf.DUMMYFUNCTION("""COMPUTED_VALUE"""),"Algorithms")</f>
        <v>Algorithms</v>
      </c>
      <c r="I1429" s="20">
        <f>IFERROR(__xludf.DUMMYFUNCTION("""COMPUTED_VALUE"""),0.534)</f>
        <v>0.534</v>
      </c>
      <c r="J1429" s="20">
        <f>IFERROR(__xludf.DUMMYFUNCTION("""COMPUTED_VALUE"""),1428.0)</f>
        <v>1428</v>
      </c>
      <c r="K1429" s="20" t="b">
        <f>IFERROR(__xludf.DUMMYFUNCTION("""COMPUTED_VALUE"""),TRUE)</f>
        <v>1</v>
      </c>
      <c r="L1429" s="20" t="str">
        <f>IFERROR(__xludf.DUMMYFUNCTION("""COMPUTED_VALUE"""),"Array;Binary Search;Matrix;Interactive;")</f>
        <v>Array;Binary Search;Matrix;Interactive;</v>
      </c>
      <c r="M1429" s="20" t="b">
        <f>IFERROR(__xludf.DUMMYFUNCTION("""COMPUTED_VALUE"""),TRUE)</f>
        <v>1</v>
      </c>
      <c r="N1429" s="20" t="b">
        <f>IFERROR(__xludf.DUMMYFUNCTION("""COMPUTED_VALUE"""),FALSE)</f>
        <v>0</v>
      </c>
      <c r="O1429" s="20">
        <f>IFERROR(__xludf.DUMMYFUNCTION("""COMPUTED_VALUE"""),53.3676207220031)</f>
        <v>53.36762072</v>
      </c>
      <c r="P1429" s="20">
        <f>IFERROR(__xludf.DUMMYFUNCTION("""COMPUTED_VALUE"""),162704.0)</f>
        <v>162704</v>
      </c>
      <c r="Q1429" s="20">
        <f>IFERROR(__xludf.DUMMYFUNCTION("""COMPUTED_VALUE"""),304874.0)</f>
        <v>304874</v>
      </c>
    </row>
    <row r="1430">
      <c r="A1430" s="20">
        <f>IFERROR(__xludf.DUMMYFUNCTION("""COMPUTED_VALUE"""),1366.0)</f>
        <v>1366</v>
      </c>
      <c r="B1430" s="20" t="str">
        <f>IFERROR(__xludf.DUMMYFUNCTION("""COMPUTED_VALUE"""),"First Unique Number")</f>
        <v>First Unique Number</v>
      </c>
      <c r="C1430" s="20" t="str">
        <f>IFERROR(__xludf.DUMMYFUNCTION("""COMPUTED_VALUE"""),"first-unique-number")</f>
        <v>first-unique-number</v>
      </c>
      <c r="D1430" s="20" t="b">
        <f>IFERROR(__xludf.DUMMYFUNCTION("""COMPUTED_VALUE"""),TRUE)</f>
        <v>1</v>
      </c>
      <c r="E1430" s="20" t="str">
        <f>IFERROR(__xludf.DUMMYFUNCTION("""COMPUTED_VALUE"""),"Medium")</f>
        <v>Medium</v>
      </c>
      <c r="F1430" s="20">
        <f>IFERROR(__xludf.DUMMYFUNCTION("""COMPUTED_VALUE"""),481.0)</f>
        <v>481</v>
      </c>
      <c r="G1430" s="20">
        <f>IFERROR(__xludf.DUMMYFUNCTION("""COMPUTED_VALUE"""),24.0)</f>
        <v>24</v>
      </c>
      <c r="H1430" s="20" t="str">
        <f>IFERROR(__xludf.DUMMYFUNCTION("""COMPUTED_VALUE"""),"Algorithms")</f>
        <v>Algorithms</v>
      </c>
      <c r="I1430" s="20">
        <f>IFERROR(__xludf.DUMMYFUNCTION("""COMPUTED_VALUE"""),0.528)</f>
        <v>0.528</v>
      </c>
      <c r="J1430" s="20">
        <f>IFERROR(__xludf.DUMMYFUNCTION("""COMPUTED_VALUE"""),1429.0)</f>
        <v>1429</v>
      </c>
      <c r="K1430" s="20" t="b">
        <f>IFERROR(__xludf.DUMMYFUNCTION("""COMPUTED_VALUE"""),TRUE)</f>
        <v>1</v>
      </c>
      <c r="L1430" s="20" t="str">
        <f>IFERROR(__xludf.DUMMYFUNCTION("""COMPUTED_VALUE"""),"Array;Hash Table;Design;Queue;Data Stream;")</f>
        <v>Array;Hash Table;Design;Queue;Data Stream;</v>
      </c>
      <c r="M1430" s="20" t="b">
        <f>IFERROR(__xludf.DUMMYFUNCTION("""COMPUTED_VALUE"""),TRUE)</f>
        <v>1</v>
      </c>
      <c r="N1430" s="20" t="b">
        <f>IFERROR(__xludf.DUMMYFUNCTION("""COMPUTED_VALUE"""),FALSE)</f>
        <v>0</v>
      </c>
      <c r="O1430" s="20">
        <f>IFERROR(__xludf.DUMMYFUNCTION("""COMPUTED_VALUE"""),52.8381364039947)</f>
        <v>52.8381364</v>
      </c>
      <c r="P1430" s="20">
        <f>IFERROR(__xludf.DUMMYFUNCTION("""COMPUTED_VALUE"""),76768.0)</f>
        <v>76768</v>
      </c>
      <c r="Q1430" s="20">
        <f>IFERROR(__xludf.DUMMYFUNCTION("""COMPUTED_VALUE"""),145289.0)</f>
        <v>145289</v>
      </c>
    </row>
    <row r="1431">
      <c r="A1431" s="20">
        <f>IFERROR(__xludf.DUMMYFUNCTION("""COMPUTED_VALUE"""),1432.0)</f>
        <v>1432</v>
      </c>
      <c r="B1431" s="20" t="str">
        <f>IFERROR(__xludf.DUMMYFUNCTION("""COMPUTED_VALUE"""),"Check If a String Is a Valid Sequence from Root to Leaves Path in a Binary Tree")</f>
        <v>Check If a String Is a Valid Sequence from Root to Leaves Path in a Binary Tree</v>
      </c>
      <c r="C1431" s="20" t="str">
        <f>IFERROR(__xludf.DUMMYFUNCTION("""COMPUTED_VALUE"""),"check-if-a-string-is-a-valid-sequence-from-root-to-leaves-path-in-a-binary-tree")</f>
        <v>check-if-a-string-is-a-valid-sequence-from-root-to-leaves-path-in-a-binary-tree</v>
      </c>
      <c r="D1431" s="20" t="b">
        <f>IFERROR(__xludf.DUMMYFUNCTION("""COMPUTED_VALUE"""),TRUE)</f>
        <v>1</v>
      </c>
      <c r="E1431" s="20" t="str">
        <f>IFERROR(__xludf.DUMMYFUNCTION("""COMPUTED_VALUE"""),"Medium")</f>
        <v>Medium</v>
      </c>
      <c r="F1431" s="20">
        <f>IFERROR(__xludf.DUMMYFUNCTION("""COMPUTED_VALUE"""),184.0)</f>
        <v>184</v>
      </c>
      <c r="G1431" s="20">
        <f>IFERROR(__xludf.DUMMYFUNCTION("""COMPUTED_VALUE"""),12.0)</f>
        <v>12</v>
      </c>
      <c r="H1431" s="20" t="str">
        <f>IFERROR(__xludf.DUMMYFUNCTION("""COMPUTED_VALUE"""),"Algorithms")</f>
        <v>Algorithms</v>
      </c>
      <c r="I1431" s="20">
        <f>IFERROR(__xludf.DUMMYFUNCTION("""COMPUTED_VALUE"""),0.463)</f>
        <v>0.463</v>
      </c>
      <c r="J1431" s="20">
        <f>IFERROR(__xludf.DUMMYFUNCTION("""COMPUTED_VALUE"""),1430.0)</f>
        <v>1430</v>
      </c>
      <c r="K1431" s="20" t="b">
        <f>IFERROR(__xludf.DUMMYFUNCTION("""COMPUTED_VALUE"""),TRUE)</f>
        <v>1</v>
      </c>
      <c r="L1431" s="20" t="str">
        <f>IFERROR(__xludf.DUMMYFUNCTION("""COMPUTED_VALUE"""),"Tree;Depth-First Search;Breadth-First Search;Binary Tree;")</f>
        <v>Tree;Depth-First Search;Breadth-First Search;Binary Tree;</v>
      </c>
      <c r="M1431" s="20" t="b">
        <f>IFERROR(__xludf.DUMMYFUNCTION("""COMPUTED_VALUE"""),FALSE)</f>
        <v>0</v>
      </c>
      <c r="N1431" s="20" t="b">
        <f>IFERROR(__xludf.DUMMYFUNCTION("""COMPUTED_VALUE"""),FALSE)</f>
        <v>0</v>
      </c>
      <c r="O1431" s="20">
        <f>IFERROR(__xludf.DUMMYFUNCTION("""COMPUTED_VALUE"""),46.2827996350405)</f>
        <v>46.28279964</v>
      </c>
      <c r="P1431" s="20">
        <f>IFERROR(__xludf.DUMMYFUNCTION("""COMPUTED_VALUE"""),42103.0)</f>
        <v>42103</v>
      </c>
      <c r="Q1431" s="20">
        <f>IFERROR(__xludf.DUMMYFUNCTION("""COMPUTED_VALUE"""),90969.0)</f>
        <v>90969</v>
      </c>
    </row>
    <row r="1432">
      <c r="A1432" s="20">
        <f>IFERROR(__xludf.DUMMYFUNCTION("""COMPUTED_VALUE"""),1528.0)</f>
        <v>1528</v>
      </c>
      <c r="B1432" s="20" t="str">
        <f>IFERROR(__xludf.DUMMYFUNCTION("""COMPUTED_VALUE"""),"Kids With the Greatest Number of Candies")</f>
        <v>Kids With the Greatest Number of Candies</v>
      </c>
      <c r="C1432" s="20" t="str">
        <f>IFERROR(__xludf.DUMMYFUNCTION("""COMPUTED_VALUE"""),"kids-with-the-greatest-number-of-candies")</f>
        <v>kids-with-the-greatest-number-of-candies</v>
      </c>
      <c r="D1432" s="20" t="b">
        <f>IFERROR(__xludf.DUMMYFUNCTION("""COMPUTED_VALUE"""),FALSE)</f>
        <v>0</v>
      </c>
      <c r="E1432" s="20" t="str">
        <f>IFERROR(__xludf.DUMMYFUNCTION("""COMPUTED_VALUE"""),"Easy")</f>
        <v>Easy</v>
      </c>
      <c r="F1432" s="20">
        <f>IFERROR(__xludf.DUMMYFUNCTION("""COMPUTED_VALUE"""),2201.0)</f>
        <v>2201</v>
      </c>
      <c r="G1432" s="20">
        <f>IFERROR(__xludf.DUMMYFUNCTION("""COMPUTED_VALUE"""),310.0)</f>
        <v>310</v>
      </c>
      <c r="H1432" s="20" t="str">
        <f>IFERROR(__xludf.DUMMYFUNCTION("""COMPUTED_VALUE"""),"Algorithms")</f>
        <v>Algorithms</v>
      </c>
      <c r="I1432" s="20">
        <f>IFERROR(__xludf.DUMMYFUNCTION("""COMPUTED_VALUE"""),0.874)</f>
        <v>0.874</v>
      </c>
      <c r="J1432" s="20">
        <f>IFERROR(__xludf.DUMMYFUNCTION("""COMPUTED_VALUE"""),1431.0)</f>
        <v>1431</v>
      </c>
      <c r="K1432" s="20" t="b">
        <f>IFERROR(__xludf.DUMMYFUNCTION("""COMPUTED_VALUE"""),FALSE)</f>
        <v>0</v>
      </c>
      <c r="L1432" s="20" t="str">
        <f>IFERROR(__xludf.DUMMYFUNCTION("""COMPUTED_VALUE"""),"Array;")</f>
        <v>Array;</v>
      </c>
      <c r="M1432" s="20" t="b">
        <f>IFERROR(__xludf.DUMMYFUNCTION("""COMPUTED_VALUE"""),FALSE)</f>
        <v>0</v>
      </c>
      <c r="N1432" s="20" t="b">
        <f>IFERROR(__xludf.DUMMYFUNCTION("""COMPUTED_VALUE"""),FALSE)</f>
        <v>0</v>
      </c>
      <c r="O1432" s="20">
        <f>IFERROR(__xludf.DUMMYFUNCTION("""COMPUTED_VALUE"""),87.3869726373444)</f>
        <v>87.38697264</v>
      </c>
      <c r="P1432" s="20">
        <f>IFERROR(__xludf.DUMMYFUNCTION("""COMPUTED_VALUE"""),370142.0)</f>
        <v>370142</v>
      </c>
      <c r="Q1432" s="20">
        <f>IFERROR(__xludf.DUMMYFUNCTION("""COMPUTED_VALUE"""),423564.0)</f>
        <v>423564</v>
      </c>
    </row>
    <row r="1433">
      <c r="A1433" s="20">
        <f>IFERROR(__xludf.DUMMYFUNCTION("""COMPUTED_VALUE"""),1529.0)</f>
        <v>1529</v>
      </c>
      <c r="B1433" s="20" t="str">
        <f>IFERROR(__xludf.DUMMYFUNCTION("""COMPUTED_VALUE"""),"Max Difference You Can Get From Changing an Integer")</f>
        <v>Max Difference You Can Get From Changing an Integer</v>
      </c>
      <c r="C1433" s="20" t="str">
        <f>IFERROR(__xludf.DUMMYFUNCTION("""COMPUTED_VALUE"""),"max-difference-you-can-get-from-changing-an-integer")</f>
        <v>max-difference-you-can-get-from-changing-an-integer</v>
      </c>
      <c r="D1433" s="20" t="b">
        <f>IFERROR(__xludf.DUMMYFUNCTION("""COMPUTED_VALUE"""),FALSE)</f>
        <v>0</v>
      </c>
      <c r="E1433" s="20" t="str">
        <f>IFERROR(__xludf.DUMMYFUNCTION("""COMPUTED_VALUE"""),"Medium")</f>
        <v>Medium</v>
      </c>
      <c r="F1433" s="20">
        <f>IFERROR(__xludf.DUMMYFUNCTION("""COMPUTED_VALUE"""),167.0)</f>
        <v>167</v>
      </c>
      <c r="G1433" s="20">
        <f>IFERROR(__xludf.DUMMYFUNCTION("""COMPUTED_VALUE"""),216.0)</f>
        <v>216</v>
      </c>
      <c r="H1433" s="20" t="str">
        <f>IFERROR(__xludf.DUMMYFUNCTION("""COMPUTED_VALUE"""),"Algorithms")</f>
        <v>Algorithms</v>
      </c>
      <c r="I1433" s="20">
        <f>IFERROR(__xludf.DUMMYFUNCTION("""COMPUTED_VALUE"""),0.428)</f>
        <v>0.428</v>
      </c>
      <c r="J1433" s="20">
        <f>IFERROR(__xludf.DUMMYFUNCTION("""COMPUTED_VALUE"""),1432.0)</f>
        <v>1432</v>
      </c>
      <c r="K1433" s="20" t="b">
        <f>IFERROR(__xludf.DUMMYFUNCTION("""COMPUTED_VALUE"""),FALSE)</f>
        <v>0</v>
      </c>
      <c r="L1433" s="20" t="str">
        <f>IFERROR(__xludf.DUMMYFUNCTION("""COMPUTED_VALUE"""),"Math;Greedy;")</f>
        <v>Math;Greedy;</v>
      </c>
      <c r="M1433" s="20" t="b">
        <f>IFERROR(__xludf.DUMMYFUNCTION("""COMPUTED_VALUE"""),FALSE)</f>
        <v>0</v>
      </c>
      <c r="N1433" s="20" t="b">
        <f>IFERROR(__xludf.DUMMYFUNCTION("""COMPUTED_VALUE"""),FALSE)</f>
        <v>0</v>
      </c>
      <c r="O1433" s="20">
        <f>IFERROR(__xludf.DUMMYFUNCTION("""COMPUTED_VALUE"""),42.8181338629099)</f>
        <v>42.81813386</v>
      </c>
      <c r="P1433" s="20">
        <f>IFERROR(__xludf.DUMMYFUNCTION("""COMPUTED_VALUE"""),13799.0)</f>
        <v>13799</v>
      </c>
      <c r="Q1433" s="20">
        <f>IFERROR(__xludf.DUMMYFUNCTION("""COMPUTED_VALUE"""),32227.0)</f>
        <v>32227</v>
      </c>
    </row>
    <row r="1434">
      <c r="A1434" s="20">
        <f>IFERROR(__xludf.DUMMYFUNCTION("""COMPUTED_VALUE"""),1530.0)</f>
        <v>1530</v>
      </c>
      <c r="B1434" s="20" t="str">
        <f>IFERROR(__xludf.DUMMYFUNCTION("""COMPUTED_VALUE"""),"Check If a String Can Break Another String")</f>
        <v>Check If a String Can Break Another String</v>
      </c>
      <c r="C1434" s="20" t="str">
        <f>IFERROR(__xludf.DUMMYFUNCTION("""COMPUTED_VALUE"""),"check-if-a-string-can-break-another-string")</f>
        <v>check-if-a-string-can-break-another-string</v>
      </c>
      <c r="D1434" s="20" t="b">
        <f>IFERROR(__xludf.DUMMYFUNCTION("""COMPUTED_VALUE"""),FALSE)</f>
        <v>0</v>
      </c>
      <c r="E1434" s="20" t="str">
        <f>IFERROR(__xludf.DUMMYFUNCTION("""COMPUTED_VALUE"""),"Medium")</f>
        <v>Medium</v>
      </c>
      <c r="F1434" s="20">
        <f>IFERROR(__xludf.DUMMYFUNCTION("""COMPUTED_VALUE"""),608.0)</f>
        <v>608</v>
      </c>
      <c r="G1434" s="20">
        <f>IFERROR(__xludf.DUMMYFUNCTION("""COMPUTED_VALUE"""),122.0)</f>
        <v>122</v>
      </c>
      <c r="H1434" s="20" t="str">
        <f>IFERROR(__xludf.DUMMYFUNCTION("""COMPUTED_VALUE"""),"Algorithms")</f>
        <v>Algorithms</v>
      </c>
      <c r="I1434" s="20">
        <f>IFERROR(__xludf.DUMMYFUNCTION("""COMPUTED_VALUE"""),0.69)</f>
        <v>0.69</v>
      </c>
      <c r="J1434" s="20">
        <f>IFERROR(__xludf.DUMMYFUNCTION("""COMPUTED_VALUE"""),1433.0)</f>
        <v>1433</v>
      </c>
      <c r="K1434" s="20" t="b">
        <f>IFERROR(__xludf.DUMMYFUNCTION("""COMPUTED_VALUE"""),FALSE)</f>
        <v>0</v>
      </c>
      <c r="L1434" s="20" t="str">
        <f>IFERROR(__xludf.DUMMYFUNCTION("""COMPUTED_VALUE"""),"String;Greedy;Sorting;")</f>
        <v>String;Greedy;Sorting;</v>
      </c>
      <c r="M1434" s="20" t="b">
        <f>IFERROR(__xludf.DUMMYFUNCTION("""COMPUTED_VALUE"""),FALSE)</f>
        <v>0</v>
      </c>
      <c r="N1434" s="20" t="b">
        <f>IFERROR(__xludf.DUMMYFUNCTION("""COMPUTED_VALUE"""),FALSE)</f>
        <v>0</v>
      </c>
      <c r="O1434" s="20">
        <f>IFERROR(__xludf.DUMMYFUNCTION("""COMPUTED_VALUE"""),68.9924678059447)</f>
        <v>68.99246781</v>
      </c>
      <c r="P1434" s="20">
        <f>IFERROR(__xludf.DUMMYFUNCTION("""COMPUTED_VALUE"""),34074.0)</f>
        <v>34074</v>
      </c>
      <c r="Q1434" s="20">
        <f>IFERROR(__xludf.DUMMYFUNCTION("""COMPUTED_VALUE"""),49388.0)</f>
        <v>49388</v>
      </c>
    </row>
    <row r="1435">
      <c r="A1435" s="20">
        <f>IFERROR(__xludf.DUMMYFUNCTION("""COMPUTED_VALUE"""),1531.0)</f>
        <v>1531</v>
      </c>
      <c r="B1435" s="20" t="str">
        <f>IFERROR(__xludf.DUMMYFUNCTION("""COMPUTED_VALUE"""),"Number of Ways to Wear Different Hats to Each Other")</f>
        <v>Number of Ways to Wear Different Hats to Each Other</v>
      </c>
      <c r="C1435" s="20" t="str">
        <f>IFERROR(__xludf.DUMMYFUNCTION("""COMPUTED_VALUE"""),"number-of-ways-to-wear-different-hats-to-each-other")</f>
        <v>number-of-ways-to-wear-different-hats-to-each-other</v>
      </c>
      <c r="D1435" s="20" t="b">
        <f>IFERROR(__xludf.DUMMYFUNCTION("""COMPUTED_VALUE"""),FALSE)</f>
        <v>0</v>
      </c>
      <c r="E1435" s="20" t="str">
        <f>IFERROR(__xludf.DUMMYFUNCTION("""COMPUTED_VALUE"""),"Hard")</f>
        <v>Hard</v>
      </c>
      <c r="F1435" s="20">
        <f>IFERROR(__xludf.DUMMYFUNCTION("""COMPUTED_VALUE"""),727.0)</f>
        <v>727</v>
      </c>
      <c r="G1435" s="20">
        <f>IFERROR(__xludf.DUMMYFUNCTION("""COMPUTED_VALUE"""),8.0)</f>
        <v>8</v>
      </c>
      <c r="H1435" s="20" t="str">
        <f>IFERROR(__xludf.DUMMYFUNCTION("""COMPUTED_VALUE"""),"Algorithms")</f>
        <v>Algorithms</v>
      </c>
      <c r="I1435" s="20">
        <f>IFERROR(__xludf.DUMMYFUNCTION("""COMPUTED_VALUE"""),0.429)</f>
        <v>0.429</v>
      </c>
      <c r="J1435" s="20">
        <f>IFERROR(__xludf.DUMMYFUNCTION("""COMPUTED_VALUE"""),1434.0)</f>
        <v>1434</v>
      </c>
      <c r="K1435" s="20" t="b">
        <f>IFERROR(__xludf.DUMMYFUNCTION("""COMPUTED_VALUE"""),FALSE)</f>
        <v>0</v>
      </c>
      <c r="L1435" s="20" t="str">
        <f>IFERROR(__xludf.DUMMYFUNCTION("""COMPUTED_VALUE"""),"Array;Dynamic Programming;Bit Manipulation;Bitmask;")</f>
        <v>Array;Dynamic Programming;Bit Manipulation;Bitmask;</v>
      </c>
      <c r="M1435" s="20" t="b">
        <f>IFERROR(__xludf.DUMMYFUNCTION("""COMPUTED_VALUE"""),FALSE)</f>
        <v>0</v>
      </c>
      <c r="N1435" s="20" t="b">
        <f>IFERROR(__xludf.DUMMYFUNCTION("""COMPUTED_VALUE"""),FALSE)</f>
        <v>0</v>
      </c>
      <c r="O1435" s="20">
        <f>IFERROR(__xludf.DUMMYFUNCTION("""COMPUTED_VALUE"""),42.9293714996888)</f>
        <v>42.9293715</v>
      </c>
      <c r="P1435" s="20">
        <f>IFERROR(__xludf.DUMMYFUNCTION("""COMPUTED_VALUE"""),11038.0)</f>
        <v>11038</v>
      </c>
      <c r="Q1435" s="20">
        <f>IFERROR(__xludf.DUMMYFUNCTION("""COMPUTED_VALUE"""),25712.0)</f>
        <v>25712</v>
      </c>
    </row>
    <row r="1436">
      <c r="A1436" s="20">
        <f>IFERROR(__xludf.DUMMYFUNCTION("""COMPUTED_VALUE"""),1564.0)</f>
        <v>1564</v>
      </c>
      <c r="B1436" s="20" t="str">
        <f>IFERROR(__xludf.DUMMYFUNCTION("""COMPUTED_VALUE"""),"Create a Session Bar Chart")</f>
        <v>Create a Session Bar Chart</v>
      </c>
      <c r="C1436" s="20" t="str">
        <f>IFERROR(__xludf.DUMMYFUNCTION("""COMPUTED_VALUE"""),"create-a-session-bar-chart")</f>
        <v>create-a-session-bar-chart</v>
      </c>
      <c r="D1436" s="20" t="b">
        <f>IFERROR(__xludf.DUMMYFUNCTION("""COMPUTED_VALUE"""),TRUE)</f>
        <v>1</v>
      </c>
      <c r="E1436" s="20" t="str">
        <f>IFERROR(__xludf.DUMMYFUNCTION("""COMPUTED_VALUE"""),"Easy")</f>
        <v>Easy</v>
      </c>
      <c r="F1436" s="20">
        <f>IFERROR(__xludf.DUMMYFUNCTION("""COMPUTED_VALUE"""),130.0)</f>
        <v>130</v>
      </c>
      <c r="G1436" s="20">
        <f>IFERROR(__xludf.DUMMYFUNCTION("""COMPUTED_VALUE"""),231.0)</f>
        <v>231</v>
      </c>
      <c r="H1436" s="20" t="str">
        <f>IFERROR(__xludf.DUMMYFUNCTION("""COMPUTED_VALUE"""),"Database")</f>
        <v>Database</v>
      </c>
      <c r="I1436" s="20">
        <f>IFERROR(__xludf.DUMMYFUNCTION("""COMPUTED_VALUE"""),0.778)</f>
        <v>0.778</v>
      </c>
      <c r="J1436" s="20">
        <f>IFERROR(__xludf.DUMMYFUNCTION("""COMPUTED_VALUE"""),1435.0)</f>
        <v>1435</v>
      </c>
      <c r="K1436" s="20" t="b">
        <f>IFERROR(__xludf.DUMMYFUNCTION("""COMPUTED_VALUE"""),TRUE)</f>
        <v>1</v>
      </c>
      <c r="L1436" s="20" t="str">
        <f>IFERROR(__xludf.DUMMYFUNCTION("""COMPUTED_VALUE"""),"Database;")</f>
        <v>Database;</v>
      </c>
      <c r="M1436" s="20" t="b">
        <f>IFERROR(__xludf.DUMMYFUNCTION("""COMPUTED_VALUE"""),FALSE)</f>
        <v>0</v>
      </c>
      <c r="N1436" s="20" t="b">
        <f>IFERROR(__xludf.DUMMYFUNCTION("""COMPUTED_VALUE"""),FALSE)</f>
        <v>0</v>
      </c>
      <c r="O1436" s="20">
        <f>IFERROR(__xludf.DUMMYFUNCTION("""COMPUTED_VALUE"""),77.7677435244858)</f>
        <v>77.76774352</v>
      </c>
      <c r="P1436" s="20">
        <f>IFERROR(__xludf.DUMMYFUNCTION("""COMPUTED_VALUE"""),18945.0)</f>
        <v>18945</v>
      </c>
      <c r="Q1436" s="20">
        <f>IFERROR(__xludf.DUMMYFUNCTION("""COMPUTED_VALUE"""),24361.0)</f>
        <v>24361</v>
      </c>
    </row>
    <row r="1437">
      <c r="A1437" s="20">
        <f>IFERROR(__xludf.DUMMYFUNCTION("""COMPUTED_VALUE"""),1547.0)</f>
        <v>1547</v>
      </c>
      <c r="B1437" s="20" t="str">
        <f>IFERROR(__xludf.DUMMYFUNCTION("""COMPUTED_VALUE"""),"Destination City")</f>
        <v>Destination City</v>
      </c>
      <c r="C1437" s="20" t="str">
        <f>IFERROR(__xludf.DUMMYFUNCTION("""COMPUTED_VALUE"""),"destination-city")</f>
        <v>destination-city</v>
      </c>
      <c r="D1437" s="20" t="b">
        <f>IFERROR(__xludf.DUMMYFUNCTION("""COMPUTED_VALUE"""),FALSE)</f>
        <v>0</v>
      </c>
      <c r="E1437" s="20" t="str">
        <f>IFERROR(__xludf.DUMMYFUNCTION("""COMPUTED_VALUE"""),"Easy")</f>
        <v>Easy</v>
      </c>
      <c r="F1437" s="20">
        <f>IFERROR(__xludf.DUMMYFUNCTION("""COMPUTED_VALUE"""),1196.0)</f>
        <v>1196</v>
      </c>
      <c r="G1437" s="20">
        <f>IFERROR(__xludf.DUMMYFUNCTION("""COMPUTED_VALUE"""),62.0)</f>
        <v>62</v>
      </c>
      <c r="H1437" s="20" t="str">
        <f>IFERROR(__xludf.DUMMYFUNCTION("""COMPUTED_VALUE"""),"Algorithms")</f>
        <v>Algorithms</v>
      </c>
      <c r="I1437" s="20">
        <f>IFERROR(__xludf.DUMMYFUNCTION("""COMPUTED_VALUE"""),0.776)</f>
        <v>0.776</v>
      </c>
      <c r="J1437" s="20">
        <f>IFERROR(__xludf.DUMMYFUNCTION("""COMPUTED_VALUE"""),1436.0)</f>
        <v>1436</v>
      </c>
      <c r="K1437" s="20" t="b">
        <f>IFERROR(__xludf.DUMMYFUNCTION("""COMPUTED_VALUE"""),FALSE)</f>
        <v>0</v>
      </c>
      <c r="L1437" s="20" t="str">
        <f>IFERROR(__xludf.DUMMYFUNCTION("""COMPUTED_VALUE"""),"Hash Table;String;")</f>
        <v>Hash Table;String;</v>
      </c>
      <c r="M1437" s="20" t="b">
        <f>IFERROR(__xludf.DUMMYFUNCTION("""COMPUTED_VALUE"""),FALSE)</f>
        <v>0</v>
      </c>
      <c r="N1437" s="20" t="b">
        <f>IFERROR(__xludf.DUMMYFUNCTION("""COMPUTED_VALUE"""),FALSE)</f>
        <v>0</v>
      </c>
      <c r="O1437" s="20">
        <f>IFERROR(__xludf.DUMMYFUNCTION("""COMPUTED_VALUE"""),77.5964815540688)</f>
        <v>77.59648155</v>
      </c>
      <c r="P1437" s="20">
        <f>IFERROR(__xludf.DUMMYFUNCTION("""COMPUTED_VALUE"""),116799.0)</f>
        <v>116799</v>
      </c>
      <c r="Q1437" s="20">
        <f>IFERROR(__xludf.DUMMYFUNCTION("""COMPUTED_VALUE"""),150521.0)</f>
        <v>150521</v>
      </c>
    </row>
    <row r="1438">
      <c r="A1438" s="20">
        <f>IFERROR(__xludf.DUMMYFUNCTION("""COMPUTED_VALUE"""),1548.0)</f>
        <v>1548</v>
      </c>
      <c r="B1438" s="20" t="str">
        <f>IFERROR(__xludf.DUMMYFUNCTION("""COMPUTED_VALUE"""),"Check If All 1's Are at Least Length K Places Away")</f>
        <v>Check If All 1's Are at Least Length K Places Away</v>
      </c>
      <c r="C1438" s="20" t="str">
        <f>IFERROR(__xludf.DUMMYFUNCTION("""COMPUTED_VALUE"""),"check-if-all-1s-are-at-least-length-k-places-away")</f>
        <v>check-if-all-1s-are-at-least-length-k-places-away</v>
      </c>
      <c r="D1438" s="20" t="b">
        <f>IFERROR(__xludf.DUMMYFUNCTION("""COMPUTED_VALUE"""),FALSE)</f>
        <v>0</v>
      </c>
      <c r="E1438" s="20" t="str">
        <f>IFERROR(__xludf.DUMMYFUNCTION("""COMPUTED_VALUE"""),"Easy")</f>
        <v>Easy</v>
      </c>
      <c r="F1438" s="20">
        <f>IFERROR(__xludf.DUMMYFUNCTION("""COMPUTED_VALUE"""),491.0)</f>
        <v>491</v>
      </c>
      <c r="G1438" s="20">
        <f>IFERROR(__xludf.DUMMYFUNCTION("""COMPUTED_VALUE"""),205.0)</f>
        <v>205</v>
      </c>
      <c r="H1438" s="20" t="str">
        <f>IFERROR(__xludf.DUMMYFUNCTION("""COMPUTED_VALUE"""),"Algorithms")</f>
        <v>Algorithms</v>
      </c>
      <c r="I1438" s="20">
        <f>IFERROR(__xludf.DUMMYFUNCTION("""COMPUTED_VALUE"""),0.591)</f>
        <v>0.591</v>
      </c>
      <c r="J1438" s="20">
        <f>IFERROR(__xludf.DUMMYFUNCTION("""COMPUTED_VALUE"""),1437.0)</f>
        <v>1437</v>
      </c>
      <c r="K1438" s="20" t="b">
        <f>IFERROR(__xludf.DUMMYFUNCTION("""COMPUTED_VALUE"""),FALSE)</f>
        <v>0</v>
      </c>
      <c r="L1438" s="20" t="str">
        <f>IFERROR(__xludf.DUMMYFUNCTION("""COMPUTED_VALUE"""),"Array;")</f>
        <v>Array;</v>
      </c>
      <c r="M1438" s="20" t="b">
        <f>IFERROR(__xludf.DUMMYFUNCTION("""COMPUTED_VALUE"""),TRUE)</f>
        <v>1</v>
      </c>
      <c r="N1438" s="20" t="b">
        <f>IFERROR(__xludf.DUMMYFUNCTION("""COMPUTED_VALUE"""),FALSE)</f>
        <v>0</v>
      </c>
      <c r="O1438" s="20">
        <f>IFERROR(__xludf.DUMMYFUNCTION("""COMPUTED_VALUE"""),59.0528608050866)</f>
        <v>59.05286081</v>
      </c>
      <c r="P1438" s="20">
        <f>IFERROR(__xludf.DUMMYFUNCTION("""COMPUTED_VALUE"""),64269.0)</f>
        <v>64269</v>
      </c>
      <c r="Q1438" s="20">
        <f>IFERROR(__xludf.DUMMYFUNCTION("""COMPUTED_VALUE"""),108833.0)</f>
        <v>108833</v>
      </c>
    </row>
    <row r="1439">
      <c r="A1439" s="20">
        <f>IFERROR(__xludf.DUMMYFUNCTION("""COMPUTED_VALUE"""),1549.0)</f>
        <v>1549</v>
      </c>
      <c r="B1439" s="20" t="str">
        <f>IFERROR(__xludf.DUMMYFUNCTION("""COMPUTED_VALUE"""),"Longest Continuous Subarray With Absolute Diff Less Than or Equal to Limit")</f>
        <v>Longest Continuous Subarray With Absolute Diff Less Than or Equal to Limit</v>
      </c>
      <c r="C1439" s="20" t="str">
        <f>IFERROR(__xludf.DUMMYFUNCTION("""COMPUTED_VALUE"""),"longest-continuous-subarray-with-absolute-diff-less-than-or-equal-to-limit")</f>
        <v>longest-continuous-subarray-with-absolute-diff-less-than-or-equal-to-limit</v>
      </c>
      <c r="D1439" s="20" t="b">
        <f>IFERROR(__xludf.DUMMYFUNCTION("""COMPUTED_VALUE"""),FALSE)</f>
        <v>0</v>
      </c>
      <c r="E1439" s="20" t="str">
        <f>IFERROR(__xludf.DUMMYFUNCTION("""COMPUTED_VALUE"""),"Medium")</f>
        <v>Medium</v>
      </c>
      <c r="F1439" s="20">
        <f>IFERROR(__xludf.DUMMYFUNCTION("""COMPUTED_VALUE"""),2747.0)</f>
        <v>2747</v>
      </c>
      <c r="G1439" s="20">
        <f>IFERROR(__xludf.DUMMYFUNCTION("""COMPUTED_VALUE"""),114.0)</f>
        <v>114</v>
      </c>
      <c r="H1439" s="20" t="str">
        <f>IFERROR(__xludf.DUMMYFUNCTION("""COMPUTED_VALUE"""),"Algorithms")</f>
        <v>Algorithms</v>
      </c>
      <c r="I1439" s="20">
        <f>IFERROR(__xludf.DUMMYFUNCTION("""COMPUTED_VALUE"""),0.481)</f>
        <v>0.481</v>
      </c>
      <c r="J1439" s="20">
        <f>IFERROR(__xludf.DUMMYFUNCTION("""COMPUTED_VALUE"""),1438.0)</f>
        <v>1438</v>
      </c>
      <c r="K1439" s="20" t="b">
        <f>IFERROR(__xludf.DUMMYFUNCTION("""COMPUTED_VALUE"""),FALSE)</f>
        <v>0</v>
      </c>
      <c r="L1439" s="20" t="str">
        <f>IFERROR(__xludf.DUMMYFUNCTION("""COMPUTED_VALUE"""),"Array;Queue;Sliding Window;Heap (Priority Queue);Ordered Set;Monotonic Queue;")</f>
        <v>Array;Queue;Sliding Window;Heap (Priority Queue);Ordered Set;Monotonic Queue;</v>
      </c>
      <c r="M1439" s="20" t="b">
        <f>IFERROR(__xludf.DUMMYFUNCTION("""COMPUTED_VALUE"""),FALSE)</f>
        <v>0</v>
      </c>
      <c r="N1439" s="20" t="b">
        <f>IFERROR(__xludf.DUMMYFUNCTION("""COMPUTED_VALUE"""),FALSE)</f>
        <v>0</v>
      </c>
      <c r="O1439" s="20">
        <f>IFERROR(__xludf.DUMMYFUNCTION("""COMPUTED_VALUE"""),48.1208629905558)</f>
        <v>48.12086299</v>
      </c>
      <c r="P1439" s="20">
        <f>IFERROR(__xludf.DUMMYFUNCTION("""COMPUTED_VALUE"""),104250.0)</f>
        <v>104250</v>
      </c>
      <c r="Q1439" s="20">
        <f>IFERROR(__xludf.DUMMYFUNCTION("""COMPUTED_VALUE"""),216640.0)</f>
        <v>216640</v>
      </c>
    </row>
    <row r="1440">
      <c r="A1440" s="20">
        <f>IFERROR(__xludf.DUMMYFUNCTION("""COMPUTED_VALUE"""),1550.0)</f>
        <v>1550</v>
      </c>
      <c r="B1440" s="20" t="str">
        <f>IFERROR(__xludf.DUMMYFUNCTION("""COMPUTED_VALUE"""),"Find the Kth Smallest Sum of a Matrix With Sorted Rows")</f>
        <v>Find the Kth Smallest Sum of a Matrix With Sorted Rows</v>
      </c>
      <c r="C1440" s="20" t="str">
        <f>IFERROR(__xludf.DUMMYFUNCTION("""COMPUTED_VALUE"""),"find-the-kth-smallest-sum-of-a-matrix-with-sorted-rows")</f>
        <v>find-the-kth-smallest-sum-of-a-matrix-with-sorted-rows</v>
      </c>
      <c r="D1440" s="20" t="b">
        <f>IFERROR(__xludf.DUMMYFUNCTION("""COMPUTED_VALUE"""),FALSE)</f>
        <v>0</v>
      </c>
      <c r="E1440" s="20" t="str">
        <f>IFERROR(__xludf.DUMMYFUNCTION("""COMPUTED_VALUE"""),"Hard")</f>
        <v>Hard</v>
      </c>
      <c r="F1440" s="20">
        <f>IFERROR(__xludf.DUMMYFUNCTION("""COMPUTED_VALUE"""),1011.0)</f>
        <v>1011</v>
      </c>
      <c r="G1440" s="20">
        <f>IFERROR(__xludf.DUMMYFUNCTION("""COMPUTED_VALUE"""),14.0)</f>
        <v>14</v>
      </c>
      <c r="H1440" s="20" t="str">
        <f>IFERROR(__xludf.DUMMYFUNCTION("""COMPUTED_VALUE"""),"Algorithms")</f>
        <v>Algorithms</v>
      </c>
      <c r="I1440" s="20">
        <f>IFERROR(__xludf.DUMMYFUNCTION("""COMPUTED_VALUE"""),0.615)</f>
        <v>0.615</v>
      </c>
      <c r="J1440" s="20">
        <f>IFERROR(__xludf.DUMMYFUNCTION("""COMPUTED_VALUE"""),1439.0)</f>
        <v>1439</v>
      </c>
      <c r="K1440" s="20" t="b">
        <f>IFERROR(__xludf.DUMMYFUNCTION("""COMPUTED_VALUE"""),FALSE)</f>
        <v>0</v>
      </c>
      <c r="L1440" s="20" t="str">
        <f>IFERROR(__xludf.DUMMYFUNCTION("""COMPUTED_VALUE"""),"Array;Binary Search;Heap (Priority Queue);Matrix;")</f>
        <v>Array;Binary Search;Heap (Priority Queue);Matrix;</v>
      </c>
      <c r="M1440" s="20" t="b">
        <f>IFERROR(__xludf.DUMMYFUNCTION("""COMPUTED_VALUE"""),FALSE)</f>
        <v>0</v>
      </c>
      <c r="N1440" s="20" t="b">
        <f>IFERROR(__xludf.DUMMYFUNCTION("""COMPUTED_VALUE"""),FALSE)</f>
        <v>0</v>
      </c>
      <c r="O1440" s="20">
        <f>IFERROR(__xludf.DUMMYFUNCTION("""COMPUTED_VALUE"""),61.4535600986958)</f>
        <v>61.4535601</v>
      </c>
      <c r="P1440" s="20">
        <f>IFERROR(__xludf.DUMMYFUNCTION("""COMPUTED_VALUE"""),27895.0)</f>
        <v>27895</v>
      </c>
      <c r="Q1440" s="20">
        <f>IFERROR(__xludf.DUMMYFUNCTION("""COMPUTED_VALUE"""),45392.0)</f>
        <v>45392</v>
      </c>
    </row>
    <row r="1441">
      <c r="A1441" s="20">
        <f>IFERROR(__xludf.DUMMYFUNCTION("""COMPUTED_VALUE"""),1565.0)</f>
        <v>1565</v>
      </c>
      <c r="B1441" s="20" t="str">
        <f>IFERROR(__xludf.DUMMYFUNCTION("""COMPUTED_VALUE"""),"Evaluate Boolean Expression")</f>
        <v>Evaluate Boolean Expression</v>
      </c>
      <c r="C1441" s="20" t="str">
        <f>IFERROR(__xludf.DUMMYFUNCTION("""COMPUTED_VALUE"""),"evaluate-boolean-expression")</f>
        <v>evaluate-boolean-expression</v>
      </c>
      <c r="D1441" s="20" t="b">
        <f>IFERROR(__xludf.DUMMYFUNCTION("""COMPUTED_VALUE"""),TRUE)</f>
        <v>1</v>
      </c>
      <c r="E1441" s="20" t="str">
        <f>IFERROR(__xludf.DUMMYFUNCTION("""COMPUTED_VALUE"""),"Medium")</f>
        <v>Medium</v>
      </c>
      <c r="F1441" s="20">
        <f>IFERROR(__xludf.DUMMYFUNCTION("""COMPUTED_VALUE"""),170.0)</f>
        <v>170</v>
      </c>
      <c r="G1441" s="20">
        <f>IFERROR(__xludf.DUMMYFUNCTION("""COMPUTED_VALUE"""),11.0)</f>
        <v>11</v>
      </c>
      <c r="H1441" s="20" t="str">
        <f>IFERROR(__xludf.DUMMYFUNCTION("""COMPUTED_VALUE"""),"Database")</f>
        <v>Database</v>
      </c>
      <c r="I1441" s="20">
        <f>IFERROR(__xludf.DUMMYFUNCTION("""COMPUTED_VALUE"""),0.761)</f>
        <v>0.761</v>
      </c>
      <c r="J1441" s="20">
        <f>IFERROR(__xludf.DUMMYFUNCTION("""COMPUTED_VALUE"""),1440.0)</f>
        <v>1440</v>
      </c>
      <c r="K1441" s="20" t="b">
        <f>IFERROR(__xludf.DUMMYFUNCTION("""COMPUTED_VALUE"""),TRUE)</f>
        <v>1</v>
      </c>
      <c r="L1441" s="20" t="str">
        <f>IFERROR(__xludf.DUMMYFUNCTION("""COMPUTED_VALUE"""),"Database;")</f>
        <v>Database;</v>
      </c>
      <c r="M1441" s="20" t="b">
        <f>IFERROR(__xludf.DUMMYFUNCTION("""COMPUTED_VALUE"""),FALSE)</f>
        <v>0</v>
      </c>
      <c r="N1441" s="20" t="b">
        <f>IFERROR(__xludf.DUMMYFUNCTION("""COMPUTED_VALUE"""),FALSE)</f>
        <v>0</v>
      </c>
      <c r="O1441" s="20">
        <f>IFERROR(__xludf.DUMMYFUNCTION("""COMPUTED_VALUE"""),76.0899477139599)</f>
        <v>76.08994771</v>
      </c>
      <c r="P1441" s="20">
        <f>IFERROR(__xludf.DUMMYFUNCTION("""COMPUTED_VALUE"""),19355.0)</f>
        <v>19355</v>
      </c>
      <c r="Q1441" s="20">
        <f>IFERROR(__xludf.DUMMYFUNCTION("""COMPUTED_VALUE"""),25437.0)</f>
        <v>25437</v>
      </c>
    </row>
    <row r="1442">
      <c r="A1442" s="20">
        <f>IFERROR(__xludf.DUMMYFUNCTION("""COMPUTED_VALUE"""),1552.0)</f>
        <v>1552</v>
      </c>
      <c r="B1442" s="20" t="str">
        <f>IFERROR(__xludf.DUMMYFUNCTION("""COMPUTED_VALUE"""),"Build an Array With Stack Operations")</f>
        <v>Build an Array With Stack Operations</v>
      </c>
      <c r="C1442" s="20" t="str">
        <f>IFERROR(__xludf.DUMMYFUNCTION("""COMPUTED_VALUE"""),"build-an-array-with-stack-operations")</f>
        <v>build-an-array-with-stack-operations</v>
      </c>
      <c r="D1442" s="20" t="b">
        <f>IFERROR(__xludf.DUMMYFUNCTION("""COMPUTED_VALUE"""),FALSE)</f>
        <v>0</v>
      </c>
      <c r="E1442" s="20" t="str">
        <f>IFERROR(__xludf.DUMMYFUNCTION("""COMPUTED_VALUE"""),"Medium")</f>
        <v>Medium</v>
      </c>
      <c r="F1442" s="20">
        <f>IFERROR(__xludf.DUMMYFUNCTION("""COMPUTED_VALUE"""),109.0)</f>
        <v>109</v>
      </c>
      <c r="G1442" s="20">
        <f>IFERROR(__xludf.DUMMYFUNCTION("""COMPUTED_VALUE"""),20.0)</f>
        <v>20</v>
      </c>
      <c r="H1442" s="20" t="str">
        <f>IFERROR(__xludf.DUMMYFUNCTION("""COMPUTED_VALUE"""),"Algorithms")</f>
        <v>Algorithms</v>
      </c>
      <c r="I1442" s="20">
        <f>IFERROR(__xludf.DUMMYFUNCTION("""COMPUTED_VALUE"""),0.716)</f>
        <v>0.716</v>
      </c>
      <c r="J1442" s="20">
        <f>IFERROR(__xludf.DUMMYFUNCTION("""COMPUTED_VALUE"""),1441.0)</f>
        <v>1441</v>
      </c>
      <c r="K1442" s="20" t="b">
        <f>IFERROR(__xludf.DUMMYFUNCTION("""COMPUTED_VALUE"""),FALSE)</f>
        <v>0</v>
      </c>
      <c r="L1442" s="20" t="str">
        <f>IFERROR(__xludf.DUMMYFUNCTION("""COMPUTED_VALUE"""),"Array;Stack;Simulation;")</f>
        <v>Array;Stack;Simulation;</v>
      </c>
      <c r="M1442" s="20" t="b">
        <f>IFERROR(__xludf.DUMMYFUNCTION("""COMPUTED_VALUE"""),FALSE)</f>
        <v>0</v>
      </c>
      <c r="N1442" s="20" t="b">
        <f>IFERROR(__xludf.DUMMYFUNCTION("""COMPUTED_VALUE"""),FALSE)</f>
        <v>0</v>
      </c>
      <c r="O1442" s="20">
        <f>IFERROR(__xludf.DUMMYFUNCTION("""COMPUTED_VALUE"""),71.552412339058)</f>
        <v>71.55241234</v>
      </c>
      <c r="P1442" s="20">
        <f>IFERROR(__xludf.DUMMYFUNCTION("""COMPUTED_VALUE"""),69910.0)</f>
        <v>69910</v>
      </c>
      <c r="Q1442" s="20">
        <f>IFERROR(__xludf.DUMMYFUNCTION("""COMPUTED_VALUE"""),97705.0)</f>
        <v>97705</v>
      </c>
    </row>
    <row r="1443">
      <c r="A1443" s="20">
        <f>IFERROR(__xludf.DUMMYFUNCTION("""COMPUTED_VALUE"""),1553.0)</f>
        <v>1553</v>
      </c>
      <c r="B1443" s="20" t="str">
        <f>IFERROR(__xludf.DUMMYFUNCTION("""COMPUTED_VALUE"""),"Count Triplets That Can Form Two Arrays of Equal XOR")</f>
        <v>Count Triplets That Can Form Two Arrays of Equal XOR</v>
      </c>
      <c r="C1443" s="20" t="str">
        <f>IFERROR(__xludf.DUMMYFUNCTION("""COMPUTED_VALUE"""),"count-triplets-that-can-form-two-arrays-of-equal-xor")</f>
        <v>count-triplets-that-can-form-two-arrays-of-equal-xor</v>
      </c>
      <c r="D1443" s="20" t="b">
        <f>IFERROR(__xludf.DUMMYFUNCTION("""COMPUTED_VALUE"""),FALSE)</f>
        <v>0</v>
      </c>
      <c r="E1443" s="20" t="str">
        <f>IFERROR(__xludf.DUMMYFUNCTION("""COMPUTED_VALUE"""),"Medium")</f>
        <v>Medium</v>
      </c>
      <c r="F1443" s="20">
        <f>IFERROR(__xludf.DUMMYFUNCTION("""COMPUTED_VALUE"""),1130.0)</f>
        <v>1130</v>
      </c>
      <c r="G1443" s="20">
        <f>IFERROR(__xludf.DUMMYFUNCTION("""COMPUTED_VALUE"""),52.0)</f>
        <v>52</v>
      </c>
      <c r="H1443" s="20" t="str">
        <f>IFERROR(__xludf.DUMMYFUNCTION("""COMPUTED_VALUE"""),"Algorithms")</f>
        <v>Algorithms</v>
      </c>
      <c r="I1443" s="20">
        <f>IFERROR(__xludf.DUMMYFUNCTION("""COMPUTED_VALUE"""),0.758)</f>
        <v>0.758</v>
      </c>
      <c r="J1443" s="20">
        <f>IFERROR(__xludf.DUMMYFUNCTION("""COMPUTED_VALUE"""),1442.0)</f>
        <v>1442</v>
      </c>
      <c r="K1443" s="20" t="b">
        <f>IFERROR(__xludf.DUMMYFUNCTION("""COMPUTED_VALUE"""),FALSE)</f>
        <v>0</v>
      </c>
      <c r="L1443" s="20" t="str">
        <f>IFERROR(__xludf.DUMMYFUNCTION("""COMPUTED_VALUE"""),"Array;Hash Table;Math;Bit Manipulation;Prefix Sum;")</f>
        <v>Array;Hash Table;Math;Bit Manipulation;Prefix Sum;</v>
      </c>
      <c r="M1443" s="20" t="b">
        <f>IFERROR(__xludf.DUMMYFUNCTION("""COMPUTED_VALUE"""),FALSE)</f>
        <v>0</v>
      </c>
      <c r="N1443" s="20" t="b">
        <f>IFERROR(__xludf.DUMMYFUNCTION("""COMPUTED_VALUE"""),FALSE)</f>
        <v>0</v>
      </c>
      <c r="O1443" s="20">
        <f>IFERROR(__xludf.DUMMYFUNCTION("""COMPUTED_VALUE"""),75.7843603675789)</f>
        <v>75.78436037</v>
      </c>
      <c r="P1443" s="20">
        <f>IFERROR(__xludf.DUMMYFUNCTION("""COMPUTED_VALUE"""),30266.0)</f>
        <v>30266</v>
      </c>
      <c r="Q1443" s="20">
        <f>IFERROR(__xludf.DUMMYFUNCTION("""COMPUTED_VALUE"""),39937.0)</f>
        <v>39937</v>
      </c>
    </row>
    <row r="1444">
      <c r="A1444" s="20">
        <f>IFERROR(__xludf.DUMMYFUNCTION("""COMPUTED_VALUE"""),1554.0)</f>
        <v>1554</v>
      </c>
      <c r="B1444" s="20" t="str">
        <f>IFERROR(__xludf.DUMMYFUNCTION("""COMPUTED_VALUE"""),"Minimum Time to Collect All Apples in a Tree")</f>
        <v>Minimum Time to Collect All Apples in a Tree</v>
      </c>
      <c r="C1444" s="20" t="str">
        <f>IFERROR(__xludf.DUMMYFUNCTION("""COMPUTED_VALUE"""),"minimum-time-to-collect-all-apples-in-a-tree")</f>
        <v>minimum-time-to-collect-all-apples-in-a-tree</v>
      </c>
      <c r="D1444" s="20" t="b">
        <f>IFERROR(__xludf.DUMMYFUNCTION("""COMPUTED_VALUE"""),FALSE)</f>
        <v>0</v>
      </c>
      <c r="E1444" s="20" t="str">
        <f>IFERROR(__xludf.DUMMYFUNCTION("""COMPUTED_VALUE"""),"Medium")</f>
        <v>Medium</v>
      </c>
      <c r="F1444" s="20">
        <f>IFERROR(__xludf.DUMMYFUNCTION("""COMPUTED_VALUE"""),1182.0)</f>
        <v>1182</v>
      </c>
      <c r="G1444" s="20">
        <f>IFERROR(__xludf.DUMMYFUNCTION("""COMPUTED_VALUE"""),94.0)</f>
        <v>94</v>
      </c>
      <c r="H1444" s="20" t="str">
        <f>IFERROR(__xludf.DUMMYFUNCTION("""COMPUTED_VALUE"""),"Algorithms")</f>
        <v>Algorithms</v>
      </c>
      <c r="I1444" s="20">
        <f>IFERROR(__xludf.DUMMYFUNCTION("""COMPUTED_VALUE"""),0.561)</f>
        <v>0.561</v>
      </c>
      <c r="J1444" s="20">
        <f>IFERROR(__xludf.DUMMYFUNCTION("""COMPUTED_VALUE"""),1443.0)</f>
        <v>1443</v>
      </c>
      <c r="K1444" s="20" t="b">
        <f>IFERROR(__xludf.DUMMYFUNCTION("""COMPUTED_VALUE"""),FALSE)</f>
        <v>0</v>
      </c>
      <c r="L1444" s="20" t="str">
        <f>IFERROR(__xludf.DUMMYFUNCTION("""COMPUTED_VALUE"""),"Hash Table;Tree;Depth-First Search;Breadth-First Search;")</f>
        <v>Hash Table;Tree;Depth-First Search;Breadth-First Search;</v>
      </c>
      <c r="M1444" s="20" t="b">
        <f>IFERROR(__xludf.DUMMYFUNCTION("""COMPUTED_VALUE"""),TRUE)</f>
        <v>1</v>
      </c>
      <c r="N1444" s="20" t="b">
        <f>IFERROR(__xludf.DUMMYFUNCTION("""COMPUTED_VALUE"""),FALSE)</f>
        <v>0</v>
      </c>
      <c r="O1444" s="20">
        <f>IFERROR(__xludf.DUMMYFUNCTION("""COMPUTED_VALUE"""),56.0791403372419)</f>
        <v>56.07914034</v>
      </c>
      <c r="P1444" s="20">
        <f>IFERROR(__xludf.DUMMYFUNCTION("""COMPUTED_VALUE"""),33190.0)</f>
        <v>33190</v>
      </c>
      <c r="Q1444" s="20">
        <f>IFERROR(__xludf.DUMMYFUNCTION("""COMPUTED_VALUE"""),59185.0)</f>
        <v>59185</v>
      </c>
    </row>
    <row r="1445">
      <c r="A1445" s="20">
        <f>IFERROR(__xludf.DUMMYFUNCTION("""COMPUTED_VALUE"""),1555.0)</f>
        <v>1555</v>
      </c>
      <c r="B1445" s="20" t="str">
        <f>IFERROR(__xludf.DUMMYFUNCTION("""COMPUTED_VALUE"""),"Number of Ways of Cutting a Pizza")</f>
        <v>Number of Ways of Cutting a Pizza</v>
      </c>
      <c r="C1445" s="20" t="str">
        <f>IFERROR(__xludf.DUMMYFUNCTION("""COMPUTED_VALUE"""),"number-of-ways-of-cutting-a-pizza")</f>
        <v>number-of-ways-of-cutting-a-pizza</v>
      </c>
      <c r="D1445" s="20" t="b">
        <f>IFERROR(__xludf.DUMMYFUNCTION("""COMPUTED_VALUE"""),FALSE)</f>
        <v>0</v>
      </c>
      <c r="E1445" s="20" t="str">
        <f>IFERROR(__xludf.DUMMYFUNCTION("""COMPUTED_VALUE"""),"Hard")</f>
        <v>Hard</v>
      </c>
      <c r="F1445" s="20">
        <f>IFERROR(__xludf.DUMMYFUNCTION("""COMPUTED_VALUE"""),655.0)</f>
        <v>655</v>
      </c>
      <c r="G1445" s="20">
        <f>IFERROR(__xludf.DUMMYFUNCTION("""COMPUTED_VALUE"""),30.0)</f>
        <v>30</v>
      </c>
      <c r="H1445" s="20" t="str">
        <f>IFERROR(__xludf.DUMMYFUNCTION("""COMPUTED_VALUE"""),"Algorithms")</f>
        <v>Algorithms</v>
      </c>
      <c r="I1445" s="20">
        <f>IFERROR(__xludf.DUMMYFUNCTION("""COMPUTED_VALUE"""),0.573)</f>
        <v>0.573</v>
      </c>
      <c r="J1445" s="20">
        <f>IFERROR(__xludf.DUMMYFUNCTION("""COMPUTED_VALUE"""),1444.0)</f>
        <v>1444</v>
      </c>
      <c r="K1445" s="20" t="b">
        <f>IFERROR(__xludf.DUMMYFUNCTION("""COMPUTED_VALUE"""),FALSE)</f>
        <v>0</v>
      </c>
      <c r="L1445" s="20" t="str">
        <f>IFERROR(__xludf.DUMMYFUNCTION("""COMPUTED_VALUE"""),"Array;Dynamic Programming;Memoization;Matrix;")</f>
        <v>Array;Dynamic Programming;Memoization;Matrix;</v>
      </c>
      <c r="M1445" s="20" t="b">
        <f>IFERROR(__xludf.DUMMYFUNCTION("""COMPUTED_VALUE"""),FALSE)</f>
        <v>0</v>
      </c>
      <c r="N1445" s="20" t="b">
        <f>IFERROR(__xludf.DUMMYFUNCTION("""COMPUTED_VALUE"""),FALSE)</f>
        <v>0</v>
      </c>
      <c r="O1445" s="20">
        <f>IFERROR(__xludf.DUMMYFUNCTION("""COMPUTED_VALUE"""),57.3122133386801)</f>
        <v>57.31221334</v>
      </c>
      <c r="P1445" s="20">
        <f>IFERROR(__xludf.DUMMYFUNCTION("""COMPUTED_VALUE"""),22866.0)</f>
        <v>22866</v>
      </c>
      <c r="Q1445" s="20">
        <f>IFERROR(__xludf.DUMMYFUNCTION("""COMPUTED_VALUE"""),39897.0)</f>
        <v>39897</v>
      </c>
    </row>
    <row r="1446">
      <c r="A1446" s="20">
        <f>IFERROR(__xludf.DUMMYFUNCTION("""COMPUTED_VALUE"""),1578.0)</f>
        <v>1578</v>
      </c>
      <c r="B1446" s="20" t="str">
        <f>IFERROR(__xludf.DUMMYFUNCTION("""COMPUTED_VALUE"""),"Apples &amp; Oranges")</f>
        <v>Apples &amp; Oranges</v>
      </c>
      <c r="C1446" s="20" t="str">
        <f>IFERROR(__xludf.DUMMYFUNCTION("""COMPUTED_VALUE"""),"apples-oranges")</f>
        <v>apples-oranges</v>
      </c>
      <c r="D1446" s="20" t="b">
        <f>IFERROR(__xludf.DUMMYFUNCTION("""COMPUTED_VALUE"""),TRUE)</f>
        <v>1</v>
      </c>
      <c r="E1446" s="20" t="str">
        <f>IFERROR(__xludf.DUMMYFUNCTION("""COMPUTED_VALUE"""),"Medium")</f>
        <v>Medium</v>
      </c>
      <c r="F1446" s="20">
        <f>IFERROR(__xludf.DUMMYFUNCTION("""COMPUTED_VALUE"""),198.0)</f>
        <v>198</v>
      </c>
      <c r="G1446" s="20">
        <f>IFERROR(__xludf.DUMMYFUNCTION("""COMPUTED_VALUE"""),17.0)</f>
        <v>17</v>
      </c>
      <c r="H1446" s="20" t="str">
        <f>IFERROR(__xludf.DUMMYFUNCTION("""COMPUTED_VALUE"""),"Database")</f>
        <v>Database</v>
      </c>
      <c r="I1446" s="20">
        <f>IFERROR(__xludf.DUMMYFUNCTION("""COMPUTED_VALUE"""),0.908)</f>
        <v>0.908</v>
      </c>
      <c r="J1446" s="20">
        <f>IFERROR(__xludf.DUMMYFUNCTION("""COMPUTED_VALUE"""),1445.0)</f>
        <v>1445</v>
      </c>
      <c r="K1446" s="20" t="b">
        <f>IFERROR(__xludf.DUMMYFUNCTION("""COMPUTED_VALUE"""),TRUE)</f>
        <v>1</v>
      </c>
      <c r="L1446" s="20" t="str">
        <f>IFERROR(__xludf.DUMMYFUNCTION("""COMPUTED_VALUE"""),"Database;")</f>
        <v>Database;</v>
      </c>
      <c r="M1446" s="20" t="b">
        <f>IFERROR(__xludf.DUMMYFUNCTION("""COMPUTED_VALUE"""),FALSE)</f>
        <v>0</v>
      </c>
      <c r="N1446" s="20" t="b">
        <f>IFERROR(__xludf.DUMMYFUNCTION("""COMPUTED_VALUE"""),FALSE)</f>
        <v>0</v>
      </c>
      <c r="O1446" s="20">
        <f>IFERROR(__xludf.DUMMYFUNCTION("""COMPUTED_VALUE"""),90.7742223685138)</f>
        <v>90.77422237</v>
      </c>
      <c r="P1446" s="20">
        <f>IFERROR(__xludf.DUMMYFUNCTION("""COMPUTED_VALUE"""),38609.0)</f>
        <v>38609</v>
      </c>
      <c r="Q1446" s="20">
        <f>IFERROR(__xludf.DUMMYFUNCTION("""COMPUTED_VALUE"""),42533.0)</f>
        <v>42533</v>
      </c>
    </row>
    <row r="1447">
      <c r="A1447" s="20">
        <f>IFERROR(__xludf.DUMMYFUNCTION("""COMPUTED_VALUE"""),1542.0)</f>
        <v>1542</v>
      </c>
      <c r="B1447" s="20" t="str">
        <f>IFERROR(__xludf.DUMMYFUNCTION("""COMPUTED_VALUE"""),"Consecutive Characters")</f>
        <v>Consecutive Characters</v>
      </c>
      <c r="C1447" s="20" t="str">
        <f>IFERROR(__xludf.DUMMYFUNCTION("""COMPUTED_VALUE"""),"consecutive-characters")</f>
        <v>consecutive-characters</v>
      </c>
      <c r="D1447" s="20" t="b">
        <f>IFERROR(__xludf.DUMMYFUNCTION("""COMPUTED_VALUE"""),FALSE)</f>
        <v>0</v>
      </c>
      <c r="E1447" s="20" t="str">
        <f>IFERROR(__xludf.DUMMYFUNCTION("""COMPUTED_VALUE"""),"Easy")</f>
        <v>Easy</v>
      </c>
      <c r="F1447" s="20">
        <f>IFERROR(__xludf.DUMMYFUNCTION("""COMPUTED_VALUE"""),1435.0)</f>
        <v>1435</v>
      </c>
      <c r="G1447" s="20">
        <f>IFERROR(__xludf.DUMMYFUNCTION("""COMPUTED_VALUE"""),28.0)</f>
        <v>28</v>
      </c>
      <c r="H1447" s="20" t="str">
        <f>IFERROR(__xludf.DUMMYFUNCTION("""COMPUTED_VALUE"""),"Algorithms")</f>
        <v>Algorithms</v>
      </c>
      <c r="I1447" s="20">
        <f>IFERROR(__xludf.DUMMYFUNCTION("""COMPUTED_VALUE"""),0.615)</f>
        <v>0.615</v>
      </c>
      <c r="J1447" s="20">
        <f>IFERROR(__xludf.DUMMYFUNCTION("""COMPUTED_VALUE"""),1446.0)</f>
        <v>1446</v>
      </c>
      <c r="K1447" s="20" t="b">
        <f>IFERROR(__xludf.DUMMYFUNCTION("""COMPUTED_VALUE"""),FALSE)</f>
        <v>0</v>
      </c>
      <c r="L1447" s="20" t="str">
        <f>IFERROR(__xludf.DUMMYFUNCTION("""COMPUTED_VALUE"""),"String;")</f>
        <v>String;</v>
      </c>
      <c r="M1447" s="20" t="b">
        <f>IFERROR(__xludf.DUMMYFUNCTION("""COMPUTED_VALUE"""),TRUE)</f>
        <v>1</v>
      </c>
      <c r="N1447" s="20" t="b">
        <f>IFERROR(__xludf.DUMMYFUNCTION("""COMPUTED_VALUE"""),FALSE)</f>
        <v>0</v>
      </c>
      <c r="O1447" s="20">
        <f>IFERROR(__xludf.DUMMYFUNCTION("""COMPUTED_VALUE"""),61.5027057346862)</f>
        <v>61.50270573</v>
      </c>
      <c r="P1447" s="20">
        <f>IFERROR(__xludf.DUMMYFUNCTION("""COMPUTED_VALUE"""),133769.0)</f>
        <v>133769</v>
      </c>
      <c r="Q1447" s="20">
        <f>IFERROR(__xludf.DUMMYFUNCTION("""COMPUTED_VALUE"""),217501.0)</f>
        <v>217501</v>
      </c>
    </row>
    <row r="1448">
      <c r="A1448" s="20">
        <f>IFERROR(__xludf.DUMMYFUNCTION("""COMPUTED_VALUE"""),1543.0)</f>
        <v>1543</v>
      </c>
      <c r="B1448" s="20" t="str">
        <f>IFERROR(__xludf.DUMMYFUNCTION("""COMPUTED_VALUE"""),"Simplified Fractions")</f>
        <v>Simplified Fractions</v>
      </c>
      <c r="C1448" s="20" t="str">
        <f>IFERROR(__xludf.DUMMYFUNCTION("""COMPUTED_VALUE"""),"simplified-fractions")</f>
        <v>simplified-fractions</v>
      </c>
      <c r="D1448" s="20" t="b">
        <f>IFERROR(__xludf.DUMMYFUNCTION("""COMPUTED_VALUE"""),FALSE)</f>
        <v>0</v>
      </c>
      <c r="E1448" s="20" t="str">
        <f>IFERROR(__xludf.DUMMYFUNCTION("""COMPUTED_VALUE"""),"Medium")</f>
        <v>Medium</v>
      </c>
      <c r="F1448" s="20">
        <f>IFERROR(__xludf.DUMMYFUNCTION("""COMPUTED_VALUE"""),312.0)</f>
        <v>312</v>
      </c>
      <c r="G1448" s="20">
        <f>IFERROR(__xludf.DUMMYFUNCTION("""COMPUTED_VALUE"""),40.0)</f>
        <v>40</v>
      </c>
      <c r="H1448" s="20" t="str">
        <f>IFERROR(__xludf.DUMMYFUNCTION("""COMPUTED_VALUE"""),"Algorithms")</f>
        <v>Algorithms</v>
      </c>
      <c r="I1448" s="20">
        <f>IFERROR(__xludf.DUMMYFUNCTION("""COMPUTED_VALUE"""),0.65)</f>
        <v>0.65</v>
      </c>
      <c r="J1448" s="20">
        <f>IFERROR(__xludf.DUMMYFUNCTION("""COMPUTED_VALUE"""),1447.0)</f>
        <v>1447</v>
      </c>
      <c r="K1448" s="20" t="b">
        <f>IFERROR(__xludf.DUMMYFUNCTION("""COMPUTED_VALUE"""),FALSE)</f>
        <v>0</v>
      </c>
      <c r="L1448" s="20" t="str">
        <f>IFERROR(__xludf.DUMMYFUNCTION("""COMPUTED_VALUE"""),"Math;String;Number Theory;")</f>
        <v>Math;String;Number Theory;</v>
      </c>
      <c r="M1448" s="20" t="b">
        <f>IFERROR(__xludf.DUMMYFUNCTION("""COMPUTED_VALUE"""),FALSE)</f>
        <v>0</v>
      </c>
      <c r="N1448" s="20" t="b">
        <f>IFERROR(__xludf.DUMMYFUNCTION("""COMPUTED_VALUE"""),FALSE)</f>
        <v>0</v>
      </c>
      <c r="O1448" s="20">
        <f>IFERROR(__xludf.DUMMYFUNCTION("""COMPUTED_VALUE"""),65.0090061868588)</f>
        <v>65.00900619</v>
      </c>
      <c r="P1448" s="20">
        <f>IFERROR(__xludf.DUMMYFUNCTION("""COMPUTED_VALUE"""),24903.0)</f>
        <v>24903</v>
      </c>
      <c r="Q1448" s="20">
        <f>IFERROR(__xludf.DUMMYFUNCTION("""COMPUTED_VALUE"""),38307.0)</f>
        <v>38307</v>
      </c>
    </row>
    <row r="1449">
      <c r="A1449" s="20">
        <f>IFERROR(__xludf.DUMMYFUNCTION("""COMPUTED_VALUE"""),1544.0)</f>
        <v>1544</v>
      </c>
      <c r="B1449" s="20" t="str">
        <f>IFERROR(__xludf.DUMMYFUNCTION("""COMPUTED_VALUE"""),"Count Good Nodes in Binary Tree")</f>
        <v>Count Good Nodes in Binary Tree</v>
      </c>
      <c r="C1449" s="20" t="str">
        <f>IFERROR(__xludf.DUMMYFUNCTION("""COMPUTED_VALUE"""),"count-good-nodes-in-binary-tree")</f>
        <v>count-good-nodes-in-binary-tree</v>
      </c>
      <c r="D1449" s="20" t="b">
        <f>IFERROR(__xludf.DUMMYFUNCTION("""COMPUTED_VALUE"""),FALSE)</f>
        <v>0</v>
      </c>
      <c r="E1449" s="20" t="str">
        <f>IFERROR(__xludf.DUMMYFUNCTION("""COMPUTED_VALUE"""),"Medium")</f>
        <v>Medium</v>
      </c>
      <c r="F1449" s="20">
        <f>IFERROR(__xludf.DUMMYFUNCTION("""COMPUTED_VALUE"""),4450.0)</f>
        <v>4450</v>
      </c>
      <c r="G1449" s="20">
        <f>IFERROR(__xludf.DUMMYFUNCTION("""COMPUTED_VALUE"""),119.0)</f>
        <v>119</v>
      </c>
      <c r="H1449" s="20" t="str">
        <f>IFERROR(__xludf.DUMMYFUNCTION("""COMPUTED_VALUE"""),"Algorithms")</f>
        <v>Algorithms</v>
      </c>
      <c r="I1449" s="20">
        <f>IFERROR(__xludf.DUMMYFUNCTION("""COMPUTED_VALUE"""),0.745)</f>
        <v>0.745</v>
      </c>
      <c r="J1449" s="20">
        <f>IFERROR(__xludf.DUMMYFUNCTION("""COMPUTED_VALUE"""),1448.0)</f>
        <v>1448</v>
      </c>
      <c r="K1449" s="20" t="b">
        <f>IFERROR(__xludf.DUMMYFUNCTION("""COMPUTED_VALUE"""),FALSE)</f>
        <v>0</v>
      </c>
      <c r="L1449" s="20" t="str">
        <f>IFERROR(__xludf.DUMMYFUNCTION("""COMPUTED_VALUE"""),"Tree;Depth-First Search;Breadth-First Search;Binary Tree;")</f>
        <v>Tree;Depth-First Search;Breadth-First Search;Binary Tree;</v>
      </c>
      <c r="M1449" s="20" t="b">
        <f>IFERROR(__xludf.DUMMYFUNCTION("""COMPUTED_VALUE"""),TRUE)</f>
        <v>1</v>
      </c>
      <c r="N1449" s="20" t="b">
        <f>IFERROR(__xludf.DUMMYFUNCTION("""COMPUTED_VALUE"""),TRUE)</f>
        <v>1</v>
      </c>
      <c r="O1449" s="20">
        <f>IFERROR(__xludf.DUMMYFUNCTION("""COMPUTED_VALUE"""),74.4873502669209)</f>
        <v>74.48735027</v>
      </c>
      <c r="P1449" s="20">
        <f>IFERROR(__xludf.DUMMYFUNCTION("""COMPUTED_VALUE"""),295244.0)</f>
        <v>295244</v>
      </c>
      <c r="Q1449" s="20">
        <f>IFERROR(__xludf.DUMMYFUNCTION("""COMPUTED_VALUE"""),396362.0)</f>
        <v>396362</v>
      </c>
    </row>
    <row r="1450">
      <c r="A1450" s="20">
        <f>IFERROR(__xludf.DUMMYFUNCTION("""COMPUTED_VALUE"""),1545.0)</f>
        <v>1545</v>
      </c>
      <c r="B1450" s="20" t="str">
        <f>IFERROR(__xludf.DUMMYFUNCTION("""COMPUTED_VALUE"""),"Form Largest Integer With Digits That Add up to Target")</f>
        <v>Form Largest Integer With Digits That Add up to Target</v>
      </c>
      <c r="C1450" s="20" t="str">
        <f>IFERROR(__xludf.DUMMYFUNCTION("""COMPUTED_VALUE"""),"form-largest-integer-with-digits-that-add-up-to-target")</f>
        <v>form-largest-integer-with-digits-that-add-up-to-target</v>
      </c>
      <c r="D1450" s="20" t="b">
        <f>IFERROR(__xludf.DUMMYFUNCTION("""COMPUTED_VALUE"""),FALSE)</f>
        <v>0</v>
      </c>
      <c r="E1450" s="20" t="str">
        <f>IFERROR(__xludf.DUMMYFUNCTION("""COMPUTED_VALUE"""),"Hard")</f>
        <v>Hard</v>
      </c>
      <c r="F1450" s="20">
        <f>IFERROR(__xludf.DUMMYFUNCTION("""COMPUTED_VALUE"""),582.0)</f>
        <v>582</v>
      </c>
      <c r="G1450" s="20">
        <f>IFERROR(__xludf.DUMMYFUNCTION("""COMPUTED_VALUE"""),12.0)</f>
        <v>12</v>
      </c>
      <c r="H1450" s="20" t="str">
        <f>IFERROR(__xludf.DUMMYFUNCTION("""COMPUTED_VALUE"""),"Algorithms")</f>
        <v>Algorithms</v>
      </c>
      <c r="I1450" s="20">
        <f>IFERROR(__xludf.DUMMYFUNCTION("""COMPUTED_VALUE"""),0.475)</f>
        <v>0.475</v>
      </c>
      <c r="J1450" s="20">
        <f>IFERROR(__xludf.DUMMYFUNCTION("""COMPUTED_VALUE"""),1449.0)</f>
        <v>1449</v>
      </c>
      <c r="K1450" s="20" t="b">
        <f>IFERROR(__xludf.DUMMYFUNCTION("""COMPUTED_VALUE"""),FALSE)</f>
        <v>0</v>
      </c>
      <c r="L1450" s="20" t="str">
        <f>IFERROR(__xludf.DUMMYFUNCTION("""COMPUTED_VALUE"""),"Array;Dynamic Programming;")</f>
        <v>Array;Dynamic Programming;</v>
      </c>
      <c r="M1450" s="20" t="b">
        <f>IFERROR(__xludf.DUMMYFUNCTION("""COMPUTED_VALUE"""),FALSE)</f>
        <v>0</v>
      </c>
      <c r="N1450" s="20" t="b">
        <f>IFERROR(__xludf.DUMMYFUNCTION("""COMPUTED_VALUE"""),FALSE)</f>
        <v>0</v>
      </c>
      <c r="O1450" s="20">
        <f>IFERROR(__xludf.DUMMYFUNCTION("""COMPUTED_VALUE"""),47.5366805761206)</f>
        <v>47.53668058</v>
      </c>
      <c r="P1450" s="20">
        <f>IFERROR(__xludf.DUMMYFUNCTION("""COMPUTED_VALUE"""),14126.0)</f>
        <v>14126</v>
      </c>
      <c r="Q1450" s="20">
        <f>IFERROR(__xludf.DUMMYFUNCTION("""COMPUTED_VALUE"""),29716.0)</f>
        <v>29716</v>
      </c>
    </row>
    <row r="1451">
      <c r="A1451" s="20">
        <f>IFERROR(__xludf.DUMMYFUNCTION("""COMPUTED_VALUE"""),1560.0)</f>
        <v>1560</v>
      </c>
      <c r="B1451" s="20" t="str">
        <f>IFERROR(__xludf.DUMMYFUNCTION("""COMPUTED_VALUE"""),"Number of Students Doing Homework at a Given Time")</f>
        <v>Number of Students Doing Homework at a Given Time</v>
      </c>
      <c r="C1451" s="20" t="str">
        <f>IFERROR(__xludf.DUMMYFUNCTION("""COMPUTED_VALUE"""),"number-of-students-doing-homework-at-a-given-time")</f>
        <v>number-of-students-doing-homework-at-a-given-time</v>
      </c>
      <c r="D1451" s="20" t="b">
        <f>IFERROR(__xludf.DUMMYFUNCTION("""COMPUTED_VALUE"""),FALSE)</f>
        <v>0</v>
      </c>
      <c r="E1451" s="20" t="str">
        <f>IFERROR(__xludf.DUMMYFUNCTION("""COMPUTED_VALUE"""),"Easy")</f>
        <v>Easy</v>
      </c>
      <c r="F1451" s="20">
        <f>IFERROR(__xludf.DUMMYFUNCTION("""COMPUTED_VALUE"""),703.0)</f>
        <v>703</v>
      </c>
      <c r="G1451" s="20">
        <f>IFERROR(__xludf.DUMMYFUNCTION("""COMPUTED_VALUE"""),139.0)</f>
        <v>139</v>
      </c>
      <c r="H1451" s="20" t="str">
        <f>IFERROR(__xludf.DUMMYFUNCTION("""COMPUTED_VALUE"""),"Algorithms")</f>
        <v>Algorithms</v>
      </c>
      <c r="I1451" s="20">
        <f>IFERROR(__xludf.DUMMYFUNCTION("""COMPUTED_VALUE"""),0.759)</f>
        <v>0.759</v>
      </c>
      <c r="J1451" s="20">
        <f>IFERROR(__xludf.DUMMYFUNCTION("""COMPUTED_VALUE"""),1450.0)</f>
        <v>1450</v>
      </c>
      <c r="K1451" s="20" t="b">
        <f>IFERROR(__xludf.DUMMYFUNCTION("""COMPUTED_VALUE"""),FALSE)</f>
        <v>0</v>
      </c>
      <c r="L1451" s="20" t="str">
        <f>IFERROR(__xludf.DUMMYFUNCTION("""COMPUTED_VALUE"""),"Array;")</f>
        <v>Array;</v>
      </c>
      <c r="M1451" s="20" t="b">
        <f>IFERROR(__xludf.DUMMYFUNCTION("""COMPUTED_VALUE"""),FALSE)</f>
        <v>0</v>
      </c>
      <c r="N1451" s="20" t="b">
        <f>IFERROR(__xludf.DUMMYFUNCTION("""COMPUTED_VALUE"""),FALSE)</f>
        <v>0</v>
      </c>
      <c r="O1451" s="20">
        <f>IFERROR(__xludf.DUMMYFUNCTION("""COMPUTED_VALUE"""),75.8610098209855)</f>
        <v>75.86100982</v>
      </c>
      <c r="P1451" s="20">
        <f>IFERROR(__xludf.DUMMYFUNCTION("""COMPUTED_VALUE"""),96322.0)</f>
        <v>96322</v>
      </c>
      <c r="Q1451" s="20">
        <f>IFERROR(__xludf.DUMMYFUNCTION("""COMPUTED_VALUE"""),126972.0)</f>
        <v>126972</v>
      </c>
    </row>
    <row r="1452">
      <c r="A1452" s="20">
        <f>IFERROR(__xludf.DUMMYFUNCTION("""COMPUTED_VALUE"""),1561.0)</f>
        <v>1561</v>
      </c>
      <c r="B1452" s="20" t="str">
        <f>IFERROR(__xludf.DUMMYFUNCTION("""COMPUTED_VALUE"""),"Rearrange Words in a Sentence")</f>
        <v>Rearrange Words in a Sentence</v>
      </c>
      <c r="C1452" s="20" t="str">
        <f>IFERROR(__xludf.DUMMYFUNCTION("""COMPUTED_VALUE"""),"rearrange-words-in-a-sentence")</f>
        <v>rearrange-words-in-a-sentence</v>
      </c>
      <c r="D1452" s="20" t="b">
        <f>IFERROR(__xludf.DUMMYFUNCTION("""COMPUTED_VALUE"""),FALSE)</f>
        <v>0</v>
      </c>
      <c r="E1452" s="20" t="str">
        <f>IFERROR(__xludf.DUMMYFUNCTION("""COMPUTED_VALUE"""),"Medium")</f>
        <v>Medium</v>
      </c>
      <c r="F1452" s="20">
        <f>IFERROR(__xludf.DUMMYFUNCTION("""COMPUTED_VALUE"""),598.0)</f>
        <v>598</v>
      </c>
      <c r="G1452" s="20">
        <f>IFERROR(__xludf.DUMMYFUNCTION("""COMPUTED_VALUE"""),70.0)</f>
        <v>70</v>
      </c>
      <c r="H1452" s="20" t="str">
        <f>IFERROR(__xludf.DUMMYFUNCTION("""COMPUTED_VALUE"""),"Algorithms")</f>
        <v>Algorithms</v>
      </c>
      <c r="I1452" s="20">
        <f>IFERROR(__xludf.DUMMYFUNCTION("""COMPUTED_VALUE"""),0.628)</f>
        <v>0.628</v>
      </c>
      <c r="J1452" s="20">
        <f>IFERROR(__xludf.DUMMYFUNCTION("""COMPUTED_VALUE"""),1451.0)</f>
        <v>1451</v>
      </c>
      <c r="K1452" s="20" t="b">
        <f>IFERROR(__xludf.DUMMYFUNCTION("""COMPUTED_VALUE"""),FALSE)</f>
        <v>0</v>
      </c>
      <c r="L1452" s="20" t="str">
        <f>IFERROR(__xludf.DUMMYFUNCTION("""COMPUTED_VALUE"""),"String;Sorting;")</f>
        <v>String;Sorting;</v>
      </c>
      <c r="M1452" s="20" t="b">
        <f>IFERROR(__xludf.DUMMYFUNCTION("""COMPUTED_VALUE"""),FALSE)</f>
        <v>0</v>
      </c>
      <c r="N1452" s="20" t="b">
        <f>IFERROR(__xludf.DUMMYFUNCTION("""COMPUTED_VALUE"""),FALSE)</f>
        <v>0</v>
      </c>
      <c r="O1452" s="20">
        <f>IFERROR(__xludf.DUMMYFUNCTION("""COMPUTED_VALUE"""),62.8013096878379)</f>
        <v>62.80130969</v>
      </c>
      <c r="P1452" s="20">
        <f>IFERROR(__xludf.DUMMYFUNCTION("""COMPUTED_VALUE"""),42389.0)</f>
        <v>42389</v>
      </c>
      <c r="Q1452" s="20">
        <f>IFERROR(__xludf.DUMMYFUNCTION("""COMPUTED_VALUE"""),67497.0)</f>
        <v>67497</v>
      </c>
    </row>
    <row r="1453">
      <c r="A1453" s="20">
        <f>IFERROR(__xludf.DUMMYFUNCTION("""COMPUTED_VALUE"""),1562.0)</f>
        <v>1562</v>
      </c>
      <c r="B1453" s="20" t="str">
        <f>IFERROR(__xludf.DUMMYFUNCTION("""COMPUTED_VALUE"""),"People Whose List of Favorite Companies Is Not a Subset of Another List")</f>
        <v>People Whose List of Favorite Companies Is Not a Subset of Another List</v>
      </c>
      <c r="C1453" s="20" t="str">
        <f>IFERROR(__xludf.DUMMYFUNCTION("""COMPUTED_VALUE"""),"people-whose-list-of-favorite-companies-is-not-a-subset-of-another-list")</f>
        <v>people-whose-list-of-favorite-companies-is-not-a-subset-of-another-list</v>
      </c>
      <c r="D1453" s="20" t="b">
        <f>IFERROR(__xludf.DUMMYFUNCTION("""COMPUTED_VALUE"""),FALSE)</f>
        <v>0</v>
      </c>
      <c r="E1453" s="20" t="str">
        <f>IFERROR(__xludf.DUMMYFUNCTION("""COMPUTED_VALUE"""),"Medium")</f>
        <v>Medium</v>
      </c>
      <c r="F1453" s="20">
        <f>IFERROR(__xludf.DUMMYFUNCTION("""COMPUTED_VALUE"""),287.0)</f>
        <v>287</v>
      </c>
      <c r="G1453" s="20">
        <f>IFERROR(__xludf.DUMMYFUNCTION("""COMPUTED_VALUE"""),204.0)</f>
        <v>204</v>
      </c>
      <c r="H1453" s="20" t="str">
        <f>IFERROR(__xludf.DUMMYFUNCTION("""COMPUTED_VALUE"""),"Algorithms")</f>
        <v>Algorithms</v>
      </c>
      <c r="I1453" s="20">
        <f>IFERROR(__xludf.DUMMYFUNCTION("""COMPUTED_VALUE"""),0.568)</f>
        <v>0.568</v>
      </c>
      <c r="J1453" s="20">
        <f>IFERROR(__xludf.DUMMYFUNCTION("""COMPUTED_VALUE"""),1452.0)</f>
        <v>1452</v>
      </c>
      <c r="K1453" s="20" t="b">
        <f>IFERROR(__xludf.DUMMYFUNCTION("""COMPUTED_VALUE"""),FALSE)</f>
        <v>0</v>
      </c>
      <c r="L1453" s="20" t="str">
        <f>IFERROR(__xludf.DUMMYFUNCTION("""COMPUTED_VALUE"""),"Array;Hash Table;String;")</f>
        <v>Array;Hash Table;String;</v>
      </c>
      <c r="M1453" s="20" t="b">
        <f>IFERROR(__xludf.DUMMYFUNCTION("""COMPUTED_VALUE"""),FALSE)</f>
        <v>0</v>
      </c>
      <c r="N1453" s="20" t="b">
        <f>IFERROR(__xludf.DUMMYFUNCTION("""COMPUTED_VALUE"""),FALSE)</f>
        <v>0</v>
      </c>
      <c r="O1453" s="20">
        <f>IFERROR(__xludf.DUMMYFUNCTION("""COMPUTED_VALUE"""),56.8169217121313)</f>
        <v>56.81692171</v>
      </c>
      <c r="P1453" s="20">
        <f>IFERROR(__xludf.DUMMYFUNCTION("""COMPUTED_VALUE"""),20495.0)</f>
        <v>20495</v>
      </c>
      <c r="Q1453" s="20">
        <f>IFERROR(__xludf.DUMMYFUNCTION("""COMPUTED_VALUE"""),36072.0)</f>
        <v>36072</v>
      </c>
    </row>
    <row r="1454">
      <c r="A1454" s="20">
        <f>IFERROR(__xludf.DUMMYFUNCTION("""COMPUTED_VALUE"""),1563.0)</f>
        <v>1563</v>
      </c>
      <c r="B1454" s="20" t="str">
        <f>IFERROR(__xludf.DUMMYFUNCTION("""COMPUTED_VALUE"""),"Maximum Number of Darts Inside of a Circular Dartboard")</f>
        <v>Maximum Number of Darts Inside of a Circular Dartboard</v>
      </c>
      <c r="C1454" s="20" t="str">
        <f>IFERROR(__xludf.DUMMYFUNCTION("""COMPUTED_VALUE"""),"maximum-number-of-darts-inside-of-a-circular-dartboard")</f>
        <v>maximum-number-of-darts-inside-of-a-circular-dartboard</v>
      </c>
      <c r="D1454" s="20" t="b">
        <f>IFERROR(__xludf.DUMMYFUNCTION("""COMPUTED_VALUE"""),FALSE)</f>
        <v>0</v>
      </c>
      <c r="E1454" s="20" t="str">
        <f>IFERROR(__xludf.DUMMYFUNCTION("""COMPUTED_VALUE"""),"Hard")</f>
        <v>Hard</v>
      </c>
      <c r="F1454" s="20">
        <f>IFERROR(__xludf.DUMMYFUNCTION("""COMPUTED_VALUE"""),124.0)</f>
        <v>124</v>
      </c>
      <c r="G1454" s="20">
        <f>IFERROR(__xludf.DUMMYFUNCTION("""COMPUTED_VALUE"""),254.0)</f>
        <v>254</v>
      </c>
      <c r="H1454" s="20" t="str">
        <f>IFERROR(__xludf.DUMMYFUNCTION("""COMPUTED_VALUE"""),"Algorithms")</f>
        <v>Algorithms</v>
      </c>
      <c r="I1454" s="20">
        <f>IFERROR(__xludf.DUMMYFUNCTION("""COMPUTED_VALUE"""),0.368)</f>
        <v>0.368</v>
      </c>
      <c r="J1454" s="20">
        <f>IFERROR(__xludf.DUMMYFUNCTION("""COMPUTED_VALUE"""),1453.0)</f>
        <v>1453</v>
      </c>
      <c r="K1454" s="20" t="b">
        <f>IFERROR(__xludf.DUMMYFUNCTION("""COMPUTED_VALUE"""),FALSE)</f>
        <v>0</v>
      </c>
      <c r="L1454" s="20" t="str">
        <f>IFERROR(__xludf.DUMMYFUNCTION("""COMPUTED_VALUE"""),"Array;Math;Geometry;")</f>
        <v>Array;Math;Geometry;</v>
      </c>
      <c r="M1454" s="20" t="b">
        <f>IFERROR(__xludf.DUMMYFUNCTION("""COMPUTED_VALUE"""),FALSE)</f>
        <v>0</v>
      </c>
      <c r="N1454" s="20" t="b">
        <f>IFERROR(__xludf.DUMMYFUNCTION("""COMPUTED_VALUE"""),FALSE)</f>
        <v>0</v>
      </c>
      <c r="O1454" s="20">
        <f>IFERROR(__xludf.DUMMYFUNCTION("""COMPUTED_VALUE"""),36.8413338219127)</f>
        <v>36.84133382</v>
      </c>
      <c r="P1454" s="20">
        <f>IFERROR(__xludf.DUMMYFUNCTION("""COMPUTED_VALUE"""),5027.0)</f>
        <v>5027</v>
      </c>
      <c r="Q1454" s="20">
        <f>IFERROR(__xludf.DUMMYFUNCTION("""COMPUTED_VALUE"""),13645.0)</f>
        <v>13645</v>
      </c>
    </row>
    <row r="1455">
      <c r="A1455" s="20">
        <f>IFERROR(__xludf.DUMMYFUNCTION("""COMPUTED_VALUE"""),1579.0)</f>
        <v>1579</v>
      </c>
      <c r="B1455" s="20" t="str">
        <f>IFERROR(__xludf.DUMMYFUNCTION("""COMPUTED_VALUE"""),"Active Users")</f>
        <v>Active Users</v>
      </c>
      <c r="C1455" s="20" t="str">
        <f>IFERROR(__xludf.DUMMYFUNCTION("""COMPUTED_VALUE"""),"active-users")</f>
        <v>active-users</v>
      </c>
      <c r="D1455" s="20" t="b">
        <f>IFERROR(__xludf.DUMMYFUNCTION("""COMPUTED_VALUE"""),TRUE)</f>
        <v>1</v>
      </c>
      <c r="E1455" s="20" t="str">
        <f>IFERROR(__xludf.DUMMYFUNCTION("""COMPUTED_VALUE"""),"Medium")</f>
        <v>Medium</v>
      </c>
      <c r="F1455" s="20">
        <f>IFERROR(__xludf.DUMMYFUNCTION("""COMPUTED_VALUE"""),349.0)</f>
        <v>349</v>
      </c>
      <c r="G1455" s="20">
        <f>IFERROR(__xludf.DUMMYFUNCTION("""COMPUTED_VALUE"""),33.0)</f>
        <v>33</v>
      </c>
      <c r="H1455" s="20" t="str">
        <f>IFERROR(__xludf.DUMMYFUNCTION("""COMPUTED_VALUE"""),"Database")</f>
        <v>Database</v>
      </c>
      <c r="I1455" s="20">
        <f>IFERROR(__xludf.DUMMYFUNCTION("""COMPUTED_VALUE"""),0.381)</f>
        <v>0.381</v>
      </c>
      <c r="J1455" s="20">
        <f>IFERROR(__xludf.DUMMYFUNCTION("""COMPUTED_VALUE"""),1454.0)</f>
        <v>1454</v>
      </c>
      <c r="K1455" s="20" t="b">
        <f>IFERROR(__xludf.DUMMYFUNCTION("""COMPUTED_VALUE"""),TRUE)</f>
        <v>1</v>
      </c>
      <c r="L1455" s="20" t="str">
        <f>IFERROR(__xludf.DUMMYFUNCTION("""COMPUTED_VALUE"""),"Database;")</f>
        <v>Database;</v>
      </c>
      <c r="M1455" s="20" t="b">
        <f>IFERROR(__xludf.DUMMYFUNCTION("""COMPUTED_VALUE"""),FALSE)</f>
        <v>0</v>
      </c>
      <c r="N1455" s="20" t="b">
        <f>IFERROR(__xludf.DUMMYFUNCTION("""COMPUTED_VALUE"""),FALSE)</f>
        <v>0</v>
      </c>
      <c r="O1455" s="20">
        <f>IFERROR(__xludf.DUMMYFUNCTION("""COMPUTED_VALUE"""),38.063635087361)</f>
        <v>38.06363509</v>
      </c>
      <c r="P1455" s="20">
        <f>IFERROR(__xludf.DUMMYFUNCTION("""COMPUTED_VALUE"""),29824.0)</f>
        <v>29824</v>
      </c>
      <c r="Q1455" s="20">
        <f>IFERROR(__xludf.DUMMYFUNCTION("""COMPUTED_VALUE"""),78353.0)</f>
        <v>78353</v>
      </c>
    </row>
    <row r="1456">
      <c r="A1456" s="20">
        <f>IFERROR(__xludf.DUMMYFUNCTION("""COMPUTED_VALUE"""),1566.0)</f>
        <v>1566</v>
      </c>
      <c r="B1456" s="20" t="str">
        <f>IFERROR(__xludf.DUMMYFUNCTION("""COMPUTED_VALUE"""),"Check If a Word Occurs As a Prefix of Any Word in a Sentence")</f>
        <v>Check If a Word Occurs As a Prefix of Any Word in a Sentence</v>
      </c>
      <c r="C1456" s="20" t="str">
        <f>IFERROR(__xludf.DUMMYFUNCTION("""COMPUTED_VALUE"""),"check-if-a-word-occurs-as-a-prefix-of-any-word-in-a-sentence")</f>
        <v>check-if-a-word-occurs-as-a-prefix-of-any-word-in-a-sentence</v>
      </c>
      <c r="D1456" s="20" t="b">
        <f>IFERROR(__xludf.DUMMYFUNCTION("""COMPUTED_VALUE"""),FALSE)</f>
        <v>0</v>
      </c>
      <c r="E1456" s="20" t="str">
        <f>IFERROR(__xludf.DUMMYFUNCTION("""COMPUTED_VALUE"""),"Easy")</f>
        <v>Easy</v>
      </c>
      <c r="F1456" s="20">
        <f>IFERROR(__xludf.DUMMYFUNCTION("""COMPUTED_VALUE"""),654.0)</f>
        <v>654</v>
      </c>
      <c r="G1456" s="20">
        <f>IFERROR(__xludf.DUMMYFUNCTION("""COMPUTED_VALUE"""),31.0)</f>
        <v>31</v>
      </c>
      <c r="H1456" s="20" t="str">
        <f>IFERROR(__xludf.DUMMYFUNCTION("""COMPUTED_VALUE"""),"Algorithms")</f>
        <v>Algorithms</v>
      </c>
      <c r="I1456" s="20">
        <f>IFERROR(__xludf.DUMMYFUNCTION("""COMPUTED_VALUE"""),0.643)</f>
        <v>0.643</v>
      </c>
      <c r="J1456" s="20">
        <f>IFERROR(__xludf.DUMMYFUNCTION("""COMPUTED_VALUE"""),1455.0)</f>
        <v>1455</v>
      </c>
      <c r="K1456" s="20" t="b">
        <f>IFERROR(__xludf.DUMMYFUNCTION("""COMPUTED_VALUE"""),FALSE)</f>
        <v>0</v>
      </c>
      <c r="L1456" s="20" t="str">
        <f>IFERROR(__xludf.DUMMYFUNCTION("""COMPUTED_VALUE"""),"String;String Matching;")</f>
        <v>String;String Matching;</v>
      </c>
      <c r="M1456" s="20" t="b">
        <f>IFERROR(__xludf.DUMMYFUNCTION("""COMPUTED_VALUE"""),FALSE)</f>
        <v>0</v>
      </c>
      <c r="N1456" s="20" t="b">
        <f>IFERROR(__xludf.DUMMYFUNCTION("""COMPUTED_VALUE"""),FALSE)</f>
        <v>0</v>
      </c>
      <c r="O1456" s="20">
        <f>IFERROR(__xludf.DUMMYFUNCTION("""COMPUTED_VALUE"""),64.2947372928531)</f>
        <v>64.29473729</v>
      </c>
      <c r="P1456" s="20">
        <f>IFERROR(__xludf.DUMMYFUNCTION("""COMPUTED_VALUE"""),60059.0)</f>
        <v>60059</v>
      </c>
      <c r="Q1456" s="20">
        <f>IFERROR(__xludf.DUMMYFUNCTION("""COMPUTED_VALUE"""),93412.0)</f>
        <v>93412</v>
      </c>
    </row>
    <row r="1457">
      <c r="A1457" s="20">
        <f>IFERROR(__xludf.DUMMYFUNCTION("""COMPUTED_VALUE"""),1567.0)</f>
        <v>1567</v>
      </c>
      <c r="B1457" s="20" t="str">
        <f>IFERROR(__xludf.DUMMYFUNCTION("""COMPUTED_VALUE"""),"Maximum Number of Vowels in a Substring of Given Length")</f>
        <v>Maximum Number of Vowels in a Substring of Given Length</v>
      </c>
      <c r="C1457" s="20" t="str">
        <f>IFERROR(__xludf.DUMMYFUNCTION("""COMPUTED_VALUE"""),"maximum-number-of-vowels-in-a-substring-of-given-length")</f>
        <v>maximum-number-of-vowels-in-a-substring-of-given-length</v>
      </c>
      <c r="D1457" s="20" t="b">
        <f>IFERROR(__xludf.DUMMYFUNCTION("""COMPUTED_VALUE"""),FALSE)</f>
        <v>0</v>
      </c>
      <c r="E1457" s="20" t="str">
        <f>IFERROR(__xludf.DUMMYFUNCTION("""COMPUTED_VALUE"""),"Medium")</f>
        <v>Medium</v>
      </c>
      <c r="F1457" s="20">
        <f>IFERROR(__xludf.DUMMYFUNCTION("""COMPUTED_VALUE"""),975.0)</f>
        <v>975</v>
      </c>
      <c r="G1457" s="20">
        <f>IFERROR(__xludf.DUMMYFUNCTION("""COMPUTED_VALUE"""),46.0)</f>
        <v>46</v>
      </c>
      <c r="H1457" s="20" t="str">
        <f>IFERROR(__xludf.DUMMYFUNCTION("""COMPUTED_VALUE"""),"Algorithms")</f>
        <v>Algorithms</v>
      </c>
      <c r="I1457" s="20">
        <f>IFERROR(__xludf.DUMMYFUNCTION("""COMPUTED_VALUE"""),0.581)</f>
        <v>0.581</v>
      </c>
      <c r="J1457" s="20">
        <f>IFERROR(__xludf.DUMMYFUNCTION("""COMPUTED_VALUE"""),1456.0)</f>
        <v>1456</v>
      </c>
      <c r="K1457" s="20" t="b">
        <f>IFERROR(__xludf.DUMMYFUNCTION("""COMPUTED_VALUE"""),FALSE)</f>
        <v>0</v>
      </c>
      <c r="L1457" s="20" t="str">
        <f>IFERROR(__xludf.DUMMYFUNCTION("""COMPUTED_VALUE"""),"String;Sliding Window;")</f>
        <v>String;Sliding Window;</v>
      </c>
      <c r="M1457" s="20" t="b">
        <f>IFERROR(__xludf.DUMMYFUNCTION("""COMPUTED_VALUE"""),FALSE)</f>
        <v>0</v>
      </c>
      <c r="N1457" s="20" t="b">
        <f>IFERROR(__xludf.DUMMYFUNCTION("""COMPUTED_VALUE"""),FALSE)</f>
        <v>0</v>
      </c>
      <c r="O1457" s="20">
        <f>IFERROR(__xludf.DUMMYFUNCTION("""COMPUTED_VALUE"""),58.1220306996851)</f>
        <v>58.1220307</v>
      </c>
      <c r="P1457" s="20">
        <f>IFERROR(__xludf.DUMMYFUNCTION("""COMPUTED_VALUE"""),52971.0)</f>
        <v>52971</v>
      </c>
      <c r="Q1457" s="20">
        <f>IFERROR(__xludf.DUMMYFUNCTION("""COMPUTED_VALUE"""),91134.0)</f>
        <v>91134</v>
      </c>
    </row>
    <row r="1458">
      <c r="A1458" s="20">
        <f>IFERROR(__xludf.DUMMYFUNCTION("""COMPUTED_VALUE"""),1568.0)</f>
        <v>1568</v>
      </c>
      <c r="B1458" s="20" t="str">
        <f>IFERROR(__xludf.DUMMYFUNCTION("""COMPUTED_VALUE"""),"Pseudo-Palindromic Paths in a Binary Tree")</f>
        <v>Pseudo-Palindromic Paths in a Binary Tree</v>
      </c>
      <c r="C1458" s="20" t="str">
        <f>IFERROR(__xludf.DUMMYFUNCTION("""COMPUTED_VALUE"""),"pseudo-palindromic-paths-in-a-binary-tree")</f>
        <v>pseudo-palindromic-paths-in-a-binary-tree</v>
      </c>
      <c r="D1458" s="20" t="b">
        <f>IFERROR(__xludf.DUMMYFUNCTION("""COMPUTED_VALUE"""),FALSE)</f>
        <v>0</v>
      </c>
      <c r="E1458" s="20" t="str">
        <f>IFERROR(__xludf.DUMMYFUNCTION("""COMPUTED_VALUE"""),"Medium")</f>
        <v>Medium</v>
      </c>
      <c r="F1458" s="20">
        <f>IFERROR(__xludf.DUMMYFUNCTION("""COMPUTED_VALUE"""),2319.0)</f>
        <v>2319</v>
      </c>
      <c r="G1458" s="20">
        <f>IFERROR(__xludf.DUMMYFUNCTION("""COMPUTED_VALUE"""),78.0)</f>
        <v>78</v>
      </c>
      <c r="H1458" s="20" t="str">
        <f>IFERROR(__xludf.DUMMYFUNCTION("""COMPUTED_VALUE"""),"Algorithms")</f>
        <v>Algorithms</v>
      </c>
      <c r="I1458" s="20">
        <f>IFERROR(__xludf.DUMMYFUNCTION("""COMPUTED_VALUE"""),0.68)</f>
        <v>0.68</v>
      </c>
      <c r="J1458" s="20">
        <f>IFERROR(__xludf.DUMMYFUNCTION("""COMPUTED_VALUE"""),1457.0)</f>
        <v>1457</v>
      </c>
      <c r="K1458" s="20" t="b">
        <f>IFERROR(__xludf.DUMMYFUNCTION("""COMPUTED_VALUE"""),FALSE)</f>
        <v>0</v>
      </c>
      <c r="L1458" s="20" t="str">
        <f>IFERROR(__xludf.DUMMYFUNCTION("""COMPUTED_VALUE"""),"Bit Manipulation;Tree;Depth-First Search;Breadth-First Search;Binary Tree;")</f>
        <v>Bit Manipulation;Tree;Depth-First Search;Breadth-First Search;Binary Tree;</v>
      </c>
      <c r="M1458" s="20" t="b">
        <f>IFERROR(__xludf.DUMMYFUNCTION("""COMPUTED_VALUE"""),TRUE)</f>
        <v>1</v>
      </c>
      <c r="N1458" s="20" t="b">
        <f>IFERROR(__xludf.DUMMYFUNCTION("""COMPUTED_VALUE"""),FALSE)</f>
        <v>0</v>
      </c>
      <c r="O1458" s="20">
        <f>IFERROR(__xludf.DUMMYFUNCTION("""COMPUTED_VALUE"""),67.9813568476565)</f>
        <v>67.98135685</v>
      </c>
      <c r="P1458" s="20">
        <f>IFERROR(__xludf.DUMMYFUNCTION("""COMPUTED_VALUE"""),112019.0)</f>
        <v>112019</v>
      </c>
      <c r="Q1458" s="20">
        <f>IFERROR(__xludf.DUMMYFUNCTION("""COMPUTED_VALUE"""),164779.0)</f>
        <v>164779</v>
      </c>
    </row>
    <row r="1459">
      <c r="A1459" s="20">
        <f>IFERROR(__xludf.DUMMYFUNCTION("""COMPUTED_VALUE"""),1569.0)</f>
        <v>1569</v>
      </c>
      <c r="B1459" s="20" t="str">
        <f>IFERROR(__xludf.DUMMYFUNCTION("""COMPUTED_VALUE"""),"Max Dot Product of Two Subsequences")</f>
        <v>Max Dot Product of Two Subsequences</v>
      </c>
      <c r="C1459" s="20" t="str">
        <f>IFERROR(__xludf.DUMMYFUNCTION("""COMPUTED_VALUE"""),"max-dot-product-of-two-subsequences")</f>
        <v>max-dot-product-of-two-subsequences</v>
      </c>
      <c r="D1459" s="20" t="b">
        <f>IFERROR(__xludf.DUMMYFUNCTION("""COMPUTED_VALUE"""),FALSE)</f>
        <v>0</v>
      </c>
      <c r="E1459" s="20" t="str">
        <f>IFERROR(__xludf.DUMMYFUNCTION("""COMPUTED_VALUE"""),"Hard")</f>
        <v>Hard</v>
      </c>
      <c r="F1459" s="20">
        <f>IFERROR(__xludf.DUMMYFUNCTION("""COMPUTED_VALUE"""),687.0)</f>
        <v>687</v>
      </c>
      <c r="G1459" s="20">
        <f>IFERROR(__xludf.DUMMYFUNCTION("""COMPUTED_VALUE"""),14.0)</f>
        <v>14</v>
      </c>
      <c r="H1459" s="20" t="str">
        <f>IFERROR(__xludf.DUMMYFUNCTION("""COMPUTED_VALUE"""),"Algorithms")</f>
        <v>Algorithms</v>
      </c>
      <c r="I1459" s="20">
        <f>IFERROR(__xludf.DUMMYFUNCTION("""COMPUTED_VALUE"""),0.464)</f>
        <v>0.464</v>
      </c>
      <c r="J1459" s="20">
        <f>IFERROR(__xludf.DUMMYFUNCTION("""COMPUTED_VALUE"""),1458.0)</f>
        <v>1458</v>
      </c>
      <c r="K1459" s="20" t="b">
        <f>IFERROR(__xludf.DUMMYFUNCTION("""COMPUTED_VALUE"""),FALSE)</f>
        <v>0</v>
      </c>
      <c r="L1459" s="20" t="str">
        <f>IFERROR(__xludf.DUMMYFUNCTION("""COMPUTED_VALUE"""),"Array;Dynamic Programming;")</f>
        <v>Array;Dynamic Programming;</v>
      </c>
      <c r="M1459" s="20" t="b">
        <f>IFERROR(__xludf.DUMMYFUNCTION("""COMPUTED_VALUE"""),FALSE)</f>
        <v>0</v>
      </c>
      <c r="N1459" s="20" t="b">
        <f>IFERROR(__xludf.DUMMYFUNCTION("""COMPUTED_VALUE"""),FALSE)</f>
        <v>0</v>
      </c>
      <c r="O1459" s="20">
        <f>IFERROR(__xludf.DUMMYFUNCTION("""COMPUTED_VALUE"""),46.4443571358412)</f>
        <v>46.44435714</v>
      </c>
      <c r="P1459" s="20">
        <f>IFERROR(__xludf.DUMMYFUNCTION("""COMPUTED_VALUE"""),18914.0)</f>
        <v>18914</v>
      </c>
      <c r="Q1459" s="20">
        <f>IFERROR(__xludf.DUMMYFUNCTION("""COMPUTED_VALUE"""),40724.0)</f>
        <v>40724</v>
      </c>
    </row>
    <row r="1460">
      <c r="A1460" s="20">
        <f>IFERROR(__xludf.DUMMYFUNCTION("""COMPUTED_VALUE"""),1607.0)</f>
        <v>1607</v>
      </c>
      <c r="B1460" s="20" t="str">
        <f>IFERROR(__xludf.DUMMYFUNCTION("""COMPUTED_VALUE"""),"Rectangles Area")</f>
        <v>Rectangles Area</v>
      </c>
      <c r="C1460" s="20" t="str">
        <f>IFERROR(__xludf.DUMMYFUNCTION("""COMPUTED_VALUE"""),"rectangles-area")</f>
        <v>rectangles-area</v>
      </c>
      <c r="D1460" s="20" t="b">
        <f>IFERROR(__xludf.DUMMYFUNCTION("""COMPUTED_VALUE"""),TRUE)</f>
        <v>1</v>
      </c>
      <c r="E1460" s="20" t="str">
        <f>IFERROR(__xludf.DUMMYFUNCTION("""COMPUTED_VALUE"""),"Medium")</f>
        <v>Medium</v>
      </c>
      <c r="F1460" s="20">
        <f>IFERROR(__xludf.DUMMYFUNCTION("""COMPUTED_VALUE"""),75.0)</f>
        <v>75</v>
      </c>
      <c r="G1460" s="20">
        <f>IFERROR(__xludf.DUMMYFUNCTION("""COMPUTED_VALUE"""),136.0)</f>
        <v>136</v>
      </c>
      <c r="H1460" s="20" t="str">
        <f>IFERROR(__xludf.DUMMYFUNCTION("""COMPUTED_VALUE"""),"Database")</f>
        <v>Database</v>
      </c>
      <c r="I1460" s="20">
        <f>IFERROR(__xludf.DUMMYFUNCTION("""COMPUTED_VALUE"""),0.696)</f>
        <v>0.696</v>
      </c>
      <c r="J1460" s="20">
        <f>IFERROR(__xludf.DUMMYFUNCTION("""COMPUTED_VALUE"""),1459.0)</f>
        <v>1459</v>
      </c>
      <c r="K1460" s="20" t="b">
        <f>IFERROR(__xludf.DUMMYFUNCTION("""COMPUTED_VALUE"""),TRUE)</f>
        <v>1</v>
      </c>
      <c r="L1460" s="20" t="str">
        <f>IFERROR(__xludf.DUMMYFUNCTION("""COMPUTED_VALUE"""),"Database;")</f>
        <v>Database;</v>
      </c>
      <c r="M1460" s="20" t="b">
        <f>IFERROR(__xludf.DUMMYFUNCTION("""COMPUTED_VALUE"""),FALSE)</f>
        <v>0</v>
      </c>
      <c r="N1460" s="20" t="b">
        <f>IFERROR(__xludf.DUMMYFUNCTION("""COMPUTED_VALUE"""),FALSE)</f>
        <v>0</v>
      </c>
      <c r="O1460" s="20">
        <f>IFERROR(__xludf.DUMMYFUNCTION("""COMPUTED_VALUE"""),69.6245733788396)</f>
        <v>69.62457338</v>
      </c>
      <c r="P1460" s="20">
        <f>IFERROR(__xludf.DUMMYFUNCTION("""COMPUTED_VALUE"""),13260.0)</f>
        <v>13260</v>
      </c>
      <c r="Q1460" s="20">
        <f>IFERROR(__xludf.DUMMYFUNCTION("""COMPUTED_VALUE"""),19045.0)</f>
        <v>19045</v>
      </c>
    </row>
    <row r="1461">
      <c r="A1461" s="20">
        <f>IFERROR(__xludf.DUMMYFUNCTION("""COMPUTED_VALUE"""),1556.0)</f>
        <v>1556</v>
      </c>
      <c r="B1461" s="20" t="str">
        <f>IFERROR(__xludf.DUMMYFUNCTION("""COMPUTED_VALUE"""),"Make Two Arrays Equal by Reversing Subarrays")</f>
        <v>Make Two Arrays Equal by Reversing Subarrays</v>
      </c>
      <c r="C1461" s="20" t="str">
        <f>IFERROR(__xludf.DUMMYFUNCTION("""COMPUTED_VALUE"""),"make-two-arrays-equal-by-reversing-subarrays")</f>
        <v>make-two-arrays-equal-by-reversing-subarrays</v>
      </c>
      <c r="D1461" s="20" t="b">
        <f>IFERROR(__xludf.DUMMYFUNCTION("""COMPUTED_VALUE"""),FALSE)</f>
        <v>0</v>
      </c>
      <c r="E1461" s="20" t="str">
        <f>IFERROR(__xludf.DUMMYFUNCTION("""COMPUTED_VALUE"""),"Easy")</f>
        <v>Easy</v>
      </c>
      <c r="F1461" s="20">
        <f>IFERROR(__xludf.DUMMYFUNCTION("""COMPUTED_VALUE"""),870.0)</f>
        <v>870</v>
      </c>
      <c r="G1461" s="20">
        <f>IFERROR(__xludf.DUMMYFUNCTION("""COMPUTED_VALUE"""),122.0)</f>
        <v>122</v>
      </c>
      <c r="H1461" s="20" t="str">
        <f>IFERROR(__xludf.DUMMYFUNCTION("""COMPUTED_VALUE"""),"Algorithms")</f>
        <v>Algorithms</v>
      </c>
      <c r="I1461" s="20">
        <f>IFERROR(__xludf.DUMMYFUNCTION("""COMPUTED_VALUE"""),0.722)</f>
        <v>0.722</v>
      </c>
      <c r="J1461" s="20">
        <f>IFERROR(__xludf.DUMMYFUNCTION("""COMPUTED_VALUE"""),1460.0)</f>
        <v>1460</v>
      </c>
      <c r="K1461" s="20" t="b">
        <f>IFERROR(__xludf.DUMMYFUNCTION("""COMPUTED_VALUE"""),FALSE)</f>
        <v>0</v>
      </c>
      <c r="L1461" s="20" t="str">
        <f>IFERROR(__xludf.DUMMYFUNCTION("""COMPUTED_VALUE"""),"Array;Hash Table;Sorting;")</f>
        <v>Array;Hash Table;Sorting;</v>
      </c>
      <c r="M1461" s="20" t="b">
        <f>IFERROR(__xludf.DUMMYFUNCTION("""COMPUTED_VALUE"""),FALSE)</f>
        <v>0</v>
      </c>
      <c r="N1461" s="20" t="b">
        <f>IFERROR(__xludf.DUMMYFUNCTION("""COMPUTED_VALUE"""),FALSE)</f>
        <v>0</v>
      </c>
      <c r="O1461" s="20">
        <f>IFERROR(__xludf.DUMMYFUNCTION("""COMPUTED_VALUE"""),72.1864430004543)</f>
        <v>72.186443</v>
      </c>
      <c r="P1461" s="20">
        <f>IFERROR(__xludf.DUMMYFUNCTION("""COMPUTED_VALUE"""),100093.0)</f>
        <v>100093</v>
      </c>
      <c r="Q1461" s="20">
        <f>IFERROR(__xludf.DUMMYFUNCTION("""COMPUTED_VALUE"""),138659.0)</f>
        <v>138659</v>
      </c>
    </row>
    <row r="1462">
      <c r="A1462" s="20">
        <f>IFERROR(__xludf.DUMMYFUNCTION("""COMPUTED_VALUE"""),1557.0)</f>
        <v>1557</v>
      </c>
      <c r="B1462" s="20" t="str">
        <f>IFERROR(__xludf.DUMMYFUNCTION("""COMPUTED_VALUE"""),"Check If a String Contains All Binary Codes of Size K")</f>
        <v>Check If a String Contains All Binary Codes of Size K</v>
      </c>
      <c r="C1462" s="20" t="str">
        <f>IFERROR(__xludf.DUMMYFUNCTION("""COMPUTED_VALUE"""),"check-if-a-string-contains-all-binary-codes-of-size-k")</f>
        <v>check-if-a-string-contains-all-binary-codes-of-size-k</v>
      </c>
      <c r="D1462" s="20" t="b">
        <f>IFERROR(__xludf.DUMMYFUNCTION("""COMPUTED_VALUE"""),FALSE)</f>
        <v>0</v>
      </c>
      <c r="E1462" s="20" t="str">
        <f>IFERROR(__xludf.DUMMYFUNCTION("""COMPUTED_VALUE"""),"Medium")</f>
        <v>Medium</v>
      </c>
      <c r="F1462" s="20">
        <f>IFERROR(__xludf.DUMMYFUNCTION("""COMPUTED_VALUE"""),1992.0)</f>
        <v>1992</v>
      </c>
      <c r="G1462" s="20">
        <f>IFERROR(__xludf.DUMMYFUNCTION("""COMPUTED_VALUE"""),90.0)</f>
        <v>90</v>
      </c>
      <c r="H1462" s="20" t="str">
        <f>IFERROR(__xludf.DUMMYFUNCTION("""COMPUTED_VALUE"""),"Algorithms")</f>
        <v>Algorithms</v>
      </c>
      <c r="I1462" s="20">
        <f>IFERROR(__xludf.DUMMYFUNCTION("""COMPUTED_VALUE"""),0.567)</f>
        <v>0.567</v>
      </c>
      <c r="J1462" s="20">
        <f>IFERROR(__xludf.DUMMYFUNCTION("""COMPUTED_VALUE"""),1461.0)</f>
        <v>1461</v>
      </c>
      <c r="K1462" s="20" t="b">
        <f>IFERROR(__xludf.DUMMYFUNCTION("""COMPUTED_VALUE"""),FALSE)</f>
        <v>0</v>
      </c>
      <c r="L1462" s="20" t="str">
        <f>IFERROR(__xludf.DUMMYFUNCTION("""COMPUTED_VALUE"""),"Hash Table;String;Bit Manipulation;Rolling Hash;Hash Function;")</f>
        <v>Hash Table;String;Bit Manipulation;Rolling Hash;Hash Function;</v>
      </c>
      <c r="M1462" s="20" t="b">
        <f>IFERROR(__xludf.DUMMYFUNCTION("""COMPUTED_VALUE"""),TRUE)</f>
        <v>1</v>
      </c>
      <c r="N1462" s="20" t="b">
        <f>IFERROR(__xludf.DUMMYFUNCTION("""COMPUTED_VALUE"""),FALSE)</f>
        <v>0</v>
      </c>
      <c r="O1462" s="20">
        <f>IFERROR(__xludf.DUMMYFUNCTION("""COMPUTED_VALUE"""),56.7234909402809)</f>
        <v>56.72349094</v>
      </c>
      <c r="P1462" s="20">
        <f>IFERROR(__xludf.DUMMYFUNCTION("""COMPUTED_VALUE"""),105812.0)</f>
        <v>105812</v>
      </c>
      <c r="Q1462" s="20">
        <f>IFERROR(__xludf.DUMMYFUNCTION("""COMPUTED_VALUE"""),186540.0)</f>
        <v>186540</v>
      </c>
    </row>
    <row r="1463">
      <c r="A1463" s="20">
        <f>IFERROR(__xludf.DUMMYFUNCTION("""COMPUTED_VALUE"""),1558.0)</f>
        <v>1558</v>
      </c>
      <c r="B1463" s="20" t="str">
        <f>IFERROR(__xludf.DUMMYFUNCTION("""COMPUTED_VALUE"""),"Course Schedule IV")</f>
        <v>Course Schedule IV</v>
      </c>
      <c r="C1463" s="20" t="str">
        <f>IFERROR(__xludf.DUMMYFUNCTION("""COMPUTED_VALUE"""),"course-schedule-iv")</f>
        <v>course-schedule-iv</v>
      </c>
      <c r="D1463" s="20" t="b">
        <f>IFERROR(__xludf.DUMMYFUNCTION("""COMPUTED_VALUE"""),FALSE)</f>
        <v>0</v>
      </c>
      <c r="E1463" s="20" t="str">
        <f>IFERROR(__xludf.DUMMYFUNCTION("""COMPUTED_VALUE"""),"Medium")</f>
        <v>Medium</v>
      </c>
      <c r="F1463" s="20">
        <f>IFERROR(__xludf.DUMMYFUNCTION("""COMPUTED_VALUE"""),1068.0)</f>
        <v>1068</v>
      </c>
      <c r="G1463" s="20">
        <f>IFERROR(__xludf.DUMMYFUNCTION("""COMPUTED_VALUE"""),53.0)</f>
        <v>53</v>
      </c>
      <c r="H1463" s="20" t="str">
        <f>IFERROR(__xludf.DUMMYFUNCTION("""COMPUTED_VALUE"""),"Algorithms")</f>
        <v>Algorithms</v>
      </c>
      <c r="I1463" s="20">
        <f>IFERROR(__xludf.DUMMYFUNCTION("""COMPUTED_VALUE"""),0.489)</f>
        <v>0.489</v>
      </c>
      <c r="J1463" s="20">
        <f>IFERROR(__xludf.DUMMYFUNCTION("""COMPUTED_VALUE"""),1462.0)</f>
        <v>1462</v>
      </c>
      <c r="K1463" s="20" t="b">
        <f>IFERROR(__xludf.DUMMYFUNCTION("""COMPUTED_VALUE"""),FALSE)</f>
        <v>0</v>
      </c>
      <c r="L1463" s="20" t="str">
        <f>IFERROR(__xludf.DUMMYFUNCTION("""COMPUTED_VALUE"""),"Depth-First Search;Breadth-First Search;Graph;Topological Sort;")</f>
        <v>Depth-First Search;Breadth-First Search;Graph;Topological Sort;</v>
      </c>
      <c r="M1463" s="20" t="b">
        <f>IFERROR(__xludf.DUMMYFUNCTION("""COMPUTED_VALUE"""),FALSE)</f>
        <v>0</v>
      </c>
      <c r="N1463" s="20" t="b">
        <f>IFERROR(__xludf.DUMMYFUNCTION("""COMPUTED_VALUE"""),FALSE)</f>
        <v>0</v>
      </c>
      <c r="O1463" s="20">
        <f>IFERROR(__xludf.DUMMYFUNCTION("""COMPUTED_VALUE"""),48.9080664366997)</f>
        <v>48.90806644</v>
      </c>
      <c r="P1463" s="20">
        <f>IFERROR(__xludf.DUMMYFUNCTION("""COMPUTED_VALUE"""),39840.0)</f>
        <v>39840</v>
      </c>
      <c r="Q1463" s="20">
        <f>IFERROR(__xludf.DUMMYFUNCTION("""COMPUTED_VALUE"""),81460.0)</f>
        <v>81460</v>
      </c>
    </row>
    <row r="1464">
      <c r="A1464" s="20">
        <f>IFERROR(__xludf.DUMMYFUNCTION("""COMPUTED_VALUE"""),1559.0)</f>
        <v>1559</v>
      </c>
      <c r="B1464" s="20" t="str">
        <f>IFERROR(__xludf.DUMMYFUNCTION("""COMPUTED_VALUE"""),"Cherry Pickup II")</f>
        <v>Cherry Pickup II</v>
      </c>
      <c r="C1464" s="20" t="str">
        <f>IFERROR(__xludf.DUMMYFUNCTION("""COMPUTED_VALUE"""),"cherry-pickup-ii")</f>
        <v>cherry-pickup-ii</v>
      </c>
      <c r="D1464" s="20" t="b">
        <f>IFERROR(__xludf.DUMMYFUNCTION("""COMPUTED_VALUE"""),FALSE)</f>
        <v>0</v>
      </c>
      <c r="E1464" s="20" t="str">
        <f>IFERROR(__xludf.DUMMYFUNCTION("""COMPUTED_VALUE"""),"Hard")</f>
        <v>Hard</v>
      </c>
      <c r="F1464" s="20">
        <f>IFERROR(__xludf.DUMMYFUNCTION("""COMPUTED_VALUE"""),2701.0)</f>
        <v>2701</v>
      </c>
      <c r="G1464" s="20">
        <f>IFERROR(__xludf.DUMMYFUNCTION("""COMPUTED_VALUE"""),27.0)</f>
        <v>27</v>
      </c>
      <c r="H1464" s="20" t="str">
        <f>IFERROR(__xludf.DUMMYFUNCTION("""COMPUTED_VALUE"""),"Algorithms")</f>
        <v>Algorithms</v>
      </c>
      <c r="I1464" s="20">
        <f>IFERROR(__xludf.DUMMYFUNCTION("""COMPUTED_VALUE"""),0.7)</f>
        <v>0.7</v>
      </c>
      <c r="J1464" s="20">
        <f>IFERROR(__xludf.DUMMYFUNCTION("""COMPUTED_VALUE"""),1463.0)</f>
        <v>1463</v>
      </c>
      <c r="K1464" s="20" t="b">
        <f>IFERROR(__xludf.DUMMYFUNCTION("""COMPUTED_VALUE"""),FALSE)</f>
        <v>0</v>
      </c>
      <c r="L1464" s="20" t="str">
        <f>IFERROR(__xludf.DUMMYFUNCTION("""COMPUTED_VALUE"""),"Array;Dynamic Programming;Matrix;")</f>
        <v>Array;Dynamic Programming;Matrix;</v>
      </c>
      <c r="M1464" s="20" t="b">
        <f>IFERROR(__xludf.DUMMYFUNCTION("""COMPUTED_VALUE"""),TRUE)</f>
        <v>1</v>
      </c>
      <c r="N1464" s="20" t="b">
        <f>IFERROR(__xludf.DUMMYFUNCTION("""COMPUTED_VALUE"""),FALSE)</f>
        <v>0</v>
      </c>
      <c r="O1464" s="20">
        <f>IFERROR(__xludf.DUMMYFUNCTION("""COMPUTED_VALUE"""),70.0097462233384)</f>
        <v>70.00974622</v>
      </c>
      <c r="P1464" s="20">
        <f>IFERROR(__xludf.DUMMYFUNCTION("""COMPUTED_VALUE"""),74705.0)</f>
        <v>74705</v>
      </c>
      <c r="Q1464" s="20">
        <f>IFERROR(__xludf.DUMMYFUNCTION("""COMPUTED_VALUE"""),106706.0)</f>
        <v>106706</v>
      </c>
    </row>
    <row r="1465">
      <c r="A1465" s="20">
        <f>IFERROR(__xludf.DUMMYFUNCTION("""COMPUTED_VALUE"""),1574.0)</f>
        <v>1574</v>
      </c>
      <c r="B1465" s="20" t="str">
        <f>IFERROR(__xludf.DUMMYFUNCTION("""COMPUTED_VALUE"""),"Maximum Product of Two Elements in an Array")</f>
        <v>Maximum Product of Two Elements in an Array</v>
      </c>
      <c r="C1465" s="20" t="str">
        <f>IFERROR(__xludf.DUMMYFUNCTION("""COMPUTED_VALUE"""),"maximum-product-of-two-elements-in-an-array")</f>
        <v>maximum-product-of-two-elements-in-an-array</v>
      </c>
      <c r="D1465" s="20" t="b">
        <f>IFERROR(__xludf.DUMMYFUNCTION("""COMPUTED_VALUE"""),FALSE)</f>
        <v>0</v>
      </c>
      <c r="E1465" s="20" t="str">
        <f>IFERROR(__xludf.DUMMYFUNCTION("""COMPUTED_VALUE"""),"Easy")</f>
        <v>Easy</v>
      </c>
      <c r="F1465" s="20">
        <f>IFERROR(__xludf.DUMMYFUNCTION("""COMPUTED_VALUE"""),1378.0)</f>
        <v>1378</v>
      </c>
      <c r="G1465" s="20">
        <f>IFERROR(__xludf.DUMMYFUNCTION("""COMPUTED_VALUE"""),175.0)</f>
        <v>175</v>
      </c>
      <c r="H1465" s="20" t="str">
        <f>IFERROR(__xludf.DUMMYFUNCTION("""COMPUTED_VALUE"""),"Algorithms")</f>
        <v>Algorithms</v>
      </c>
      <c r="I1465" s="20">
        <f>IFERROR(__xludf.DUMMYFUNCTION("""COMPUTED_VALUE"""),0.796)</f>
        <v>0.796</v>
      </c>
      <c r="J1465" s="20">
        <f>IFERROR(__xludf.DUMMYFUNCTION("""COMPUTED_VALUE"""),1464.0)</f>
        <v>1464</v>
      </c>
      <c r="K1465" s="20" t="b">
        <f>IFERROR(__xludf.DUMMYFUNCTION("""COMPUTED_VALUE"""),FALSE)</f>
        <v>0</v>
      </c>
      <c r="L1465" s="20" t="str">
        <f>IFERROR(__xludf.DUMMYFUNCTION("""COMPUTED_VALUE"""),"Array;Sorting;Heap (Priority Queue);")</f>
        <v>Array;Sorting;Heap (Priority Queue);</v>
      </c>
      <c r="M1465" s="20" t="b">
        <f>IFERROR(__xludf.DUMMYFUNCTION("""COMPUTED_VALUE"""),FALSE)</f>
        <v>0</v>
      </c>
      <c r="N1465" s="20" t="b">
        <f>IFERROR(__xludf.DUMMYFUNCTION("""COMPUTED_VALUE"""),FALSE)</f>
        <v>0</v>
      </c>
      <c r="O1465" s="20">
        <f>IFERROR(__xludf.DUMMYFUNCTION("""COMPUTED_VALUE"""),79.5645008101011)</f>
        <v>79.56450081</v>
      </c>
      <c r="P1465" s="20">
        <f>IFERROR(__xludf.DUMMYFUNCTION("""COMPUTED_VALUE"""),170893.0)</f>
        <v>170893</v>
      </c>
      <c r="Q1465" s="20">
        <f>IFERROR(__xludf.DUMMYFUNCTION("""COMPUTED_VALUE"""),214786.0)</f>
        <v>214786</v>
      </c>
    </row>
    <row r="1466">
      <c r="A1466" s="20">
        <f>IFERROR(__xludf.DUMMYFUNCTION("""COMPUTED_VALUE"""),1575.0)</f>
        <v>1575</v>
      </c>
      <c r="B1466" s="20" t="str">
        <f>IFERROR(__xludf.DUMMYFUNCTION("""COMPUTED_VALUE"""),"Maximum Area of a Piece of Cake After Horizontal and Vertical Cuts")</f>
        <v>Maximum Area of a Piece of Cake After Horizontal and Vertical Cuts</v>
      </c>
      <c r="C1466" s="20" t="str">
        <f>IFERROR(__xludf.DUMMYFUNCTION("""COMPUTED_VALUE"""),"maximum-area-of-a-piece-of-cake-after-horizontal-and-vertical-cuts")</f>
        <v>maximum-area-of-a-piece-of-cake-after-horizontal-and-vertical-cuts</v>
      </c>
      <c r="D1466" s="20" t="b">
        <f>IFERROR(__xludf.DUMMYFUNCTION("""COMPUTED_VALUE"""),FALSE)</f>
        <v>0</v>
      </c>
      <c r="E1466" s="20" t="str">
        <f>IFERROR(__xludf.DUMMYFUNCTION("""COMPUTED_VALUE"""),"Medium")</f>
        <v>Medium</v>
      </c>
      <c r="F1466" s="20">
        <f>IFERROR(__xludf.DUMMYFUNCTION("""COMPUTED_VALUE"""),2490.0)</f>
        <v>2490</v>
      </c>
      <c r="G1466" s="20">
        <f>IFERROR(__xludf.DUMMYFUNCTION("""COMPUTED_VALUE"""),340.0)</f>
        <v>340</v>
      </c>
      <c r="H1466" s="20" t="str">
        <f>IFERROR(__xludf.DUMMYFUNCTION("""COMPUTED_VALUE"""),"Algorithms")</f>
        <v>Algorithms</v>
      </c>
      <c r="I1466" s="20">
        <f>IFERROR(__xludf.DUMMYFUNCTION("""COMPUTED_VALUE"""),0.409)</f>
        <v>0.409</v>
      </c>
      <c r="J1466" s="20">
        <f>IFERROR(__xludf.DUMMYFUNCTION("""COMPUTED_VALUE"""),1465.0)</f>
        <v>1465</v>
      </c>
      <c r="K1466" s="20" t="b">
        <f>IFERROR(__xludf.DUMMYFUNCTION("""COMPUTED_VALUE"""),FALSE)</f>
        <v>0</v>
      </c>
      <c r="L1466" s="20" t="str">
        <f>IFERROR(__xludf.DUMMYFUNCTION("""COMPUTED_VALUE"""),"Array;Greedy;Sorting;")</f>
        <v>Array;Greedy;Sorting;</v>
      </c>
      <c r="M1466" s="20" t="b">
        <f>IFERROR(__xludf.DUMMYFUNCTION("""COMPUTED_VALUE"""),TRUE)</f>
        <v>1</v>
      </c>
      <c r="N1466" s="20" t="b">
        <f>IFERROR(__xludf.DUMMYFUNCTION("""COMPUTED_VALUE"""),FALSE)</f>
        <v>0</v>
      </c>
      <c r="O1466" s="20">
        <f>IFERROR(__xludf.DUMMYFUNCTION("""COMPUTED_VALUE"""),40.8604984689329)</f>
        <v>40.86049847</v>
      </c>
      <c r="P1466" s="20">
        <f>IFERROR(__xludf.DUMMYFUNCTION("""COMPUTED_VALUE"""),158124.0)</f>
        <v>158124</v>
      </c>
      <c r="Q1466" s="20">
        <f>IFERROR(__xludf.DUMMYFUNCTION("""COMPUTED_VALUE"""),386983.0)</f>
        <v>386983</v>
      </c>
    </row>
    <row r="1467">
      <c r="A1467" s="20">
        <f>IFERROR(__xludf.DUMMYFUNCTION("""COMPUTED_VALUE"""),1576.0)</f>
        <v>1576</v>
      </c>
      <c r="B1467" s="20" t="str">
        <f>IFERROR(__xludf.DUMMYFUNCTION("""COMPUTED_VALUE"""),"Reorder Routes to Make All Paths Lead to the City Zero")</f>
        <v>Reorder Routes to Make All Paths Lead to the City Zero</v>
      </c>
      <c r="C1467" s="20" t="str">
        <f>IFERROR(__xludf.DUMMYFUNCTION("""COMPUTED_VALUE"""),"reorder-routes-to-make-all-paths-lead-to-the-city-zero")</f>
        <v>reorder-routes-to-make-all-paths-lead-to-the-city-zero</v>
      </c>
      <c r="D1467" s="20" t="b">
        <f>IFERROR(__xludf.DUMMYFUNCTION("""COMPUTED_VALUE"""),FALSE)</f>
        <v>0</v>
      </c>
      <c r="E1467" s="20" t="str">
        <f>IFERROR(__xludf.DUMMYFUNCTION("""COMPUTED_VALUE"""),"Medium")</f>
        <v>Medium</v>
      </c>
      <c r="F1467" s="20">
        <f>IFERROR(__xludf.DUMMYFUNCTION("""COMPUTED_VALUE"""),2005.0)</f>
        <v>2005</v>
      </c>
      <c r="G1467" s="20">
        <f>IFERROR(__xludf.DUMMYFUNCTION("""COMPUTED_VALUE"""),51.0)</f>
        <v>51</v>
      </c>
      <c r="H1467" s="20" t="str">
        <f>IFERROR(__xludf.DUMMYFUNCTION("""COMPUTED_VALUE"""),"Algorithms")</f>
        <v>Algorithms</v>
      </c>
      <c r="I1467" s="20">
        <f>IFERROR(__xludf.DUMMYFUNCTION("""COMPUTED_VALUE"""),0.616)</f>
        <v>0.616</v>
      </c>
      <c r="J1467" s="20">
        <f>IFERROR(__xludf.DUMMYFUNCTION("""COMPUTED_VALUE"""),1466.0)</f>
        <v>1466</v>
      </c>
      <c r="K1467" s="20" t="b">
        <f>IFERROR(__xludf.DUMMYFUNCTION("""COMPUTED_VALUE"""),FALSE)</f>
        <v>0</v>
      </c>
      <c r="L1467" s="20" t="str">
        <f>IFERROR(__xludf.DUMMYFUNCTION("""COMPUTED_VALUE"""),"Depth-First Search;Breadth-First Search;Graph;")</f>
        <v>Depth-First Search;Breadth-First Search;Graph;</v>
      </c>
      <c r="M1467" s="20" t="b">
        <f>IFERROR(__xludf.DUMMYFUNCTION("""COMPUTED_VALUE"""),FALSE)</f>
        <v>0</v>
      </c>
      <c r="N1467" s="20" t="b">
        <f>IFERROR(__xludf.DUMMYFUNCTION("""COMPUTED_VALUE"""),FALSE)</f>
        <v>0</v>
      </c>
      <c r="O1467" s="20">
        <f>IFERROR(__xludf.DUMMYFUNCTION("""COMPUTED_VALUE"""),61.6168395363026)</f>
        <v>61.61683954</v>
      </c>
      <c r="P1467" s="20">
        <f>IFERROR(__xludf.DUMMYFUNCTION("""COMPUTED_VALUE"""),70693.0)</f>
        <v>70693</v>
      </c>
      <c r="Q1467" s="20">
        <f>IFERROR(__xludf.DUMMYFUNCTION("""COMPUTED_VALUE"""),114726.0)</f>
        <v>114726</v>
      </c>
    </row>
    <row r="1468">
      <c r="A1468" s="20">
        <f>IFERROR(__xludf.DUMMYFUNCTION("""COMPUTED_VALUE"""),1577.0)</f>
        <v>1577</v>
      </c>
      <c r="B1468" s="20" t="str">
        <f>IFERROR(__xludf.DUMMYFUNCTION("""COMPUTED_VALUE"""),"Probability of a Two Boxes Having The Same Number of Distinct Balls")</f>
        <v>Probability of a Two Boxes Having The Same Number of Distinct Balls</v>
      </c>
      <c r="C1468" s="20" t="str">
        <f>IFERROR(__xludf.DUMMYFUNCTION("""COMPUTED_VALUE"""),"probability-of-a-two-boxes-having-the-same-number-of-distinct-balls")</f>
        <v>probability-of-a-two-boxes-having-the-same-number-of-distinct-balls</v>
      </c>
      <c r="D1468" s="20" t="b">
        <f>IFERROR(__xludf.DUMMYFUNCTION("""COMPUTED_VALUE"""),FALSE)</f>
        <v>0</v>
      </c>
      <c r="E1468" s="20" t="str">
        <f>IFERROR(__xludf.DUMMYFUNCTION("""COMPUTED_VALUE"""),"Hard")</f>
        <v>Hard</v>
      </c>
      <c r="F1468" s="20">
        <f>IFERROR(__xludf.DUMMYFUNCTION("""COMPUTED_VALUE"""),236.0)</f>
        <v>236</v>
      </c>
      <c r="G1468" s="20">
        <f>IFERROR(__xludf.DUMMYFUNCTION("""COMPUTED_VALUE"""),158.0)</f>
        <v>158</v>
      </c>
      <c r="H1468" s="20" t="str">
        <f>IFERROR(__xludf.DUMMYFUNCTION("""COMPUTED_VALUE"""),"Algorithms")</f>
        <v>Algorithms</v>
      </c>
      <c r="I1468" s="20">
        <f>IFERROR(__xludf.DUMMYFUNCTION("""COMPUTED_VALUE"""),0.61)</f>
        <v>0.61</v>
      </c>
      <c r="J1468" s="20">
        <f>IFERROR(__xludf.DUMMYFUNCTION("""COMPUTED_VALUE"""),1467.0)</f>
        <v>1467</v>
      </c>
      <c r="K1468" s="20" t="b">
        <f>IFERROR(__xludf.DUMMYFUNCTION("""COMPUTED_VALUE"""),FALSE)</f>
        <v>0</v>
      </c>
      <c r="L1468" s="20" t="str">
        <f>IFERROR(__xludf.DUMMYFUNCTION("""COMPUTED_VALUE"""),"Math;Dynamic Programming;Backtracking;Combinatorics;Probability and Statistics;")</f>
        <v>Math;Dynamic Programming;Backtracking;Combinatorics;Probability and Statistics;</v>
      </c>
      <c r="M1468" s="20" t="b">
        <f>IFERROR(__xludf.DUMMYFUNCTION("""COMPUTED_VALUE"""),FALSE)</f>
        <v>0</v>
      </c>
      <c r="N1468" s="20" t="b">
        <f>IFERROR(__xludf.DUMMYFUNCTION("""COMPUTED_VALUE"""),FALSE)</f>
        <v>0</v>
      </c>
      <c r="O1468" s="20">
        <f>IFERROR(__xludf.DUMMYFUNCTION("""COMPUTED_VALUE"""),60.9999102414504)</f>
        <v>60.99991024</v>
      </c>
      <c r="P1468" s="20">
        <f>IFERROR(__xludf.DUMMYFUNCTION("""COMPUTED_VALUE"""),6796.0)</f>
        <v>6796</v>
      </c>
      <c r="Q1468" s="20">
        <f>IFERROR(__xludf.DUMMYFUNCTION("""COMPUTED_VALUE"""),11141.0)</f>
        <v>11141</v>
      </c>
    </row>
    <row r="1469">
      <c r="A1469" s="20">
        <f>IFERROR(__xludf.DUMMYFUNCTION("""COMPUTED_VALUE"""),1608.0)</f>
        <v>1608</v>
      </c>
      <c r="B1469" s="20" t="str">
        <f>IFERROR(__xludf.DUMMYFUNCTION("""COMPUTED_VALUE"""),"Calculate Salaries")</f>
        <v>Calculate Salaries</v>
      </c>
      <c r="C1469" s="20" t="str">
        <f>IFERROR(__xludf.DUMMYFUNCTION("""COMPUTED_VALUE"""),"calculate-salaries")</f>
        <v>calculate-salaries</v>
      </c>
      <c r="D1469" s="20" t="b">
        <f>IFERROR(__xludf.DUMMYFUNCTION("""COMPUTED_VALUE"""),TRUE)</f>
        <v>1</v>
      </c>
      <c r="E1469" s="20" t="str">
        <f>IFERROR(__xludf.DUMMYFUNCTION("""COMPUTED_VALUE"""),"Medium")</f>
        <v>Medium</v>
      </c>
      <c r="F1469" s="20">
        <f>IFERROR(__xludf.DUMMYFUNCTION("""COMPUTED_VALUE"""),107.0)</f>
        <v>107</v>
      </c>
      <c r="G1469" s="20">
        <f>IFERROR(__xludf.DUMMYFUNCTION("""COMPUTED_VALUE"""),18.0)</f>
        <v>18</v>
      </c>
      <c r="H1469" s="20" t="str">
        <f>IFERROR(__xludf.DUMMYFUNCTION("""COMPUTED_VALUE"""),"Database")</f>
        <v>Database</v>
      </c>
      <c r="I1469" s="20">
        <f>IFERROR(__xludf.DUMMYFUNCTION("""COMPUTED_VALUE"""),0.817)</f>
        <v>0.817</v>
      </c>
      <c r="J1469" s="20">
        <f>IFERROR(__xludf.DUMMYFUNCTION("""COMPUTED_VALUE"""),1468.0)</f>
        <v>1468</v>
      </c>
      <c r="K1469" s="20" t="b">
        <f>IFERROR(__xludf.DUMMYFUNCTION("""COMPUTED_VALUE"""),TRUE)</f>
        <v>1</v>
      </c>
      <c r="L1469" s="20" t="str">
        <f>IFERROR(__xludf.DUMMYFUNCTION("""COMPUTED_VALUE"""),"Database;")</f>
        <v>Database;</v>
      </c>
      <c r="M1469" s="20" t="b">
        <f>IFERROR(__xludf.DUMMYFUNCTION("""COMPUTED_VALUE"""),FALSE)</f>
        <v>0</v>
      </c>
      <c r="N1469" s="20" t="b">
        <f>IFERROR(__xludf.DUMMYFUNCTION("""COMPUTED_VALUE"""),FALSE)</f>
        <v>0</v>
      </c>
      <c r="O1469" s="20">
        <f>IFERROR(__xludf.DUMMYFUNCTION("""COMPUTED_VALUE"""),81.7380671276775)</f>
        <v>81.73806713</v>
      </c>
      <c r="P1469" s="20">
        <f>IFERROR(__xludf.DUMMYFUNCTION("""COMPUTED_VALUE"""),19385.0)</f>
        <v>19385</v>
      </c>
      <c r="Q1469" s="20">
        <f>IFERROR(__xludf.DUMMYFUNCTION("""COMPUTED_VALUE"""),23716.0)</f>
        <v>23716</v>
      </c>
    </row>
    <row r="1470">
      <c r="A1470" s="20">
        <f>IFERROR(__xludf.DUMMYFUNCTION("""COMPUTED_VALUE"""),1609.0)</f>
        <v>1609</v>
      </c>
      <c r="B1470" s="20" t="str">
        <f>IFERROR(__xludf.DUMMYFUNCTION("""COMPUTED_VALUE"""),"Find All The Lonely Nodes")</f>
        <v>Find All The Lonely Nodes</v>
      </c>
      <c r="C1470" s="20" t="str">
        <f>IFERROR(__xludf.DUMMYFUNCTION("""COMPUTED_VALUE"""),"find-all-the-lonely-nodes")</f>
        <v>find-all-the-lonely-nodes</v>
      </c>
      <c r="D1470" s="20" t="b">
        <f>IFERROR(__xludf.DUMMYFUNCTION("""COMPUTED_VALUE"""),TRUE)</f>
        <v>1</v>
      </c>
      <c r="E1470" s="20" t="str">
        <f>IFERROR(__xludf.DUMMYFUNCTION("""COMPUTED_VALUE"""),"Easy")</f>
        <v>Easy</v>
      </c>
      <c r="F1470" s="20">
        <f>IFERROR(__xludf.DUMMYFUNCTION("""COMPUTED_VALUE"""),433.0)</f>
        <v>433</v>
      </c>
      <c r="G1470" s="20">
        <f>IFERROR(__xludf.DUMMYFUNCTION("""COMPUTED_VALUE"""),9.0)</f>
        <v>9</v>
      </c>
      <c r="H1470" s="20" t="str">
        <f>IFERROR(__xludf.DUMMYFUNCTION("""COMPUTED_VALUE"""),"Algorithms")</f>
        <v>Algorithms</v>
      </c>
      <c r="I1470" s="20">
        <f>IFERROR(__xludf.DUMMYFUNCTION("""COMPUTED_VALUE"""),0.819)</f>
        <v>0.819</v>
      </c>
      <c r="J1470" s="20">
        <f>IFERROR(__xludf.DUMMYFUNCTION("""COMPUTED_VALUE"""),1469.0)</f>
        <v>1469</v>
      </c>
      <c r="K1470" s="20" t="b">
        <f>IFERROR(__xludf.DUMMYFUNCTION("""COMPUTED_VALUE"""),TRUE)</f>
        <v>1</v>
      </c>
      <c r="L1470" s="20" t="str">
        <f>IFERROR(__xludf.DUMMYFUNCTION("""COMPUTED_VALUE"""),"Tree;Depth-First Search;Breadth-First Search;Binary Tree;")</f>
        <v>Tree;Depth-First Search;Breadth-First Search;Binary Tree;</v>
      </c>
      <c r="M1470" s="20" t="b">
        <f>IFERROR(__xludf.DUMMYFUNCTION("""COMPUTED_VALUE"""),FALSE)</f>
        <v>0</v>
      </c>
      <c r="N1470" s="20" t="b">
        <f>IFERROR(__xludf.DUMMYFUNCTION("""COMPUTED_VALUE"""),FALSE)</f>
        <v>0</v>
      </c>
      <c r="O1470" s="20">
        <f>IFERROR(__xludf.DUMMYFUNCTION("""COMPUTED_VALUE"""),81.9121497903171)</f>
        <v>81.91214979</v>
      </c>
      <c r="P1470" s="20">
        <f>IFERROR(__xludf.DUMMYFUNCTION("""COMPUTED_VALUE"""),41604.0)</f>
        <v>41604</v>
      </c>
      <c r="Q1470" s="20">
        <f>IFERROR(__xludf.DUMMYFUNCTION("""COMPUTED_VALUE"""),50791.0)</f>
        <v>50791</v>
      </c>
    </row>
    <row r="1471">
      <c r="A1471" s="20">
        <f>IFERROR(__xludf.DUMMYFUNCTION("""COMPUTED_VALUE"""),1580.0)</f>
        <v>1580</v>
      </c>
      <c r="B1471" s="20" t="str">
        <f>IFERROR(__xludf.DUMMYFUNCTION("""COMPUTED_VALUE"""),"Shuffle the Array")</f>
        <v>Shuffle the Array</v>
      </c>
      <c r="C1471" s="20" t="str">
        <f>IFERROR(__xludf.DUMMYFUNCTION("""COMPUTED_VALUE"""),"shuffle-the-array")</f>
        <v>shuffle-the-array</v>
      </c>
      <c r="D1471" s="20" t="b">
        <f>IFERROR(__xludf.DUMMYFUNCTION("""COMPUTED_VALUE"""),FALSE)</f>
        <v>0</v>
      </c>
      <c r="E1471" s="20" t="str">
        <f>IFERROR(__xludf.DUMMYFUNCTION("""COMPUTED_VALUE"""),"Easy")</f>
        <v>Easy</v>
      </c>
      <c r="F1471" s="20">
        <f>IFERROR(__xludf.DUMMYFUNCTION("""COMPUTED_VALUE"""),3297.0)</f>
        <v>3297</v>
      </c>
      <c r="G1471" s="20">
        <f>IFERROR(__xludf.DUMMYFUNCTION("""COMPUTED_VALUE"""),211.0)</f>
        <v>211</v>
      </c>
      <c r="H1471" s="20" t="str">
        <f>IFERROR(__xludf.DUMMYFUNCTION("""COMPUTED_VALUE"""),"Algorithms")</f>
        <v>Algorithms</v>
      </c>
      <c r="I1471" s="20">
        <f>IFERROR(__xludf.DUMMYFUNCTION("""COMPUTED_VALUE"""),0.885)</f>
        <v>0.885</v>
      </c>
      <c r="J1471" s="20">
        <f>IFERROR(__xludf.DUMMYFUNCTION("""COMPUTED_VALUE"""),1470.0)</f>
        <v>1470</v>
      </c>
      <c r="K1471" s="20" t="b">
        <f>IFERROR(__xludf.DUMMYFUNCTION("""COMPUTED_VALUE"""),FALSE)</f>
        <v>0</v>
      </c>
      <c r="L1471" s="20" t="str">
        <f>IFERROR(__xludf.DUMMYFUNCTION("""COMPUTED_VALUE"""),"Array;")</f>
        <v>Array;</v>
      </c>
      <c r="M1471" s="20" t="b">
        <f>IFERROR(__xludf.DUMMYFUNCTION("""COMPUTED_VALUE"""),TRUE)</f>
        <v>1</v>
      </c>
      <c r="N1471" s="20" t="b">
        <f>IFERROR(__xludf.DUMMYFUNCTION("""COMPUTED_VALUE"""),FALSE)</f>
        <v>0</v>
      </c>
      <c r="O1471" s="20">
        <f>IFERROR(__xludf.DUMMYFUNCTION("""COMPUTED_VALUE"""),88.4561402728318)</f>
        <v>88.45614027</v>
      </c>
      <c r="P1471" s="20">
        <f>IFERROR(__xludf.DUMMYFUNCTION("""COMPUTED_VALUE"""),397678.0)</f>
        <v>397678</v>
      </c>
      <c r="Q1471" s="20">
        <f>IFERROR(__xludf.DUMMYFUNCTION("""COMPUTED_VALUE"""),449577.0)</f>
        <v>449577</v>
      </c>
    </row>
    <row r="1472">
      <c r="A1472" s="20">
        <f>IFERROR(__xludf.DUMMYFUNCTION("""COMPUTED_VALUE"""),1581.0)</f>
        <v>1581</v>
      </c>
      <c r="B1472" s="20" t="str">
        <f>IFERROR(__xludf.DUMMYFUNCTION("""COMPUTED_VALUE"""),"The k Strongest Values in an Array")</f>
        <v>The k Strongest Values in an Array</v>
      </c>
      <c r="C1472" s="20" t="str">
        <f>IFERROR(__xludf.DUMMYFUNCTION("""COMPUTED_VALUE"""),"the-k-strongest-values-in-an-array")</f>
        <v>the-k-strongest-values-in-an-array</v>
      </c>
      <c r="D1472" s="20" t="b">
        <f>IFERROR(__xludf.DUMMYFUNCTION("""COMPUTED_VALUE"""),FALSE)</f>
        <v>0</v>
      </c>
      <c r="E1472" s="20" t="str">
        <f>IFERROR(__xludf.DUMMYFUNCTION("""COMPUTED_VALUE"""),"Medium")</f>
        <v>Medium</v>
      </c>
      <c r="F1472" s="20">
        <f>IFERROR(__xludf.DUMMYFUNCTION("""COMPUTED_VALUE"""),518.0)</f>
        <v>518</v>
      </c>
      <c r="G1472" s="20">
        <f>IFERROR(__xludf.DUMMYFUNCTION("""COMPUTED_VALUE"""),111.0)</f>
        <v>111</v>
      </c>
      <c r="H1472" s="20" t="str">
        <f>IFERROR(__xludf.DUMMYFUNCTION("""COMPUTED_VALUE"""),"Algorithms")</f>
        <v>Algorithms</v>
      </c>
      <c r="I1472" s="20">
        <f>IFERROR(__xludf.DUMMYFUNCTION("""COMPUTED_VALUE"""),0.602)</f>
        <v>0.602</v>
      </c>
      <c r="J1472" s="20">
        <f>IFERROR(__xludf.DUMMYFUNCTION("""COMPUTED_VALUE"""),1471.0)</f>
        <v>1471</v>
      </c>
      <c r="K1472" s="20" t="b">
        <f>IFERROR(__xludf.DUMMYFUNCTION("""COMPUTED_VALUE"""),FALSE)</f>
        <v>0</v>
      </c>
      <c r="L1472" s="20" t="str">
        <f>IFERROR(__xludf.DUMMYFUNCTION("""COMPUTED_VALUE"""),"Array;Two Pointers;Sorting;")</f>
        <v>Array;Two Pointers;Sorting;</v>
      </c>
      <c r="M1472" s="20" t="b">
        <f>IFERROR(__xludf.DUMMYFUNCTION("""COMPUTED_VALUE"""),FALSE)</f>
        <v>0</v>
      </c>
      <c r="N1472" s="20" t="b">
        <f>IFERROR(__xludf.DUMMYFUNCTION("""COMPUTED_VALUE"""),FALSE)</f>
        <v>0</v>
      </c>
      <c r="O1472" s="20">
        <f>IFERROR(__xludf.DUMMYFUNCTION("""COMPUTED_VALUE"""),60.2360355423337)</f>
        <v>60.23603554</v>
      </c>
      <c r="P1472" s="20">
        <f>IFERROR(__xludf.DUMMYFUNCTION("""COMPUTED_VALUE"""),30777.0)</f>
        <v>30777</v>
      </c>
      <c r="Q1472" s="20">
        <f>IFERROR(__xludf.DUMMYFUNCTION("""COMPUTED_VALUE"""),51094.0)</f>
        <v>51094</v>
      </c>
    </row>
    <row r="1473">
      <c r="A1473" s="20">
        <f>IFERROR(__xludf.DUMMYFUNCTION("""COMPUTED_VALUE"""),1582.0)</f>
        <v>1582</v>
      </c>
      <c r="B1473" s="20" t="str">
        <f>IFERROR(__xludf.DUMMYFUNCTION("""COMPUTED_VALUE"""),"Design Browser History")</f>
        <v>Design Browser History</v>
      </c>
      <c r="C1473" s="20" t="str">
        <f>IFERROR(__xludf.DUMMYFUNCTION("""COMPUTED_VALUE"""),"design-browser-history")</f>
        <v>design-browser-history</v>
      </c>
      <c r="D1473" s="20" t="b">
        <f>IFERROR(__xludf.DUMMYFUNCTION("""COMPUTED_VALUE"""),FALSE)</f>
        <v>0</v>
      </c>
      <c r="E1473" s="20" t="str">
        <f>IFERROR(__xludf.DUMMYFUNCTION("""COMPUTED_VALUE"""),"Medium")</f>
        <v>Medium</v>
      </c>
      <c r="F1473" s="20">
        <f>IFERROR(__xludf.DUMMYFUNCTION("""COMPUTED_VALUE"""),1889.0)</f>
        <v>1889</v>
      </c>
      <c r="G1473" s="20">
        <f>IFERROR(__xludf.DUMMYFUNCTION("""COMPUTED_VALUE"""),129.0)</f>
        <v>129</v>
      </c>
      <c r="H1473" s="20" t="str">
        <f>IFERROR(__xludf.DUMMYFUNCTION("""COMPUTED_VALUE"""),"Algorithms")</f>
        <v>Algorithms</v>
      </c>
      <c r="I1473" s="20">
        <f>IFERROR(__xludf.DUMMYFUNCTION("""COMPUTED_VALUE"""),0.762)</f>
        <v>0.762</v>
      </c>
      <c r="J1473" s="20">
        <f>IFERROR(__xludf.DUMMYFUNCTION("""COMPUTED_VALUE"""),1472.0)</f>
        <v>1472</v>
      </c>
      <c r="K1473" s="20" t="b">
        <f>IFERROR(__xludf.DUMMYFUNCTION("""COMPUTED_VALUE"""),FALSE)</f>
        <v>0</v>
      </c>
      <c r="L1473" s="20" t="str">
        <f>IFERROR(__xludf.DUMMYFUNCTION("""COMPUTED_VALUE"""),"Array;Linked List;Stack;Design;Doubly-Linked List;Data Stream;")</f>
        <v>Array;Linked List;Stack;Design;Doubly-Linked List;Data Stream;</v>
      </c>
      <c r="M1473" s="20" t="b">
        <f>IFERROR(__xludf.DUMMYFUNCTION("""COMPUTED_VALUE"""),FALSE)</f>
        <v>0</v>
      </c>
      <c r="N1473" s="20" t="b">
        <f>IFERROR(__xludf.DUMMYFUNCTION("""COMPUTED_VALUE"""),FALSE)</f>
        <v>0</v>
      </c>
      <c r="O1473" s="20">
        <f>IFERROR(__xludf.DUMMYFUNCTION("""COMPUTED_VALUE"""),76.1711628669165)</f>
        <v>76.17116287</v>
      </c>
      <c r="P1473" s="20">
        <f>IFERROR(__xludf.DUMMYFUNCTION("""COMPUTED_VALUE"""),111557.0)</f>
        <v>111557</v>
      </c>
      <c r="Q1473" s="20">
        <f>IFERROR(__xludf.DUMMYFUNCTION("""COMPUTED_VALUE"""),146455.0)</f>
        <v>146455</v>
      </c>
    </row>
    <row r="1474">
      <c r="A1474" s="20">
        <f>IFERROR(__xludf.DUMMYFUNCTION("""COMPUTED_VALUE"""),1583.0)</f>
        <v>1583</v>
      </c>
      <c r="B1474" s="20" t="str">
        <f>IFERROR(__xludf.DUMMYFUNCTION("""COMPUTED_VALUE"""),"Paint House III")</f>
        <v>Paint House III</v>
      </c>
      <c r="C1474" s="20" t="str">
        <f>IFERROR(__xludf.DUMMYFUNCTION("""COMPUTED_VALUE"""),"paint-house-iii")</f>
        <v>paint-house-iii</v>
      </c>
      <c r="D1474" s="20" t="b">
        <f>IFERROR(__xludf.DUMMYFUNCTION("""COMPUTED_VALUE"""),FALSE)</f>
        <v>0</v>
      </c>
      <c r="E1474" s="20" t="str">
        <f>IFERROR(__xludf.DUMMYFUNCTION("""COMPUTED_VALUE"""),"Hard")</f>
        <v>Hard</v>
      </c>
      <c r="F1474" s="20">
        <f>IFERROR(__xludf.DUMMYFUNCTION("""COMPUTED_VALUE"""),1870.0)</f>
        <v>1870</v>
      </c>
      <c r="G1474" s="20">
        <f>IFERROR(__xludf.DUMMYFUNCTION("""COMPUTED_VALUE"""),136.0)</f>
        <v>136</v>
      </c>
      <c r="H1474" s="20" t="str">
        <f>IFERROR(__xludf.DUMMYFUNCTION("""COMPUTED_VALUE"""),"Algorithms")</f>
        <v>Algorithms</v>
      </c>
      <c r="I1474" s="20">
        <f>IFERROR(__xludf.DUMMYFUNCTION("""COMPUTED_VALUE"""),0.619)</f>
        <v>0.619</v>
      </c>
      <c r="J1474" s="20">
        <f>IFERROR(__xludf.DUMMYFUNCTION("""COMPUTED_VALUE"""),1473.0)</f>
        <v>1473</v>
      </c>
      <c r="K1474" s="20" t="b">
        <f>IFERROR(__xludf.DUMMYFUNCTION("""COMPUTED_VALUE"""),FALSE)</f>
        <v>0</v>
      </c>
      <c r="L1474" s="20" t="str">
        <f>IFERROR(__xludf.DUMMYFUNCTION("""COMPUTED_VALUE"""),"Array;Dynamic Programming;")</f>
        <v>Array;Dynamic Programming;</v>
      </c>
      <c r="M1474" s="20" t="b">
        <f>IFERROR(__xludf.DUMMYFUNCTION("""COMPUTED_VALUE"""),TRUE)</f>
        <v>1</v>
      </c>
      <c r="N1474" s="20" t="b">
        <f>IFERROR(__xludf.DUMMYFUNCTION("""COMPUTED_VALUE"""),FALSE)</f>
        <v>0</v>
      </c>
      <c r="O1474" s="20">
        <f>IFERROR(__xludf.DUMMYFUNCTION("""COMPUTED_VALUE"""),61.859484723861)</f>
        <v>61.85948472</v>
      </c>
      <c r="P1474" s="20">
        <f>IFERROR(__xludf.DUMMYFUNCTION("""COMPUTED_VALUE"""),53999.0)</f>
        <v>53999</v>
      </c>
      <c r="Q1474" s="20">
        <f>IFERROR(__xludf.DUMMYFUNCTION("""COMPUTED_VALUE"""),87293.0)</f>
        <v>87293</v>
      </c>
    </row>
    <row r="1475">
      <c r="A1475" s="20">
        <f>IFERROR(__xludf.DUMMYFUNCTION("""COMPUTED_VALUE"""),1618.0)</f>
        <v>1618</v>
      </c>
      <c r="B1475" s="20" t="str">
        <f>IFERROR(__xludf.DUMMYFUNCTION("""COMPUTED_VALUE"""),"Delete N Nodes After M Nodes of a Linked List")</f>
        <v>Delete N Nodes After M Nodes of a Linked List</v>
      </c>
      <c r="C1475" s="20" t="str">
        <f>IFERROR(__xludf.DUMMYFUNCTION("""COMPUTED_VALUE"""),"delete-n-nodes-after-m-nodes-of-a-linked-list")</f>
        <v>delete-n-nodes-after-m-nodes-of-a-linked-list</v>
      </c>
      <c r="D1475" s="20" t="b">
        <f>IFERROR(__xludf.DUMMYFUNCTION("""COMPUTED_VALUE"""),TRUE)</f>
        <v>1</v>
      </c>
      <c r="E1475" s="20" t="str">
        <f>IFERROR(__xludf.DUMMYFUNCTION("""COMPUTED_VALUE"""),"Easy")</f>
        <v>Easy</v>
      </c>
      <c r="F1475" s="20">
        <f>IFERROR(__xludf.DUMMYFUNCTION("""COMPUTED_VALUE"""),337.0)</f>
        <v>337</v>
      </c>
      <c r="G1475" s="20">
        <f>IFERROR(__xludf.DUMMYFUNCTION("""COMPUTED_VALUE"""),9.0)</f>
        <v>9</v>
      </c>
      <c r="H1475" s="20" t="str">
        <f>IFERROR(__xludf.DUMMYFUNCTION("""COMPUTED_VALUE"""),"Algorithms")</f>
        <v>Algorithms</v>
      </c>
      <c r="I1475" s="20">
        <f>IFERROR(__xludf.DUMMYFUNCTION("""COMPUTED_VALUE"""),0.737)</f>
        <v>0.737</v>
      </c>
      <c r="J1475" s="20">
        <f>IFERROR(__xludf.DUMMYFUNCTION("""COMPUTED_VALUE"""),1474.0)</f>
        <v>1474</v>
      </c>
      <c r="K1475" s="20" t="b">
        <f>IFERROR(__xludf.DUMMYFUNCTION("""COMPUTED_VALUE"""),TRUE)</f>
        <v>1</v>
      </c>
      <c r="L1475" s="20" t="str">
        <f>IFERROR(__xludf.DUMMYFUNCTION("""COMPUTED_VALUE"""),"Linked List;")</f>
        <v>Linked List;</v>
      </c>
      <c r="M1475" s="20" t="b">
        <f>IFERROR(__xludf.DUMMYFUNCTION("""COMPUTED_VALUE"""),TRUE)</f>
        <v>1</v>
      </c>
      <c r="N1475" s="20" t="b">
        <f>IFERROR(__xludf.DUMMYFUNCTION("""COMPUTED_VALUE"""),FALSE)</f>
        <v>0</v>
      </c>
      <c r="O1475" s="20">
        <f>IFERROR(__xludf.DUMMYFUNCTION("""COMPUTED_VALUE"""),73.7299855557945)</f>
        <v>73.72998556</v>
      </c>
      <c r="P1475" s="20">
        <f>IFERROR(__xludf.DUMMYFUNCTION("""COMPUTED_VALUE"""),23991.0)</f>
        <v>23991</v>
      </c>
      <c r="Q1475" s="20">
        <f>IFERROR(__xludf.DUMMYFUNCTION("""COMPUTED_VALUE"""),32539.0)</f>
        <v>32539</v>
      </c>
    </row>
    <row r="1476">
      <c r="A1476" s="20">
        <f>IFERROR(__xludf.DUMMYFUNCTION("""COMPUTED_VALUE"""),1570.0)</f>
        <v>1570</v>
      </c>
      <c r="B1476" s="20" t="str">
        <f>IFERROR(__xludf.DUMMYFUNCTION("""COMPUTED_VALUE"""),"Final Prices With a Special Discount in a Shop")</f>
        <v>Final Prices With a Special Discount in a Shop</v>
      </c>
      <c r="C1476" s="20" t="str">
        <f>IFERROR(__xludf.DUMMYFUNCTION("""COMPUTED_VALUE"""),"final-prices-with-a-special-discount-in-a-shop")</f>
        <v>final-prices-with-a-special-discount-in-a-shop</v>
      </c>
      <c r="D1476" s="20" t="b">
        <f>IFERROR(__xludf.DUMMYFUNCTION("""COMPUTED_VALUE"""),FALSE)</f>
        <v>0</v>
      </c>
      <c r="E1476" s="20" t="str">
        <f>IFERROR(__xludf.DUMMYFUNCTION("""COMPUTED_VALUE"""),"Easy")</f>
        <v>Easy</v>
      </c>
      <c r="F1476" s="20">
        <f>IFERROR(__xludf.DUMMYFUNCTION("""COMPUTED_VALUE"""),1487.0)</f>
        <v>1487</v>
      </c>
      <c r="G1476" s="20">
        <f>IFERROR(__xludf.DUMMYFUNCTION("""COMPUTED_VALUE"""),88.0)</f>
        <v>88</v>
      </c>
      <c r="H1476" s="20" t="str">
        <f>IFERROR(__xludf.DUMMYFUNCTION("""COMPUTED_VALUE"""),"Algorithms")</f>
        <v>Algorithms</v>
      </c>
      <c r="I1476" s="20">
        <f>IFERROR(__xludf.DUMMYFUNCTION("""COMPUTED_VALUE"""),0.757)</f>
        <v>0.757</v>
      </c>
      <c r="J1476" s="20">
        <f>IFERROR(__xludf.DUMMYFUNCTION("""COMPUTED_VALUE"""),1475.0)</f>
        <v>1475</v>
      </c>
      <c r="K1476" s="20" t="b">
        <f>IFERROR(__xludf.DUMMYFUNCTION("""COMPUTED_VALUE"""),FALSE)</f>
        <v>0</v>
      </c>
      <c r="L1476" s="20" t="str">
        <f>IFERROR(__xludf.DUMMYFUNCTION("""COMPUTED_VALUE"""),"Array;Stack;Monotonic Stack;")</f>
        <v>Array;Stack;Monotonic Stack;</v>
      </c>
      <c r="M1476" s="20" t="b">
        <f>IFERROR(__xludf.DUMMYFUNCTION("""COMPUTED_VALUE"""),FALSE)</f>
        <v>0</v>
      </c>
      <c r="N1476" s="20" t="b">
        <f>IFERROR(__xludf.DUMMYFUNCTION("""COMPUTED_VALUE"""),FALSE)</f>
        <v>0</v>
      </c>
      <c r="O1476" s="20">
        <f>IFERROR(__xludf.DUMMYFUNCTION("""COMPUTED_VALUE"""),75.6506637851188)</f>
        <v>75.65066379</v>
      </c>
      <c r="P1476" s="20">
        <f>IFERROR(__xludf.DUMMYFUNCTION("""COMPUTED_VALUE"""),98013.0)</f>
        <v>98013</v>
      </c>
      <c r="Q1476" s="20">
        <f>IFERROR(__xludf.DUMMYFUNCTION("""COMPUTED_VALUE"""),129560.0)</f>
        <v>129560</v>
      </c>
    </row>
    <row r="1477">
      <c r="A1477" s="20">
        <f>IFERROR(__xludf.DUMMYFUNCTION("""COMPUTED_VALUE"""),1572.0)</f>
        <v>1572</v>
      </c>
      <c r="B1477" s="20" t="str">
        <f>IFERROR(__xludf.DUMMYFUNCTION("""COMPUTED_VALUE"""),"Subrectangle Queries")</f>
        <v>Subrectangle Queries</v>
      </c>
      <c r="C1477" s="20" t="str">
        <f>IFERROR(__xludf.DUMMYFUNCTION("""COMPUTED_VALUE"""),"subrectangle-queries")</f>
        <v>subrectangle-queries</v>
      </c>
      <c r="D1477" s="20" t="b">
        <f>IFERROR(__xludf.DUMMYFUNCTION("""COMPUTED_VALUE"""),FALSE)</f>
        <v>0</v>
      </c>
      <c r="E1477" s="20" t="str">
        <f>IFERROR(__xludf.DUMMYFUNCTION("""COMPUTED_VALUE"""),"Medium")</f>
        <v>Medium</v>
      </c>
      <c r="F1477" s="20">
        <f>IFERROR(__xludf.DUMMYFUNCTION("""COMPUTED_VALUE"""),484.0)</f>
        <v>484</v>
      </c>
      <c r="G1477" s="20">
        <f>IFERROR(__xludf.DUMMYFUNCTION("""COMPUTED_VALUE"""),1222.0)</f>
        <v>1222</v>
      </c>
      <c r="H1477" s="20" t="str">
        <f>IFERROR(__xludf.DUMMYFUNCTION("""COMPUTED_VALUE"""),"Algorithms")</f>
        <v>Algorithms</v>
      </c>
      <c r="I1477" s="20">
        <f>IFERROR(__xludf.DUMMYFUNCTION("""COMPUTED_VALUE"""),0.883)</f>
        <v>0.883</v>
      </c>
      <c r="J1477" s="20">
        <f>IFERROR(__xludf.DUMMYFUNCTION("""COMPUTED_VALUE"""),1476.0)</f>
        <v>1476</v>
      </c>
      <c r="K1477" s="20" t="b">
        <f>IFERROR(__xludf.DUMMYFUNCTION("""COMPUTED_VALUE"""),FALSE)</f>
        <v>0</v>
      </c>
      <c r="L1477" s="20" t="str">
        <f>IFERROR(__xludf.DUMMYFUNCTION("""COMPUTED_VALUE"""),"Array;Design;Matrix;")</f>
        <v>Array;Design;Matrix;</v>
      </c>
      <c r="M1477" s="20" t="b">
        <f>IFERROR(__xludf.DUMMYFUNCTION("""COMPUTED_VALUE"""),FALSE)</f>
        <v>0</v>
      </c>
      <c r="N1477" s="20" t="b">
        <f>IFERROR(__xludf.DUMMYFUNCTION("""COMPUTED_VALUE"""),FALSE)</f>
        <v>0</v>
      </c>
      <c r="O1477" s="20">
        <f>IFERROR(__xludf.DUMMYFUNCTION("""COMPUTED_VALUE"""),88.3405892049537)</f>
        <v>88.3405892</v>
      </c>
      <c r="P1477" s="20">
        <f>IFERROR(__xludf.DUMMYFUNCTION("""COMPUTED_VALUE"""),83602.0)</f>
        <v>83602</v>
      </c>
      <c r="Q1477" s="20">
        <f>IFERROR(__xludf.DUMMYFUNCTION("""COMPUTED_VALUE"""),94636.0)</f>
        <v>94636</v>
      </c>
    </row>
    <row r="1478">
      <c r="A1478" s="20">
        <f>IFERROR(__xludf.DUMMYFUNCTION("""COMPUTED_VALUE"""),1573.0)</f>
        <v>1573</v>
      </c>
      <c r="B1478" s="20" t="str">
        <f>IFERROR(__xludf.DUMMYFUNCTION("""COMPUTED_VALUE"""),"Find Two Non-overlapping Sub-arrays Each With Target Sum")</f>
        <v>Find Two Non-overlapping Sub-arrays Each With Target Sum</v>
      </c>
      <c r="C1478" s="20" t="str">
        <f>IFERROR(__xludf.DUMMYFUNCTION("""COMPUTED_VALUE"""),"find-two-non-overlapping-sub-arrays-each-with-target-sum")</f>
        <v>find-two-non-overlapping-sub-arrays-each-with-target-sum</v>
      </c>
      <c r="D1478" s="20" t="b">
        <f>IFERROR(__xludf.DUMMYFUNCTION("""COMPUTED_VALUE"""),FALSE)</f>
        <v>0</v>
      </c>
      <c r="E1478" s="20" t="str">
        <f>IFERROR(__xludf.DUMMYFUNCTION("""COMPUTED_VALUE"""),"Medium")</f>
        <v>Medium</v>
      </c>
      <c r="F1478" s="20">
        <f>IFERROR(__xludf.DUMMYFUNCTION("""COMPUTED_VALUE"""),1453.0)</f>
        <v>1453</v>
      </c>
      <c r="G1478" s="20">
        <f>IFERROR(__xludf.DUMMYFUNCTION("""COMPUTED_VALUE"""),73.0)</f>
        <v>73</v>
      </c>
      <c r="H1478" s="20" t="str">
        <f>IFERROR(__xludf.DUMMYFUNCTION("""COMPUTED_VALUE"""),"Algorithms")</f>
        <v>Algorithms</v>
      </c>
      <c r="I1478" s="20">
        <f>IFERROR(__xludf.DUMMYFUNCTION("""COMPUTED_VALUE"""),0.369)</f>
        <v>0.369</v>
      </c>
      <c r="J1478" s="20">
        <f>IFERROR(__xludf.DUMMYFUNCTION("""COMPUTED_VALUE"""),1477.0)</f>
        <v>1477</v>
      </c>
      <c r="K1478" s="20" t="b">
        <f>IFERROR(__xludf.DUMMYFUNCTION("""COMPUTED_VALUE"""),FALSE)</f>
        <v>0</v>
      </c>
      <c r="L1478" s="20" t="str">
        <f>IFERROR(__xludf.DUMMYFUNCTION("""COMPUTED_VALUE"""),"Array;Hash Table;Binary Search;Dynamic Programming;Sliding Window;")</f>
        <v>Array;Hash Table;Binary Search;Dynamic Programming;Sliding Window;</v>
      </c>
      <c r="M1478" s="20" t="b">
        <f>IFERROR(__xludf.DUMMYFUNCTION("""COMPUTED_VALUE"""),FALSE)</f>
        <v>0</v>
      </c>
      <c r="N1478" s="20" t="b">
        <f>IFERROR(__xludf.DUMMYFUNCTION("""COMPUTED_VALUE"""),FALSE)</f>
        <v>0</v>
      </c>
      <c r="O1478" s="20">
        <f>IFERROR(__xludf.DUMMYFUNCTION("""COMPUTED_VALUE"""),36.8985585413168)</f>
        <v>36.89855854</v>
      </c>
      <c r="P1478" s="20">
        <f>IFERROR(__xludf.DUMMYFUNCTION("""COMPUTED_VALUE"""),42416.0)</f>
        <v>42416</v>
      </c>
      <c r="Q1478" s="20">
        <f>IFERROR(__xludf.DUMMYFUNCTION("""COMPUTED_VALUE"""),114953.0)</f>
        <v>114953</v>
      </c>
    </row>
    <row r="1479">
      <c r="A1479" s="20">
        <f>IFERROR(__xludf.DUMMYFUNCTION("""COMPUTED_VALUE"""),1571.0)</f>
        <v>1571</v>
      </c>
      <c r="B1479" s="20" t="str">
        <f>IFERROR(__xludf.DUMMYFUNCTION("""COMPUTED_VALUE"""),"Allocate Mailboxes")</f>
        <v>Allocate Mailboxes</v>
      </c>
      <c r="C1479" s="20" t="str">
        <f>IFERROR(__xludf.DUMMYFUNCTION("""COMPUTED_VALUE"""),"allocate-mailboxes")</f>
        <v>allocate-mailboxes</v>
      </c>
      <c r="D1479" s="20" t="b">
        <f>IFERROR(__xludf.DUMMYFUNCTION("""COMPUTED_VALUE"""),FALSE)</f>
        <v>0</v>
      </c>
      <c r="E1479" s="20" t="str">
        <f>IFERROR(__xludf.DUMMYFUNCTION("""COMPUTED_VALUE"""),"Hard")</f>
        <v>Hard</v>
      </c>
      <c r="F1479" s="20">
        <f>IFERROR(__xludf.DUMMYFUNCTION("""COMPUTED_VALUE"""),913.0)</f>
        <v>913</v>
      </c>
      <c r="G1479" s="20">
        <f>IFERROR(__xludf.DUMMYFUNCTION("""COMPUTED_VALUE"""),15.0)</f>
        <v>15</v>
      </c>
      <c r="H1479" s="20" t="str">
        <f>IFERROR(__xludf.DUMMYFUNCTION("""COMPUTED_VALUE"""),"Algorithms")</f>
        <v>Algorithms</v>
      </c>
      <c r="I1479" s="20">
        <f>IFERROR(__xludf.DUMMYFUNCTION("""COMPUTED_VALUE"""),0.556)</f>
        <v>0.556</v>
      </c>
      <c r="J1479" s="20">
        <f>IFERROR(__xludf.DUMMYFUNCTION("""COMPUTED_VALUE"""),1478.0)</f>
        <v>1478</v>
      </c>
      <c r="K1479" s="20" t="b">
        <f>IFERROR(__xludf.DUMMYFUNCTION("""COMPUTED_VALUE"""),FALSE)</f>
        <v>0</v>
      </c>
      <c r="L1479" s="20" t="str">
        <f>IFERROR(__xludf.DUMMYFUNCTION("""COMPUTED_VALUE"""),"Array;Math;Dynamic Programming;Sorting;")</f>
        <v>Array;Math;Dynamic Programming;Sorting;</v>
      </c>
      <c r="M1479" s="20" t="b">
        <f>IFERROR(__xludf.DUMMYFUNCTION("""COMPUTED_VALUE"""),FALSE)</f>
        <v>0</v>
      </c>
      <c r="N1479" s="20" t="b">
        <f>IFERROR(__xludf.DUMMYFUNCTION("""COMPUTED_VALUE"""),FALSE)</f>
        <v>0</v>
      </c>
      <c r="O1479" s="20">
        <f>IFERROR(__xludf.DUMMYFUNCTION("""COMPUTED_VALUE"""),55.6196215918639)</f>
        <v>55.61962159</v>
      </c>
      <c r="P1479" s="20">
        <f>IFERROR(__xludf.DUMMYFUNCTION("""COMPUTED_VALUE"""),19195.0)</f>
        <v>19195</v>
      </c>
      <c r="Q1479" s="20">
        <f>IFERROR(__xludf.DUMMYFUNCTION("""COMPUTED_VALUE"""),34512.0)</f>
        <v>34512</v>
      </c>
    </row>
    <row r="1480">
      <c r="A1480" s="20">
        <f>IFERROR(__xludf.DUMMYFUNCTION("""COMPUTED_VALUE"""),1623.0)</f>
        <v>1623</v>
      </c>
      <c r="B1480" s="20" t="str">
        <f>IFERROR(__xludf.DUMMYFUNCTION("""COMPUTED_VALUE"""),"Sales by Day of the Week")</f>
        <v>Sales by Day of the Week</v>
      </c>
      <c r="C1480" s="20" t="str">
        <f>IFERROR(__xludf.DUMMYFUNCTION("""COMPUTED_VALUE"""),"sales-by-day-of-the-week")</f>
        <v>sales-by-day-of-the-week</v>
      </c>
      <c r="D1480" s="20" t="b">
        <f>IFERROR(__xludf.DUMMYFUNCTION("""COMPUTED_VALUE"""),TRUE)</f>
        <v>1</v>
      </c>
      <c r="E1480" s="20" t="str">
        <f>IFERROR(__xludf.DUMMYFUNCTION("""COMPUTED_VALUE"""),"Hard")</f>
        <v>Hard</v>
      </c>
      <c r="F1480" s="20">
        <f>IFERROR(__xludf.DUMMYFUNCTION("""COMPUTED_VALUE"""),126.0)</f>
        <v>126</v>
      </c>
      <c r="G1480" s="20">
        <f>IFERROR(__xludf.DUMMYFUNCTION("""COMPUTED_VALUE"""),37.0)</f>
        <v>37</v>
      </c>
      <c r="H1480" s="20" t="str">
        <f>IFERROR(__xludf.DUMMYFUNCTION("""COMPUTED_VALUE"""),"Database")</f>
        <v>Database</v>
      </c>
      <c r="I1480" s="20">
        <f>IFERROR(__xludf.DUMMYFUNCTION("""COMPUTED_VALUE"""),0.819)</f>
        <v>0.819</v>
      </c>
      <c r="J1480" s="20">
        <f>IFERROR(__xludf.DUMMYFUNCTION("""COMPUTED_VALUE"""),1479.0)</f>
        <v>1479</v>
      </c>
      <c r="K1480" s="20" t="b">
        <f>IFERROR(__xludf.DUMMYFUNCTION("""COMPUTED_VALUE"""),TRUE)</f>
        <v>1</v>
      </c>
      <c r="L1480" s="20" t="str">
        <f>IFERROR(__xludf.DUMMYFUNCTION("""COMPUTED_VALUE"""),"Database;")</f>
        <v>Database;</v>
      </c>
      <c r="M1480" s="20" t="b">
        <f>IFERROR(__xludf.DUMMYFUNCTION("""COMPUTED_VALUE"""),FALSE)</f>
        <v>0</v>
      </c>
      <c r="N1480" s="20" t="b">
        <f>IFERROR(__xludf.DUMMYFUNCTION("""COMPUTED_VALUE"""),FALSE)</f>
        <v>0</v>
      </c>
      <c r="O1480" s="20">
        <f>IFERROR(__xludf.DUMMYFUNCTION("""COMPUTED_VALUE"""),81.9469223907225)</f>
        <v>81.94692239</v>
      </c>
      <c r="P1480" s="20">
        <f>IFERROR(__xludf.DUMMYFUNCTION("""COMPUTED_VALUE"""),14698.0)</f>
        <v>14698</v>
      </c>
      <c r="Q1480" s="20">
        <f>IFERROR(__xludf.DUMMYFUNCTION("""COMPUTED_VALUE"""),17936.0)</f>
        <v>17936</v>
      </c>
    </row>
    <row r="1481">
      <c r="A1481" s="20">
        <f>IFERROR(__xludf.DUMMYFUNCTION("""COMPUTED_VALUE"""),1603.0)</f>
        <v>1603</v>
      </c>
      <c r="B1481" s="20" t="str">
        <f>IFERROR(__xludf.DUMMYFUNCTION("""COMPUTED_VALUE"""),"Running Sum of 1d Array")</f>
        <v>Running Sum of 1d Array</v>
      </c>
      <c r="C1481" s="20" t="str">
        <f>IFERROR(__xludf.DUMMYFUNCTION("""COMPUTED_VALUE"""),"running-sum-of-1d-array")</f>
        <v>running-sum-of-1d-array</v>
      </c>
      <c r="D1481" s="20" t="b">
        <f>IFERROR(__xludf.DUMMYFUNCTION("""COMPUTED_VALUE"""),FALSE)</f>
        <v>0</v>
      </c>
      <c r="E1481" s="20" t="str">
        <f>IFERROR(__xludf.DUMMYFUNCTION("""COMPUTED_VALUE"""),"Easy")</f>
        <v>Easy</v>
      </c>
      <c r="F1481" s="20">
        <f>IFERROR(__xludf.DUMMYFUNCTION("""COMPUTED_VALUE"""),5642.0)</f>
        <v>5642</v>
      </c>
      <c r="G1481" s="20">
        <f>IFERROR(__xludf.DUMMYFUNCTION("""COMPUTED_VALUE"""),281.0)</f>
        <v>281</v>
      </c>
      <c r="H1481" s="20" t="str">
        <f>IFERROR(__xludf.DUMMYFUNCTION("""COMPUTED_VALUE"""),"Algorithms")</f>
        <v>Algorithms</v>
      </c>
      <c r="I1481" s="20">
        <f>IFERROR(__xludf.DUMMYFUNCTION("""COMPUTED_VALUE"""),0.887)</f>
        <v>0.887</v>
      </c>
      <c r="J1481" s="20">
        <f>IFERROR(__xludf.DUMMYFUNCTION("""COMPUTED_VALUE"""),1480.0)</f>
        <v>1480</v>
      </c>
      <c r="K1481" s="20" t="b">
        <f>IFERROR(__xludf.DUMMYFUNCTION("""COMPUTED_VALUE"""),FALSE)</f>
        <v>0</v>
      </c>
      <c r="L1481" s="20" t="str">
        <f>IFERROR(__xludf.DUMMYFUNCTION("""COMPUTED_VALUE"""),"Array;Prefix Sum;")</f>
        <v>Array;Prefix Sum;</v>
      </c>
      <c r="M1481" s="20" t="b">
        <f>IFERROR(__xludf.DUMMYFUNCTION("""COMPUTED_VALUE"""),TRUE)</f>
        <v>1</v>
      </c>
      <c r="N1481" s="20" t="b">
        <f>IFERROR(__xludf.DUMMYFUNCTION("""COMPUTED_VALUE"""),TRUE)</f>
        <v>1</v>
      </c>
      <c r="O1481" s="20">
        <f>IFERROR(__xludf.DUMMYFUNCTION("""COMPUTED_VALUE"""),88.7398854921513)</f>
        <v>88.73988549</v>
      </c>
      <c r="P1481" s="20">
        <f>IFERROR(__xludf.DUMMYFUNCTION("""COMPUTED_VALUE"""),1176030.0)</f>
        <v>1176030</v>
      </c>
      <c r="Q1481" s="20">
        <f>IFERROR(__xludf.DUMMYFUNCTION("""COMPUTED_VALUE"""),1325256.0)</f>
        <v>1325256</v>
      </c>
    </row>
    <row r="1482">
      <c r="A1482" s="20">
        <f>IFERROR(__xludf.DUMMYFUNCTION("""COMPUTED_VALUE"""),1604.0)</f>
        <v>1604</v>
      </c>
      <c r="B1482" s="20" t="str">
        <f>IFERROR(__xludf.DUMMYFUNCTION("""COMPUTED_VALUE"""),"Least Number of Unique Integers after K Removals")</f>
        <v>Least Number of Unique Integers after K Removals</v>
      </c>
      <c r="C1482" s="20" t="str">
        <f>IFERROR(__xludf.DUMMYFUNCTION("""COMPUTED_VALUE"""),"least-number-of-unique-integers-after-k-removals")</f>
        <v>least-number-of-unique-integers-after-k-removals</v>
      </c>
      <c r="D1482" s="20" t="b">
        <f>IFERROR(__xludf.DUMMYFUNCTION("""COMPUTED_VALUE"""),FALSE)</f>
        <v>0</v>
      </c>
      <c r="E1482" s="20" t="str">
        <f>IFERROR(__xludf.DUMMYFUNCTION("""COMPUTED_VALUE"""),"Medium")</f>
        <v>Medium</v>
      </c>
      <c r="F1482" s="20">
        <f>IFERROR(__xludf.DUMMYFUNCTION("""COMPUTED_VALUE"""),1170.0)</f>
        <v>1170</v>
      </c>
      <c r="G1482" s="20">
        <f>IFERROR(__xludf.DUMMYFUNCTION("""COMPUTED_VALUE"""),108.0)</f>
        <v>108</v>
      </c>
      <c r="H1482" s="20" t="str">
        <f>IFERROR(__xludf.DUMMYFUNCTION("""COMPUTED_VALUE"""),"Algorithms")</f>
        <v>Algorithms</v>
      </c>
      <c r="I1482" s="20">
        <f>IFERROR(__xludf.DUMMYFUNCTION("""COMPUTED_VALUE"""),0.566)</f>
        <v>0.566</v>
      </c>
      <c r="J1482" s="20">
        <f>IFERROR(__xludf.DUMMYFUNCTION("""COMPUTED_VALUE"""),1481.0)</f>
        <v>1481</v>
      </c>
      <c r="K1482" s="20" t="b">
        <f>IFERROR(__xludf.DUMMYFUNCTION("""COMPUTED_VALUE"""),FALSE)</f>
        <v>0</v>
      </c>
      <c r="L1482" s="20" t="str">
        <f>IFERROR(__xludf.DUMMYFUNCTION("""COMPUTED_VALUE"""),"Array;Hash Table;Greedy;Sorting;Counting;")</f>
        <v>Array;Hash Table;Greedy;Sorting;Counting;</v>
      </c>
      <c r="M1482" s="20" t="b">
        <f>IFERROR(__xludf.DUMMYFUNCTION("""COMPUTED_VALUE"""),FALSE)</f>
        <v>0</v>
      </c>
      <c r="N1482" s="20" t="b">
        <f>IFERROR(__xludf.DUMMYFUNCTION("""COMPUTED_VALUE"""),FALSE)</f>
        <v>0</v>
      </c>
      <c r="O1482" s="20">
        <f>IFERROR(__xludf.DUMMYFUNCTION("""COMPUTED_VALUE"""),56.5671888090583)</f>
        <v>56.56718881</v>
      </c>
      <c r="P1482" s="20">
        <f>IFERROR(__xludf.DUMMYFUNCTION("""COMPUTED_VALUE"""),89125.0)</f>
        <v>89125</v>
      </c>
      <c r="Q1482" s="20">
        <f>IFERROR(__xludf.DUMMYFUNCTION("""COMPUTED_VALUE"""),157556.0)</f>
        <v>157556</v>
      </c>
    </row>
    <row r="1483">
      <c r="A1483" s="20">
        <f>IFERROR(__xludf.DUMMYFUNCTION("""COMPUTED_VALUE"""),1605.0)</f>
        <v>1605</v>
      </c>
      <c r="B1483" s="20" t="str">
        <f>IFERROR(__xludf.DUMMYFUNCTION("""COMPUTED_VALUE"""),"Minimum Number of Days to Make m Bouquets")</f>
        <v>Minimum Number of Days to Make m Bouquets</v>
      </c>
      <c r="C1483" s="20" t="str">
        <f>IFERROR(__xludf.DUMMYFUNCTION("""COMPUTED_VALUE"""),"minimum-number-of-days-to-make-m-bouquets")</f>
        <v>minimum-number-of-days-to-make-m-bouquets</v>
      </c>
      <c r="D1483" s="20" t="b">
        <f>IFERROR(__xludf.DUMMYFUNCTION("""COMPUTED_VALUE"""),FALSE)</f>
        <v>0</v>
      </c>
      <c r="E1483" s="20" t="str">
        <f>IFERROR(__xludf.DUMMYFUNCTION("""COMPUTED_VALUE"""),"Medium")</f>
        <v>Medium</v>
      </c>
      <c r="F1483" s="20">
        <f>IFERROR(__xludf.DUMMYFUNCTION("""COMPUTED_VALUE"""),2260.0)</f>
        <v>2260</v>
      </c>
      <c r="G1483" s="20">
        <f>IFERROR(__xludf.DUMMYFUNCTION("""COMPUTED_VALUE"""),63.0)</f>
        <v>63</v>
      </c>
      <c r="H1483" s="20" t="str">
        <f>IFERROR(__xludf.DUMMYFUNCTION("""COMPUTED_VALUE"""),"Algorithms")</f>
        <v>Algorithms</v>
      </c>
      <c r="I1483" s="20">
        <f>IFERROR(__xludf.DUMMYFUNCTION("""COMPUTED_VALUE"""),0.552)</f>
        <v>0.552</v>
      </c>
      <c r="J1483" s="20">
        <f>IFERROR(__xludf.DUMMYFUNCTION("""COMPUTED_VALUE"""),1482.0)</f>
        <v>1482</v>
      </c>
      <c r="K1483" s="20" t="b">
        <f>IFERROR(__xludf.DUMMYFUNCTION("""COMPUTED_VALUE"""),FALSE)</f>
        <v>0</v>
      </c>
      <c r="L1483" s="20" t="str">
        <f>IFERROR(__xludf.DUMMYFUNCTION("""COMPUTED_VALUE"""),"Array;Binary Search;")</f>
        <v>Array;Binary Search;</v>
      </c>
      <c r="M1483" s="20" t="b">
        <f>IFERROR(__xludf.DUMMYFUNCTION("""COMPUTED_VALUE"""),FALSE)</f>
        <v>0</v>
      </c>
      <c r="N1483" s="20" t="b">
        <f>IFERROR(__xludf.DUMMYFUNCTION("""COMPUTED_VALUE"""),FALSE)</f>
        <v>0</v>
      </c>
      <c r="O1483" s="20">
        <f>IFERROR(__xludf.DUMMYFUNCTION("""COMPUTED_VALUE"""),55.1496881496881)</f>
        <v>55.14968815</v>
      </c>
      <c r="P1483" s="20">
        <f>IFERROR(__xludf.DUMMYFUNCTION("""COMPUTED_VALUE"""),53054.0)</f>
        <v>53054</v>
      </c>
      <c r="Q1483" s="20">
        <f>IFERROR(__xludf.DUMMYFUNCTION("""COMPUTED_VALUE"""),96198.0)</f>
        <v>96198</v>
      </c>
    </row>
    <row r="1484">
      <c r="A1484" s="20">
        <f>IFERROR(__xludf.DUMMYFUNCTION("""COMPUTED_VALUE"""),1296.0)</f>
        <v>1296</v>
      </c>
      <c r="B1484" s="20" t="str">
        <f>IFERROR(__xludf.DUMMYFUNCTION("""COMPUTED_VALUE"""),"Kth Ancestor of a Tree Node")</f>
        <v>Kth Ancestor of a Tree Node</v>
      </c>
      <c r="C1484" s="20" t="str">
        <f>IFERROR(__xludf.DUMMYFUNCTION("""COMPUTED_VALUE"""),"kth-ancestor-of-a-tree-node")</f>
        <v>kth-ancestor-of-a-tree-node</v>
      </c>
      <c r="D1484" s="20" t="b">
        <f>IFERROR(__xludf.DUMMYFUNCTION("""COMPUTED_VALUE"""),FALSE)</f>
        <v>0</v>
      </c>
      <c r="E1484" s="20" t="str">
        <f>IFERROR(__xludf.DUMMYFUNCTION("""COMPUTED_VALUE"""),"Hard")</f>
        <v>Hard</v>
      </c>
      <c r="F1484" s="20">
        <f>IFERROR(__xludf.DUMMYFUNCTION("""COMPUTED_VALUE"""),1407.0)</f>
        <v>1407</v>
      </c>
      <c r="G1484" s="20">
        <f>IFERROR(__xludf.DUMMYFUNCTION("""COMPUTED_VALUE"""),94.0)</f>
        <v>94</v>
      </c>
      <c r="H1484" s="20" t="str">
        <f>IFERROR(__xludf.DUMMYFUNCTION("""COMPUTED_VALUE"""),"Algorithms")</f>
        <v>Algorithms</v>
      </c>
      <c r="I1484" s="20">
        <f>IFERROR(__xludf.DUMMYFUNCTION("""COMPUTED_VALUE"""),0.337)</f>
        <v>0.337</v>
      </c>
      <c r="J1484" s="20">
        <f>IFERROR(__xludf.DUMMYFUNCTION("""COMPUTED_VALUE"""),1483.0)</f>
        <v>1483</v>
      </c>
      <c r="K1484" s="20" t="b">
        <f>IFERROR(__xludf.DUMMYFUNCTION("""COMPUTED_VALUE"""),FALSE)</f>
        <v>0</v>
      </c>
      <c r="L1484" s="20" t="str">
        <f>IFERROR(__xludf.DUMMYFUNCTION("""COMPUTED_VALUE"""),"Binary Search;Dynamic Programming;Tree;Depth-First Search;Breadth-First Search;Design;")</f>
        <v>Binary Search;Dynamic Programming;Tree;Depth-First Search;Breadth-First Search;Design;</v>
      </c>
      <c r="M1484" s="20" t="b">
        <f>IFERROR(__xludf.DUMMYFUNCTION("""COMPUTED_VALUE"""),FALSE)</f>
        <v>0</v>
      </c>
      <c r="N1484" s="20" t="b">
        <f>IFERROR(__xludf.DUMMYFUNCTION("""COMPUTED_VALUE"""),FALSE)</f>
        <v>0</v>
      </c>
      <c r="O1484" s="20">
        <f>IFERROR(__xludf.DUMMYFUNCTION("""COMPUTED_VALUE"""),33.7326223071208)</f>
        <v>33.73262231</v>
      </c>
      <c r="P1484" s="20">
        <f>IFERROR(__xludf.DUMMYFUNCTION("""COMPUTED_VALUE"""),25429.0)</f>
        <v>25429</v>
      </c>
      <c r="Q1484" s="20">
        <f>IFERROR(__xludf.DUMMYFUNCTION("""COMPUTED_VALUE"""),75382.0)</f>
        <v>75382</v>
      </c>
    </row>
    <row r="1485">
      <c r="A1485" s="20">
        <f>IFERROR(__xludf.DUMMYFUNCTION("""COMPUTED_VALUE"""),1625.0)</f>
        <v>1625</v>
      </c>
      <c r="B1485" s="20" t="str">
        <f>IFERROR(__xludf.DUMMYFUNCTION("""COMPUTED_VALUE"""),"Group Sold Products By The Date")</f>
        <v>Group Sold Products By The Date</v>
      </c>
      <c r="C1485" s="20" t="str">
        <f>IFERROR(__xludf.DUMMYFUNCTION("""COMPUTED_VALUE"""),"group-sold-products-by-the-date")</f>
        <v>group-sold-products-by-the-date</v>
      </c>
      <c r="D1485" s="20" t="b">
        <f>IFERROR(__xludf.DUMMYFUNCTION("""COMPUTED_VALUE"""),FALSE)</f>
        <v>0</v>
      </c>
      <c r="E1485" s="20" t="str">
        <f>IFERROR(__xludf.DUMMYFUNCTION("""COMPUTED_VALUE"""),"Easy")</f>
        <v>Easy</v>
      </c>
      <c r="F1485" s="20">
        <f>IFERROR(__xludf.DUMMYFUNCTION("""COMPUTED_VALUE"""),807.0)</f>
        <v>807</v>
      </c>
      <c r="G1485" s="20">
        <f>IFERROR(__xludf.DUMMYFUNCTION("""COMPUTED_VALUE"""),63.0)</f>
        <v>63</v>
      </c>
      <c r="H1485" s="20" t="str">
        <f>IFERROR(__xludf.DUMMYFUNCTION("""COMPUTED_VALUE"""),"Database")</f>
        <v>Database</v>
      </c>
      <c r="I1485" s="20">
        <f>IFERROR(__xludf.DUMMYFUNCTION("""COMPUTED_VALUE"""),0.824)</f>
        <v>0.824</v>
      </c>
      <c r="J1485" s="20">
        <f>IFERROR(__xludf.DUMMYFUNCTION("""COMPUTED_VALUE"""),1484.0)</f>
        <v>1484</v>
      </c>
      <c r="K1485" s="20" t="b">
        <f>IFERROR(__xludf.DUMMYFUNCTION("""COMPUTED_VALUE"""),FALSE)</f>
        <v>0</v>
      </c>
      <c r="L1485" s="20" t="str">
        <f>IFERROR(__xludf.DUMMYFUNCTION("""COMPUTED_VALUE"""),"Database;")</f>
        <v>Database;</v>
      </c>
      <c r="M1485" s="20" t="b">
        <f>IFERROR(__xludf.DUMMYFUNCTION("""COMPUTED_VALUE"""),FALSE)</f>
        <v>0</v>
      </c>
      <c r="N1485" s="20" t="b">
        <f>IFERROR(__xludf.DUMMYFUNCTION("""COMPUTED_VALUE"""),FALSE)</f>
        <v>0</v>
      </c>
      <c r="O1485" s="20">
        <f>IFERROR(__xludf.DUMMYFUNCTION("""COMPUTED_VALUE"""),82.3684400490868)</f>
        <v>82.36844005</v>
      </c>
      <c r="P1485" s="20">
        <f>IFERROR(__xludf.DUMMYFUNCTION("""COMPUTED_VALUE"""),91278.0)</f>
        <v>91278</v>
      </c>
      <c r="Q1485" s="20">
        <f>IFERROR(__xludf.DUMMYFUNCTION("""COMPUTED_VALUE"""),110818.0)</f>
        <v>110818</v>
      </c>
    </row>
    <row r="1486">
      <c r="A1486" s="20">
        <f>IFERROR(__xludf.DUMMYFUNCTION("""COMPUTED_VALUE"""),1624.0)</f>
        <v>1624</v>
      </c>
      <c r="B1486" s="20" t="str">
        <f>IFERROR(__xludf.DUMMYFUNCTION("""COMPUTED_VALUE"""),"Clone Binary Tree With Random Pointer")</f>
        <v>Clone Binary Tree With Random Pointer</v>
      </c>
      <c r="C1486" s="20" t="str">
        <f>IFERROR(__xludf.DUMMYFUNCTION("""COMPUTED_VALUE"""),"clone-binary-tree-with-random-pointer")</f>
        <v>clone-binary-tree-with-random-pointer</v>
      </c>
      <c r="D1486" s="20" t="b">
        <f>IFERROR(__xludf.DUMMYFUNCTION("""COMPUTED_VALUE"""),TRUE)</f>
        <v>1</v>
      </c>
      <c r="E1486" s="20" t="str">
        <f>IFERROR(__xludf.DUMMYFUNCTION("""COMPUTED_VALUE"""),"Medium")</f>
        <v>Medium</v>
      </c>
      <c r="F1486" s="20">
        <f>IFERROR(__xludf.DUMMYFUNCTION("""COMPUTED_VALUE"""),319.0)</f>
        <v>319</v>
      </c>
      <c r="G1486" s="20">
        <f>IFERROR(__xludf.DUMMYFUNCTION("""COMPUTED_VALUE"""),58.0)</f>
        <v>58</v>
      </c>
      <c r="H1486" s="20" t="str">
        <f>IFERROR(__xludf.DUMMYFUNCTION("""COMPUTED_VALUE"""),"Algorithms")</f>
        <v>Algorithms</v>
      </c>
      <c r="I1486" s="20">
        <f>IFERROR(__xludf.DUMMYFUNCTION("""COMPUTED_VALUE"""),0.793)</f>
        <v>0.793</v>
      </c>
      <c r="J1486" s="20">
        <f>IFERROR(__xludf.DUMMYFUNCTION("""COMPUTED_VALUE"""),1485.0)</f>
        <v>1485</v>
      </c>
      <c r="K1486" s="20" t="b">
        <f>IFERROR(__xludf.DUMMYFUNCTION("""COMPUTED_VALUE"""),TRUE)</f>
        <v>1</v>
      </c>
      <c r="L1486" s="20" t="str">
        <f>IFERROR(__xludf.DUMMYFUNCTION("""COMPUTED_VALUE"""),"Hash Table;Tree;Depth-First Search;Breadth-First Search;Binary Tree;")</f>
        <v>Hash Table;Tree;Depth-First Search;Breadth-First Search;Binary Tree;</v>
      </c>
      <c r="M1486" s="20" t="b">
        <f>IFERROR(__xludf.DUMMYFUNCTION("""COMPUTED_VALUE"""),TRUE)</f>
        <v>1</v>
      </c>
      <c r="N1486" s="20" t="b">
        <f>IFERROR(__xludf.DUMMYFUNCTION("""COMPUTED_VALUE"""),FALSE)</f>
        <v>0</v>
      </c>
      <c r="O1486" s="20">
        <f>IFERROR(__xludf.DUMMYFUNCTION("""COMPUTED_VALUE"""),79.3147208121827)</f>
        <v>79.31472081</v>
      </c>
      <c r="P1486" s="20">
        <f>IFERROR(__xludf.DUMMYFUNCTION("""COMPUTED_VALUE"""),19375.0)</f>
        <v>19375</v>
      </c>
      <c r="Q1486" s="20">
        <f>IFERROR(__xludf.DUMMYFUNCTION("""COMPUTED_VALUE"""),24428.0)</f>
        <v>24428</v>
      </c>
    </row>
    <row r="1487">
      <c r="A1487" s="20">
        <f>IFERROR(__xludf.DUMMYFUNCTION("""COMPUTED_VALUE"""),1610.0)</f>
        <v>1610</v>
      </c>
      <c r="B1487" s="20" t="str">
        <f>IFERROR(__xludf.DUMMYFUNCTION("""COMPUTED_VALUE"""),"XOR Operation in an Array")</f>
        <v>XOR Operation in an Array</v>
      </c>
      <c r="C1487" s="20" t="str">
        <f>IFERROR(__xludf.DUMMYFUNCTION("""COMPUTED_VALUE"""),"xor-operation-in-an-array")</f>
        <v>xor-operation-in-an-array</v>
      </c>
      <c r="D1487" s="20" t="b">
        <f>IFERROR(__xludf.DUMMYFUNCTION("""COMPUTED_VALUE"""),FALSE)</f>
        <v>0</v>
      </c>
      <c r="E1487" s="20" t="str">
        <f>IFERROR(__xludf.DUMMYFUNCTION("""COMPUTED_VALUE"""),"Easy")</f>
        <v>Easy</v>
      </c>
      <c r="F1487" s="20">
        <f>IFERROR(__xludf.DUMMYFUNCTION("""COMPUTED_VALUE"""),1062.0)</f>
        <v>1062</v>
      </c>
      <c r="G1487" s="20">
        <f>IFERROR(__xludf.DUMMYFUNCTION("""COMPUTED_VALUE"""),306.0)</f>
        <v>306</v>
      </c>
      <c r="H1487" s="20" t="str">
        <f>IFERROR(__xludf.DUMMYFUNCTION("""COMPUTED_VALUE"""),"Algorithms")</f>
        <v>Algorithms</v>
      </c>
      <c r="I1487" s="20">
        <f>IFERROR(__xludf.DUMMYFUNCTION("""COMPUTED_VALUE"""),0.843)</f>
        <v>0.843</v>
      </c>
      <c r="J1487" s="20">
        <f>IFERROR(__xludf.DUMMYFUNCTION("""COMPUTED_VALUE"""),1486.0)</f>
        <v>1486</v>
      </c>
      <c r="K1487" s="20" t="b">
        <f>IFERROR(__xludf.DUMMYFUNCTION("""COMPUTED_VALUE"""),FALSE)</f>
        <v>0</v>
      </c>
      <c r="L1487" s="20" t="str">
        <f>IFERROR(__xludf.DUMMYFUNCTION("""COMPUTED_VALUE"""),"Math;Bit Manipulation;")</f>
        <v>Math;Bit Manipulation;</v>
      </c>
      <c r="M1487" s="20" t="b">
        <f>IFERROR(__xludf.DUMMYFUNCTION("""COMPUTED_VALUE"""),FALSE)</f>
        <v>0</v>
      </c>
      <c r="N1487" s="20" t="b">
        <f>IFERROR(__xludf.DUMMYFUNCTION("""COMPUTED_VALUE"""),FALSE)</f>
        <v>0</v>
      </c>
      <c r="O1487" s="20">
        <f>IFERROR(__xludf.DUMMYFUNCTION("""COMPUTED_VALUE"""),84.3484589694376)</f>
        <v>84.34845897</v>
      </c>
      <c r="P1487" s="20">
        <f>IFERROR(__xludf.DUMMYFUNCTION("""COMPUTED_VALUE"""),143706.0)</f>
        <v>143706</v>
      </c>
      <c r="Q1487" s="20">
        <f>IFERROR(__xludf.DUMMYFUNCTION("""COMPUTED_VALUE"""),170372.0)</f>
        <v>170372</v>
      </c>
    </row>
    <row r="1488">
      <c r="A1488" s="20">
        <f>IFERROR(__xludf.DUMMYFUNCTION("""COMPUTED_VALUE"""),1611.0)</f>
        <v>1611</v>
      </c>
      <c r="B1488" s="20" t="str">
        <f>IFERROR(__xludf.DUMMYFUNCTION("""COMPUTED_VALUE"""),"Making File Names Unique")</f>
        <v>Making File Names Unique</v>
      </c>
      <c r="C1488" s="20" t="str">
        <f>IFERROR(__xludf.DUMMYFUNCTION("""COMPUTED_VALUE"""),"making-file-names-unique")</f>
        <v>making-file-names-unique</v>
      </c>
      <c r="D1488" s="20" t="b">
        <f>IFERROR(__xludf.DUMMYFUNCTION("""COMPUTED_VALUE"""),FALSE)</f>
        <v>0</v>
      </c>
      <c r="E1488" s="20" t="str">
        <f>IFERROR(__xludf.DUMMYFUNCTION("""COMPUTED_VALUE"""),"Medium")</f>
        <v>Medium</v>
      </c>
      <c r="F1488" s="20">
        <f>IFERROR(__xludf.DUMMYFUNCTION("""COMPUTED_VALUE"""),379.0)</f>
        <v>379</v>
      </c>
      <c r="G1488" s="20">
        <f>IFERROR(__xludf.DUMMYFUNCTION("""COMPUTED_VALUE"""),623.0)</f>
        <v>623</v>
      </c>
      <c r="H1488" s="20" t="str">
        <f>IFERROR(__xludf.DUMMYFUNCTION("""COMPUTED_VALUE"""),"Algorithms")</f>
        <v>Algorithms</v>
      </c>
      <c r="I1488" s="20">
        <f>IFERROR(__xludf.DUMMYFUNCTION("""COMPUTED_VALUE"""),0.36)</f>
        <v>0.36</v>
      </c>
      <c r="J1488" s="20">
        <f>IFERROR(__xludf.DUMMYFUNCTION("""COMPUTED_VALUE"""),1487.0)</f>
        <v>1487</v>
      </c>
      <c r="K1488" s="20" t="b">
        <f>IFERROR(__xludf.DUMMYFUNCTION("""COMPUTED_VALUE"""),FALSE)</f>
        <v>0</v>
      </c>
      <c r="L1488" s="20" t="str">
        <f>IFERROR(__xludf.DUMMYFUNCTION("""COMPUTED_VALUE"""),"Array;Hash Table;String;")</f>
        <v>Array;Hash Table;String;</v>
      </c>
      <c r="M1488" s="20" t="b">
        <f>IFERROR(__xludf.DUMMYFUNCTION("""COMPUTED_VALUE"""),FALSE)</f>
        <v>0</v>
      </c>
      <c r="N1488" s="20" t="b">
        <f>IFERROR(__xludf.DUMMYFUNCTION("""COMPUTED_VALUE"""),FALSE)</f>
        <v>0</v>
      </c>
      <c r="O1488" s="20">
        <f>IFERROR(__xludf.DUMMYFUNCTION("""COMPUTED_VALUE"""),35.9942272698751)</f>
        <v>35.99422727</v>
      </c>
      <c r="P1488" s="20">
        <f>IFERROR(__xludf.DUMMYFUNCTION("""COMPUTED_VALUE"""),28682.0)</f>
        <v>28682</v>
      </c>
      <c r="Q1488" s="20">
        <f>IFERROR(__xludf.DUMMYFUNCTION("""COMPUTED_VALUE"""),79685.0)</f>
        <v>79685</v>
      </c>
    </row>
    <row r="1489">
      <c r="A1489" s="20">
        <f>IFERROR(__xludf.DUMMYFUNCTION("""COMPUTED_VALUE"""),1612.0)</f>
        <v>1612</v>
      </c>
      <c r="B1489" s="20" t="str">
        <f>IFERROR(__xludf.DUMMYFUNCTION("""COMPUTED_VALUE"""),"Avoid Flood in The City")</f>
        <v>Avoid Flood in The City</v>
      </c>
      <c r="C1489" s="20" t="str">
        <f>IFERROR(__xludf.DUMMYFUNCTION("""COMPUTED_VALUE"""),"avoid-flood-in-the-city")</f>
        <v>avoid-flood-in-the-city</v>
      </c>
      <c r="D1489" s="20" t="b">
        <f>IFERROR(__xludf.DUMMYFUNCTION("""COMPUTED_VALUE"""),FALSE)</f>
        <v>0</v>
      </c>
      <c r="E1489" s="20" t="str">
        <f>IFERROR(__xludf.DUMMYFUNCTION("""COMPUTED_VALUE"""),"Medium")</f>
        <v>Medium</v>
      </c>
      <c r="F1489" s="20">
        <f>IFERROR(__xludf.DUMMYFUNCTION("""COMPUTED_VALUE"""),1247.0)</f>
        <v>1247</v>
      </c>
      <c r="G1489" s="20">
        <f>IFERROR(__xludf.DUMMYFUNCTION("""COMPUTED_VALUE"""),241.0)</f>
        <v>241</v>
      </c>
      <c r="H1489" s="20" t="str">
        <f>IFERROR(__xludf.DUMMYFUNCTION("""COMPUTED_VALUE"""),"Algorithms")</f>
        <v>Algorithms</v>
      </c>
      <c r="I1489" s="20">
        <f>IFERROR(__xludf.DUMMYFUNCTION("""COMPUTED_VALUE"""),0.262)</f>
        <v>0.262</v>
      </c>
      <c r="J1489" s="20">
        <f>IFERROR(__xludf.DUMMYFUNCTION("""COMPUTED_VALUE"""),1488.0)</f>
        <v>1488</v>
      </c>
      <c r="K1489" s="20" t="b">
        <f>IFERROR(__xludf.DUMMYFUNCTION("""COMPUTED_VALUE"""),FALSE)</f>
        <v>0</v>
      </c>
      <c r="L1489" s="20" t="str">
        <f>IFERROR(__xludf.DUMMYFUNCTION("""COMPUTED_VALUE"""),"Array;Hash Table;Binary Search;Greedy;Heap (Priority Queue);")</f>
        <v>Array;Hash Table;Binary Search;Greedy;Heap (Priority Queue);</v>
      </c>
      <c r="M1489" s="20" t="b">
        <f>IFERROR(__xludf.DUMMYFUNCTION("""COMPUTED_VALUE"""),FALSE)</f>
        <v>0</v>
      </c>
      <c r="N1489" s="20" t="b">
        <f>IFERROR(__xludf.DUMMYFUNCTION("""COMPUTED_VALUE"""),FALSE)</f>
        <v>0</v>
      </c>
      <c r="O1489" s="20">
        <f>IFERROR(__xludf.DUMMYFUNCTION("""COMPUTED_VALUE"""),26.1954507467025)</f>
        <v>26.19545075</v>
      </c>
      <c r="P1489" s="20">
        <f>IFERROR(__xludf.DUMMYFUNCTION("""COMPUTED_VALUE"""),28835.0)</f>
        <v>28835</v>
      </c>
      <c r="Q1489" s="20">
        <f>IFERROR(__xludf.DUMMYFUNCTION("""COMPUTED_VALUE"""),110078.0)</f>
        <v>110078</v>
      </c>
    </row>
    <row r="1490">
      <c r="A1490" s="20">
        <f>IFERROR(__xludf.DUMMYFUNCTION("""COMPUTED_VALUE"""),1613.0)</f>
        <v>1613</v>
      </c>
      <c r="B1490" s="20" t="str">
        <f>IFERROR(__xludf.DUMMYFUNCTION("""COMPUTED_VALUE"""),"Find Critical and Pseudo-Critical Edges in Minimum Spanning Tree")</f>
        <v>Find Critical and Pseudo-Critical Edges in Minimum Spanning Tree</v>
      </c>
      <c r="C1490" s="20" t="str">
        <f>IFERROR(__xludf.DUMMYFUNCTION("""COMPUTED_VALUE"""),"find-critical-and-pseudo-critical-edges-in-minimum-spanning-tree")</f>
        <v>find-critical-and-pseudo-critical-edges-in-minimum-spanning-tree</v>
      </c>
      <c r="D1490" s="20" t="b">
        <f>IFERROR(__xludf.DUMMYFUNCTION("""COMPUTED_VALUE"""),FALSE)</f>
        <v>0</v>
      </c>
      <c r="E1490" s="20" t="str">
        <f>IFERROR(__xludf.DUMMYFUNCTION("""COMPUTED_VALUE"""),"Hard")</f>
        <v>Hard</v>
      </c>
      <c r="F1490" s="20">
        <f>IFERROR(__xludf.DUMMYFUNCTION("""COMPUTED_VALUE"""),612.0)</f>
        <v>612</v>
      </c>
      <c r="G1490" s="20">
        <f>IFERROR(__xludf.DUMMYFUNCTION("""COMPUTED_VALUE"""),48.0)</f>
        <v>48</v>
      </c>
      <c r="H1490" s="20" t="str">
        <f>IFERROR(__xludf.DUMMYFUNCTION("""COMPUTED_VALUE"""),"Algorithms")</f>
        <v>Algorithms</v>
      </c>
      <c r="I1490" s="20">
        <f>IFERROR(__xludf.DUMMYFUNCTION("""COMPUTED_VALUE"""),0.527)</f>
        <v>0.527</v>
      </c>
      <c r="J1490" s="20">
        <f>IFERROR(__xludf.DUMMYFUNCTION("""COMPUTED_VALUE"""),1489.0)</f>
        <v>1489</v>
      </c>
      <c r="K1490" s="20" t="b">
        <f>IFERROR(__xludf.DUMMYFUNCTION("""COMPUTED_VALUE"""),FALSE)</f>
        <v>0</v>
      </c>
      <c r="L1490" s="20" t="str">
        <f>IFERROR(__xludf.DUMMYFUNCTION("""COMPUTED_VALUE"""),"Union Find;Graph;Sorting;Minimum Spanning Tree;Strongly Connected Component;")</f>
        <v>Union Find;Graph;Sorting;Minimum Spanning Tree;Strongly Connected Component;</v>
      </c>
      <c r="M1490" s="20" t="b">
        <f>IFERROR(__xludf.DUMMYFUNCTION("""COMPUTED_VALUE"""),FALSE)</f>
        <v>0</v>
      </c>
      <c r="N1490" s="20" t="b">
        <f>IFERROR(__xludf.DUMMYFUNCTION("""COMPUTED_VALUE"""),FALSE)</f>
        <v>0</v>
      </c>
      <c r="O1490" s="20">
        <f>IFERROR(__xludf.DUMMYFUNCTION("""COMPUTED_VALUE"""),52.6536885245901)</f>
        <v>52.65368852</v>
      </c>
      <c r="P1490" s="20">
        <f>IFERROR(__xludf.DUMMYFUNCTION("""COMPUTED_VALUE"""),10278.0)</f>
        <v>10278</v>
      </c>
      <c r="Q1490" s="20">
        <f>IFERROR(__xludf.DUMMYFUNCTION("""COMPUTED_VALUE"""),19520.0)</f>
        <v>19520</v>
      </c>
    </row>
    <row r="1491">
      <c r="A1491" s="20">
        <f>IFERROR(__xludf.DUMMYFUNCTION("""COMPUTED_VALUE"""),1634.0)</f>
        <v>1634</v>
      </c>
      <c r="B1491" s="20" t="str">
        <f>IFERROR(__xludf.DUMMYFUNCTION("""COMPUTED_VALUE"""),"Clone N-ary Tree")</f>
        <v>Clone N-ary Tree</v>
      </c>
      <c r="C1491" s="20" t="str">
        <f>IFERROR(__xludf.DUMMYFUNCTION("""COMPUTED_VALUE"""),"clone-n-ary-tree")</f>
        <v>clone-n-ary-tree</v>
      </c>
      <c r="D1491" s="20" t="b">
        <f>IFERROR(__xludf.DUMMYFUNCTION("""COMPUTED_VALUE"""),TRUE)</f>
        <v>1</v>
      </c>
      <c r="E1491" s="20" t="str">
        <f>IFERROR(__xludf.DUMMYFUNCTION("""COMPUTED_VALUE"""),"Medium")</f>
        <v>Medium</v>
      </c>
      <c r="F1491" s="20">
        <f>IFERROR(__xludf.DUMMYFUNCTION("""COMPUTED_VALUE"""),348.0)</f>
        <v>348</v>
      </c>
      <c r="G1491" s="20">
        <f>IFERROR(__xludf.DUMMYFUNCTION("""COMPUTED_VALUE"""),14.0)</f>
        <v>14</v>
      </c>
      <c r="H1491" s="20" t="str">
        <f>IFERROR(__xludf.DUMMYFUNCTION("""COMPUTED_VALUE"""),"Algorithms")</f>
        <v>Algorithms</v>
      </c>
      <c r="I1491" s="20">
        <f>IFERROR(__xludf.DUMMYFUNCTION("""COMPUTED_VALUE"""),0.836)</f>
        <v>0.836</v>
      </c>
      <c r="J1491" s="20">
        <f>IFERROR(__xludf.DUMMYFUNCTION("""COMPUTED_VALUE"""),1490.0)</f>
        <v>1490</v>
      </c>
      <c r="K1491" s="20" t="b">
        <f>IFERROR(__xludf.DUMMYFUNCTION("""COMPUTED_VALUE"""),TRUE)</f>
        <v>1</v>
      </c>
      <c r="L1491" s="20" t="str">
        <f>IFERROR(__xludf.DUMMYFUNCTION("""COMPUTED_VALUE"""),"Hash Table;Tree;Depth-First Search;Breadth-First Search;")</f>
        <v>Hash Table;Tree;Depth-First Search;Breadth-First Search;</v>
      </c>
      <c r="M1491" s="20" t="b">
        <f>IFERROR(__xludf.DUMMYFUNCTION("""COMPUTED_VALUE"""),TRUE)</f>
        <v>1</v>
      </c>
      <c r="N1491" s="20" t="b">
        <f>IFERROR(__xludf.DUMMYFUNCTION("""COMPUTED_VALUE"""),FALSE)</f>
        <v>0</v>
      </c>
      <c r="O1491" s="20">
        <f>IFERROR(__xludf.DUMMYFUNCTION("""COMPUTED_VALUE"""),83.5790207353197)</f>
        <v>83.57902074</v>
      </c>
      <c r="P1491" s="20">
        <f>IFERROR(__xludf.DUMMYFUNCTION("""COMPUTED_VALUE"""),23983.0)</f>
        <v>23983</v>
      </c>
      <c r="Q1491" s="20">
        <f>IFERROR(__xludf.DUMMYFUNCTION("""COMPUTED_VALUE"""),28695.0)</f>
        <v>28695</v>
      </c>
    </row>
    <row r="1492">
      <c r="A1492" s="20">
        <f>IFERROR(__xludf.DUMMYFUNCTION("""COMPUTED_VALUE"""),1584.0)</f>
        <v>1584</v>
      </c>
      <c r="B1492" s="20" t="str">
        <f>IFERROR(__xludf.DUMMYFUNCTION("""COMPUTED_VALUE"""),"Average Salary Excluding the Minimum and Maximum Salary")</f>
        <v>Average Salary Excluding the Minimum and Maximum Salary</v>
      </c>
      <c r="C1492" s="20" t="str">
        <f>IFERROR(__xludf.DUMMYFUNCTION("""COMPUTED_VALUE"""),"average-salary-excluding-the-minimum-and-maximum-salary")</f>
        <v>average-salary-excluding-the-minimum-and-maximum-salary</v>
      </c>
      <c r="D1492" s="20" t="b">
        <f>IFERROR(__xludf.DUMMYFUNCTION("""COMPUTED_VALUE"""),FALSE)</f>
        <v>0</v>
      </c>
      <c r="E1492" s="20" t="str">
        <f>IFERROR(__xludf.DUMMYFUNCTION("""COMPUTED_VALUE"""),"Easy")</f>
        <v>Easy</v>
      </c>
      <c r="F1492" s="20">
        <f>IFERROR(__xludf.DUMMYFUNCTION("""COMPUTED_VALUE"""),1068.0)</f>
        <v>1068</v>
      </c>
      <c r="G1492" s="20">
        <f>IFERROR(__xludf.DUMMYFUNCTION("""COMPUTED_VALUE"""),124.0)</f>
        <v>124</v>
      </c>
      <c r="H1492" s="20" t="str">
        <f>IFERROR(__xludf.DUMMYFUNCTION("""COMPUTED_VALUE"""),"Algorithms")</f>
        <v>Algorithms</v>
      </c>
      <c r="I1492" s="20">
        <f>IFERROR(__xludf.DUMMYFUNCTION("""COMPUTED_VALUE"""),0.623)</f>
        <v>0.623</v>
      </c>
      <c r="J1492" s="20">
        <f>IFERROR(__xludf.DUMMYFUNCTION("""COMPUTED_VALUE"""),1491.0)</f>
        <v>1491</v>
      </c>
      <c r="K1492" s="20" t="b">
        <f>IFERROR(__xludf.DUMMYFUNCTION("""COMPUTED_VALUE"""),FALSE)</f>
        <v>0</v>
      </c>
      <c r="L1492" s="20" t="str">
        <f>IFERROR(__xludf.DUMMYFUNCTION("""COMPUTED_VALUE"""),"Array;Sorting;")</f>
        <v>Array;Sorting;</v>
      </c>
      <c r="M1492" s="20" t="b">
        <f>IFERROR(__xludf.DUMMYFUNCTION("""COMPUTED_VALUE"""),FALSE)</f>
        <v>0</v>
      </c>
      <c r="N1492" s="20" t="b">
        <f>IFERROR(__xludf.DUMMYFUNCTION("""COMPUTED_VALUE"""),FALSE)</f>
        <v>0</v>
      </c>
      <c r="O1492" s="20">
        <f>IFERROR(__xludf.DUMMYFUNCTION("""COMPUTED_VALUE"""),62.3166042518456)</f>
        <v>62.31660425</v>
      </c>
      <c r="P1492" s="20">
        <f>IFERROR(__xludf.DUMMYFUNCTION("""COMPUTED_VALUE"""),174052.0)</f>
        <v>174052</v>
      </c>
      <c r="Q1492" s="20">
        <f>IFERROR(__xludf.DUMMYFUNCTION("""COMPUTED_VALUE"""),279297.0)</f>
        <v>279297</v>
      </c>
    </row>
    <row r="1493">
      <c r="A1493" s="20">
        <f>IFERROR(__xludf.DUMMYFUNCTION("""COMPUTED_VALUE"""),1585.0)</f>
        <v>1585</v>
      </c>
      <c r="B1493" s="20" t="str">
        <f>IFERROR(__xludf.DUMMYFUNCTION("""COMPUTED_VALUE"""),"The kth Factor of n")</f>
        <v>The kth Factor of n</v>
      </c>
      <c r="C1493" s="20" t="str">
        <f>IFERROR(__xludf.DUMMYFUNCTION("""COMPUTED_VALUE"""),"the-kth-factor-of-n")</f>
        <v>the-kth-factor-of-n</v>
      </c>
      <c r="D1493" s="20" t="b">
        <f>IFERROR(__xludf.DUMMYFUNCTION("""COMPUTED_VALUE"""),FALSE)</f>
        <v>0</v>
      </c>
      <c r="E1493" s="20" t="str">
        <f>IFERROR(__xludf.DUMMYFUNCTION("""COMPUTED_VALUE"""),"Medium")</f>
        <v>Medium</v>
      </c>
      <c r="F1493" s="20">
        <f>IFERROR(__xludf.DUMMYFUNCTION("""COMPUTED_VALUE"""),933.0)</f>
        <v>933</v>
      </c>
      <c r="G1493" s="20">
        <f>IFERROR(__xludf.DUMMYFUNCTION("""COMPUTED_VALUE"""),232.0)</f>
        <v>232</v>
      </c>
      <c r="H1493" s="20" t="str">
        <f>IFERROR(__xludf.DUMMYFUNCTION("""COMPUTED_VALUE"""),"Algorithms")</f>
        <v>Algorithms</v>
      </c>
      <c r="I1493" s="20">
        <f>IFERROR(__xludf.DUMMYFUNCTION("""COMPUTED_VALUE"""),0.625)</f>
        <v>0.625</v>
      </c>
      <c r="J1493" s="20">
        <f>IFERROR(__xludf.DUMMYFUNCTION("""COMPUTED_VALUE"""),1492.0)</f>
        <v>1492</v>
      </c>
      <c r="K1493" s="20" t="b">
        <f>IFERROR(__xludf.DUMMYFUNCTION("""COMPUTED_VALUE"""),FALSE)</f>
        <v>0</v>
      </c>
      <c r="L1493" s="20" t="str">
        <f>IFERROR(__xludf.DUMMYFUNCTION("""COMPUTED_VALUE"""),"Math;")</f>
        <v>Math;</v>
      </c>
      <c r="M1493" s="20" t="b">
        <f>IFERROR(__xludf.DUMMYFUNCTION("""COMPUTED_VALUE"""),TRUE)</f>
        <v>1</v>
      </c>
      <c r="N1493" s="20" t="b">
        <f>IFERROR(__xludf.DUMMYFUNCTION("""COMPUTED_VALUE"""),FALSE)</f>
        <v>0</v>
      </c>
      <c r="O1493" s="20">
        <f>IFERROR(__xludf.DUMMYFUNCTION("""COMPUTED_VALUE"""),62.470563171865)</f>
        <v>62.47056317</v>
      </c>
      <c r="P1493" s="20">
        <f>IFERROR(__xludf.DUMMYFUNCTION("""COMPUTED_VALUE"""),108495.0)</f>
        <v>108495</v>
      </c>
      <c r="Q1493" s="20">
        <f>IFERROR(__xludf.DUMMYFUNCTION("""COMPUTED_VALUE"""),173671.0)</f>
        <v>173671</v>
      </c>
    </row>
    <row r="1494">
      <c r="A1494" s="20">
        <f>IFERROR(__xludf.DUMMYFUNCTION("""COMPUTED_VALUE"""),1586.0)</f>
        <v>1586</v>
      </c>
      <c r="B1494" s="20" t="str">
        <f>IFERROR(__xludf.DUMMYFUNCTION("""COMPUTED_VALUE"""),"Longest Subarray of 1's After Deleting One Element")</f>
        <v>Longest Subarray of 1's After Deleting One Element</v>
      </c>
      <c r="C1494" s="20" t="str">
        <f>IFERROR(__xludf.DUMMYFUNCTION("""COMPUTED_VALUE"""),"longest-subarray-of-1s-after-deleting-one-element")</f>
        <v>longest-subarray-of-1s-after-deleting-one-element</v>
      </c>
      <c r="D1494" s="20" t="b">
        <f>IFERROR(__xludf.DUMMYFUNCTION("""COMPUTED_VALUE"""),FALSE)</f>
        <v>0</v>
      </c>
      <c r="E1494" s="20" t="str">
        <f>IFERROR(__xludf.DUMMYFUNCTION("""COMPUTED_VALUE"""),"Medium")</f>
        <v>Medium</v>
      </c>
      <c r="F1494" s="20">
        <f>IFERROR(__xludf.DUMMYFUNCTION("""COMPUTED_VALUE"""),1269.0)</f>
        <v>1269</v>
      </c>
      <c r="G1494" s="20">
        <f>IFERROR(__xludf.DUMMYFUNCTION("""COMPUTED_VALUE"""),26.0)</f>
        <v>26</v>
      </c>
      <c r="H1494" s="20" t="str">
        <f>IFERROR(__xludf.DUMMYFUNCTION("""COMPUTED_VALUE"""),"Algorithms")</f>
        <v>Algorithms</v>
      </c>
      <c r="I1494" s="20">
        <f>IFERROR(__xludf.DUMMYFUNCTION("""COMPUTED_VALUE"""),0.602)</f>
        <v>0.602</v>
      </c>
      <c r="J1494" s="20">
        <f>IFERROR(__xludf.DUMMYFUNCTION("""COMPUTED_VALUE"""),1493.0)</f>
        <v>1493</v>
      </c>
      <c r="K1494" s="20" t="b">
        <f>IFERROR(__xludf.DUMMYFUNCTION("""COMPUTED_VALUE"""),FALSE)</f>
        <v>0</v>
      </c>
      <c r="L1494" s="20" t="str">
        <f>IFERROR(__xludf.DUMMYFUNCTION("""COMPUTED_VALUE"""),"Array;Dynamic Programming;Sliding Window;")</f>
        <v>Array;Dynamic Programming;Sliding Window;</v>
      </c>
      <c r="M1494" s="20" t="b">
        <f>IFERROR(__xludf.DUMMYFUNCTION("""COMPUTED_VALUE"""),FALSE)</f>
        <v>0</v>
      </c>
      <c r="N1494" s="20" t="b">
        <f>IFERROR(__xludf.DUMMYFUNCTION("""COMPUTED_VALUE"""),FALSE)</f>
        <v>0</v>
      </c>
      <c r="O1494" s="20">
        <f>IFERROR(__xludf.DUMMYFUNCTION("""COMPUTED_VALUE"""),60.2486218922263)</f>
        <v>60.24862189</v>
      </c>
      <c r="P1494" s="20">
        <f>IFERROR(__xludf.DUMMYFUNCTION("""COMPUTED_VALUE"""),53554.0)</f>
        <v>53554</v>
      </c>
      <c r="Q1494" s="20">
        <f>IFERROR(__xludf.DUMMYFUNCTION("""COMPUTED_VALUE"""),88889.0)</f>
        <v>88889</v>
      </c>
    </row>
    <row r="1495">
      <c r="A1495" s="20">
        <f>IFERROR(__xludf.DUMMYFUNCTION("""COMPUTED_VALUE"""),1587.0)</f>
        <v>1587</v>
      </c>
      <c r="B1495" s="20" t="str">
        <f>IFERROR(__xludf.DUMMYFUNCTION("""COMPUTED_VALUE"""),"Parallel Courses II")</f>
        <v>Parallel Courses II</v>
      </c>
      <c r="C1495" s="20" t="str">
        <f>IFERROR(__xludf.DUMMYFUNCTION("""COMPUTED_VALUE"""),"parallel-courses-ii")</f>
        <v>parallel-courses-ii</v>
      </c>
      <c r="D1495" s="20" t="b">
        <f>IFERROR(__xludf.DUMMYFUNCTION("""COMPUTED_VALUE"""),FALSE)</f>
        <v>0</v>
      </c>
      <c r="E1495" s="20" t="str">
        <f>IFERROR(__xludf.DUMMYFUNCTION("""COMPUTED_VALUE"""),"Hard")</f>
        <v>Hard</v>
      </c>
      <c r="F1495" s="20">
        <f>IFERROR(__xludf.DUMMYFUNCTION("""COMPUTED_VALUE"""),755.0)</f>
        <v>755</v>
      </c>
      <c r="G1495" s="20">
        <f>IFERROR(__xludf.DUMMYFUNCTION("""COMPUTED_VALUE"""),60.0)</f>
        <v>60</v>
      </c>
      <c r="H1495" s="20" t="str">
        <f>IFERROR(__xludf.DUMMYFUNCTION("""COMPUTED_VALUE"""),"Algorithms")</f>
        <v>Algorithms</v>
      </c>
      <c r="I1495" s="20">
        <f>IFERROR(__xludf.DUMMYFUNCTION("""COMPUTED_VALUE"""),0.308)</f>
        <v>0.308</v>
      </c>
      <c r="J1495" s="20">
        <f>IFERROR(__xludf.DUMMYFUNCTION("""COMPUTED_VALUE"""),1494.0)</f>
        <v>1494</v>
      </c>
      <c r="K1495" s="20" t="b">
        <f>IFERROR(__xludf.DUMMYFUNCTION("""COMPUTED_VALUE"""),FALSE)</f>
        <v>0</v>
      </c>
      <c r="L1495" s="20" t="str">
        <f>IFERROR(__xludf.DUMMYFUNCTION("""COMPUTED_VALUE"""),"Dynamic Programming;Bit Manipulation;Graph;Bitmask;")</f>
        <v>Dynamic Programming;Bit Manipulation;Graph;Bitmask;</v>
      </c>
      <c r="M1495" s="20" t="b">
        <f>IFERROR(__xludf.DUMMYFUNCTION("""COMPUTED_VALUE"""),FALSE)</f>
        <v>0</v>
      </c>
      <c r="N1495" s="20" t="b">
        <f>IFERROR(__xludf.DUMMYFUNCTION("""COMPUTED_VALUE"""),FALSE)</f>
        <v>0</v>
      </c>
      <c r="O1495" s="20">
        <f>IFERROR(__xludf.DUMMYFUNCTION("""COMPUTED_VALUE"""),30.7597135311332)</f>
        <v>30.75971353</v>
      </c>
      <c r="P1495" s="20">
        <f>IFERROR(__xludf.DUMMYFUNCTION("""COMPUTED_VALUE"""),12927.0)</f>
        <v>12927</v>
      </c>
      <c r="Q1495" s="20">
        <f>IFERROR(__xludf.DUMMYFUNCTION("""COMPUTED_VALUE"""),42026.0)</f>
        <v>42026</v>
      </c>
    </row>
    <row r="1496">
      <c r="A1496" s="20">
        <f>IFERROR(__xludf.DUMMYFUNCTION("""COMPUTED_VALUE"""),1639.0)</f>
        <v>1639</v>
      </c>
      <c r="B1496" s="20" t="str">
        <f>IFERROR(__xludf.DUMMYFUNCTION("""COMPUTED_VALUE"""),"Friendly Movies Streamed Last Month")</f>
        <v>Friendly Movies Streamed Last Month</v>
      </c>
      <c r="C1496" s="20" t="str">
        <f>IFERROR(__xludf.DUMMYFUNCTION("""COMPUTED_VALUE"""),"friendly-movies-streamed-last-month")</f>
        <v>friendly-movies-streamed-last-month</v>
      </c>
      <c r="D1496" s="20" t="b">
        <f>IFERROR(__xludf.DUMMYFUNCTION("""COMPUTED_VALUE"""),TRUE)</f>
        <v>1</v>
      </c>
      <c r="E1496" s="20" t="str">
        <f>IFERROR(__xludf.DUMMYFUNCTION("""COMPUTED_VALUE"""),"Easy")</f>
        <v>Easy</v>
      </c>
      <c r="F1496" s="20">
        <f>IFERROR(__xludf.DUMMYFUNCTION("""COMPUTED_VALUE"""),68.0)</f>
        <v>68</v>
      </c>
      <c r="G1496" s="20">
        <f>IFERROR(__xludf.DUMMYFUNCTION("""COMPUTED_VALUE"""),10.0)</f>
        <v>10</v>
      </c>
      <c r="H1496" s="20" t="str">
        <f>IFERROR(__xludf.DUMMYFUNCTION("""COMPUTED_VALUE"""),"Database")</f>
        <v>Database</v>
      </c>
      <c r="I1496" s="20">
        <f>IFERROR(__xludf.DUMMYFUNCTION("""COMPUTED_VALUE"""),0.496)</f>
        <v>0.496</v>
      </c>
      <c r="J1496" s="20">
        <f>IFERROR(__xludf.DUMMYFUNCTION("""COMPUTED_VALUE"""),1495.0)</f>
        <v>1495</v>
      </c>
      <c r="K1496" s="20" t="b">
        <f>IFERROR(__xludf.DUMMYFUNCTION("""COMPUTED_VALUE"""),TRUE)</f>
        <v>1</v>
      </c>
      <c r="L1496" s="20" t="str">
        <f>IFERROR(__xludf.DUMMYFUNCTION("""COMPUTED_VALUE"""),"Database;")</f>
        <v>Database;</v>
      </c>
      <c r="M1496" s="20" t="b">
        <f>IFERROR(__xludf.DUMMYFUNCTION("""COMPUTED_VALUE"""),FALSE)</f>
        <v>0</v>
      </c>
      <c r="N1496" s="20" t="b">
        <f>IFERROR(__xludf.DUMMYFUNCTION("""COMPUTED_VALUE"""),FALSE)</f>
        <v>0</v>
      </c>
      <c r="O1496" s="20">
        <f>IFERROR(__xludf.DUMMYFUNCTION("""COMPUTED_VALUE"""),49.6115285553119)</f>
        <v>49.61152856</v>
      </c>
      <c r="P1496" s="20">
        <f>IFERROR(__xludf.DUMMYFUNCTION("""COMPUTED_VALUE"""),23307.0)</f>
        <v>23307</v>
      </c>
      <c r="Q1496" s="20">
        <f>IFERROR(__xludf.DUMMYFUNCTION("""COMPUTED_VALUE"""),46979.0)</f>
        <v>46979</v>
      </c>
    </row>
    <row r="1497">
      <c r="A1497" s="20">
        <f>IFERROR(__xludf.DUMMYFUNCTION("""COMPUTED_VALUE"""),1619.0)</f>
        <v>1619</v>
      </c>
      <c r="B1497" s="20" t="str">
        <f>IFERROR(__xludf.DUMMYFUNCTION("""COMPUTED_VALUE"""),"Path Crossing")</f>
        <v>Path Crossing</v>
      </c>
      <c r="C1497" s="20" t="str">
        <f>IFERROR(__xludf.DUMMYFUNCTION("""COMPUTED_VALUE"""),"path-crossing")</f>
        <v>path-crossing</v>
      </c>
      <c r="D1497" s="20" t="b">
        <f>IFERROR(__xludf.DUMMYFUNCTION("""COMPUTED_VALUE"""),FALSE)</f>
        <v>0</v>
      </c>
      <c r="E1497" s="20" t="str">
        <f>IFERROR(__xludf.DUMMYFUNCTION("""COMPUTED_VALUE"""),"Easy")</f>
        <v>Easy</v>
      </c>
      <c r="F1497" s="20">
        <f>IFERROR(__xludf.DUMMYFUNCTION("""COMPUTED_VALUE"""),579.0)</f>
        <v>579</v>
      </c>
      <c r="G1497" s="20">
        <f>IFERROR(__xludf.DUMMYFUNCTION("""COMPUTED_VALUE"""),12.0)</f>
        <v>12</v>
      </c>
      <c r="H1497" s="20" t="str">
        <f>IFERROR(__xludf.DUMMYFUNCTION("""COMPUTED_VALUE"""),"Algorithms")</f>
        <v>Algorithms</v>
      </c>
      <c r="I1497" s="20">
        <f>IFERROR(__xludf.DUMMYFUNCTION("""COMPUTED_VALUE"""),0.559)</f>
        <v>0.559</v>
      </c>
      <c r="J1497" s="20">
        <f>IFERROR(__xludf.DUMMYFUNCTION("""COMPUTED_VALUE"""),1496.0)</f>
        <v>1496</v>
      </c>
      <c r="K1497" s="20" t="b">
        <f>IFERROR(__xludf.DUMMYFUNCTION("""COMPUTED_VALUE"""),FALSE)</f>
        <v>0</v>
      </c>
      <c r="L1497" s="20" t="str">
        <f>IFERROR(__xludf.DUMMYFUNCTION("""COMPUTED_VALUE"""),"Hash Table;String;")</f>
        <v>Hash Table;String;</v>
      </c>
      <c r="M1497" s="20" t="b">
        <f>IFERROR(__xludf.DUMMYFUNCTION("""COMPUTED_VALUE"""),FALSE)</f>
        <v>0</v>
      </c>
      <c r="N1497" s="20" t="b">
        <f>IFERROR(__xludf.DUMMYFUNCTION("""COMPUTED_VALUE"""),FALSE)</f>
        <v>0</v>
      </c>
      <c r="O1497" s="20">
        <f>IFERROR(__xludf.DUMMYFUNCTION("""COMPUTED_VALUE"""),55.9277079529248)</f>
        <v>55.92770795</v>
      </c>
      <c r="P1497" s="20">
        <f>IFERROR(__xludf.DUMMYFUNCTION("""COMPUTED_VALUE"""),41962.0)</f>
        <v>41962</v>
      </c>
      <c r="Q1497" s="20">
        <f>IFERROR(__xludf.DUMMYFUNCTION("""COMPUTED_VALUE"""),75027.0)</f>
        <v>75027</v>
      </c>
    </row>
    <row r="1498">
      <c r="A1498" s="20">
        <f>IFERROR(__xludf.DUMMYFUNCTION("""COMPUTED_VALUE"""),1620.0)</f>
        <v>1620</v>
      </c>
      <c r="B1498" s="20" t="str">
        <f>IFERROR(__xludf.DUMMYFUNCTION("""COMPUTED_VALUE"""),"Check If Array Pairs Are Divisible by k")</f>
        <v>Check If Array Pairs Are Divisible by k</v>
      </c>
      <c r="C1498" s="20" t="str">
        <f>IFERROR(__xludf.DUMMYFUNCTION("""COMPUTED_VALUE"""),"check-if-array-pairs-are-divisible-by-k")</f>
        <v>check-if-array-pairs-are-divisible-by-k</v>
      </c>
      <c r="D1498" s="20" t="b">
        <f>IFERROR(__xludf.DUMMYFUNCTION("""COMPUTED_VALUE"""),FALSE)</f>
        <v>0</v>
      </c>
      <c r="E1498" s="20" t="str">
        <f>IFERROR(__xludf.DUMMYFUNCTION("""COMPUTED_VALUE"""),"Medium")</f>
        <v>Medium</v>
      </c>
      <c r="F1498" s="20">
        <f>IFERROR(__xludf.DUMMYFUNCTION("""COMPUTED_VALUE"""),1338.0)</f>
        <v>1338</v>
      </c>
      <c r="G1498" s="20">
        <f>IFERROR(__xludf.DUMMYFUNCTION("""COMPUTED_VALUE"""),78.0)</f>
        <v>78</v>
      </c>
      <c r="H1498" s="20" t="str">
        <f>IFERROR(__xludf.DUMMYFUNCTION("""COMPUTED_VALUE"""),"Algorithms")</f>
        <v>Algorithms</v>
      </c>
      <c r="I1498" s="20">
        <f>IFERROR(__xludf.DUMMYFUNCTION("""COMPUTED_VALUE"""),0.394)</f>
        <v>0.394</v>
      </c>
      <c r="J1498" s="20">
        <f>IFERROR(__xludf.DUMMYFUNCTION("""COMPUTED_VALUE"""),1497.0)</f>
        <v>1497</v>
      </c>
      <c r="K1498" s="20" t="b">
        <f>IFERROR(__xludf.DUMMYFUNCTION("""COMPUTED_VALUE"""),FALSE)</f>
        <v>0</v>
      </c>
      <c r="L1498" s="20" t="str">
        <f>IFERROR(__xludf.DUMMYFUNCTION("""COMPUTED_VALUE"""),"Array;Hash Table;Counting;")</f>
        <v>Array;Hash Table;Counting;</v>
      </c>
      <c r="M1498" s="20" t="b">
        <f>IFERROR(__xludf.DUMMYFUNCTION("""COMPUTED_VALUE"""),FALSE)</f>
        <v>0</v>
      </c>
      <c r="N1498" s="20" t="b">
        <f>IFERROR(__xludf.DUMMYFUNCTION("""COMPUTED_VALUE"""),FALSE)</f>
        <v>0</v>
      </c>
      <c r="O1498" s="20">
        <f>IFERROR(__xludf.DUMMYFUNCTION("""COMPUTED_VALUE"""),39.4015651373331)</f>
        <v>39.40156514</v>
      </c>
      <c r="P1498" s="20">
        <f>IFERROR(__xludf.DUMMYFUNCTION("""COMPUTED_VALUE"""),38516.0)</f>
        <v>38516</v>
      </c>
      <c r="Q1498" s="20">
        <f>IFERROR(__xludf.DUMMYFUNCTION("""COMPUTED_VALUE"""),97753.0)</f>
        <v>97753</v>
      </c>
    </row>
    <row r="1499">
      <c r="A1499" s="20">
        <f>IFERROR(__xludf.DUMMYFUNCTION("""COMPUTED_VALUE"""),1621.0)</f>
        <v>1621</v>
      </c>
      <c r="B1499" s="20" t="str">
        <f>IFERROR(__xludf.DUMMYFUNCTION("""COMPUTED_VALUE"""),"Number of Subsequences That Satisfy the Given Sum Condition")</f>
        <v>Number of Subsequences That Satisfy the Given Sum Condition</v>
      </c>
      <c r="C1499" s="20" t="str">
        <f>IFERROR(__xludf.DUMMYFUNCTION("""COMPUTED_VALUE"""),"number-of-subsequences-that-satisfy-the-given-sum-condition")</f>
        <v>number-of-subsequences-that-satisfy-the-given-sum-condition</v>
      </c>
      <c r="D1499" s="20" t="b">
        <f>IFERROR(__xludf.DUMMYFUNCTION("""COMPUTED_VALUE"""),FALSE)</f>
        <v>0</v>
      </c>
      <c r="E1499" s="20" t="str">
        <f>IFERROR(__xludf.DUMMYFUNCTION("""COMPUTED_VALUE"""),"Medium")</f>
        <v>Medium</v>
      </c>
      <c r="F1499" s="20">
        <f>IFERROR(__xludf.DUMMYFUNCTION("""COMPUTED_VALUE"""),1680.0)</f>
        <v>1680</v>
      </c>
      <c r="G1499" s="20">
        <f>IFERROR(__xludf.DUMMYFUNCTION("""COMPUTED_VALUE"""),155.0)</f>
        <v>155</v>
      </c>
      <c r="H1499" s="20" t="str">
        <f>IFERROR(__xludf.DUMMYFUNCTION("""COMPUTED_VALUE"""),"Algorithms")</f>
        <v>Algorithms</v>
      </c>
      <c r="I1499" s="20">
        <f>IFERROR(__xludf.DUMMYFUNCTION("""COMPUTED_VALUE"""),0.378)</f>
        <v>0.378</v>
      </c>
      <c r="J1499" s="20">
        <f>IFERROR(__xludf.DUMMYFUNCTION("""COMPUTED_VALUE"""),1498.0)</f>
        <v>1498</v>
      </c>
      <c r="K1499" s="20" t="b">
        <f>IFERROR(__xludf.DUMMYFUNCTION("""COMPUTED_VALUE"""),FALSE)</f>
        <v>0</v>
      </c>
      <c r="L1499" s="20" t="str">
        <f>IFERROR(__xludf.DUMMYFUNCTION("""COMPUTED_VALUE"""),"Array;Two Pointers;Binary Search;Sorting;")</f>
        <v>Array;Two Pointers;Binary Search;Sorting;</v>
      </c>
      <c r="M1499" s="20" t="b">
        <f>IFERROR(__xludf.DUMMYFUNCTION("""COMPUTED_VALUE"""),FALSE)</f>
        <v>0</v>
      </c>
      <c r="N1499" s="20" t="b">
        <f>IFERROR(__xludf.DUMMYFUNCTION("""COMPUTED_VALUE"""),FALSE)</f>
        <v>0</v>
      </c>
      <c r="O1499" s="20">
        <f>IFERROR(__xludf.DUMMYFUNCTION("""COMPUTED_VALUE"""),37.8090673057719)</f>
        <v>37.80906731</v>
      </c>
      <c r="P1499" s="20">
        <f>IFERROR(__xludf.DUMMYFUNCTION("""COMPUTED_VALUE"""),37861.0)</f>
        <v>37861</v>
      </c>
      <c r="Q1499" s="20">
        <f>IFERROR(__xludf.DUMMYFUNCTION("""COMPUTED_VALUE"""),100139.0)</f>
        <v>100139</v>
      </c>
    </row>
    <row r="1500">
      <c r="A1500" s="20">
        <f>IFERROR(__xludf.DUMMYFUNCTION("""COMPUTED_VALUE"""),1622.0)</f>
        <v>1622</v>
      </c>
      <c r="B1500" s="20" t="str">
        <f>IFERROR(__xludf.DUMMYFUNCTION("""COMPUTED_VALUE"""),"Max Value of Equation")</f>
        <v>Max Value of Equation</v>
      </c>
      <c r="C1500" s="20" t="str">
        <f>IFERROR(__xludf.DUMMYFUNCTION("""COMPUTED_VALUE"""),"max-value-of-equation")</f>
        <v>max-value-of-equation</v>
      </c>
      <c r="D1500" s="20" t="b">
        <f>IFERROR(__xludf.DUMMYFUNCTION("""COMPUTED_VALUE"""),FALSE)</f>
        <v>0</v>
      </c>
      <c r="E1500" s="20" t="str">
        <f>IFERROR(__xludf.DUMMYFUNCTION("""COMPUTED_VALUE"""),"Hard")</f>
        <v>Hard</v>
      </c>
      <c r="F1500" s="20">
        <f>IFERROR(__xludf.DUMMYFUNCTION("""COMPUTED_VALUE"""),1068.0)</f>
        <v>1068</v>
      </c>
      <c r="G1500" s="20">
        <f>IFERROR(__xludf.DUMMYFUNCTION("""COMPUTED_VALUE"""),36.0)</f>
        <v>36</v>
      </c>
      <c r="H1500" s="20" t="str">
        <f>IFERROR(__xludf.DUMMYFUNCTION("""COMPUTED_VALUE"""),"Algorithms")</f>
        <v>Algorithms</v>
      </c>
      <c r="I1500" s="20">
        <f>IFERROR(__xludf.DUMMYFUNCTION("""COMPUTED_VALUE"""),0.461)</f>
        <v>0.461</v>
      </c>
      <c r="J1500" s="20">
        <f>IFERROR(__xludf.DUMMYFUNCTION("""COMPUTED_VALUE"""),1499.0)</f>
        <v>1499</v>
      </c>
      <c r="K1500" s="20" t="b">
        <f>IFERROR(__xludf.DUMMYFUNCTION("""COMPUTED_VALUE"""),FALSE)</f>
        <v>0</v>
      </c>
      <c r="L1500" s="20" t="str">
        <f>IFERROR(__xludf.DUMMYFUNCTION("""COMPUTED_VALUE"""),"Array;Queue;Sliding Window;Heap (Priority Queue);Monotonic Queue;")</f>
        <v>Array;Queue;Sliding Window;Heap (Priority Queue);Monotonic Queue;</v>
      </c>
      <c r="M1500" s="20" t="b">
        <f>IFERROR(__xludf.DUMMYFUNCTION("""COMPUTED_VALUE"""),FALSE)</f>
        <v>0</v>
      </c>
      <c r="N1500" s="20" t="b">
        <f>IFERROR(__xludf.DUMMYFUNCTION("""COMPUTED_VALUE"""),FALSE)</f>
        <v>0</v>
      </c>
      <c r="O1500" s="20">
        <f>IFERROR(__xludf.DUMMYFUNCTION("""COMPUTED_VALUE"""),46.1458413628304)</f>
        <v>46.14584136</v>
      </c>
      <c r="P1500" s="20">
        <f>IFERROR(__xludf.DUMMYFUNCTION("""COMPUTED_VALUE"""),35918.0)</f>
        <v>35918</v>
      </c>
      <c r="Q1500" s="20">
        <f>IFERROR(__xludf.DUMMYFUNCTION("""COMPUTED_VALUE"""),77837.0)</f>
        <v>77837</v>
      </c>
    </row>
    <row r="1501">
      <c r="A1501" s="20">
        <f>IFERROR(__xludf.DUMMYFUNCTION("""COMPUTED_VALUE"""),1640.0)</f>
        <v>1640</v>
      </c>
      <c r="B1501" s="20" t="str">
        <f>IFERROR(__xludf.DUMMYFUNCTION("""COMPUTED_VALUE"""),"Design a File Sharing System")</f>
        <v>Design a File Sharing System</v>
      </c>
      <c r="C1501" s="20" t="str">
        <f>IFERROR(__xludf.DUMMYFUNCTION("""COMPUTED_VALUE"""),"design-a-file-sharing-system")</f>
        <v>design-a-file-sharing-system</v>
      </c>
      <c r="D1501" s="20" t="b">
        <f>IFERROR(__xludf.DUMMYFUNCTION("""COMPUTED_VALUE"""),TRUE)</f>
        <v>1</v>
      </c>
      <c r="E1501" s="20" t="str">
        <f>IFERROR(__xludf.DUMMYFUNCTION("""COMPUTED_VALUE"""),"Medium")</f>
        <v>Medium</v>
      </c>
      <c r="F1501" s="20">
        <f>IFERROR(__xludf.DUMMYFUNCTION("""COMPUTED_VALUE"""),42.0)</f>
        <v>42</v>
      </c>
      <c r="G1501" s="20">
        <f>IFERROR(__xludf.DUMMYFUNCTION("""COMPUTED_VALUE"""),104.0)</f>
        <v>104</v>
      </c>
      <c r="H1501" s="20" t="str">
        <f>IFERROR(__xludf.DUMMYFUNCTION("""COMPUTED_VALUE"""),"Algorithms")</f>
        <v>Algorithms</v>
      </c>
      <c r="I1501" s="20">
        <f>IFERROR(__xludf.DUMMYFUNCTION("""COMPUTED_VALUE"""),0.447)</f>
        <v>0.447</v>
      </c>
      <c r="J1501" s="20">
        <f>IFERROR(__xludf.DUMMYFUNCTION("""COMPUTED_VALUE"""),1500.0)</f>
        <v>1500</v>
      </c>
      <c r="K1501" s="20" t="b">
        <f>IFERROR(__xludf.DUMMYFUNCTION("""COMPUTED_VALUE"""),TRUE)</f>
        <v>1</v>
      </c>
      <c r="L1501" s="20" t="str">
        <f>IFERROR(__xludf.DUMMYFUNCTION("""COMPUTED_VALUE"""),"Hash Table;Design;Heap (Priority Queue);Data Stream;")</f>
        <v>Hash Table;Design;Heap (Priority Queue);Data Stream;</v>
      </c>
      <c r="M1501" s="20" t="b">
        <f>IFERROR(__xludf.DUMMYFUNCTION("""COMPUTED_VALUE"""),FALSE)</f>
        <v>0</v>
      </c>
      <c r="N1501" s="20" t="b">
        <f>IFERROR(__xludf.DUMMYFUNCTION("""COMPUTED_VALUE"""),FALSE)</f>
        <v>0</v>
      </c>
      <c r="O1501" s="20">
        <f>IFERROR(__xludf.DUMMYFUNCTION("""COMPUTED_VALUE"""),44.7036739072137)</f>
        <v>44.70367391</v>
      </c>
      <c r="P1501" s="20">
        <f>IFERROR(__xludf.DUMMYFUNCTION("""COMPUTED_VALUE"""),3334.0)</f>
        <v>3334</v>
      </c>
      <c r="Q1501" s="20">
        <f>IFERROR(__xludf.DUMMYFUNCTION("""COMPUTED_VALUE"""),7458.0)</f>
        <v>7458</v>
      </c>
    </row>
    <row r="1502">
      <c r="A1502" s="20">
        <f>IFERROR(__xludf.DUMMYFUNCTION("""COMPUTED_VALUE"""),1641.0)</f>
        <v>1641</v>
      </c>
      <c r="B1502" s="20" t="str">
        <f>IFERROR(__xludf.DUMMYFUNCTION("""COMPUTED_VALUE"""),"Countries You Can Safely Invest In")</f>
        <v>Countries You Can Safely Invest In</v>
      </c>
      <c r="C1502" s="20" t="str">
        <f>IFERROR(__xludf.DUMMYFUNCTION("""COMPUTED_VALUE"""),"countries-you-can-safely-invest-in")</f>
        <v>countries-you-can-safely-invest-in</v>
      </c>
      <c r="D1502" s="20" t="b">
        <f>IFERROR(__xludf.DUMMYFUNCTION("""COMPUTED_VALUE"""),TRUE)</f>
        <v>1</v>
      </c>
      <c r="E1502" s="20" t="str">
        <f>IFERROR(__xludf.DUMMYFUNCTION("""COMPUTED_VALUE"""),"Medium")</f>
        <v>Medium</v>
      </c>
      <c r="F1502" s="20">
        <f>IFERROR(__xludf.DUMMYFUNCTION("""COMPUTED_VALUE"""),258.0)</f>
        <v>258</v>
      </c>
      <c r="G1502" s="20">
        <f>IFERROR(__xludf.DUMMYFUNCTION("""COMPUTED_VALUE"""),34.0)</f>
        <v>34</v>
      </c>
      <c r="H1502" s="20" t="str">
        <f>IFERROR(__xludf.DUMMYFUNCTION("""COMPUTED_VALUE"""),"Database")</f>
        <v>Database</v>
      </c>
      <c r="I1502" s="20">
        <f>IFERROR(__xludf.DUMMYFUNCTION("""COMPUTED_VALUE"""),0.577)</f>
        <v>0.577</v>
      </c>
      <c r="J1502" s="20">
        <f>IFERROR(__xludf.DUMMYFUNCTION("""COMPUTED_VALUE"""),1501.0)</f>
        <v>1501</v>
      </c>
      <c r="K1502" s="20" t="b">
        <f>IFERROR(__xludf.DUMMYFUNCTION("""COMPUTED_VALUE"""),TRUE)</f>
        <v>1</v>
      </c>
      <c r="L1502" s="20" t="str">
        <f>IFERROR(__xludf.DUMMYFUNCTION("""COMPUTED_VALUE"""),"Database;")</f>
        <v>Database;</v>
      </c>
      <c r="M1502" s="20" t="b">
        <f>IFERROR(__xludf.DUMMYFUNCTION("""COMPUTED_VALUE"""),FALSE)</f>
        <v>0</v>
      </c>
      <c r="N1502" s="20" t="b">
        <f>IFERROR(__xludf.DUMMYFUNCTION("""COMPUTED_VALUE"""),FALSE)</f>
        <v>0</v>
      </c>
      <c r="O1502" s="20">
        <f>IFERROR(__xludf.DUMMYFUNCTION("""COMPUTED_VALUE"""),57.6633140302753)</f>
        <v>57.66331403</v>
      </c>
      <c r="P1502" s="20">
        <f>IFERROR(__xludf.DUMMYFUNCTION("""COMPUTED_VALUE"""),28379.0)</f>
        <v>28379</v>
      </c>
      <c r="Q1502" s="20">
        <f>IFERROR(__xludf.DUMMYFUNCTION("""COMPUTED_VALUE"""),49215.0)</f>
        <v>49215</v>
      </c>
    </row>
    <row r="1503">
      <c r="A1503" s="20">
        <f>IFERROR(__xludf.DUMMYFUNCTION("""COMPUTED_VALUE"""),1626.0)</f>
        <v>1626</v>
      </c>
      <c r="B1503" s="20" t="str">
        <f>IFERROR(__xludf.DUMMYFUNCTION("""COMPUTED_VALUE"""),"Can Make Arithmetic Progression From Sequence")</f>
        <v>Can Make Arithmetic Progression From Sequence</v>
      </c>
      <c r="C1503" s="20" t="str">
        <f>IFERROR(__xludf.DUMMYFUNCTION("""COMPUTED_VALUE"""),"can-make-arithmetic-progression-from-sequence")</f>
        <v>can-make-arithmetic-progression-from-sequence</v>
      </c>
      <c r="D1503" s="20" t="b">
        <f>IFERROR(__xludf.DUMMYFUNCTION("""COMPUTED_VALUE"""),FALSE)</f>
        <v>0</v>
      </c>
      <c r="E1503" s="20" t="str">
        <f>IFERROR(__xludf.DUMMYFUNCTION("""COMPUTED_VALUE"""),"Easy")</f>
        <v>Easy</v>
      </c>
      <c r="F1503" s="20">
        <f>IFERROR(__xludf.DUMMYFUNCTION("""COMPUTED_VALUE"""),939.0)</f>
        <v>939</v>
      </c>
      <c r="G1503" s="20">
        <f>IFERROR(__xludf.DUMMYFUNCTION("""COMPUTED_VALUE"""),57.0)</f>
        <v>57</v>
      </c>
      <c r="H1503" s="20" t="str">
        <f>IFERROR(__xludf.DUMMYFUNCTION("""COMPUTED_VALUE"""),"Algorithms")</f>
        <v>Algorithms</v>
      </c>
      <c r="I1503" s="20">
        <f>IFERROR(__xludf.DUMMYFUNCTION("""COMPUTED_VALUE"""),0.68)</f>
        <v>0.68</v>
      </c>
      <c r="J1503" s="20">
        <f>IFERROR(__xludf.DUMMYFUNCTION("""COMPUTED_VALUE"""),1502.0)</f>
        <v>1502</v>
      </c>
      <c r="K1503" s="20" t="b">
        <f>IFERROR(__xludf.DUMMYFUNCTION("""COMPUTED_VALUE"""),FALSE)</f>
        <v>0</v>
      </c>
      <c r="L1503" s="20" t="str">
        <f>IFERROR(__xludf.DUMMYFUNCTION("""COMPUTED_VALUE"""),"Array;Sorting;")</f>
        <v>Array;Sorting;</v>
      </c>
      <c r="M1503" s="20" t="b">
        <f>IFERROR(__xludf.DUMMYFUNCTION("""COMPUTED_VALUE"""),FALSE)</f>
        <v>0</v>
      </c>
      <c r="N1503" s="20" t="b">
        <f>IFERROR(__xludf.DUMMYFUNCTION("""COMPUTED_VALUE"""),FALSE)</f>
        <v>0</v>
      </c>
      <c r="O1503" s="20">
        <f>IFERROR(__xludf.DUMMYFUNCTION("""COMPUTED_VALUE"""),68.0344896778838)</f>
        <v>68.03448968</v>
      </c>
      <c r="P1503" s="20">
        <f>IFERROR(__xludf.DUMMYFUNCTION("""COMPUTED_VALUE"""),115275.0)</f>
        <v>115275</v>
      </c>
      <c r="Q1503" s="20">
        <f>IFERROR(__xludf.DUMMYFUNCTION("""COMPUTED_VALUE"""),169437.0)</f>
        <v>169437</v>
      </c>
    </row>
    <row r="1504">
      <c r="A1504" s="20">
        <f>IFERROR(__xludf.DUMMYFUNCTION("""COMPUTED_VALUE"""),1627.0)</f>
        <v>1627</v>
      </c>
      <c r="B1504" s="20" t="str">
        <f>IFERROR(__xludf.DUMMYFUNCTION("""COMPUTED_VALUE"""),"Last Moment Before All Ants Fall Out of a Plank")</f>
        <v>Last Moment Before All Ants Fall Out of a Plank</v>
      </c>
      <c r="C1504" s="20" t="str">
        <f>IFERROR(__xludf.DUMMYFUNCTION("""COMPUTED_VALUE"""),"last-moment-before-all-ants-fall-out-of-a-plank")</f>
        <v>last-moment-before-all-ants-fall-out-of-a-plank</v>
      </c>
      <c r="D1504" s="20" t="b">
        <f>IFERROR(__xludf.DUMMYFUNCTION("""COMPUTED_VALUE"""),FALSE)</f>
        <v>0</v>
      </c>
      <c r="E1504" s="20" t="str">
        <f>IFERROR(__xludf.DUMMYFUNCTION("""COMPUTED_VALUE"""),"Medium")</f>
        <v>Medium</v>
      </c>
      <c r="F1504" s="20">
        <f>IFERROR(__xludf.DUMMYFUNCTION("""COMPUTED_VALUE"""),410.0)</f>
        <v>410</v>
      </c>
      <c r="G1504" s="20">
        <f>IFERROR(__xludf.DUMMYFUNCTION("""COMPUTED_VALUE"""),194.0)</f>
        <v>194</v>
      </c>
      <c r="H1504" s="20" t="str">
        <f>IFERROR(__xludf.DUMMYFUNCTION("""COMPUTED_VALUE"""),"Algorithms")</f>
        <v>Algorithms</v>
      </c>
      <c r="I1504" s="20">
        <f>IFERROR(__xludf.DUMMYFUNCTION("""COMPUTED_VALUE"""),0.554)</f>
        <v>0.554</v>
      </c>
      <c r="J1504" s="20">
        <f>IFERROR(__xludf.DUMMYFUNCTION("""COMPUTED_VALUE"""),1503.0)</f>
        <v>1503</v>
      </c>
      <c r="K1504" s="20" t="b">
        <f>IFERROR(__xludf.DUMMYFUNCTION("""COMPUTED_VALUE"""),FALSE)</f>
        <v>0</v>
      </c>
      <c r="L1504" s="20" t="str">
        <f>IFERROR(__xludf.DUMMYFUNCTION("""COMPUTED_VALUE"""),"Array;Brainteaser;Simulation;")</f>
        <v>Array;Brainteaser;Simulation;</v>
      </c>
      <c r="M1504" s="20" t="b">
        <f>IFERROR(__xludf.DUMMYFUNCTION("""COMPUTED_VALUE"""),FALSE)</f>
        <v>0</v>
      </c>
      <c r="N1504" s="20" t="b">
        <f>IFERROR(__xludf.DUMMYFUNCTION("""COMPUTED_VALUE"""),FALSE)</f>
        <v>0</v>
      </c>
      <c r="O1504" s="20">
        <f>IFERROR(__xludf.DUMMYFUNCTION("""COMPUTED_VALUE"""),55.3743961352657)</f>
        <v>55.37439614</v>
      </c>
      <c r="P1504" s="20">
        <f>IFERROR(__xludf.DUMMYFUNCTION("""COMPUTED_VALUE"""),17422.0)</f>
        <v>17422</v>
      </c>
      <c r="Q1504" s="20">
        <f>IFERROR(__xludf.DUMMYFUNCTION("""COMPUTED_VALUE"""),31463.0)</f>
        <v>31463</v>
      </c>
    </row>
    <row r="1505">
      <c r="A1505" s="20">
        <f>IFERROR(__xludf.DUMMYFUNCTION("""COMPUTED_VALUE"""),1628.0)</f>
        <v>1628</v>
      </c>
      <c r="B1505" s="20" t="str">
        <f>IFERROR(__xludf.DUMMYFUNCTION("""COMPUTED_VALUE"""),"Count Submatrices With All Ones")</f>
        <v>Count Submatrices With All Ones</v>
      </c>
      <c r="C1505" s="20" t="str">
        <f>IFERROR(__xludf.DUMMYFUNCTION("""COMPUTED_VALUE"""),"count-submatrices-with-all-ones")</f>
        <v>count-submatrices-with-all-ones</v>
      </c>
      <c r="D1505" s="20" t="b">
        <f>IFERROR(__xludf.DUMMYFUNCTION("""COMPUTED_VALUE"""),FALSE)</f>
        <v>0</v>
      </c>
      <c r="E1505" s="20" t="str">
        <f>IFERROR(__xludf.DUMMYFUNCTION("""COMPUTED_VALUE"""),"Medium")</f>
        <v>Medium</v>
      </c>
      <c r="F1505" s="20">
        <f>IFERROR(__xludf.DUMMYFUNCTION("""COMPUTED_VALUE"""),1775.0)</f>
        <v>1775</v>
      </c>
      <c r="G1505" s="20">
        <f>IFERROR(__xludf.DUMMYFUNCTION("""COMPUTED_VALUE"""),142.0)</f>
        <v>142</v>
      </c>
      <c r="H1505" s="20" t="str">
        <f>IFERROR(__xludf.DUMMYFUNCTION("""COMPUTED_VALUE"""),"Algorithms")</f>
        <v>Algorithms</v>
      </c>
      <c r="I1505" s="20">
        <f>IFERROR(__xludf.DUMMYFUNCTION("""COMPUTED_VALUE"""),0.577)</f>
        <v>0.577</v>
      </c>
      <c r="J1505" s="20">
        <f>IFERROR(__xludf.DUMMYFUNCTION("""COMPUTED_VALUE"""),1504.0)</f>
        <v>1504</v>
      </c>
      <c r="K1505" s="20" t="b">
        <f>IFERROR(__xludf.DUMMYFUNCTION("""COMPUTED_VALUE"""),FALSE)</f>
        <v>0</v>
      </c>
      <c r="L1505" s="20" t="str">
        <f>IFERROR(__xludf.DUMMYFUNCTION("""COMPUTED_VALUE"""),"Array;Dynamic Programming;Stack;Matrix;Monotonic Stack;")</f>
        <v>Array;Dynamic Programming;Stack;Matrix;Monotonic Stack;</v>
      </c>
      <c r="M1505" s="20" t="b">
        <f>IFERROR(__xludf.DUMMYFUNCTION("""COMPUTED_VALUE"""),FALSE)</f>
        <v>0</v>
      </c>
      <c r="N1505" s="20" t="b">
        <f>IFERROR(__xludf.DUMMYFUNCTION("""COMPUTED_VALUE"""),FALSE)</f>
        <v>0</v>
      </c>
      <c r="O1505" s="20">
        <f>IFERROR(__xludf.DUMMYFUNCTION("""COMPUTED_VALUE"""),57.7086436096861)</f>
        <v>57.70864361</v>
      </c>
      <c r="P1505" s="20">
        <f>IFERROR(__xludf.DUMMYFUNCTION("""COMPUTED_VALUE"""),41847.0)</f>
        <v>41847</v>
      </c>
      <c r="Q1505" s="20">
        <f>IFERROR(__xludf.DUMMYFUNCTION("""COMPUTED_VALUE"""),72515.0)</f>
        <v>72515</v>
      </c>
    </row>
    <row r="1506">
      <c r="A1506" s="20">
        <f>IFERROR(__xludf.DUMMYFUNCTION("""COMPUTED_VALUE"""),1629.0)</f>
        <v>1629</v>
      </c>
      <c r="B1506" s="20" t="str">
        <f>IFERROR(__xludf.DUMMYFUNCTION("""COMPUTED_VALUE"""),"Minimum Possible Integer After at Most K Adjacent Swaps On Digits")</f>
        <v>Minimum Possible Integer After at Most K Adjacent Swaps On Digits</v>
      </c>
      <c r="C1506" s="20" t="str">
        <f>IFERROR(__xludf.DUMMYFUNCTION("""COMPUTED_VALUE"""),"minimum-possible-integer-after-at-most-k-adjacent-swaps-on-digits")</f>
        <v>minimum-possible-integer-after-at-most-k-adjacent-swaps-on-digits</v>
      </c>
      <c r="D1506" s="20" t="b">
        <f>IFERROR(__xludf.DUMMYFUNCTION("""COMPUTED_VALUE"""),FALSE)</f>
        <v>0</v>
      </c>
      <c r="E1506" s="20" t="str">
        <f>IFERROR(__xludf.DUMMYFUNCTION("""COMPUTED_VALUE"""),"Hard")</f>
        <v>Hard</v>
      </c>
      <c r="F1506" s="20">
        <f>IFERROR(__xludf.DUMMYFUNCTION("""COMPUTED_VALUE"""),397.0)</f>
        <v>397</v>
      </c>
      <c r="G1506" s="20">
        <f>IFERROR(__xludf.DUMMYFUNCTION("""COMPUTED_VALUE"""),22.0)</f>
        <v>22</v>
      </c>
      <c r="H1506" s="20" t="str">
        <f>IFERROR(__xludf.DUMMYFUNCTION("""COMPUTED_VALUE"""),"Algorithms")</f>
        <v>Algorithms</v>
      </c>
      <c r="I1506" s="20">
        <f>IFERROR(__xludf.DUMMYFUNCTION("""COMPUTED_VALUE"""),0.383)</f>
        <v>0.383</v>
      </c>
      <c r="J1506" s="20">
        <f>IFERROR(__xludf.DUMMYFUNCTION("""COMPUTED_VALUE"""),1505.0)</f>
        <v>1505</v>
      </c>
      <c r="K1506" s="20" t="b">
        <f>IFERROR(__xludf.DUMMYFUNCTION("""COMPUTED_VALUE"""),FALSE)</f>
        <v>0</v>
      </c>
      <c r="L1506" s="20" t="str">
        <f>IFERROR(__xludf.DUMMYFUNCTION("""COMPUTED_VALUE"""),"String;Greedy;Binary Indexed Tree;Segment Tree;")</f>
        <v>String;Greedy;Binary Indexed Tree;Segment Tree;</v>
      </c>
      <c r="M1506" s="20" t="b">
        <f>IFERROR(__xludf.DUMMYFUNCTION("""COMPUTED_VALUE"""),FALSE)</f>
        <v>0</v>
      </c>
      <c r="N1506" s="20" t="b">
        <f>IFERROR(__xludf.DUMMYFUNCTION("""COMPUTED_VALUE"""),FALSE)</f>
        <v>0</v>
      </c>
      <c r="O1506" s="20">
        <f>IFERROR(__xludf.DUMMYFUNCTION("""COMPUTED_VALUE"""),38.3299110198494)</f>
        <v>38.32991102</v>
      </c>
      <c r="P1506" s="20">
        <f>IFERROR(__xludf.DUMMYFUNCTION("""COMPUTED_VALUE"""),8399.0)</f>
        <v>8399</v>
      </c>
      <c r="Q1506" s="20">
        <f>IFERROR(__xludf.DUMMYFUNCTION("""COMPUTED_VALUE"""),21914.0)</f>
        <v>21914</v>
      </c>
    </row>
    <row r="1507">
      <c r="A1507" s="20">
        <f>IFERROR(__xludf.DUMMYFUNCTION("""COMPUTED_VALUE"""),1650.0)</f>
        <v>1650</v>
      </c>
      <c r="B1507" s="20" t="str">
        <f>IFERROR(__xludf.DUMMYFUNCTION("""COMPUTED_VALUE"""),"Find Root of N-Ary Tree")</f>
        <v>Find Root of N-Ary Tree</v>
      </c>
      <c r="C1507" s="20" t="str">
        <f>IFERROR(__xludf.DUMMYFUNCTION("""COMPUTED_VALUE"""),"find-root-of-n-ary-tree")</f>
        <v>find-root-of-n-ary-tree</v>
      </c>
      <c r="D1507" s="20" t="b">
        <f>IFERROR(__xludf.DUMMYFUNCTION("""COMPUTED_VALUE"""),TRUE)</f>
        <v>1</v>
      </c>
      <c r="E1507" s="20" t="str">
        <f>IFERROR(__xludf.DUMMYFUNCTION("""COMPUTED_VALUE"""),"Medium")</f>
        <v>Medium</v>
      </c>
      <c r="F1507" s="20">
        <f>IFERROR(__xludf.DUMMYFUNCTION("""COMPUTED_VALUE"""),399.0)</f>
        <v>399</v>
      </c>
      <c r="G1507" s="20">
        <f>IFERROR(__xludf.DUMMYFUNCTION("""COMPUTED_VALUE"""),151.0)</f>
        <v>151</v>
      </c>
      <c r="H1507" s="20" t="str">
        <f>IFERROR(__xludf.DUMMYFUNCTION("""COMPUTED_VALUE"""),"Algorithms")</f>
        <v>Algorithms</v>
      </c>
      <c r="I1507" s="20">
        <f>IFERROR(__xludf.DUMMYFUNCTION("""COMPUTED_VALUE"""),0.783)</f>
        <v>0.783</v>
      </c>
      <c r="J1507" s="20">
        <f>IFERROR(__xludf.DUMMYFUNCTION("""COMPUTED_VALUE"""),1506.0)</f>
        <v>1506</v>
      </c>
      <c r="K1507" s="20" t="b">
        <f>IFERROR(__xludf.DUMMYFUNCTION("""COMPUTED_VALUE"""),TRUE)</f>
        <v>1</v>
      </c>
      <c r="L1507" s="20" t="str">
        <f>IFERROR(__xludf.DUMMYFUNCTION("""COMPUTED_VALUE"""),"Hash Table;Bit Manipulation;Tree;Depth-First Search;")</f>
        <v>Hash Table;Bit Manipulation;Tree;Depth-First Search;</v>
      </c>
      <c r="M1507" s="20" t="b">
        <f>IFERROR(__xludf.DUMMYFUNCTION("""COMPUTED_VALUE"""),TRUE)</f>
        <v>1</v>
      </c>
      <c r="N1507" s="20" t="b">
        <f>IFERROR(__xludf.DUMMYFUNCTION("""COMPUTED_VALUE"""),FALSE)</f>
        <v>0</v>
      </c>
      <c r="O1507" s="20">
        <f>IFERROR(__xludf.DUMMYFUNCTION("""COMPUTED_VALUE"""),78.3202340657449)</f>
        <v>78.32023407</v>
      </c>
      <c r="P1507" s="20">
        <f>IFERROR(__xludf.DUMMYFUNCTION("""COMPUTED_VALUE"""),27304.0)</f>
        <v>27304</v>
      </c>
      <c r="Q1507" s="20">
        <f>IFERROR(__xludf.DUMMYFUNCTION("""COMPUTED_VALUE"""),34862.0)</f>
        <v>34862</v>
      </c>
    </row>
    <row r="1508">
      <c r="A1508" s="20">
        <f>IFERROR(__xludf.DUMMYFUNCTION("""COMPUTED_VALUE"""),1283.0)</f>
        <v>1283</v>
      </c>
      <c r="B1508" s="20" t="str">
        <f>IFERROR(__xludf.DUMMYFUNCTION("""COMPUTED_VALUE"""),"Reformat Date")</f>
        <v>Reformat Date</v>
      </c>
      <c r="C1508" s="20" t="str">
        <f>IFERROR(__xludf.DUMMYFUNCTION("""COMPUTED_VALUE"""),"reformat-date")</f>
        <v>reformat-date</v>
      </c>
      <c r="D1508" s="20" t="b">
        <f>IFERROR(__xludf.DUMMYFUNCTION("""COMPUTED_VALUE"""),FALSE)</f>
        <v>0</v>
      </c>
      <c r="E1508" s="20" t="str">
        <f>IFERROR(__xludf.DUMMYFUNCTION("""COMPUTED_VALUE"""),"Easy")</f>
        <v>Easy</v>
      </c>
      <c r="F1508" s="20">
        <f>IFERROR(__xludf.DUMMYFUNCTION("""COMPUTED_VALUE"""),327.0)</f>
        <v>327</v>
      </c>
      <c r="G1508" s="20">
        <f>IFERROR(__xludf.DUMMYFUNCTION("""COMPUTED_VALUE"""),380.0)</f>
        <v>380</v>
      </c>
      <c r="H1508" s="20" t="str">
        <f>IFERROR(__xludf.DUMMYFUNCTION("""COMPUTED_VALUE"""),"Algorithms")</f>
        <v>Algorithms</v>
      </c>
      <c r="I1508" s="20">
        <f>IFERROR(__xludf.DUMMYFUNCTION("""COMPUTED_VALUE"""),0.627)</f>
        <v>0.627</v>
      </c>
      <c r="J1508" s="20">
        <f>IFERROR(__xludf.DUMMYFUNCTION("""COMPUTED_VALUE"""),1507.0)</f>
        <v>1507</v>
      </c>
      <c r="K1508" s="20" t="b">
        <f>IFERROR(__xludf.DUMMYFUNCTION("""COMPUTED_VALUE"""),FALSE)</f>
        <v>0</v>
      </c>
      <c r="L1508" s="20" t="str">
        <f>IFERROR(__xludf.DUMMYFUNCTION("""COMPUTED_VALUE"""),"String;")</f>
        <v>String;</v>
      </c>
      <c r="M1508" s="20" t="b">
        <f>IFERROR(__xludf.DUMMYFUNCTION("""COMPUTED_VALUE"""),FALSE)</f>
        <v>0</v>
      </c>
      <c r="N1508" s="20" t="b">
        <f>IFERROR(__xludf.DUMMYFUNCTION("""COMPUTED_VALUE"""),FALSE)</f>
        <v>0</v>
      </c>
      <c r="O1508" s="20">
        <f>IFERROR(__xludf.DUMMYFUNCTION("""COMPUTED_VALUE"""),62.7418993300291)</f>
        <v>62.74189933</v>
      </c>
      <c r="P1508" s="20">
        <f>IFERROR(__xludf.DUMMYFUNCTION("""COMPUTED_VALUE"""),50383.0)</f>
        <v>50383</v>
      </c>
      <c r="Q1508" s="20">
        <f>IFERROR(__xludf.DUMMYFUNCTION("""COMPUTED_VALUE"""),80302.0)</f>
        <v>80302</v>
      </c>
    </row>
    <row r="1509">
      <c r="A1509" s="20">
        <f>IFERROR(__xludf.DUMMYFUNCTION("""COMPUTED_VALUE"""),1615.0)</f>
        <v>1615</v>
      </c>
      <c r="B1509" s="20" t="str">
        <f>IFERROR(__xludf.DUMMYFUNCTION("""COMPUTED_VALUE"""),"Range Sum of Sorted Subarray Sums")</f>
        <v>Range Sum of Sorted Subarray Sums</v>
      </c>
      <c r="C1509" s="20" t="str">
        <f>IFERROR(__xludf.DUMMYFUNCTION("""COMPUTED_VALUE"""),"range-sum-of-sorted-subarray-sums")</f>
        <v>range-sum-of-sorted-subarray-sums</v>
      </c>
      <c r="D1509" s="20" t="b">
        <f>IFERROR(__xludf.DUMMYFUNCTION("""COMPUTED_VALUE"""),FALSE)</f>
        <v>0</v>
      </c>
      <c r="E1509" s="20" t="str">
        <f>IFERROR(__xludf.DUMMYFUNCTION("""COMPUTED_VALUE"""),"Medium")</f>
        <v>Medium</v>
      </c>
      <c r="F1509" s="20">
        <f>IFERROR(__xludf.DUMMYFUNCTION("""COMPUTED_VALUE"""),767.0)</f>
        <v>767</v>
      </c>
      <c r="G1509" s="20">
        <f>IFERROR(__xludf.DUMMYFUNCTION("""COMPUTED_VALUE"""),131.0)</f>
        <v>131</v>
      </c>
      <c r="H1509" s="20" t="str">
        <f>IFERROR(__xludf.DUMMYFUNCTION("""COMPUTED_VALUE"""),"Algorithms")</f>
        <v>Algorithms</v>
      </c>
      <c r="I1509" s="20">
        <f>IFERROR(__xludf.DUMMYFUNCTION("""COMPUTED_VALUE"""),0.592)</f>
        <v>0.592</v>
      </c>
      <c r="J1509" s="20">
        <f>IFERROR(__xludf.DUMMYFUNCTION("""COMPUTED_VALUE"""),1508.0)</f>
        <v>1508</v>
      </c>
      <c r="K1509" s="20" t="b">
        <f>IFERROR(__xludf.DUMMYFUNCTION("""COMPUTED_VALUE"""),FALSE)</f>
        <v>0</v>
      </c>
      <c r="L1509" s="20" t="str">
        <f>IFERROR(__xludf.DUMMYFUNCTION("""COMPUTED_VALUE"""),"Array;Two Pointers;Binary Search;Sorting;")</f>
        <v>Array;Two Pointers;Binary Search;Sorting;</v>
      </c>
      <c r="M1509" s="20" t="b">
        <f>IFERROR(__xludf.DUMMYFUNCTION("""COMPUTED_VALUE"""),FALSE)</f>
        <v>0</v>
      </c>
      <c r="N1509" s="20" t="b">
        <f>IFERROR(__xludf.DUMMYFUNCTION("""COMPUTED_VALUE"""),FALSE)</f>
        <v>0</v>
      </c>
      <c r="O1509" s="20">
        <f>IFERROR(__xludf.DUMMYFUNCTION("""COMPUTED_VALUE"""),59.2036135936258)</f>
        <v>59.20361359</v>
      </c>
      <c r="P1509" s="20">
        <f>IFERROR(__xludf.DUMMYFUNCTION("""COMPUTED_VALUE"""),30538.0)</f>
        <v>30538</v>
      </c>
      <c r="Q1509" s="20">
        <f>IFERROR(__xludf.DUMMYFUNCTION("""COMPUTED_VALUE"""),51582.0)</f>
        <v>51582</v>
      </c>
    </row>
    <row r="1510">
      <c r="A1510" s="20">
        <f>IFERROR(__xludf.DUMMYFUNCTION("""COMPUTED_VALUE"""),1616.0)</f>
        <v>1616</v>
      </c>
      <c r="B1510" s="20" t="str">
        <f>IFERROR(__xludf.DUMMYFUNCTION("""COMPUTED_VALUE"""),"Minimum Difference Between Largest and Smallest Value in Three Moves")</f>
        <v>Minimum Difference Between Largest and Smallest Value in Three Moves</v>
      </c>
      <c r="C1510" s="20" t="str">
        <f>IFERROR(__xludf.DUMMYFUNCTION("""COMPUTED_VALUE"""),"minimum-difference-between-largest-and-smallest-value-in-three-moves")</f>
        <v>minimum-difference-between-largest-and-smallest-value-in-three-moves</v>
      </c>
      <c r="D1510" s="20" t="b">
        <f>IFERROR(__xludf.DUMMYFUNCTION("""COMPUTED_VALUE"""),FALSE)</f>
        <v>0</v>
      </c>
      <c r="E1510" s="20" t="str">
        <f>IFERROR(__xludf.DUMMYFUNCTION("""COMPUTED_VALUE"""),"Medium")</f>
        <v>Medium</v>
      </c>
      <c r="F1510" s="20">
        <f>IFERROR(__xludf.DUMMYFUNCTION("""COMPUTED_VALUE"""),1345.0)</f>
        <v>1345</v>
      </c>
      <c r="G1510" s="20">
        <f>IFERROR(__xludf.DUMMYFUNCTION("""COMPUTED_VALUE"""),159.0)</f>
        <v>159</v>
      </c>
      <c r="H1510" s="20" t="str">
        <f>IFERROR(__xludf.DUMMYFUNCTION("""COMPUTED_VALUE"""),"Algorithms")</f>
        <v>Algorithms</v>
      </c>
      <c r="I1510" s="20">
        <f>IFERROR(__xludf.DUMMYFUNCTION("""COMPUTED_VALUE"""),0.546)</f>
        <v>0.546</v>
      </c>
      <c r="J1510" s="20">
        <f>IFERROR(__xludf.DUMMYFUNCTION("""COMPUTED_VALUE"""),1509.0)</f>
        <v>1509</v>
      </c>
      <c r="K1510" s="20" t="b">
        <f>IFERROR(__xludf.DUMMYFUNCTION("""COMPUTED_VALUE"""),FALSE)</f>
        <v>0</v>
      </c>
      <c r="L1510" s="20" t="str">
        <f>IFERROR(__xludf.DUMMYFUNCTION("""COMPUTED_VALUE"""),"Array;Greedy;Sorting;")</f>
        <v>Array;Greedy;Sorting;</v>
      </c>
      <c r="M1510" s="20" t="b">
        <f>IFERROR(__xludf.DUMMYFUNCTION("""COMPUTED_VALUE"""),FALSE)</f>
        <v>0</v>
      </c>
      <c r="N1510" s="20" t="b">
        <f>IFERROR(__xludf.DUMMYFUNCTION("""COMPUTED_VALUE"""),FALSE)</f>
        <v>0</v>
      </c>
      <c r="O1510" s="20">
        <f>IFERROR(__xludf.DUMMYFUNCTION("""COMPUTED_VALUE"""),54.6475896390454)</f>
        <v>54.64758964</v>
      </c>
      <c r="P1510" s="20">
        <f>IFERROR(__xludf.DUMMYFUNCTION("""COMPUTED_VALUE"""),72909.0)</f>
        <v>72909</v>
      </c>
      <c r="Q1510" s="20">
        <f>IFERROR(__xludf.DUMMYFUNCTION("""COMPUTED_VALUE"""),133420.0)</f>
        <v>133420</v>
      </c>
    </row>
    <row r="1511">
      <c r="A1511" s="20">
        <f>IFERROR(__xludf.DUMMYFUNCTION("""COMPUTED_VALUE"""),1617.0)</f>
        <v>1617</v>
      </c>
      <c r="B1511" s="20" t="str">
        <f>IFERROR(__xludf.DUMMYFUNCTION("""COMPUTED_VALUE"""),"Stone Game IV")</f>
        <v>Stone Game IV</v>
      </c>
      <c r="C1511" s="20" t="str">
        <f>IFERROR(__xludf.DUMMYFUNCTION("""COMPUTED_VALUE"""),"stone-game-iv")</f>
        <v>stone-game-iv</v>
      </c>
      <c r="D1511" s="20" t="b">
        <f>IFERROR(__xludf.DUMMYFUNCTION("""COMPUTED_VALUE"""),FALSE)</f>
        <v>0</v>
      </c>
      <c r="E1511" s="20" t="str">
        <f>IFERROR(__xludf.DUMMYFUNCTION("""COMPUTED_VALUE"""),"Hard")</f>
        <v>Hard</v>
      </c>
      <c r="F1511" s="20">
        <f>IFERROR(__xludf.DUMMYFUNCTION("""COMPUTED_VALUE"""),1392.0)</f>
        <v>1392</v>
      </c>
      <c r="G1511" s="20">
        <f>IFERROR(__xludf.DUMMYFUNCTION("""COMPUTED_VALUE"""),63.0)</f>
        <v>63</v>
      </c>
      <c r="H1511" s="20" t="str">
        <f>IFERROR(__xludf.DUMMYFUNCTION("""COMPUTED_VALUE"""),"Algorithms")</f>
        <v>Algorithms</v>
      </c>
      <c r="I1511" s="20">
        <f>IFERROR(__xludf.DUMMYFUNCTION("""COMPUTED_VALUE"""),0.605)</f>
        <v>0.605</v>
      </c>
      <c r="J1511" s="20">
        <f>IFERROR(__xludf.DUMMYFUNCTION("""COMPUTED_VALUE"""),1510.0)</f>
        <v>1510</v>
      </c>
      <c r="K1511" s="20" t="b">
        <f>IFERROR(__xludf.DUMMYFUNCTION("""COMPUTED_VALUE"""),FALSE)</f>
        <v>0</v>
      </c>
      <c r="L1511" s="20" t="str">
        <f>IFERROR(__xludf.DUMMYFUNCTION("""COMPUTED_VALUE"""),"Math;Dynamic Programming;Game Theory;")</f>
        <v>Math;Dynamic Programming;Game Theory;</v>
      </c>
      <c r="M1511" s="20" t="b">
        <f>IFERROR(__xludf.DUMMYFUNCTION("""COMPUTED_VALUE"""),TRUE)</f>
        <v>1</v>
      </c>
      <c r="N1511" s="20" t="b">
        <f>IFERROR(__xludf.DUMMYFUNCTION("""COMPUTED_VALUE"""),FALSE)</f>
        <v>0</v>
      </c>
      <c r="O1511" s="20">
        <f>IFERROR(__xludf.DUMMYFUNCTION("""COMPUTED_VALUE"""),60.4796702982198)</f>
        <v>60.4796703</v>
      </c>
      <c r="P1511" s="20">
        <f>IFERROR(__xludf.DUMMYFUNCTION("""COMPUTED_VALUE"""),63393.0)</f>
        <v>63393</v>
      </c>
      <c r="Q1511" s="20">
        <f>IFERROR(__xludf.DUMMYFUNCTION("""COMPUTED_VALUE"""),104819.0)</f>
        <v>104819</v>
      </c>
    </row>
    <row r="1512">
      <c r="A1512" s="20">
        <f>IFERROR(__xludf.DUMMYFUNCTION("""COMPUTED_VALUE"""),1654.0)</f>
        <v>1654</v>
      </c>
      <c r="B1512" s="20" t="str">
        <f>IFERROR(__xludf.DUMMYFUNCTION("""COMPUTED_VALUE"""),"Customer Order Frequency")</f>
        <v>Customer Order Frequency</v>
      </c>
      <c r="C1512" s="20" t="str">
        <f>IFERROR(__xludf.DUMMYFUNCTION("""COMPUTED_VALUE"""),"customer-order-frequency")</f>
        <v>customer-order-frequency</v>
      </c>
      <c r="D1512" s="20" t="b">
        <f>IFERROR(__xludf.DUMMYFUNCTION("""COMPUTED_VALUE"""),TRUE)</f>
        <v>1</v>
      </c>
      <c r="E1512" s="20" t="str">
        <f>IFERROR(__xludf.DUMMYFUNCTION("""COMPUTED_VALUE"""),"Easy")</f>
        <v>Easy</v>
      </c>
      <c r="F1512" s="20">
        <f>IFERROR(__xludf.DUMMYFUNCTION("""COMPUTED_VALUE"""),269.0)</f>
        <v>269</v>
      </c>
      <c r="G1512" s="20">
        <f>IFERROR(__xludf.DUMMYFUNCTION("""COMPUTED_VALUE"""),54.0)</f>
        <v>54</v>
      </c>
      <c r="H1512" s="20" t="str">
        <f>IFERROR(__xludf.DUMMYFUNCTION("""COMPUTED_VALUE"""),"Database")</f>
        <v>Database</v>
      </c>
      <c r="I1512" s="20">
        <f>IFERROR(__xludf.DUMMYFUNCTION("""COMPUTED_VALUE"""),0.728)</f>
        <v>0.728</v>
      </c>
      <c r="J1512" s="20">
        <f>IFERROR(__xludf.DUMMYFUNCTION("""COMPUTED_VALUE"""),1511.0)</f>
        <v>1511</v>
      </c>
      <c r="K1512" s="20" t="b">
        <f>IFERROR(__xludf.DUMMYFUNCTION("""COMPUTED_VALUE"""),TRUE)</f>
        <v>1</v>
      </c>
      <c r="L1512" s="20" t="str">
        <f>IFERROR(__xludf.DUMMYFUNCTION("""COMPUTED_VALUE"""),"Database;")</f>
        <v>Database;</v>
      </c>
      <c r="M1512" s="20" t="b">
        <f>IFERROR(__xludf.DUMMYFUNCTION("""COMPUTED_VALUE"""),FALSE)</f>
        <v>0</v>
      </c>
      <c r="N1512" s="20" t="b">
        <f>IFERROR(__xludf.DUMMYFUNCTION("""COMPUTED_VALUE"""),FALSE)</f>
        <v>0</v>
      </c>
      <c r="O1512" s="20">
        <f>IFERROR(__xludf.DUMMYFUNCTION("""COMPUTED_VALUE"""),72.7709324814742)</f>
        <v>72.77093248</v>
      </c>
      <c r="P1512" s="20">
        <f>IFERROR(__xludf.DUMMYFUNCTION("""COMPUTED_VALUE"""),33486.0)</f>
        <v>33486</v>
      </c>
      <c r="Q1512" s="20">
        <f>IFERROR(__xludf.DUMMYFUNCTION("""COMPUTED_VALUE"""),46016.0)</f>
        <v>46016</v>
      </c>
    </row>
    <row r="1513">
      <c r="A1513" s="20">
        <f>IFERROR(__xludf.DUMMYFUNCTION("""COMPUTED_VALUE"""),1635.0)</f>
        <v>1635</v>
      </c>
      <c r="B1513" s="20" t="str">
        <f>IFERROR(__xludf.DUMMYFUNCTION("""COMPUTED_VALUE"""),"Number of Good Pairs")</f>
        <v>Number of Good Pairs</v>
      </c>
      <c r="C1513" s="20" t="str">
        <f>IFERROR(__xludf.DUMMYFUNCTION("""COMPUTED_VALUE"""),"number-of-good-pairs")</f>
        <v>number-of-good-pairs</v>
      </c>
      <c r="D1513" s="20" t="b">
        <f>IFERROR(__xludf.DUMMYFUNCTION("""COMPUTED_VALUE"""),FALSE)</f>
        <v>0</v>
      </c>
      <c r="E1513" s="20" t="str">
        <f>IFERROR(__xludf.DUMMYFUNCTION("""COMPUTED_VALUE"""),"Easy")</f>
        <v>Easy</v>
      </c>
      <c r="F1513" s="20">
        <f>IFERROR(__xludf.DUMMYFUNCTION("""COMPUTED_VALUE"""),3439.0)</f>
        <v>3439</v>
      </c>
      <c r="G1513" s="20">
        <f>IFERROR(__xludf.DUMMYFUNCTION("""COMPUTED_VALUE"""),177.0)</f>
        <v>177</v>
      </c>
      <c r="H1513" s="20" t="str">
        <f>IFERROR(__xludf.DUMMYFUNCTION("""COMPUTED_VALUE"""),"Algorithms")</f>
        <v>Algorithms</v>
      </c>
      <c r="I1513" s="20">
        <f>IFERROR(__xludf.DUMMYFUNCTION("""COMPUTED_VALUE"""),0.882)</f>
        <v>0.882</v>
      </c>
      <c r="J1513" s="20">
        <f>IFERROR(__xludf.DUMMYFUNCTION("""COMPUTED_VALUE"""),1512.0)</f>
        <v>1512</v>
      </c>
      <c r="K1513" s="20" t="b">
        <f>IFERROR(__xludf.DUMMYFUNCTION("""COMPUTED_VALUE"""),FALSE)</f>
        <v>0</v>
      </c>
      <c r="L1513" s="20" t="str">
        <f>IFERROR(__xludf.DUMMYFUNCTION("""COMPUTED_VALUE"""),"Array;Hash Table;Math;Counting;")</f>
        <v>Array;Hash Table;Math;Counting;</v>
      </c>
      <c r="M1513" s="20" t="b">
        <f>IFERROR(__xludf.DUMMYFUNCTION("""COMPUTED_VALUE"""),FALSE)</f>
        <v>0</v>
      </c>
      <c r="N1513" s="20" t="b">
        <f>IFERROR(__xludf.DUMMYFUNCTION("""COMPUTED_VALUE"""),FALSE)</f>
        <v>0</v>
      </c>
      <c r="O1513" s="20">
        <f>IFERROR(__xludf.DUMMYFUNCTION("""COMPUTED_VALUE"""),88.2308286709404)</f>
        <v>88.23082867</v>
      </c>
      <c r="P1513" s="20">
        <f>IFERROR(__xludf.DUMMYFUNCTION("""COMPUTED_VALUE"""),389349.0)</f>
        <v>389349</v>
      </c>
      <c r="Q1513" s="20">
        <f>IFERROR(__xludf.DUMMYFUNCTION("""COMPUTED_VALUE"""),441285.0)</f>
        <v>441285</v>
      </c>
    </row>
    <row r="1514">
      <c r="A1514" s="20">
        <f>IFERROR(__xludf.DUMMYFUNCTION("""COMPUTED_VALUE"""),1636.0)</f>
        <v>1636</v>
      </c>
      <c r="B1514" s="20" t="str">
        <f>IFERROR(__xludf.DUMMYFUNCTION("""COMPUTED_VALUE"""),"Number of Substrings With Only 1s")</f>
        <v>Number of Substrings With Only 1s</v>
      </c>
      <c r="C1514" s="20" t="str">
        <f>IFERROR(__xludf.DUMMYFUNCTION("""COMPUTED_VALUE"""),"number-of-substrings-with-only-1s")</f>
        <v>number-of-substrings-with-only-1s</v>
      </c>
      <c r="D1514" s="20" t="b">
        <f>IFERROR(__xludf.DUMMYFUNCTION("""COMPUTED_VALUE"""),FALSE)</f>
        <v>0</v>
      </c>
      <c r="E1514" s="20" t="str">
        <f>IFERROR(__xludf.DUMMYFUNCTION("""COMPUTED_VALUE"""),"Medium")</f>
        <v>Medium</v>
      </c>
      <c r="F1514" s="20">
        <f>IFERROR(__xludf.DUMMYFUNCTION("""COMPUTED_VALUE"""),658.0)</f>
        <v>658</v>
      </c>
      <c r="G1514" s="20">
        <f>IFERROR(__xludf.DUMMYFUNCTION("""COMPUTED_VALUE"""),30.0)</f>
        <v>30</v>
      </c>
      <c r="H1514" s="20" t="str">
        <f>IFERROR(__xludf.DUMMYFUNCTION("""COMPUTED_VALUE"""),"Algorithms")</f>
        <v>Algorithms</v>
      </c>
      <c r="I1514" s="20">
        <f>IFERROR(__xludf.DUMMYFUNCTION("""COMPUTED_VALUE"""),0.453)</f>
        <v>0.453</v>
      </c>
      <c r="J1514" s="20">
        <f>IFERROR(__xludf.DUMMYFUNCTION("""COMPUTED_VALUE"""),1513.0)</f>
        <v>1513</v>
      </c>
      <c r="K1514" s="20" t="b">
        <f>IFERROR(__xludf.DUMMYFUNCTION("""COMPUTED_VALUE"""),FALSE)</f>
        <v>0</v>
      </c>
      <c r="L1514" s="20" t="str">
        <f>IFERROR(__xludf.DUMMYFUNCTION("""COMPUTED_VALUE"""),"Math;String;")</f>
        <v>Math;String;</v>
      </c>
      <c r="M1514" s="20" t="b">
        <f>IFERROR(__xludf.DUMMYFUNCTION("""COMPUTED_VALUE"""),FALSE)</f>
        <v>0</v>
      </c>
      <c r="N1514" s="20" t="b">
        <f>IFERROR(__xludf.DUMMYFUNCTION("""COMPUTED_VALUE"""),FALSE)</f>
        <v>0</v>
      </c>
      <c r="O1514" s="20">
        <f>IFERROR(__xludf.DUMMYFUNCTION("""COMPUTED_VALUE"""),45.3478647221786)</f>
        <v>45.34786472</v>
      </c>
      <c r="P1514" s="20">
        <f>IFERROR(__xludf.DUMMYFUNCTION("""COMPUTED_VALUE"""),34701.0)</f>
        <v>34701</v>
      </c>
      <c r="Q1514" s="20">
        <f>IFERROR(__xludf.DUMMYFUNCTION("""COMPUTED_VALUE"""),76523.0)</f>
        <v>76523</v>
      </c>
    </row>
    <row r="1515">
      <c r="A1515" s="20">
        <f>IFERROR(__xludf.DUMMYFUNCTION("""COMPUTED_VALUE"""),1325.0)</f>
        <v>1325</v>
      </c>
      <c r="B1515" s="20" t="str">
        <f>IFERROR(__xludf.DUMMYFUNCTION("""COMPUTED_VALUE"""),"Path with Maximum Probability")</f>
        <v>Path with Maximum Probability</v>
      </c>
      <c r="C1515" s="20" t="str">
        <f>IFERROR(__xludf.DUMMYFUNCTION("""COMPUTED_VALUE"""),"path-with-maximum-probability")</f>
        <v>path-with-maximum-probability</v>
      </c>
      <c r="D1515" s="20" t="b">
        <f>IFERROR(__xludf.DUMMYFUNCTION("""COMPUTED_VALUE"""),FALSE)</f>
        <v>0</v>
      </c>
      <c r="E1515" s="20" t="str">
        <f>IFERROR(__xludf.DUMMYFUNCTION("""COMPUTED_VALUE"""),"Medium")</f>
        <v>Medium</v>
      </c>
      <c r="F1515" s="20">
        <f>IFERROR(__xludf.DUMMYFUNCTION("""COMPUTED_VALUE"""),1583.0)</f>
        <v>1583</v>
      </c>
      <c r="G1515" s="20">
        <f>IFERROR(__xludf.DUMMYFUNCTION("""COMPUTED_VALUE"""),33.0)</f>
        <v>33</v>
      </c>
      <c r="H1515" s="20" t="str">
        <f>IFERROR(__xludf.DUMMYFUNCTION("""COMPUTED_VALUE"""),"Algorithms")</f>
        <v>Algorithms</v>
      </c>
      <c r="I1515" s="20">
        <f>IFERROR(__xludf.DUMMYFUNCTION("""COMPUTED_VALUE"""),0.484)</f>
        <v>0.484</v>
      </c>
      <c r="J1515" s="20">
        <f>IFERROR(__xludf.DUMMYFUNCTION("""COMPUTED_VALUE"""),1514.0)</f>
        <v>1514</v>
      </c>
      <c r="K1515" s="20" t="b">
        <f>IFERROR(__xludf.DUMMYFUNCTION("""COMPUTED_VALUE"""),FALSE)</f>
        <v>0</v>
      </c>
      <c r="L1515" s="20" t="str">
        <f>IFERROR(__xludf.DUMMYFUNCTION("""COMPUTED_VALUE"""),"Array;Graph;Heap (Priority Queue);Shortest Path;")</f>
        <v>Array;Graph;Heap (Priority Queue);Shortest Path;</v>
      </c>
      <c r="M1515" s="20" t="b">
        <f>IFERROR(__xludf.DUMMYFUNCTION("""COMPUTED_VALUE"""),FALSE)</f>
        <v>0</v>
      </c>
      <c r="N1515" s="20" t="b">
        <f>IFERROR(__xludf.DUMMYFUNCTION("""COMPUTED_VALUE"""),FALSE)</f>
        <v>0</v>
      </c>
      <c r="O1515" s="20">
        <f>IFERROR(__xludf.DUMMYFUNCTION("""COMPUTED_VALUE"""),48.4083415827408)</f>
        <v>48.40834158</v>
      </c>
      <c r="P1515" s="20">
        <f>IFERROR(__xludf.DUMMYFUNCTION("""COMPUTED_VALUE"""),59170.0)</f>
        <v>59170</v>
      </c>
      <c r="Q1515" s="20">
        <f>IFERROR(__xludf.DUMMYFUNCTION("""COMPUTED_VALUE"""),122230.0)</f>
        <v>122230</v>
      </c>
    </row>
    <row r="1516">
      <c r="A1516" s="20">
        <f>IFERROR(__xludf.DUMMYFUNCTION("""COMPUTED_VALUE"""),1638.0)</f>
        <v>1638</v>
      </c>
      <c r="B1516" s="20" t="str">
        <f>IFERROR(__xludf.DUMMYFUNCTION("""COMPUTED_VALUE"""),"Best Position for a Service Centre")</f>
        <v>Best Position for a Service Centre</v>
      </c>
      <c r="C1516" s="20" t="str">
        <f>IFERROR(__xludf.DUMMYFUNCTION("""COMPUTED_VALUE"""),"best-position-for-a-service-centre")</f>
        <v>best-position-for-a-service-centre</v>
      </c>
      <c r="D1516" s="20" t="b">
        <f>IFERROR(__xludf.DUMMYFUNCTION("""COMPUTED_VALUE"""),FALSE)</f>
        <v>0</v>
      </c>
      <c r="E1516" s="20" t="str">
        <f>IFERROR(__xludf.DUMMYFUNCTION("""COMPUTED_VALUE"""),"Hard")</f>
        <v>Hard</v>
      </c>
      <c r="F1516" s="20">
        <f>IFERROR(__xludf.DUMMYFUNCTION("""COMPUTED_VALUE"""),197.0)</f>
        <v>197</v>
      </c>
      <c r="G1516" s="20">
        <f>IFERROR(__xludf.DUMMYFUNCTION("""COMPUTED_VALUE"""),235.0)</f>
        <v>235</v>
      </c>
      <c r="H1516" s="20" t="str">
        <f>IFERROR(__xludf.DUMMYFUNCTION("""COMPUTED_VALUE"""),"Algorithms")</f>
        <v>Algorithms</v>
      </c>
      <c r="I1516" s="20">
        <f>IFERROR(__xludf.DUMMYFUNCTION("""COMPUTED_VALUE"""),0.378)</f>
        <v>0.378</v>
      </c>
      <c r="J1516" s="20">
        <f>IFERROR(__xludf.DUMMYFUNCTION("""COMPUTED_VALUE"""),1515.0)</f>
        <v>1515</v>
      </c>
      <c r="K1516" s="20" t="b">
        <f>IFERROR(__xludf.DUMMYFUNCTION("""COMPUTED_VALUE"""),FALSE)</f>
        <v>0</v>
      </c>
      <c r="L1516" s="20" t="str">
        <f>IFERROR(__xludf.DUMMYFUNCTION("""COMPUTED_VALUE"""),"Math;Geometry;Randomized;")</f>
        <v>Math;Geometry;Randomized;</v>
      </c>
      <c r="M1516" s="20" t="b">
        <f>IFERROR(__xludf.DUMMYFUNCTION("""COMPUTED_VALUE"""),FALSE)</f>
        <v>0</v>
      </c>
      <c r="N1516" s="20" t="b">
        <f>IFERROR(__xludf.DUMMYFUNCTION("""COMPUTED_VALUE"""),FALSE)</f>
        <v>0</v>
      </c>
      <c r="O1516" s="20">
        <f>IFERROR(__xludf.DUMMYFUNCTION("""COMPUTED_VALUE"""),37.8451758161711)</f>
        <v>37.84517582</v>
      </c>
      <c r="P1516" s="20">
        <f>IFERROR(__xludf.DUMMYFUNCTION("""COMPUTED_VALUE"""),11430.0)</f>
        <v>11430</v>
      </c>
      <c r="Q1516" s="20">
        <f>IFERROR(__xludf.DUMMYFUNCTION("""COMPUTED_VALUE"""),30202.0)</f>
        <v>30202</v>
      </c>
    </row>
    <row r="1517">
      <c r="A1517" s="20">
        <f>IFERROR(__xludf.DUMMYFUNCTION("""COMPUTED_VALUE"""),1655.0)</f>
        <v>1655</v>
      </c>
      <c r="B1517" s="20" t="str">
        <f>IFERROR(__xludf.DUMMYFUNCTION("""COMPUTED_VALUE"""),"Move Sub-Tree of N-Ary Tree")</f>
        <v>Move Sub-Tree of N-Ary Tree</v>
      </c>
      <c r="C1517" s="20" t="str">
        <f>IFERROR(__xludf.DUMMYFUNCTION("""COMPUTED_VALUE"""),"move-sub-tree-of-n-ary-tree")</f>
        <v>move-sub-tree-of-n-ary-tree</v>
      </c>
      <c r="D1517" s="20" t="b">
        <f>IFERROR(__xludf.DUMMYFUNCTION("""COMPUTED_VALUE"""),TRUE)</f>
        <v>1</v>
      </c>
      <c r="E1517" s="20" t="str">
        <f>IFERROR(__xludf.DUMMYFUNCTION("""COMPUTED_VALUE"""),"Hard")</f>
        <v>Hard</v>
      </c>
      <c r="F1517" s="20">
        <f>IFERROR(__xludf.DUMMYFUNCTION("""COMPUTED_VALUE"""),28.0)</f>
        <v>28</v>
      </c>
      <c r="G1517" s="20">
        <f>IFERROR(__xludf.DUMMYFUNCTION("""COMPUTED_VALUE"""),48.0)</f>
        <v>48</v>
      </c>
      <c r="H1517" s="20" t="str">
        <f>IFERROR(__xludf.DUMMYFUNCTION("""COMPUTED_VALUE"""),"Algorithms")</f>
        <v>Algorithms</v>
      </c>
      <c r="I1517" s="20">
        <f>IFERROR(__xludf.DUMMYFUNCTION("""COMPUTED_VALUE"""),0.638)</f>
        <v>0.638</v>
      </c>
      <c r="J1517" s="20">
        <f>IFERROR(__xludf.DUMMYFUNCTION("""COMPUTED_VALUE"""),1516.0)</f>
        <v>1516</v>
      </c>
      <c r="K1517" s="20" t="b">
        <f>IFERROR(__xludf.DUMMYFUNCTION("""COMPUTED_VALUE"""),TRUE)</f>
        <v>1</v>
      </c>
      <c r="L1517" s="20" t="str">
        <f>IFERROR(__xludf.DUMMYFUNCTION("""COMPUTED_VALUE"""),"Tree;Depth-First Search;")</f>
        <v>Tree;Depth-First Search;</v>
      </c>
      <c r="M1517" s="20" t="b">
        <f>IFERROR(__xludf.DUMMYFUNCTION("""COMPUTED_VALUE"""),FALSE)</f>
        <v>0</v>
      </c>
      <c r="N1517" s="20" t="b">
        <f>IFERROR(__xludf.DUMMYFUNCTION("""COMPUTED_VALUE"""),FALSE)</f>
        <v>0</v>
      </c>
      <c r="O1517" s="20">
        <f>IFERROR(__xludf.DUMMYFUNCTION("""COMPUTED_VALUE"""),63.8164410696599)</f>
        <v>63.81644107</v>
      </c>
      <c r="P1517" s="20">
        <f>IFERROR(__xludf.DUMMYFUNCTION("""COMPUTED_VALUE"""),1933.0)</f>
        <v>1933</v>
      </c>
      <c r="Q1517" s="20">
        <f>IFERROR(__xludf.DUMMYFUNCTION("""COMPUTED_VALUE"""),3029.0)</f>
        <v>3029</v>
      </c>
    </row>
    <row r="1518">
      <c r="A1518" s="20">
        <f>IFERROR(__xludf.DUMMYFUNCTION("""COMPUTED_VALUE"""),1664.0)</f>
        <v>1664</v>
      </c>
      <c r="B1518" s="20" t="str">
        <f>IFERROR(__xludf.DUMMYFUNCTION("""COMPUTED_VALUE"""),"Find Users With Valid E-Mails")</f>
        <v>Find Users With Valid E-Mails</v>
      </c>
      <c r="C1518" s="20" t="str">
        <f>IFERROR(__xludf.DUMMYFUNCTION("""COMPUTED_VALUE"""),"find-users-with-valid-e-mails")</f>
        <v>find-users-with-valid-e-mails</v>
      </c>
      <c r="D1518" s="20" t="b">
        <f>IFERROR(__xludf.DUMMYFUNCTION("""COMPUTED_VALUE"""),TRUE)</f>
        <v>1</v>
      </c>
      <c r="E1518" s="20" t="str">
        <f>IFERROR(__xludf.DUMMYFUNCTION("""COMPUTED_VALUE"""),"Easy")</f>
        <v>Easy</v>
      </c>
      <c r="F1518" s="20">
        <f>IFERROR(__xludf.DUMMYFUNCTION("""COMPUTED_VALUE"""),117.0)</f>
        <v>117</v>
      </c>
      <c r="G1518" s="20">
        <f>IFERROR(__xludf.DUMMYFUNCTION("""COMPUTED_VALUE"""),100.0)</f>
        <v>100</v>
      </c>
      <c r="H1518" s="20" t="str">
        <f>IFERROR(__xludf.DUMMYFUNCTION("""COMPUTED_VALUE"""),"Database")</f>
        <v>Database</v>
      </c>
      <c r="I1518" s="20">
        <f>IFERROR(__xludf.DUMMYFUNCTION("""COMPUTED_VALUE"""),0.555)</f>
        <v>0.555</v>
      </c>
      <c r="J1518" s="20">
        <f>IFERROR(__xludf.DUMMYFUNCTION("""COMPUTED_VALUE"""),1517.0)</f>
        <v>1517</v>
      </c>
      <c r="K1518" s="20" t="b">
        <f>IFERROR(__xludf.DUMMYFUNCTION("""COMPUTED_VALUE"""),TRUE)</f>
        <v>1</v>
      </c>
      <c r="L1518" s="20" t="str">
        <f>IFERROR(__xludf.DUMMYFUNCTION("""COMPUTED_VALUE"""),"Database;")</f>
        <v>Database;</v>
      </c>
      <c r="M1518" s="20" t="b">
        <f>IFERROR(__xludf.DUMMYFUNCTION("""COMPUTED_VALUE"""),FALSE)</f>
        <v>0</v>
      </c>
      <c r="N1518" s="20" t="b">
        <f>IFERROR(__xludf.DUMMYFUNCTION("""COMPUTED_VALUE"""),FALSE)</f>
        <v>0</v>
      </c>
      <c r="O1518" s="20">
        <f>IFERROR(__xludf.DUMMYFUNCTION("""COMPUTED_VALUE"""),55.5140424450374)</f>
        <v>55.51404245</v>
      </c>
      <c r="P1518" s="20">
        <f>IFERROR(__xludf.DUMMYFUNCTION("""COMPUTED_VALUE"""),21842.0)</f>
        <v>21842</v>
      </c>
      <c r="Q1518" s="20">
        <f>IFERROR(__xludf.DUMMYFUNCTION("""COMPUTED_VALUE"""),39345.0)</f>
        <v>39345</v>
      </c>
    </row>
    <row r="1519">
      <c r="A1519" s="20">
        <f>IFERROR(__xludf.DUMMYFUNCTION("""COMPUTED_VALUE"""),1642.0)</f>
        <v>1642</v>
      </c>
      <c r="B1519" s="20" t="str">
        <f>IFERROR(__xludf.DUMMYFUNCTION("""COMPUTED_VALUE"""),"Water Bottles")</f>
        <v>Water Bottles</v>
      </c>
      <c r="C1519" s="20" t="str">
        <f>IFERROR(__xludf.DUMMYFUNCTION("""COMPUTED_VALUE"""),"water-bottles")</f>
        <v>water-bottles</v>
      </c>
      <c r="D1519" s="20" t="b">
        <f>IFERROR(__xludf.DUMMYFUNCTION("""COMPUTED_VALUE"""),FALSE)</f>
        <v>0</v>
      </c>
      <c r="E1519" s="20" t="str">
        <f>IFERROR(__xludf.DUMMYFUNCTION("""COMPUTED_VALUE"""),"Easy")</f>
        <v>Easy</v>
      </c>
      <c r="F1519" s="20">
        <f>IFERROR(__xludf.DUMMYFUNCTION("""COMPUTED_VALUE"""),791.0)</f>
        <v>791</v>
      </c>
      <c r="G1519" s="20">
        <f>IFERROR(__xludf.DUMMYFUNCTION("""COMPUTED_VALUE"""),63.0)</f>
        <v>63</v>
      </c>
      <c r="H1519" s="20" t="str">
        <f>IFERROR(__xludf.DUMMYFUNCTION("""COMPUTED_VALUE"""),"Algorithms")</f>
        <v>Algorithms</v>
      </c>
      <c r="I1519" s="20">
        <f>IFERROR(__xludf.DUMMYFUNCTION("""COMPUTED_VALUE"""),0.603)</f>
        <v>0.603</v>
      </c>
      <c r="J1519" s="20">
        <f>IFERROR(__xludf.DUMMYFUNCTION("""COMPUTED_VALUE"""),1518.0)</f>
        <v>1518</v>
      </c>
      <c r="K1519" s="20" t="b">
        <f>IFERROR(__xludf.DUMMYFUNCTION("""COMPUTED_VALUE"""),FALSE)</f>
        <v>0</v>
      </c>
      <c r="L1519" s="20" t="str">
        <f>IFERROR(__xludf.DUMMYFUNCTION("""COMPUTED_VALUE"""),"Math;Simulation;")</f>
        <v>Math;Simulation;</v>
      </c>
      <c r="M1519" s="20" t="b">
        <f>IFERROR(__xludf.DUMMYFUNCTION("""COMPUTED_VALUE"""),FALSE)</f>
        <v>0</v>
      </c>
      <c r="N1519" s="20" t="b">
        <f>IFERROR(__xludf.DUMMYFUNCTION("""COMPUTED_VALUE"""),FALSE)</f>
        <v>0</v>
      </c>
      <c r="O1519" s="20">
        <f>IFERROR(__xludf.DUMMYFUNCTION("""COMPUTED_VALUE"""),60.2720904331171)</f>
        <v>60.27209043</v>
      </c>
      <c r="P1519" s="20">
        <f>IFERROR(__xludf.DUMMYFUNCTION("""COMPUTED_VALUE"""),57903.0)</f>
        <v>57903</v>
      </c>
      <c r="Q1519" s="20">
        <f>IFERROR(__xludf.DUMMYFUNCTION("""COMPUTED_VALUE"""),96070.0)</f>
        <v>96070</v>
      </c>
    </row>
    <row r="1520">
      <c r="A1520" s="20">
        <f>IFERROR(__xludf.DUMMYFUNCTION("""COMPUTED_VALUE"""),1643.0)</f>
        <v>1643</v>
      </c>
      <c r="B1520" s="20" t="str">
        <f>IFERROR(__xludf.DUMMYFUNCTION("""COMPUTED_VALUE"""),"Number of Nodes in the Sub-Tree With the Same Label")</f>
        <v>Number of Nodes in the Sub-Tree With the Same Label</v>
      </c>
      <c r="C1520" s="20" t="str">
        <f>IFERROR(__xludf.DUMMYFUNCTION("""COMPUTED_VALUE"""),"number-of-nodes-in-the-sub-tree-with-the-same-label")</f>
        <v>number-of-nodes-in-the-sub-tree-with-the-same-label</v>
      </c>
      <c r="D1520" s="20" t="b">
        <f>IFERROR(__xludf.DUMMYFUNCTION("""COMPUTED_VALUE"""),FALSE)</f>
        <v>0</v>
      </c>
      <c r="E1520" s="20" t="str">
        <f>IFERROR(__xludf.DUMMYFUNCTION("""COMPUTED_VALUE"""),"Medium")</f>
        <v>Medium</v>
      </c>
      <c r="F1520" s="20">
        <f>IFERROR(__xludf.DUMMYFUNCTION("""COMPUTED_VALUE"""),505.0)</f>
        <v>505</v>
      </c>
      <c r="G1520" s="20">
        <f>IFERROR(__xludf.DUMMYFUNCTION("""COMPUTED_VALUE"""),431.0)</f>
        <v>431</v>
      </c>
      <c r="H1520" s="20" t="str">
        <f>IFERROR(__xludf.DUMMYFUNCTION("""COMPUTED_VALUE"""),"Algorithms")</f>
        <v>Algorithms</v>
      </c>
      <c r="I1520" s="20">
        <f>IFERROR(__xludf.DUMMYFUNCTION("""COMPUTED_VALUE"""),0.41)</f>
        <v>0.41</v>
      </c>
      <c r="J1520" s="20">
        <f>IFERROR(__xludf.DUMMYFUNCTION("""COMPUTED_VALUE"""),1519.0)</f>
        <v>1519</v>
      </c>
      <c r="K1520" s="20" t="b">
        <f>IFERROR(__xludf.DUMMYFUNCTION("""COMPUTED_VALUE"""),FALSE)</f>
        <v>0</v>
      </c>
      <c r="L1520" s="20" t="str">
        <f>IFERROR(__xludf.DUMMYFUNCTION("""COMPUTED_VALUE"""),"Hash Table;Tree;Depth-First Search;Breadth-First Search;Counting;")</f>
        <v>Hash Table;Tree;Depth-First Search;Breadth-First Search;Counting;</v>
      </c>
      <c r="M1520" s="20" t="b">
        <f>IFERROR(__xludf.DUMMYFUNCTION("""COMPUTED_VALUE"""),TRUE)</f>
        <v>1</v>
      </c>
      <c r="N1520" s="20" t="b">
        <f>IFERROR(__xludf.DUMMYFUNCTION("""COMPUTED_VALUE"""),FALSE)</f>
        <v>0</v>
      </c>
      <c r="O1520" s="20">
        <f>IFERROR(__xludf.DUMMYFUNCTION("""COMPUTED_VALUE"""),41.0489539925074)</f>
        <v>41.04895399</v>
      </c>
      <c r="P1520" s="20">
        <f>IFERROR(__xludf.DUMMYFUNCTION("""COMPUTED_VALUE"""),19504.0)</f>
        <v>19504</v>
      </c>
      <c r="Q1520" s="20">
        <f>IFERROR(__xludf.DUMMYFUNCTION("""COMPUTED_VALUE"""),47514.0)</f>
        <v>47514</v>
      </c>
    </row>
    <row r="1521">
      <c r="A1521" s="20">
        <f>IFERROR(__xludf.DUMMYFUNCTION("""COMPUTED_VALUE"""),1644.0)</f>
        <v>1644</v>
      </c>
      <c r="B1521" s="20" t="str">
        <f>IFERROR(__xludf.DUMMYFUNCTION("""COMPUTED_VALUE"""),"Maximum Number of Non-Overlapping Substrings")</f>
        <v>Maximum Number of Non-Overlapping Substrings</v>
      </c>
      <c r="C1521" s="20" t="str">
        <f>IFERROR(__xludf.DUMMYFUNCTION("""COMPUTED_VALUE"""),"maximum-number-of-non-overlapping-substrings")</f>
        <v>maximum-number-of-non-overlapping-substrings</v>
      </c>
      <c r="D1521" s="20" t="b">
        <f>IFERROR(__xludf.DUMMYFUNCTION("""COMPUTED_VALUE"""),FALSE)</f>
        <v>0</v>
      </c>
      <c r="E1521" s="20" t="str">
        <f>IFERROR(__xludf.DUMMYFUNCTION("""COMPUTED_VALUE"""),"Hard")</f>
        <v>Hard</v>
      </c>
      <c r="F1521" s="20">
        <f>IFERROR(__xludf.DUMMYFUNCTION("""COMPUTED_VALUE"""),636.0)</f>
        <v>636</v>
      </c>
      <c r="G1521" s="20">
        <f>IFERROR(__xludf.DUMMYFUNCTION("""COMPUTED_VALUE"""),64.0)</f>
        <v>64</v>
      </c>
      <c r="H1521" s="20" t="str">
        <f>IFERROR(__xludf.DUMMYFUNCTION("""COMPUTED_VALUE"""),"Algorithms")</f>
        <v>Algorithms</v>
      </c>
      <c r="I1521" s="20">
        <f>IFERROR(__xludf.DUMMYFUNCTION("""COMPUTED_VALUE"""),0.381)</f>
        <v>0.381</v>
      </c>
      <c r="J1521" s="20">
        <f>IFERROR(__xludf.DUMMYFUNCTION("""COMPUTED_VALUE"""),1520.0)</f>
        <v>1520</v>
      </c>
      <c r="K1521" s="20" t="b">
        <f>IFERROR(__xludf.DUMMYFUNCTION("""COMPUTED_VALUE"""),FALSE)</f>
        <v>0</v>
      </c>
      <c r="L1521" s="20" t="str">
        <f>IFERROR(__xludf.DUMMYFUNCTION("""COMPUTED_VALUE"""),"String;Greedy;")</f>
        <v>String;Greedy;</v>
      </c>
      <c r="M1521" s="20" t="b">
        <f>IFERROR(__xludf.DUMMYFUNCTION("""COMPUTED_VALUE"""),FALSE)</f>
        <v>0</v>
      </c>
      <c r="N1521" s="20" t="b">
        <f>IFERROR(__xludf.DUMMYFUNCTION("""COMPUTED_VALUE"""),FALSE)</f>
        <v>0</v>
      </c>
      <c r="O1521" s="20">
        <f>IFERROR(__xludf.DUMMYFUNCTION("""COMPUTED_VALUE"""),38.1062215477997)</f>
        <v>38.10622155</v>
      </c>
      <c r="P1521" s="20">
        <f>IFERROR(__xludf.DUMMYFUNCTION("""COMPUTED_VALUE"""),12556.0)</f>
        <v>12556</v>
      </c>
      <c r="Q1521" s="20">
        <f>IFERROR(__xludf.DUMMYFUNCTION("""COMPUTED_VALUE"""),32950.0)</f>
        <v>32950</v>
      </c>
    </row>
    <row r="1522">
      <c r="A1522" s="20">
        <f>IFERROR(__xludf.DUMMYFUNCTION("""COMPUTED_VALUE"""),1645.0)</f>
        <v>1645</v>
      </c>
      <c r="B1522" s="20" t="str">
        <f>IFERROR(__xludf.DUMMYFUNCTION("""COMPUTED_VALUE"""),"Find a Value of a Mysterious Function Closest to Target")</f>
        <v>Find a Value of a Mysterious Function Closest to Target</v>
      </c>
      <c r="C1522" s="20" t="str">
        <f>IFERROR(__xludf.DUMMYFUNCTION("""COMPUTED_VALUE"""),"find-a-value-of-a-mysterious-function-closest-to-target")</f>
        <v>find-a-value-of-a-mysterious-function-closest-to-target</v>
      </c>
      <c r="D1522" s="20" t="b">
        <f>IFERROR(__xludf.DUMMYFUNCTION("""COMPUTED_VALUE"""),FALSE)</f>
        <v>0</v>
      </c>
      <c r="E1522" s="20" t="str">
        <f>IFERROR(__xludf.DUMMYFUNCTION("""COMPUTED_VALUE"""),"Hard")</f>
        <v>Hard</v>
      </c>
      <c r="F1522" s="20">
        <f>IFERROR(__xludf.DUMMYFUNCTION("""COMPUTED_VALUE"""),315.0)</f>
        <v>315</v>
      </c>
      <c r="G1522" s="20">
        <f>IFERROR(__xludf.DUMMYFUNCTION("""COMPUTED_VALUE"""),15.0)</f>
        <v>15</v>
      </c>
      <c r="H1522" s="20" t="str">
        <f>IFERROR(__xludf.DUMMYFUNCTION("""COMPUTED_VALUE"""),"Algorithms")</f>
        <v>Algorithms</v>
      </c>
      <c r="I1522" s="20">
        <f>IFERROR(__xludf.DUMMYFUNCTION("""COMPUTED_VALUE"""),0.436)</f>
        <v>0.436</v>
      </c>
      <c r="J1522" s="20">
        <f>IFERROR(__xludf.DUMMYFUNCTION("""COMPUTED_VALUE"""),1521.0)</f>
        <v>1521</v>
      </c>
      <c r="K1522" s="20" t="b">
        <f>IFERROR(__xludf.DUMMYFUNCTION("""COMPUTED_VALUE"""),FALSE)</f>
        <v>0</v>
      </c>
      <c r="L1522" s="20" t="str">
        <f>IFERROR(__xludf.DUMMYFUNCTION("""COMPUTED_VALUE"""),"Array;Binary Search;Bit Manipulation;Segment Tree;")</f>
        <v>Array;Binary Search;Bit Manipulation;Segment Tree;</v>
      </c>
      <c r="M1522" s="20" t="b">
        <f>IFERROR(__xludf.DUMMYFUNCTION("""COMPUTED_VALUE"""),FALSE)</f>
        <v>0</v>
      </c>
      <c r="N1522" s="20" t="b">
        <f>IFERROR(__xludf.DUMMYFUNCTION("""COMPUTED_VALUE"""),FALSE)</f>
        <v>0</v>
      </c>
      <c r="O1522" s="20">
        <f>IFERROR(__xludf.DUMMYFUNCTION("""COMPUTED_VALUE"""),43.6095725781168)</f>
        <v>43.60957258</v>
      </c>
      <c r="P1522" s="20">
        <f>IFERROR(__xludf.DUMMYFUNCTION("""COMPUTED_VALUE"""),8346.0)</f>
        <v>8346</v>
      </c>
      <c r="Q1522" s="20">
        <f>IFERROR(__xludf.DUMMYFUNCTION("""COMPUTED_VALUE"""),19138.0)</f>
        <v>19138</v>
      </c>
    </row>
    <row r="1523">
      <c r="A1523" s="20">
        <f>IFERROR(__xludf.DUMMYFUNCTION("""COMPUTED_VALUE"""),1665.0)</f>
        <v>1665</v>
      </c>
      <c r="B1523" s="20" t="str">
        <f>IFERROR(__xludf.DUMMYFUNCTION("""COMPUTED_VALUE"""),"Diameter of N-Ary Tree")</f>
        <v>Diameter of N-Ary Tree</v>
      </c>
      <c r="C1523" s="20" t="str">
        <f>IFERROR(__xludf.DUMMYFUNCTION("""COMPUTED_VALUE"""),"diameter-of-n-ary-tree")</f>
        <v>diameter-of-n-ary-tree</v>
      </c>
      <c r="D1523" s="20" t="b">
        <f>IFERROR(__xludf.DUMMYFUNCTION("""COMPUTED_VALUE"""),TRUE)</f>
        <v>1</v>
      </c>
      <c r="E1523" s="20" t="str">
        <f>IFERROR(__xludf.DUMMYFUNCTION("""COMPUTED_VALUE"""),"Medium")</f>
        <v>Medium</v>
      </c>
      <c r="F1523" s="20">
        <f>IFERROR(__xludf.DUMMYFUNCTION("""COMPUTED_VALUE"""),503.0)</f>
        <v>503</v>
      </c>
      <c r="G1523" s="20">
        <f>IFERROR(__xludf.DUMMYFUNCTION("""COMPUTED_VALUE"""),7.0)</f>
        <v>7</v>
      </c>
      <c r="H1523" s="20" t="str">
        <f>IFERROR(__xludf.DUMMYFUNCTION("""COMPUTED_VALUE"""),"Algorithms")</f>
        <v>Algorithms</v>
      </c>
      <c r="I1523" s="20">
        <f>IFERROR(__xludf.DUMMYFUNCTION("""COMPUTED_VALUE"""),0.735)</f>
        <v>0.735</v>
      </c>
      <c r="J1523" s="20">
        <f>IFERROR(__xludf.DUMMYFUNCTION("""COMPUTED_VALUE"""),1522.0)</f>
        <v>1522</v>
      </c>
      <c r="K1523" s="20" t="b">
        <f>IFERROR(__xludf.DUMMYFUNCTION("""COMPUTED_VALUE"""),TRUE)</f>
        <v>1</v>
      </c>
      <c r="L1523" s="20" t="str">
        <f>IFERROR(__xludf.DUMMYFUNCTION("""COMPUTED_VALUE"""),"Tree;Depth-First Search;")</f>
        <v>Tree;Depth-First Search;</v>
      </c>
      <c r="M1523" s="20" t="b">
        <f>IFERROR(__xludf.DUMMYFUNCTION("""COMPUTED_VALUE"""),TRUE)</f>
        <v>1</v>
      </c>
      <c r="N1523" s="20" t="b">
        <f>IFERROR(__xludf.DUMMYFUNCTION("""COMPUTED_VALUE"""),FALSE)</f>
        <v>0</v>
      </c>
      <c r="O1523" s="20">
        <f>IFERROR(__xludf.DUMMYFUNCTION("""COMPUTED_VALUE"""),73.4981557172764)</f>
        <v>73.49815572</v>
      </c>
      <c r="P1523" s="20">
        <f>IFERROR(__xludf.DUMMYFUNCTION("""COMPUTED_VALUE"""),36863.0)</f>
        <v>36863</v>
      </c>
      <c r="Q1523" s="20">
        <f>IFERROR(__xludf.DUMMYFUNCTION("""COMPUTED_VALUE"""),50155.0)</f>
        <v>50155</v>
      </c>
    </row>
    <row r="1524">
      <c r="A1524" s="20">
        <f>IFERROR(__xludf.DUMMYFUNCTION("""COMPUTED_VALUE"""),1630.0)</f>
        <v>1630</v>
      </c>
      <c r="B1524" s="20" t="str">
        <f>IFERROR(__xludf.DUMMYFUNCTION("""COMPUTED_VALUE"""),"Count Odd Numbers in an Interval Range")</f>
        <v>Count Odd Numbers in an Interval Range</v>
      </c>
      <c r="C1524" s="20" t="str">
        <f>IFERROR(__xludf.DUMMYFUNCTION("""COMPUTED_VALUE"""),"count-odd-numbers-in-an-interval-range")</f>
        <v>count-odd-numbers-in-an-interval-range</v>
      </c>
      <c r="D1524" s="20" t="b">
        <f>IFERROR(__xludf.DUMMYFUNCTION("""COMPUTED_VALUE"""),FALSE)</f>
        <v>0</v>
      </c>
      <c r="E1524" s="20" t="str">
        <f>IFERROR(__xludf.DUMMYFUNCTION("""COMPUTED_VALUE"""),"Easy")</f>
        <v>Easy</v>
      </c>
      <c r="F1524" s="20">
        <f>IFERROR(__xludf.DUMMYFUNCTION("""COMPUTED_VALUE"""),1275.0)</f>
        <v>1275</v>
      </c>
      <c r="G1524" s="20">
        <f>IFERROR(__xludf.DUMMYFUNCTION("""COMPUTED_VALUE"""),89.0)</f>
        <v>89</v>
      </c>
      <c r="H1524" s="20" t="str">
        <f>IFERROR(__xludf.DUMMYFUNCTION("""COMPUTED_VALUE"""),"Algorithms")</f>
        <v>Algorithms</v>
      </c>
      <c r="I1524" s="20">
        <f>IFERROR(__xludf.DUMMYFUNCTION("""COMPUTED_VALUE"""),0.461)</f>
        <v>0.461</v>
      </c>
      <c r="J1524" s="20">
        <f>IFERROR(__xludf.DUMMYFUNCTION("""COMPUTED_VALUE"""),1523.0)</f>
        <v>1523</v>
      </c>
      <c r="K1524" s="20" t="b">
        <f>IFERROR(__xludf.DUMMYFUNCTION("""COMPUTED_VALUE"""),FALSE)</f>
        <v>0</v>
      </c>
      <c r="L1524" s="20" t="str">
        <f>IFERROR(__xludf.DUMMYFUNCTION("""COMPUTED_VALUE"""),"Math;")</f>
        <v>Math;</v>
      </c>
      <c r="M1524" s="20" t="b">
        <f>IFERROR(__xludf.DUMMYFUNCTION("""COMPUTED_VALUE"""),TRUE)</f>
        <v>1</v>
      </c>
      <c r="N1524" s="20" t="b">
        <f>IFERROR(__xludf.DUMMYFUNCTION("""COMPUTED_VALUE"""),FALSE)</f>
        <v>0</v>
      </c>
      <c r="O1524" s="20">
        <f>IFERROR(__xludf.DUMMYFUNCTION("""COMPUTED_VALUE"""),46.1012514435073)</f>
        <v>46.10125144</v>
      </c>
      <c r="P1524" s="20">
        <f>IFERROR(__xludf.DUMMYFUNCTION("""COMPUTED_VALUE"""),171254.0)</f>
        <v>171254</v>
      </c>
      <c r="Q1524" s="20">
        <f>IFERROR(__xludf.DUMMYFUNCTION("""COMPUTED_VALUE"""),371461.0)</f>
        <v>371461</v>
      </c>
    </row>
    <row r="1525">
      <c r="A1525" s="20">
        <f>IFERROR(__xludf.DUMMYFUNCTION("""COMPUTED_VALUE"""),1631.0)</f>
        <v>1631</v>
      </c>
      <c r="B1525" s="20" t="str">
        <f>IFERROR(__xludf.DUMMYFUNCTION("""COMPUTED_VALUE"""),"Number of Sub-arrays With Odd Sum")</f>
        <v>Number of Sub-arrays With Odd Sum</v>
      </c>
      <c r="C1525" s="20" t="str">
        <f>IFERROR(__xludf.DUMMYFUNCTION("""COMPUTED_VALUE"""),"number-of-sub-arrays-with-odd-sum")</f>
        <v>number-of-sub-arrays-with-odd-sum</v>
      </c>
      <c r="D1525" s="20" t="b">
        <f>IFERROR(__xludf.DUMMYFUNCTION("""COMPUTED_VALUE"""),FALSE)</f>
        <v>0</v>
      </c>
      <c r="E1525" s="20" t="str">
        <f>IFERROR(__xludf.DUMMYFUNCTION("""COMPUTED_VALUE"""),"Medium")</f>
        <v>Medium</v>
      </c>
      <c r="F1525" s="20">
        <f>IFERROR(__xludf.DUMMYFUNCTION("""COMPUTED_VALUE"""),992.0)</f>
        <v>992</v>
      </c>
      <c r="G1525" s="20">
        <f>IFERROR(__xludf.DUMMYFUNCTION("""COMPUTED_VALUE"""),48.0)</f>
        <v>48</v>
      </c>
      <c r="H1525" s="20" t="str">
        <f>IFERROR(__xludf.DUMMYFUNCTION("""COMPUTED_VALUE"""),"Algorithms")</f>
        <v>Algorithms</v>
      </c>
      <c r="I1525" s="20">
        <f>IFERROR(__xludf.DUMMYFUNCTION("""COMPUTED_VALUE"""),0.437)</f>
        <v>0.437</v>
      </c>
      <c r="J1525" s="20">
        <f>IFERROR(__xludf.DUMMYFUNCTION("""COMPUTED_VALUE"""),1524.0)</f>
        <v>1524</v>
      </c>
      <c r="K1525" s="20" t="b">
        <f>IFERROR(__xludf.DUMMYFUNCTION("""COMPUTED_VALUE"""),FALSE)</f>
        <v>0</v>
      </c>
      <c r="L1525" s="20" t="str">
        <f>IFERROR(__xludf.DUMMYFUNCTION("""COMPUTED_VALUE"""),"Array;Math;Dynamic Programming;Prefix Sum;")</f>
        <v>Array;Math;Dynamic Programming;Prefix Sum;</v>
      </c>
      <c r="M1525" s="20" t="b">
        <f>IFERROR(__xludf.DUMMYFUNCTION("""COMPUTED_VALUE"""),FALSE)</f>
        <v>0</v>
      </c>
      <c r="N1525" s="20" t="b">
        <f>IFERROR(__xludf.DUMMYFUNCTION("""COMPUTED_VALUE"""),FALSE)</f>
        <v>0</v>
      </c>
      <c r="O1525" s="20">
        <f>IFERROR(__xludf.DUMMYFUNCTION("""COMPUTED_VALUE"""),43.6787441055333)</f>
        <v>43.67874411</v>
      </c>
      <c r="P1525" s="20">
        <f>IFERROR(__xludf.DUMMYFUNCTION("""COMPUTED_VALUE"""),29269.0)</f>
        <v>29269</v>
      </c>
      <c r="Q1525" s="20">
        <f>IFERROR(__xludf.DUMMYFUNCTION("""COMPUTED_VALUE"""),67010.0)</f>
        <v>67010</v>
      </c>
    </row>
    <row r="1526">
      <c r="A1526" s="20">
        <f>IFERROR(__xludf.DUMMYFUNCTION("""COMPUTED_VALUE"""),1632.0)</f>
        <v>1632</v>
      </c>
      <c r="B1526" s="20" t="str">
        <f>IFERROR(__xludf.DUMMYFUNCTION("""COMPUTED_VALUE"""),"Number of Good Ways to Split a String")</f>
        <v>Number of Good Ways to Split a String</v>
      </c>
      <c r="C1526" s="20" t="str">
        <f>IFERROR(__xludf.DUMMYFUNCTION("""COMPUTED_VALUE"""),"number-of-good-ways-to-split-a-string")</f>
        <v>number-of-good-ways-to-split-a-string</v>
      </c>
      <c r="D1526" s="20" t="b">
        <f>IFERROR(__xludf.DUMMYFUNCTION("""COMPUTED_VALUE"""),FALSE)</f>
        <v>0</v>
      </c>
      <c r="E1526" s="20" t="str">
        <f>IFERROR(__xludf.DUMMYFUNCTION("""COMPUTED_VALUE"""),"Medium")</f>
        <v>Medium</v>
      </c>
      <c r="F1526" s="20">
        <f>IFERROR(__xludf.DUMMYFUNCTION("""COMPUTED_VALUE"""),1720.0)</f>
        <v>1720</v>
      </c>
      <c r="G1526" s="20">
        <f>IFERROR(__xludf.DUMMYFUNCTION("""COMPUTED_VALUE"""),41.0)</f>
        <v>41</v>
      </c>
      <c r="H1526" s="20" t="str">
        <f>IFERROR(__xludf.DUMMYFUNCTION("""COMPUTED_VALUE"""),"Algorithms")</f>
        <v>Algorithms</v>
      </c>
      <c r="I1526" s="20">
        <f>IFERROR(__xludf.DUMMYFUNCTION("""COMPUTED_VALUE"""),0.693)</f>
        <v>0.693</v>
      </c>
      <c r="J1526" s="20">
        <f>IFERROR(__xludf.DUMMYFUNCTION("""COMPUTED_VALUE"""),1525.0)</f>
        <v>1525</v>
      </c>
      <c r="K1526" s="20" t="b">
        <f>IFERROR(__xludf.DUMMYFUNCTION("""COMPUTED_VALUE"""),FALSE)</f>
        <v>0</v>
      </c>
      <c r="L1526" s="20" t="str">
        <f>IFERROR(__xludf.DUMMYFUNCTION("""COMPUTED_VALUE"""),"String;Dynamic Programming;Bit Manipulation;")</f>
        <v>String;Dynamic Programming;Bit Manipulation;</v>
      </c>
      <c r="M1526" s="20" t="b">
        <f>IFERROR(__xludf.DUMMYFUNCTION("""COMPUTED_VALUE"""),FALSE)</f>
        <v>0</v>
      </c>
      <c r="N1526" s="20" t="b">
        <f>IFERROR(__xludf.DUMMYFUNCTION("""COMPUTED_VALUE"""),FALSE)</f>
        <v>0</v>
      </c>
      <c r="O1526" s="20">
        <f>IFERROR(__xludf.DUMMYFUNCTION("""COMPUTED_VALUE"""),69.2749818602793)</f>
        <v>69.27498186</v>
      </c>
      <c r="P1526" s="20">
        <f>IFERROR(__xludf.DUMMYFUNCTION("""COMPUTED_VALUE"""),84972.0)</f>
        <v>84972</v>
      </c>
      <c r="Q1526" s="20">
        <f>IFERROR(__xludf.DUMMYFUNCTION("""COMPUTED_VALUE"""),122659.0)</f>
        <v>122659</v>
      </c>
    </row>
    <row r="1527">
      <c r="A1527" s="20">
        <f>IFERROR(__xludf.DUMMYFUNCTION("""COMPUTED_VALUE"""),1633.0)</f>
        <v>1633</v>
      </c>
      <c r="B1527" s="20" t="str">
        <f>IFERROR(__xludf.DUMMYFUNCTION("""COMPUTED_VALUE"""),"Minimum Number of Increments on Subarrays to Form a Target Array")</f>
        <v>Minimum Number of Increments on Subarrays to Form a Target Array</v>
      </c>
      <c r="C1527" s="20" t="str">
        <f>IFERROR(__xludf.DUMMYFUNCTION("""COMPUTED_VALUE"""),"minimum-number-of-increments-on-subarrays-to-form-a-target-array")</f>
        <v>minimum-number-of-increments-on-subarrays-to-form-a-target-array</v>
      </c>
      <c r="D1527" s="20" t="b">
        <f>IFERROR(__xludf.DUMMYFUNCTION("""COMPUTED_VALUE"""),FALSE)</f>
        <v>0</v>
      </c>
      <c r="E1527" s="20" t="str">
        <f>IFERROR(__xludf.DUMMYFUNCTION("""COMPUTED_VALUE"""),"Hard")</f>
        <v>Hard</v>
      </c>
      <c r="F1527" s="20">
        <f>IFERROR(__xludf.DUMMYFUNCTION("""COMPUTED_VALUE"""),1140.0)</f>
        <v>1140</v>
      </c>
      <c r="G1527" s="20">
        <f>IFERROR(__xludf.DUMMYFUNCTION("""COMPUTED_VALUE"""),57.0)</f>
        <v>57</v>
      </c>
      <c r="H1527" s="20" t="str">
        <f>IFERROR(__xludf.DUMMYFUNCTION("""COMPUTED_VALUE"""),"Algorithms")</f>
        <v>Algorithms</v>
      </c>
      <c r="I1527" s="20">
        <f>IFERROR(__xludf.DUMMYFUNCTION("""COMPUTED_VALUE"""),0.687)</f>
        <v>0.687</v>
      </c>
      <c r="J1527" s="20">
        <f>IFERROR(__xludf.DUMMYFUNCTION("""COMPUTED_VALUE"""),1526.0)</f>
        <v>1526</v>
      </c>
      <c r="K1527" s="20" t="b">
        <f>IFERROR(__xludf.DUMMYFUNCTION("""COMPUTED_VALUE"""),FALSE)</f>
        <v>0</v>
      </c>
      <c r="L1527" s="20" t="str">
        <f>IFERROR(__xludf.DUMMYFUNCTION("""COMPUTED_VALUE"""),"Array;Dynamic Programming;Stack;Greedy;Monotonic Stack;")</f>
        <v>Array;Dynamic Programming;Stack;Greedy;Monotonic Stack;</v>
      </c>
      <c r="M1527" s="20" t="b">
        <f>IFERROR(__xludf.DUMMYFUNCTION("""COMPUTED_VALUE"""),FALSE)</f>
        <v>0</v>
      </c>
      <c r="N1527" s="20" t="b">
        <f>IFERROR(__xludf.DUMMYFUNCTION("""COMPUTED_VALUE"""),FALSE)</f>
        <v>0</v>
      </c>
      <c r="O1527" s="20">
        <f>IFERROR(__xludf.DUMMYFUNCTION("""COMPUTED_VALUE"""),68.6985823843829)</f>
        <v>68.69858238</v>
      </c>
      <c r="P1527" s="20">
        <f>IFERROR(__xludf.DUMMYFUNCTION("""COMPUTED_VALUE"""),29561.0)</f>
        <v>29561</v>
      </c>
      <c r="Q1527" s="20">
        <f>IFERROR(__xludf.DUMMYFUNCTION("""COMPUTED_VALUE"""),43030.0)</f>
        <v>43030</v>
      </c>
    </row>
    <row r="1528">
      <c r="A1528" s="20">
        <f>IFERROR(__xludf.DUMMYFUNCTION("""COMPUTED_VALUE"""),1670.0)</f>
        <v>1670</v>
      </c>
      <c r="B1528" s="20" t="str">
        <f>IFERROR(__xludf.DUMMYFUNCTION("""COMPUTED_VALUE"""),"Patients With a Condition")</f>
        <v>Patients With a Condition</v>
      </c>
      <c r="C1528" s="20" t="str">
        <f>IFERROR(__xludf.DUMMYFUNCTION("""COMPUTED_VALUE"""),"patients-with-a-condition")</f>
        <v>patients-with-a-condition</v>
      </c>
      <c r="D1528" s="20" t="b">
        <f>IFERROR(__xludf.DUMMYFUNCTION("""COMPUTED_VALUE"""),FALSE)</f>
        <v>0</v>
      </c>
      <c r="E1528" s="20" t="str">
        <f>IFERROR(__xludf.DUMMYFUNCTION("""COMPUTED_VALUE"""),"Easy")</f>
        <v>Easy</v>
      </c>
      <c r="F1528" s="20">
        <f>IFERROR(__xludf.DUMMYFUNCTION("""COMPUTED_VALUE"""),289.0)</f>
        <v>289</v>
      </c>
      <c r="G1528" s="20">
        <f>IFERROR(__xludf.DUMMYFUNCTION("""COMPUTED_VALUE"""),323.0)</f>
        <v>323</v>
      </c>
      <c r="H1528" s="20" t="str">
        <f>IFERROR(__xludf.DUMMYFUNCTION("""COMPUTED_VALUE"""),"Database")</f>
        <v>Database</v>
      </c>
      <c r="I1528" s="20">
        <f>IFERROR(__xludf.DUMMYFUNCTION("""COMPUTED_VALUE"""),0.417)</f>
        <v>0.417</v>
      </c>
      <c r="J1528" s="20">
        <f>IFERROR(__xludf.DUMMYFUNCTION("""COMPUTED_VALUE"""),1527.0)</f>
        <v>1527</v>
      </c>
      <c r="K1528" s="20" t="b">
        <f>IFERROR(__xludf.DUMMYFUNCTION("""COMPUTED_VALUE"""),FALSE)</f>
        <v>0</v>
      </c>
      <c r="L1528" s="20" t="str">
        <f>IFERROR(__xludf.DUMMYFUNCTION("""COMPUTED_VALUE"""),"Database;")</f>
        <v>Database;</v>
      </c>
      <c r="M1528" s="20" t="b">
        <f>IFERROR(__xludf.DUMMYFUNCTION("""COMPUTED_VALUE"""),FALSE)</f>
        <v>0</v>
      </c>
      <c r="N1528" s="20" t="b">
        <f>IFERROR(__xludf.DUMMYFUNCTION("""COMPUTED_VALUE"""),FALSE)</f>
        <v>0</v>
      </c>
      <c r="O1528" s="20">
        <f>IFERROR(__xludf.DUMMYFUNCTION("""COMPUTED_VALUE"""),41.74733184413)</f>
        <v>41.74733184</v>
      </c>
      <c r="P1528" s="20">
        <f>IFERROR(__xludf.DUMMYFUNCTION("""COMPUTED_VALUE"""),80732.0)</f>
        <v>80732</v>
      </c>
      <c r="Q1528" s="20">
        <f>IFERROR(__xludf.DUMMYFUNCTION("""COMPUTED_VALUE"""),193377.0)</f>
        <v>193377</v>
      </c>
    </row>
    <row r="1529">
      <c r="A1529" s="20">
        <f>IFERROR(__xludf.DUMMYFUNCTION("""COMPUTED_VALUE"""),1651.0)</f>
        <v>1651</v>
      </c>
      <c r="B1529" s="20" t="str">
        <f>IFERROR(__xludf.DUMMYFUNCTION("""COMPUTED_VALUE"""),"Shuffle String")</f>
        <v>Shuffle String</v>
      </c>
      <c r="C1529" s="20" t="str">
        <f>IFERROR(__xludf.DUMMYFUNCTION("""COMPUTED_VALUE"""),"shuffle-string")</f>
        <v>shuffle-string</v>
      </c>
      <c r="D1529" s="20" t="b">
        <f>IFERROR(__xludf.DUMMYFUNCTION("""COMPUTED_VALUE"""),FALSE)</f>
        <v>0</v>
      </c>
      <c r="E1529" s="20" t="str">
        <f>IFERROR(__xludf.DUMMYFUNCTION("""COMPUTED_VALUE"""),"Easy")</f>
        <v>Easy</v>
      </c>
      <c r="F1529" s="20">
        <f>IFERROR(__xludf.DUMMYFUNCTION("""COMPUTED_VALUE"""),2010.0)</f>
        <v>2010</v>
      </c>
      <c r="G1529" s="20">
        <f>IFERROR(__xludf.DUMMYFUNCTION("""COMPUTED_VALUE"""),353.0)</f>
        <v>353</v>
      </c>
      <c r="H1529" s="20" t="str">
        <f>IFERROR(__xludf.DUMMYFUNCTION("""COMPUTED_VALUE"""),"Algorithms")</f>
        <v>Algorithms</v>
      </c>
      <c r="I1529" s="20">
        <f>IFERROR(__xludf.DUMMYFUNCTION("""COMPUTED_VALUE"""),0.855)</f>
        <v>0.855</v>
      </c>
      <c r="J1529" s="20">
        <f>IFERROR(__xludf.DUMMYFUNCTION("""COMPUTED_VALUE"""),1528.0)</f>
        <v>1528</v>
      </c>
      <c r="K1529" s="20" t="b">
        <f>IFERROR(__xludf.DUMMYFUNCTION("""COMPUTED_VALUE"""),FALSE)</f>
        <v>0</v>
      </c>
      <c r="L1529" s="20" t="str">
        <f>IFERROR(__xludf.DUMMYFUNCTION("""COMPUTED_VALUE"""),"Array;String;")</f>
        <v>Array;String;</v>
      </c>
      <c r="M1529" s="20" t="b">
        <f>IFERROR(__xludf.DUMMYFUNCTION("""COMPUTED_VALUE"""),FALSE)</f>
        <v>0</v>
      </c>
      <c r="N1529" s="20" t="b">
        <f>IFERROR(__xludf.DUMMYFUNCTION("""COMPUTED_VALUE"""),FALSE)</f>
        <v>0</v>
      </c>
      <c r="O1529" s="20">
        <f>IFERROR(__xludf.DUMMYFUNCTION("""COMPUTED_VALUE"""),85.5068452591672)</f>
        <v>85.50684526</v>
      </c>
      <c r="P1529" s="20">
        <f>IFERROR(__xludf.DUMMYFUNCTION("""COMPUTED_VALUE"""),265689.0)</f>
        <v>265689</v>
      </c>
      <c r="Q1529" s="20">
        <f>IFERROR(__xludf.DUMMYFUNCTION("""COMPUTED_VALUE"""),310721.0)</f>
        <v>310721</v>
      </c>
    </row>
    <row r="1530">
      <c r="A1530" s="20">
        <f>IFERROR(__xludf.DUMMYFUNCTION("""COMPUTED_VALUE"""),1652.0)</f>
        <v>1652</v>
      </c>
      <c r="B1530" s="20" t="str">
        <f>IFERROR(__xludf.DUMMYFUNCTION("""COMPUTED_VALUE"""),"Minimum Suffix Flips")</f>
        <v>Minimum Suffix Flips</v>
      </c>
      <c r="C1530" s="20" t="str">
        <f>IFERROR(__xludf.DUMMYFUNCTION("""COMPUTED_VALUE"""),"minimum-suffix-flips")</f>
        <v>minimum-suffix-flips</v>
      </c>
      <c r="D1530" s="20" t="b">
        <f>IFERROR(__xludf.DUMMYFUNCTION("""COMPUTED_VALUE"""),FALSE)</f>
        <v>0</v>
      </c>
      <c r="E1530" s="20" t="str">
        <f>IFERROR(__xludf.DUMMYFUNCTION("""COMPUTED_VALUE"""),"Medium")</f>
        <v>Medium</v>
      </c>
      <c r="F1530" s="20">
        <f>IFERROR(__xludf.DUMMYFUNCTION("""COMPUTED_VALUE"""),793.0)</f>
        <v>793</v>
      </c>
      <c r="G1530" s="20">
        <f>IFERROR(__xludf.DUMMYFUNCTION("""COMPUTED_VALUE"""),34.0)</f>
        <v>34</v>
      </c>
      <c r="H1530" s="20" t="str">
        <f>IFERROR(__xludf.DUMMYFUNCTION("""COMPUTED_VALUE"""),"Algorithms")</f>
        <v>Algorithms</v>
      </c>
      <c r="I1530" s="20">
        <f>IFERROR(__xludf.DUMMYFUNCTION("""COMPUTED_VALUE"""),0.724)</f>
        <v>0.724</v>
      </c>
      <c r="J1530" s="20">
        <f>IFERROR(__xludf.DUMMYFUNCTION("""COMPUTED_VALUE"""),1529.0)</f>
        <v>1529</v>
      </c>
      <c r="K1530" s="20" t="b">
        <f>IFERROR(__xludf.DUMMYFUNCTION("""COMPUTED_VALUE"""),FALSE)</f>
        <v>0</v>
      </c>
      <c r="L1530" s="20" t="str">
        <f>IFERROR(__xludf.DUMMYFUNCTION("""COMPUTED_VALUE"""),"String;Greedy;")</f>
        <v>String;Greedy;</v>
      </c>
      <c r="M1530" s="20" t="b">
        <f>IFERROR(__xludf.DUMMYFUNCTION("""COMPUTED_VALUE"""),FALSE)</f>
        <v>0</v>
      </c>
      <c r="N1530" s="20" t="b">
        <f>IFERROR(__xludf.DUMMYFUNCTION("""COMPUTED_VALUE"""),FALSE)</f>
        <v>0</v>
      </c>
      <c r="O1530" s="20">
        <f>IFERROR(__xludf.DUMMYFUNCTION("""COMPUTED_VALUE"""),72.4464999608058)</f>
        <v>72.44649996</v>
      </c>
      <c r="P1530" s="20">
        <f>IFERROR(__xludf.DUMMYFUNCTION("""COMPUTED_VALUE"""),36967.0)</f>
        <v>36967</v>
      </c>
      <c r="Q1530" s="20">
        <f>IFERROR(__xludf.DUMMYFUNCTION("""COMPUTED_VALUE"""),51027.0)</f>
        <v>51027</v>
      </c>
    </row>
    <row r="1531">
      <c r="A1531" s="20">
        <f>IFERROR(__xludf.DUMMYFUNCTION("""COMPUTED_VALUE"""),1653.0)</f>
        <v>1653</v>
      </c>
      <c r="B1531" s="20" t="str">
        <f>IFERROR(__xludf.DUMMYFUNCTION("""COMPUTED_VALUE"""),"Number of Good Leaf Nodes Pairs")</f>
        <v>Number of Good Leaf Nodes Pairs</v>
      </c>
      <c r="C1531" s="20" t="str">
        <f>IFERROR(__xludf.DUMMYFUNCTION("""COMPUTED_VALUE"""),"number-of-good-leaf-nodes-pairs")</f>
        <v>number-of-good-leaf-nodes-pairs</v>
      </c>
      <c r="D1531" s="20" t="b">
        <f>IFERROR(__xludf.DUMMYFUNCTION("""COMPUTED_VALUE"""),FALSE)</f>
        <v>0</v>
      </c>
      <c r="E1531" s="20" t="str">
        <f>IFERROR(__xludf.DUMMYFUNCTION("""COMPUTED_VALUE"""),"Medium")</f>
        <v>Medium</v>
      </c>
      <c r="F1531" s="20">
        <f>IFERROR(__xludf.DUMMYFUNCTION("""COMPUTED_VALUE"""),1417.0)</f>
        <v>1417</v>
      </c>
      <c r="G1531" s="20">
        <f>IFERROR(__xludf.DUMMYFUNCTION("""COMPUTED_VALUE"""),34.0)</f>
        <v>34</v>
      </c>
      <c r="H1531" s="20" t="str">
        <f>IFERROR(__xludf.DUMMYFUNCTION("""COMPUTED_VALUE"""),"Algorithms")</f>
        <v>Algorithms</v>
      </c>
      <c r="I1531" s="20">
        <f>IFERROR(__xludf.DUMMYFUNCTION("""COMPUTED_VALUE"""),0.609)</f>
        <v>0.609</v>
      </c>
      <c r="J1531" s="20">
        <f>IFERROR(__xludf.DUMMYFUNCTION("""COMPUTED_VALUE"""),1530.0)</f>
        <v>1530</v>
      </c>
      <c r="K1531" s="20" t="b">
        <f>IFERROR(__xludf.DUMMYFUNCTION("""COMPUTED_VALUE"""),FALSE)</f>
        <v>0</v>
      </c>
      <c r="L1531" s="20" t="str">
        <f>IFERROR(__xludf.DUMMYFUNCTION("""COMPUTED_VALUE"""),"Tree;Depth-First Search;Binary Tree;")</f>
        <v>Tree;Depth-First Search;Binary Tree;</v>
      </c>
      <c r="M1531" s="20" t="b">
        <f>IFERROR(__xludf.DUMMYFUNCTION("""COMPUTED_VALUE"""),FALSE)</f>
        <v>0</v>
      </c>
      <c r="N1531" s="20" t="b">
        <f>IFERROR(__xludf.DUMMYFUNCTION("""COMPUTED_VALUE"""),FALSE)</f>
        <v>0</v>
      </c>
      <c r="O1531" s="20">
        <f>IFERROR(__xludf.DUMMYFUNCTION("""COMPUTED_VALUE"""),60.9035750956781)</f>
        <v>60.9035751</v>
      </c>
      <c r="P1531" s="20">
        <f>IFERROR(__xludf.DUMMYFUNCTION("""COMPUTED_VALUE"""),32623.0)</f>
        <v>32623</v>
      </c>
      <c r="Q1531" s="20">
        <f>IFERROR(__xludf.DUMMYFUNCTION("""COMPUTED_VALUE"""),53565.0)</f>
        <v>53565</v>
      </c>
    </row>
    <row r="1532">
      <c r="A1532" s="20">
        <f>IFERROR(__xludf.DUMMYFUNCTION("""COMPUTED_VALUE"""),1637.0)</f>
        <v>1637</v>
      </c>
      <c r="B1532" s="20" t="str">
        <f>IFERROR(__xludf.DUMMYFUNCTION("""COMPUTED_VALUE"""),"String Compression II")</f>
        <v>String Compression II</v>
      </c>
      <c r="C1532" s="20" t="str">
        <f>IFERROR(__xludf.DUMMYFUNCTION("""COMPUTED_VALUE"""),"string-compression-ii")</f>
        <v>string-compression-ii</v>
      </c>
      <c r="D1532" s="20" t="b">
        <f>IFERROR(__xludf.DUMMYFUNCTION("""COMPUTED_VALUE"""),FALSE)</f>
        <v>0</v>
      </c>
      <c r="E1532" s="20" t="str">
        <f>IFERROR(__xludf.DUMMYFUNCTION("""COMPUTED_VALUE"""),"Hard")</f>
        <v>Hard</v>
      </c>
      <c r="F1532" s="20">
        <f>IFERROR(__xludf.DUMMYFUNCTION("""COMPUTED_VALUE"""),1596.0)</f>
        <v>1596</v>
      </c>
      <c r="G1532" s="20">
        <f>IFERROR(__xludf.DUMMYFUNCTION("""COMPUTED_VALUE"""),117.0)</f>
        <v>117</v>
      </c>
      <c r="H1532" s="20" t="str">
        <f>IFERROR(__xludf.DUMMYFUNCTION("""COMPUTED_VALUE"""),"Algorithms")</f>
        <v>Algorithms</v>
      </c>
      <c r="I1532" s="20">
        <f>IFERROR(__xludf.DUMMYFUNCTION("""COMPUTED_VALUE"""),0.498)</f>
        <v>0.498</v>
      </c>
      <c r="J1532" s="20">
        <f>IFERROR(__xludf.DUMMYFUNCTION("""COMPUTED_VALUE"""),1531.0)</f>
        <v>1531</v>
      </c>
      <c r="K1532" s="20" t="b">
        <f>IFERROR(__xludf.DUMMYFUNCTION("""COMPUTED_VALUE"""),FALSE)</f>
        <v>0</v>
      </c>
      <c r="L1532" s="20" t="str">
        <f>IFERROR(__xludf.DUMMYFUNCTION("""COMPUTED_VALUE"""),"String;Dynamic Programming;")</f>
        <v>String;Dynamic Programming;</v>
      </c>
      <c r="M1532" s="20" t="b">
        <f>IFERROR(__xludf.DUMMYFUNCTION("""COMPUTED_VALUE"""),TRUE)</f>
        <v>1</v>
      </c>
      <c r="N1532" s="20" t="b">
        <f>IFERROR(__xludf.DUMMYFUNCTION("""COMPUTED_VALUE"""),FALSE)</f>
        <v>0</v>
      </c>
      <c r="O1532" s="20">
        <f>IFERROR(__xludf.DUMMYFUNCTION("""COMPUTED_VALUE"""),49.7685402763417)</f>
        <v>49.76854028</v>
      </c>
      <c r="P1532" s="20">
        <f>IFERROR(__xludf.DUMMYFUNCTION("""COMPUTED_VALUE"""),42359.0)</f>
        <v>42359</v>
      </c>
      <c r="Q1532" s="20">
        <f>IFERROR(__xludf.DUMMYFUNCTION("""COMPUTED_VALUE"""),85112.0)</f>
        <v>85112</v>
      </c>
    </row>
    <row r="1533">
      <c r="A1533" s="20">
        <f>IFERROR(__xludf.DUMMYFUNCTION("""COMPUTED_VALUE"""),1671.0)</f>
        <v>1671</v>
      </c>
      <c r="B1533" s="20" t="str">
        <f>IFERROR(__xludf.DUMMYFUNCTION("""COMPUTED_VALUE"""),"The Most Recent Three Orders")</f>
        <v>The Most Recent Three Orders</v>
      </c>
      <c r="C1533" s="20" t="str">
        <f>IFERROR(__xludf.DUMMYFUNCTION("""COMPUTED_VALUE"""),"the-most-recent-three-orders")</f>
        <v>the-most-recent-three-orders</v>
      </c>
      <c r="D1533" s="20" t="b">
        <f>IFERROR(__xludf.DUMMYFUNCTION("""COMPUTED_VALUE"""),TRUE)</f>
        <v>1</v>
      </c>
      <c r="E1533" s="20" t="str">
        <f>IFERROR(__xludf.DUMMYFUNCTION("""COMPUTED_VALUE"""),"Medium")</f>
        <v>Medium</v>
      </c>
      <c r="F1533" s="20">
        <f>IFERROR(__xludf.DUMMYFUNCTION("""COMPUTED_VALUE"""),122.0)</f>
        <v>122</v>
      </c>
      <c r="G1533" s="20">
        <f>IFERROR(__xludf.DUMMYFUNCTION("""COMPUTED_VALUE"""),9.0)</f>
        <v>9</v>
      </c>
      <c r="H1533" s="20" t="str">
        <f>IFERROR(__xludf.DUMMYFUNCTION("""COMPUTED_VALUE"""),"Database")</f>
        <v>Database</v>
      </c>
      <c r="I1533" s="20">
        <f>IFERROR(__xludf.DUMMYFUNCTION("""COMPUTED_VALUE"""),0.708)</f>
        <v>0.708</v>
      </c>
      <c r="J1533" s="20">
        <f>IFERROR(__xludf.DUMMYFUNCTION("""COMPUTED_VALUE"""),1532.0)</f>
        <v>1532</v>
      </c>
      <c r="K1533" s="20" t="b">
        <f>IFERROR(__xludf.DUMMYFUNCTION("""COMPUTED_VALUE"""),TRUE)</f>
        <v>1</v>
      </c>
      <c r="L1533" s="20" t="str">
        <f>IFERROR(__xludf.DUMMYFUNCTION("""COMPUTED_VALUE"""),"Database;")</f>
        <v>Database;</v>
      </c>
      <c r="M1533" s="20" t="b">
        <f>IFERROR(__xludf.DUMMYFUNCTION("""COMPUTED_VALUE"""),FALSE)</f>
        <v>0</v>
      </c>
      <c r="N1533" s="20" t="b">
        <f>IFERROR(__xludf.DUMMYFUNCTION("""COMPUTED_VALUE"""),FALSE)</f>
        <v>0</v>
      </c>
      <c r="O1533" s="20">
        <f>IFERROR(__xludf.DUMMYFUNCTION("""COMPUTED_VALUE"""),70.7587295053852)</f>
        <v>70.75872951</v>
      </c>
      <c r="P1533" s="20">
        <f>IFERROR(__xludf.DUMMYFUNCTION("""COMPUTED_VALUE"""),20629.0)</f>
        <v>20629</v>
      </c>
      <c r="Q1533" s="20">
        <f>IFERROR(__xludf.DUMMYFUNCTION("""COMPUTED_VALUE"""),29154.0)</f>
        <v>29154</v>
      </c>
    </row>
    <row r="1534">
      <c r="A1534" s="20">
        <f>IFERROR(__xludf.DUMMYFUNCTION("""COMPUTED_VALUE"""),1672.0)</f>
        <v>1672</v>
      </c>
      <c r="B1534" s="20" t="str">
        <f>IFERROR(__xludf.DUMMYFUNCTION("""COMPUTED_VALUE"""),"Find the Index of the Large Integer")</f>
        <v>Find the Index of the Large Integer</v>
      </c>
      <c r="C1534" s="20" t="str">
        <f>IFERROR(__xludf.DUMMYFUNCTION("""COMPUTED_VALUE"""),"find-the-index-of-the-large-integer")</f>
        <v>find-the-index-of-the-large-integer</v>
      </c>
      <c r="D1534" s="20" t="b">
        <f>IFERROR(__xludf.DUMMYFUNCTION("""COMPUTED_VALUE"""),TRUE)</f>
        <v>1</v>
      </c>
      <c r="E1534" s="20" t="str">
        <f>IFERROR(__xludf.DUMMYFUNCTION("""COMPUTED_VALUE"""),"Medium")</f>
        <v>Medium</v>
      </c>
      <c r="F1534" s="20">
        <f>IFERROR(__xludf.DUMMYFUNCTION("""COMPUTED_VALUE"""),113.0)</f>
        <v>113</v>
      </c>
      <c r="G1534" s="20">
        <f>IFERROR(__xludf.DUMMYFUNCTION("""COMPUTED_VALUE"""),17.0)</f>
        <v>17</v>
      </c>
      <c r="H1534" s="20" t="str">
        <f>IFERROR(__xludf.DUMMYFUNCTION("""COMPUTED_VALUE"""),"Algorithms")</f>
        <v>Algorithms</v>
      </c>
      <c r="I1534" s="20">
        <f>IFERROR(__xludf.DUMMYFUNCTION("""COMPUTED_VALUE"""),0.51)</f>
        <v>0.51</v>
      </c>
      <c r="J1534" s="20">
        <f>IFERROR(__xludf.DUMMYFUNCTION("""COMPUTED_VALUE"""),1533.0)</f>
        <v>1533</v>
      </c>
      <c r="K1534" s="20" t="b">
        <f>IFERROR(__xludf.DUMMYFUNCTION("""COMPUTED_VALUE"""),TRUE)</f>
        <v>1</v>
      </c>
      <c r="L1534" s="20" t="str">
        <f>IFERROR(__xludf.DUMMYFUNCTION("""COMPUTED_VALUE"""),"Array;Binary Search;Interactive;")</f>
        <v>Array;Binary Search;Interactive;</v>
      </c>
      <c r="M1534" s="20" t="b">
        <f>IFERROR(__xludf.DUMMYFUNCTION("""COMPUTED_VALUE"""),TRUE)</f>
        <v>1</v>
      </c>
      <c r="N1534" s="20" t="b">
        <f>IFERROR(__xludf.DUMMYFUNCTION("""COMPUTED_VALUE"""),FALSE)</f>
        <v>0</v>
      </c>
      <c r="O1534" s="20">
        <f>IFERROR(__xludf.DUMMYFUNCTION("""COMPUTED_VALUE"""),50.9565690452443)</f>
        <v>50.95656905</v>
      </c>
      <c r="P1534" s="20">
        <f>IFERROR(__xludf.DUMMYFUNCTION("""COMPUTED_VALUE"""),5620.0)</f>
        <v>5620</v>
      </c>
      <c r="Q1534" s="20">
        <f>IFERROR(__xludf.DUMMYFUNCTION("""COMPUTED_VALUE"""),11029.0)</f>
        <v>11029</v>
      </c>
    </row>
    <row r="1535">
      <c r="A1535" s="20">
        <f>IFERROR(__xludf.DUMMYFUNCTION("""COMPUTED_VALUE"""),1656.0)</f>
        <v>1656</v>
      </c>
      <c r="B1535" s="20" t="str">
        <f>IFERROR(__xludf.DUMMYFUNCTION("""COMPUTED_VALUE"""),"Count Good Triplets")</f>
        <v>Count Good Triplets</v>
      </c>
      <c r="C1535" s="20" t="str">
        <f>IFERROR(__xludf.DUMMYFUNCTION("""COMPUTED_VALUE"""),"count-good-triplets")</f>
        <v>count-good-triplets</v>
      </c>
      <c r="D1535" s="20" t="b">
        <f>IFERROR(__xludf.DUMMYFUNCTION("""COMPUTED_VALUE"""),FALSE)</f>
        <v>0</v>
      </c>
      <c r="E1535" s="20" t="str">
        <f>IFERROR(__xludf.DUMMYFUNCTION("""COMPUTED_VALUE"""),"Easy")</f>
        <v>Easy</v>
      </c>
      <c r="F1535" s="20">
        <f>IFERROR(__xludf.DUMMYFUNCTION("""COMPUTED_VALUE"""),557.0)</f>
        <v>557</v>
      </c>
      <c r="G1535" s="20">
        <f>IFERROR(__xludf.DUMMYFUNCTION("""COMPUTED_VALUE"""),1042.0)</f>
        <v>1042</v>
      </c>
      <c r="H1535" s="20" t="str">
        <f>IFERROR(__xludf.DUMMYFUNCTION("""COMPUTED_VALUE"""),"Algorithms")</f>
        <v>Algorithms</v>
      </c>
      <c r="I1535" s="20">
        <f>IFERROR(__xludf.DUMMYFUNCTION("""COMPUTED_VALUE"""),0.808)</f>
        <v>0.808</v>
      </c>
      <c r="J1535" s="20">
        <f>IFERROR(__xludf.DUMMYFUNCTION("""COMPUTED_VALUE"""),1534.0)</f>
        <v>1534</v>
      </c>
      <c r="K1535" s="20" t="b">
        <f>IFERROR(__xludf.DUMMYFUNCTION("""COMPUTED_VALUE"""),FALSE)</f>
        <v>0</v>
      </c>
      <c r="L1535" s="20" t="str">
        <f>IFERROR(__xludf.DUMMYFUNCTION("""COMPUTED_VALUE"""),"Array;Enumeration;")</f>
        <v>Array;Enumeration;</v>
      </c>
      <c r="M1535" s="20" t="b">
        <f>IFERROR(__xludf.DUMMYFUNCTION("""COMPUTED_VALUE"""),FALSE)</f>
        <v>0</v>
      </c>
      <c r="N1535" s="20" t="b">
        <f>IFERROR(__xludf.DUMMYFUNCTION("""COMPUTED_VALUE"""),FALSE)</f>
        <v>0</v>
      </c>
      <c r="O1535" s="20">
        <f>IFERROR(__xludf.DUMMYFUNCTION("""COMPUTED_VALUE"""),80.8439899990142)</f>
        <v>80.84399</v>
      </c>
      <c r="P1535" s="20">
        <f>IFERROR(__xludf.DUMMYFUNCTION("""COMPUTED_VALUE"""),90213.0)</f>
        <v>90213</v>
      </c>
      <c r="Q1535" s="20">
        <f>IFERROR(__xludf.DUMMYFUNCTION("""COMPUTED_VALUE"""),111589.0)</f>
        <v>111589</v>
      </c>
    </row>
    <row r="1536">
      <c r="A1536" s="20">
        <f>IFERROR(__xludf.DUMMYFUNCTION("""COMPUTED_VALUE"""),1657.0)</f>
        <v>1657</v>
      </c>
      <c r="B1536" s="20" t="str">
        <f>IFERROR(__xludf.DUMMYFUNCTION("""COMPUTED_VALUE"""),"Find the Winner of an Array Game")</f>
        <v>Find the Winner of an Array Game</v>
      </c>
      <c r="C1536" s="20" t="str">
        <f>IFERROR(__xludf.DUMMYFUNCTION("""COMPUTED_VALUE"""),"find-the-winner-of-an-array-game")</f>
        <v>find-the-winner-of-an-array-game</v>
      </c>
      <c r="D1536" s="20" t="b">
        <f>IFERROR(__xludf.DUMMYFUNCTION("""COMPUTED_VALUE"""),FALSE)</f>
        <v>0</v>
      </c>
      <c r="E1536" s="20" t="str">
        <f>IFERROR(__xludf.DUMMYFUNCTION("""COMPUTED_VALUE"""),"Medium")</f>
        <v>Medium</v>
      </c>
      <c r="F1536" s="20">
        <f>IFERROR(__xludf.DUMMYFUNCTION("""COMPUTED_VALUE"""),532.0)</f>
        <v>532</v>
      </c>
      <c r="G1536" s="20">
        <f>IFERROR(__xludf.DUMMYFUNCTION("""COMPUTED_VALUE"""),28.0)</f>
        <v>28</v>
      </c>
      <c r="H1536" s="20" t="str">
        <f>IFERROR(__xludf.DUMMYFUNCTION("""COMPUTED_VALUE"""),"Algorithms")</f>
        <v>Algorithms</v>
      </c>
      <c r="I1536" s="20">
        <f>IFERROR(__xludf.DUMMYFUNCTION("""COMPUTED_VALUE"""),0.487)</f>
        <v>0.487</v>
      </c>
      <c r="J1536" s="20">
        <f>IFERROR(__xludf.DUMMYFUNCTION("""COMPUTED_VALUE"""),1535.0)</f>
        <v>1535</v>
      </c>
      <c r="K1536" s="20" t="b">
        <f>IFERROR(__xludf.DUMMYFUNCTION("""COMPUTED_VALUE"""),FALSE)</f>
        <v>0</v>
      </c>
      <c r="L1536" s="20" t="str">
        <f>IFERROR(__xludf.DUMMYFUNCTION("""COMPUTED_VALUE"""),"Array;Simulation;")</f>
        <v>Array;Simulation;</v>
      </c>
      <c r="M1536" s="20" t="b">
        <f>IFERROR(__xludf.DUMMYFUNCTION("""COMPUTED_VALUE"""),FALSE)</f>
        <v>0</v>
      </c>
      <c r="N1536" s="20" t="b">
        <f>IFERROR(__xludf.DUMMYFUNCTION("""COMPUTED_VALUE"""),FALSE)</f>
        <v>0</v>
      </c>
      <c r="O1536" s="20">
        <f>IFERROR(__xludf.DUMMYFUNCTION("""COMPUTED_VALUE"""),48.7367056692885)</f>
        <v>48.73670567</v>
      </c>
      <c r="P1536" s="20">
        <f>IFERROR(__xludf.DUMMYFUNCTION("""COMPUTED_VALUE"""),27449.0)</f>
        <v>27449</v>
      </c>
      <c r="Q1536" s="20">
        <f>IFERROR(__xludf.DUMMYFUNCTION("""COMPUTED_VALUE"""),56321.0)</f>
        <v>56321</v>
      </c>
    </row>
    <row r="1537">
      <c r="A1537" s="20">
        <f>IFERROR(__xludf.DUMMYFUNCTION("""COMPUTED_VALUE"""),1658.0)</f>
        <v>1658</v>
      </c>
      <c r="B1537" s="20" t="str">
        <f>IFERROR(__xludf.DUMMYFUNCTION("""COMPUTED_VALUE"""),"Minimum Swaps to Arrange a Binary Grid")</f>
        <v>Minimum Swaps to Arrange a Binary Grid</v>
      </c>
      <c r="C1537" s="20" t="str">
        <f>IFERROR(__xludf.DUMMYFUNCTION("""COMPUTED_VALUE"""),"minimum-swaps-to-arrange-a-binary-grid")</f>
        <v>minimum-swaps-to-arrange-a-binary-grid</v>
      </c>
      <c r="D1537" s="20" t="b">
        <f>IFERROR(__xludf.DUMMYFUNCTION("""COMPUTED_VALUE"""),FALSE)</f>
        <v>0</v>
      </c>
      <c r="E1537" s="20" t="str">
        <f>IFERROR(__xludf.DUMMYFUNCTION("""COMPUTED_VALUE"""),"Medium")</f>
        <v>Medium</v>
      </c>
      <c r="F1537" s="20">
        <f>IFERROR(__xludf.DUMMYFUNCTION("""COMPUTED_VALUE"""),498.0)</f>
        <v>498</v>
      </c>
      <c r="G1537" s="20">
        <f>IFERROR(__xludf.DUMMYFUNCTION("""COMPUTED_VALUE"""),65.0)</f>
        <v>65</v>
      </c>
      <c r="H1537" s="20" t="str">
        <f>IFERROR(__xludf.DUMMYFUNCTION("""COMPUTED_VALUE"""),"Algorithms")</f>
        <v>Algorithms</v>
      </c>
      <c r="I1537" s="20">
        <f>IFERROR(__xludf.DUMMYFUNCTION("""COMPUTED_VALUE"""),0.465)</f>
        <v>0.465</v>
      </c>
      <c r="J1537" s="20">
        <f>IFERROR(__xludf.DUMMYFUNCTION("""COMPUTED_VALUE"""),1536.0)</f>
        <v>1536</v>
      </c>
      <c r="K1537" s="20" t="b">
        <f>IFERROR(__xludf.DUMMYFUNCTION("""COMPUTED_VALUE"""),FALSE)</f>
        <v>0</v>
      </c>
      <c r="L1537" s="20" t="str">
        <f>IFERROR(__xludf.DUMMYFUNCTION("""COMPUTED_VALUE"""),"Array;Greedy;Matrix;")</f>
        <v>Array;Greedy;Matrix;</v>
      </c>
      <c r="M1537" s="20" t="b">
        <f>IFERROR(__xludf.DUMMYFUNCTION("""COMPUTED_VALUE"""),FALSE)</f>
        <v>0</v>
      </c>
      <c r="N1537" s="20" t="b">
        <f>IFERROR(__xludf.DUMMYFUNCTION("""COMPUTED_VALUE"""),FALSE)</f>
        <v>0</v>
      </c>
      <c r="O1537" s="20">
        <f>IFERROR(__xludf.DUMMYFUNCTION("""COMPUTED_VALUE"""),46.4936028184683)</f>
        <v>46.49360282</v>
      </c>
      <c r="P1537" s="20">
        <f>IFERROR(__xludf.DUMMYFUNCTION("""COMPUTED_VALUE"""),12537.0)</f>
        <v>12537</v>
      </c>
      <c r="Q1537" s="20">
        <f>IFERROR(__xludf.DUMMYFUNCTION("""COMPUTED_VALUE"""),26965.0)</f>
        <v>26965</v>
      </c>
    </row>
    <row r="1538">
      <c r="A1538" s="20">
        <f>IFERROR(__xludf.DUMMYFUNCTION("""COMPUTED_VALUE"""),1659.0)</f>
        <v>1659</v>
      </c>
      <c r="B1538" s="20" t="str">
        <f>IFERROR(__xludf.DUMMYFUNCTION("""COMPUTED_VALUE"""),"Get the Maximum Score")</f>
        <v>Get the Maximum Score</v>
      </c>
      <c r="C1538" s="20" t="str">
        <f>IFERROR(__xludf.DUMMYFUNCTION("""COMPUTED_VALUE"""),"get-the-maximum-score")</f>
        <v>get-the-maximum-score</v>
      </c>
      <c r="D1538" s="20" t="b">
        <f>IFERROR(__xludf.DUMMYFUNCTION("""COMPUTED_VALUE"""),FALSE)</f>
        <v>0</v>
      </c>
      <c r="E1538" s="20" t="str">
        <f>IFERROR(__xludf.DUMMYFUNCTION("""COMPUTED_VALUE"""),"Hard")</f>
        <v>Hard</v>
      </c>
      <c r="F1538" s="20">
        <f>IFERROR(__xludf.DUMMYFUNCTION("""COMPUTED_VALUE"""),765.0)</f>
        <v>765</v>
      </c>
      <c r="G1538" s="20">
        <f>IFERROR(__xludf.DUMMYFUNCTION("""COMPUTED_VALUE"""),40.0)</f>
        <v>40</v>
      </c>
      <c r="H1538" s="20" t="str">
        <f>IFERROR(__xludf.DUMMYFUNCTION("""COMPUTED_VALUE"""),"Algorithms")</f>
        <v>Algorithms</v>
      </c>
      <c r="I1538" s="20">
        <f>IFERROR(__xludf.DUMMYFUNCTION("""COMPUTED_VALUE"""),0.393)</f>
        <v>0.393</v>
      </c>
      <c r="J1538" s="20">
        <f>IFERROR(__xludf.DUMMYFUNCTION("""COMPUTED_VALUE"""),1537.0)</f>
        <v>1537</v>
      </c>
      <c r="K1538" s="20" t="b">
        <f>IFERROR(__xludf.DUMMYFUNCTION("""COMPUTED_VALUE"""),FALSE)</f>
        <v>0</v>
      </c>
      <c r="L1538" s="20" t="str">
        <f>IFERROR(__xludf.DUMMYFUNCTION("""COMPUTED_VALUE"""),"Array;Two Pointers;Dynamic Programming;Greedy;")</f>
        <v>Array;Two Pointers;Dynamic Programming;Greedy;</v>
      </c>
      <c r="M1538" s="20" t="b">
        <f>IFERROR(__xludf.DUMMYFUNCTION("""COMPUTED_VALUE"""),FALSE)</f>
        <v>0</v>
      </c>
      <c r="N1538" s="20" t="b">
        <f>IFERROR(__xludf.DUMMYFUNCTION("""COMPUTED_VALUE"""),FALSE)</f>
        <v>0</v>
      </c>
      <c r="O1538" s="20">
        <f>IFERROR(__xludf.DUMMYFUNCTION("""COMPUTED_VALUE"""),39.2845478473036)</f>
        <v>39.28454785</v>
      </c>
      <c r="P1538" s="20">
        <f>IFERROR(__xludf.DUMMYFUNCTION("""COMPUTED_VALUE"""),20448.0)</f>
        <v>20448</v>
      </c>
      <c r="Q1538" s="20">
        <f>IFERROR(__xludf.DUMMYFUNCTION("""COMPUTED_VALUE"""),52051.0)</f>
        <v>52051</v>
      </c>
    </row>
    <row r="1539">
      <c r="A1539" s="20">
        <f>IFERROR(__xludf.DUMMYFUNCTION("""COMPUTED_VALUE"""),1681.0)</f>
        <v>1681</v>
      </c>
      <c r="B1539" s="20" t="str">
        <f>IFERROR(__xludf.DUMMYFUNCTION("""COMPUTED_VALUE"""),"Guess the Majority in a Hidden Array")</f>
        <v>Guess the Majority in a Hidden Array</v>
      </c>
      <c r="C1539" s="20" t="str">
        <f>IFERROR(__xludf.DUMMYFUNCTION("""COMPUTED_VALUE"""),"guess-the-majority-in-a-hidden-array")</f>
        <v>guess-the-majority-in-a-hidden-array</v>
      </c>
      <c r="D1539" s="20" t="b">
        <f>IFERROR(__xludf.DUMMYFUNCTION("""COMPUTED_VALUE"""),TRUE)</f>
        <v>1</v>
      </c>
      <c r="E1539" s="20" t="str">
        <f>IFERROR(__xludf.DUMMYFUNCTION("""COMPUTED_VALUE"""),"Medium")</f>
        <v>Medium</v>
      </c>
      <c r="F1539" s="20">
        <f>IFERROR(__xludf.DUMMYFUNCTION("""COMPUTED_VALUE"""),72.0)</f>
        <v>72</v>
      </c>
      <c r="G1539" s="20">
        <f>IFERROR(__xludf.DUMMYFUNCTION("""COMPUTED_VALUE"""),41.0)</f>
        <v>41</v>
      </c>
      <c r="H1539" s="20" t="str">
        <f>IFERROR(__xludf.DUMMYFUNCTION("""COMPUTED_VALUE"""),"Algorithms")</f>
        <v>Algorithms</v>
      </c>
      <c r="I1539" s="20">
        <f>IFERROR(__xludf.DUMMYFUNCTION("""COMPUTED_VALUE"""),0.63)</f>
        <v>0.63</v>
      </c>
      <c r="J1539" s="20">
        <f>IFERROR(__xludf.DUMMYFUNCTION("""COMPUTED_VALUE"""),1538.0)</f>
        <v>1538</v>
      </c>
      <c r="K1539" s="20" t="b">
        <f>IFERROR(__xludf.DUMMYFUNCTION("""COMPUTED_VALUE"""),TRUE)</f>
        <v>1</v>
      </c>
      <c r="L1539" s="20" t="str">
        <f>IFERROR(__xludf.DUMMYFUNCTION("""COMPUTED_VALUE"""),"Array;Math;Interactive;")</f>
        <v>Array;Math;Interactive;</v>
      </c>
      <c r="M1539" s="20" t="b">
        <f>IFERROR(__xludf.DUMMYFUNCTION("""COMPUTED_VALUE"""),FALSE)</f>
        <v>0</v>
      </c>
      <c r="N1539" s="20" t="b">
        <f>IFERROR(__xludf.DUMMYFUNCTION("""COMPUTED_VALUE"""),FALSE)</f>
        <v>0</v>
      </c>
      <c r="O1539" s="20">
        <f>IFERROR(__xludf.DUMMYFUNCTION("""COMPUTED_VALUE"""),62.9728696981276)</f>
        <v>62.9728697</v>
      </c>
      <c r="P1539" s="20">
        <f>IFERROR(__xludf.DUMMYFUNCTION("""COMPUTED_VALUE"""),1648.0)</f>
        <v>1648</v>
      </c>
      <c r="Q1539" s="20">
        <f>IFERROR(__xludf.DUMMYFUNCTION("""COMPUTED_VALUE"""),2617.0)</f>
        <v>2617</v>
      </c>
    </row>
    <row r="1540">
      <c r="A1540" s="20">
        <f>IFERROR(__xludf.DUMMYFUNCTION("""COMPUTED_VALUE"""),1646.0)</f>
        <v>1646</v>
      </c>
      <c r="B1540" s="20" t="str">
        <f>IFERROR(__xludf.DUMMYFUNCTION("""COMPUTED_VALUE"""),"Kth Missing Positive Number")</f>
        <v>Kth Missing Positive Number</v>
      </c>
      <c r="C1540" s="20" t="str">
        <f>IFERROR(__xludf.DUMMYFUNCTION("""COMPUTED_VALUE"""),"kth-missing-positive-number")</f>
        <v>kth-missing-positive-number</v>
      </c>
      <c r="D1540" s="20" t="b">
        <f>IFERROR(__xludf.DUMMYFUNCTION("""COMPUTED_VALUE"""),FALSE)</f>
        <v>0</v>
      </c>
      <c r="E1540" s="20" t="str">
        <f>IFERROR(__xludf.DUMMYFUNCTION("""COMPUTED_VALUE"""),"Easy")</f>
        <v>Easy</v>
      </c>
      <c r="F1540" s="20">
        <f>IFERROR(__xludf.DUMMYFUNCTION("""COMPUTED_VALUE"""),3431.0)</f>
        <v>3431</v>
      </c>
      <c r="G1540" s="20">
        <f>IFERROR(__xludf.DUMMYFUNCTION("""COMPUTED_VALUE"""),248.0)</f>
        <v>248</v>
      </c>
      <c r="H1540" s="20" t="str">
        <f>IFERROR(__xludf.DUMMYFUNCTION("""COMPUTED_VALUE"""),"Algorithms")</f>
        <v>Algorithms</v>
      </c>
      <c r="I1540" s="20">
        <f>IFERROR(__xludf.DUMMYFUNCTION("""COMPUTED_VALUE"""),0.56)</f>
        <v>0.56</v>
      </c>
      <c r="J1540" s="20">
        <f>IFERROR(__xludf.DUMMYFUNCTION("""COMPUTED_VALUE"""),1539.0)</f>
        <v>1539</v>
      </c>
      <c r="K1540" s="20" t="b">
        <f>IFERROR(__xludf.DUMMYFUNCTION("""COMPUTED_VALUE"""),FALSE)</f>
        <v>0</v>
      </c>
      <c r="L1540" s="20" t="str">
        <f>IFERROR(__xludf.DUMMYFUNCTION("""COMPUTED_VALUE"""),"Array;Binary Search;")</f>
        <v>Array;Binary Search;</v>
      </c>
      <c r="M1540" s="20" t="b">
        <f>IFERROR(__xludf.DUMMYFUNCTION("""COMPUTED_VALUE"""),TRUE)</f>
        <v>1</v>
      </c>
      <c r="N1540" s="20" t="b">
        <f>IFERROR(__xludf.DUMMYFUNCTION("""COMPUTED_VALUE"""),FALSE)</f>
        <v>0</v>
      </c>
      <c r="O1540" s="20">
        <f>IFERROR(__xludf.DUMMYFUNCTION("""COMPUTED_VALUE"""),56.0296825912685)</f>
        <v>56.02968259</v>
      </c>
      <c r="P1540" s="20">
        <f>IFERROR(__xludf.DUMMYFUNCTION("""COMPUTED_VALUE"""),206880.0)</f>
        <v>206880</v>
      </c>
      <c r="Q1540" s="20">
        <f>IFERROR(__xludf.DUMMYFUNCTION("""COMPUTED_VALUE"""),369228.0)</f>
        <v>369228</v>
      </c>
    </row>
    <row r="1541">
      <c r="A1541" s="20">
        <f>IFERROR(__xludf.DUMMYFUNCTION("""COMPUTED_VALUE"""),1647.0)</f>
        <v>1647</v>
      </c>
      <c r="B1541" s="20" t="str">
        <f>IFERROR(__xludf.DUMMYFUNCTION("""COMPUTED_VALUE"""),"Can Convert String in K Moves")</f>
        <v>Can Convert String in K Moves</v>
      </c>
      <c r="C1541" s="20" t="str">
        <f>IFERROR(__xludf.DUMMYFUNCTION("""COMPUTED_VALUE"""),"can-convert-string-in-k-moves")</f>
        <v>can-convert-string-in-k-moves</v>
      </c>
      <c r="D1541" s="20" t="b">
        <f>IFERROR(__xludf.DUMMYFUNCTION("""COMPUTED_VALUE"""),FALSE)</f>
        <v>0</v>
      </c>
      <c r="E1541" s="20" t="str">
        <f>IFERROR(__xludf.DUMMYFUNCTION("""COMPUTED_VALUE"""),"Medium")</f>
        <v>Medium</v>
      </c>
      <c r="F1541" s="20">
        <f>IFERROR(__xludf.DUMMYFUNCTION("""COMPUTED_VALUE"""),306.0)</f>
        <v>306</v>
      </c>
      <c r="G1541" s="20">
        <f>IFERROR(__xludf.DUMMYFUNCTION("""COMPUTED_VALUE"""),253.0)</f>
        <v>253</v>
      </c>
      <c r="H1541" s="20" t="str">
        <f>IFERROR(__xludf.DUMMYFUNCTION("""COMPUTED_VALUE"""),"Algorithms")</f>
        <v>Algorithms</v>
      </c>
      <c r="I1541" s="20">
        <f>IFERROR(__xludf.DUMMYFUNCTION("""COMPUTED_VALUE"""),0.333)</f>
        <v>0.333</v>
      </c>
      <c r="J1541" s="20">
        <f>IFERROR(__xludf.DUMMYFUNCTION("""COMPUTED_VALUE"""),1540.0)</f>
        <v>1540</v>
      </c>
      <c r="K1541" s="20" t="b">
        <f>IFERROR(__xludf.DUMMYFUNCTION("""COMPUTED_VALUE"""),FALSE)</f>
        <v>0</v>
      </c>
      <c r="L1541" s="20" t="str">
        <f>IFERROR(__xludf.DUMMYFUNCTION("""COMPUTED_VALUE"""),"Hash Table;String;")</f>
        <v>Hash Table;String;</v>
      </c>
      <c r="M1541" s="20" t="b">
        <f>IFERROR(__xludf.DUMMYFUNCTION("""COMPUTED_VALUE"""),FALSE)</f>
        <v>0</v>
      </c>
      <c r="N1541" s="20" t="b">
        <f>IFERROR(__xludf.DUMMYFUNCTION("""COMPUTED_VALUE"""),FALSE)</f>
        <v>0</v>
      </c>
      <c r="O1541" s="20">
        <f>IFERROR(__xludf.DUMMYFUNCTION("""COMPUTED_VALUE"""),33.2774591971768)</f>
        <v>33.2774592</v>
      </c>
      <c r="P1541" s="20">
        <f>IFERROR(__xludf.DUMMYFUNCTION("""COMPUTED_VALUE"""),15088.0)</f>
        <v>15088</v>
      </c>
      <c r="Q1541" s="20">
        <f>IFERROR(__xludf.DUMMYFUNCTION("""COMPUTED_VALUE"""),45340.0)</f>
        <v>45340</v>
      </c>
    </row>
    <row r="1542">
      <c r="A1542" s="20">
        <f>IFERROR(__xludf.DUMMYFUNCTION("""COMPUTED_VALUE"""),1648.0)</f>
        <v>1648</v>
      </c>
      <c r="B1542" s="20" t="str">
        <f>IFERROR(__xludf.DUMMYFUNCTION("""COMPUTED_VALUE"""),"Minimum Insertions to Balance a Parentheses String")</f>
        <v>Minimum Insertions to Balance a Parentheses String</v>
      </c>
      <c r="C1542" s="20" t="str">
        <f>IFERROR(__xludf.DUMMYFUNCTION("""COMPUTED_VALUE"""),"minimum-insertions-to-balance-a-parentheses-string")</f>
        <v>minimum-insertions-to-balance-a-parentheses-string</v>
      </c>
      <c r="D1542" s="20" t="b">
        <f>IFERROR(__xludf.DUMMYFUNCTION("""COMPUTED_VALUE"""),FALSE)</f>
        <v>0</v>
      </c>
      <c r="E1542" s="20" t="str">
        <f>IFERROR(__xludf.DUMMYFUNCTION("""COMPUTED_VALUE"""),"Medium")</f>
        <v>Medium</v>
      </c>
      <c r="F1542" s="20">
        <f>IFERROR(__xludf.DUMMYFUNCTION("""COMPUTED_VALUE"""),805.0)</f>
        <v>805</v>
      </c>
      <c r="G1542" s="20">
        <f>IFERROR(__xludf.DUMMYFUNCTION("""COMPUTED_VALUE"""),180.0)</f>
        <v>180</v>
      </c>
      <c r="H1542" s="20" t="str">
        <f>IFERROR(__xludf.DUMMYFUNCTION("""COMPUTED_VALUE"""),"Algorithms")</f>
        <v>Algorithms</v>
      </c>
      <c r="I1542" s="20">
        <f>IFERROR(__xludf.DUMMYFUNCTION("""COMPUTED_VALUE"""),0.498)</f>
        <v>0.498</v>
      </c>
      <c r="J1542" s="20">
        <f>IFERROR(__xludf.DUMMYFUNCTION("""COMPUTED_VALUE"""),1541.0)</f>
        <v>1541</v>
      </c>
      <c r="K1542" s="20" t="b">
        <f>IFERROR(__xludf.DUMMYFUNCTION("""COMPUTED_VALUE"""),FALSE)</f>
        <v>0</v>
      </c>
      <c r="L1542" s="20" t="str">
        <f>IFERROR(__xludf.DUMMYFUNCTION("""COMPUTED_VALUE"""),"String;Stack;Greedy;")</f>
        <v>String;Stack;Greedy;</v>
      </c>
      <c r="M1542" s="20" t="b">
        <f>IFERROR(__xludf.DUMMYFUNCTION("""COMPUTED_VALUE"""),FALSE)</f>
        <v>0</v>
      </c>
      <c r="N1542" s="20" t="b">
        <f>IFERROR(__xludf.DUMMYFUNCTION("""COMPUTED_VALUE"""),FALSE)</f>
        <v>0</v>
      </c>
      <c r="O1542" s="20">
        <f>IFERROR(__xludf.DUMMYFUNCTION("""COMPUTED_VALUE"""),49.8430855761001)</f>
        <v>49.84308558</v>
      </c>
      <c r="P1542" s="20">
        <f>IFERROR(__xludf.DUMMYFUNCTION("""COMPUTED_VALUE"""),36687.0)</f>
        <v>36687</v>
      </c>
      <c r="Q1542" s="20">
        <f>IFERROR(__xludf.DUMMYFUNCTION("""COMPUTED_VALUE"""),73606.0)</f>
        <v>73606</v>
      </c>
    </row>
    <row r="1543">
      <c r="A1543" s="20">
        <f>IFERROR(__xludf.DUMMYFUNCTION("""COMPUTED_VALUE"""),1668.0)</f>
        <v>1668</v>
      </c>
      <c r="B1543" s="20" t="str">
        <f>IFERROR(__xludf.DUMMYFUNCTION("""COMPUTED_VALUE"""),"Find Longest Awesome Substring")</f>
        <v>Find Longest Awesome Substring</v>
      </c>
      <c r="C1543" s="20" t="str">
        <f>IFERROR(__xludf.DUMMYFUNCTION("""COMPUTED_VALUE"""),"find-longest-awesome-substring")</f>
        <v>find-longest-awesome-substring</v>
      </c>
      <c r="D1543" s="20" t="b">
        <f>IFERROR(__xludf.DUMMYFUNCTION("""COMPUTED_VALUE"""),FALSE)</f>
        <v>0</v>
      </c>
      <c r="E1543" s="20" t="str">
        <f>IFERROR(__xludf.DUMMYFUNCTION("""COMPUTED_VALUE"""),"Hard")</f>
        <v>Hard</v>
      </c>
      <c r="F1543" s="20">
        <f>IFERROR(__xludf.DUMMYFUNCTION("""COMPUTED_VALUE"""),643.0)</f>
        <v>643</v>
      </c>
      <c r="G1543" s="20">
        <f>IFERROR(__xludf.DUMMYFUNCTION("""COMPUTED_VALUE"""),11.0)</f>
        <v>11</v>
      </c>
      <c r="H1543" s="20" t="str">
        <f>IFERROR(__xludf.DUMMYFUNCTION("""COMPUTED_VALUE"""),"Algorithms")</f>
        <v>Algorithms</v>
      </c>
      <c r="I1543" s="20">
        <f>IFERROR(__xludf.DUMMYFUNCTION("""COMPUTED_VALUE"""),0.417)</f>
        <v>0.417</v>
      </c>
      <c r="J1543" s="20">
        <f>IFERROR(__xludf.DUMMYFUNCTION("""COMPUTED_VALUE"""),1542.0)</f>
        <v>1542</v>
      </c>
      <c r="K1543" s="20" t="b">
        <f>IFERROR(__xludf.DUMMYFUNCTION("""COMPUTED_VALUE"""),FALSE)</f>
        <v>0</v>
      </c>
      <c r="L1543" s="20" t="str">
        <f>IFERROR(__xludf.DUMMYFUNCTION("""COMPUTED_VALUE"""),"Hash Table;String;Bit Manipulation;")</f>
        <v>Hash Table;String;Bit Manipulation;</v>
      </c>
      <c r="M1543" s="20" t="b">
        <f>IFERROR(__xludf.DUMMYFUNCTION("""COMPUTED_VALUE"""),FALSE)</f>
        <v>0</v>
      </c>
      <c r="N1543" s="20" t="b">
        <f>IFERROR(__xludf.DUMMYFUNCTION("""COMPUTED_VALUE"""),FALSE)</f>
        <v>0</v>
      </c>
      <c r="O1543" s="20">
        <f>IFERROR(__xludf.DUMMYFUNCTION("""COMPUTED_VALUE"""),41.7274561539655)</f>
        <v>41.72745615</v>
      </c>
      <c r="P1543" s="20">
        <f>IFERROR(__xludf.DUMMYFUNCTION("""COMPUTED_VALUE"""),10754.0)</f>
        <v>10754</v>
      </c>
      <c r="Q1543" s="20">
        <f>IFERROR(__xludf.DUMMYFUNCTION("""COMPUTED_VALUE"""),25772.0)</f>
        <v>25772</v>
      </c>
    </row>
    <row r="1544">
      <c r="A1544" s="20">
        <f>IFERROR(__xludf.DUMMYFUNCTION("""COMPUTED_VALUE"""),1686.0)</f>
        <v>1686</v>
      </c>
      <c r="B1544" s="20" t="str">
        <f>IFERROR(__xludf.DUMMYFUNCTION("""COMPUTED_VALUE"""),"Fix Product Name Format")</f>
        <v>Fix Product Name Format</v>
      </c>
      <c r="C1544" s="20" t="str">
        <f>IFERROR(__xludf.DUMMYFUNCTION("""COMPUTED_VALUE"""),"fix-product-name-format")</f>
        <v>fix-product-name-format</v>
      </c>
      <c r="D1544" s="20" t="b">
        <f>IFERROR(__xludf.DUMMYFUNCTION("""COMPUTED_VALUE"""),TRUE)</f>
        <v>1</v>
      </c>
      <c r="E1544" s="20" t="str">
        <f>IFERROR(__xludf.DUMMYFUNCTION("""COMPUTED_VALUE"""),"Easy")</f>
        <v>Easy</v>
      </c>
      <c r="F1544" s="20">
        <f>IFERROR(__xludf.DUMMYFUNCTION("""COMPUTED_VALUE"""),71.0)</f>
        <v>71</v>
      </c>
      <c r="G1544" s="20">
        <f>IFERROR(__xludf.DUMMYFUNCTION("""COMPUTED_VALUE"""),41.0)</f>
        <v>41</v>
      </c>
      <c r="H1544" s="20" t="str">
        <f>IFERROR(__xludf.DUMMYFUNCTION("""COMPUTED_VALUE"""),"Database")</f>
        <v>Database</v>
      </c>
      <c r="I1544" s="20">
        <f>IFERROR(__xludf.DUMMYFUNCTION("""COMPUTED_VALUE"""),0.618)</f>
        <v>0.618</v>
      </c>
      <c r="J1544" s="20">
        <f>IFERROR(__xludf.DUMMYFUNCTION("""COMPUTED_VALUE"""),1543.0)</f>
        <v>1543</v>
      </c>
      <c r="K1544" s="20" t="b">
        <f>IFERROR(__xludf.DUMMYFUNCTION("""COMPUTED_VALUE"""),TRUE)</f>
        <v>1</v>
      </c>
      <c r="L1544" s="20" t="str">
        <f>IFERROR(__xludf.DUMMYFUNCTION("""COMPUTED_VALUE"""),"Database;")</f>
        <v>Database;</v>
      </c>
      <c r="M1544" s="20" t="b">
        <f>IFERROR(__xludf.DUMMYFUNCTION("""COMPUTED_VALUE"""),FALSE)</f>
        <v>0</v>
      </c>
      <c r="N1544" s="20" t="b">
        <f>IFERROR(__xludf.DUMMYFUNCTION("""COMPUTED_VALUE"""),FALSE)</f>
        <v>0</v>
      </c>
      <c r="O1544" s="20">
        <f>IFERROR(__xludf.DUMMYFUNCTION("""COMPUTED_VALUE"""),61.7832233741753)</f>
        <v>61.78322337</v>
      </c>
      <c r="P1544" s="20">
        <f>IFERROR(__xludf.DUMMYFUNCTION("""COMPUTED_VALUE"""),16388.0)</f>
        <v>16388</v>
      </c>
      <c r="Q1544" s="20">
        <f>IFERROR(__xludf.DUMMYFUNCTION("""COMPUTED_VALUE"""),26525.0)</f>
        <v>26525</v>
      </c>
    </row>
    <row r="1545">
      <c r="A1545" s="20">
        <f>IFERROR(__xludf.DUMMYFUNCTION("""COMPUTED_VALUE"""),1666.0)</f>
        <v>1666</v>
      </c>
      <c r="B1545" s="20" t="str">
        <f>IFERROR(__xludf.DUMMYFUNCTION("""COMPUTED_VALUE"""),"Make The String Great")</f>
        <v>Make The String Great</v>
      </c>
      <c r="C1545" s="20" t="str">
        <f>IFERROR(__xludf.DUMMYFUNCTION("""COMPUTED_VALUE"""),"make-the-string-great")</f>
        <v>make-the-string-great</v>
      </c>
      <c r="D1545" s="20" t="b">
        <f>IFERROR(__xludf.DUMMYFUNCTION("""COMPUTED_VALUE"""),FALSE)</f>
        <v>0</v>
      </c>
      <c r="E1545" s="20" t="str">
        <f>IFERROR(__xludf.DUMMYFUNCTION("""COMPUTED_VALUE"""),"Easy")</f>
        <v>Easy</v>
      </c>
      <c r="F1545" s="20">
        <f>IFERROR(__xludf.DUMMYFUNCTION("""COMPUTED_VALUE"""),2104.0)</f>
        <v>2104</v>
      </c>
      <c r="G1545" s="20">
        <f>IFERROR(__xludf.DUMMYFUNCTION("""COMPUTED_VALUE"""),93.0)</f>
        <v>93</v>
      </c>
      <c r="H1545" s="20" t="str">
        <f>IFERROR(__xludf.DUMMYFUNCTION("""COMPUTED_VALUE"""),"Algorithms")</f>
        <v>Algorithms</v>
      </c>
      <c r="I1545" s="20">
        <f>IFERROR(__xludf.DUMMYFUNCTION("""COMPUTED_VALUE"""),0.633)</f>
        <v>0.633</v>
      </c>
      <c r="J1545" s="20">
        <f>IFERROR(__xludf.DUMMYFUNCTION("""COMPUTED_VALUE"""),1544.0)</f>
        <v>1544</v>
      </c>
      <c r="K1545" s="20" t="b">
        <f>IFERROR(__xludf.DUMMYFUNCTION("""COMPUTED_VALUE"""),FALSE)</f>
        <v>0</v>
      </c>
      <c r="L1545" s="20" t="str">
        <f>IFERROR(__xludf.DUMMYFUNCTION("""COMPUTED_VALUE"""),"String;Stack;")</f>
        <v>String;Stack;</v>
      </c>
      <c r="M1545" s="20" t="b">
        <f>IFERROR(__xludf.DUMMYFUNCTION("""COMPUTED_VALUE"""),TRUE)</f>
        <v>1</v>
      </c>
      <c r="N1545" s="20" t="b">
        <f>IFERROR(__xludf.DUMMYFUNCTION("""COMPUTED_VALUE"""),FALSE)</f>
        <v>0</v>
      </c>
      <c r="O1545" s="20">
        <f>IFERROR(__xludf.DUMMYFUNCTION("""COMPUTED_VALUE"""),63.3058069436906)</f>
        <v>63.30580694</v>
      </c>
      <c r="P1545" s="20">
        <f>IFERROR(__xludf.DUMMYFUNCTION("""COMPUTED_VALUE"""),129480.0)</f>
        <v>129480</v>
      </c>
      <c r="Q1545" s="20">
        <f>IFERROR(__xludf.DUMMYFUNCTION("""COMPUTED_VALUE"""),204531.0)</f>
        <v>204531</v>
      </c>
    </row>
    <row r="1546">
      <c r="A1546" s="20">
        <f>IFERROR(__xludf.DUMMYFUNCTION("""COMPUTED_VALUE"""),1667.0)</f>
        <v>1667</v>
      </c>
      <c r="B1546" s="20" t="str">
        <f>IFERROR(__xludf.DUMMYFUNCTION("""COMPUTED_VALUE"""),"Find Kth Bit in Nth Binary String")</f>
        <v>Find Kth Bit in Nth Binary String</v>
      </c>
      <c r="C1546" s="20" t="str">
        <f>IFERROR(__xludf.DUMMYFUNCTION("""COMPUTED_VALUE"""),"find-kth-bit-in-nth-binary-string")</f>
        <v>find-kth-bit-in-nth-binary-string</v>
      </c>
      <c r="D1546" s="20" t="b">
        <f>IFERROR(__xludf.DUMMYFUNCTION("""COMPUTED_VALUE"""),FALSE)</f>
        <v>0</v>
      </c>
      <c r="E1546" s="20" t="str">
        <f>IFERROR(__xludf.DUMMYFUNCTION("""COMPUTED_VALUE"""),"Medium")</f>
        <v>Medium</v>
      </c>
      <c r="F1546" s="20">
        <f>IFERROR(__xludf.DUMMYFUNCTION("""COMPUTED_VALUE"""),686.0)</f>
        <v>686</v>
      </c>
      <c r="G1546" s="20">
        <f>IFERROR(__xludf.DUMMYFUNCTION("""COMPUTED_VALUE"""),46.0)</f>
        <v>46</v>
      </c>
      <c r="H1546" s="20" t="str">
        <f>IFERROR(__xludf.DUMMYFUNCTION("""COMPUTED_VALUE"""),"Algorithms")</f>
        <v>Algorithms</v>
      </c>
      <c r="I1546" s="20">
        <f>IFERROR(__xludf.DUMMYFUNCTION("""COMPUTED_VALUE"""),0.583)</f>
        <v>0.583</v>
      </c>
      <c r="J1546" s="20">
        <f>IFERROR(__xludf.DUMMYFUNCTION("""COMPUTED_VALUE"""),1545.0)</f>
        <v>1545</v>
      </c>
      <c r="K1546" s="20" t="b">
        <f>IFERROR(__xludf.DUMMYFUNCTION("""COMPUTED_VALUE"""),FALSE)</f>
        <v>0</v>
      </c>
      <c r="L1546" s="20" t="str">
        <f>IFERROR(__xludf.DUMMYFUNCTION("""COMPUTED_VALUE"""),"String;Recursion;")</f>
        <v>String;Recursion;</v>
      </c>
      <c r="M1546" s="20" t="b">
        <f>IFERROR(__xludf.DUMMYFUNCTION("""COMPUTED_VALUE"""),FALSE)</f>
        <v>0</v>
      </c>
      <c r="N1546" s="20" t="b">
        <f>IFERROR(__xludf.DUMMYFUNCTION("""COMPUTED_VALUE"""),FALSE)</f>
        <v>0</v>
      </c>
      <c r="O1546" s="20">
        <f>IFERROR(__xludf.DUMMYFUNCTION("""COMPUTED_VALUE"""),58.2681511085736)</f>
        <v>58.26815111</v>
      </c>
      <c r="P1546" s="20">
        <f>IFERROR(__xludf.DUMMYFUNCTION("""COMPUTED_VALUE"""),30617.0)</f>
        <v>30617</v>
      </c>
      <c r="Q1546" s="20">
        <f>IFERROR(__xludf.DUMMYFUNCTION("""COMPUTED_VALUE"""),52545.0)</f>
        <v>52545</v>
      </c>
    </row>
    <row r="1547">
      <c r="A1547" s="20">
        <f>IFERROR(__xludf.DUMMYFUNCTION("""COMPUTED_VALUE"""),1649.0)</f>
        <v>1649</v>
      </c>
      <c r="B1547" s="20" t="str">
        <f>IFERROR(__xludf.DUMMYFUNCTION("""COMPUTED_VALUE"""),"Maximum Number of Non-Overlapping Subarrays With Sum Equals Target")</f>
        <v>Maximum Number of Non-Overlapping Subarrays With Sum Equals Target</v>
      </c>
      <c r="C1547" s="20" t="str">
        <f>IFERROR(__xludf.DUMMYFUNCTION("""COMPUTED_VALUE"""),"maximum-number-of-non-overlapping-subarrays-with-sum-equals-target")</f>
        <v>maximum-number-of-non-overlapping-subarrays-with-sum-equals-target</v>
      </c>
      <c r="D1547" s="20" t="b">
        <f>IFERROR(__xludf.DUMMYFUNCTION("""COMPUTED_VALUE"""),FALSE)</f>
        <v>0</v>
      </c>
      <c r="E1547" s="20" t="str">
        <f>IFERROR(__xludf.DUMMYFUNCTION("""COMPUTED_VALUE"""),"Medium")</f>
        <v>Medium</v>
      </c>
      <c r="F1547" s="20">
        <f>IFERROR(__xludf.DUMMYFUNCTION("""COMPUTED_VALUE"""),891.0)</f>
        <v>891</v>
      </c>
      <c r="G1547" s="20">
        <f>IFERROR(__xludf.DUMMYFUNCTION("""COMPUTED_VALUE"""),23.0)</f>
        <v>23</v>
      </c>
      <c r="H1547" s="20" t="str">
        <f>IFERROR(__xludf.DUMMYFUNCTION("""COMPUTED_VALUE"""),"Algorithms")</f>
        <v>Algorithms</v>
      </c>
      <c r="I1547" s="20">
        <f>IFERROR(__xludf.DUMMYFUNCTION("""COMPUTED_VALUE"""),0.473)</f>
        <v>0.473</v>
      </c>
      <c r="J1547" s="20">
        <f>IFERROR(__xludf.DUMMYFUNCTION("""COMPUTED_VALUE"""),1546.0)</f>
        <v>1546</v>
      </c>
      <c r="K1547" s="20" t="b">
        <f>IFERROR(__xludf.DUMMYFUNCTION("""COMPUTED_VALUE"""),FALSE)</f>
        <v>0</v>
      </c>
      <c r="L1547" s="20" t="str">
        <f>IFERROR(__xludf.DUMMYFUNCTION("""COMPUTED_VALUE"""),"Array;Hash Table;Greedy;Prefix Sum;")</f>
        <v>Array;Hash Table;Greedy;Prefix Sum;</v>
      </c>
      <c r="M1547" s="20" t="b">
        <f>IFERROR(__xludf.DUMMYFUNCTION("""COMPUTED_VALUE"""),FALSE)</f>
        <v>0</v>
      </c>
      <c r="N1547" s="20" t="b">
        <f>IFERROR(__xludf.DUMMYFUNCTION("""COMPUTED_VALUE"""),FALSE)</f>
        <v>0</v>
      </c>
      <c r="O1547" s="20">
        <f>IFERROR(__xludf.DUMMYFUNCTION("""COMPUTED_VALUE"""),47.3252102695866)</f>
        <v>47.32521027</v>
      </c>
      <c r="P1547" s="20">
        <f>IFERROR(__xludf.DUMMYFUNCTION("""COMPUTED_VALUE"""),23576.0)</f>
        <v>23576</v>
      </c>
      <c r="Q1547" s="20">
        <f>IFERROR(__xludf.DUMMYFUNCTION("""COMPUTED_VALUE"""),49817.0)</f>
        <v>49817</v>
      </c>
    </row>
    <row r="1548">
      <c r="A1548" s="20">
        <f>IFERROR(__xludf.DUMMYFUNCTION("""COMPUTED_VALUE"""),1669.0)</f>
        <v>1669</v>
      </c>
      <c r="B1548" s="20" t="str">
        <f>IFERROR(__xludf.DUMMYFUNCTION("""COMPUTED_VALUE"""),"Minimum Cost to Cut a Stick")</f>
        <v>Minimum Cost to Cut a Stick</v>
      </c>
      <c r="C1548" s="20" t="str">
        <f>IFERROR(__xludf.DUMMYFUNCTION("""COMPUTED_VALUE"""),"minimum-cost-to-cut-a-stick")</f>
        <v>minimum-cost-to-cut-a-stick</v>
      </c>
      <c r="D1548" s="20" t="b">
        <f>IFERROR(__xludf.DUMMYFUNCTION("""COMPUTED_VALUE"""),FALSE)</f>
        <v>0</v>
      </c>
      <c r="E1548" s="20" t="str">
        <f>IFERROR(__xludf.DUMMYFUNCTION("""COMPUTED_VALUE"""),"Hard")</f>
        <v>Hard</v>
      </c>
      <c r="F1548" s="20">
        <f>IFERROR(__xludf.DUMMYFUNCTION("""COMPUTED_VALUE"""),2310.0)</f>
        <v>2310</v>
      </c>
      <c r="G1548" s="20">
        <f>IFERROR(__xludf.DUMMYFUNCTION("""COMPUTED_VALUE"""),42.0)</f>
        <v>42</v>
      </c>
      <c r="H1548" s="20" t="str">
        <f>IFERROR(__xludf.DUMMYFUNCTION("""COMPUTED_VALUE"""),"Algorithms")</f>
        <v>Algorithms</v>
      </c>
      <c r="I1548" s="20">
        <f>IFERROR(__xludf.DUMMYFUNCTION("""COMPUTED_VALUE"""),0.571)</f>
        <v>0.571</v>
      </c>
      <c r="J1548" s="20">
        <f>IFERROR(__xludf.DUMMYFUNCTION("""COMPUTED_VALUE"""),1547.0)</f>
        <v>1547</v>
      </c>
      <c r="K1548" s="20" t="b">
        <f>IFERROR(__xludf.DUMMYFUNCTION("""COMPUTED_VALUE"""),FALSE)</f>
        <v>0</v>
      </c>
      <c r="L1548" s="20" t="str">
        <f>IFERROR(__xludf.DUMMYFUNCTION("""COMPUTED_VALUE"""),"Array;Dynamic Programming;")</f>
        <v>Array;Dynamic Programming;</v>
      </c>
      <c r="M1548" s="20" t="b">
        <f>IFERROR(__xludf.DUMMYFUNCTION("""COMPUTED_VALUE"""),FALSE)</f>
        <v>0</v>
      </c>
      <c r="N1548" s="20" t="b">
        <f>IFERROR(__xludf.DUMMYFUNCTION("""COMPUTED_VALUE"""),FALSE)</f>
        <v>0</v>
      </c>
      <c r="O1548" s="20">
        <f>IFERROR(__xludf.DUMMYFUNCTION("""COMPUTED_VALUE"""),57.0527239809074)</f>
        <v>57.05272398</v>
      </c>
      <c r="P1548" s="20">
        <f>IFERROR(__xludf.DUMMYFUNCTION("""COMPUTED_VALUE"""),41595.0)</f>
        <v>41595</v>
      </c>
      <c r="Q1548" s="20">
        <f>IFERROR(__xludf.DUMMYFUNCTION("""COMPUTED_VALUE"""),72906.0)</f>
        <v>72906</v>
      </c>
    </row>
    <row r="1549">
      <c r="A1549" s="20">
        <f>IFERROR(__xludf.DUMMYFUNCTION("""COMPUTED_VALUE"""),1687.0)</f>
        <v>1687</v>
      </c>
      <c r="B1549" s="20" t="str">
        <f>IFERROR(__xludf.DUMMYFUNCTION("""COMPUTED_VALUE"""),"The Most Similar Path in a Graph")</f>
        <v>The Most Similar Path in a Graph</v>
      </c>
      <c r="C1549" s="20" t="str">
        <f>IFERROR(__xludf.DUMMYFUNCTION("""COMPUTED_VALUE"""),"the-most-similar-path-in-a-graph")</f>
        <v>the-most-similar-path-in-a-graph</v>
      </c>
      <c r="D1549" s="20" t="b">
        <f>IFERROR(__xludf.DUMMYFUNCTION("""COMPUTED_VALUE"""),TRUE)</f>
        <v>1</v>
      </c>
      <c r="E1549" s="20" t="str">
        <f>IFERROR(__xludf.DUMMYFUNCTION("""COMPUTED_VALUE"""),"Hard")</f>
        <v>Hard</v>
      </c>
      <c r="F1549" s="20">
        <f>IFERROR(__xludf.DUMMYFUNCTION("""COMPUTED_VALUE"""),313.0)</f>
        <v>313</v>
      </c>
      <c r="G1549" s="20">
        <f>IFERROR(__xludf.DUMMYFUNCTION("""COMPUTED_VALUE"""),151.0)</f>
        <v>151</v>
      </c>
      <c r="H1549" s="20" t="str">
        <f>IFERROR(__xludf.DUMMYFUNCTION("""COMPUTED_VALUE"""),"Algorithms")</f>
        <v>Algorithms</v>
      </c>
      <c r="I1549" s="20">
        <f>IFERROR(__xludf.DUMMYFUNCTION("""COMPUTED_VALUE"""),0.569)</f>
        <v>0.569</v>
      </c>
      <c r="J1549" s="20">
        <f>IFERROR(__xludf.DUMMYFUNCTION("""COMPUTED_VALUE"""),1548.0)</f>
        <v>1548</v>
      </c>
      <c r="K1549" s="20" t="b">
        <f>IFERROR(__xludf.DUMMYFUNCTION("""COMPUTED_VALUE"""),TRUE)</f>
        <v>1</v>
      </c>
      <c r="L1549" s="20" t="str">
        <f>IFERROR(__xludf.DUMMYFUNCTION("""COMPUTED_VALUE"""),"Dynamic Programming;Graph;")</f>
        <v>Dynamic Programming;Graph;</v>
      </c>
      <c r="M1549" s="20" t="b">
        <f>IFERROR(__xludf.DUMMYFUNCTION("""COMPUTED_VALUE"""),FALSE)</f>
        <v>0</v>
      </c>
      <c r="N1549" s="20" t="b">
        <f>IFERROR(__xludf.DUMMYFUNCTION("""COMPUTED_VALUE"""),FALSE)</f>
        <v>0</v>
      </c>
      <c r="O1549" s="20">
        <f>IFERROR(__xludf.DUMMYFUNCTION("""COMPUTED_VALUE"""),56.8798296798612)</f>
        <v>56.87982968</v>
      </c>
      <c r="P1549" s="20">
        <f>IFERROR(__xludf.DUMMYFUNCTION("""COMPUTED_VALUE"""),14427.0)</f>
        <v>14427</v>
      </c>
      <c r="Q1549" s="20">
        <f>IFERROR(__xludf.DUMMYFUNCTION("""COMPUTED_VALUE"""),25364.0)</f>
        <v>25364</v>
      </c>
    </row>
    <row r="1550">
      <c r="A1550" s="20">
        <f>IFERROR(__xludf.DUMMYFUNCTION("""COMPUTED_VALUE"""),1688.0)</f>
        <v>1688</v>
      </c>
      <c r="B1550" s="20" t="str">
        <f>IFERROR(__xludf.DUMMYFUNCTION("""COMPUTED_VALUE"""),"The Most Recent Orders for Each Product")</f>
        <v>The Most Recent Orders for Each Product</v>
      </c>
      <c r="C1550" s="20" t="str">
        <f>IFERROR(__xludf.DUMMYFUNCTION("""COMPUTED_VALUE"""),"the-most-recent-orders-for-each-product")</f>
        <v>the-most-recent-orders-for-each-product</v>
      </c>
      <c r="D1550" s="20" t="b">
        <f>IFERROR(__xludf.DUMMYFUNCTION("""COMPUTED_VALUE"""),TRUE)</f>
        <v>1</v>
      </c>
      <c r="E1550" s="20" t="str">
        <f>IFERROR(__xludf.DUMMYFUNCTION("""COMPUTED_VALUE"""),"Medium")</f>
        <v>Medium</v>
      </c>
      <c r="F1550" s="20">
        <f>IFERROR(__xludf.DUMMYFUNCTION("""COMPUTED_VALUE"""),99.0)</f>
        <v>99</v>
      </c>
      <c r="G1550" s="20">
        <f>IFERROR(__xludf.DUMMYFUNCTION("""COMPUTED_VALUE"""),10.0)</f>
        <v>10</v>
      </c>
      <c r="H1550" s="20" t="str">
        <f>IFERROR(__xludf.DUMMYFUNCTION("""COMPUTED_VALUE"""),"Database")</f>
        <v>Database</v>
      </c>
      <c r="I1550" s="20">
        <f>IFERROR(__xludf.DUMMYFUNCTION("""COMPUTED_VALUE"""),0.677)</f>
        <v>0.677</v>
      </c>
      <c r="J1550" s="20">
        <f>IFERROR(__xludf.DUMMYFUNCTION("""COMPUTED_VALUE"""),1549.0)</f>
        <v>1549</v>
      </c>
      <c r="K1550" s="20" t="b">
        <f>IFERROR(__xludf.DUMMYFUNCTION("""COMPUTED_VALUE"""),TRUE)</f>
        <v>1</v>
      </c>
      <c r="L1550" s="20" t="str">
        <f>IFERROR(__xludf.DUMMYFUNCTION("""COMPUTED_VALUE"""),"Database;")</f>
        <v>Database;</v>
      </c>
      <c r="M1550" s="20" t="b">
        <f>IFERROR(__xludf.DUMMYFUNCTION("""COMPUTED_VALUE"""),FALSE)</f>
        <v>0</v>
      </c>
      <c r="N1550" s="20" t="b">
        <f>IFERROR(__xludf.DUMMYFUNCTION("""COMPUTED_VALUE"""),FALSE)</f>
        <v>0</v>
      </c>
      <c r="O1550" s="20">
        <f>IFERROR(__xludf.DUMMYFUNCTION("""COMPUTED_VALUE"""),67.7198686037454)</f>
        <v>67.7198686</v>
      </c>
      <c r="P1550" s="20">
        <f>IFERROR(__xludf.DUMMYFUNCTION("""COMPUTED_VALUE"""),19997.0)</f>
        <v>19997</v>
      </c>
      <c r="Q1550" s="20">
        <f>IFERROR(__xludf.DUMMYFUNCTION("""COMPUTED_VALUE"""),29529.0)</f>
        <v>29529</v>
      </c>
    </row>
    <row r="1551">
      <c r="A1551" s="20">
        <f>IFERROR(__xludf.DUMMYFUNCTION("""COMPUTED_VALUE"""),1293.0)</f>
        <v>1293</v>
      </c>
      <c r="B1551" s="20" t="str">
        <f>IFERROR(__xludf.DUMMYFUNCTION("""COMPUTED_VALUE"""),"Three Consecutive Odds")</f>
        <v>Three Consecutive Odds</v>
      </c>
      <c r="C1551" s="20" t="str">
        <f>IFERROR(__xludf.DUMMYFUNCTION("""COMPUTED_VALUE"""),"three-consecutive-odds")</f>
        <v>three-consecutive-odds</v>
      </c>
      <c r="D1551" s="20" t="b">
        <f>IFERROR(__xludf.DUMMYFUNCTION("""COMPUTED_VALUE"""),FALSE)</f>
        <v>0</v>
      </c>
      <c r="E1551" s="20" t="str">
        <f>IFERROR(__xludf.DUMMYFUNCTION("""COMPUTED_VALUE"""),"Easy")</f>
        <v>Easy</v>
      </c>
      <c r="F1551" s="20">
        <f>IFERROR(__xludf.DUMMYFUNCTION("""COMPUTED_VALUE"""),485.0)</f>
        <v>485</v>
      </c>
      <c r="G1551" s="20">
        <f>IFERROR(__xludf.DUMMYFUNCTION("""COMPUTED_VALUE"""),49.0)</f>
        <v>49</v>
      </c>
      <c r="H1551" s="20" t="str">
        <f>IFERROR(__xludf.DUMMYFUNCTION("""COMPUTED_VALUE"""),"Algorithms")</f>
        <v>Algorithms</v>
      </c>
      <c r="I1551" s="20">
        <f>IFERROR(__xludf.DUMMYFUNCTION("""COMPUTED_VALUE"""),0.636)</f>
        <v>0.636</v>
      </c>
      <c r="J1551" s="20">
        <f>IFERROR(__xludf.DUMMYFUNCTION("""COMPUTED_VALUE"""),1550.0)</f>
        <v>1550</v>
      </c>
      <c r="K1551" s="20" t="b">
        <f>IFERROR(__xludf.DUMMYFUNCTION("""COMPUTED_VALUE"""),FALSE)</f>
        <v>0</v>
      </c>
      <c r="L1551" s="20" t="str">
        <f>IFERROR(__xludf.DUMMYFUNCTION("""COMPUTED_VALUE"""),"Array;")</f>
        <v>Array;</v>
      </c>
      <c r="M1551" s="20" t="b">
        <f>IFERROR(__xludf.DUMMYFUNCTION("""COMPUTED_VALUE"""),FALSE)</f>
        <v>0</v>
      </c>
      <c r="N1551" s="20" t="b">
        <f>IFERROR(__xludf.DUMMYFUNCTION("""COMPUTED_VALUE"""),FALSE)</f>
        <v>0</v>
      </c>
      <c r="O1551" s="20">
        <f>IFERROR(__xludf.DUMMYFUNCTION("""COMPUTED_VALUE"""),63.6251875312552)</f>
        <v>63.62518753</v>
      </c>
      <c r="P1551" s="20">
        <f>IFERROR(__xludf.DUMMYFUNCTION("""COMPUTED_VALUE"""),61068.0)</f>
        <v>61068</v>
      </c>
      <c r="Q1551" s="20">
        <f>IFERROR(__xludf.DUMMYFUNCTION("""COMPUTED_VALUE"""),95982.0)</f>
        <v>95982</v>
      </c>
    </row>
    <row r="1552">
      <c r="A1552" s="20">
        <f>IFERROR(__xludf.DUMMYFUNCTION("""COMPUTED_VALUE"""),1674.0)</f>
        <v>1674</v>
      </c>
      <c r="B1552" s="20" t="str">
        <f>IFERROR(__xludf.DUMMYFUNCTION("""COMPUTED_VALUE"""),"Minimum Operations to Make Array Equal")</f>
        <v>Minimum Operations to Make Array Equal</v>
      </c>
      <c r="C1552" s="20" t="str">
        <f>IFERROR(__xludf.DUMMYFUNCTION("""COMPUTED_VALUE"""),"minimum-operations-to-make-array-equal")</f>
        <v>minimum-operations-to-make-array-equal</v>
      </c>
      <c r="D1552" s="20" t="b">
        <f>IFERROR(__xludf.DUMMYFUNCTION("""COMPUTED_VALUE"""),FALSE)</f>
        <v>0</v>
      </c>
      <c r="E1552" s="20" t="str">
        <f>IFERROR(__xludf.DUMMYFUNCTION("""COMPUTED_VALUE"""),"Medium")</f>
        <v>Medium</v>
      </c>
      <c r="F1552" s="20">
        <f>IFERROR(__xludf.DUMMYFUNCTION("""COMPUTED_VALUE"""),1102.0)</f>
        <v>1102</v>
      </c>
      <c r="G1552" s="20">
        <f>IFERROR(__xludf.DUMMYFUNCTION("""COMPUTED_VALUE"""),155.0)</f>
        <v>155</v>
      </c>
      <c r="H1552" s="20" t="str">
        <f>IFERROR(__xludf.DUMMYFUNCTION("""COMPUTED_VALUE"""),"Algorithms")</f>
        <v>Algorithms</v>
      </c>
      <c r="I1552" s="20">
        <f>IFERROR(__xludf.DUMMYFUNCTION("""COMPUTED_VALUE"""),0.812)</f>
        <v>0.812</v>
      </c>
      <c r="J1552" s="20">
        <f>IFERROR(__xludf.DUMMYFUNCTION("""COMPUTED_VALUE"""),1551.0)</f>
        <v>1551</v>
      </c>
      <c r="K1552" s="20" t="b">
        <f>IFERROR(__xludf.DUMMYFUNCTION("""COMPUTED_VALUE"""),FALSE)</f>
        <v>0</v>
      </c>
      <c r="L1552" s="20" t="str">
        <f>IFERROR(__xludf.DUMMYFUNCTION("""COMPUTED_VALUE"""),"Math;")</f>
        <v>Math;</v>
      </c>
      <c r="M1552" s="20" t="b">
        <f>IFERROR(__xludf.DUMMYFUNCTION("""COMPUTED_VALUE"""),TRUE)</f>
        <v>1</v>
      </c>
      <c r="N1552" s="20" t="b">
        <f>IFERROR(__xludf.DUMMYFUNCTION("""COMPUTED_VALUE"""),FALSE)</f>
        <v>0</v>
      </c>
      <c r="O1552" s="20">
        <f>IFERROR(__xludf.DUMMYFUNCTION("""COMPUTED_VALUE"""),81.2015257469803)</f>
        <v>81.20152575</v>
      </c>
      <c r="P1552" s="20">
        <f>IFERROR(__xludf.DUMMYFUNCTION("""COMPUTED_VALUE"""),76638.0)</f>
        <v>76638</v>
      </c>
      <c r="Q1552" s="20">
        <f>IFERROR(__xludf.DUMMYFUNCTION("""COMPUTED_VALUE"""),94380.0)</f>
        <v>94380</v>
      </c>
    </row>
    <row r="1553">
      <c r="A1553" s="20">
        <f>IFERROR(__xludf.DUMMYFUNCTION("""COMPUTED_VALUE"""),1675.0)</f>
        <v>1675</v>
      </c>
      <c r="B1553" s="20" t="str">
        <f>IFERROR(__xludf.DUMMYFUNCTION("""COMPUTED_VALUE"""),"Magnetic Force Between Two Balls")</f>
        <v>Magnetic Force Between Two Balls</v>
      </c>
      <c r="C1553" s="20" t="str">
        <f>IFERROR(__xludf.DUMMYFUNCTION("""COMPUTED_VALUE"""),"magnetic-force-between-two-balls")</f>
        <v>magnetic-force-between-two-balls</v>
      </c>
      <c r="D1553" s="20" t="b">
        <f>IFERROR(__xludf.DUMMYFUNCTION("""COMPUTED_VALUE"""),FALSE)</f>
        <v>0</v>
      </c>
      <c r="E1553" s="20" t="str">
        <f>IFERROR(__xludf.DUMMYFUNCTION("""COMPUTED_VALUE"""),"Medium")</f>
        <v>Medium</v>
      </c>
      <c r="F1553" s="20">
        <f>IFERROR(__xludf.DUMMYFUNCTION("""COMPUTED_VALUE"""),1547.0)</f>
        <v>1547</v>
      </c>
      <c r="G1553" s="20">
        <f>IFERROR(__xludf.DUMMYFUNCTION("""COMPUTED_VALUE"""),91.0)</f>
        <v>91</v>
      </c>
      <c r="H1553" s="20" t="str">
        <f>IFERROR(__xludf.DUMMYFUNCTION("""COMPUTED_VALUE"""),"Algorithms")</f>
        <v>Algorithms</v>
      </c>
      <c r="I1553" s="20">
        <f>IFERROR(__xludf.DUMMYFUNCTION("""COMPUTED_VALUE"""),0.573)</f>
        <v>0.573</v>
      </c>
      <c r="J1553" s="20">
        <f>IFERROR(__xludf.DUMMYFUNCTION("""COMPUTED_VALUE"""),1552.0)</f>
        <v>1552</v>
      </c>
      <c r="K1553" s="20" t="b">
        <f>IFERROR(__xludf.DUMMYFUNCTION("""COMPUTED_VALUE"""),FALSE)</f>
        <v>0</v>
      </c>
      <c r="L1553" s="20" t="str">
        <f>IFERROR(__xludf.DUMMYFUNCTION("""COMPUTED_VALUE"""),"Array;Binary Search;Sorting;")</f>
        <v>Array;Binary Search;Sorting;</v>
      </c>
      <c r="M1553" s="20" t="b">
        <f>IFERROR(__xludf.DUMMYFUNCTION("""COMPUTED_VALUE"""),FALSE)</f>
        <v>0</v>
      </c>
      <c r="N1553" s="20" t="b">
        <f>IFERROR(__xludf.DUMMYFUNCTION("""COMPUTED_VALUE"""),FALSE)</f>
        <v>0</v>
      </c>
      <c r="O1553" s="20">
        <f>IFERROR(__xludf.DUMMYFUNCTION("""COMPUTED_VALUE"""),57.3042510851)</f>
        <v>57.30425109</v>
      </c>
      <c r="P1553" s="20">
        <f>IFERROR(__xludf.DUMMYFUNCTION("""COMPUTED_VALUE"""),36571.0)</f>
        <v>36571</v>
      </c>
      <c r="Q1553" s="20">
        <f>IFERROR(__xludf.DUMMYFUNCTION("""COMPUTED_VALUE"""),63818.0)</f>
        <v>63818</v>
      </c>
    </row>
    <row r="1554">
      <c r="A1554" s="20">
        <f>IFERROR(__xludf.DUMMYFUNCTION("""COMPUTED_VALUE"""),1676.0)</f>
        <v>1676</v>
      </c>
      <c r="B1554" s="20" t="str">
        <f>IFERROR(__xludf.DUMMYFUNCTION("""COMPUTED_VALUE"""),"Minimum Number of Days to Eat N Oranges")</f>
        <v>Minimum Number of Days to Eat N Oranges</v>
      </c>
      <c r="C1554" s="20" t="str">
        <f>IFERROR(__xludf.DUMMYFUNCTION("""COMPUTED_VALUE"""),"minimum-number-of-days-to-eat-n-oranges")</f>
        <v>minimum-number-of-days-to-eat-n-oranges</v>
      </c>
      <c r="D1554" s="20" t="b">
        <f>IFERROR(__xludf.DUMMYFUNCTION("""COMPUTED_VALUE"""),FALSE)</f>
        <v>0</v>
      </c>
      <c r="E1554" s="20" t="str">
        <f>IFERROR(__xludf.DUMMYFUNCTION("""COMPUTED_VALUE"""),"Hard")</f>
        <v>Hard</v>
      </c>
      <c r="F1554" s="20">
        <f>IFERROR(__xludf.DUMMYFUNCTION("""COMPUTED_VALUE"""),818.0)</f>
        <v>818</v>
      </c>
      <c r="G1554" s="20">
        <f>IFERROR(__xludf.DUMMYFUNCTION("""COMPUTED_VALUE"""),51.0)</f>
        <v>51</v>
      </c>
      <c r="H1554" s="20" t="str">
        <f>IFERROR(__xludf.DUMMYFUNCTION("""COMPUTED_VALUE"""),"Algorithms")</f>
        <v>Algorithms</v>
      </c>
      <c r="I1554" s="20">
        <f>IFERROR(__xludf.DUMMYFUNCTION("""COMPUTED_VALUE"""),0.347)</f>
        <v>0.347</v>
      </c>
      <c r="J1554" s="20">
        <f>IFERROR(__xludf.DUMMYFUNCTION("""COMPUTED_VALUE"""),1553.0)</f>
        <v>1553</v>
      </c>
      <c r="K1554" s="20" t="b">
        <f>IFERROR(__xludf.DUMMYFUNCTION("""COMPUTED_VALUE"""),FALSE)</f>
        <v>0</v>
      </c>
      <c r="L1554" s="20" t="str">
        <f>IFERROR(__xludf.DUMMYFUNCTION("""COMPUTED_VALUE"""),"Dynamic Programming;Memoization;")</f>
        <v>Dynamic Programming;Memoization;</v>
      </c>
      <c r="M1554" s="20" t="b">
        <f>IFERROR(__xludf.DUMMYFUNCTION("""COMPUTED_VALUE"""),FALSE)</f>
        <v>0</v>
      </c>
      <c r="N1554" s="20" t="b">
        <f>IFERROR(__xludf.DUMMYFUNCTION("""COMPUTED_VALUE"""),FALSE)</f>
        <v>0</v>
      </c>
      <c r="O1554" s="20">
        <f>IFERROR(__xludf.DUMMYFUNCTION("""COMPUTED_VALUE"""),34.6773297789625)</f>
        <v>34.67732978</v>
      </c>
      <c r="P1554" s="20">
        <f>IFERROR(__xludf.DUMMYFUNCTION("""COMPUTED_VALUE"""),28097.0)</f>
        <v>28097</v>
      </c>
      <c r="Q1554" s="20">
        <f>IFERROR(__xludf.DUMMYFUNCTION("""COMPUTED_VALUE"""),81024.0)</f>
        <v>81024</v>
      </c>
    </row>
    <row r="1555">
      <c r="A1555" s="20">
        <f>IFERROR(__xludf.DUMMYFUNCTION("""COMPUTED_VALUE"""),1697.0)</f>
        <v>1697</v>
      </c>
      <c r="B1555" s="20" t="str">
        <f>IFERROR(__xludf.DUMMYFUNCTION("""COMPUTED_VALUE"""),"Strings Differ by One Character")</f>
        <v>Strings Differ by One Character</v>
      </c>
      <c r="C1555" s="20" t="str">
        <f>IFERROR(__xludf.DUMMYFUNCTION("""COMPUTED_VALUE"""),"strings-differ-by-one-character")</f>
        <v>strings-differ-by-one-character</v>
      </c>
      <c r="D1555" s="20" t="b">
        <f>IFERROR(__xludf.DUMMYFUNCTION("""COMPUTED_VALUE"""),TRUE)</f>
        <v>1</v>
      </c>
      <c r="E1555" s="20" t="str">
        <f>IFERROR(__xludf.DUMMYFUNCTION("""COMPUTED_VALUE"""),"Medium")</f>
        <v>Medium</v>
      </c>
      <c r="F1555" s="20">
        <f>IFERROR(__xludf.DUMMYFUNCTION("""COMPUTED_VALUE"""),342.0)</f>
        <v>342</v>
      </c>
      <c r="G1555" s="20">
        <f>IFERROR(__xludf.DUMMYFUNCTION("""COMPUTED_VALUE"""),82.0)</f>
        <v>82</v>
      </c>
      <c r="H1555" s="20" t="str">
        <f>IFERROR(__xludf.DUMMYFUNCTION("""COMPUTED_VALUE"""),"Algorithms")</f>
        <v>Algorithms</v>
      </c>
      <c r="I1555" s="20">
        <f>IFERROR(__xludf.DUMMYFUNCTION("""COMPUTED_VALUE"""),0.429)</f>
        <v>0.429</v>
      </c>
      <c r="J1555" s="20">
        <f>IFERROR(__xludf.DUMMYFUNCTION("""COMPUTED_VALUE"""),1554.0)</f>
        <v>1554</v>
      </c>
      <c r="K1555" s="20" t="b">
        <f>IFERROR(__xludf.DUMMYFUNCTION("""COMPUTED_VALUE"""),TRUE)</f>
        <v>1</v>
      </c>
      <c r="L1555" s="20" t="str">
        <f>IFERROR(__xludf.DUMMYFUNCTION("""COMPUTED_VALUE"""),"Hash Table;String;Rolling Hash;Hash Function;")</f>
        <v>Hash Table;String;Rolling Hash;Hash Function;</v>
      </c>
      <c r="M1555" s="20" t="b">
        <f>IFERROR(__xludf.DUMMYFUNCTION("""COMPUTED_VALUE"""),FALSE)</f>
        <v>0</v>
      </c>
      <c r="N1555" s="20" t="b">
        <f>IFERROR(__xludf.DUMMYFUNCTION("""COMPUTED_VALUE"""),FALSE)</f>
        <v>0</v>
      </c>
      <c r="O1555" s="20">
        <f>IFERROR(__xludf.DUMMYFUNCTION("""COMPUTED_VALUE"""),42.9040670475583)</f>
        <v>42.90406705</v>
      </c>
      <c r="P1555" s="20">
        <f>IFERROR(__xludf.DUMMYFUNCTION("""COMPUTED_VALUE"""),21552.0)</f>
        <v>21552</v>
      </c>
      <c r="Q1555" s="20">
        <f>IFERROR(__xludf.DUMMYFUNCTION("""COMPUTED_VALUE"""),50233.0)</f>
        <v>50233</v>
      </c>
    </row>
    <row r="1556">
      <c r="A1556" s="20">
        <f>IFERROR(__xludf.DUMMYFUNCTION("""COMPUTED_VALUE"""),1702.0)</f>
        <v>1702</v>
      </c>
      <c r="B1556" s="20" t="str">
        <f>IFERROR(__xludf.DUMMYFUNCTION("""COMPUTED_VALUE"""),"Bank Account Summary")</f>
        <v>Bank Account Summary</v>
      </c>
      <c r="C1556" s="20" t="str">
        <f>IFERROR(__xludf.DUMMYFUNCTION("""COMPUTED_VALUE"""),"bank-account-summary")</f>
        <v>bank-account-summary</v>
      </c>
      <c r="D1556" s="20" t="b">
        <f>IFERROR(__xludf.DUMMYFUNCTION("""COMPUTED_VALUE"""),TRUE)</f>
        <v>1</v>
      </c>
      <c r="E1556" s="20" t="str">
        <f>IFERROR(__xludf.DUMMYFUNCTION("""COMPUTED_VALUE"""),"Medium")</f>
        <v>Medium</v>
      </c>
      <c r="F1556" s="20">
        <f>IFERROR(__xludf.DUMMYFUNCTION("""COMPUTED_VALUE"""),110.0)</f>
        <v>110</v>
      </c>
      <c r="G1556" s="20">
        <f>IFERROR(__xludf.DUMMYFUNCTION("""COMPUTED_VALUE"""),23.0)</f>
        <v>23</v>
      </c>
      <c r="H1556" s="20" t="str">
        <f>IFERROR(__xludf.DUMMYFUNCTION("""COMPUTED_VALUE"""),"Database")</f>
        <v>Database</v>
      </c>
      <c r="I1556" s="20">
        <f>IFERROR(__xludf.DUMMYFUNCTION("""COMPUTED_VALUE"""),0.528)</f>
        <v>0.528</v>
      </c>
      <c r="J1556" s="20">
        <f>IFERROR(__xludf.DUMMYFUNCTION("""COMPUTED_VALUE"""),1555.0)</f>
        <v>1555</v>
      </c>
      <c r="K1556" s="20" t="b">
        <f>IFERROR(__xludf.DUMMYFUNCTION("""COMPUTED_VALUE"""),TRUE)</f>
        <v>1</v>
      </c>
      <c r="L1556" s="20" t="str">
        <f>IFERROR(__xludf.DUMMYFUNCTION("""COMPUTED_VALUE"""),"Database;")</f>
        <v>Database;</v>
      </c>
      <c r="M1556" s="20" t="b">
        <f>IFERROR(__xludf.DUMMYFUNCTION("""COMPUTED_VALUE"""),FALSE)</f>
        <v>0</v>
      </c>
      <c r="N1556" s="20" t="b">
        <f>IFERROR(__xludf.DUMMYFUNCTION("""COMPUTED_VALUE"""),FALSE)</f>
        <v>0</v>
      </c>
      <c r="O1556" s="20">
        <f>IFERROR(__xludf.DUMMYFUNCTION("""COMPUTED_VALUE"""),52.8342674139311)</f>
        <v>52.83426741</v>
      </c>
      <c r="P1556" s="20">
        <f>IFERROR(__xludf.DUMMYFUNCTION("""COMPUTED_VALUE"""),13198.0)</f>
        <v>13198</v>
      </c>
      <c r="Q1556" s="20">
        <f>IFERROR(__xludf.DUMMYFUNCTION("""COMPUTED_VALUE"""),24980.0)</f>
        <v>24980</v>
      </c>
    </row>
    <row r="1557">
      <c r="A1557" s="20">
        <f>IFERROR(__xludf.DUMMYFUNCTION("""COMPUTED_VALUE"""),1660.0)</f>
        <v>1660</v>
      </c>
      <c r="B1557" s="20" t="str">
        <f>IFERROR(__xludf.DUMMYFUNCTION("""COMPUTED_VALUE"""),"Thousand Separator")</f>
        <v>Thousand Separator</v>
      </c>
      <c r="C1557" s="20" t="str">
        <f>IFERROR(__xludf.DUMMYFUNCTION("""COMPUTED_VALUE"""),"thousand-separator")</f>
        <v>thousand-separator</v>
      </c>
      <c r="D1557" s="20" t="b">
        <f>IFERROR(__xludf.DUMMYFUNCTION("""COMPUTED_VALUE"""),FALSE)</f>
        <v>0</v>
      </c>
      <c r="E1557" s="20" t="str">
        <f>IFERROR(__xludf.DUMMYFUNCTION("""COMPUTED_VALUE"""),"Easy")</f>
        <v>Easy</v>
      </c>
      <c r="F1557" s="20">
        <f>IFERROR(__xludf.DUMMYFUNCTION("""COMPUTED_VALUE"""),396.0)</f>
        <v>396</v>
      </c>
      <c r="G1557" s="20">
        <f>IFERROR(__xludf.DUMMYFUNCTION("""COMPUTED_VALUE"""),22.0)</f>
        <v>22</v>
      </c>
      <c r="H1557" s="20" t="str">
        <f>IFERROR(__xludf.DUMMYFUNCTION("""COMPUTED_VALUE"""),"Algorithms")</f>
        <v>Algorithms</v>
      </c>
      <c r="I1557" s="20">
        <f>IFERROR(__xludf.DUMMYFUNCTION("""COMPUTED_VALUE"""),0.549)</f>
        <v>0.549</v>
      </c>
      <c r="J1557" s="20">
        <f>IFERROR(__xludf.DUMMYFUNCTION("""COMPUTED_VALUE"""),1556.0)</f>
        <v>1556</v>
      </c>
      <c r="K1557" s="20" t="b">
        <f>IFERROR(__xludf.DUMMYFUNCTION("""COMPUTED_VALUE"""),FALSE)</f>
        <v>0</v>
      </c>
      <c r="L1557" s="20" t="str">
        <f>IFERROR(__xludf.DUMMYFUNCTION("""COMPUTED_VALUE"""),"String;")</f>
        <v>String;</v>
      </c>
      <c r="M1557" s="20" t="b">
        <f>IFERROR(__xludf.DUMMYFUNCTION("""COMPUTED_VALUE"""),FALSE)</f>
        <v>0</v>
      </c>
      <c r="N1557" s="20" t="b">
        <f>IFERROR(__xludf.DUMMYFUNCTION("""COMPUTED_VALUE"""),FALSE)</f>
        <v>0</v>
      </c>
      <c r="O1557" s="20">
        <f>IFERROR(__xludf.DUMMYFUNCTION("""COMPUTED_VALUE"""),54.8623802017214)</f>
        <v>54.8623802</v>
      </c>
      <c r="P1557" s="20">
        <f>IFERROR(__xludf.DUMMYFUNCTION("""COMPUTED_VALUE"""),39326.0)</f>
        <v>39326</v>
      </c>
      <c r="Q1557" s="20">
        <f>IFERROR(__xludf.DUMMYFUNCTION("""COMPUTED_VALUE"""),71682.0)</f>
        <v>71682</v>
      </c>
    </row>
    <row r="1558">
      <c r="A1558" s="20">
        <f>IFERROR(__xludf.DUMMYFUNCTION("""COMPUTED_VALUE"""),1661.0)</f>
        <v>1661</v>
      </c>
      <c r="B1558" s="20" t="str">
        <f>IFERROR(__xludf.DUMMYFUNCTION("""COMPUTED_VALUE"""),"Minimum Number of Vertices to Reach All Nodes")</f>
        <v>Minimum Number of Vertices to Reach All Nodes</v>
      </c>
      <c r="C1558" s="20" t="str">
        <f>IFERROR(__xludf.DUMMYFUNCTION("""COMPUTED_VALUE"""),"minimum-number-of-vertices-to-reach-all-nodes")</f>
        <v>minimum-number-of-vertices-to-reach-all-nodes</v>
      </c>
      <c r="D1558" s="20" t="b">
        <f>IFERROR(__xludf.DUMMYFUNCTION("""COMPUTED_VALUE"""),FALSE)</f>
        <v>0</v>
      </c>
      <c r="E1558" s="20" t="str">
        <f>IFERROR(__xludf.DUMMYFUNCTION("""COMPUTED_VALUE"""),"Medium")</f>
        <v>Medium</v>
      </c>
      <c r="F1558" s="20">
        <f>IFERROR(__xludf.DUMMYFUNCTION("""COMPUTED_VALUE"""),2012.0)</f>
        <v>2012</v>
      </c>
      <c r="G1558" s="20">
        <f>IFERROR(__xludf.DUMMYFUNCTION("""COMPUTED_VALUE"""),75.0)</f>
        <v>75</v>
      </c>
      <c r="H1558" s="20" t="str">
        <f>IFERROR(__xludf.DUMMYFUNCTION("""COMPUTED_VALUE"""),"Algorithms")</f>
        <v>Algorithms</v>
      </c>
      <c r="I1558" s="20">
        <f>IFERROR(__xludf.DUMMYFUNCTION("""COMPUTED_VALUE"""),0.795)</f>
        <v>0.795</v>
      </c>
      <c r="J1558" s="20">
        <f>IFERROR(__xludf.DUMMYFUNCTION("""COMPUTED_VALUE"""),1557.0)</f>
        <v>1557</v>
      </c>
      <c r="K1558" s="20" t="b">
        <f>IFERROR(__xludf.DUMMYFUNCTION("""COMPUTED_VALUE"""),FALSE)</f>
        <v>0</v>
      </c>
      <c r="L1558" s="20" t="str">
        <f>IFERROR(__xludf.DUMMYFUNCTION("""COMPUTED_VALUE"""),"Graph;")</f>
        <v>Graph;</v>
      </c>
      <c r="M1558" s="20" t="b">
        <f>IFERROR(__xludf.DUMMYFUNCTION("""COMPUTED_VALUE"""),FALSE)</f>
        <v>0</v>
      </c>
      <c r="N1558" s="20" t="b">
        <f>IFERROR(__xludf.DUMMYFUNCTION("""COMPUTED_VALUE"""),FALSE)</f>
        <v>0</v>
      </c>
      <c r="O1558" s="20">
        <f>IFERROR(__xludf.DUMMYFUNCTION("""COMPUTED_VALUE"""),79.5457593348276)</f>
        <v>79.54575933</v>
      </c>
      <c r="P1558" s="20">
        <f>IFERROR(__xludf.DUMMYFUNCTION("""COMPUTED_VALUE"""),83037.0)</f>
        <v>83037</v>
      </c>
      <c r="Q1558" s="20">
        <f>IFERROR(__xludf.DUMMYFUNCTION("""COMPUTED_VALUE"""),104386.0)</f>
        <v>104386</v>
      </c>
    </row>
    <row r="1559">
      <c r="A1559" s="20">
        <f>IFERROR(__xludf.DUMMYFUNCTION("""COMPUTED_VALUE"""),1662.0)</f>
        <v>1662</v>
      </c>
      <c r="B1559" s="20" t="str">
        <f>IFERROR(__xludf.DUMMYFUNCTION("""COMPUTED_VALUE"""),"Minimum Numbers of Function Calls to Make Target Array")</f>
        <v>Minimum Numbers of Function Calls to Make Target Array</v>
      </c>
      <c r="C1559" s="20" t="str">
        <f>IFERROR(__xludf.DUMMYFUNCTION("""COMPUTED_VALUE"""),"minimum-numbers-of-function-calls-to-make-target-array")</f>
        <v>minimum-numbers-of-function-calls-to-make-target-array</v>
      </c>
      <c r="D1559" s="20" t="b">
        <f>IFERROR(__xludf.DUMMYFUNCTION("""COMPUTED_VALUE"""),FALSE)</f>
        <v>0</v>
      </c>
      <c r="E1559" s="20" t="str">
        <f>IFERROR(__xludf.DUMMYFUNCTION("""COMPUTED_VALUE"""),"Medium")</f>
        <v>Medium</v>
      </c>
      <c r="F1559" s="20">
        <f>IFERROR(__xludf.DUMMYFUNCTION("""COMPUTED_VALUE"""),513.0)</f>
        <v>513</v>
      </c>
      <c r="G1559" s="20">
        <f>IFERROR(__xludf.DUMMYFUNCTION("""COMPUTED_VALUE"""),27.0)</f>
        <v>27</v>
      </c>
      <c r="H1559" s="20" t="str">
        <f>IFERROR(__xludf.DUMMYFUNCTION("""COMPUTED_VALUE"""),"Algorithms")</f>
        <v>Algorithms</v>
      </c>
      <c r="I1559" s="20">
        <f>IFERROR(__xludf.DUMMYFUNCTION("""COMPUTED_VALUE"""),0.641)</f>
        <v>0.641</v>
      </c>
      <c r="J1559" s="20">
        <f>IFERROR(__xludf.DUMMYFUNCTION("""COMPUTED_VALUE"""),1558.0)</f>
        <v>1558</v>
      </c>
      <c r="K1559" s="20" t="b">
        <f>IFERROR(__xludf.DUMMYFUNCTION("""COMPUTED_VALUE"""),FALSE)</f>
        <v>0</v>
      </c>
      <c r="L1559" s="20" t="str">
        <f>IFERROR(__xludf.DUMMYFUNCTION("""COMPUTED_VALUE"""),"Array;Greedy;Bit Manipulation;")</f>
        <v>Array;Greedy;Bit Manipulation;</v>
      </c>
      <c r="M1559" s="20" t="b">
        <f>IFERROR(__xludf.DUMMYFUNCTION("""COMPUTED_VALUE"""),FALSE)</f>
        <v>0</v>
      </c>
      <c r="N1559" s="20" t="b">
        <f>IFERROR(__xludf.DUMMYFUNCTION("""COMPUTED_VALUE"""),FALSE)</f>
        <v>0</v>
      </c>
      <c r="O1559" s="20">
        <f>IFERROR(__xludf.DUMMYFUNCTION("""COMPUTED_VALUE"""),64.1180784745141)</f>
        <v>64.11807847</v>
      </c>
      <c r="P1559" s="20">
        <f>IFERROR(__xludf.DUMMYFUNCTION("""COMPUTED_VALUE"""),17485.0)</f>
        <v>17485</v>
      </c>
      <c r="Q1559" s="20">
        <f>IFERROR(__xludf.DUMMYFUNCTION("""COMPUTED_VALUE"""),27270.0)</f>
        <v>27270</v>
      </c>
    </row>
    <row r="1560">
      <c r="A1560" s="20">
        <f>IFERROR(__xludf.DUMMYFUNCTION("""COMPUTED_VALUE"""),1663.0)</f>
        <v>1663</v>
      </c>
      <c r="B1560" s="20" t="str">
        <f>IFERROR(__xludf.DUMMYFUNCTION("""COMPUTED_VALUE"""),"Detect Cycles in 2D Grid")</f>
        <v>Detect Cycles in 2D Grid</v>
      </c>
      <c r="C1560" s="20" t="str">
        <f>IFERROR(__xludf.DUMMYFUNCTION("""COMPUTED_VALUE"""),"detect-cycles-in-2d-grid")</f>
        <v>detect-cycles-in-2d-grid</v>
      </c>
      <c r="D1560" s="20" t="b">
        <f>IFERROR(__xludf.DUMMYFUNCTION("""COMPUTED_VALUE"""),FALSE)</f>
        <v>0</v>
      </c>
      <c r="E1560" s="20" t="str">
        <f>IFERROR(__xludf.DUMMYFUNCTION("""COMPUTED_VALUE"""),"Medium")</f>
        <v>Medium</v>
      </c>
      <c r="F1560" s="20">
        <f>IFERROR(__xludf.DUMMYFUNCTION("""COMPUTED_VALUE"""),856.0)</f>
        <v>856</v>
      </c>
      <c r="G1560" s="20">
        <f>IFERROR(__xludf.DUMMYFUNCTION("""COMPUTED_VALUE"""),23.0)</f>
        <v>23</v>
      </c>
      <c r="H1560" s="20" t="str">
        <f>IFERROR(__xludf.DUMMYFUNCTION("""COMPUTED_VALUE"""),"Algorithms")</f>
        <v>Algorithms</v>
      </c>
      <c r="I1560" s="20">
        <f>IFERROR(__xludf.DUMMYFUNCTION("""COMPUTED_VALUE"""),0.481)</f>
        <v>0.481</v>
      </c>
      <c r="J1560" s="20">
        <f>IFERROR(__xludf.DUMMYFUNCTION("""COMPUTED_VALUE"""),1559.0)</f>
        <v>1559</v>
      </c>
      <c r="K1560" s="20" t="b">
        <f>IFERROR(__xludf.DUMMYFUNCTION("""COMPUTED_VALUE"""),FALSE)</f>
        <v>0</v>
      </c>
      <c r="L1560" s="20" t="str">
        <f>IFERROR(__xludf.DUMMYFUNCTION("""COMPUTED_VALUE"""),"Array;Depth-First Search;Breadth-First Search;Union Find;Matrix;")</f>
        <v>Array;Depth-First Search;Breadth-First Search;Union Find;Matrix;</v>
      </c>
      <c r="M1560" s="20" t="b">
        <f>IFERROR(__xludf.DUMMYFUNCTION("""COMPUTED_VALUE"""),FALSE)</f>
        <v>0</v>
      </c>
      <c r="N1560" s="20" t="b">
        <f>IFERROR(__xludf.DUMMYFUNCTION("""COMPUTED_VALUE"""),FALSE)</f>
        <v>0</v>
      </c>
      <c r="O1560" s="20">
        <f>IFERROR(__xludf.DUMMYFUNCTION("""COMPUTED_VALUE"""),48.0782856513045)</f>
        <v>48.07828565</v>
      </c>
      <c r="P1560" s="20">
        <f>IFERROR(__xludf.DUMMYFUNCTION("""COMPUTED_VALUE"""),30534.0)</f>
        <v>30534</v>
      </c>
      <c r="Q1560" s="20">
        <f>IFERROR(__xludf.DUMMYFUNCTION("""COMPUTED_VALUE"""),63510.0)</f>
        <v>63510</v>
      </c>
    </row>
    <row r="1561">
      <c r="A1561" s="20">
        <f>IFERROR(__xludf.DUMMYFUNCTION("""COMPUTED_VALUE"""),1682.0)</f>
        <v>1682</v>
      </c>
      <c r="B1561" s="20" t="str">
        <f>IFERROR(__xludf.DUMMYFUNCTION("""COMPUTED_VALUE"""),"Most Visited Sector in  a Circular Track")</f>
        <v>Most Visited Sector in  a Circular Track</v>
      </c>
      <c r="C1561" s="20" t="str">
        <f>IFERROR(__xludf.DUMMYFUNCTION("""COMPUTED_VALUE"""),"most-visited-sector-in-a-circular-track")</f>
        <v>most-visited-sector-in-a-circular-track</v>
      </c>
      <c r="D1561" s="20" t="b">
        <f>IFERROR(__xludf.DUMMYFUNCTION("""COMPUTED_VALUE"""),FALSE)</f>
        <v>0</v>
      </c>
      <c r="E1561" s="20" t="str">
        <f>IFERROR(__xludf.DUMMYFUNCTION("""COMPUTED_VALUE"""),"Easy")</f>
        <v>Easy</v>
      </c>
      <c r="F1561" s="20">
        <f>IFERROR(__xludf.DUMMYFUNCTION("""COMPUTED_VALUE"""),250.0)</f>
        <v>250</v>
      </c>
      <c r="G1561" s="20">
        <f>IFERROR(__xludf.DUMMYFUNCTION("""COMPUTED_VALUE"""),512.0)</f>
        <v>512</v>
      </c>
      <c r="H1561" s="20" t="str">
        <f>IFERROR(__xludf.DUMMYFUNCTION("""COMPUTED_VALUE"""),"Algorithms")</f>
        <v>Algorithms</v>
      </c>
      <c r="I1561" s="20">
        <f>IFERROR(__xludf.DUMMYFUNCTION("""COMPUTED_VALUE"""),0.584)</f>
        <v>0.584</v>
      </c>
      <c r="J1561" s="20">
        <f>IFERROR(__xludf.DUMMYFUNCTION("""COMPUTED_VALUE"""),1560.0)</f>
        <v>1560</v>
      </c>
      <c r="K1561" s="20" t="b">
        <f>IFERROR(__xludf.DUMMYFUNCTION("""COMPUTED_VALUE"""),FALSE)</f>
        <v>0</v>
      </c>
      <c r="L1561" s="20" t="str">
        <f>IFERROR(__xludf.DUMMYFUNCTION("""COMPUTED_VALUE"""),"Array;Simulation;")</f>
        <v>Array;Simulation;</v>
      </c>
      <c r="M1561" s="20" t="b">
        <f>IFERROR(__xludf.DUMMYFUNCTION("""COMPUTED_VALUE"""),FALSE)</f>
        <v>0</v>
      </c>
      <c r="N1561" s="20" t="b">
        <f>IFERROR(__xludf.DUMMYFUNCTION("""COMPUTED_VALUE"""),FALSE)</f>
        <v>0</v>
      </c>
      <c r="O1561" s="20">
        <f>IFERROR(__xludf.DUMMYFUNCTION("""COMPUTED_VALUE"""),58.4212364652462)</f>
        <v>58.42123647</v>
      </c>
      <c r="P1561" s="20">
        <f>IFERROR(__xludf.DUMMYFUNCTION("""COMPUTED_VALUE"""),25089.0)</f>
        <v>25089</v>
      </c>
      <c r="Q1561" s="20">
        <f>IFERROR(__xludf.DUMMYFUNCTION("""COMPUTED_VALUE"""),42945.0)</f>
        <v>42945</v>
      </c>
    </row>
    <row r="1562">
      <c r="A1562" s="20">
        <f>IFERROR(__xludf.DUMMYFUNCTION("""COMPUTED_VALUE"""),1683.0)</f>
        <v>1683</v>
      </c>
      <c r="B1562" s="20" t="str">
        <f>IFERROR(__xludf.DUMMYFUNCTION("""COMPUTED_VALUE"""),"Maximum Number of Coins You Can Get")</f>
        <v>Maximum Number of Coins You Can Get</v>
      </c>
      <c r="C1562" s="20" t="str">
        <f>IFERROR(__xludf.DUMMYFUNCTION("""COMPUTED_VALUE"""),"maximum-number-of-coins-you-can-get")</f>
        <v>maximum-number-of-coins-you-can-get</v>
      </c>
      <c r="D1562" s="20" t="b">
        <f>IFERROR(__xludf.DUMMYFUNCTION("""COMPUTED_VALUE"""),FALSE)</f>
        <v>0</v>
      </c>
      <c r="E1562" s="20" t="str">
        <f>IFERROR(__xludf.DUMMYFUNCTION("""COMPUTED_VALUE"""),"Medium")</f>
        <v>Medium</v>
      </c>
      <c r="F1562" s="20">
        <f>IFERROR(__xludf.DUMMYFUNCTION("""COMPUTED_VALUE"""),912.0)</f>
        <v>912</v>
      </c>
      <c r="G1562" s="20">
        <f>IFERROR(__xludf.DUMMYFUNCTION("""COMPUTED_VALUE"""),111.0)</f>
        <v>111</v>
      </c>
      <c r="H1562" s="20" t="str">
        <f>IFERROR(__xludf.DUMMYFUNCTION("""COMPUTED_VALUE"""),"Algorithms")</f>
        <v>Algorithms</v>
      </c>
      <c r="I1562" s="20">
        <f>IFERROR(__xludf.DUMMYFUNCTION("""COMPUTED_VALUE"""),0.786)</f>
        <v>0.786</v>
      </c>
      <c r="J1562" s="20">
        <f>IFERROR(__xludf.DUMMYFUNCTION("""COMPUTED_VALUE"""),1561.0)</f>
        <v>1561</v>
      </c>
      <c r="K1562" s="20" t="b">
        <f>IFERROR(__xludf.DUMMYFUNCTION("""COMPUTED_VALUE"""),FALSE)</f>
        <v>0</v>
      </c>
      <c r="L1562" s="20" t="str">
        <f>IFERROR(__xludf.DUMMYFUNCTION("""COMPUTED_VALUE"""),"Array;Math;Greedy;Sorting;Game Theory;")</f>
        <v>Array;Math;Greedy;Sorting;Game Theory;</v>
      </c>
      <c r="M1562" s="20" t="b">
        <f>IFERROR(__xludf.DUMMYFUNCTION("""COMPUTED_VALUE"""),FALSE)</f>
        <v>0</v>
      </c>
      <c r="N1562" s="20" t="b">
        <f>IFERROR(__xludf.DUMMYFUNCTION("""COMPUTED_VALUE"""),FALSE)</f>
        <v>0</v>
      </c>
      <c r="O1562" s="20">
        <f>IFERROR(__xludf.DUMMYFUNCTION("""COMPUTED_VALUE"""),78.6412345743705)</f>
        <v>78.64123457</v>
      </c>
      <c r="P1562" s="20">
        <f>IFERROR(__xludf.DUMMYFUNCTION("""COMPUTED_VALUE"""),60027.0)</f>
        <v>60027</v>
      </c>
      <c r="Q1562" s="20">
        <f>IFERROR(__xludf.DUMMYFUNCTION("""COMPUTED_VALUE"""),76330.0)</f>
        <v>76330</v>
      </c>
    </row>
    <row r="1563">
      <c r="A1563" s="20">
        <f>IFERROR(__xludf.DUMMYFUNCTION("""COMPUTED_VALUE"""),1684.0)</f>
        <v>1684</v>
      </c>
      <c r="B1563" s="20" t="str">
        <f>IFERROR(__xludf.DUMMYFUNCTION("""COMPUTED_VALUE"""),"Find Latest Group of Size M")</f>
        <v>Find Latest Group of Size M</v>
      </c>
      <c r="C1563" s="20" t="str">
        <f>IFERROR(__xludf.DUMMYFUNCTION("""COMPUTED_VALUE"""),"find-latest-group-of-size-m")</f>
        <v>find-latest-group-of-size-m</v>
      </c>
      <c r="D1563" s="20" t="b">
        <f>IFERROR(__xludf.DUMMYFUNCTION("""COMPUTED_VALUE"""),FALSE)</f>
        <v>0</v>
      </c>
      <c r="E1563" s="20" t="str">
        <f>IFERROR(__xludf.DUMMYFUNCTION("""COMPUTED_VALUE"""),"Medium")</f>
        <v>Medium</v>
      </c>
      <c r="F1563" s="20">
        <f>IFERROR(__xludf.DUMMYFUNCTION("""COMPUTED_VALUE"""),552.0)</f>
        <v>552</v>
      </c>
      <c r="G1563" s="20">
        <f>IFERROR(__xludf.DUMMYFUNCTION("""COMPUTED_VALUE"""),115.0)</f>
        <v>115</v>
      </c>
      <c r="H1563" s="20" t="str">
        <f>IFERROR(__xludf.DUMMYFUNCTION("""COMPUTED_VALUE"""),"Algorithms")</f>
        <v>Algorithms</v>
      </c>
      <c r="I1563" s="20">
        <f>IFERROR(__xludf.DUMMYFUNCTION("""COMPUTED_VALUE"""),0.427)</f>
        <v>0.427</v>
      </c>
      <c r="J1563" s="20">
        <f>IFERROR(__xludf.DUMMYFUNCTION("""COMPUTED_VALUE"""),1562.0)</f>
        <v>1562</v>
      </c>
      <c r="K1563" s="20" t="b">
        <f>IFERROR(__xludf.DUMMYFUNCTION("""COMPUTED_VALUE"""),FALSE)</f>
        <v>0</v>
      </c>
      <c r="L1563" s="20" t="str">
        <f>IFERROR(__xludf.DUMMYFUNCTION("""COMPUTED_VALUE"""),"Array;Binary Search;Simulation;")</f>
        <v>Array;Binary Search;Simulation;</v>
      </c>
      <c r="M1563" s="20" t="b">
        <f>IFERROR(__xludf.DUMMYFUNCTION("""COMPUTED_VALUE"""),FALSE)</f>
        <v>0</v>
      </c>
      <c r="N1563" s="20" t="b">
        <f>IFERROR(__xludf.DUMMYFUNCTION("""COMPUTED_VALUE"""),FALSE)</f>
        <v>0</v>
      </c>
      <c r="O1563" s="20">
        <f>IFERROR(__xludf.DUMMYFUNCTION("""COMPUTED_VALUE"""),42.651392982261)</f>
        <v>42.65139298</v>
      </c>
      <c r="P1563" s="20">
        <f>IFERROR(__xludf.DUMMYFUNCTION("""COMPUTED_VALUE"""),15340.0)</f>
        <v>15340</v>
      </c>
      <c r="Q1563" s="20">
        <f>IFERROR(__xludf.DUMMYFUNCTION("""COMPUTED_VALUE"""),35966.0)</f>
        <v>35966</v>
      </c>
    </row>
    <row r="1564">
      <c r="A1564" s="20">
        <f>IFERROR(__xludf.DUMMYFUNCTION("""COMPUTED_VALUE"""),1685.0)</f>
        <v>1685</v>
      </c>
      <c r="B1564" s="20" t="str">
        <f>IFERROR(__xludf.DUMMYFUNCTION("""COMPUTED_VALUE"""),"Stone Game V")</f>
        <v>Stone Game V</v>
      </c>
      <c r="C1564" s="20" t="str">
        <f>IFERROR(__xludf.DUMMYFUNCTION("""COMPUTED_VALUE"""),"stone-game-v")</f>
        <v>stone-game-v</v>
      </c>
      <c r="D1564" s="20" t="b">
        <f>IFERROR(__xludf.DUMMYFUNCTION("""COMPUTED_VALUE"""),FALSE)</f>
        <v>0</v>
      </c>
      <c r="E1564" s="20" t="str">
        <f>IFERROR(__xludf.DUMMYFUNCTION("""COMPUTED_VALUE"""),"Hard")</f>
        <v>Hard</v>
      </c>
      <c r="F1564" s="20">
        <f>IFERROR(__xludf.DUMMYFUNCTION("""COMPUTED_VALUE"""),482.0)</f>
        <v>482</v>
      </c>
      <c r="G1564" s="20">
        <f>IFERROR(__xludf.DUMMYFUNCTION("""COMPUTED_VALUE"""),68.0)</f>
        <v>68</v>
      </c>
      <c r="H1564" s="20" t="str">
        <f>IFERROR(__xludf.DUMMYFUNCTION("""COMPUTED_VALUE"""),"Algorithms")</f>
        <v>Algorithms</v>
      </c>
      <c r="I1564" s="20">
        <f>IFERROR(__xludf.DUMMYFUNCTION("""COMPUTED_VALUE"""),0.406)</f>
        <v>0.406</v>
      </c>
      <c r="J1564" s="20">
        <f>IFERROR(__xludf.DUMMYFUNCTION("""COMPUTED_VALUE"""),1563.0)</f>
        <v>1563</v>
      </c>
      <c r="K1564" s="20" t="b">
        <f>IFERROR(__xludf.DUMMYFUNCTION("""COMPUTED_VALUE"""),FALSE)</f>
        <v>0</v>
      </c>
      <c r="L1564" s="20" t="str">
        <f>IFERROR(__xludf.DUMMYFUNCTION("""COMPUTED_VALUE"""),"Array;Math;Dynamic Programming;Game Theory;")</f>
        <v>Array;Math;Dynamic Programming;Game Theory;</v>
      </c>
      <c r="M1564" s="20" t="b">
        <f>IFERROR(__xludf.DUMMYFUNCTION("""COMPUTED_VALUE"""),FALSE)</f>
        <v>0</v>
      </c>
      <c r="N1564" s="20" t="b">
        <f>IFERROR(__xludf.DUMMYFUNCTION("""COMPUTED_VALUE"""),FALSE)</f>
        <v>0</v>
      </c>
      <c r="O1564" s="20">
        <f>IFERROR(__xludf.DUMMYFUNCTION("""COMPUTED_VALUE"""),40.5638804444324)</f>
        <v>40.56388044</v>
      </c>
      <c r="P1564" s="20">
        <f>IFERROR(__xludf.DUMMYFUNCTION("""COMPUTED_VALUE"""),15077.0)</f>
        <v>15077</v>
      </c>
      <c r="Q1564" s="20">
        <f>IFERROR(__xludf.DUMMYFUNCTION("""COMPUTED_VALUE"""),37170.0)</f>
        <v>37170</v>
      </c>
    </row>
    <row r="1565">
      <c r="A1565" s="20">
        <f>IFERROR(__xludf.DUMMYFUNCTION("""COMPUTED_VALUE"""),1703.0)</f>
        <v>1703</v>
      </c>
      <c r="B1565" s="20" t="str">
        <f>IFERROR(__xludf.DUMMYFUNCTION("""COMPUTED_VALUE"""),"Put Boxes Into the Warehouse I")</f>
        <v>Put Boxes Into the Warehouse I</v>
      </c>
      <c r="C1565" s="20" t="str">
        <f>IFERROR(__xludf.DUMMYFUNCTION("""COMPUTED_VALUE"""),"put-boxes-into-the-warehouse-i")</f>
        <v>put-boxes-into-the-warehouse-i</v>
      </c>
      <c r="D1565" s="20" t="b">
        <f>IFERROR(__xludf.DUMMYFUNCTION("""COMPUTED_VALUE"""),TRUE)</f>
        <v>1</v>
      </c>
      <c r="E1565" s="20" t="str">
        <f>IFERROR(__xludf.DUMMYFUNCTION("""COMPUTED_VALUE"""),"Medium")</f>
        <v>Medium</v>
      </c>
      <c r="F1565" s="20">
        <f>IFERROR(__xludf.DUMMYFUNCTION("""COMPUTED_VALUE"""),300.0)</f>
        <v>300</v>
      </c>
      <c r="G1565" s="20">
        <f>IFERROR(__xludf.DUMMYFUNCTION("""COMPUTED_VALUE"""),22.0)</f>
        <v>22</v>
      </c>
      <c r="H1565" s="20" t="str">
        <f>IFERROR(__xludf.DUMMYFUNCTION("""COMPUTED_VALUE"""),"Algorithms")</f>
        <v>Algorithms</v>
      </c>
      <c r="I1565" s="20">
        <f>IFERROR(__xludf.DUMMYFUNCTION("""COMPUTED_VALUE"""),0.67)</f>
        <v>0.67</v>
      </c>
      <c r="J1565" s="20">
        <f>IFERROR(__xludf.DUMMYFUNCTION("""COMPUTED_VALUE"""),1564.0)</f>
        <v>1564</v>
      </c>
      <c r="K1565" s="20" t="b">
        <f>IFERROR(__xludf.DUMMYFUNCTION("""COMPUTED_VALUE"""),TRUE)</f>
        <v>1</v>
      </c>
      <c r="L1565" s="20" t="str">
        <f>IFERROR(__xludf.DUMMYFUNCTION("""COMPUTED_VALUE"""),"Array;Greedy;Sorting;")</f>
        <v>Array;Greedy;Sorting;</v>
      </c>
      <c r="M1565" s="20" t="b">
        <f>IFERROR(__xludf.DUMMYFUNCTION("""COMPUTED_VALUE"""),TRUE)</f>
        <v>1</v>
      </c>
      <c r="N1565" s="20" t="b">
        <f>IFERROR(__xludf.DUMMYFUNCTION("""COMPUTED_VALUE"""),FALSE)</f>
        <v>0</v>
      </c>
      <c r="O1565" s="20">
        <f>IFERROR(__xludf.DUMMYFUNCTION("""COMPUTED_VALUE"""),67.0268202897165)</f>
        <v>67.02682029</v>
      </c>
      <c r="P1565" s="20">
        <f>IFERROR(__xludf.DUMMYFUNCTION("""COMPUTED_VALUE"""),14020.0)</f>
        <v>14020</v>
      </c>
      <c r="Q1565" s="20">
        <f>IFERROR(__xludf.DUMMYFUNCTION("""COMPUTED_VALUE"""),20917.0)</f>
        <v>20917</v>
      </c>
    </row>
    <row r="1566">
      <c r="A1566" s="20">
        <f>IFERROR(__xludf.DUMMYFUNCTION("""COMPUTED_VALUE"""),1712.0)</f>
        <v>1712</v>
      </c>
      <c r="B1566" s="20" t="str">
        <f>IFERROR(__xludf.DUMMYFUNCTION("""COMPUTED_VALUE"""),"Unique Orders and Customers Per Month")</f>
        <v>Unique Orders and Customers Per Month</v>
      </c>
      <c r="C1566" s="20" t="str">
        <f>IFERROR(__xludf.DUMMYFUNCTION("""COMPUTED_VALUE"""),"unique-orders-and-customers-per-month")</f>
        <v>unique-orders-and-customers-per-month</v>
      </c>
      <c r="D1566" s="20" t="b">
        <f>IFERROR(__xludf.DUMMYFUNCTION("""COMPUTED_VALUE"""),TRUE)</f>
        <v>1</v>
      </c>
      <c r="E1566" s="20" t="str">
        <f>IFERROR(__xludf.DUMMYFUNCTION("""COMPUTED_VALUE"""),"Easy")</f>
        <v>Easy</v>
      </c>
      <c r="F1566" s="20">
        <f>IFERROR(__xludf.DUMMYFUNCTION("""COMPUTED_VALUE"""),62.0)</f>
        <v>62</v>
      </c>
      <c r="G1566" s="20">
        <f>IFERROR(__xludf.DUMMYFUNCTION("""COMPUTED_VALUE"""),38.0)</f>
        <v>38</v>
      </c>
      <c r="H1566" s="20" t="str">
        <f>IFERROR(__xludf.DUMMYFUNCTION("""COMPUTED_VALUE"""),"Database")</f>
        <v>Database</v>
      </c>
      <c r="I1566" s="20">
        <f>IFERROR(__xludf.DUMMYFUNCTION("""COMPUTED_VALUE"""),0.833)</f>
        <v>0.833</v>
      </c>
      <c r="J1566" s="20">
        <f>IFERROR(__xludf.DUMMYFUNCTION("""COMPUTED_VALUE"""),1565.0)</f>
        <v>1565</v>
      </c>
      <c r="K1566" s="20" t="b">
        <f>IFERROR(__xludf.DUMMYFUNCTION("""COMPUTED_VALUE"""),TRUE)</f>
        <v>1</v>
      </c>
      <c r="L1566" s="20" t="str">
        <f>IFERROR(__xludf.DUMMYFUNCTION("""COMPUTED_VALUE"""),"Database;")</f>
        <v>Database;</v>
      </c>
      <c r="M1566" s="20" t="b">
        <f>IFERROR(__xludf.DUMMYFUNCTION("""COMPUTED_VALUE"""),FALSE)</f>
        <v>0</v>
      </c>
      <c r="N1566" s="20" t="b">
        <f>IFERROR(__xludf.DUMMYFUNCTION("""COMPUTED_VALUE"""),FALSE)</f>
        <v>0</v>
      </c>
      <c r="O1566" s="20">
        <f>IFERROR(__xludf.DUMMYFUNCTION("""COMPUTED_VALUE"""),83.3072509128847)</f>
        <v>83.30725091</v>
      </c>
      <c r="P1566" s="20">
        <f>IFERROR(__xludf.DUMMYFUNCTION("""COMPUTED_VALUE"""),17567.0)</f>
        <v>17567</v>
      </c>
      <c r="Q1566" s="20">
        <f>IFERROR(__xludf.DUMMYFUNCTION("""COMPUTED_VALUE"""),21087.0)</f>
        <v>21087</v>
      </c>
    </row>
    <row r="1567">
      <c r="A1567" s="20">
        <f>IFERROR(__xludf.DUMMYFUNCTION("""COMPUTED_VALUE"""),1689.0)</f>
        <v>1689</v>
      </c>
      <c r="B1567" s="20" t="str">
        <f>IFERROR(__xludf.DUMMYFUNCTION("""COMPUTED_VALUE"""),"Detect Pattern of Length M Repeated K or More Times")</f>
        <v>Detect Pattern of Length M Repeated K or More Times</v>
      </c>
      <c r="C1567" s="20" t="str">
        <f>IFERROR(__xludf.DUMMYFUNCTION("""COMPUTED_VALUE"""),"detect-pattern-of-length-m-repeated-k-or-more-times")</f>
        <v>detect-pattern-of-length-m-repeated-k-or-more-times</v>
      </c>
      <c r="D1567" s="20" t="b">
        <f>IFERROR(__xludf.DUMMYFUNCTION("""COMPUTED_VALUE"""),FALSE)</f>
        <v>0</v>
      </c>
      <c r="E1567" s="20" t="str">
        <f>IFERROR(__xludf.DUMMYFUNCTION("""COMPUTED_VALUE"""),"Easy")</f>
        <v>Easy</v>
      </c>
      <c r="F1567" s="20">
        <f>IFERROR(__xludf.DUMMYFUNCTION("""COMPUTED_VALUE"""),552.0)</f>
        <v>552</v>
      </c>
      <c r="G1567" s="20">
        <f>IFERROR(__xludf.DUMMYFUNCTION("""COMPUTED_VALUE"""),107.0)</f>
        <v>107</v>
      </c>
      <c r="H1567" s="20" t="str">
        <f>IFERROR(__xludf.DUMMYFUNCTION("""COMPUTED_VALUE"""),"Algorithms")</f>
        <v>Algorithms</v>
      </c>
      <c r="I1567" s="20">
        <f>IFERROR(__xludf.DUMMYFUNCTION("""COMPUTED_VALUE"""),0.436)</f>
        <v>0.436</v>
      </c>
      <c r="J1567" s="20">
        <f>IFERROR(__xludf.DUMMYFUNCTION("""COMPUTED_VALUE"""),1566.0)</f>
        <v>1566</v>
      </c>
      <c r="K1567" s="20" t="b">
        <f>IFERROR(__xludf.DUMMYFUNCTION("""COMPUTED_VALUE"""),FALSE)</f>
        <v>0</v>
      </c>
      <c r="L1567" s="20" t="str">
        <f>IFERROR(__xludf.DUMMYFUNCTION("""COMPUTED_VALUE"""),"Array;Enumeration;")</f>
        <v>Array;Enumeration;</v>
      </c>
      <c r="M1567" s="20" t="b">
        <f>IFERROR(__xludf.DUMMYFUNCTION("""COMPUTED_VALUE"""),FALSE)</f>
        <v>0</v>
      </c>
      <c r="N1567" s="20" t="b">
        <f>IFERROR(__xludf.DUMMYFUNCTION("""COMPUTED_VALUE"""),FALSE)</f>
        <v>0</v>
      </c>
      <c r="O1567" s="20">
        <f>IFERROR(__xludf.DUMMYFUNCTION("""COMPUTED_VALUE"""),43.5491614142133)</f>
        <v>43.54916141</v>
      </c>
      <c r="P1567" s="20">
        <f>IFERROR(__xludf.DUMMYFUNCTION("""COMPUTED_VALUE"""),28121.0)</f>
        <v>28121</v>
      </c>
      <c r="Q1567" s="20">
        <f>IFERROR(__xludf.DUMMYFUNCTION("""COMPUTED_VALUE"""),64571.0)</f>
        <v>64571</v>
      </c>
    </row>
    <row r="1568">
      <c r="A1568" s="20">
        <f>IFERROR(__xludf.DUMMYFUNCTION("""COMPUTED_VALUE"""),1690.0)</f>
        <v>1690</v>
      </c>
      <c r="B1568" s="20" t="str">
        <f>IFERROR(__xludf.DUMMYFUNCTION("""COMPUTED_VALUE"""),"Maximum Length of Subarray With Positive Product")</f>
        <v>Maximum Length of Subarray With Positive Product</v>
      </c>
      <c r="C1568" s="20" t="str">
        <f>IFERROR(__xludf.DUMMYFUNCTION("""COMPUTED_VALUE"""),"maximum-length-of-subarray-with-positive-product")</f>
        <v>maximum-length-of-subarray-with-positive-product</v>
      </c>
      <c r="D1568" s="20" t="b">
        <f>IFERROR(__xludf.DUMMYFUNCTION("""COMPUTED_VALUE"""),FALSE)</f>
        <v>0</v>
      </c>
      <c r="E1568" s="20" t="str">
        <f>IFERROR(__xludf.DUMMYFUNCTION("""COMPUTED_VALUE"""),"Medium")</f>
        <v>Medium</v>
      </c>
      <c r="F1568" s="20">
        <f>IFERROR(__xludf.DUMMYFUNCTION("""COMPUTED_VALUE"""),1980.0)</f>
        <v>1980</v>
      </c>
      <c r="G1568" s="20">
        <f>IFERROR(__xludf.DUMMYFUNCTION("""COMPUTED_VALUE"""),54.0)</f>
        <v>54</v>
      </c>
      <c r="H1568" s="20" t="str">
        <f>IFERROR(__xludf.DUMMYFUNCTION("""COMPUTED_VALUE"""),"Algorithms")</f>
        <v>Algorithms</v>
      </c>
      <c r="I1568" s="20">
        <f>IFERROR(__xludf.DUMMYFUNCTION("""COMPUTED_VALUE"""),0.438)</f>
        <v>0.438</v>
      </c>
      <c r="J1568" s="20">
        <f>IFERROR(__xludf.DUMMYFUNCTION("""COMPUTED_VALUE"""),1567.0)</f>
        <v>1567</v>
      </c>
      <c r="K1568" s="20" t="b">
        <f>IFERROR(__xludf.DUMMYFUNCTION("""COMPUTED_VALUE"""),FALSE)</f>
        <v>0</v>
      </c>
      <c r="L1568" s="20" t="str">
        <f>IFERROR(__xludf.DUMMYFUNCTION("""COMPUTED_VALUE"""),"Array;Dynamic Programming;Greedy;")</f>
        <v>Array;Dynamic Programming;Greedy;</v>
      </c>
      <c r="M1568" s="20" t="b">
        <f>IFERROR(__xludf.DUMMYFUNCTION("""COMPUTED_VALUE"""),FALSE)</f>
        <v>0</v>
      </c>
      <c r="N1568" s="20" t="b">
        <f>IFERROR(__xludf.DUMMYFUNCTION("""COMPUTED_VALUE"""),FALSE)</f>
        <v>0</v>
      </c>
      <c r="O1568" s="20">
        <f>IFERROR(__xludf.DUMMYFUNCTION("""COMPUTED_VALUE"""),43.7771309209452)</f>
        <v>43.77713092</v>
      </c>
      <c r="P1568" s="20">
        <f>IFERROR(__xludf.DUMMYFUNCTION("""COMPUTED_VALUE"""),77753.0)</f>
        <v>77753</v>
      </c>
      <c r="Q1568" s="20">
        <f>IFERROR(__xludf.DUMMYFUNCTION("""COMPUTED_VALUE"""),177611.0)</f>
        <v>177611</v>
      </c>
    </row>
    <row r="1569">
      <c r="A1569" s="20">
        <f>IFERROR(__xludf.DUMMYFUNCTION("""COMPUTED_VALUE"""),1691.0)</f>
        <v>1691</v>
      </c>
      <c r="B1569" s="20" t="str">
        <f>IFERROR(__xludf.DUMMYFUNCTION("""COMPUTED_VALUE"""),"Minimum Number of Days to Disconnect Island")</f>
        <v>Minimum Number of Days to Disconnect Island</v>
      </c>
      <c r="C1569" s="20" t="str">
        <f>IFERROR(__xludf.DUMMYFUNCTION("""COMPUTED_VALUE"""),"minimum-number-of-days-to-disconnect-island")</f>
        <v>minimum-number-of-days-to-disconnect-island</v>
      </c>
      <c r="D1569" s="20" t="b">
        <f>IFERROR(__xludf.DUMMYFUNCTION("""COMPUTED_VALUE"""),FALSE)</f>
        <v>0</v>
      </c>
      <c r="E1569" s="20" t="str">
        <f>IFERROR(__xludf.DUMMYFUNCTION("""COMPUTED_VALUE"""),"Hard")</f>
        <v>Hard</v>
      </c>
      <c r="F1569" s="20">
        <f>IFERROR(__xludf.DUMMYFUNCTION("""COMPUTED_VALUE"""),519.0)</f>
        <v>519</v>
      </c>
      <c r="G1569" s="20">
        <f>IFERROR(__xludf.DUMMYFUNCTION("""COMPUTED_VALUE"""),137.0)</f>
        <v>137</v>
      </c>
      <c r="H1569" s="20" t="str">
        <f>IFERROR(__xludf.DUMMYFUNCTION("""COMPUTED_VALUE"""),"Algorithms")</f>
        <v>Algorithms</v>
      </c>
      <c r="I1569" s="20">
        <f>IFERROR(__xludf.DUMMYFUNCTION("""COMPUTED_VALUE"""),0.468)</f>
        <v>0.468</v>
      </c>
      <c r="J1569" s="20">
        <f>IFERROR(__xludf.DUMMYFUNCTION("""COMPUTED_VALUE"""),1568.0)</f>
        <v>1568</v>
      </c>
      <c r="K1569" s="20" t="b">
        <f>IFERROR(__xludf.DUMMYFUNCTION("""COMPUTED_VALUE"""),FALSE)</f>
        <v>0</v>
      </c>
      <c r="L1569" s="20" t="str">
        <f>IFERROR(__xludf.DUMMYFUNCTION("""COMPUTED_VALUE"""),"Array;Depth-First Search;Breadth-First Search;Matrix;Strongly Connected Component;")</f>
        <v>Array;Depth-First Search;Breadth-First Search;Matrix;Strongly Connected Component;</v>
      </c>
      <c r="M1569" s="20" t="b">
        <f>IFERROR(__xludf.DUMMYFUNCTION("""COMPUTED_VALUE"""),FALSE)</f>
        <v>0</v>
      </c>
      <c r="N1569" s="20" t="b">
        <f>IFERROR(__xludf.DUMMYFUNCTION("""COMPUTED_VALUE"""),FALSE)</f>
        <v>0</v>
      </c>
      <c r="O1569" s="20">
        <f>IFERROR(__xludf.DUMMYFUNCTION("""COMPUTED_VALUE"""),46.7664643329834)</f>
        <v>46.76646433</v>
      </c>
      <c r="P1569" s="20">
        <f>IFERROR(__xludf.DUMMYFUNCTION("""COMPUTED_VALUE"""),10247.0)</f>
        <v>10247</v>
      </c>
      <c r="Q1569" s="20">
        <f>IFERROR(__xludf.DUMMYFUNCTION("""COMPUTED_VALUE"""),21911.0)</f>
        <v>21911</v>
      </c>
    </row>
    <row r="1570">
      <c r="A1570" s="20">
        <f>IFERROR(__xludf.DUMMYFUNCTION("""COMPUTED_VALUE"""),1692.0)</f>
        <v>1692</v>
      </c>
      <c r="B1570" s="20" t="str">
        <f>IFERROR(__xludf.DUMMYFUNCTION("""COMPUTED_VALUE"""),"Number of Ways to Reorder Array to Get Same BST")</f>
        <v>Number of Ways to Reorder Array to Get Same BST</v>
      </c>
      <c r="C1570" s="20" t="str">
        <f>IFERROR(__xludf.DUMMYFUNCTION("""COMPUTED_VALUE"""),"number-of-ways-to-reorder-array-to-get-same-bst")</f>
        <v>number-of-ways-to-reorder-array-to-get-same-bst</v>
      </c>
      <c r="D1570" s="20" t="b">
        <f>IFERROR(__xludf.DUMMYFUNCTION("""COMPUTED_VALUE"""),FALSE)</f>
        <v>0</v>
      </c>
      <c r="E1570" s="20" t="str">
        <f>IFERROR(__xludf.DUMMYFUNCTION("""COMPUTED_VALUE"""),"Hard")</f>
        <v>Hard</v>
      </c>
      <c r="F1570" s="20">
        <f>IFERROR(__xludf.DUMMYFUNCTION("""COMPUTED_VALUE"""),513.0)</f>
        <v>513</v>
      </c>
      <c r="G1570" s="20">
        <f>IFERROR(__xludf.DUMMYFUNCTION("""COMPUTED_VALUE"""),52.0)</f>
        <v>52</v>
      </c>
      <c r="H1570" s="20" t="str">
        <f>IFERROR(__xludf.DUMMYFUNCTION("""COMPUTED_VALUE"""),"Algorithms")</f>
        <v>Algorithms</v>
      </c>
      <c r="I1570" s="20">
        <f>IFERROR(__xludf.DUMMYFUNCTION("""COMPUTED_VALUE"""),0.481)</f>
        <v>0.481</v>
      </c>
      <c r="J1570" s="20">
        <f>IFERROR(__xludf.DUMMYFUNCTION("""COMPUTED_VALUE"""),1569.0)</f>
        <v>1569</v>
      </c>
      <c r="K1570" s="20" t="b">
        <f>IFERROR(__xludf.DUMMYFUNCTION("""COMPUTED_VALUE"""),FALSE)</f>
        <v>0</v>
      </c>
      <c r="L1570" s="20" t="str">
        <f>IFERROR(__xludf.DUMMYFUNCTION("""COMPUTED_VALUE"""),"Array;Math;Divide and Conquer;Dynamic Programming;Tree;Union Find;Binary Search Tree;Memoization;Combinatorics;Binary Tree;")</f>
        <v>Array;Math;Divide and Conquer;Dynamic Programming;Tree;Union Find;Binary Search Tree;Memoization;Combinatorics;Binary Tree;</v>
      </c>
      <c r="M1570" s="20" t="b">
        <f>IFERROR(__xludf.DUMMYFUNCTION("""COMPUTED_VALUE"""),FALSE)</f>
        <v>0</v>
      </c>
      <c r="N1570" s="20" t="b">
        <f>IFERROR(__xludf.DUMMYFUNCTION("""COMPUTED_VALUE"""),FALSE)</f>
        <v>0</v>
      </c>
      <c r="O1570" s="20">
        <f>IFERROR(__xludf.DUMMYFUNCTION("""COMPUTED_VALUE"""),48.066392155198)</f>
        <v>48.06639216</v>
      </c>
      <c r="P1570" s="20">
        <f>IFERROR(__xludf.DUMMYFUNCTION("""COMPUTED_VALUE"""),11323.0)</f>
        <v>11323</v>
      </c>
      <c r="Q1570" s="20">
        <f>IFERROR(__xludf.DUMMYFUNCTION("""COMPUTED_VALUE"""),23557.0)</f>
        <v>23557</v>
      </c>
    </row>
    <row r="1571">
      <c r="A1571" s="20">
        <f>IFERROR(__xludf.DUMMYFUNCTION("""COMPUTED_VALUE"""),1713.0)</f>
        <v>1713</v>
      </c>
      <c r="B1571" s="20" t="str">
        <f>IFERROR(__xludf.DUMMYFUNCTION("""COMPUTED_VALUE"""),"Dot Product of Two Sparse Vectors")</f>
        <v>Dot Product of Two Sparse Vectors</v>
      </c>
      <c r="C1571" s="20" t="str">
        <f>IFERROR(__xludf.DUMMYFUNCTION("""COMPUTED_VALUE"""),"dot-product-of-two-sparse-vectors")</f>
        <v>dot-product-of-two-sparse-vectors</v>
      </c>
      <c r="D1571" s="20" t="b">
        <f>IFERROR(__xludf.DUMMYFUNCTION("""COMPUTED_VALUE"""),TRUE)</f>
        <v>1</v>
      </c>
      <c r="E1571" s="20" t="str">
        <f>IFERROR(__xludf.DUMMYFUNCTION("""COMPUTED_VALUE"""),"Medium")</f>
        <v>Medium</v>
      </c>
      <c r="F1571" s="20">
        <f>IFERROR(__xludf.DUMMYFUNCTION("""COMPUTED_VALUE"""),1023.0)</f>
        <v>1023</v>
      </c>
      <c r="G1571" s="20">
        <f>IFERROR(__xludf.DUMMYFUNCTION("""COMPUTED_VALUE"""),136.0)</f>
        <v>136</v>
      </c>
      <c r="H1571" s="20" t="str">
        <f>IFERROR(__xludf.DUMMYFUNCTION("""COMPUTED_VALUE"""),"Algorithms")</f>
        <v>Algorithms</v>
      </c>
      <c r="I1571" s="20">
        <f>IFERROR(__xludf.DUMMYFUNCTION("""COMPUTED_VALUE"""),0.904)</f>
        <v>0.904</v>
      </c>
      <c r="J1571" s="20">
        <f>IFERROR(__xludf.DUMMYFUNCTION("""COMPUTED_VALUE"""),1570.0)</f>
        <v>1570</v>
      </c>
      <c r="K1571" s="20" t="b">
        <f>IFERROR(__xludf.DUMMYFUNCTION("""COMPUTED_VALUE"""),TRUE)</f>
        <v>1</v>
      </c>
      <c r="L1571" s="20" t="str">
        <f>IFERROR(__xludf.DUMMYFUNCTION("""COMPUTED_VALUE"""),"Array;Hash Table;Two Pointers;Design;")</f>
        <v>Array;Hash Table;Two Pointers;Design;</v>
      </c>
      <c r="M1571" s="20" t="b">
        <f>IFERROR(__xludf.DUMMYFUNCTION("""COMPUTED_VALUE"""),TRUE)</f>
        <v>1</v>
      </c>
      <c r="N1571" s="20" t="b">
        <f>IFERROR(__xludf.DUMMYFUNCTION("""COMPUTED_VALUE"""),FALSE)</f>
        <v>0</v>
      </c>
      <c r="O1571" s="20">
        <f>IFERROR(__xludf.DUMMYFUNCTION("""COMPUTED_VALUE"""),90.3611060761686)</f>
        <v>90.36110608</v>
      </c>
      <c r="P1571" s="20">
        <f>IFERROR(__xludf.DUMMYFUNCTION("""COMPUTED_VALUE"""),179468.0)</f>
        <v>179468</v>
      </c>
      <c r="Q1571" s="20">
        <f>IFERROR(__xludf.DUMMYFUNCTION("""COMPUTED_VALUE"""),198612.0)</f>
        <v>198612</v>
      </c>
    </row>
    <row r="1572">
      <c r="A1572" s="20">
        <f>IFERROR(__xludf.DUMMYFUNCTION("""COMPUTED_VALUE"""),1718.0)</f>
        <v>1718</v>
      </c>
      <c r="B1572" s="20" t="str">
        <f>IFERROR(__xludf.DUMMYFUNCTION("""COMPUTED_VALUE"""),"Warehouse Manager")</f>
        <v>Warehouse Manager</v>
      </c>
      <c r="C1572" s="20" t="str">
        <f>IFERROR(__xludf.DUMMYFUNCTION("""COMPUTED_VALUE"""),"warehouse-manager")</f>
        <v>warehouse-manager</v>
      </c>
      <c r="D1572" s="20" t="b">
        <f>IFERROR(__xludf.DUMMYFUNCTION("""COMPUTED_VALUE"""),TRUE)</f>
        <v>1</v>
      </c>
      <c r="E1572" s="20" t="str">
        <f>IFERROR(__xludf.DUMMYFUNCTION("""COMPUTED_VALUE"""),"Easy")</f>
        <v>Easy</v>
      </c>
      <c r="F1572" s="20">
        <f>IFERROR(__xludf.DUMMYFUNCTION("""COMPUTED_VALUE"""),121.0)</f>
        <v>121</v>
      </c>
      <c r="G1572" s="20">
        <f>IFERROR(__xludf.DUMMYFUNCTION("""COMPUTED_VALUE"""),9.0)</f>
        <v>9</v>
      </c>
      <c r="H1572" s="20" t="str">
        <f>IFERROR(__xludf.DUMMYFUNCTION("""COMPUTED_VALUE"""),"Database")</f>
        <v>Database</v>
      </c>
      <c r="I1572" s="20">
        <f>IFERROR(__xludf.DUMMYFUNCTION("""COMPUTED_VALUE"""),0.898)</f>
        <v>0.898</v>
      </c>
      <c r="J1572" s="20">
        <f>IFERROR(__xludf.DUMMYFUNCTION("""COMPUTED_VALUE"""),1571.0)</f>
        <v>1571</v>
      </c>
      <c r="K1572" s="20" t="b">
        <f>IFERROR(__xludf.DUMMYFUNCTION("""COMPUTED_VALUE"""),TRUE)</f>
        <v>1</v>
      </c>
      <c r="L1572" s="20" t="str">
        <f>IFERROR(__xludf.DUMMYFUNCTION("""COMPUTED_VALUE"""),"Database;")</f>
        <v>Database;</v>
      </c>
      <c r="M1572" s="20" t="b">
        <f>IFERROR(__xludf.DUMMYFUNCTION("""COMPUTED_VALUE"""),FALSE)</f>
        <v>0</v>
      </c>
      <c r="N1572" s="20" t="b">
        <f>IFERROR(__xludf.DUMMYFUNCTION("""COMPUTED_VALUE"""),FALSE)</f>
        <v>0</v>
      </c>
      <c r="O1572" s="20">
        <f>IFERROR(__xludf.DUMMYFUNCTION("""COMPUTED_VALUE"""),89.7730941967299)</f>
        <v>89.7730942</v>
      </c>
      <c r="P1572" s="20">
        <f>IFERROR(__xludf.DUMMYFUNCTION("""COMPUTED_VALUE"""),30578.0)</f>
        <v>30578</v>
      </c>
      <c r="Q1572" s="20">
        <f>IFERROR(__xludf.DUMMYFUNCTION("""COMPUTED_VALUE"""),34062.0)</f>
        <v>34062</v>
      </c>
    </row>
    <row r="1573">
      <c r="A1573" s="20">
        <f>IFERROR(__xludf.DUMMYFUNCTION("""COMPUTED_VALUE"""),1677.0)</f>
        <v>1677</v>
      </c>
      <c r="B1573" s="20" t="str">
        <f>IFERROR(__xludf.DUMMYFUNCTION("""COMPUTED_VALUE"""),"Matrix Diagonal Sum")</f>
        <v>Matrix Diagonal Sum</v>
      </c>
      <c r="C1573" s="20" t="str">
        <f>IFERROR(__xludf.DUMMYFUNCTION("""COMPUTED_VALUE"""),"matrix-diagonal-sum")</f>
        <v>matrix-diagonal-sum</v>
      </c>
      <c r="D1573" s="20" t="b">
        <f>IFERROR(__xludf.DUMMYFUNCTION("""COMPUTED_VALUE"""),FALSE)</f>
        <v>0</v>
      </c>
      <c r="E1573" s="20" t="str">
        <f>IFERROR(__xludf.DUMMYFUNCTION("""COMPUTED_VALUE"""),"Easy")</f>
        <v>Easy</v>
      </c>
      <c r="F1573" s="20">
        <f>IFERROR(__xludf.DUMMYFUNCTION("""COMPUTED_VALUE"""),1769.0)</f>
        <v>1769</v>
      </c>
      <c r="G1573" s="20">
        <f>IFERROR(__xludf.DUMMYFUNCTION("""COMPUTED_VALUE"""),25.0)</f>
        <v>25</v>
      </c>
      <c r="H1573" s="20" t="str">
        <f>IFERROR(__xludf.DUMMYFUNCTION("""COMPUTED_VALUE"""),"Algorithms")</f>
        <v>Algorithms</v>
      </c>
      <c r="I1573" s="20">
        <f>IFERROR(__xludf.DUMMYFUNCTION("""COMPUTED_VALUE"""),0.799)</f>
        <v>0.799</v>
      </c>
      <c r="J1573" s="20">
        <f>IFERROR(__xludf.DUMMYFUNCTION("""COMPUTED_VALUE"""),1572.0)</f>
        <v>1572</v>
      </c>
      <c r="K1573" s="20" t="b">
        <f>IFERROR(__xludf.DUMMYFUNCTION("""COMPUTED_VALUE"""),FALSE)</f>
        <v>0</v>
      </c>
      <c r="L1573" s="20" t="str">
        <f>IFERROR(__xludf.DUMMYFUNCTION("""COMPUTED_VALUE"""),"Array;Matrix;")</f>
        <v>Array;Matrix;</v>
      </c>
      <c r="M1573" s="20" t="b">
        <f>IFERROR(__xludf.DUMMYFUNCTION("""COMPUTED_VALUE"""),FALSE)</f>
        <v>0</v>
      </c>
      <c r="N1573" s="20" t="b">
        <f>IFERROR(__xludf.DUMMYFUNCTION("""COMPUTED_VALUE"""),FALSE)</f>
        <v>0</v>
      </c>
      <c r="O1573" s="20">
        <f>IFERROR(__xludf.DUMMYFUNCTION("""COMPUTED_VALUE"""),79.8977112901163)</f>
        <v>79.89771129</v>
      </c>
      <c r="P1573" s="20">
        <f>IFERROR(__xludf.DUMMYFUNCTION("""COMPUTED_VALUE"""),156216.0)</f>
        <v>156216</v>
      </c>
      <c r="Q1573" s="20">
        <f>IFERROR(__xludf.DUMMYFUNCTION("""COMPUTED_VALUE"""),195521.0)</f>
        <v>195521</v>
      </c>
    </row>
    <row r="1574">
      <c r="A1574" s="20">
        <f>IFERROR(__xludf.DUMMYFUNCTION("""COMPUTED_VALUE"""),1678.0)</f>
        <v>1678</v>
      </c>
      <c r="B1574" s="20" t="str">
        <f>IFERROR(__xludf.DUMMYFUNCTION("""COMPUTED_VALUE"""),"Number of Ways to Split a String")</f>
        <v>Number of Ways to Split a String</v>
      </c>
      <c r="C1574" s="20" t="str">
        <f>IFERROR(__xludf.DUMMYFUNCTION("""COMPUTED_VALUE"""),"number-of-ways-to-split-a-string")</f>
        <v>number-of-ways-to-split-a-string</v>
      </c>
      <c r="D1574" s="20" t="b">
        <f>IFERROR(__xludf.DUMMYFUNCTION("""COMPUTED_VALUE"""),FALSE)</f>
        <v>0</v>
      </c>
      <c r="E1574" s="20" t="str">
        <f>IFERROR(__xludf.DUMMYFUNCTION("""COMPUTED_VALUE"""),"Medium")</f>
        <v>Medium</v>
      </c>
      <c r="F1574" s="20">
        <f>IFERROR(__xludf.DUMMYFUNCTION("""COMPUTED_VALUE"""),557.0)</f>
        <v>557</v>
      </c>
      <c r="G1574" s="20">
        <f>IFERROR(__xludf.DUMMYFUNCTION("""COMPUTED_VALUE"""),71.0)</f>
        <v>71</v>
      </c>
      <c r="H1574" s="20" t="str">
        <f>IFERROR(__xludf.DUMMYFUNCTION("""COMPUTED_VALUE"""),"Algorithms")</f>
        <v>Algorithms</v>
      </c>
      <c r="I1574" s="20">
        <f>IFERROR(__xludf.DUMMYFUNCTION("""COMPUTED_VALUE"""),0.324)</f>
        <v>0.324</v>
      </c>
      <c r="J1574" s="20">
        <f>IFERROR(__xludf.DUMMYFUNCTION("""COMPUTED_VALUE"""),1573.0)</f>
        <v>1573</v>
      </c>
      <c r="K1574" s="20" t="b">
        <f>IFERROR(__xludf.DUMMYFUNCTION("""COMPUTED_VALUE"""),FALSE)</f>
        <v>0</v>
      </c>
      <c r="L1574" s="20" t="str">
        <f>IFERROR(__xludf.DUMMYFUNCTION("""COMPUTED_VALUE"""),"Math;String;")</f>
        <v>Math;String;</v>
      </c>
      <c r="M1574" s="20" t="b">
        <f>IFERROR(__xludf.DUMMYFUNCTION("""COMPUTED_VALUE"""),FALSE)</f>
        <v>0</v>
      </c>
      <c r="N1574" s="20" t="b">
        <f>IFERROR(__xludf.DUMMYFUNCTION("""COMPUTED_VALUE"""),FALSE)</f>
        <v>0</v>
      </c>
      <c r="O1574" s="20">
        <f>IFERROR(__xludf.DUMMYFUNCTION("""COMPUTED_VALUE"""),32.4126507729769)</f>
        <v>32.41265077</v>
      </c>
      <c r="P1574" s="20">
        <f>IFERROR(__xludf.DUMMYFUNCTION("""COMPUTED_VALUE"""),22895.0)</f>
        <v>22895</v>
      </c>
      <c r="Q1574" s="20">
        <f>IFERROR(__xludf.DUMMYFUNCTION("""COMPUTED_VALUE"""),70633.0)</f>
        <v>70633</v>
      </c>
    </row>
    <row r="1575">
      <c r="A1575" s="20">
        <f>IFERROR(__xludf.DUMMYFUNCTION("""COMPUTED_VALUE"""),1679.0)</f>
        <v>1679</v>
      </c>
      <c r="B1575" s="20" t="str">
        <f>IFERROR(__xludf.DUMMYFUNCTION("""COMPUTED_VALUE"""),"Shortest Subarray to be Removed to Make Array Sorted")</f>
        <v>Shortest Subarray to be Removed to Make Array Sorted</v>
      </c>
      <c r="C1575" s="20" t="str">
        <f>IFERROR(__xludf.DUMMYFUNCTION("""COMPUTED_VALUE"""),"shortest-subarray-to-be-removed-to-make-array-sorted")</f>
        <v>shortest-subarray-to-be-removed-to-make-array-sorted</v>
      </c>
      <c r="D1575" s="20" t="b">
        <f>IFERROR(__xludf.DUMMYFUNCTION("""COMPUTED_VALUE"""),FALSE)</f>
        <v>0</v>
      </c>
      <c r="E1575" s="20" t="str">
        <f>IFERROR(__xludf.DUMMYFUNCTION("""COMPUTED_VALUE"""),"Medium")</f>
        <v>Medium</v>
      </c>
      <c r="F1575" s="20">
        <f>IFERROR(__xludf.DUMMYFUNCTION("""COMPUTED_VALUE"""),1300.0)</f>
        <v>1300</v>
      </c>
      <c r="G1575" s="20">
        <f>IFERROR(__xludf.DUMMYFUNCTION("""COMPUTED_VALUE"""),45.0)</f>
        <v>45</v>
      </c>
      <c r="H1575" s="20" t="str">
        <f>IFERROR(__xludf.DUMMYFUNCTION("""COMPUTED_VALUE"""),"Algorithms")</f>
        <v>Algorithms</v>
      </c>
      <c r="I1575" s="20">
        <f>IFERROR(__xludf.DUMMYFUNCTION("""COMPUTED_VALUE"""),0.367)</f>
        <v>0.367</v>
      </c>
      <c r="J1575" s="20">
        <f>IFERROR(__xludf.DUMMYFUNCTION("""COMPUTED_VALUE"""),1574.0)</f>
        <v>1574</v>
      </c>
      <c r="K1575" s="20" t="b">
        <f>IFERROR(__xludf.DUMMYFUNCTION("""COMPUTED_VALUE"""),FALSE)</f>
        <v>0</v>
      </c>
      <c r="L1575" s="20" t="str">
        <f>IFERROR(__xludf.DUMMYFUNCTION("""COMPUTED_VALUE"""),"Array;Two Pointers;Binary Search;Stack;Monotonic Stack;")</f>
        <v>Array;Two Pointers;Binary Search;Stack;Monotonic Stack;</v>
      </c>
      <c r="M1575" s="20" t="b">
        <f>IFERROR(__xludf.DUMMYFUNCTION("""COMPUTED_VALUE"""),FALSE)</f>
        <v>0</v>
      </c>
      <c r="N1575" s="20" t="b">
        <f>IFERROR(__xludf.DUMMYFUNCTION("""COMPUTED_VALUE"""),FALSE)</f>
        <v>0</v>
      </c>
      <c r="O1575" s="20">
        <f>IFERROR(__xludf.DUMMYFUNCTION("""COMPUTED_VALUE"""),36.7495973353766)</f>
        <v>36.74959734</v>
      </c>
      <c r="P1575" s="20">
        <f>IFERROR(__xludf.DUMMYFUNCTION("""COMPUTED_VALUE"""),23501.0)</f>
        <v>23501</v>
      </c>
      <c r="Q1575" s="20">
        <f>IFERROR(__xludf.DUMMYFUNCTION("""COMPUTED_VALUE"""),63949.0)</f>
        <v>63949</v>
      </c>
    </row>
    <row r="1576">
      <c r="A1576" s="20">
        <f>IFERROR(__xludf.DUMMYFUNCTION("""COMPUTED_VALUE"""),1680.0)</f>
        <v>1680</v>
      </c>
      <c r="B1576" s="20" t="str">
        <f>IFERROR(__xludf.DUMMYFUNCTION("""COMPUTED_VALUE"""),"Count All Possible Routes")</f>
        <v>Count All Possible Routes</v>
      </c>
      <c r="C1576" s="20" t="str">
        <f>IFERROR(__xludf.DUMMYFUNCTION("""COMPUTED_VALUE"""),"count-all-possible-routes")</f>
        <v>count-all-possible-routes</v>
      </c>
      <c r="D1576" s="20" t="b">
        <f>IFERROR(__xludf.DUMMYFUNCTION("""COMPUTED_VALUE"""),FALSE)</f>
        <v>0</v>
      </c>
      <c r="E1576" s="20" t="str">
        <f>IFERROR(__xludf.DUMMYFUNCTION("""COMPUTED_VALUE"""),"Hard")</f>
        <v>Hard</v>
      </c>
      <c r="F1576" s="20">
        <f>IFERROR(__xludf.DUMMYFUNCTION("""COMPUTED_VALUE"""),451.0)</f>
        <v>451</v>
      </c>
      <c r="G1576" s="20">
        <f>IFERROR(__xludf.DUMMYFUNCTION("""COMPUTED_VALUE"""),26.0)</f>
        <v>26</v>
      </c>
      <c r="H1576" s="20" t="str">
        <f>IFERROR(__xludf.DUMMYFUNCTION("""COMPUTED_VALUE"""),"Algorithms")</f>
        <v>Algorithms</v>
      </c>
      <c r="I1576" s="20">
        <f>IFERROR(__xludf.DUMMYFUNCTION("""COMPUTED_VALUE"""),0.567)</f>
        <v>0.567</v>
      </c>
      <c r="J1576" s="20">
        <f>IFERROR(__xludf.DUMMYFUNCTION("""COMPUTED_VALUE"""),1575.0)</f>
        <v>1575</v>
      </c>
      <c r="K1576" s="20" t="b">
        <f>IFERROR(__xludf.DUMMYFUNCTION("""COMPUTED_VALUE"""),FALSE)</f>
        <v>0</v>
      </c>
      <c r="L1576" s="20" t="str">
        <f>IFERROR(__xludf.DUMMYFUNCTION("""COMPUTED_VALUE"""),"Array;Dynamic Programming;Memoization;")</f>
        <v>Array;Dynamic Programming;Memoization;</v>
      </c>
      <c r="M1576" s="20" t="b">
        <f>IFERROR(__xludf.DUMMYFUNCTION("""COMPUTED_VALUE"""),FALSE)</f>
        <v>0</v>
      </c>
      <c r="N1576" s="20" t="b">
        <f>IFERROR(__xludf.DUMMYFUNCTION("""COMPUTED_VALUE"""),FALSE)</f>
        <v>0</v>
      </c>
      <c r="O1576" s="20">
        <f>IFERROR(__xludf.DUMMYFUNCTION("""COMPUTED_VALUE"""),56.705893340805)</f>
        <v>56.70589334</v>
      </c>
      <c r="P1576" s="20">
        <f>IFERROR(__xludf.DUMMYFUNCTION("""COMPUTED_VALUE"""),12142.0)</f>
        <v>12142</v>
      </c>
      <c r="Q1576" s="20">
        <f>IFERROR(__xludf.DUMMYFUNCTION("""COMPUTED_VALUE"""),21412.0)</f>
        <v>21412</v>
      </c>
    </row>
    <row r="1577">
      <c r="A1577" s="20">
        <f>IFERROR(__xludf.DUMMYFUNCTION("""COMPUTED_VALUE"""),1698.0)</f>
        <v>1698</v>
      </c>
      <c r="B1577" s="20" t="str">
        <f>IFERROR(__xludf.DUMMYFUNCTION("""COMPUTED_VALUE"""),"Replace All ?'s to Avoid Consecutive Repeating Characters")</f>
        <v>Replace All ?'s to Avoid Consecutive Repeating Characters</v>
      </c>
      <c r="C1577" s="20" t="str">
        <f>IFERROR(__xludf.DUMMYFUNCTION("""COMPUTED_VALUE"""),"replace-all-s-to-avoid-consecutive-repeating-characters")</f>
        <v>replace-all-s-to-avoid-consecutive-repeating-characters</v>
      </c>
      <c r="D1577" s="20" t="b">
        <f>IFERROR(__xludf.DUMMYFUNCTION("""COMPUTED_VALUE"""),FALSE)</f>
        <v>0</v>
      </c>
      <c r="E1577" s="20" t="str">
        <f>IFERROR(__xludf.DUMMYFUNCTION("""COMPUTED_VALUE"""),"Easy")</f>
        <v>Easy</v>
      </c>
      <c r="F1577" s="20">
        <f>IFERROR(__xludf.DUMMYFUNCTION("""COMPUTED_VALUE"""),469.0)</f>
        <v>469</v>
      </c>
      <c r="G1577" s="20">
        <f>IFERROR(__xludf.DUMMYFUNCTION("""COMPUTED_VALUE"""),153.0)</f>
        <v>153</v>
      </c>
      <c r="H1577" s="20" t="str">
        <f>IFERROR(__xludf.DUMMYFUNCTION("""COMPUTED_VALUE"""),"Algorithms")</f>
        <v>Algorithms</v>
      </c>
      <c r="I1577" s="20">
        <f>IFERROR(__xludf.DUMMYFUNCTION("""COMPUTED_VALUE"""),0.489)</f>
        <v>0.489</v>
      </c>
      <c r="J1577" s="20">
        <f>IFERROR(__xludf.DUMMYFUNCTION("""COMPUTED_VALUE"""),1576.0)</f>
        <v>1576</v>
      </c>
      <c r="K1577" s="20" t="b">
        <f>IFERROR(__xludf.DUMMYFUNCTION("""COMPUTED_VALUE"""),FALSE)</f>
        <v>0</v>
      </c>
      <c r="L1577" s="20" t="str">
        <f>IFERROR(__xludf.DUMMYFUNCTION("""COMPUTED_VALUE"""),"String;")</f>
        <v>String;</v>
      </c>
      <c r="M1577" s="20" t="b">
        <f>IFERROR(__xludf.DUMMYFUNCTION("""COMPUTED_VALUE"""),FALSE)</f>
        <v>0</v>
      </c>
      <c r="N1577" s="20" t="b">
        <f>IFERROR(__xludf.DUMMYFUNCTION("""COMPUTED_VALUE"""),FALSE)</f>
        <v>0</v>
      </c>
      <c r="O1577" s="20">
        <f>IFERROR(__xludf.DUMMYFUNCTION("""COMPUTED_VALUE"""),48.9185583374721)</f>
        <v>48.91855834</v>
      </c>
      <c r="P1577" s="20">
        <f>IFERROR(__xludf.DUMMYFUNCTION("""COMPUTED_VALUE"""),50233.0)</f>
        <v>50233</v>
      </c>
      <c r="Q1577" s="20">
        <f>IFERROR(__xludf.DUMMYFUNCTION("""COMPUTED_VALUE"""),102687.0)</f>
        <v>102687</v>
      </c>
    </row>
    <row r="1578">
      <c r="A1578" s="20">
        <f>IFERROR(__xludf.DUMMYFUNCTION("""COMPUTED_VALUE"""),1699.0)</f>
        <v>1699</v>
      </c>
      <c r="B1578" s="20" t="str">
        <f>IFERROR(__xludf.DUMMYFUNCTION("""COMPUTED_VALUE"""),"Number of Ways Where Square of Number Is Equal to Product of Two Numbers")</f>
        <v>Number of Ways Where Square of Number Is Equal to Product of Two Numbers</v>
      </c>
      <c r="C1578" s="20" t="str">
        <f>IFERROR(__xludf.DUMMYFUNCTION("""COMPUTED_VALUE"""),"number-of-ways-where-square-of-number-is-equal-to-product-of-two-numbers")</f>
        <v>number-of-ways-where-square-of-number-is-equal-to-product-of-two-numbers</v>
      </c>
      <c r="D1578" s="20" t="b">
        <f>IFERROR(__xludf.DUMMYFUNCTION("""COMPUTED_VALUE"""),FALSE)</f>
        <v>0</v>
      </c>
      <c r="E1578" s="20" t="str">
        <f>IFERROR(__xludf.DUMMYFUNCTION("""COMPUTED_VALUE"""),"Medium")</f>
        <v>Medium</v>
      </c>
      <c r="F1578" s="20">
        <f>IFERROR(__xludf.DUMMYFUNCTION("""COMPUTED_VALUE"""),302.0)</f>
        <v>302</v>
      </c>
      <c r="G1578" s="20">
        <f>IFERROR(__xludf.DUMMYFUNCTION("""COMPUTED_VALUE"""),52.0)</f>
        <v>52</v>
      </c>
      <c r="H1578" s="20" t="str">
        <f>IFERROR(__xludf.DUMMYFUNCTION("""COMPUTED_VALUE"""),"Algorithms")</f>
        <v>Algorithms</v>
      </c>
      <c r="I1578" s="20">
        <f>IFERROR(__xludf.DUMMYFUNCTION("""COMPUTED_VALUE"""),0.4)</f>
        <v>0.4</v>
      </c>
      <c r="J1578" s="20">
        <f>IFERROR(__xludf.DUMMYFUNCTION("""COMPUTED_VALUE"""),1577.0)</f>
        <v>1577</v>
      </c>
      <c r="K1578" s="20" t="b">
        <f>IFERROR(__xludf.DUMMYFUNCTION("""COMPUTED_VALUE"""),FALSE)</f>
        <v>0</v>
      </c>
      <c r="L1578" s="20" t="str">
        <f>IFERROR(__xludf.DUMMYFUNCTION("""COMPUTED_VALUE"""),"Array;Hash Table;Math;Two Pointers;")</f>
        <v>Array;Hash Table;Math;Two Pointers;</v>
      </c>
      <c r="M1578" s="20" t="b">
        <f>IFERROR(__xludf.DUMMYFUNCTION("""COMPUTED_VALUE"""),FALSE)</f>
        <v>0</v>
      </c>
      <c r="N1578" s="20" t="b">
        <f>IFERROR(__xludf.DUMMYFUNCTION("""COMPUTED_VALUE"""),FALSE)</f>
        <v>0</v>
      </c>
      <c r="O1578" s="20">
        <f>IFERROR(__xludf.DUMMYFUNCTION("""COMPUTED_VALUE"""),40.028457336944)</f>
        <v>40.02845734</v>
      </c>
      <c r="P1578" s="20">
        <f>IFERROR(__xludf.DUMMYFUNCTION("""COMPUTED_VALUE"""),17442.0)</f>
        <v>17442</v>
      </c>
      <c r="Q1578" s="20">
        <f>IFERROR(__xludf.DUMMYFUNCTION("""COMPUTED_VALUE"""),43574.0)</f>
        <v>43574</v>
      </c>
    </row>
    <row r="1579">
      <c r="A1579" s="20">
        <f>IFERROR(__xludf.DUMMYFUNCTION("""COMPUTED_VALUE"""),1700.0)</f>
        <v>1700</v>
      </c>
      <c r="B1579" s="20" t="str">
        <f>IFERROR(__xludf.DUMMYFUNCTION("""COMPUTED_VALUE"""),"Minimum Time to Make Rope Colorful")</f>
        <v>Minimum Time to Make Rope Colorful</v>
      </c>
      <c r="C1579" s="20" t="str">
        <f>IFERROR(__xludf.DUMMYFUNCTION("""COMPUTED_VALUE"""),"minimum-time-to-make-rope-colorful")</f>
        <v>minimum-time-to-make-rope-colorful</v>
      </c>
      <c r="D1579" s="20" t="b">
        <f>IFERROR(__xludf.DUMMYFUNCTION("""COMPUTED_VALUE"""),FALSE)</f>
        <v>0</v>
      </c>
      <c r="E1579" s="20" t="str">
        <f>IFERROR(__xludf.DUMMYFUNCTION("""COMPUTED_VALUE"""),"Medium")</f>
        <v>Medium</v>
      </c>
      <c r="F1579" s="20">
        <f>IFERROR(__xludf.DUMMYFUNCTION("""COMPUTED_VALUE"""),2671.0)</f>
        <v>2671</v>
      </c>
      <c r="G1579" s="20">
        <f>IFERROR(__xludf.DUMMYFUNCTION("""COMPUTED_VALUE"""),76.0)</f>
        <v>76</v>
      </c>
      <c r="H1579" s="20" t="str">
        <f>IFERROR(__xludf.DUMMYFUNCTION("""COMPUTED_VALUE"""),"Algorithms")</f>
        <v>Algorithms</v>
      </c>
      <c r="I1579" s="20">
        <f>IFERROR(__xludf.DUMMYFUNCTION("""COMPUTED_VALUE"""),0.637)</f>
        <v>0.637</v>
      </c>
      <c r="J1579" s="20">
        <f>IFERROR(__xludf.DUMMYFUNCTION("""COMPUTED_VALUE"""),1578.0)</f>
        <v>1578</v>
      </c>
      <c r="K1579" s="20" t="b">
        <f>IFERROR(__xludf.DUMMYFUNCTION("""COMPUTED_VALUE"""),FALSE)</f>
        <v>0</v>
      </c>
      <c r="L1579" s="20" t="str">
        <f>IFERROR(__xludf.DUMMYFUNCTION("""COMPUTED_VALUE"""),"Array;String;Dynamic Programming;Greedy;")</f>
        <v>Array;String;Dynamic Programming;Greedy;</v>
      </c>
      <c r="M1579" s="20" t="b">
        <f>IFERROR(__xludf.DUMMYFUNCTION("""COMPUTED_VALUE"""),TRUE)</f>
        <v>1</v>
      </c>
      <c r="N1579" s="20" t="b">
        <f>IFERROR(__xludf.DUMMYFUNCTION("""COMPUTED_VALUE"""),FALSE)</f>
        <v>0</v>
      </c>
      <c r="O1579" s="20">
        <f>IFERROR(__xludf.DUMMYFUNCTION("""COMPUTED_VALUE"""),63.6754088132773)</f>
        <v>63.67540881</v>
      </c>
      <c r="P1579" s="20">
        <f>IFERROR(__xludf.DUMMYFUNCTION("""COMPUTED_VALUE"""),140843.0)</f>
        <v>140843</v>
      </c>
      <c r="Q1579" s="20">
        <f>IFERROR(__xludf.DUMMYFUNCTION("""COMPUTED_VALUE"""),221189.0)</f>
        <v>221189</v>
      </c>
    </row>
    <row r="1580">
      <c r="A1580" s="20">
        <f>IFERROR(__xludf.DUMMYFUNCTION("""COMPUTED_VALUE"""),1701.0)</f>
        <v>1701</v>
      </c>
      <c r="B1580" s="20" t="str">
        <f>IFERROR(__xludf.DUMMYFUNCTION("""COMPUTED_VALUE"""),"Remove Max Number of Edges to Keep Graph Fully Traversable")</f>
        <v>Remove Max Number of Edges to Keep Graph Fully Traversable</v>
      </c>
      <c r="C1580" s="20" t="str">
        <f>IFERROR(__xludf.DUMMYFUNCTION("""COMPUTED_VALUE"""),"remove-max-number-of-edges-to-keep-graph-fully-traversable")</f>
        <v>remove-max-number-of-edges-to-keep-graph-fully-traversable</v>
      </c>
      <c r="D1580" s="20" t="b">
        <f>IFERROR(__xludf.DUMMYFUNCTION("""COMPUTED_VALUE"""),FALSE)</f>
        <v>0</v>
      </c>
      <c r="E1580" s="20" t="str">
        <f>IFERROR(__xludf.DUMMYFUNCTION("""COMPUTED_VALUE"""),"Hard")</f>
        <v>Hard</v>
      </c>
      <c r="F1580" s="20">
        <f>IFERROR(__xludf.DUMMYFUNCTION("""COMPUTED_VALUE"""),894.0)</f>
        <v>894</v>
      </c>
      <c r="G1580" s="20">
        <f>IFERROR(__xludf.DUMMYFUNCTION("""COMPUTED_VALUE"""),9.0)</f>
        <v>9</v>
      </c>
      <c r="H1580" s="20" t="str">
        <f>IFERROR(__xludf.DUMMYFUNCTION("""COMPUTED_VALUE"""),"Algorithms")</f>
        <v>Algorithms</v>
      </c>
      <c r="I1580" s="20">
        <f>IFERROR(__xludf.DUMMYFUNCTION("""COMPUTED_VALUE"""),0.53)</f>
        <v>0.53</v>
      </c>
      <c r="J1580" s="20">
        <f>IFERROR(__xludf.DUMMYFUNCTION("""COMPUTED_VALUE"""),1579.0)</f>
        <v>1579</v>
      </c>
      <c r="K1580" s="20" t="b">
        <f>IFERROR(__xludf.DUMMYFUNCTION("""COMPUTED_VALUE"""),FALSE)</f>
        <v>0</v>
      </c>
      <c r="L1580" s="20" t="str">
        <f>IFERROR(__xludf.DUMMYFUNCTION("""COMPUTED_VALUE"""),"Union Find;Graph;")</f>
        <v>Union Find;Graph;</v>
      </c>
      <c r="M1580" s="20" t="b">
        <f>IFERROR(__xludf.DUMMYFUNCTION("""COMPUTED_VALUE"""),FALSE)</f>
        <v>0</v>
      </c>
      <c r="N1580" s="20" t="b">
        <f>IFERROR(__xludf.DUMMYFUNCTION("""COMPUTED_VALUE"""),FALSE)</f>
        <v>0</v>
      </c>
      <c r="O1580" s="20">
        <f>IFERROR(__xludf.DUMMYFUNCTION("""COMPUTED_VALUE"""),52.9932610075247)</f>
        <v>52.99326101</v>
      </c>
      <c r="P1580" s="20">
        <f>IFERROR(__xludf.DUMMYFUNCTION("""COMPUTED_VALUE"""),17536.0)</f>
        <v>17536</v>
      </c>
      <c r="Q1580" s="20">
        <f>IFERROR(__xludf.DUMMYFUNCTION("""COMPUTED_VALUE"""),33091.0)</f>
        <v>33091</v>
      </c>
    </row>
    <row r="1581">
      <c r="A1581" s="20">
        <f>IFERROR(__xludf.DUMMYFUNCTION("""COMPUTED_VALUE"""),1719.0)</f>
        <v>1719</v>
      </c>
      <c r="B1581" s="20" t="str">
        <f>IFERROR(__xludf.DUMMYFUNCTION("""COMPUTED_VALUE"""),"Put Boxes Into the Warehouse II")</f>
        <v>Put Boxes Into the Warehouse II</v>
      </c>
      <c r="C1581" s="20" t="str">
        <f>IFERROR(__xludf.DUMMYFUNCTION("""COMPUTED_VALUE"""),"put-boxes-into-the-warehouse-ii")</f>
        <v>put-boxes-into-the-warehouse-ii</v>
      </c>
      <c r="D1581" s="20" t="b">
        <f>IFERROR(__xludf.DUMMYFUNCTION("""COMPUTED_VALUE"""),TRUE)</f>
        <v>1</v>
      </c>
      <c r="E1581" s="20" t="str">
        <f>IFERROR(__xludf.DUMMYFUNCTION("""COMPUTED_VALUE"""),"Medium")</f>
        <v>Medium</v>
      </c>
      <c r="F1581" s="20">
        <f>IFERROR(__xludf.DUMMYFUNCTION("""COMPUTED_VALUE"""),150.0)</f>
        <v>150</v>
      </c>
      <c r="G1581" s="20">
        <f>IFERROR(__xludf.DUMMYFUNCTION("""COMPUTED_VALUE"""),2.0)</f>
        <v>2</v>
      </c>
      <c r="H1581" s="20" t="str">
        <f>IFERROR(__xludf.DUMMYFUNCTION("""COMPUTED_VALUE"""),"Algorithms")</f>
        <v>Algorithms</v>
      </c>
      <c r="I1581" s="20">
        <f>IFERROR(__xludf.DUMMYFUNCTION("""COMPUTED_VALUE"""),0.636)</f>
        <v>0.636</v>
      </c>
      <c r="J1581" s="20">
        <f>IFERROR(__xludf.DUMMYFUNCTION("""COMPUTED_VALUE"""),1580.0)</f>
        <v>1580</v>
      </c>
      <c r="K1581" s="20" t="b">
        <f>IFERROR(__xludf.DUMMYFUNCTION("""COMPUTED_VALUE"""),TRUE)</f>
        <v>1</v>
      </c>
      <c r="L1581" s="20" t="str">
        <f>IFERROR(__xludf.DUMMYFUNCTION("""COMPUTED_VALUE"""),"Array;Greedy;Sorting;")</f>
        <v>Array;Greedy;Sorting;</v>
      </c>
      <c r="M1581" s="20" t="b">
        <f>IFERROR(__xludf.DUMMYFUNCTION("""COMPUTED_VALUE"""),FALSE)</f>
        <v>0</v>
      </c>
      <c r="N1581" s="20" t="b">
        <f>IFERROR(__xludf.DUMMYFUNCTION("""COMPUTED_VALUE"""),FALSE)</f>
        <v>0</v>
      </c>
      <c r="O1581" s="20">
        <f>IFERROR(__xludf.DUMMYFUNCTION("""COMPUTED_VALUE"""),63.6317907444668)</f>
        <v>63.63179074</v>
      </c>
      <c r="P1581" s="20">
        <f>IFERROR(__xludf.DUMMYFUNCTION("""COMPUTED_VALUE"""),3795.0)</f>
        <v>3795</v>
      </c>
      <c r="Q1581" s="20">
        <f>IFERROR(__xludf.DUMMYFUNCTION("""COMPUTED_VALUE"""),5964.0)</f>
        <v>5964</v>
      </c>
    </row>
    <row r="1582">
      <c r="A1582" s="20">
        <f>IFERROR(__xludf.DUMMYFUNCTION("""COMPUTED_VALUE"""),1724.0)</f>
        <v>1724</v>
      </c>
      <c r="B1582" s="20" t="str">
        <f>IFERROR(__xludf.DUMMYFUNCTION("""COMPUTED_VALUE"""),"Customer Who Visited but Did Not Make Any Transactions")</f>
        <v>Customer Who Visited but Did Not Make Any Transactions</v>
      </c>
      <c r="C1582" s="20" t="str">
        <f>IFERROR(__xludf.DUMMYFUNCTION("""COMPUTED_VALUE"""),"customer-who-visited-but-did-not-make-any-transactions")</f>
        <v>customer-who-visited-but-did-not-make-any-transactions</v>
      </c>
      <c r="D1582" s="20" t="b">
        <f>IFERROR(__xludf.DUMMYFUNCTION("""COMPUTED_VALUE"""),FALSE)</f>
        <v>0</v>
      </c>
      <c r="E1582" s="20" t="str">
        <f>IFERROR(__xludf.DUMMYFUNCTION("""COMPUTED_VALUE"""),"Easy")</f>
        <v>Easy</v>
      </c>
      <c r="F1582" s="20">
        <f>IFERROR(__xludf.DUMMYFUNCTION("""COMPUTED_VALUE"""),424.0)</f>
        <v>424</v>
      </c>
      <c r="G1582" s="20">
        <f>IFERROR(__xludf.DUMMYFUNCTION("""COMPUTED_VALUE"""),81.0)</f>
        <v>81</v>
      </c>
      <c r="H1582" s="20" t="str">
        <f>IFERROR(__xludf.DUMMYFUNCTION("""COMPUTED_VALUE"""),"Database")</f>
        <v>Database</v>
      </c>
      <c r="I1582" s="20">
        <f>IFERROR(__xludf.DUMMYFUNCTION("""COMPUTED_VALUE"""),0.872)</f>
        <v>0.872</v>
      </c>
      <c r="J1582" s="20">
        <f>IFERROR(__xludf.DUMMYFUNCTION("""COMPUTED_VALUE"""),1581.0)</f>
        <v>1581</v>
      </c>
      <c r="K1582" s="20" t="b">
        <f>IFERROR(__xludf.DUMMYFUNCTION("""COMPUTED_VALUE"""),FALSE)</f>
        <v>0</v>
      </c>
      <c r="L1582" s="20" t="str">
        <f>IFERROR(__xludf.DUMMYFUNCTION("""COMPUTED_VALUE"""),"Database;")</f>
        <v>Database;</v>
      </c>
      <c r="M1582" s="20" t="b">
        <f>IFERROR(__xludf.DUMMYFUNCTION("""COMPUTED_VALUE"""),FALSE)</f>
        <v>0</v>
      </c>
      <c r="N1582" s="20" t="b">
        <f>IFERROR(__xludf.DUMMYFUNCTION("""COMPUTED_VALUE"""),FALSE)</f>
        <v>0</v>
      </c>
      <c r="O1582" s="20">
        <f>IFERROR(__xludf.DUMMYFUNCTION("""COMPUTED_VALUE"""),87.19098652133)</f>
        <v>87.19098652</v>
      </c>
      <c r="P1582" s="20">
        <f>IFERROR(__xludf.DUMMYFUNCTION("""COMPUTED_VALUE"""),71350.0)</f>
        <v>71350</v>
      </c>
      <c r="Q1582" s="20">
        <f>IFERROR(__xludf.DUMMYFUNCTION("""COMPUTED_VALUE"""),81817.0)</f>
        <v>81817</v>
      </c>
    </row>
    <row r="1583">
      <c r="A1583" s="20">
        <f>IFERROR(__xludf.DUMMYFUNCTION("""COMPUTED_VALUE"""),1704.0)</f>
        <v>1704</v>
      </c>
      <c r="B1583" s="20" t="str">
        <f>IFERROR(__xludf.DUMMYFUNCTION("""COMPUTED_VALUE"""),"Special Positions in a Binary Matrix")</f>
        <v>Special Positions in a Binary Matrix</v>
      </c>
      <c r="C1583" s="20" t="str">
        <f>IFERROR(__xludf.DUMMYFUNCTION("""COMPUTED_VALUE"""),"special-positions-in-a-binary-matrix")</f>
        <v>special-positions-in-a-binary-matrix</v>
      </c>
      <c r="D1583" s="20" t="b">
        <f>IFERROR(__xludf.DUMMYFUNCTION("""COMPUTED_VALUE"""),FALSE)</f>
        <v>0</v>
      </c>
      <c r="E1583" s="20" t="str">
        <f>IFERROR(__xludf.DUMMYFUNCTION("""COMPUTED_VALUE"""),"Easy")</f>
        <v>Easy</v>
      </c>
      <c r="F1583" s="20">
        <f>IFERROR(__xludf.DUMMYFUNCTION("""COMPUTED_VALUE"""),561.0)</f>
        <v>561</v>
      </c>
      <c r="G1583" s="20">
        <f>IFERROR(__xludf.DUMMYFUNCTION("""COMPUTED_VALUE"""),20.0)</f>
        <v>20</v>
      </c>
      <c r="H1583" s="20" t="str">
        <f>IFERROR(__xludf.DUMMYFUNCTION("""COMPUTED_VALUE"""),"Algorithms")</f>
        <v>Algorithms</v>
      </c>
      <c r="I1583" s="20">
        <f>IFERROR(__xludf.DUMMYFUNCTION("""COMPUTED_VALUE"""),0.655)</f>
        <v>0.655</v>
      </c>
      <c r="J1583" s="20">
        <f>IFERROR(__xludf.DUMMYFUNCTION("""COMPUTED_VALUE"""),1582.0)</f>
        <v>1582</v>
      </c>
      <c r="K1583" s="20" t="b">
        <f>IFERROR(__xludf.DUMMYFUNCTION("""COMPUTED_VALUE"""),FALSE)</f>
        <v>0</v>
      </c>
      <c r="L1583" s="20" t="str">
        <f>IFERROR(__xludf.DUMMYFUNCTION("""COMPUTED_VALUE"""),"Array;Matrix;")</f>
        <v>Array;Matrix;</v>
      </c>
      <c r="M1583" s="20" t="b">
        <f>IFERROR(__xludf.DUMMYFUNCTION("""COMPUTED_VALUE"""),FALSE)</f>
        <v>0</v>
      </c>
      <c r="N1583" s="20" t="b">
        <f>IFERROR(__xludf.DUMMYFUNCTION("""COMPUTED_VALUE"""),FALSE)</f>
        <v>0</v>
      </c>
      <c r="O1583" s="20">
        <f>IFERROR(__xludf.DUMMYFUNCTION("""COMPUTED_VALUE"""),65.5147364051473)</f>
        <v>65.51473641</v>
      </c>
      <c r="P1583" s="20">
        <f>IFERROR(__xludf.DUMMYFUNCTION("""COMPUTED_VALUE"""),37878.0)</f>
        <v>37878</v>
      </c>
      <c r="Q1583" s="20">
        <f>IFERROR(__xludf.DUMMYFUNCTION("""COMPUTED_VALUE"""),57816.0)</f>
        <v>57816</v>
      </c>
    </row>
    <row r="1584">
      <c r="A1584" s="20">
        <f>IFERROR(__xludf.DUMMYFUNCTION("""COMPUTED_VALUE"""),1705.0)</f>
        <v>1705</v>
      </c>
      <c r="B1584" s="20" t="str">
        <f>IFERROR(__xludf.DUMMYFUNCTION("""COMPUTED_VALUE"""),"Count Unhappy Friends")</f>
        <v>Count Unhappy Friends</v>
      </c>
      <c r="C1584" s="20" t="str">
        <f>IFERROR(__xludf.DUMMYFUNCTION("""COMPUTED_VALUE"""),"count-unhappy-friends")</f>
        <v>count-unhappy-friends</v>
      </c>
      <c r="D1584" s="20" t="b">
        <f>IFERROR(__xludf.DUMMYFUNCTION("""COMPUTED_VALUE"""),FALSE)</f>
        <v>0</v>
      </c>
      <c r="E1584" s="20" t="str">
        <f>IFERROR(__xludf.DUMMYFUNCTION("""COMPUTED_VALUE"""),"Medium")</f>
        <v>Medium</v>
      </c>
      <c r="F1584" s="20">
        <f>IFERROR(__xludf.DUMMYFUNCTION("""COMPUTED_VALUE"""),220.0)</f>
        <v>220</v>
      </c>
      <c r="G1584" s="20">
        <f>IFERROR(__xludf.DUMMYFUNCTION("""COMPUTED_VALUE"""),719.0)</f>
        <v>719</v>
      </c>
      <c r="H1584" s="20" t="str">
        <f>IFERROR(__xludf.DUMMYFUNCTION("""COMPUTED_VALUE"""),"Algorithms")</f>
        <v>Algorithms</v>
      </c>
      <c r="I1584" s="20">
        <f>IFERROR(__xludf.DUMMYFUNCTION("""COMPUTED_VALUE"""),0.606)</f>
        <v>0.606</v>
      </c>
      <c r="J1584" s="20">
        <f>IFERROR(__xludf.DUMMYFUNCTION("""COMPUTED_VALUE"""),1583.0)</f>
        <v>1583</v>
      </c>
      <c r="K1584" s="20" t="b">
        <f>IFERROR(__xludf.DUMMYFUNCTION("""COMPUTED_VALUE"""),FALSE)</f>
        <v>0</v>
      </c>
      <c r="L1584" s="20" t="str">
        <f>IFERROR(__xludf.DUMMYFUNCTION("""COMPUTED_VALUE"""),"Array;Simulation;")</f>
        <v>Array;Simulation;</v>
      </c>
      <c r="M1584" s="20" t="b">
        <f>IFERROR(__xludf.DUMMYFUNCTION("""COMPUTED_VALUE"""),FALSE)</f>
        <v>0</v>
      </c>
      <c r="N1584" s="20" t="b">
        <f>IFERROR(__xludf.DUMMYFUNCTION("""COMPUTED_VALUE"""),FALSE)</f>
        <v>0</v>
      </c>
      <c r="O1584" s="20">
        <f>IFERROR(__xludf.DUMMYFUNCTION("""COMPUTED_VALUE"""),60.561146357471)</f>
        <v>60.56114636</v>
      </c>
      <c r="P1584" s="20">
        <f>IFERROR(__xludf.DUMMYFUNCTION("""COMPUTED_VALUE"""),22146.0)</f>
        <v>22146</v>
      </c>
      <c r="Q1584" s="20">
        <f>IFERROR(__xludf.DUMMYFUNCTION("""COMPUTED_VALUE"""),36568.0)</f>
        <v>36568</v>
      </c>
    </row>
    <row r="1585">
      <c r="A1585" s="20">
        <f>IFERROR(__xludf.DUMMYFUNCTION("""COMPUTED_VALUE"""),1706.0)</f>
        <v>1706</v>
      </c>
      <c r="B1585" s="20" t="str">
        <f>IFERROR(__xludf.DUMMYFUNCTION("""COMPUTED_VALUE"""),"Min Cost to Connect All Points")</f>
        <v>Min Cost to Connect All Points</v>
      </c>
      <c r="C1585" s="20" t="str">
        <f>IFERROR(__xludf.DUMMYFUNCTION("""COMPUTED_VALUE"""),"min-cost-to-connect-all-points")</f>
        <v>min-cost-to-connect-all-points</v>
      </c>
      <c r="D1585" s="20" t="b">
        <f>IFERROR(__xludf.DUMMYFUNCTION("""COMPUTED_VALUE"""),FALSE)</f>
        <v>0</v>
      </c>
      <c r="E1585" s="20" t="str">
        <f>IFERROR(__xludf.DUMMYFUNCTION("""COMPUTED_VALUE"""),"Medium")</f>
        <v>Medium</v>
      </c>
      <c r="F1585" s="20">
        <f>IFERROR(__xludf.DUMMYFUNCTION("""COMPUTED_VALUE"""),3228.0)</f>
        <v>3228</v>
      </c>
      <c r="G1585" s="20">
        <f>IFERROR(__xludf.DUMMYFUNCTION("""COMPUTED_VALUE"""),83.0)</f>
        <v>83</v>
      </c>
      <c r="H1585" s="20" t="str">
        <f>IFERROR(__xludf.DUMMYFUNCTION("""COMPUTED_VALUE"""),"Algorithms")</f>
        <v>Algorithms</v>
      </c>
      <c r="I1585" s="20">
        <f>IFERROR(__xludf.DUMMYFUNCTION("""COMPUTED_VALUE"""),0.64)</f>
        <v>0.64</v>
      </c>
      <c r="J1585" s="20">
        <f>IFERROR(__xludf.DUMMYFUNCTION("""COMPUTED_VALUE"""),1584.0)</f>
        <v>1584</v>
      </c>
      <c r="K1585" s="20" t="b">
        <f>IFERROR(__xludf.DUMMYFUNCTION("""COMPUTED_VALUE"""),FALSE)</f>
        <v>0</v>
      </c>
      <c r="L1585" s="20" t="str">
        <f>IFERROR(__xludf.DUMMYFUNCTION("""COMPUTED_VALUE"""),"Array;Union Find;Graph;Minimum Spanning Tree;")</f>
        <v>Array;Union Find;Graph;Minimum Spanning Tree;</v>
      </c>
      <c r="M1585" s="20" t="b">
        <f>IFERROR(__xludf.DUMMYFUNCTION("""COMPUTED_VALUE"""),TRUE)</f>
        <v>1</v>
      </c>
      <c r="N1585" s="20" t="b">
        <f>IFERROR(__xludf.DUMMYFUNCTION("""COMPUTED_VALUE"""),FALSE)</f>
        <v>0</v>
      </c>
      <c r="O1585" s="20">
        <f>IFERROR(__xludf.DUMMYFUNCTION("""COMPUTED_VALUE"""),63.9675731088809)</f>
        <v>63.96757311</v>
      </c>
      <c r="P1585" s="20">
        <f>IFERROR(__xludf.DUMMYFUNCTION("""COMPUTED_VALUE"""),142264.0)</f>
        <v>142264</v>
      </c>
      <c r="Q1585" s="20">
        <f>IFERROR(__xludf.DUMMYFUNCTION("""COMPUTED_VALUE"""),222400.0)</f>
        <v>222400</v>
      </c>
    </row>
    <row r="1586">
      <c r="A1586" s="20">
        <f>IFERROR(__xludf.DUMMYFUNCTION("""COMPUTED_VALUE"""),1707.0)</f>
        <v>1707</v>
      </c>
      <c r="B1586" s="20" t="str">
        <f>IFERROR(__xludf.DUMMYFUNCTION("""COMPUTED_VALUE"""),"Check If String Is Transformable With Substring Sort Operations")</f>
        <v>Check If String Is Transformable With Substring Sort Operations</v>
      </c>
      <c r="C1586" s="20" t="str">
        <f>IFERROR(__xludf.DUMMYFUNCTION("""COMPUTED_VALUE"""),"check-if-string-is-transformable-with-substring-sort-operations")</f>
        <v>check-if-string-is-transformable-with-substring-sort-operations</v>
      </c>
      <c r="D1586" s="20" t="b">
        <f>IFERROR(__xludf.DUMMYFUNCTION("""COMPUTED_VALUE"""),FALSE)</f>
        <v>0</v>
      </c>
      <c r="E1586" s="20" t="str">
        <f>IFERROR(__xludf.DUMMYFUNCTION("""COMPUTED_VALUE"""),"Hard")</f>
        <v>Hard</v>
      </c>
      <c r="F1586" s="20">
        <f>IFERROR(__xludf.DUMMYFUNCTION("""COMPUTED_VALUE"""),382.0)</f>
        <v>382</v>
      </c>
      <c r="G1586" s="20">
        <f>IFERROR(__xludf.DUMMYFUNCTION("""COMPUTED_VALUE"""),7.0)</f>
        <v>7</v>
      </c>
      <c r="H1586" s="20" t="str">
        <f>IFERROR(__xludf.DUMMYFUNCTION("""COMPUTED_VALUE"""),"Algorithms")</f>
        <v>Algorithms</v>
      </c>
      <c r="I1586" s="20">
        <f>IFERROR(__xludf.DUMMYFUNCTION("""COMPUTED_VALUE"""),0.484)</f>
        <v>0.484</v>
      </c>
      <c r="J1586" s="20">
        <f>IFERROR(__xludf.DUMMYFUNCTION("""COMPUTED_VALUE"""),1585.0)</f>
        <v>1585</v>
      </c>
      <c r="K1586" s="20" t="b">
        <f>IFERROR(__xludf.DUMMYFUNCTION("""COMPUTED_VALUE"""),FALSE)</f>
        <v>0</v>
      </c>
      <c r="L1586" s="20" t="str">
        <f>IFERROR(__xludf.DUMMYFUNCTION("""COMPUTED_VALUE"""),"String;Greedy;Sorting;")</f>
        <v>String;Greedy;Sorting;</v>
      </c>
      <c r="M1586" s="20" t="b">
        <f>IFERROR(__xludf.DUMMYFUNCTION("""COMPUTED_VALUE"""),FALSE)</f>
        <v>0</v>
      </c>
      <c r="N1586" s="20" t="b">
        <f>IFERROR(__xludf.DUMMYFUNCTION("""COMPUTED_VALUE"""),FALSE)</f>
        <v>0</v>
      </c>
      <c r="O1586" s="20">
        <f>IFERROR(__xludf.DUMMYFUNCTION("""COMPUTED_VALUE"""),48.3786724700761)</f>
        <v>48.37867247</v>
      </c>
      <c r="P1586" s="20">
        <f>IFERROR(__xludf.DUMMYFUNCTION("""COMPUTED_VALUE"""),6669.0)</f>
        <v>6669</v>
      </c>
      <c r="Q1586" s="20">
        <f>IFERROR(__xludf.DUMMYFUNCTION("""COMPUTED_VALUE"""),13785.0)</f>
        <v>13785</v>
      </c>
    </row>
    <row r="1587">
      <c r="A1587" s="20">
        <f>IFERROR(__xludf.DUMMYFUNCTION("""COMPUTED_VALUE"""),1729.0)</f>
        <v>1729</v>
      </c>
      <c r="B1587" s="20" t="str">
        <f>IFERROR(__xludf.DUMMYFUNCTION("""COMPUTED_VALUE"""),"Binary Search Tree Iterator II")</f>
        <v>Binary Search Tree Iterator II</v>
      </c>
      <c r="C1587" s="20" t="str">
        <f>IFERROR(__xludf.DUMMYFUNCTION("""COMPUTED_VALUE"""),"binary-search-tree-iterator-ii")</f>
        <v>binary-search-tree-iterator-ii</v>
      </c>
      <c r="D1587" s="20" t="b">
        <f>IFERROR(__xludf.DUMMYFUNCTION("""COMPUTED_VALUE"""),TRUE)</f>
        <v>1</v>
      </c>
      <c r="E1587" s="20" t="str">
        <f>IFERROR(__xludf.DUMMYFUNCTION("""COMPUTED_VALUE"""),"Medium")</f>
        <v>Medium</v>
      </c>
      <c r="F1587" s="20">
        <f>IFERROR(__xludf.DUMMYFUNCTION("""COMPUTED_VALUE"""),240.0)</f>
        <v>240</v>
      </c>
      <c r="G1587" s="20">
        <f>IFERROR(__xludf.DUMMYFUNCTION("""COMPUTED_VALUE"""),29.0)</f>
        <v>29</v>
      </c>
      <c r="H1587" s="20" t="str">
        <f>IFERROR(__xludf.DUMMYFUNCTION("""COMPUTED_VALUE"""),"Algorithms")</f>
        <v>Algorithms</v>
      </c>
      <c r="I1587" s="20">
        <f>IFERROR(__xludf.DUMMYFUNCTION("""COMPUTED_VALUE"""),0.708)</f>
        <v>0.708</v>
      </c>
      <c r="J1587" s="20">
        <f>IFERROR(__xludf.DUMMYFUNCTION("""COMPUTED_VALUE"""),1586.0)</f>
        <v>1586</v>
      </c>
      <c r="K1587" s="20" t="b">
        <f>IFERROR(__xludf.DUMMYFUNCTION("""COMPUTED_VALUE"""),TRUE)</f>
        <v>1</v>
      </c>
      <c r="L1587" s="20" t="str">
        <f>IFERROR(__xludf.DUMMYFUNCTION("""COMPUTED_VALUE"""),"Stack;Tree;Design;Binary Search Tree;Binary Tree;Iterator;")</f>
        <v>Stack;Tree;Design;Binary Search Tree;Binary Tree;Iterator;</v>
      </c>
      <c r="M1587" s="20" t="b">
        <f>IFERROR(__xludf.DUMMYFUNCTION("""COMPUTED_VALUE"""),TRUE)</f>
        <v>1</v>
      </c>
      <c r="N1587" s="20" t="b">
        <f>IFERROR(__xludf.DUMMYFUNCTION("""COMPUTED_VALUE"""),FALSE)</f>
        <v>0</v>
      </c>
      <c r="O1587" s="20">
        <f>IFERROR(__xludf.DUMMYFUNCTION("""COMPUTED_VALUE"""),70.8253022603819)</f>
        <v>70.82530226</v>
      </c>
      <c r="P1587" s="20">
        <f>IFERROR(__xludf.DUMMYFUNCTION("""COMPUTED_VALUE"""),12126.0)</f>
        <v>12126</v>
      </c>
      <c r="Q1587" s="20">
        <f>IFERROR(__xludf.DUMMYFUNCTION("""COMPUTED_VALUE"""),17121.0)</f>
        <v>17121</v>
      </c>
    </row>
    <row r="1588">
      <c r="A1588" s="20">
        <f>IFERROR(__xludf.DUMMYFUNCTION("""COMPUTED_VALUE"""),1734.0)</f>
        <v>1734</v>
      </c>
      <c r="B1588" s="20" t="str">
        <f>IFERROR(__xludf.DUMMYFUNCTION("""COMPUTED_VALUE"""),"Bank Account Summary II")</f>
        <v>Bank Account Summary II</v>
      </c>
      <c r="C1588" s="20" t="str">
        <f>IFERROR(__xludf.DUMMYFUNCTION("""COMPUTED_VALUE"""),"bank-account-summary-ii")</f>
        <v>bank-account-summary-ii</v>
      </c>
      <c r="D1588" s="20" t="b">
        <f>IFERROR(__xludf.DUMMYFUNCTION("""COMPUTED_VALUE"""),FALSE)</f>
        <v>0</v>
      </c>
      <c r="E1588" s="20" t="str">
        <f>IFERROR(__xludf.DUMMYFUNCTION("""COMPUTED_VALUE"""),"Easy")</f>
        <v>Easy</v>
      </c>
      <c r="F1588" s="20">
        <f>IFERROR(__xludf.DUMMYFUNCTION("""COMPUTED_VALUE"""),290.0)</f>
        <v>290</v>
      </c>
      <c r="G1588" s="20">
        <f>IFERROR(__xludf.DUMMYFUNCTION("""COMPUTED_VALUE"""),4.0)</f>
        <v>4</v>
      </c>
      <c r="H1588" s="20" t="str">
        <f>IFERROR(__xludf.DUMMYFUNCTION("""COMPUTED_VALUE"""),"Database")</f>
        <v>Database</v>
      </c>
      <c r="I1588" s="20">
        <f>IFERROR(__xludf.DUMMYFUNCTION("""COMPUTED_VALUE"""),0.885)</f>
        <v>0.885</v>
      </c>
      <c r="J1588" s="20">
        <f>IFERROR(__xludf.DUMMYFUNCTION("""COMPUTED_VALUE"""),1587.0)</f>
        <v>1587</v>
      </c>
      <c r="K1588" s="20" t="b">
        <f>IFERROR(__xludf.DUMMYFUNCTION("""COMPUTED_VALUE"""),FALSE)</f>
        <v>0</v>
      </c>
      <c r="L1588" s="20" t="str">
        <f>IFERROR(__xludf.DUMMYFUNCTION("""COMPUTED_VALUE"""),"Database;")</f>
        <v>Database;</v>
      </c>
      <c r="M1588" s="20" t="b">
        <f>IFERROR(__xludf.DUMMYFUNCTION("""COMPUTED_VALUE"""),FALSE)</f>
        <v>0</v>
      </c>
      <c r="N1588" s="20" t="b">
        <f>IFERROR(__xludf.DUMMYFUNCTION("""COMPUTED_VALUE"""),FALSE)</f>
        <v>0</v>
      </c>
      <c r="O1588" s="20">
        <f>IFERROR(__xludf.DUMMYFUNCTION("""COMPUTED_VALUE"""),88.5434693684906)</f>
        <v>88.54346937</v>
      </c>
      <c r="P1588" s="20">
        <f>IFERROR(__xludf.DUMMYFUNCTION("""COMPUTED_VALUE"""),56279.0)</f>
        <v>56279</v>
      </c>
      <c r="Q1588" s="20">
        <f>IFERROR(__xludf.DUMMYFUNCTION("""COMPUTED_VALUE"""),63558.0)</f>
        <v>63558</v>
      </c>
    </row>
    <row r="1589">
      <c r="A1589" s="20">
        <f>IFERROR(__xludf.DUMMYFUNCTION("""COMPUTED_VALUE"""),1693.0)</f>
        <v>1693</v>
      </c>
      <c r="B1589" s="20" t="str">
        <f>IFERROR(__xludf.DUMMYFUNCTION("""COMPUTED_VALUE"""),"Sum of All Odd Length Subarrays")</f>
        <v>Sum of All Odd Length Subarrays</v>
      </c>
      <c r="C1589" s="20" t="str">
        <f>IFERROR(__xludf.DUMMYFUNCTION("""COMPUTED_VALUE"""),"sum-of-all-odd-length-subarrays")</f>
        <v>sum-of-all-odd-length-subarrays</v>
      </c>
      <c r="D1589" s="20" t="b">
        <f>IFERROR(__xludf.DUMMYFUNCTION("""COMPUTED_VALUE"""),FALSE)</f>
        <v>0</v>
      </c>
      <c r="E1589" s="20" t="str">
        <f>IFERROR(__xludf.DUMMYFUNCTION("""COMPUTED_VALUE"""),"Easy")</f>
        <v>Easy</v>
      </c>
      <c r="F1589" s="20">
        <f>IFERROR(__xludf.DUMMYFUNCTION("""COMPUTED_VALUE"""),2867.0)</f>
        <v>2867</v>
      </c>
      <c r="G1589" s="20">
        <f>IFERROR(__xludf.DUMMYFUNCTION("""COMPUTED_VALUE"""),213.0)</f>
        <v>213</v>
      </c>
      <c r="H1589" s="20" t="str">
        <f>IFERROR(__xludf.DUMMYFUNCTION("""COMPUTED_VALUE"""),"Algorithms")</f>
        <v>Algorithms</v>
      </c>
      <c r="I1589" s="20">
        <f>IFERROR(__xludf.DUMMYFUNCTION("""COMPUTED_VALUE"""),0.835)</f>
        <v>0.835</v>
      </c>
      <c r="J1589" s="20">
        <f>IFERROR(__xludf.DUMMYFUNCTION("""COMPUTED_VALUE"""),1588.0)</f>
        <v>1588</v>
      </c>
      <c r="K1589" s="20" t="b">
        <f>IFERROR(__xludf.DUMMYFUNCTION("""COMPUTED_VALUE"""),FALSE)</f>
        <v>0</v>
      </c>
      <c r="L1589" s="20" t="str">
        <f>IFERROR(__xludf.DUMMYFUNCTION("""COMPUTED_VALUE"""),"Array;Math;Prefix Sum;")</f>
        <v>Array;Math;Prefix Sum;</v>
      </c>
      <c r="M1589" s="20" t="b">
        <f>IFERROR(__xludf.DUMMYFUNCTION("""COMPUTED_VALUE"""),TRUE)</f>
        <v>1</v>
      </c>
      <c r="N1589" s="20" t="b">
        <f>IFERROR(__xludf.DUMMYFUNCTION("""COMPUTED_VALUE"""),FALSE)</f>
        <v>0</v>
      </c>
      <c r="O1589" s="20">
        <f>IFERROR(__xludf.DUMMYFUNCTION("""COMPUTED_VALUE"""),83.4824043821452)</f>
        <v>83.48240438</v>
      </c>
      <c r="P1589" s="20">
        <f>IFERROR(__xludf.DUMMYFUNCTION("""COMPUTED_VALUE"""),138222.0)</f>
        <v>138222</v>
      </c>
      <c r="Q1589" s="20">
        <f>IFERROR(__xludf.DUMMYFUNCTION("""COMPUTED_VALUE"""),165572.0)</f>
        <v>165572</v>
      </c>
    </row>
    <row r="1590">
      <c r="A1590" s="20">
        <f>IFERROR(__xludf.DUMMYFUNCTION("""COMPUTED_VALUE"""),1695.0)</f>
        <v>1695</v>
      </c>
      <c r="B1590" s="20" t="str">
        <f>IFERROR(__xludf.DUMMYFUNCTION("""COMPUTED_VALUE"""),"Maximum Sum Obtained of Any Permutation")</f>
        <v>Maximum Sum Obtained of Any Permutation</v>
      </c>
      <c r="C1590" s="20" t="str">
        <f>IFERROR(__xludf.DUMMYFUNCTION("""COMPUTED_VALUE"""),"maximum-sum-obtained-of-any-permutation")</f>
        <v>maximum-sum-obtained-of-any-permutation</v>
      </c>
      <c r="D1590" s="20" t="b">
        <f>IFERROR(__xludf.DUMMYFUNCTION("""COMPUTED_VALUE"""),FALSE)</f>
        <v>0</v>
      </c>
      <c r="E1590" s="20" t="str">
        <f>IFERROR(__xludf.DUMMYFUNCTION("""COMPUTED_VALUE"""),"Medium")</f>
        <v>Medium</v>
      </c>
      <c r="F1590" s="20">
        <f>IFERROR(__xludf.DUMMYFUNCTION("""COMPUTED_VALUE"""),597.0)</f>
        <v>597</v>
      </c>
      <c r="G1590" s="20">
        <f>IFERROR(__xludf.DUMMYFUNCTION("""COMPUTED_VALUE"""),31.0)</f>
        <v>31</v>
      </c>
      <c r="H1590" s="20" t="str">
        <f>IFERROR(__xludf.DUMMYFUNCTION("""COMPUTED_VALUE"""),"Algorithms")</f>
        <v>Algorithms</v>
      </c>
      <c r="I1590" s="20">
        <f>IFERROR(__xludf.DUMMYFUNCTION("""COMPUTED_VALUE"""),0.37)</f>
        <v>0.37</v>
      </c>
      <c r="J1590" s="20">
        <f>IFERROR(__xludf.DUMMYFUNCTION("""COMPUTED_VALUE"""),1589.0)</f>
        <v>1589</v>
      </c>
      <c r="K1590" s="20" t="b">
        <f>IFERROR(__xludf.DUMMYFUNCTION("""COMPUTED_VALUE"""),FALSE)</f>
        <v>0</v>
      </c>
      <c r="L1590" s="20" t="str">
        <f>IFERROR(__xludf.DUMMYFUNCTION("""COMPUTED_VALUE"""),"Array;Greedy;Sorting;Prefix Sum;")</f>
        <v>Array;Greedy;Sorting;Prefix Sum;</v>
      </c>
      <c r="M1590" s="20" t="b">
        <f>IFERROR(__xludf.DUMMYFUNCTION("""COMPUTED_VALUE"""),FALSE)</f>
        <v>0</v>
      </c>
      <c r="N1590" s="20" t="b">
        <f>IFERROR(__xludf.DUMMYFUNCTION("""COMPUTED_VALUE"""),FALSE)</f>
        <v>0</v>
      </c>
      <c r="O1590" s="20">
        <f>IFERROR(__xludf.DUMMYFUNCTION("""COMPUTED_VALUE"""),37.0253085650168)</f>
        <v>37.02530857</v>
      </c>
      <c r="P1590" s="20">
        <f>IFERROR(__xludf.DUMMYFUNCTION("""COMPUTED_VALUE"""),14848.0)</f>
        <v>14848</v>
      </c>
      <c r="Q1590" s="20">
        <f>IFERROR(__xludf.DUMMYFUNCTION("""COMPUTED_VALUE"""),40103.0)</f>
        <v>40103</v>
      </c>
    </row>
    <row r="1591">
      <c r="A1591" s="20">
        <f>IFERROR(__xludf.DUMMYFUNCTION("""COMPUTED_VALUE"""),1694.0)</f>
        <v>1694</v>
      </c>
      <c r="B1591" s="20" t="str">
        <f>IFERROR(__xludf.DUMMYFUNCTION("""COMPUTED_VALUE"""),"Make Sum Divisible by P")</f>
        <v>Make Sum Divisible by P</v>
      </c>
      <c r="C1591" s="20" t="str">
        <f>IFERROR(__xludf.DUMMYFUNCTION("""COMPUTED_VALUE"""),"make-sum-divisible-by-p")</f>
        <v>make-sum-divisible-by-p</v>
      </c>
      <c r="D1591" s="20" t="b">
        <f>IFERROR(__xludf.DUMMYFUNCTION("""COMPUTED_VALUE"""),FALSE)</f>
        <v>0</v>
      </c>
      <c r="E1591" s="20" t="str">
        <f>IFERROR(__xludf.DUMMYFUNCTION("""COMPUTED_VALUE"""),"Medium")</f>
        <v>Medium</v>
      </c>
      <c r="F1591" s="20">
        <f>IFERROR(__xludf.DUMMYFUNCTION("""COMPUTED_VALUE"""),1143.0)</f>
        <v>1143</v>
      </c>
      <c r="G1591" s="20">
        <f>IFERROR(__xludf.DUMMYFUNCTION("""COMPUTED_VALUE"""),48.0)</f>
        <v>48</v>
      </c>
      <c r="H1591" s="20" t="str">
        <f>IFERROR(__xludf.DUMMYFUNCTION("""COMPUTED_VALUE"""),"Algorithms")</f>
        <v>Algorithms</v>
      </c>
      <c r="I1591" s="20">
        <f>IFERROR(__xludf.DUMMYFUNCTION("""COMPUTED_VALUE"""),0.281)</f>
        <v>0.281</v>
      </c>
      <c r="J1591" s="20">
        <f>IFERROR(__xludf.DUMMYFUNCTION("""COMPUTED_VALUE"""),1590.0)</f>
        <v>1590</v>
      </c>
      <c r="K1591" s="20" t="b">
        <f>IFERROR(__xludf.DUMMYFUNCTION("""COMPUTED_VALUE"""),FALSE)</f>
        <v>0</v>
      </c>
      <c r="L1591" s="20" t="str">
        <f>IFERROR(__xludf.DUMMYFUNCTION("""COMPUTED_VALUE"""),"Array;Hash Table;Prefix Sum;")</f>
        <v>Array;Hash Table;Prefix Sum;</v>
      </c>
      <c r="M1591" s="20" t="b">
        <f>IFERROR(__xludf.DUMMYFUNCTION("""COMPUTED_VALUE"""),FALSE)</f>
        <v>0</v>
      </c>
      <c r="N1591" s="20" t="b">
        <f>IFERROR(__xludf.DUMMYFUNCTION("""COMPUTED_VALUE"""),FALSE)</f>
        <v>0</v>
      </c>
      <c r="O1591" s="20">
        <f>IFERROR(__xludf.DUMMYFUNCTION("""COMPUTED_VALUE"""),28.1393453172594)</f>
        <v>28.13934532</v>
      </c>
      <c r="P1591" s="20">
        <f>IFERROR(__xludf.DUMMYFUNCTION("""COMPUTED_VALUE"""),19677.0)</f>
        <v>19677</v>
      </c>
      <c r="Q1591" s="20">
        <f>IFERROR(__xludf.DUMMYFUNCTION("""COMPUTED_VALUE"""),69927.0)</f>
        <v>69927</v>
      </c>
    </row>
    <row r="1592">
      <c r="A1592" s="20">
        <f>IFERROR(__xludf.DUMMYFUNCTION("""COMPUTED_VALUE"""),1696.0)</f>
        <v>1696</v>
      </c>
      <c r="B1592" s="20" t="str">
        <f>IFERROR(__xludf.DUMMYFUNCTION("""COMPUTED_VALUE"""),"Strange Printer II")</f>
        <v>Strange Printer II</v>
      </c>
      <c r="C1592" s="20" t="str">
        <f>IFERROR(__xludf.DUMMYFUNCTION("""COMPUTED_VALUE"""),"strange-printer-ii")</f>
        <v>strange-printer-ii</v>
      </c>
      <c r="D1592" s="20" t="b">
        <f>IFERROR(__xludf.DUMMYFUNCTION("""COMPUTED_VALUE"""),FALSE)</f>
        <v>0</v>
      </c>
      <c r="E1592" s="20" t="str">
        <f>IFERROR(__xludf.DUMMYFUNCTION("""COMPUTED_VALUE"""),"Hard")</f>
        <v>Hard</v>
      </c>
      <c r="F1592" s="20">
        <f>IFERROR(__xludf.DUMMYFUNCTION("""COMPUTED_VALUE"""),469.0)</f>
        <v>469</v>
      </c>
      <c r="G1592" s="20">
        <f>IFERROR(__xludf.DUMMYFUNCTION("""COMPUTED_VALUE"""),15.0)</f>
        <v>15</v>
      </c>
      <c r="H1592" s="20" t="str">
        <f>IFERROR(__xludf.DUMMYFUNCTION("""COMPUTED_VALUE"""),"Algorithms")</f>
        <v>Algorithms</v>
      </c>
      <c r="I1592" s="20">
        <f>IFERROR(__xludf.DUMMYFUNCTION("""COMPUTED_VALUE"""),0.586)</f>
        <v>0.586</v>
      </c>
      <c r="J1592" s="20">
        <f>IFERROR(__xludf.DUMMYFUNCTION("""COMPUTED_VALUE"""),1591.0)</f>
        <v>1591</v>
      </c>
      <c r="K1592" s="20" t="b">
        <f>IFERROR(__xludf.DUMMYFUNCTION("""COMPUTED_VALUE"""),FALSE)</f>
        <v>0</v>
      </c>
      <c r="L1592" s="20" t="str">
        <f>IFERROR(__xludf.DUMMYFUNCTION("""COMPUTED_VALUE"""),"Array;Graph;Topological Sort;Matrix;")</f>
        <v>Array;Graph;Topological Sort;Matrix;</v>
      </c>
      <c r="M1592" s="20" t="b">
        <f>IFERROR(__xludf.DUMMYFUNCTION("""COMPUTED_VALUE"""),FALSE)</f>
        <v>0</v>
      </c>
      <c r="N1592" s="20" t="b">
        <f>IFERROR(__xludf.DUMMYFUNCTION("""COMPUTED_VALUE"""),FALSE)</f>
        <v>0</v>
      </c>
      <c r="O1592" s="20">
        <f>IFERROR(__xludf.DUMMYFUNCTION("""COMPUTED_VALUE"""),58.6179100102594)</f>
        <v>58.61791001</v>
      </c>
      <c r="P1592" s="20">
        <f>IFERROR(__xludf.DUMMYFUNCTION("""COMPUTED_VALUE"""),7999.0)</f>
        <v>7999</v>
      </c>
      <c r="Q1592" s="20">
        <f>IFERROR(__xludf.DUMMYFUNCTION("""COMPUTED_VALUE"""),13646.0)</f>
        <v>13646</v>
      </c>
    </row>
    <row r="1593">
      <c r="A1593" s="20">
        <f>IFERROR(__xludf.DUMMYFUNCTION("""COMPUTED_VALUE"""),1714.0)</f>
        <v>1714</v>
      </c>
      <c r="B1593" s="20" t="str">
        <f>IFERROR(__xludf.DUMMYFUNCTION("""COMPUTED_VALUE"""),"Rearrange Spaces Between Words")</f>
        <v>Rearrange Spaces Between Words</v>
      </c>
      <c r="C1593" s="20" t="str">
        <f>IFERROR(__xludf.DUMMYFUNCTION("""COMPUTED_VALUE"""),"rearrange-spaces-between-words")</f>
        <v>rearrange-spaces-between-words</v>
      </c>
      <c r="D1593" s="20" t="b">
        <f>IFERROR(__xludf.DUMMYFUNCTION("""COMPUTED_VALUE"""),FALSE)</f>
        <v>0</v>
      </c>
      <c r="E1593" s="20" t="str">
        <f>IFERROR(__xludf.DUMMYFUNCTION("""COMPUTED_VALUE"""),"Easy")</f>
        <v>Easy</v>
      </c>
      <c r="F1593" s="20">
        <f>IFERROR(__xludf.DUMMYFUNCTION("""COMPUTED_VALUE"""),343.0)</f>
        <v>343</v>
      </c>
      <c r="G1593" s="20">
        <f>IFERROR(__xludf.DUMMYFUNCTION("""COMPUTED_VALUE"""),286.0)</f>
        <v>286</v>
      </c>
      <c r="H1593" s="20" t="str">
        <f>IFERROR(__xludf.DUMMYFUNCTION("""COMPUTED_VALUE"""),"Algorithms")</f>
        <v>Algorithms</v>
      </c>
      <c r="I1593" s="20">
        <f>IFERROR(__xludf.DUMMYFUNCTION("""COMPUTED_VALUE"""),0.437)</f>
        <v>0.437</v>
      </c>
      <c r="J1593" s="20">
        <f>IFERROR(__xludf.DUMMYFUNCTION("""COMPUTED_VALUE"""),1592.0)</f>
        <v>1592</v>
      </c>
      <c r="K1593" s="20" t="b">
        <f>IFERROR(__xludf.DUMMYFUNCTION("""COMPUTED_VALUE"""),FALSE)</f>
        <v>0</v>
      </c>
      <c r="L1593" s="20" t="str">
        <f>IFERROR(__xludf.DUMMYFUNCTION("""COMPUTED_VALUE"""),"String;")</f>
        <v>String;</v>
      </c>
      <c r="M1593" s="20" t="b">
        <f>IFERROR(__xludf.DUMMYFUNCTION("""COMPUTED_VALUE"""),FALSE)</f>
        <v>0</v>
      </c>
      <c r="N1593" s="20" t="b">
        <f>IFERROR(__xludf.DUMMYFUNCTION("""COMPUTED_VALUE"""),FALSE)</f>
        <v>0</v>
      </c>
      <c r="O1593" s="20">
        <f>IFERROR(__xludf.DUMMYFUNCTION("""COMPUTED_VALUE"""),43.6876478202894)</f>
        <v>43.68764782</v>
      </c>
      <c r="P1593" s="20">
        <f>IFERROR(__xludf.DUMMYFUNCTION("""COMPUTED_VALUE"""),44886.0)</f>
        <v>44886</v>
      </c>
      <c r="Q1593" s="20">
        <f>IFERROR(__xludf.DUMMYFUNCTION("""COMPUTED_VALUE"""),102743.0)</f>
        <v>102743</v>
      </c>
    </row>
    <row r="1594">
      <c r="A1594" s="20">
        <f>IFERROR(__xludf.DUMMYFUNCTION("""COMPUTED_VALUE"""),1715.0)</f>
        <v>1715</v>
      </c>
      <c r="B1594" s="20" t="str">
        <f>IFERROR(__xludf.DUMMYFUNCTION("""COMPUTED_VALUE"""),"Split a String Into the Max Number of Unique Substrings")</f>
        <v>Split a String Into the Max Number of Unique Substrings</v>
      </c>
      <c r="C1594" s="20" t="str">
        <f>IFERROR(__xludf.DUMMYFUNCTION("""COMPUTED_VALUE"""),"split-a-string-into-the-max-number-of-unique-substrings")</f>
        <v>split-a-string-into-the-max-number-of-unique-substrings</v>
      </c>
      <c r="D1594" s="20" t="b">
        <f>IFERROR(__xludf.DUMMYFUNCTION("""COMPUTED_VALUE"""),FALSE)</f>
        <v>0</v>
      </c>
      <c r="E1594" s="20" t="str">
        <f>IFERROR(__xludf.DUMMYFUNCTION("""COMPUTED_VALUE"""),"Medium")</f>
        <v>Medium</v>
      </c>
      <c r="F1594" s="20">
        <f>IFERROR(__xludf.DUMMYFUNCTION("""COMPUTED_VALUE"""),671.0)</f>
        <v>671</v>
      </c>
      <c r="G1594" s="20">
        <f>IFERROR(__xludf.DUMMYFUNCTION("""COMPUTED_VALUE"""),26.0)</f>
        <v>26</v>
      </c>
      <c r="H1594" s="20" t="str">
        <f>IFERROR(__xludf.DUMMYFUNCTION("""COMPUTED_VALUE"""),"Algorithms")</f>
        <v>Algorithms</v>
      </c>
      <c r="I1594" s="20">
        <f>IFERROR(__xludf.DUMMYFUNCTION("""COMPUTED_VALUE"""),0.55)</f>
        <v>0.55</v>
      </c>
      <c r="J1594" s="20">
        <f>IFERROR(__xludf.DUMMYFUNCTION("""COMPUTED_VALUE"""),1593.0)</f>
        <v>1593</v>
      </c>
      <c r="K1594" s="20" t="b">
        <f>IFERROR(__xludf.DUMMYFUNCTION("""COMPUTED_VALUE"""),FALSE)</f>
        <v>0</v>
      </c>
      <c r="L1594" s="20" t="str">
        <f>IFERROR(__xludf.DUMMYFUNCTION("""COMPUTED_VALUE"""),"Hash Table;String;Backtracking;")</f>
        <v>Hash Table;String;Backtracking;</v>
      </c>
      <c r="M1594" s="20" t="b">
        <f>IFERROR(__xludf.DUMMYFUNCTION("""COMPUTED_VALUE"""),FALSE)</f>
        <v>0</v>
      </c>
      <c r="N1594" s="20" t="b">
        <f>IFERROR(__xludf.DUMMYFUNCTION("""COMPUTED_VALUE"""),FALSE)</f>
        <v>0</v>
      </c>
      <c r="O1594" s="20">
        <f>IFERROR(__xludf.DUMMYFUNCTION("""COMPUTED_VALUE"""),55.0304495586524)</f>
        <v>55.03044956</v>
      </c>
      <c r="P1594" s="20">
        <f>IFERROR(__xludf.DUMMYFUNCTION("""COMPUTED_VALUE"""),24127.0)</f>
        <v>24127</v>
      </c>
      <c r="Q1594" s="20">
        <f>IFERROR(__xludf.DUMMYFUNCTION("""COMPUTED_VALUE"""),43843.0)</f>
        <v>43843</v>
      </c>
    </row>
    <row r="1595">
      <c r="A1595" s="20">
        <f>IFERROR(__xludf.DUMMYFUNCTION("""COMPUTED_VALUE"""),1716.0)</f>
        <v>1716</v>
      </c>
      <c r="B1595" s="20" t="str">
        <f>IFERROR(__xludf.DUMMYFUNCTION("""COMPUTED_VALUE"""),"Maximum Non Negative Product in a Matrix")</f>
        <v>Maximum Non Negative Product in a Matrix</v>
      </c>
      <c r="C1595" s="20" t="str">
        <f>IFERROR(__xludf.DUMMYFUNCTION("""COMPUTED_VALUE"""),"maximum-non-negative-product-in-a-matrix")</f>
        <v>maximum-non-negative-product-in-a-matrix</v>
      </c>
      <c r="D1595" s="20" t="b">
        <f>IFERROR(__xludf.DUMMYFUNCTION("""COMPUTED_VALUE"""),FALSE)</f>
        <v>0</v>
      </c>
      <c r="E1595" s="20" t="str">
        <f>IFERROR(__xludf.DUMMYFUNCTION("""COMPUTED_VALUE"""),"Medium")</f>
        <v>Medium</v>
      </c>
      <c r="F1595" s="20">
        <f>IFERROR(__xludf.DUMMYFUNCTION("""COMPUTED_VALUE"""),668.0)</f>
        <v>668</v>
      </c>
      <c r="G1595" s="20">
        <f>IFERROR(__xludf.DUMMYFUNCTION("""COMPUTED_VALUE"""),32.0)</f>
        <v>32</v>
      </c>
      <c r="H1595" s="20" t="str">
        <f>IFERROR(__xludf.DUMMYFUNCTION("""COMPUTED_VALUE"""),"Algorithms")</f>
        <v>Algorithms</v>
      </c>
      <c r="I1595" s="20">
        <f>IFERROR(__xludf.DUMMYFUNCTION("""COMPUTED_VALUE"""),0.331)</f>
        <v>0.331</v>
      </c>
      <c r="J1595" s="20">
        <f>IFERROR(__xludf.DUMMYFUNCTION("""COMPUTED_VALUE"""),1594.0)</f>
        <v>1594</v>
      </c>
      <c r="K1595" s="20" t="b">
        <f>IFERROR(__xludf.DUMMYFUNCTION("""COMPUTED_VALUE"""),FALSE)</f>
        <v>0</v>
      </c>
      <c r="L1595" s="20" t="str">
        <f>IFERROR(__xludf.DUMMYFUNCTION("""COMPUTED_VALUE"""),"Array;Dynamic Programming;Matrix;")</f>
        <v>Array;Dynamic Programming;Matrix;</v>
      </c>
      <c r="M1595" s="20" t="b">
        <f>IFERROR(__xludf.DUMMYFUNCTION("""COMPUTED_VALUE"""),FALSE)</f>
        <v>0</v>
      </c>
      <c r="N1595" s="20" t="b">
        <f>IFERROR(__xludf.DUMMYFUNCTION("""COMPUTED_VALUE"""),FALSE)</f>
        <v>0</v>
      </c>
      <c r="O1595" s="20">
        <f>IFERROR(__xludf.DUMMYFUNCTION("""COMPUTED_VALUE"""),33.097389982262)</f>
        <v>33.09738998</v>
      </c>
      <c r="P1595" s="20">
        <f>IFERROR(__xludf.DUMMYFUNCTION("""COMPUTED_VALUE"""),19592.0)</f>
        <v>19592</v>
      </c>
      <c r="Q1595" s="20">
        <f>IFERROR(__xludf.DUMMYFUNCTION("""COMPUTED_VALUE"""),59195.0)</f>
        <v>59195</v>
      </c>
    </row>
    <row r="1596">
      <c r="A1596" s="20">
        <f>IFERROR(__xludf.DUMMYFUNCTION("""COMPUTED_VALUE"""),1717.0)</f>
        <v>1717</v>
      </c>
      <c r="B1596" s="20" t="str">
        <f>IFERROR(__xludf.DUMMYFUNCTION("""COMPUTED_VALUE"""),"Minimum Cost to Connect Two Groups of Points")</f>
        <v>Minimum Cost to Connect Two Groups of Points</v>
      </c>
      <c r="C1596" s="20" t="str">
        <f>IFERROR(__xludf.DUMMYFUNCTION("""COMPUTED_VALUE"""),"minimum-cost-to-connect-two-groups-of-points")</f>
        <v>minimum-cost-to-connect-two-groups-of-points</v>
      </c>
      <c r="D1596" s="20" t="b">
        <f>IFERROR(__xludf.DUMMYFUNCTION("""COMPUTED_VALUE"""),FALSE)</f>
        <v>0</v>
      </c>
      <c r="E1596" s="20" t="str">
        <f>IFERROR(__xludf.DUMMYFUNCTION("""COMPUTED_VALUE"""),"Hard")</f>
        <v>Hard</v>
      </c>
      <c r="F1596" s="20">
        <f>IFERROR(__xludf.DUMMYFUNCTION("""COMPUTED_VALUE"""),380.0)</f>
        <v>380</v>
      </c>
      <c r="G1596" s="20">
        <f>IFERROR(__xludf.DUMMYFUNCTION("""COMPUTED_VALUE"""),13.0)</f>
        <v>13</v>
      </c>
      <c r="H1596" s="20" t="str">
        <f>IFERROR(__xludf.DUMMYFUNCTION("""COMPUTED_VALUE"""),"Algorithms")</f>
        <v>Algorithms</v>
      </c>
      <c r="I1596" s="20">
        <f>IFERROR(__xludf.DUMMYFUNCTION("""COMPUTED_VALUE"""),0.464)</f>
        <v>0.464</v>
      </c>
      <c r="J1596" s="20">
        <f>IFERROR(__xludf.DUMMYFUNCTION("""COMPUTED_VALUE"""),1595.0)</f>
        <v>1595</v>
      </c>
      <c r="K1596" s="20" t="b">
        <f>IFERROR(__xludf.DUMMYFUNCTION("""COMPUTED_VALUE"""),FALSE)</f>
        <v>0</v>
      </c>
      <c r="L1596" s="20" t="str">
        <f>IFERROR(__xludf.DUMMYFUNCTION("""COMPUTED_VALUE"""),"Array;Dynamic Programming;Bit Manipulation;Matrix;Bitmask;")</f>
        <v>Array;Dynamic Programming;Bit Manipulation;Matrix;Bitmask;</v>
      </c>
      <c r="M1596" s="20" t="b">
        <f>IFERROR(__xludf.DUMMYFUNCTION("""COMPUTED_VALUE"""),FALSE)</f>
        <v>0</v>
      </c>
      <c r="N1596" s="20" t="b">
        <f>IFERROR(__xludf.DUMMYFUNCTION("""COMPUTED_VALUE"""),FALSE)</f>
        <v>0</v>
      </c>
      <c r="O1596" s="20">
        <f>IFERROR(__xludf.DUMMYFUNCTION("""COMPUTED_VALUE"""),46.4429618865182)</f>
        <v>46.44296189</v>
      </c>
      <c r="P1596" s="20">
        <f>IFERROR(__xludf.DUMMYFUNCTION("""COMPUTED_VALUE"""),7031.0)</f>
        <v>7031</v>
      </c>
      <c r="Q1596" s="20">
        <f>IFERROR(__xludf.DUMMYFUNCTION("""COMPUTED_VALUE"""),15139.0)</f>
        <v>15139</v>
      </c>
    </row>
    <row r="1597">
      <c r="A1597" s="20">
        <f>IFERROR(__xludf.DUMMYFUNCTION("""COMPUTED_VALUE"""),1735.0)</f>
        <v>1735</v>
      </c>
      <c r="B1597" s="20" t="str">
        <f>IFERROR(__xludf.DUMMYFUNCTION("""COMPUTED_VALUE"""),"The Most Frequently Ordered Products for Each Customer")</f>
        <v>The Most Frequently Ordered Products for Each Customer</v>
      </c>
      <c r="C1597" s="20" t="str">
        <f>IFERROR(__xludf.DUMMYFUNCTION("""COMPUTED_VALUE"""),"the-most-frequently-ordered-products-for-each-customer")</f>
        <v>the-most-frequently-ordered-products-for-each-customer</v>
      </c>
      <c r="D1597" s="20" t="b">
        <f>IFERROR(__xludf.DUMMYFUNCTION("""COMPUTED_VALUE"""),TRUE)</f>
        <v>1</v>
      </c>
      <c r="E1597" s="20" t="str">
        <f>IFERROR(__xludf.DUMMYFUNCTION("""COMPUTED_VALUE"""),"Medium")</f>
        <v>Medium</v>
      </c>
      <c r="F1597" s="20">
        <f>IFERROR(__xludf.DUMMYFUNCTION("""COMPUTED_VALUE"""),195.0)</f>
        <v>195</v>
      </c>
      <c r="G1597" s="20">
        <f>IFERROR(__xludf.DUMMYFUNCTION("""COMPUTED_VALUE"""),16.0)</f>
        <v>16</v>
      </c>
      <c r="H1597" s="20" t="str">
        <f>IFERROR(__xludf.DUMMYFUNCTION("""COMPUTED_VALUE"""),"Database")</f>
        <v>Database</v>
      </c>
      <c r="I1597" s="20">
        <f>IFERROR(__xludf.DUMMYFUNCTION("""COMPUTED_VALUE"""),0.85)</f>
        <v>0.85</v>
      </c>
      <c r="J1597" s="20">
        <f>IFERROR(__xludf.DUMMYFUNCTION("""COMPUTED_VALUE"""),1596.0)</f>
        <v>1596</v>
      </c>
      <c r="K1597" s="20" t="b">
        <f>IFERROR(__xludf.DUMMYFUNCTION("""COMPUTED_VALUE"""),TRUE)</f>
        <v>1</v>
      </c>
      <c r="L1597" s="20" t="str">
        <f>IFERROR(__xludf.DUMMYFUNCTION("""COMPUTED_VALUE"""),"Database;")</f>
        <v>Database;</v>
      </c>
      <c r="M1597" s="20" t="b">
        <f>IFERROR(__xludf.DUMMYFUNCTION("""COMPUTED_VALUE"""),FALSE)</f>
        <v>0</v>
      </c>
      <c r="N1597" s="20" t="b">
        <f>IFERROR(__xludf.DUMMYFUNCTION("""COMPUTED_VALUE"""),FALSE)</f>
        <v>0</v>
      </c>
      <c r="O1597" s="20">
        <f>IFERROR(__xludf.DUMMYFUNCTION("""COMPUTED_VALUE"""),84.9566760622194)</f>
        <v>84.95667606</v>
      </c>
      <c r="P1597" s="20">
        <f>IFERROR(__xludf.DUMMYFUNCTION("""COMPUTED_VALUE"""),24414.0)</f>
        <v>24414</v>
      </c>
      <c r="Q1597" s="20">
        <f>IFERROR(__xludf.DUMMYFUNCTION("""COMPUTED_VALUE"""),28737.0)</f>
        <v>28737</v>
      </c>
    </row>
    <row r="1598">
      <c r="A1598" s="20">
        <f>IFERROR(__xludf.DUMMYFUNCTION("""COMPUTED_VALUE"""),1736.0)</f>
        <v>1736</v>
      </c>
      <c r="B1598" s="20" t="str">
        <f>IFERROR(__xludf.DUMMYFUNCTION("""COMPUTED_VALUE"""),"Build Binary Expression Tree From Infix Expression")</f>
        <v>Build Binary Expression Tree From Infix Expression</v>
      </c>
      <c r="C1598" s="20" t="str">
        <f>IFERROR(__xludf.DUMMYFUNCTION("""COMPUTED_VALUE"""),"build-binary-expression-tree-from-infix-expression")</f>
        <v>build-binary-expression-tree-from-infix-expression</v>
      </c>
      <c r="D1598" s="20" t="b">
        <f>IFERROR(__xludf.DUMMYFUNCTION("""COMPUTED_VALUE"""),TRUE)</f>
        <v>1</v>
      </c>
      <c r="E1598" s="20" t="str">
        <f>IFERROR(__xludf.DUMMYFUNCTION("""COMPUTED_VALUE"""),"Hard")</f>
        <v>Hard</v>
      </c>
      <c r="F1598" s="20">
        <f>IFERROR(__xludf.DUMMYFUNCTION("""COMPUTED_VALUE"""),243.0)</f>
        <v>243</v>
      </c>
      <c r="G1598" s="20">
        <f>IFERROR(__xludf.DUMMYFUNCTION("""COMPUTED_VALUE"""),44.0)</f>
        <v>44</v>
      </c>
      <c r="H1598" s="20" t="str">
        <f>IFERROR(__xludf.DUMMYFUNCTION("""COMPUTED_VALUE"""),"Algorithms")</f>
        <v>Algorithms</v>
      </c>
      <c r="I1598" s="20">
        <f>IFERROR(__xludf.DUMMYFUNCTION("""COMPUTED_VALUE"""),0.625)</f>
        <v>0.625</v>
      </c>
      <c r="J1598" s="20">
        <f>IFERROR(__xludf.DUMMYFUNCTION("""COMPUTED_VALUE"""),1597.0)</f>
        <v>1597</v>
      </c>
      <c r="K1598" s="20" t="b">
        <f>IFERROR(__xludf.DUMMYFUNCTION("""COMPUTED_VALUE"""),TRUE)</f>
        <v>1</v>
      </c>
      <c r="L1598" s="20" t="str">
        <f>IFERROR(__xludf.DUMMYFUNCTION("""COMPUTED_VALUE"""),"String;Stack;Tree;Binary Tree;")</f>
        <v>String;Stack;Tree;Binary Tree;</v>
      </c>
      <c r="M1598" s="20" t="b">
        <f>IFERROR(__xludf.DUMMYFUNCTION("""COMPUTED_VALUE"""),FALSE)</f>
        <v>0</v>
      </c>
      <c r="N1598" s="20" t="b">
        <f>IFERROR(__xludf.DUMMYFUNCTION("""COMPUTED_VALUE"""),FALSE)</f>
        <v>0</v>
      </c>
      <c r="O1598" s="20">
        <f>IFERROR(__xludf.DUMMYFUNCTION("""COMPUTED_VALUE"""),62.4573748308525)</f>
        <v>62.45737483</v>
      </c>
      <c r="P1598" s="20">
        <f>IFERROR(__xludf.DUMMYFUNCTION("""COMPUTED_VALUE"""),11539.0)</f>
        <v>11539</v>
      </c>
      <c r="Q1598" s="20">
        <f>IFERROR(__xludf.DUMMYFUNCTION("""COMPUTED_VALUE"""),18475.0)</f>
        <v>18475</v>
      </c>
    </row>
    <row r="1599">
      <c r="A1599" s="20">
        <f>IFERROR(__xludf.DUMMYFUNCTION("""COMPUTED_VALUE"""),1720.0)</f>
        <v>1720</v>
      </c>
      <c r="B1599" s="20" t="str">
        <f>IFERROR(__xludf.DUMMYFUNCTION("""COMPUTED_VALUE"""),"Crawler Log Folder")</f>
        <v>Crawler Log Folder</v>
      </c>
      <c r="C1599" s="20" t="str">
        <f>IFERROR(__xludf.DUMMYFUNCTION("""COMPUTED_VALUE"""),"crawler-log-folder")</f>
        <v>crawler-log-folder</v>
      </c>
      <c r="D1599" s="20" t="b">
        <f>IFERROR(__xludf.DUMMYFUNCTION("""COMPUTED_VALUE"""),FALSE)</f>
        <v>0</v>
      </c>
      <c r="E1599" s="20" t="str">
        <f>IFERROR(__xludf.DUMMYFUNCTION("""COMPUTED_VALUE"""),"Easy")</f>
        <v>Easy</v>
      </c>
      <c r="F1599" s="20">
        <f>IFERROR(__xludf.DUMMYFUNCTION("""COMPUTED_VALUE"""),686.0)</f>
        <v>686</v>
      </c>
      <c r="G1599" s="20">
        <f>IFERROR(__xludf.DUMMYFUNCTION("""COMPUTED_VALUE"""),50.0)</f>
        <v>50</v>
      </c>
      <c r="H1599" s="20" t="str">
        <f>IFERROR(__xludf.DUMMYFUNCTION("""COMPUTED_VALUE"""),"Algorithms")</f>
        <v>Algorithms</v>
      </c>
      <c r="I1599" s="20">
        <f>IFERROR(__xludf.DUMMYFUNCTION("""COMPUTED_VALUE"""),0.644)</f>
        <v>0.644</v>
      </c>
      <c r="J1599" s="20">
        <f>IFERROR(__xludf.DUMMYFUNCTION("""COMPUTED_VALUE"""),1598.0)</f>
        <v>1598</v>
      </c>
      <c r="K1599" s="20" t="b">
        <f>IFERROR(__xludf.DUMMYFUNCTION("""COMPUTED_VALUE"""),FALSE)</f>
        <v>0</v>
      </c>
      <c r="L1599" s="20" t="str">
        <f>IFERROR(__xludf.DUMMYFUNCTION("""COMPUTED_VALUE"""),"Array;String;Stack;")</f>
        <v>Array;String;Stack;</v>
      </c>
      <c r="M1599" s="20" t="b">
        <f>IFERROR(__xludf.DUMMYFUNCTION("""COMPUTED_VALUE"""),FALSE)</f>
        <v>0</v>
      </c>
      <c r="N1599" s="20" t="b">
        <f>IFERROR(__xludf.DUMMYFUNCTION("""COMPUTED_VALUE"""),FALSE)</f>
        <v>0</v>
      </c>
      <c r="O1599" s="20">
        <f>IFERROR(__xludf.DUMMYFUNCTION("""COMPUTED_VALUE"""),64.4379464869426)</f>
        <v>64.43794649</v>
      </c>
      <c r="P1599" s="20">
        <f>IFERROR(__xludf.DUMMYFUNCTION("""COMPUTED_VALUE"""),54211.0)</f>
        <v>54211</v>
      </c>
      <c r="Q1599" s="20">
        <f>IFERROR(__xludf.DUMMYFUNCTION("""COMPUTED_VALUE"""),84129.0)</f>
        <v>84129</v>
      </c>
    </row>
    <row r="1600">
      <c r="A1600" s="20">
        <f>IFERROR(__xludf.DUMMYFUNCTION("""COMPUTED_VALUE"""),1721.0)</f>
        <v>1721</v>
      </c>
      <c r="B1600" s="20" t="str">
        <f>IFERROR(__xludf.DUMMYFUNCTION("""COMPUTED_VALUE"""),"Maximum Profit of Operating a Centennial Wheel")</f>
        <v>Maximum Profit of Operating a Centennial Wheel</v>
      </c>
      <c r="C1600" s="20" t="str">
        <f>IFERROR(__xludf.DUMMYFUNCTION("""COMPUTED_VALUE"""),"maximum-profit-of-operating-a-centennial-wheel")</f>
        <v>maximum-profit-of-operating-a-centennial-wheel</v>
      </c>
      <c r="D1600" s="20" t="b">
        <f>IFERROR(__xludf.DUMMYFUNCTION("""COMPUTED_VALUE"""),FALSE)</f>
        <v>0</v>
      </c>
      <c r="E1600" s="20" t="str">
        <f>IFERROR(__xludf.DUMMYFUNCTION("""COMPUTED_VALUE"""),"Medium")</f>
        <v>Medium</v>
      </c>
      <c r="F1600" s="20">
        <f>IFERROR(__xludf.DUMMYFUNCTION("""COMPUTED_VALUE"""),85.0)</f>
        <v>85</v>
      </c>
      <c r="G1600" s="20">
        <f>IFERROR(__xludf.DUMMYFUNCTION("""COMPUTED_VALUE"""),223.0)</f>
        <v>223</v>
      </c>
      <c r="H1600" s="20" t="str">
        <f>IFERROR(__xludf.DUMMYFUNCTION("""COMPUTED_VALUE"""),"Algorithms")</f>
        <v>Algorithms</v>
      </c>
      <c r="I1600" s="20">
        <f>IFERROR(__xludf.DUMMYFUNCTION("""COMPUTED_VALUE"""),0.436)</f>
        <v>0.436</v>
      </c>
      <c r="J1600" s="20">
        <f>IFERROR(__xludf.DUMMYFUNCTION("""COMPUTED_VALUE"""),1599.0)</f>
        <v>1599</v>
      </c>
      <c r="K1600" s="20" t="b">
        <f>IFERROR(__xludf.DUMMYFUNCTION("""COMPUTED_VALUE"""),FALSE)</f>
        <v>0</v>
      </c>
      <c r="L1600" s="20" t="str">
        <f>IFERROR(__xludf.DUMMYFUNCTION("""COMPUTED_VALUE"""),"Array;Simulation;")</f>
        <v>Array;Simulation;</v>
      </c>
      <c r="M1600" s="20" t="b">
        <f>IFERROR(__xludf.DUMMYFUNCTION("""COMPUTED_VALUE"""),FALSE)</f>
        <v>0</v>
      </c>
      <c r="N1600" s="20" t="b">
        <f>IFERROR(__xludf.DUMMYFUNCTION("""COMPUTED_VALUE"""),FALSE)</f>
        <v>0</v>
      </c>
      <c r="O1600" s="20">
        <f>IFERROR(__xludf.DUMMYFUNCTION("""COMPUTED_VALUE"""),43.5761369760789)</f>
        <v>43.57613698</v>
      </c>
      <c r="P1600" s="20">
        <f>IFERROR(__xludf.DUMMYFUNCTION("""COMPUTED_VALUE"""),10511.0)</f>
        <v>10511</v>
      </c>
      <c r="Q1600" s="20">
        <f>IFERROR(__xludf.DUMMYFUNCTION("""COMPUTED_VALUE"""),24121.0)</f>
        <v>24121</v>
      </c>
    </row>
    <row r="1601">
      <c r="A1601" s="20">
        <f>IFERROR(__xludf.DUMMYFUNCTION("""COMPUTED_VALUE"""),1722.0)</f>
        <v>1722</v>
      </c>
      <c r="B1601" s="20" t="str">
        <f>IFERROR(__xludf.DUMMYFUNCTION("""COMPUTED_VALUE"""),"Throne Inheritance")</f>
        <v>Throne Inheritance</v>
      </c>
      <c r="C1601" s="20" t="str">
        <f>IFERROR(__xludf.DUMMYFUNCTION("""COMPUTED_VALUE"""),"throne-inheritance")</f>
        <v>throne-inheritance</v>
      </c>
      <c r="D1601" s="20" t="b">
        <f>IFERROR(__xludf.DUMMYFUNCTION("""COMPUTED_VALUE"""),FALSE)</f>
        <v>0</v>
      </c>
      <c r="E1601" s="20" t="str">
        <f>IFERROR(__xludf.DUMMYFUNCTION("""COMPUTED_VALUE"""),"Medium")</f>
        <v>Medium</v>
      </c>
      <c r="F1601" s="20">
        <f>IFERROR(__xludf.DUMMYFUNCTION("""COMPUTED_VALUE"""),218.0)</f>
        <v>218</v>
      </c>
      <c r="G1601" s="20">
        <f>IFERROR(__xludf.DUMMYFUNCTION("""COMPUTED_VALUE"""),268.0)</f>
        <v>268</v>
      </c>
      <c r="H1601" s="20" t="str">
        <f>IFERROR(__xludf.DUMMYFUNCTION("""COMPUTED_VALUE"""),"Algorithms")</f>
        <v>Algorithms</v>
      </c>
      <c r="I1601" s="20">
        <f>IFERROR(__xludf.DUMMYFUNCTION("""COMPUTED_VALUE"""),0.637)</f>
        <v>0.637</v>
      </c>
      <c r="J1601" s="20">
        <f>IFERROR(__xludf.DUMMYFUNCTION("""COMPUTED_VALUE"""),1600.0)</f>
        <v>1600</v>
      </c>
      <c r="K1601" s="20" t="b">
        <f>IFERROR(__xludf.DUMMYFUNCTION("""COMPUTED_VALUE"""),FALSE)</f>
        <v>0</v>
      </c>
      <c r="L1601" s="20" t="str">
        <f>IFERROR(__xludf.DUMMYFUNCTION("""COMPUTED_VALUE"""),"Hash Table;Tree;Depth-First Search;Design;")</f>
        <v>Hash Table;Tree;Depth-First Search;Design;</v>
      </c>
      <c r="M1601" s="20" t="b">
        <f>IFERROR(__xludf.DUMMYFUNCTION("""COMPUTED_VALUE"""),FALSE)</f>
        <v>0</v>
      </c>
      <c r="N1601" s="20" t="b">
        <f>IFERROR(__xludf.DUMMYFUNCTION("""COMPUTED_VALUE"""),FALSE)</f>
        <v>0</v>
      </c>
      <c r="O1601" s="20">
        <f>IFERROR(__xludf.DUMMYFUNCTION("""COMPUTED_VALUE"""),63.7102201711373)</f>
        <v>63.71022017</v>
      </c>
      <c r="P1601" s="20">
        <f>IFERROR(__xludf.DUMMYFUNCTION("""COMPUTED_VALUE"""),13253.0)</f>
        <v>13253</v>
      </c>
      <c r="Q1601" s="20">
        <f>IFERROR(__xludf.DUMMYFUNCTION("""COMPUTED_VALUE"""),20802.0)</f>
        <v>20802</v>
      </c>
    </row>
    <row r="1602">
      <c r="A1602" s="20">
        <f>IFERROR(__xludf.DUMMYFUNCTION("""COMPUTED_VALUE"""),1723.0)</f>
        <v>1723</v>
      </c>
      <c r="B1602" s="20" t="str">
        <f>IFERROR(__xludf.DUMMYFUNCTION("""COMPUTED_VALUE"""),"Maximum Number of Achievable Transfer Requests")</f>
        <v>Maximum Number of Achievable Transfer Requests</v>
      </c>
      <c r="C1602" s="20" t="str">
        <f>IFERROR(__xludf.DUMMYFUNCTION("""COMPUTED_VALUE"""),"maximum-number-of-achievable-transfer-requests")</f>
        <v>maximum-number-of-achievable-transfer-requests</v>
      </c>
      <c r="D1602" s="20" t="b">
        <f>IFERROR(__xludf.DUMMYFUNCTION("""COMPUTED_VALUE"""),FALSE)</f>
        <v>0</v>
      </c>
      <c r="E1602" s="20" t="str">
        <f>IFERROR(__xludf.DUMMYFUNCTION("""COMPUTED_VALUE"""),"Hard")</f>
        <v>Hard</v>
      </c>
      <c r="F1602" s="20">
        <f>IFERROR(__xludf.DUMMYFUNCTION("""COMPUTED_VALUE"""),262.0)</f>
        <v>262</v>
      </c>
      <c r="G1602" s="20">
        <f>IFERROR(__xludf.DUMMYFUNCTION("""COMPUTED_VALUE"""),28.0)</f>
        <v>28</v>
      </c>
      <c r="H1602" s="20" t="str">
        <f>IFERROR(__xludf.DUMMYFUNCTION("""COMPUTED_VALUE"""),"Algorithms")</f>
        <v>Algorithms</v>
      </c>
      <c r="I1602" s="20">
        <f>IFERROR(__xludf.DUMMYFUNCTION("""COMPUTED_VALUE"""),0.512)</f>
        <v>0.512</v>
      </c>
      <c r="J1602" s="20">
        <f>IFERROR(__xludf.DUMMYFUNCTION("""COMPUTED_VALUE"""),1601.0)</f>
        <v>1601</v>
      </c>
      <c r="K1602" s="20" t="b">
        <f>IFERROR(__xludf.DUMMYFUNCTION("""COMPUTED_VALUE"""),FALSE)</f>
        <v>0</v>
      </c>
      <c r="L1602" s="20" t="str">
        <f>IFERROR(__xludf.DUMMYFUNCTION("""COMPUTED_VALUE"""),"Array;Backtracking;Bit Manipulation;Enumeration;")</f>
        <v>Array;Backtracking;Bit Manipulation;Enumeration;</v>
      </c>
      <c r="M1602" s="20" t="b">
        <f>IFERROR(__xludf.DUMMYFUNCTION("""COMPUTED_VALUE"""),FALSE)</f>
        <v>0</v>
      </c>
      <c r="N1602" s="20" t="b">
        <f>IFERROR(__xludf.DUMMYFUNCTION("""COMPUTED_VALUE"""),FALSE)</f>
        <v>0</v>
      </c>
      <c r="O1602" s="20">
        <f>IFERROR(__xludf.DUMMYFUNCTION("""COMPUTED_VALUE"""),51.161995898838)</f>
        <v>51.1619959</v>
      </c>
      <c r="P1602" s="20">
        <f>IFERROR(__xludf.DUMMYFUNCTION("""COMPUTED_VALUE"""),8982.0)</f>
        <v>8982</v>
      </c>
      <c r="Q1602" s="20">
        <f>IFERROR(__xludf.DUMMYFUNCTION("""COMPUTED_VALUE"""),17556.0)</f>
        <v>17556</v>
      </c>
    </row>
    <row r="1603">
      <c r="A1603" s="20">
        <f>IFERROR(__xludf.DUMMYFUNCTION("""COMPUTED_VALUE"""),1745.0)</f>
        <v>1745</v>
      </c>
      <c r="B1603" s="20" t="str">
        <f>IFERROR(__xludf.DUMMYFUNCTION("""COMPUTED_VALUE"""),"Find Nearest Right Node in Binary Tree")</f>
        <v>Find Nearest Right Node in Binary Tree</v>
      </c>
      <c r="C1603" s="20" t="str">
        <f>IFERROR(__xludf.DUMMYFUNCTION("""COMPUTED_VALUE"""),"find-nearest-right-node-in-binary-tree")</f>
        <v>find-nearest-right-node-in-binary-tree</v>
      </c>
      <c r="D1603" s="20" t="b">
        <f>IFERROR(__xludf.DUMMYFUNCTION("""COMPUTED_VALUE"""),TRUE)</f>
        <v>1</v>
      </c>
      <c r="E1603" s="20" t="str">
        <f>IFERROR(__xludf.DUMMYFUNCTION("""COMPUTED_VALUE"""),"Medium")</f>
        <v>Medium</v>
      </c>
      <c r="F1603" s="20">
        <f>IFERROR(__xludf.DUMMYFUNCTION("""COMPUTED_VALUE"""),290.0)</f>
        <v>290</v>
      </c>
      <c r="G1603" s="20">
        <f>IFERROR(__xludf.DUMMYFUNCTION("""COMPUTED_VALUE"""),9.0)</f>
        <v>9</v>
      </c>
      <c r="H1603" s="20" t="str">
        <f>IFERROR(__xludf.DUMMYFUNCTION("""COMPUTED_VALUE"""),"Algorithms")</f>
        <v>Algorithms</v>
      </c>
      <c r="I1603" s="20">
        <f>IFERROR(__xludf.DUMMYFUNCTION("""COMPUTED_VALUE"""),0.754)</f>
        <v>0.754</v>
      </c>
      <c r="J1603" s="20">
        <f>IFERROR(__xludf.DUMMYFUNCTION("""COMPUTED_VALUE"""),1602.0)</f>
        <v>1602</v>
      </c>
      <c r="K1603" s="20" t="b">
        <f>IFERROR(__xludf.DUMMYFUNCTION("""COMPUTED_VALUE"""),TRUE)</f>
        <v>1</v>
      </c>
      <c r="L1603" s="20" t="str">
        <f>IFERROR(__xludf.DUMMYFUNCTION("""COMPUTED_VALUE"""),"Tree;Breadth-First Search;Binary Tree;")</f>
        <v>Tree;Breadth-First Search;Binary Tree;</v>
      </c>
      <c r="M1603" s="20" t="b">
        <f>IFERROR(__xludf.DUMMYFUNCTION("""COMPUTED_VALUE"""),TRUE)</f>
        <v>1</v>
      </c>
      <c r="N1603" s="20" t="b">
        <f>IFERROR(__xludf.DUMMYFUNCTION("""COMPUTED_VALUE"""),TRUE)</f>
        <v>1</v>
      </c>
      <c r="O1603" s="20">
        <f>IFERROR(__xludf.DUMMYFUNCTION("""COMPUTED_VALUE"""),75.4381443298969)</f>
        <v>75.43814433</v>
      </c>
      <c r="P1603" s="20">
        <f>IFERROR(__xludf.DUMMYFUNCTION("""COMPUTED_VALUE"""),20489.0)</f>
        <v>20489</v>
      </c>
      <c r="Q1603" s="20">
        <f>IFERROR(__xludf.DUMMYFUNCTION("""COMPUTED_VALUE"""),27160.0)</f>
        <v>27160</v>
      </c>
    </row>
    <row r="1604">
      <c r="A1604" s="20">
        <f>IFERROR(__xludf.DUMMYFUNCTION("""COMPUTED_VALUE"""),1708.0)</f>
        <v>1708</v>
      </c>
      <c r="B1604" s="20" t="str">
        <f>IFERROR(__xludf.DUMMYFUNCTION("""COMPUTED_VALUE"""),"Design Parking System")</f>
        <v>Design Parking System</v>
      </c>
      <c r="C1604" s="20" t="str">
        <f>IFERROR(__xludf.DUMMYFUNCTION("""COMPUTED_VALUE"""),"design-parking-system")</f>
        <v>design-parking-system</v>
      </c>
      <c r="D1604" s="20" t="b">
        <f>IFERROR(__xludf.DUMMYFUNCTION("""COMPUTED_VALUE"""),FALSE)</f>
        <v>0</v>
      </c>
      <c r="E1604" s="20" t="str">
        <f>IFERROR(__xludf.DUMMYFUNCTION("""COMPUTED_VALUE"""),"Easy")</f>
        <v>Easy</v>
      </c>
      <c r="F1604" s="20">
        <f>IFERROR(__xludf.DUMMYFUNCTION("""COMPUTED_VALUE"""),932.0)</f>
        <v>932</v>
      </c>
      <c r="G1604" s="20">
        <f>IFERROR(__xludf.DUMMYFUNCTION("""COMPUTED_VALUE"""),349.0)</f>
        <v>349</v>
      </c>
      <c r="H1604" s="20" t="str">
        <f>IFERROR(__xludf.DUMMYFUNCTION("""COMPUTED_VALUE"""),"Algorithms")</f>
        <v>Algorithms</v>
      </c>
      <c r="I1604" s="20">
        <f>IFERROR(__xludf.DUMMYFUNCTION("""COMPUTED_VALUE"""),0.88)</f>
        <v>0.88</v>
      </c>
      <c r="J1604" s="20">
        <f>IFERROR(__xludf.DUMMYFUNCTION("""COMPUTED_VALUE"""),1603.0)</f>
        <v>1603</v>
      </c>
      <c r="K1604" s="20" t="b">
        <f>IFERROR(__xludf.DUMMYFUNCTION("""COMPUTED_VALUE"""),FALSE)</f>
        <v>0</v>
      </c>
      <c r="L1604" s="20" t="str">
        <f>IFERROR(__xludf.DUMMYFUNCTION("""COMPUTED_VALUE"""),"Design;Simulation;Counting;")</f>
        <v>Design;Simulation;Counting;</v>
      </c>
      <c r="M1604" s="20" t="b">
        <f>IFERROR(__xludf.DUMMYFUNCTION("""COMPUTED_VALUE"""),FALSE)</f>
        <v>0</v>
      </c>
      <c r="N1604" s="20" t="b">
        <f>IFERROR(__xludf.DUMMYFUNCTION("""COMPUTED_VALUE"""),FALSE)</f>
        <v>0</v>
      </c>
      <c r="O1604" s="20">
        <f>IFERROR(__xludf.DUMMYFUNCTION("""COMPUTED_VALUE"""),87.9968268731022)</f>
        <v>87.99682687</v>
      </c>
      <c r="P1604" s="20">
        <f>IFERROR(__xludf.DUMMYFUNCTION("""COMPUTED_VALUE"""),160839.0)</f>
        <v>160839</v>
      </c>
      <c r="Q1604" s="20">
        <f>IFERROR(__xludf.DUMMYFUNCTION("""COMPUTED_VALUE"""),182779.0)</f>
        <v>182779</v>
      </c>
    </row>
    <row r="1605">
      <c r="A1605" s="20">
        <f>IFERROR(__xludf.DUMMYFUNCTION("""COMPUTED_VALUE"""),1709.0)</f>
        <v>1709</v>
      </c>
      <c r="B1605" s="20" t="str">
        <f>IFERROR(__xludf.DUMMYFUNCTION("""COMPUTED_VALUE"""),"Alert Using Same Key-Card Three or More Times in a One Hour Period")</f>
        <v>Alert Using Same Key-Card Three or More Times in a One Hour Period</v>
      </c>
      <c r="C1605" s="20" t="str">
        <f>IFERROR(__xludf.DUMMYFUNCTION("""COMPUTED_VALUE"""),"alert-using-same-key-card-three-or-more-times-in-a-one-hour-period")</f>
        <v>alert-using-same-key-card-three-or-more-times-in-a-one-hour-period</v>
      </c>
      <c r="D1605" s="20" t="b">
        <f>IFERROR(__xludf.DUMMYFUNCTION("""COMPUTED_VALUE"""),FALSE)</f>
        <v>0</v>
      </c>
      <c r="E1605" s="20" t="str">
        <f>IFERROR(__xludf.DUMMYFUNCTION("""COMPUTED_VALUE"""),"Medium")</f>
        <v>Medium</v>
      </c>
      <c r="F1605" s="20">
        <f>IFERROR(__xludf.DUMMYFUNCTION("""COMPUTED_VALUE"""),234.0)</f>
        <v>234</v>
      </c>
      <c r="G1605" s="20">
        <f>IFERROR(__xludf.DUMMYFUNCTION("""COMPUTED_VALUE"""),350.0)</f>
        <v>350</v>
      </c>
      <c r="H1605" s="20" t="str">
        <f>IFERROR(__xludf.DUMMYFUNCTION("""COMPUTED_VALUE"""),"Algorithms")</f>
        <v>Algorithms</v>
      </c>
      <c r="I1605" s="20">
        <f>IFERROR(__xludf.DUMMYFUNCTION("""COMPUTED_VALUE"""),0.471)</f>
        <v>0.471</v>
      </c>
      <c r="J1605" s="20">
        <f>IFERROR(__xludf.DUMMYFUNCTION("""COMPUTED_VALUE"""),1604.0)</f>
        <v>1604</v>
      </c>
      <c r="K1605" s="20" t="b">
        <f>IFERROR(__xludf.DUMMYFUNCTION("""COMPUTED_VALUE"""),FALSE)</f>
        <v>0</v>
      </c>
      <c r="L1605" s="20" t="str">
        <f>IFERROR(__xludf.DUMMYFUNCTION("""COMPUTED_VALUE"""),"Array;Hash Table;String;Sorting;")</f>
        <v>Array;Hash Table;String;Sorting;</v>
      </c>
      <c r="M1605" s="20" t="b">
        <f>IFERROR(__xludf.DUMMYFUNCTION("""COMPUTED_VALUE"""),FALSE)</f>
        <v>0</v>
      </c>
      <c r="N1605" s="20" t="b">
        <f>IFERROR(__xludf.DUMMYFUNCTION("""COMPUTED_VALUE"""),FALSE)</f>
        <v>0</v>
      </c>
      <c r="O1605" s="20">
        <f>IFERROR(__xludf.DUMMYFUNCTION("""COMPUTED_VALUE"""),47.1205161115989)</f>
        <v>47.12051611</v>
      </c>
      <c r="P1605" s="20">
        <f>IFERROR(__xludf.DUMMYFUNCTION("""COMPUTED_VALUE"""),27901.0)</f>
        <v>27901</v>
      </c>
      <c r="Q1605" s="20">
        <f>IFERROR(__xludf.DUMMYFUNCTION("""COMPUTED_VALUE"""),59212.0)</f>
        <v>59212</v>
      </c>
    </row>
    <row r="1606">
      <c r="A1606" s="20">
        <f>IFERROR(__xludf.DUMMYFUNCTION("""COMPUTED_VALUE"""),1711.0)</f>
        <v>1711</v>
      </c>
      <c r="B1606" s="20" t="str">
        <f>IFERROR(__xludf.DUMMYFUNCTION("""COMPUTED_VALUE"""),"Find Valid Matrix Given Row and Column Sums")</f>
        <v>Find Valid Matrix Given Row and Column Sums</v>
      </c>
      <c r="C1606" s="20" t="str">
        <f>IFERROR(__xludf.DUMMYFUNCTION("""COMPUTED_VALUE"""),"find-valid-matrix-given-row-and-column-sums")</f>
        <v>find-valid-matrix-given-row-and-column-sums</v>
      </c>
      <c r="D1606" s="20" t="b">
        <f>IFERROR(__xludf.DUMMYFUNCTION("""COMPUTED_VALUE"""),FALSE)</f>
        <v>0</v>
      </c>
      <c r="E1606" s="20" t="str">
        <f>IFERROR(__xludf.DUMMYFUNCTION("""COMPUTED_VALUE"""),"Medium")</f>
        <v>Medium</v>
      </c>
      <c r="F1606" s="20">
        <f>IFERROR(__xludf.DUMMYFUNCTION("""COMPUTED_VALUE"""),1148.0)</f>
        <v>1148</v>
      </c>
      <c r="G1606" s="20">
        <f>IFERROR(__xludf.DUMMYFUNCTION("""COMPUTED_VALUE"""),32.0)</f>
        <v>32</v>
      </c>
      <c r="H1606" s="20" t="str">
        <f>IFERROR(__xludf.DUMMYFUNCTION("""COMPUTED_VALUE"""),"Algorithms")</f>
        <v>Algorithms</v>
      </c>
      <c r="I1606" s="20">
        <f>IFERROR(__xludf.DUMMYFUNCTION("""COMPUTED_VALUE"""),0.779)</f>
        <v>0.779</v>
      </c>
      <c r="J1606" s="20">
        <f>IFERROR(__xludf.DUMMYFUNCTION("""COMPUTED_VALUE"""),1605.0)</f>
        <v>1605</v>
      </c>
      <c r="K1606" s="20" t="b">
        <f>IFERROR(__xludf.DUMMYFUNCTION("""COMPUTED_VALUE"""),FALSE)</f>
        <v>0</v>
      </c>
      <c r="L1606" s="20" t="str">
        <f>IFERROR(__xludf.DUMMYFUNCTION("""COMPUTED_VALUE"""),"Array;Greedy;Matrix;")</f>
        <v>Array;Greedy;Matrix;</v>
      </c>
      <c r="M1606" s="20" t="b">
        <f>IFERROR(__xludf.DUMMYFUNCTION("""COMPUTED_VALUE"""),FALSE)</f>
        <v>0</v>
      </c>
      <c r="N1606" s="20" t="b">
        <f>IFERROR(__xludf.DUMMYFUNCTION("""COMPUTED_VALUE"""),FALSE)</f>
        <v>0</v>
      </c>
      <c r="O1606" s="20">
        <f>IFERROR(__xludf.DUMMYFUNCTION("""COMPUTED_VALUE"""),77.9240343771609)</f>
        <v>77.92403438</v>
      </c>
      <c r="P1606" s="20">
        <f>IFERROR(__xludf.DUMMYFUNCTION("""COMPUTED_VALUE"""),31553.0)</f>
        <v>31553</v>
      </c>
      <c r="Q1606" s="20">
        <f>IFERROR(__xludf.DUMMYFUNCTION("""COMPUTED_VALUE"""),40492.0)</f>
        <v>40492</v>
      </c>
    </row>
    <row r="1607">
      <c r="A1607" s="20">
        <f>IFERROR(__xludf.DUMMYFUNCTION("""COMPUTED_VALUE"""),1710.0)</f>
        <v>1710</v>
      </c>
      <c r="B1607" s="20" t="str">
        <f>IFERROR(__xludf.DUMMYFUNCTION("""COMPUTED_VALUE"""),"Find Servers That Handled Most Number of Requests")</f>
        <v>Find Servers That Handled Most Number of Requests</v>
      </c>
      <c r="C1607" s="20" t="str">
        <f>IFERROR(__xludf.DUMMYFUNCTION("""COMPUTED_VALUE"""),"find-servers-that-handled-most-number-of-requests")</f>
        <v>find-servers-that-handled-most-number-of-requests</v>
      </c>
      <c r="D1607" s="20" t="b">
        <f>IFERROR(__xludf.DUMMYFUNCTION("""COMPUTED_VALUE"""),FALSE)</f>
        <v>0</v>
      </c>
      <c r="E1607" s="20" t="str">
        <f>IFERROR(__xludf.DUMMYFUNCTION("""COMPUTED_VALUE"""),"Hard")</f>
        <v>Hard</v>
      </c>
      <c r="F1607" s="20">
        <f>IFERROR(__xludf.DUMMYFUNCTION("""COMPUTED_VALUE"""),461.0)</f>
        <v>461</v>
      </c>
      <c r="G1607" s="20">
        <f>IFERROR(__xludf.DUMMYFUNCTION("""COMPUTED_VALUE"""),21.0)</f>
        <v>21</v>
      </c>
      <c r="H1607" s="20" t="str">
        <f>IFERROR(__xludf.DUMMYFUNCTION("""COMPUTED_VALUE"""),"Algorithms")</f>
        <v>Algorithms</v>
      </c>
      <c r="I1607" s="20">
        <f>IFERROR(__xludf.DUMMYFUNCTION("""COMPUTED_VALUE"""),0.431)</f>
        <v>0.431</v>
      </c>
      <c r="J1607" s="20">
        <f>IFERROR(__xludf.DUMMYFUNCTION("""COMPUTED_VALUE"""),1606.0)</f>
        <v>1606</v>
      </c>
      <c r="K1607" s="20" t="b">
        <f>IFERROR(__xludf.DUMMYFUNCTION("""COMPUTED_VALUE"""),FALSE)</f>
        <v>0</v>
      </c>
      <c r="L1607" s="20" t="str">
        <f>IFERROR(__xludf.DUMMYFUNCTION("""COMPUTED_VALUE"""),"Array;Greedy;Heap (Priority Queue);Ordered Set;")</f>
        <v>Array;Greedy;Heap (Priority Queue);Ordered Set;</v>
      </c>
      <c r="M1607" s="20" t="b">
        <f>IFERROR(__xludf.DUMMYFUNCTION("""COMPUTED_VALUE"""),TRUE)</f>
        <v>1</v>
      </c>
      <c r="N1607" s="20" t="b">
        <f>IFERROR(__xludf.DUMMYFUNCTION("""COMPUTED_VALUE"""),FALSE)</f>
        <v>0</v>
      </c>
      <c r="O1607" s="20">
        <f>IFERROR(__xludf.DUMMYFUNCTION("""COMPUTED_VALUE"""),43.0576280821431)</f>
        <v>43.05762808</v>
      </c>
      <c r="P1607" s="20">
        <f>IFERROR(__xludf.DUMMYFUNCTION("""COMPUTED_VALUE"""),12117.0)</f>
        <v>12117</v>
      </c>
      <c r="Q1607" s="20">
        <f>IFERROR(__xludf.DUMMYFUNCTION("""COMPUTED_VALUE"""),28143.0)</f>
        <v>28143</v>
      </c>
    </row>
    <row r="1608">
      <c r="A1608" s="20">
        <f>IFERROR(__xludf.DUMMYFUNCTION("""COMPUTED_VALUE"""),1749.0)</f>
        <v>1749</v>
      </c>
      <c r="B1608" s="20" t="str">
        <f>IFERROR(__xludf.DUMMYFUNCTION("""COMPUTED_VALUE"""),"Sellers With No Sales")</f>
        <v>Sellers With No Sales</v>
      </c>
      <c r="C1608" s="20" t="str">
        <f>IFERROR(__xludf.DUMMYFUNCTION("""COMPUTED_VALUE"""),"sellers-with-no-sales")</f>
        <v>sellers-with-no-sales</v>
      </c>
      <c r="D1608" s="20" t="b">
        <f>IFERROR(__xludf.DUMMYFUNCTION("""COMPUTED_VALUE"""),TRUE)</f>
        <v>1</v>
      </c>
      <c r="E1608" s="20" t="str">
        <f>IFERROR(__xludf.DUMMYFUNCTION("""COMPUTED_VALUE"""),"Easy")</f>
        <v>Easy</v>
      </c>
      <c r="F1608" s="20">
        <f>IFERROR(__xludf.DUMMYFUNCTION("""COMPUTED_VALUE"""),92.0)</f>
        <v>92</v>
      </c>
      <c r="G1608" s="20">
        <f>IFERROR(__xludf.DUMMYFUNCTION("""COMPUTED_VALUE"""),11.0)</f>
        <v>11</v>
      </c>
      <c r="H1608" s="20" t="str">
        <f>IFERROR(__xludf.DUMMYFUNCTION("""COMPUTED_VALUE"""),"Database")</f>
        <v>Database</v>
      </c>
      <c r="I1608" s="20">
        <f>IFERROR(__xludf.DUMMYFUNCTION("""COMPUTED_VALUE"""),0.554)</f>
        <v>0.554</v>
      </c>
      <c r="J1608" s="20">
        <f>IFERROR(__xludf.DUMMYFUNCTION("""COMPUTED_VALUE"""),1607.0)</f>
        <v>1607</v>
      </c>
      <c r="K1608" s="20" t="b">
        <f>IFERROR(__xludf.DUMMYFUNCTION("""COMPUTED_VALUE"""),TRUE)</f>
        <v>1</v>
      </c>
      <c r="L1608" s="20" t="str">
        <f>IFERROR(__xludf.DUMMYFUNCTION("""COMPUTED_VALUE"""),"Database;")</f>
        <v>Database;</v>
      </c>
      <c r="M1608" s="20" t="b">
        <f>IFERROR(__xludf.DUMMYFUNCTION("""COMPUTED_VALUE"""),FALSE)</f>
        <v>0</v>
      </c>
      <c r="N1608" s="20" t="b">
        <f>IFERROR(__xludf.DUMMYFUNCTION("""COMPUTED_VALUE"""),FALSE)</f>
        <v>0</v>
      </c>
      <c r="O1608" s="20">
        <f>IFERROR(__xludf.DUMMYFUNCTION("""COMPUTED_VALUE"""),55.3707152564554)</f>
        <v>55.37071526</v>
      </c>
      <c r="P1608" s="20">
        <f>IFERROR(__xludf.DUMMYFUNCTION("""COMPUTED_VALUE"""),22001.0)</f>
        <v>22001</v>
      </c>
      <c r="Q1608" s="20">
        <f>IFERROR(__xludf.DUMMYFUNCTION("""COMPUTED_VALUE"""),39734.0)</f>
        <v>39734</v>
      </c>
    </row>
    <row r="1609">
      <c r="A1609" s="20">
        <f>IFERROR(__xludf.DUMMYFUNCTION("""COMPUTED_VALUE"""),1730.0)</f>
        <v>1730</v>
      </c>
      <c r="B1609" s="20" t="str">
        <f>IFERROR(__xludf.DUMMYFUNCTION("""COMPUTED_VALUE"""),"Special Array With X Elements Greater Than or Equal X")</f>
        <v>Special Array With X Elements Greater Than or Equal X</v>
      </c>
      <c r="C1609" s="20" t="str">
        <f>IFERROR(__xludf.DUMMYFUNCTION("""COMPUTED_VALUE"""),"special-array-with-x-elements-greater-than-or-equal-x")</f>
        <v>special-array-with-x-elements-greater-than-or-equal-x</v>
      </c>
      <c r="D1609" s="20" t="b">
        <f>IFERROR(__xludf.DUMMYFUNCTION("""COMPUTED_VALUE"""),FALSE)</f>
        <v>0</v>
      </c>
      <c r="E1609" s="20" t="str">
        <f>IFERROR(__xludf.DUMMYFUNCTION("""COMPUTED_VALUE"""),"Easy")</f>
        <v>Easy</v>
      </c>
      <c r="F1609" s="20">
        <f>IFERROR(__xludf.DUMMYFUNCTION("""COMPUTED_VALUE"""),1208.0)</f>
        <v>1208</v>
      </c>
      <c r="G1609" s="20">
        <f>IFERROR(__xludf.DUMMYFUNCTION("""COMPUTED_VALUE"""),190.0)</f>
        <v>190</v>
      </c>
      <c r="H1609" s="20" t="str">
        <f>IFERROR(__xludf.DUMMYFUNCTION("""COMPUTED_VALUE"""),"Algorithms")</f>
        <v>Algorithms</v>
      </c>
      <c r="I1609" s="20">
        <f>IFERROR(__xludf.DUMMYFUNCTION("""COMPUTED_VALUE"""),0.602)</f>
        <v>0.602</v>
      </c>
      <c r="J1609" s="20">
        <f>IFERROR(__xludf.DUMMYFUNCTION("""COMPUTED_VALUE"""),1608.0)</f>
        <v>1608</v>
      </c>
      <c r="K1609" s="20" t="b">
        <f>IFERROR(__xludf.DUMMYFUNCTION("""COMPUTED_VALUE"""),FALSE)</f>
        <v>0</v>
      </c>
      <c r="L1609" s="20" t="str">
        <f>IFERROR(__xludf.DUMMYFUNCTION("""COMPUTED_VALUE"""),"Array;Binary Search;Sorting;")</f>
        <v>Array;Binary Search;Sorting;</v>
      </c>
      <c r="M1609" s="20" t="b">
        <f>IFERROR(__xludf.DUMMYFUNCTION("""COMPUTED_VALUE"""),FALSE)</f>
        <v>0</v>
      </c>
      <c r="N1609" s="20" t="b">
        <f>IFERROR(__xludf.DUMMYFUNCTION("""COMPUTED_VALUE"""),FALSE)</f>
        <v>0</v>
      </c>
      <c r="O1609" s="20">
        <f>IFERROR(__xludf.DUMMYFUNCTION("""COMPUTED_VALUE"""),60.2079569715881)</f>
        <v>60.20795697</v>
      </c>
      <c r="P1609" s="20">
        <f>IFERROR(__xludf.DUMMYFUNCTION("""COMPUTED_VALUE"""),58657.0)</f>
        <v>58657</v>
      </c>
      <c r="Q1609" s="20">
        <f>IFERROR(__xludf.DUMMYFUNCTION("""COMPUTED_VALUE"""),97424.0)</f>
        <v>97424</v>
      </c>
    </row>
    <row r="1610">
      <c r="A1610" s="20">
        <f>IFERROR(__xludf.DUMMYFUNCTION("""COMPUTED_VALUE"""),1731.0)</f>
        <v>1731</v>
      </c>
      <c r="B1610" s="20" t="str">
        <f>IFERROR(__xludf.DUMMYFUNCTION("""COMPUTED_VALUE"""),"Even Odd Tree")</f>
        <v>Even Odd Tree</v>
      </c>
      <c r="C1610" s="20" t="str">
        <f>IFERROR(__xludf.DUMMYFUNCTION("""COMPUTED_VALUE"""),"even-odd-tree")</f>
        <v>even-odd-tree</v>
      </c>
      <c r="D1610" s="20" t="b">
        <f>IFERROR(__xludf.DUMMYFUNCTION("""COMPUTED_VALUE"""),FALSE)</f>
        <v>0</v>
      </c>
      <c r="E1610" s="20" t="str">
        <f>IFERROR(__xludf.DUMMYFUNCTION("""COMPUTED_VALUE"""),"Medium")</f>
        <v>Medium</v>
      </c>
      <c r="F1610" s="20">
        <f>IFERROR(__xludf.DUMMYFUNCTION("""COMPUTED_VALUE"""),919.0)</f>
        <v>919</v>
      </c>
      <c r="G1610" s="20">
        <f>IFERROR(__xludf.DUMMYFUNCTION("""COMPUTED_VALUE"""),50.0)</f>
        <v>50</v>
      </c>
      <c r="H1610" s="20" t="str">
        <f>IFERROR(__xludf.DUMMYFUNCTION("""COMPUTED_VALUE"""),"Algorithms")</f>
        <v>Algorithms</v>
      </c>
      <c r="I1610" s="20">
        <f>IFERROR(__xludf.DUMMYFUNCTION("""COMPUTED_VALUE"""),0.539)</f>
        <v>0.539</v>
      </c>
      <c r="J1610" s="20">
        <f>IFERROR(__xludf.DUMMYFUNCTION("""COMPUTED_VALUE"""),1609.0)</f>
        <v>1609</v>
      </c>
      <c r="K1610" s="20" t="b">
        <f>IFERROR(__xludf.DUMMYFUNCTION("""COMPUTED_VALUE"""),FALSE)</f>
        <v>0</v>
      </c>
      <c r="L1610" s="20" t="str">
        <f>IFERROR(__xludf.DUMMYFUNCTION("""COMPUTED_VALUE"""),"Tree;Breadth-First Search;Binary Tree;")</f>
        <v>Tree;Breadth-First Search;Binary Tree;</v>
      </c>
      <c r="M1610" s="20" t="b">
        <f>IFERROR(__xludf.DUMMYFUNCTION("""COMPUTED_VALUE"""),FALSE)</f>
        <v>0</v>
      </c>
      <c r="N1610" s="20" t="b">
        <f>IFERROR(__xludf.DUMMYFUNCTION("""COMPUTED_VALUE"""),FALSE)</f>
        <v>0</v>
      </c>
      <c r="O1610" s="20">
        <f>IFERROR(__xludf.DUMMYFUNCTION("""COMPUTED_VALUE"""),53.937101910828)</f>
        <v>53.93710191</v>
      </c>
      <c r="P1610" s="20">
        <f>IFERROR(__xludf.DUMMYFUNCTION("""COMPUTED_VALUE"""),40647.0)</f>
        <v>40647</v>
      </c>
      <c r="Q1610" s="20">
        <f>IFERROR(__xludf.DUMMYFUNCTION("""COMPUTED_VALUE"""),75360.0)</f>
        <v>75360</v>
      </c>
    </row>
    <row r="1611">
      <c r="A1611" s="20">
        <f>IFERROR(__xludf.DUMMYFUNCTION("""COMPUTED_VALUE"""),1733.0)</f>
        <v>1733</v>
      </c>
      <c r="B1611" s="20" t="str">
        <f>IFERROR(__xludf.DUMMYFUNCTION("""COMPUTED_VALUE"""),"Maximum Number of Visible Points")</f>
        <v>Maximum Number of Visible Points</v>
      </c>
      <c r="C1611" s="20" t="str">
        <f>IFERROR(__xludf.DUMMYFUNCTION("""COMPUTED_VALUE"""),"maximum-number-of-visible-points")</f>
        <v>maximum-number-of-visible-points</v>
      </c>
      <c r="D1611" s="20" t="b">
        <f>IFERROR(__xludf.DUMMYFUNCTION("""COMPUTED_VALUE"""),FALSE)</f>
        <v>0</v>
      </c>
      <c r="E1611" s="20" t="str">
        <f>IFERROR(__xludf.DUMMYFUNCTION("""COMPUTED_VALUE"""),"Hard")</f>
        <v>Hard</v>
      </c>
      <c r="F1611" s="20">
        <f>IFERROR(__xludf.DUMMYFUNCTION("""COMPUTED_VALUE"""),482.0)</f>
        <v>482</v>
      </c>
      <c r="G1611" s="20">
        <f>IFERROR(__xludf.DUMMYFUNCTION("""COMPUTED_VALUE"""),681.0)</f>
        <v>681</v>
      </c>
      <c r="H1611" s="20" t="str">
        <f>IFERROR(__xludf.DUMMYFUNCTION("""COMPUTED_VALUE"""),"Algorithms")</f>
        <v>Algorithms</v>
      </c>
      <c r="I1611" s="20">
        <f>IFERROR(__xludf.DUMMYFUNCTION("""COMPUTED_VALUE"""),0.374)</f>
        <v>0.374</v>
      </c>
      <c r="J1611" s="20">
        <f>IFERROR(__xludf.DUMMYFUNCTION("""COMPUTED_VALUE"""),1610.0)</f>
        <v>1610</v>
      </c>
      <c r="K1611" s="20" t="b">
        <f>IFERROR(__xludf.DUMMYFUNCTION("""COMPUTED_VALUE"""),FALSE)</f>
        <v>0</v>
      </c>
      <c r="L1611" s="20" t="str">
        <f>IFERROR(__xludf.DUMMYFUNCTION("""COMPUTED_VALUE"""),"Array;Math;Geometry;Sliding Window;Sorting;")</f>
        <v>Array;Math;Geometry;Sliding Window;Sorting;</v>
      </c>
      <c r="M1611" s="20" t="b">
        <f>IFERROR(__xludf.DUMMYFUNCTION("""COMPUTED_VALUE"""),FALSE)</f>
        <v>0</v>
      </c>
      <c r="N1611" s="20" t="b">
        <f>IFERROR(__xludf.DUMMYFUNCTION("""COMPUTED_VALUE"""),FALSE)</f>
        <v>0</v>
      </c>
      <c r="O1611" s="20">
        <f>IFERROR(__xludf.DUMMYFUNCTION("""COMPUTED_VALUE"""),37.361054374234)</f>
        <v>37.36105437</v>
      </c>
      <c r="P1611" s="20">
        <f>IFERROR(__xludf.DUMMYFUNCTION("""COMPUTED_VALUE"""),34754.0)</f>
        <v>34754</v>
      </c>
      <c r="Q1611" s="20">
        <f>IFERROR(__xludf.DUMMYFUNCTION("""COMPUTED_VALUE"""),93022.0)</f>
        <v>93022</v>
      </c>
    </row>
    <row r="1612">
      <c r="A1612" s="20">
        <f>IFERROR(__xludf.DUMMYFUNCTION("""COMPUTED_VALUE"""),1732.0)</f>
        <v>1732</v>
      </c>
      <c r="B1612" s="20" t="str">
        <f>IFERROR(__xludf.DUMMYFUNCTION("""COMPUTED_VALUE"""),"Minimum One Bit Operations to Make Integers Zero")</f>
        <v>Minimum One Bit Operations to Make Integers Zero</v>
      </c>
      <c r="C1612" s="20" t="str">
        <f>IFERROR(__xludf.DUMMYFUNCTION("""COMPUTED_VALUE"""),"minimum-one-bit-operations-to-make-integers-zero")</f>
        <v>minimum-one-bit-operations-to-make-integers-zero</v>
      </c>
      <c r="D1612" s="20" t="b">
        <f>IFERROR(__xludf.DUMMYFUNCTION("""COMPUTED_VALUE"""),FALSE)</f>
        <v>0</v>
      </c>
      <c r="E1612" s="20" t="str">
        <f>IFERROR(__xludf.DUMMYFUNCTION("""COMPUTED_VALUE"""),"Hard")</f>
        <v>Hard</v>
      </c>
      <c r="F1612" s="20">
        <f>IFERROR(__xludf.DUMMYFUNCTION("""COMPUTED_VALUE"""),366.0)</f>
        <v>366</v>
      </c>
      <c r="G1612" s="20">
        <f>IFERROR(__xludf.DUMMYFUNCTION("""COMPUTED_VALUE"""),325.0)</f>
        <v>325</v>
      </c>
      <c r="H1612" s="20" t="str">
        <f>IFERROR(__xludf.DUMMYFUNCTION("""COMPUTED_VALUE"""),"Algorithms")</f>
        <v>Algorithms</v>
      </c>
      <c r="I1612" s="20">
        <f>IFERROR(__xludf.DUMMYFUNCTION("""COMPUTED_VALUE"""),0.635)</f>
        <v>0.635</v>
      </c>
      <c r="J1612" s="20">
        <f>IFERROR(__xludf.DUMMYFUNCTION("""COMPUTED_VALUE"""),1611.0)</f>
        <v>1611</v>
      </c>
      <c r="K1612" s="20" t="b">
        <f>IFERROR(__xludf.DUMMYFUNCTION("""COMPUTED_VALUE"""),FALSE)</f>
        <v>0</v>
      </c>
      <c r="L1612" s="20" t="str">
        <f>IFERROR(__xludf.DUMMYFUNCTION("""COMPUTED_VALUE"""),"Dynamic Programming;Bit Manipulation;Memoization;")</f>
        <v>Dynamic Programming;Bit Manipulation;Memoization;</v>
      </c>
      <c r="M1612" s="20" t="b">
        <f>IFERROR(__xludf.DUMMYFUNCTION("""COMPUTED_VALUE"""),FALSE)</f>
        <v>0</v>
      </c>
      <c r="N1612" s="20" t="b">
        <f>IFERROR(__xludf.DUMMYFUNCTION("""COMPUTED_VALUE"""),FALSE)</f>
        <v>0</v>
      </c>
      <c r="O1612" s="20">
        <f>IFERROR(__xludf.DUMMYFUNCTION("""COMPUTED_VALUE"""),63.4644438655899)</f>
        <v>63.46444387</v>
      </c>
      <c r="P1612" s="20">
        <f>IFERROR(__xludf.DUMMYFUNCTION("""COMPUTED_VALUE"""),12182.0)</f>
        <v>12182</v>
      </c>
      <c r="Q1612" s="20">
        <f>IFERROR(__xludf.DUMMYFUNCTION("""COMPUTED_VALUE"""),19195.0)</f>
        <v>19195</v>
      </c>
    </row>
    <row r="1613">
      <c r="A1613" s="20">
        <f>IFERROR(__xludf.DUMMYFUNCTION("""COMPUTED_VALUE"""),1750.0)</f>
        <v>1750</v>
      </c>
      <c r="B1613" s="20" t="str">
        <f>IFERROR(__xludf.DUMMYFUNCTION("""COMPUTED_VALUE"""),"Check If Two Expression Trees are Equivalent")</f>
        <v>Check If Two Expression Trees are Equivalent</v>
      </c>
      <c r="C1613" s="20" t="str">
        <f>IFERROR(__xludf.DUMMYFUNCTION("""COMPUTED_VALUE"""),"check-if-two-expression-trees-are-equivalent")</f>
        <v>check-if-two-expression-trees-are-equivalent</v>
      </c>
      <c r="D1613" s="20" t="b">
        <f>IFERROR(__xludf.DUMMYFUNCTION("""COMPUTED_VALUE"""),TRUE)</f>
        <v>1</v>
      </c>
      <c r="E1613" s="20" t="str">
        <f>IFERROR(__xludf.DUMMYFUNCTION("""COMPUTED_VALUE"""),"Medium")</f>
        <v>Medium</v>
      </c>
      <c r="F1613" s="20">
        <f>IFERROR(__xludf.DUMMYFUNCTION("""COMPUTED_VALUE"""),118.0)</f>
        <v>118</v>
      </c>
      <c r="G1613" s="20">
        <f>IFERROR(__xludf.DUMMYFUNCTION("""COMPUTED_VALUE"""),21.0)</f>
        <v>21</v>
      </c>
      <c r="H1613" s="20" t="str">
        <f>IFERROR(__xludf.DUMMYFUNCTION("""COMPUTED_VALUE"""),"Algorithms")</f>
        <v>Algorithms</v>
      </c>
      <c r="I1613" s="20">
        <f>IFERROR(__xludf.DUMMYFUNCTION("""COMPUTED_VALUE"""),0.702)</f>
        <v>0.702</v>
      </c>
      <c r="J1613" s="20">
        <f>IFERROR(__xludf.DUMMYFUNCTION("""COMPUTED_VALUE"""),1612.0)</f>
        <v>1612</v>
      </c>
      <c r="K1613" s="20" t="b">
        <f>IFERROR(__xludf.DUMMYFUNCTION("""COMPUTED_VALUE"""),TRUE)</f>
        <v>1</v>
      </c>
      <c r="L1613" s="20" t="str">
        <f>IFERROR(__xludf.DUMMYFUNCTION("""COMPUTED_VALUE"""),"Tree;Depth-First Search;Binary Tree;")</f>
        <v>Tree;Depth-First Search;Binary Tree;</v>
      </c>
      <c r="M1613" s="20" t="b">
        <f>IFERROR(__xludf.DUMMYFUNCTION("""COMPUTED_VALUE"""),FALSE)</f>
        <v>0</v>
      </c>
      <c r="N1613" s="20" t="b">
        <f>IFERROR(__xludf.DUMMYFUNCTION("""COMPUTED_VALUE"""),FALSE)</f>
        <v>0</v>
      </c>
      <c r="O1613" s="20">
        <f>IFERROR(__xludf.DUMMYFUNCTION("""COMPUTED_VALUE"""),70.1605288007554)</f>
        <v>70.1605288</v>
      </c>
      <c r="P1613" s="20">
        <f>IFERROR(__xludf.DUMMYFUNCTION("""COMPUTED_VALUE"""),5944.0)</f>
        <v>5944</v>
      </c>
      <c r="Q1613" s="20">
        <f>IFERROR(__xludf.DUMMYFUNCTION("""COMPUTED_VALUE"""),8472.0)</f>
        <v>8472</v>
      </c>
    </row>
    <row r="1614">
      <c r="A1614" s="20">
        <f>IFERROR(__xludf.DUMMYFUNCTION("""COMPUTED_VALUE"""),1759.0)</f>
        <v>1759</v>
      </c>
      <c r="B1614" s="20" t="str">
        <f>IFERROR(__xludf.DUMMYFUNCTION("""COMPUTED_VALUE"""),"Find the Missing IDs")</f>
        <v>Find the Missing IDs</v>
      </c>
      <c r="C1614" s="20" t="str">
        <f>IFERROR(__xludf.DUMMYFUNCTION("""COMPUTED_VALUE"""),"find-the-missing-ids")</f>
        <v>find-the-missing-ids</v>
      </c>
      <c r="D1614" s="20" t="b">
        <f>IFERROR(__xludf.DUMMYFUNCTION("""COMPUTED_VALUE"""),TRUE)</f>
        <v>1</v>
      </c>
      <c r="E1614" s="20" t="str">
        <f>IFERROR(__xludf.DUMMYFUNCTION("""COMPUTED_VALUE"""),"Medium")</f>
        <v>Medium</v>
      </c>
      <c r="F1614" s="20">
        <f>IFERROR(__xludf.DUMMYFUNCTION("""COMPUTED_VALUE"""),184.0)</f>
        <v>184</v>
      </c>
      <c r="G1614" s="20">
        <f>IFERROR(__xludf.DUMMYFUNCTION("""COMPUTED_VALUE"""),25.0)</f>
        <v>25</v>
      </c>
      <c r="H1614" s="20" t="str">
        <f>IFERROR(__xludf.DUMMYFUNCTION("""COMPUTED_VALUE"""),"Database")</f>
        <v>Database</v>
      </c>
      <c r="I1614" s="20">
        <f>IFERROR(__xludf.DUMMYFUNCTION("""COMPUTED_VALUE"""),0.759)</f>
        <v>0.759</v>
      </c>
      <c r="J1614" s="20">
        <f>IFERROR(__xludf.DUMMYFUNCTION("""COMPUTED_VALUE"""),1613.0)</f>
        <v>1613</v>
      </c>
      <c r="K1614" s="20" t="b">
        <f>IFERROR(__xludf.DUMMYFUNCTION("""COMPUTED_VALUE"""),TRUE)</f>
        <v>1</v>
      </c>
      <c r="L1614" s="20" t="str">
        <f>IFERROR(__xludf.DUMMYFUNCTION("""COMPUTED_VALUE"""),"Database;")</f>
        <v>Database;</v>
      </c>
      <c r="M1614" s="20" t="b">
        <f>IFERROR(__xludf.DUMMYFUNCTION("""COMPUTED_VALUE"""),FALSE)</f>
        <v>0</v>
      </c>
      <c r="N1614" s="20" t="b">
        <f>IFERROR(__xludf.DUMMYFUNCTION("""COMPUTED_VALUE"""),FALSE)</f>
        <v>0</v>
      </c>
      <c r="O1614" s="20">
        <f>IFERROR(__xludf.DUMMYFUNCTION("""COMPUTED_VALUE"""),75.8802060970373)</f>
        <v>75.8802061</v>
      </c>
      <c r="P1614" s="20">
        <f>IFERROR(__xludf.DUMMYFUNCTION("""COMPUTED_VALUE"""),14138.0)</f>
        <v>14138</v>
      </c>
      <c r="Q1614" s="20">
        <f>IFERROR(__xludf.DUMMYFUNCTION("""COMPUTED_VALUE"""),18632.0)</f>
        <v>18632</v>
      </c>
    </row>
    <row r="1615">
      <c r="A1615" s="20">
        <f>IFERROR(__xludf.DUMMYFUNCTION("""COMPUTED_VALUE"""),1737.0)</f>
        <v>1737</v>
      </c>
      <c r="B1615" s="20" t="str">
        <f>IFERROR(__xludf.DUMMYFUNCTION("""COMPUTED_VALUE"""),"Maximum Nesting Depth of the Parentheses")</f>
        <v>Maximum Nesting Depth of the Parentheses</v>
      </c>
      <c r="C1615" s="20" t="str">
        <f>IFERROR(__xludf.DUMMYFUNCTION("""COMPUTED_VALUE"""),"maximum-nesting-depth-of-the-parentheses")</f>
        <v>maximum-nesting-depth-of-the-parentheses</v>
      </c>
      <c r="D1615" s="20" t="b">
        <f>IFERROR(__xludf.DUMMYFUNCTION("""COMPUTED_VALUE"""),FALSE)</f>
        <v>0</v>
      </c>
      <c r="E1615" s="20" t="str">
        <f>IFERROR(__xludf.DUMMYFUNCTION("""COMPUTED_VALUE"""),"Easy")</f>
        <v>Easy</v>
      </c>
      <c r="F1615" s="20">
        <f>IFERROR(__xludf.DUMMYFUNCTION("""COMPUTED_VALUE"""),1241.0)</f>
        <v>1241</v>
      </c>
      <c r="G1615" s="20">
        <f>IFERROR(__xludf.DUMMYFUNCTION("""COMPUTED_VALUE"""),218.0)</f>
        <v>218</v>
      </c>
      <c r="H1615" s="20" t="str">
        <f>IFERROR(__xludf.DUMMYFUNCTION("""COMPUTED_VALUE"""),"Algorithms")</f>
        <v>Algorithms</v>
      </c>
      <c r="I1615" s="20">
        <f>IFERROR(__xludf.DUMMYFUNCTION("""COMPUTED_VALUE"""),0.825)</f>
        <v>0.825</v>
      </c>
      <c r="J1615" s="20">
        <f>IFERROR(__xludf.DUMMYFUNCTION("""COMPUTED_VALUE"""),1614.0)</f>
        <v>1614</v>
      </c>
      <c r="K1615" s="20" t="b">
        <f>IFERROR(__xludf.DUMMYFUNCTION("""COMPUTED_VALUE"""),FALSE)</f>
        <v>0</v>
      </c>
      <c r="L1615" s="20" t="str">
        <f>IFERROR(__xludf.DUMMYFUNCTION("""COMPUTED_VALUE"""),"String;Stack;")</f>
        <v>String;Stack;</v>
      </c>
      <c r="M1615" s="20" t="b">
        <f>IFERROR(__xludf.DUMMYFUNCTION("""COMPUTED_VALUE"""),FALSE)</f>
        <v>0</v>
      </c>
      <c r="N1615" s="20" t="b">
        <f>IFERROR(__xludf.DUMMYFUNCTION("""COMPUTED_VALUE"""),FALSE)</f>
        <v>0</v>
      </c>
      <c r="O1615" s="20">
        <f>IFERROR(__xludf.DUMMYFUNCTION("""COMPUTED_VALUE"""),82.5236759657724)</f>
        <v>82.52367597</v>
      </c>
      <c r="P1615" s="20">
        <f>IFERROR(__xludf.DUMMYFUNCTION("""COMPUTED_VALUE"""),115633.0)</f>
        <v>115633</v>
      </c>
      <c r="Q1615" s="20">
        <f>IFERROR(__xludf.DUMMYFUNCTION("""COMPUTED_VALUE"""),140121.0)</f>
        <v>140121</v>
      </c>
    </row>
    <row r="1616">
      <c r="A1616" s="20">
        <f>IFERROR(__xludf.DUMMYFUNCTION("""COMPUTED_VALUE"""),1738.0)</f>
        <v>1738</v>
      </c>
      <c r="B1616" s="20" t="str">
        <f>IFERROR(__xludf.DUMMYFUNCTION("""COMPUTED_VALUE"""),"Maximal Network Rank")</f>
        <v>Maximal Network Rank</v>
      </c>
      <c r="C1616" s="20" t="str">
        <f>IFERROR(__xludf.DUMMYFUNCTION("""COMPUTED_VALUE"""),"maximal-network-rank")</f>
        <v>maximal-network-rank</v>
      </c>
      <c r="D1616" s="20" t="b">
        <f>IFERROR(__xludf.DUMMYFUNCTION("""COMPUTED_VALUE"""),FALSE)</f>
        <v>0</v>
      </c>
      <c r="E1616" s="20" t="str">
        <f>IFERROR(__xludf.DUMMYFUNCTION("""COMPUTED_VALUE"""),"Medium")</f>
        <v>Medium</v>
      </c>
      <c r="F1616" s="20">
        <f>IFERROR(__xludf.DUMMYFUNCTION("""COMPUTED_VALUE"""),1006.0)</f>
        <v>1006</v>
      </c>
      <c r="G1616" s="20">
        <f>IFERROR(__xludf.DUMMYFUNCTION("""COMPUTED_VALUE"""),182.0)</f>
        <v>182</v>
      </c>
      <c r="H1616" s="20" t="str">
        <f>IFERROR(__xludf.DUMMYFUNCTION("""COMPUTED_VALUE"""),"Algorithms")</f>
        <v>Algorithms</v>
      </c>
      <c r="I1616" s="20">
        <f>IFERROR(__xludf.DUMMYFUNCTION("""COMPUTED_VALUE"""),0.582)</f>
        <v>0.582</v>
      </c>
      <c r="J1616" s="20">
        <f>IFERROR(__xludf.DUMMYFUNCTION("""COMPUTED_VALUE"""),1615.0)</f>
        <v>1615</v>
      </c>
      <c r="K1616" s="20" t="b">
        <f>IFERROR(__xludf.DUMMYFUNCTION("""COMPUTED_VALUE"""),FALSE)</f>
        <v>0</v>
      </c>
      <c r="L1616" s="20" t="str">
        <f>IFERROR(__xludf.DUMMYFUNCTION("""COMPUTED_VALUE"""),"Graph;")</f>
        <v>Graph;</v>
      </c>
      <c r="M1616" s="20" t="b">
        <f>IFERROR(__xludf.DUMMYFUNCTION("""COMPUTED_VALUE"""),FALSE)</f>
        <v>0</v>
      </c>
      <c r="N1616" s="20" t="b">
        <f>IFERROR(__xludf.DUMMYFUNCTION("""COMPUTED_VALUE"""),FALSE)</f>
        <v>0</v>
      </c>
      <c r="O1616" s="20">
        <f>IFERROR(__xludf.DUMMYFUNCTION("""COMPUTED_VALUE"""),58.2280546123805)</f>
        <v>58.22805461</v>
      </c>
      <c r="P1616" s="20">
        <f>IFERROR(__xludf.DUMMYFUNCTION("""COMPUTED_VALUE"""),57106.0)</f>
        <v>57106</v>
      </c>
      <c r="Q1616" s="20">
        <f>IFERROR(__xludf.DUMMYFUNCTION("""COMPUTED_VALUE"""),98073.0)</f>
        <v>98073</v>
      </c>
    </row>
    <row r="1617">
      <c r="A1617" s="20">
        <f>IFERROR(__xludf.DUMMYFUNCTION("""COMPUTED_VALUE"""),1739.0)</f>
        <v>1739</v>
      </c>
      <c r="B1617" s="20" t="str">
        <f>IFERROR(__xludf.DUMMYFUNCTION("""COMPUTED_VALUE"""),"Split Two Strings to Make Palindrome")</f>
        <v>Split Two Strings to Make Palindrome</v>
      </c>
      <c r="C1617" s="20" t="str">
        <f>IFERROR(__xludf.DUMMYFUNCTION("""COMPUTED_VALUE"""),"split-two-strings-to-make-palindrome")</f>
        <v>split-two-strings-to-make-palindrome</v>
      </c>
      <c r="D1617" s="20" t="b">
        <f>IFERROR(__xludf.DUMMYFUNCTION("""COMPUTED_VALUE"""),FALSE)</f>
        <v>0</v>
      </c>
      <c r="E1617" s="20" t="str">
        <f>IFERROR(__xludf.DUMMYFUNCTION("""COMPUTED_VALUE"""),"Medium")</f>
        <v>Medium</v>
      </c>
      <c r="F1617" s="20">
        <f>IFERROR(__xludf.DUMMYFUNCTION("""COMPUTED_VALUE"""),605.0)</f>
        <v>605</v>
      </c>
      <c r="G1617" s="20">
        <f>IFERROR(__xludf.DUMMYFUNCTION("""COMPUTED_VALUE"""),222.0)</f>
        <v>222</v>
      </c>
      <c r="H1617" s="20" t="str">
        <f>IFERROR(__xludf.DUMMYFUNCTION("""COMPUTED_VALUE"""),"Algorithms")</f>
        <v>Algorithms</v>
      </c>
      <c r="I1617" s="20">
        <f>IFERROR(__xludf.DUMMYFUNCTION("""COMPUTED_VALUE"""),0.314)</f>
        <v>0.314</v>
      </c>
      <c r="J1617" s="20">
        <f>IFERROR(__xludf.DUMMYFUNCTION("""COMPUTED_VALUE"""),1616.0)</f>
        <v>1616</v>
      </c>
      <c r="K1617" s="20" t="b">
        <f>IFERROR(__xludf.DUMMYFUNCTION("""COMPUTED_VALUE"""),FALSE)</f>
        <v>0</v>
      </c>
      <c r="L1617" s="20" t="str">
        <f>IFERROR(__xludf.DUMMYFUNCTION("""COMPUTED_VALUE"""),"Two Pointers;String;")</f>
        <v>Two Pointers;String;</v>
      </c>
      <c r="M1617" s="20" t="b">
        <f>IFERROR(__xludf.DUMMYFUNCTION("""COMPUTED_VALUE"""),FALSE)</f>
        <v>0</v>
      </c>
      <c r="N1617" s="20" t="b">
        <f>IFERROR(__xludf.DUMMYFUNCTION("""COMPUTED_VALUE"""),FALSE)</f>
        <v>0</v>
      </c>
      <c r="O1617" s="20">
        <f>IFERROR(__xludf.DUMMYFUNCTION("""COMPUTED_VALUE"""),31.3531138977661)</f>
        <v>31.3531139</v>
      </c>
      <c r="P1617" s="20">
        <f>IFERROR(__xludf.DUMMYFUNCTION("""COMPUTED_VALUE"""),19326.0)</f>
        <v>19326</v>
      </c>
      <c r="Q1617" s="20">
        <f>IFERROR(__xludf.DUMMYFUNCTION("""COMPUTED_VALUE"""),61642.0)</f>
        <v>61642</v>
      </c>
    </row>
    <row r="1618">
      <c r="A1618" s="20">
        <f>IFERROR(__xludf.DUMMYFUNCTION("""COMPUTED_VALUE"""),1740.0)</f>
        <v>1740</v>
      </c>
      <c r="B1618" s="20" t="str">
        <f>IFERROR(__xludf.DUMMYFUNCTION("""COMPUTED_VALUE"""),"Count Subtrees With Max Distance Between Cities")</f>
        <v>Count Subtrees With Max Distance Between Cities</v>
      </c>
      <c r="C1618" s="20" t="str">
        <f>IFERROR(__xludf.DUMMYFUNCTION("""COMPUTED_VALUE"""),"count-subtrees-with-max-distance-between-cities")</f>
        <v>count-subtrees-with-max-distance-between-cities</v>
      </c>
      <c r="D1618" s="20" t="b">
        <f>IFERROR(__xludf.DUMMYFUNCTION("""COMPUTED_VALUE"""),FALSE)</f>
        <v>0</v>
      </c>
      <c r="E1618" s="20" t="str">
        <f>IFERROR(__xludf.DUMMYFUNCTION("""COMPUTED_VALUE"""),"Hard")</f>
        <v>Hard</v>
      </c>
      <c r="F1618" s="20">
        <f>IFERROR(__xludf.DUMMYFUNCTION("""COMPUTED_VALUE"""),409.0)</f>
        <v>409</v>
      </c>
      <c r="G1618" s="20">
        <f>IFERROR(__xludf.DUMMYFUNCTION("""COMPUTED_VALUE"""),34.0)</f>
        <v>34</v>
      </c>
      <c r="H1618" s="20" t="str">
        <f>IFERROR(__xludf.DUMMYFUNCTION("""COMPUTED_VALUE"""),"Algorithms")</f>
        <v>Algorithms</v>
      </c>
      <c r="I1618" s="20">
        <f>IFERROR(__xludf.DUMMYFUNCTION("""COMPUTED_VALUE"""),0.66)</f>
        <v>0.66</v>
      </c>
      <c r="J1618" s="20">
        <f>IFERROR(__xludf.DUMMYFUNCTION("""COMPUTED_VALUE"""),1617.0)</f>
        <v>1617</v>
      </c>
      <c r="K1618" s="20" t="b">
        <f>IFERROR(__xludf.DUMMYFUNCTION("""COMPUTED_VALUE"""),FALSE)</f>
        <v>0</v>
      </c>
      <c r="L1618" s="20" t="str">
        <f>IFERROR(__xludf.DUMMYFUNCTION("""COMPUTED_VALUE"""),"Dynamic Programming;Bit Manipulation;Tree;Enumeration;Bitmask;")</f>
        <v>Dynamic Programming;Bit Manipulation;Tree;Enumeration;Bitmask;</v>
      </c>
      <c r="M1618" s="20" t="b">
        <f>IFERROR(__xludf.DUMMYFUNCTION("""COMPUTED_VALUE"""),FALSE)</f>
        <v>0</v>
      </c>
      <c r="N1618" s="20" t="b">
        <f>IFERROR(__xludf.DUMMYFUNCTION("""COMPUTED_VALUE"""),FALSE)</f>
        <v>0</v>
      </c>
      <c r="O1618" s="20">
        <f>IFERROR(__xludf.DUMMYFUNCTION("""COMPUTED_VALUE"""),65.9706643658326)</f>
        <v>65.97066437</v>
      </c>
      <c r="P1618" s="20">
        <f>IFERROR(__xludf.DUMMYFUNCTION("""COMPUTED_VALUE"""),7646.0)</f>
        <v>7646</v>
      </c>
      <c r="Q1618" s="20">
        <f>IFERROR(__xludf.DUMMYFUNCTION("""COMPUTED_VALUE"""),11590.0)</f>
        <v>11590</v>
      </c>
    </row>
    <row r="1619">
      <c r="A1619" s="20">
        <f>IFERROR(__xludf.DUMMYFUNCTION("""COMPUTED_VALUE"""),1384.0)</f>
        <v>1384</v>
      </c>
      <c r="B1619" s="20" t="str">
        <f>IFERROR(__xludf.DUMMYFUNCTION("""COMPUTED_VALUE"""),"Maximum Font to Fit a Sentence in a Screen")</f>
        <v>Maximum Font to Fit a Sentence in a Screen</v>
      </c>
      <c r="C1619" s="20" t="str">
        <f>IFERROR(__xludf.DUMMYFUNCTION("""COMPUTED_VALUE"""),"maximum-font-to-fit-a-sentence-in-a-screen")</f>
        <v>maximum-font-to-fit-a-sentence-in-a-screen</v>
      </c>
      <c r="D1619" s="20" t="b">
        <f>IFERROR(__xludf.DUMMYFUNCTION("""COMPUTED_VALUE"""),TRUE)</f>
        <v>1</v>
      </c>
      <c r="E1619" s="20" t="str">
        <f>IFERROR(__xludf.DUMMYFUNCTION("""COMPUTED_VALUE"""),"Medium")</f>
        <v>Medium</v>
      </c>
      <c r="F1619" s="20">
        <f>IFERROR(__xludf.DUMMYFUNCTION("""COMPUTED_VALUE"""),99.0)</f>
        <v>99</v>
      </c>
      <c r="G1619" s="20">
        <f>IFERROR(__xludf.DUMMYFUNCTION("""COMPUTED_VALUE"""),20.0)</f>
        <v>20</v>
      </c>
      <c r="H1619" s="20" t="str">
        <f>IFERROR(__xludf.DUMMYFUNCTION("""COMPUTED_VALUE"""),"Algorithms")</f>
        <v>Algorithms</v>
      </c>
      <c r="I1619" s="20">
        <f>IFERROR(__xludf.DUMMYFUNCTION("""COMPUTED_VALUE"""),0.593)</f>
        <v>0.593</v>
      </c>
      <c r="J1619" s="20">
        <f>IFERROR(__xludf.DUMMYFUNCTION("""COMPUTED_VALUE"""),1618.0)</f>
        <v>1618</v>
      </c>
      <c r="K1619" s="20" t="b">
        <f>IFERROR(__xludf.DUMMYFUNCTION("""COMPUTED_VALUE"""),TRUE)</f>
        <v>1</v>
      </c>
      <c r="L1619" s="20" t="str">
        <f>IFERROR(__xludf.DUMMYFUNCTION("""COMPUTED_VALUE"""),"Array;String;Binary Search;Interactive;")</f>
        <v>Array;String;Binary Search;Interactive;</v>
      </c>
      <c r="M1619" s="20" t="b">
        <f>IFERROR(__xludf.DUMMYFUNCTION("""COMPUTED_VALUE"""),FALSE)</f>
        <v>0</v>
      </c>
      <c r="N1619" s="20" t="b">
        <f>IFERROR(__xludf.DUMMYFUNCTION("""COMPUTED_VALUE"""),FALSE)</f>
        <v>0</v>
      </c>
      <c r="O1619" s="20">
        <f>IFERROR(__xludf.DUMMYFUNCTION("""COMPUTED_VALUE"""),59.2956757299087)</f>
        <v>59.29567573</v>
      </c>
      <c r="P1619" s="20">
        <f>IFERROR(__xludf.DUMMYFUNCTION("""COMPUTED_VALUE"""),5910.0)</f>
        <v>5910</v>
      </c>
      <c r="Q1619" s="20">
        <f>IFERROR(__xludf.DUMMYFUNCTION("""COMPUTED_VALUE"""),9967.0)</f>
        <v>9967</v>
      </c>
    </row>
    <row r="1620">
      <c r="A1620" s="20">
        <f>IFERROR(__xludf.DUMMYFUNCTION("""COMPUTED_VALUE"""),1210.0)</f>
        <v>1210</v>
      </c>
      <c r="B1620" s="20" t="str">
        <f>IFERROR(__xludf.DUMMYFUNCTION("""COMPUTED_VALUE"""),"Mean of Array After Removing Some Elements")</f>
        <v>Mean of Array After Removing Some Elements</v>
      </c>
      <c r="C1620" s="20" t="str">
        <f>IFERROR(__xludf.DUMMYFUNCTION("""COMPUTED_VALUE"""),"mean-of-array-after-removing-some-elements")</f>
        <v>mean-of-array-after-removing-some-elements</v>
      </c>
      <c r="D1620" s="20" t="b">
        <f>IFERROR(__xludf.DUMMYFUNCTION("""COMPUTED_VALUE"""),FALSE)</f>
        <v>0</v>
      </c>
      <c r="E1620" s="20" t="str">
        <f>IFERROR(__xludf.DUMMYFUNCTION("""COMPUTED_VALUE"""),"Easy")</f>
        <v>Easy</v>
      </c>
      <c r="F1620" s="20">
        <f>IFERROR(__xludf.DUMMYFUNCTION("""COMPUTED_VALUE"""),360.0)</f>
        <v>360</v>
      </c>
      <c r="G1620" s="20">
        <f>IFERROR(__xludf.DUMMYFUNCTION("""COMPUTED_VALUE"""),96.0)</f>
        <v>96</v>
      </c>
      <c r="H1620" s="20" t="str">
        <f>IFERROR(__xludf.DUMMYFUNCTION("""COMPUTED_VALUE"""),"Algorithms")</f>
        <v>Algorithms</v>
      </c>
      <c r="I1620" s="20">
        <f>IFERROR(__xludf.DUMMYFUNCTION("""COMPUTED_VALUE"""),0.65)</f>
        <v>0.65</v>
      </c>
      <c r="J1620" s="20">
        <f>IFERROR(__xludf.DUMMYFUNCTION("""COMPUTED_VALUE"""),1619.0)</f>
        <v>1619</v>
      </c>
      <c r="K1620" s="20" t="b">
        <f>IFERROR(__xludf.DUMMYFUNCTION("""COMPUTED_VALUE"""),FALSE)</f>
        <v>0</v>
      </c>
      <c r="L1620" s="20" t="str">
        <f>IFERROR(__xludf.DUMMYFUNCTION("""COMPUTED_VALUE"""),"Array;Sorting;")</f>
        <v>Array;Sorting;</v>
      </c>
      <c r="M1620" s="20" t="b">
        <f>IFERROR(__xludf.DUMMYFUNCTION("""COMPUTED_VALUE"""),FALSE)</f>
        <v>0</v>
      </c>
      <c r="N1620" s="20" t="b">
        <f>IFERROR(__xludf.DUMMYFUNCTION("""COMPUTED_VALUE"""),FALSE)</f>
        <v>0</v>
      </c>
      <c r="O1620" s="20">
        <f>IFERROR(__xludf.DUMMYFUNCTION("""COMPUTED_VALUE"""),65.0114651696054)</f>
        <v>65.01146517</v>
      </c>
      <c r="P1620" s="20">
        <f>IFERROR(__xludf.DUMMYFUNCTION("""COMPUTED_VALUE"""),41109.0)</f>
        <v>41109</v>
      </c>
      <c r="Q1620" s="20">
        <f>IFERROR(__xludf.DUMMYFUNCTION("""COMPUTED_VALUE"""),63234.0)</f>
        <v>63234</v>
      </c>
    </row>
    <row r="1621">
      <c r="A1621" s="20">
        <f>IFERROR(__xludf.DUMMYFUNCTION("""COMPUTED_VALUE"""),1726.0)</f>
        <v>1726</v>
      </c>
      <c r="B1621" s="20" t="str">
        <f>IFERROR(__xludf.DUMMYFUNCTION("""COMPUTED_VALUE"""),"Coordinate With Maximum Network Quality")</f>
        <v>Coordinate With Maximum Network Quality</v>
      </c>
      <c r="C1621" s="20" t="str">
        <f>IFERROR(__xludf.DUMMYFUNCTION("""COMPUTED_VALUE"""),"coordinate-with-maximum-network-quality")</f>
        <v>coordinate-with-maximum-network-quality</v>
      </c>
      <c r="D1621" s="20" t="b">
        <f>IFERROR(__xludf.DUMMYFUNCTION("""COMPUTED_VALUE"""),FALSE)</f>
        <v>0</v>
      </c>
      <c r="E1621" s="20" t="str">
        <f>IFERROR(__xludf.DUMMYFUNCTION("""COMPUTED_VALUE"""),"Medium")</f>
        <v>Medium</v>
      </c>
      <c r="F1621" s="20">
        <f>IFERROR(__xludf.DUMMYFUNCTION("""COMPUTED_VALUE"""),65.0)</f>
        <v>65</v>
      </c>
      <c r="G1621" s="20">
        <f>IFERROR(__xludf.DUMMYFUNCTION("""COMPUTED_VALUE"""),238.0)</f>
        <v>238</v>
      </c>
      <c r="H1621" s="20" t="str">
        <f>IFERROR(__xludf.DUMMYFUNCTION("""COMPUTED_VALUE"""),"Algorithms")</f>
        <v>Algorithms</v>
      </c>
      <c r="I1621" s="20">
        <f>IFERROR(__xludf.DUMMYFUNCTION("""COMPUTED_VALUE"""),0.377)</f>
        <v>0.377</v>
      </c>
      <c r="J1621" s="20">
        <f>IFERROR(__xludf.DUMMYFUNCTION("""COMPUTED_VALUE"""),1620.0)</f>
        <v>1620</v>
      </c>
      <c r="K1621" s="20" t="b">
        <f>IFERROR(__xludf.DUMMYFUNCTION("""COMPUTED_VALUE"""),FALSE)</f>
        <v>0</v>
      </c>
      <c r="L1621" s="20" t="str">
        <f>IFERROR(__xludf.DUMMYFUNCTION("""COMPUTED_VALUE"""),"Array;Enumeration;")</f>
        <v>Array;Enumeration;</v>
      </c>
      <c r="M1621" s="20" t="b">
        <f>IFERROR(__xludf.DUMMYFUNCTION("""COMPUTED_VALUE"""),FALSE)</f>
        <v>0</v>
      </c>
      <c r="N1621" s="20" t="b">
        <f>IFERROR(__xludf.DUMMYFUNCTION("""COMPUTED_VALUE"""),FALSE)</f>
        <v>0</v>
      </c>
      <c r="O1621" s="20">
        <f>IFERROR(__xludf.DUMMYFUNCTION("""COMPUTED_VALUE"""),37.6731876913496)</f>
        <v>37.67318769</v>
      </c>
      <c r="P1621" s="20">
        <f>IFERROR(__xludf.DUMMYFUNCTION("""COMPUTED_VALUE"""),7260.0)</f>
        <v>7260</v>
      </c>
      <c r="Q1621" s="20">
        <f>IFERROR(__xludf.DUMMYFUNCTION("""COMPUTED_VALUE"""),19271.0)</f>
        <v>19271</v>
      </c>
    </row>
    <row r="1622">
      <c r="A1622" s="20">
        <f>IFERROR(__xludf.DUMMYFUNCTION("""COMPUTED_VALUE"""),1725.0)</f>
        <v>1725</v>
      </c>
      <c r="B1622" s="20" t="str">
        <f>IFERROR(__xludf.DUMMYFUNCTION("""COMPUTED_VALUE"""),"Number of Sets of K Non-Overlapping Line Segments")</f>
        <v>Number of Sets of K Non-Overlapping Line Segments</v>
      </c>
      <c r="C1622" s="20" t="str">
        <f>IFERROR(__xludf.DUMMYFUNCTION("""COMPUTED_VALUE"""),"number-of-sets-of-k-non-overlapping-line-segments")</f>
        <v>number-of-sets-of-k-non-overlapping-line-segments</v>
      </c>
      <c r="D1622" s="20" t="b">
        <f>IFERROR(__xludf.DUMMYFUNCTION("""COMPUTED_VALUE"""),FALSE)</f>
        <v>0</v>
      </c>
      <c r="E1622" s="20" t="str">
        <f>IFERROR(__xludf.DUMMYFUNCTION("""COMPUTED_VALUE"""),"Medium")</f>
        <v>Medium</v>
      </c>
      <c r="F1622" s="20">
        <f>IFERROR(__xludf.DUMMYFUNCTION("""COMPUTED_VALUE"""),381.0)</f>
        <v>381</v>
      </c>
      <c r="G1622" s="20">
        <f>IFERROR(__xludf.DUMMYFUNCTION("""COMPUTED_VALUE"""),40.0)</f>
        <v>40</v>
      </c>
      <c r="H1622" s="20" t="str">
        <f>IFERROR(__xludf.DUMMYFUNCTION("""COMPUTED_VALUE"""),"Algorithms")</f>
        <v>Algorithms</v>
      </c>
      <c r="I1622" s="20">
        <f>IFERROR(__xludf.DUMMYFUNCTION("""COMPUTED_VALUE"""),0.421)</f>
        <v>0.421</v>
      </c>
      <c r="J1622" s="20">
        <f>IFERROR(__xludf.DUMMYFUNCTION("""COMPUTED_VALUE"""),1621.0)</f>
        <v>1621</v>
      </c>
      <c r="K1622" s="20" t="b">
        <f>IFERROR(__xludf.DUMMYFUNCTION("""COMPUTED_VALUE"""),FALSE)</f>
        <v>0</v>
      </c>
      <c r="L1622" s="20" t="str">
        <f>IFERROR(__xludf.DUMMYFUNCTION("""COMPUTED_VALUE"""),"Math;Dynamic Programming;")</f>
        <v>Math;Dynamic Programming;</v>
      </c>
      <c r="M1622" s="20" t="b">
        <f>IFERROR(__xludf.DUMMYFUNCTION("""COMPUTED_VALUE"""),FALSE)</f>
        <v>0</v>
      </c>
      <c r="N1622" s="20" t="b">
        <f>IFERROR(__xludf.DUMMYFUNCTION("""COMPUTED_VALUE"""),FALSE)</f>
        <v>0</v>
      </c>
      <c r="O1622" s="20">
        <f>IFERROR(__xludf.DUMMYFUNCTION("""COMPUTED_VALUE"""),42.09454389538)</f>
        <v>42.0945439</v>
      </c>
      <c r="P1622" s="20">
        <f>IFERROR(__xludf.DUMMYFUNCTION("""COMPUTED_VALUE"""),7854.0)</f>
        <v>7854</v>
      </c>
      <c r="Q1622" s="20">
        <f>IFERROR(__xludf.DUMMYFUNCTION("""COMPUTED_VALUE"""),18658.0)</f>
        <v>18658</v>
      </c>
    </row>
    <row r="1623">
      <c r="A1623" s="20">
        <f>IFERROR(__xludf.DUMMYFUNCTION("""COMPUTED_VALUE"""),1728.0)</f>
        <v>1728</v>
      </c>
      <c r="B1623" s="20" t="str">
        <f>IFERROR(__xludf.DUMMYFUNCTION("""COMPUTED_VALUE"""),"Fancy Sequence")</f>
        <v>Fancy Sequence</v>
      </c>
      <c r="C1623" s="20" t="str">
        <f>IFERROR(__xludf.DUMMYFUNCTION("""COMPUTED_VALUE"""),"fancy-sequence")</f>
        <v>fancy-sequence</v>
      </c>
      <c r="D1623" s="20" t="b">
        <f>IFERROR(__xludf.DUMMYFUNCTION("""COMPUTED_VALUE"""),FALSE)</f>
        <v>0</v>
      </c>
      <c r="E1623" s="20" t="str">
        <f>IFERROR(__xludf.DUMMYFUNCTION("""COMPUTED_VALUE"""),"Hard")</f>
        <v>Hard</v>
      </c>
      <c r="F1623" s="20">
        <f>IFERROR(__xludf.DUMMYFUNCTION("""COMPUTED_VALUE"""),314.0)</f>
        <v>314</v>
      </c>
      <c r="G1623" s="20">
        <f>IFERROR(__xludf.DUMMYFUNCTION("""COMPUTED_VALUE"""),108.0)</f>
        <v>108</v>
      </c>
      <c r="H1623" s="20" t="str">
        <f>IFERROR(__xludf.DUMMYFUNCTION("""COMPUTED_VALUE"""),"Algorithms")</f>
        <v>Algorithms</v>
      </c>
      <c r="I1623" s="20">
        <f>IFERROR(__xludf.DUMMYFUNCTION("""COMPUTED_VALUE"""),0.16)</f>
        <v>0.16</v>
      </c>
      <c r="J1623" s="20">
        <f>IFERROR(__xludf.DUMMYFUNCTION("""COMPUTED_VALUE"""),1622.0)</f>
        <v>1622</v>
      </c>
      <c r="K1623" s="20" t="b">
        <f>IFERROR(__xludf.DUMMYFUNCTION("""COMPUTED_VALUE"""),FALSE)</f>
        <v>0</v>
      </c>
      <c r="L1623" s="20" t="str">
        <f>IFERROR(__xludf.DUMMYFUNCTION("""COMPUTED_VALUE"""),"Math;Design;Segment Tree;")</f>
        <v>Math;Design;Segment Tree;</v>
      </c>
      <c r="M1623" s="20" t="b">
        <f>IFERROR(__xludf.DUMMYFUNCTION("""COMPUTED_VALUE"""),FALSE)</f>
        <v>0</v>
      </c>
      <c r="N1623" s="20" t="b">
        <f>IFERROR(__xludf.DUMMYFUNCTION("""COMPUTED_VALUE"""),FALSE)</f>
        <v>0</v>
      </c>
      <c r="O1623" s="20">
        <f>IFERROR(__xludf.DUMMYFUNCTION("""COMPUTED_VALUE"""),15.9995730600917)</f>
        <v>15.99957306</v>
      </c>
      <c r="P1623" s="20">
        <f>IFERROR(__xludf.DUMMYFUNCTION("""COMPUTED_VALUE"""),8994.0)</f>
        <v>8994</v>
      </c>
      <c r="Q1623" s="20">
        <f>IFERROR(__xludf.DUMMYFUNCTION("""COMPUTED_VALUE"""),56211.0)</f>
        <v>56211</v>
      </c>
    </row>
    <row r="1624">
      <c r="A1624" s="20">
        <f>IFERROR(__xludf.DUMMYFUNCTION("""COMPUTED_VALUE"""),1763.0)</f>
        <v>1763</v>
      </c>
      <c r="B1624" s="20" t="str">
        <f>IFERROR(__xludf.DUMMYFUNCTION("""COMPUTED_VALUE"""),"All Valid Triplets That Can Represent a Country")</f>
        <v>All Valid Triplets That Can Represent a Country</v>
      </c>
      <c r="C1624" s="20" t="str">
        <f>IFERROR(__xludf.DUMMYFUNCTION("""COMPUTED_VALUE"""),"all-valid-triplets-that-can-represent-a-country")</f>
        <v>all-valid-triplets-that-can-represent-a-country</v>
      </c>
      <c r="D1624" s="20" t="b">
        <f>IFERROR(__xludf.DUMMYFUNCTION("""COMPUTED_VALUE"""),TRUE)</f>
        <v>1</v>
      </c>
      <c r="E1624" s="20" t="str">
        <f>IFERROR(__xludf.DUMMYFUNCTION("""COMPUTED_VALUE"""),"Easy")</f>
        <v>Easy</v>
      </c>
      <c r="F1624" s="20">
        <f>IFERROR(__xludf.DUMMYFUNCTION("""COMPUTED_VALUE"""),60.0)</f>
        <v>60</v>
      </c>
      <c r="G1624" s="20">
        <f>IFERROR(__xludf.DUMMYFUNCTION("""COMPUTED_VALUE"""),116.0)</f>
        <v>116</v>
      </c>
      <c r="H1624" s="20" t="str">
        <f>IFERROR(__xludf.DUMMYFUNCTION("""COMPUTED_VALUE"""),"Database")</f>
        <v>Database</v>
      </c>
      <c r="I1624" s="20">
        <f>IFERROR(__xludf.DUMMYFUNCTION("""COMPUTED_VALUE"""),0.876)</f>
        <v>0.876</v>
      </c>
      <c r="J1624" s="20">
        <f>IFERROR(__xludf.DUMMYFUNCTION("""COMPUTED_VALUE"""),1623.0)</f>
        <v>1623</v>
      </c>
      <c r="K1624" s="20" t="b">
        <f>IFERROR(__xludf.DUMMYFUNCTION("""COMPUTED_VALUE"""),TRUE)</f>
        <v>1</v>
      </c>
      <c r="L1624" s="20" t="str">
        <f>IFERROR(__xludf.DUMMYFUNCTION("""COMPUTED_VALUE"""),"Database;")</f>
        <v>Database;</v>
      </c>
      <c r="M1624" s="20" t="b">
        <f>IFERROR(__xludf.DUMMYFUNCTION("""COMPUTED_VALUE"""),FALSE)</f>
        <v>0</v>
      </c>
      <c r="N1624" s="20" t="b">
        <f>IFERROR(__xludf.DUMMYFUNCTION("""COMPUTED_VALUE"""),FALSE)</f>
        <v>0</v>
      </c>
      <c r="O1624" s="20">
        <f>IFERROR(__xludf.DUMMYFUNCTION("""COMPUTED_VALUE"""),87.5923190546528)</f>
        <v>87.59231905</v>
      </c>
      <c r="P1624" s="20">
        <f>IFERROR(__xludf.DUMMYFUNCTION("""COMPUTED_VALUE"""),16010.0)</f>
        <v>16010</v>
      </c>
      <c r="Q1624" s="20">
        <f>IFERROR(__xludf.DUMMYFUNCTION("""COMPUTED_VALUE"""),18278.0)</f>
        <v>18278</v>
      </c>
    </row>
    <row r="1625">
      <c r="A1625" s="20">
        <f>IFERROR(__xludf.DUMMYFUNCTION("""COMPUTED_VALUE"""),1746.0)</f>
        <v>1746</v>
      </c>
      <c r="B1625" s="20" t="str">
        <f>IFERROR(__xludf.DUMMYFUNCTION("""COMPUTED_VALUE"""),"Largest Substring Between Two Equal Characters")</f>
        <v>Largest Substring Between Two Equal Characters</v>
      </c>
      <c r="C1625" s="20" t="str">
        <f>IFERROR(__xludf.DUMMYFUNCTION("""COMPUTED_VALUE"""),"largest-substring-between-two-equal-characters")</f>
        <v>largest-substring-between-two-equal-characters</v>
      </c>
      <c r="D1625" s="20" t="b">
        <f>IFERROR(__xludf.DUMMYFUNCTION("""COMPUTED_VALUE"""),FALSE)</f>
        <v>0</v>
      </c>
      <c r="E1625" s="20" t="str">
        <f>IFERROR(__xludf.DUMMYFUNCTION("""COMPUTED_VALUE"""),"Easy")</f>
        <v>Easy</v>
      </c>
      <c r="F1625" s="20">
        <f>IFERROR(__xludf.DUMMYFUNCTION("""COMPUTED_VALUE"""),505.0)</f>
        <v>505</v>
      </c>
      <c r="G1625" s="20">
        <f>IFERROR(__xludf.DUMMYFUNCTION("""COMPUTED_VALUE"""),29.0)</f>
        <v>29</v>
      </c>
      <c r="H1625" s="20" t="str">
        <f>IFERROR(__xludf.DUMMYFUNCTION("""COMPUTED_VALUE"""),"Algorithms")</f>
        <v>Algorithms</v>
      </c>
      <c r="I1625" s="20">
        <f>IFERROR(__xludf.DUMMYFUNCTION("""COMPUTED_VALUE"""),0.591)</f>
        <v>0.591</v>
      </c>
      <c r="J1625" s="20">
        <f>IFERROR(__xludf.DUMMYFUNCTION("""COMPUTED_VALUE"""),1624.0)</f>
        <v>1624</v>
      </c>
      <c r="K1625" s="20" t="b">
        <f>IFERROR(__xludf.DUMMYFUNCTION("""COMPUTED_VALUE"""),FALSE)</f>
        <v>0</v>
      </c>
      <c r="L1625" s="20" t="str">
        <f>IFERROR(__xludf.DUMMYFUNCTION("""COMPUTED_VALUE"""),"Hash Table;String;")</f>
        <v>Hash Table;String;</v>
      </c>
      <c r="M1625" s="20" t="b">
        <f>IFERROR(__xludf.DUMMYFUNCTION("""COMPUTED_VALUE"""),FALSE)</f>
        <v>0</v>
      </c>
      <c r="N1625" s="20" t="b">
        <f>IFERROR(__xludf.DUMMYFUNCTION("""COMPUTED_VALUE"""),FALSE)</f>
        <v>0</v>
      </c>
      <c r="O1625" s="20">
        <f>IFERROR(__xludf.DUMMYFUNCTION("""COMPUTED_VALUE"""),59.0737154269805)</f>
        <v>59.07371543</v>
      </c>
      <c r="P1625" s="20">
        <f>IFERROR(__xludf.DUMMYFUNCTION("""COMPUTED_VALUE"""),39042.0)</f>
        <v>39042</v>
      </c>
      <c r="Q1625" s="20">
        <f>IFERROR(__xludf.DUMMYFUNCTION("""COMPUTED_VALUE"""),66091.0)</f>
        <v>66091</v>
      </c>
    </row>
    <row r="1626">
      <c r="A1626" s="20">
        <f>IFERROR(__xludf.DUMMYFUNCTION("""COMPUTED_VALUE"""),1747.0)</f>
        <v>1747</v>
      </c>
      <c r="B1626" s="20" t="str">
        <f>IFERROR(__xludf.DUMMYFUNCTION("""COMPUTED_VALUE"""),"Lexicographically Smallest String After Applying Operations")</f>
        <v>Lexicographically Smallest String After Applying Operations</v>
      </c>
      <c r="C1626" s="20" t="str">
        <f>IFERROR(__xludf.DUMMYFUNCTION("""COMPUTED_VALUE"""),"lexicographically-smallest-string-after-applying-operations")</f>
        <v>lexicographically-smallest-string-after-applying-operations</v>
      </c>
      <c r="D1626" s="20" t="b">
        <f>IFERROR(__xludf.DUMMYFUNCTION("""COMPUTED_VALUE"""),FALSE)</f>
        <v>0</v>
      </c>
      <c r="E1626" s="20" t="str">
        <f>IFERROR(__xludf.DUMMYFUNCTION("""COMPUTED_VALUE"""),"Medium")</f>
        <v>Medium</v>
      </c>
      <c r="F1626" s="20">
        <f>IFERROR(__xludf.DUMMYFUNCTION("""COMPUTED_VALUE"""),286.0)</f>
        <v>286</v>
      </c>
      <c r="G1626" s="20">
        <f>IFERROR(__xludf.DUMMYFUNCTION("""COMPUTED_VALUE"""),246.0)</f>
        <v>246</v>
      </c>
      <c r="H1626" s="20" t="str">
        <f>IFERROR(__xludf.DUMMYFUNCTION("""COMPUTED_VALUE"""),"Algorithms")</f>
        <v>Algorithms</v>
      </c>
      <c r="I1626" s="20">
        <f>IFERROR(__xludf.DUMMYFUNCTION("""COMPUTED_VALUE"""),0.659)</f>
        <v>0.659</v>
      </c>
      <c r="J1626" s="20">
        <f>IFERROR(__xludf.DUMMYFUNCTION("""COMPUTED_VALUE"""),1625.0)</f>
        <v>1625</v>
      </c>
      <c r="K1626" s="20" t="b">
        <f>IFERROR(__xludf.DUMMYFUNCTION("""COMPUTED_VALUE"""),FALSE)</f>
        <v>0</v>
      </c>
      <c r="L1626" s="20" t="str">
        <f>IFERROR(__xludf.DUMMYFUNCTION("""COMPUTED_VALUE"""),"String;Breadth-First Search;")</f>
        <v>String;Breadth-First Search;</v>
      </c>
      <c r="M1626" s="20" t="b">
        <f>IFERROR(__xludf.DUMMYFUNCTION("""COMPUTED_VALUE"""),FALSE)</f>
        <v>0</v>
      </c>
      <c r="N1626" s="20" t="b">
        <f>IFERROR(__xludf.DUMMYFUNCTION("""COMPUTED_VALUE"""),FALSE)</f>
        <v>0</v>
      </c>
      <c r="O1626" s="20">
        <f>IFERROR(__xludf.DUMMYFUNCTION("""COMPUTED_VALUE"""),65.8852285984111)</f>
        <v>65.8852286</v>
      </c>
      <c r="P1626" s="20">
        <f>IFERROR(__xludf.DUMMYFUNCTION("""COMPUTED_VALUE"""),11860.0)</f>
        <v>11860</v>
      </c>
      <c r="Q1626" s="20">
        <f>IFERROR(__xludf.DUMMYFUNCTION("""COMPUTED_VALUE"""),18001.0)</f>
        <v>18001</v>
      </c>
    </row>
    <row r="1627">
      <c r="A1627" s="20">
        <f>IFERROR(__xludf.DUMMYFUNCTION("""COMPUTED_VALUE"""),1748.0)</f>
        <v>1748</v>
      </c>
      <c r="B1627" s="20" t="str">
        <f>IFERROR(__xludf.DUMMYFUNCTION("""COMPUTED_VALUE"""),"Best Team With No Conflicts")</f>
        <v>Best Team With No Conflicts</v>
      </c>
      <c r="C1627" s="20" t="str">
        <f>IFERROR(__xludf.DUMMYFUNCTION("""COMPUTED_VALUE"""),"best-team-with-no-conflicts")</f>
        <v>best-team-with-no-conflicts</v>
      </c>
      <c r="D1627" s="20" t="b">
        <f>IFERROR(__xludf.DUMMYFUNCTION("""COMPUTED_VALUE"""),FALSE)</f>
        <v>0</v>
      </c>
      <c r="E1627" s="20" t="str">
        <f>IFERROR(__xludf.DUMMYFUNCTION("""COMPUTED_VALUE"""),"Medium")</f>
        <v>Medium</v>
      </c>
      <c r="F1627" s="20">
        <f>IFERROR(__xludf.DUMMYFUNCTION("""COMPUTED_VALUE"""),1014.0)</f>
        <v>1014</v>
      </c>
      <c r="G1627" s="20">
        <f>IFERROR(__xludf.DUMMYFUNCTION("""COMPUTED_VALUE"""),31.0)</f>
        <v>31</v>
      </c>
      <c r="H1627" s="20" t="str">
        <f>IFERROR(__xludf.DUMMYFUNCTION("""COMPUTED_VALUE"""),"Algorithms")</f>
        <v>Algorithms</v>
      </c>
      <c r="I1627" s="20">
        <f>IFERROR(__xludf.DUMMYFUNCTION("""COMPUTED_VALUE"""),0.412)</f>
        <v>0.412</v>
      </c>
      <c r="J1627" s="20">
        <f>IFERROR(__xludf.DUMMYFUNCTION("""COMPUTED_VALUE"""),1626.0)</f>
        <v>1626</v>
      </c>
      <c r="K1627" s="20" t="b">
        <f>IFERROR(__xludf.DUMMYFUNCTION("""COMPUTED_VALUE"""),FALSE)</f>
        <v>0</v>
      </c>
      <c r="L1627" s="20" t="str">
        <f>IFERROR(__xludf.DUMMYFUNCTION("""COMPUTED_VALUE"""),"Array;Dynamic Programming;Sorting;")</f>
        <v>Array;Dynamic Programming;Sorting;</v>
      </c>
      <c r="M1627" s="20" t="b">
        <f>IFERROR(__xludf.DUMMYFUNCTION("""COMPUTED_VALUE"""),TRUE)</f>
        <v>1</v>
      </c>
      <c r="N1627" s="20" t="b">
        <f>IFERROR(__xludf.DUMMYFUNCTION("""COMPUTED_VALUE"""),FALSE)</f>
        <v>0</v>
      </c>
      <c r="O1627" s="20">
        <f>IFERROR(__xludf.DUMMYFUNCTION("""COMPUTED_VALUE"""),41.1699639146281)</f>
        <v>41.16996391</v>
      </c>
      <c r="P1627" s="20">
        <f>IFERROR(__xludf.DUMMYFUNCTION("""COMPUTED_VALUE"""),22703.0)</f>
        <v>22703</v>
      </c>
      <c r="Q1627" s="20">
        <f>IFERROR(__xludf.DUMMYFUNCTION("""COMPUTED_VALUE"""),55146.0)</f>
        <v>55146</v>
      </c>
    </row>
    <row r="1628">
      <c r="A1628" s="20">
        <f>IFERROR(__xludf.DUMMYFUNCTION("""COMPUTED_VALUE"""),1223.0)</f>
        <v>1223</v>
      </c>
      <c r="B1628" s="20" t="str">
        <f>IFERROR(__xludf.DUMMYFUNCTION("""COMPUTED_VALUE"""),"Graph Connectivity With Threshold")</f>
        <v>Graph Connectivity With Threshold</v>
      </c>
      <c r="C1628" s="20" t="str">
        <f>IFERROR(__xludf.DUMMYFUNCTION("""COMPUTED_VALUE"""),"graph-connectivity-with-threshold")</f>
        <v>graph-connectivity-with-threshold</v>
      </c>
      <c r="D1628" s="20" t="b">
        <f>IFERROR(__xludf.DUMMYFUNCTION("""COMPUTED_VALUE"""),FALSE)</f>
        <v>0</v>
      </c>
      <c r="E1628" s="20" t="str">
        <f>IFERROR(__xludf.DUMMYFUNCTION("""COMPUTED_VALUE"""),"Hard")</f>
        <v>Hard</v>
      </c>
      <c r="F1628" s="20">
        <f>IFERROR(__xludf.DUMMYFUNCTION("""COMPUTED_VALUE"""),439.0)</f>
        <v>439</v>
      </c>
      <c r="G1628" s="20">
        <f>IFERROR(__xludf.DUMMYFUNCTION("""COMPUTED_VALUE"""),26.0)</f>
        <v>26</v>
      </c>
      <c r="H1628" s="20" t="str">
        <f>IFERROR(__xludf.DUMMYFUNCTION("""COMPUTED_VALUE"""),"Algorithms")</f>
        <v>Algorithms</v>
      </c>
      <c r="I1628" s="20">
        <f>IFERROR(__xludf.DUMMYFUNCTION("""COMPUTED_VALUE"""),0.461)</f>
        <v>0.461</v>
      </c>
      <c r="J1628" s="20">
        <f>IFERROR(__xludf.DUMMYFUNCTION("""COMPUTED_VALUE"""),1627.0)</f>
        <v>1627</v>
      </c>
      <c r="K1628" s="20" t="b">
        <f>IFERROR(__xludf.DUMMYFUNCTION("""COMPUTED_VALUE"""),FALSE)</f>
        <v>0</v>
      </c>
      <c r="L1628" s="20" t="str">
        <f>IFERROR(__xludf.DUMMYFUNCTION("""COMPUTED_VALUE"""),"Array;Math;Union Find;")</f>
        <v>Array;Math;Union Find;</v>
      </c>
      <c r="M1628" s="20" t="b">
        <f>IFERROR(__xludf.DUMMYFUNCTION("""COMPUTED_VALUE"""),FALSE)</f>
        <v>0</v>
      </c>
      <c r="N1628" s="20" t="b">
        <f>IFERROR(__xludf.DUMMYFUNCTION("""COMPUTED_VALUE"""),FALSE)</f>
        <v>0</v>
      </c>
      <c r="O1628" s="20">
        <f>IFERROR(__xludf.DUMMYFUNCTION("""COMPUTED_VALUE"""),46.0919340849956)</f>
        <v>46.09193408</v>
      </c>
      <c r="P1628" s="20">
        <f>IFERROR(__xludf.DUMMYFUNCTION("""COMPUTED_VALUE"""),13286.0)</f>
        <v>13286</v>
      </c>
      <c r="Q1628" s="20">
        <f>IFERROR(__xludf.DUMMYFUNCTION("""COMPUTED_VALUE"""),28825.0)</f>
        <v>28825</v>
      </c>
    </row>
    <row r="1629">
      <c r="A1629" s="20">
        <f>IFERROR(__xludf.DUMMYFUNCTION("""COMPUTED_VALUE"""),1768.0)</f>
        <v>1768</v>
      </c>
      <c r="B1629" s="20" t="str">
        <f>IFERROR(__xludf.DUMMYFUNCTION("""COMPUTED_VALUE"""),"Design an Expression Tree With Evaluate Function")</f>
        <v>Design an Expression Tree With Evaluate Function</v>
      </c>
      <c r="C1629" s="20" t="str">
        <f>IFERROR(__xludf.DUMMYFUNCTION("""COMPUTED_VALUE"""),"design-an-expression-tree-with-evaluate-function")</f>
        <v>design-an-expression-tree-with-evaluate-function</v>
      </c>
      <c r="D1629" s="20" t="b">
        <f>IFERROR(__xludf.DUMMYFUNCTION("""COMPUTED_VALUE"""),TRUE)</f>
        <v>1</v>
      </c>
      <c r="E1629" s="20" t="str">
        <f>IFERROR(__xludf.DUMMYFUNCTION("""COMPUTED_VALUE"""),"Medium")</f>
        <v>Medium</v>
      </c>
      <c r="F1629" s="20">
        <f>IFERROR(__xludf.DUMMYFUNCTION("""COMPUTED_VALUE"""),469.0)</f>
        <v>469</v>
      </c>
      <c r="G1629" s="20">
        <f>IFERROR(__xludf.DUMMYFUNCTION("""COMPUTED_VALUE"""),69.0)</f>
        <v>69</v>
      </c>
      <c r="H1629" s="20" t="str">
        <f>IFERROR(__xludf.DUMMYFUNCTION("""COMPUTED_VALUE"""),"Algorithms")</f>
        <v>Algorithms</v>
      </c>
      <c r="I1629" s="20">
        <f>IFERROR(__xludf.DUMMYFUNCTION("""COMPUTED_VALUE"""),0.828)</f>
        <v>0.828</v>
      </c>
      <c r="J1629" s="20">
        <f>IFERROR(__xludf.DUMMYFUNCTION("""COMPUTED_VALUE"""),1628.0)</f>
        <v>1628</v>
      </c>
      <c r="K1629" s="20" t="b">
        <f>IFERROR(__xludf.DUMMYFUNCTION("""COMPUTED_VALUE"""),TRUE)</f>
        <v>1</v>
      </c>
      <c r="L1629" s="20" t="str">
        <f>IFERROR(__xludf.DUMMYFUNCTION("""COMPUTED_VALUE"""),"Math;Stack;Tree;Design;Binary Tree;")</f>
        <v>Math;Stack;Tree;Design;Binary Tree;</v>
      </c>
      <c r="M1629" s="20" t="b">
        <f>IFERROR(__xludf.DUMMYFUNCTION("""COMPUTED_VALUE"""),FALSE)</f>
        <v>0</v>
      </c>
      <c r="N1629" s="20" t="b">
        <f>IFERROR(__xludf.DUMMYFUNCTION("""COMPUTED_VALUE"""),FALSE)</f>
        <v>0</v>
      </c>
      <c r="O1629" s="20">
        <f>IFERROR(__xludf.DUMMYFUNCTION("""COMPUTED_VALUE"""),82.8075876929598)</f>
        <v>82.80758769</v>
      </c>
      <c r="P1629" s="20">
        <f>IFERROR(__xludf.DUMMYFUNCTION("""COMPUTED_VALUE"""),23442.0)</f>
        <v>23442</v>
      </c>
      <c r="Q1629" s="20">
        <f>IFERROR(__xludf.DUMMYFUNCTION("""COMPUTED_VALUE"""),28309.0)</f>
        <v>28309</v>
      </c>
    </row>
    <row r="1630">
      <c r="A1630" s="20">
        <f>IFERROR(__xludf.DUMMYFUNCTION("""COMPUTED_VALUE"""),1751.0)</f>
        <v>1751</v>
      </c>
      <c r="B1630" s="20" t="str">
        <f>IFERROR(__xludf.DUMMYFUNCTION("""COMPUTED_VALUE"""),"Slowest Key")</f>
        <v>Slowest Key</v>
      </c>
      <c r="C1630" s="20" t="str">
        <f>IFERROR(__xludf.DUMMYFUNCTION("""COMPUTED_VALUE"""),"slowest-key")</f>
        <v>slowest-key</v>
      </c>
      <c r="D1630" s="20" t="b">
        <f>IFERROR(__xludf.DUMMYFUNCTION("""COMPUTED_VALUE"""),FALSE)</f>
        <v>0</v>
      </c>
      <c r="E1630" s="20" t="str">
        <f>IFERROR(__xludf.DUMMYFUNCTION("""COMPUTED_VALUE"""),"Easy")</f>
        <v>Easy</v>
      </c>
      <c r="F1630" s="20">
        <f>IFERROR(__xludf.DUMMYFUNCTION("""COMPUTED_VALUE"""),641.0)</f>
        <v>641</v>
      </c>
      <c r="G1630" s="20">
        <f>IFERROR(__xludf.DUMMYFUNCTION("""COMPUTED_VALUE"""),93.0)</f>
        <v>93</v>
      </c>
      <c r="H1630" s="20" t="str">
        <f>IFERROR(__xludf.DUMMYFUNCTION("""COMPUTED_VALUE"""),"Algorithms")</f>
        <v>Algorithms</v>
      </c>
      <c r="I1630" s="20">
        <f>IFERROR(__xludf.DUMMYFUNCTION("""COMPUTED_VALUE"""),0.593)</f>
        <v>0.593</v>
      </c>
      <c r="J1630" s="20">
        <f>IFERROR(__xludf.DUMMYFUNCTION("""COMPUTED_VALUE"""),1629.0)</f>
        <v>1629</v>
      </c>
      <c r="K1630" s="20" t="b">
        <f>IFERROR(__xludf.DUMMYFUNCTION("""COMPUTED_VALUE"""),FALSE)</f>
        <v>0</v>
      </c>
      <c r="L1630" s="20" t="str">
        <f>IFERROR(__xludf.DUMMYFUNCTION("""COMPUTED_VALUE"""),"Array;String;")</f>
        <v>Array;String;</v>
      </c>
      <c r="M1630" s="20" t="b">
        <f>IFERROR(__xludf.DUMMYFUNCTION("""COMPUTED_VALUE"""),TRUE)</f>
        <v>1</v>
      </c>
      <c r="N1630" s="20" t="b">
        <f>IFERROR(__xludf.DUMMYFUNCTION("""COMPUTED_VALUE"""),FALSE)</f>
        <v>0</v>
      </c>
      <c r="O1630" s="20">
        <f>IFERROR(__xludf.DUMMYFUNCTION("""COMPUTED_VALUE"""),59.3312398633493)</f>
        <v>59.33123986</v>
      </c>
      <c r="P1630" s="20">
        <f>IFERROR(__xludf.DUMMYFUNCTION("""COMPUTED_VALUE"""),85962.0)</f>
        <v>85962</v>
      </c>
      <c r="Q1630" s="20">
        <f>IFERROR(__xludf.DUMMYFUNCTION("""COMPUTED_VALUE"""),144889.0)</f>
        <v>144889</v>
      </c>
    </row>
    <row r="1631">
      <c r="A1631" s="20">
        <f>IFERROR(__xludf.DUMMYFUNCTION("""COMPUTED_VALUE"""),1752.0)</f>
        <v>1752</v>
      </c>
      <c r="B1631" s="20" t="str">
        <f>IFERROR(__xludf.DUMMYFUNCTION("""COMPUTED_VALUE"""),"Arithmetic Subarrays")</f>
        <v>Arithmetic Subarrays</v>
      </c>
      <c r="C1631" s="20" t="str">
        <f>IFERROR(__xludf.DUMMYFUNCTION("""COMPUTED_VALUE"""),"arithmetic-subarrays")</f>
        <v>arithmetic-subarrays</v>
      </c>
      <c r="D1631" s="20" t="b">
        <f>IFERROR(__xludf.DUMMYFUNCTION("""COMPUTED_VALUE"""),FALSE)</f>
        <v>0</v>
      </c>
      <c r="E1631" s="20" t="str">
        <f>IFERROR(__xludf.DUMMYFUNCTION("""COMPUTED_VALUE"""),"Medium")</f>
        <v>Medium</v>
      </c>
      <c r="F1631" s="20">
        <f>IFERROR(__xludf.DUMMYFUNCTION("""COMPUTED_VALUE"""),873.0)</f>
        <v>873</v>
      </c>
      <c r="G1631" s="20">
        <f>IFERROR(__xludf.DUMMYFUNCTION("""COMPUTED_VALUE"""),93.0)</f>
        <v>93</v>
      </c>
      <c r="H1631" s="20" t="str">
        <f>IFERROR(__xludf.DUMMYFUNCTION("""COMPUTED_VALUE"""),"Algorithms")</f>
        <v>Algorithms</v>
      </c>
      <c r="I1631" s="20">
        <f>IFERROR(__xludf.DUMMYFUNCTION("""COMPUTED_VALUE"""),0.801)</f>
        <v>0.801</v>
      </c>
      <c r="J1631" s="20">
        <f>IFERROR(__xludf.DUMMYFUNCTION("""COMPUTED_VALUE"""),1630.0)</f>
        <v>1630</v>
      </c>
      <c r="K1631" s="20" t="b">
        <f>IFERROR(__xludf.DUMMYFUNCTION("""COMPUTED_VALUE"""),FALSE)</f>
        <v>0</v>
      </c>
      <c r="L1631" s="20" t="str">
        <f>IFERROR(__xludf.DUMMYFUNCTION("""COMPUTED_VALUE"""),"Array;Sorting;")</f>
        <v>Array;Sorting;</v>
      </c>
      <c r="M1631" s="20" t="b">
        <f>IFERROR(__xludf.DUMMYFUNCTION("""COMPUTED_VALUE"""),FALSE)</f>
        <v>0</v>
      </c>
      <c r="N1631" s="20" t="b">
        <f>IFERROR(__xludf.DUMMYFUNCTION("""COMPUTED_VALUE"""),FALSE)</f>
        <v>0</v>
      </c>
      <c r="O1631" s="20">
        <f>IFERROR(__xludf.DUMMYFUNCTION("""COMPUTED_VALUE"""),80.0799971807161)</f>
        <v>80.07999718</v>
      </c>
      <c r="P1631" s="20">
        <f>IFERROR(__xludf.DUMMYFUNCTION("""COMPUTED_VALUE"""),45447.0)</f>
        <v>45447</v>
      </c>
      <c r="Q1631" s="20">
        <f>IFERROR(__xludf.DUMMYFUNCTION("""COMPUTED_VALUE"""),56752.0)</f>
        <v>56752</v>
      </c>
    </row>
    <row r="1632">
      <c r="A1632" s="20">
        <f>IFERROR(__xludf.DUMMYFUNCTION("""COMPUTED_VALUE"""),1753.0)</f>
        <v>1753</v>
      </c>
      <c r="B1632" s="20" t="str">
        <f>IFERROR(__xludf.DUMMYFUNCTION("""COMPUTED_VALUE"""),"Path With Minimum Effort")</f>
        <v>Path With Minimum Effort</v>
      </c>
      <c r="C1632" s="20" t="str">
        <f>IFERROR(__xludf.DUMMYFUNCTION("""COMPUTED_VALUE"""),"path-with-minimum-effort")</f>
        <v>path-with-minimum-effort</v>
      </c>
      <c r="D1632" s="20" t="b">
        <f>IFERROR(__xludf.DUMMYFUNCTION("""COMPUTED_VALUE"""),FALSE)</f>
        <v>0</v>
      </c>
      <c r="E1632" s="20" t="str">
        <f>IFERROR(__xludf.DUMMYFUNCTION("""COMPUTED_VALUE"""),"Medium")</f>
        <v>Medium</v>
      </c>
      <c r="F1632" s="20">
        <f>IFERROR(__xludf.DUMMYFUNCTION("""COMPUTED_VALUE"""),3867.0)</f>
        <v>3867</v>
      </c>
      <c r="G1632" s="20">
        <f>IFERROR(__xludf.DUMMYFUNCTION("""COMPUTED_VALUE"""),151.0)</f>
        <v>151</v>
      </c>
      <c r="H1632" s="20" t="str">
        <f>IFERROR(__xludf.DUMMYFUNCTION("""COMPUTED_VALUE"""),"Algorithms")</f>
        <v>Algorithms</v>
      </c>
      <c r="I1632" s="20">
        <f>IFERROR(__xludf.DUMMYFUNCTION("""COMPUTED_VALUE"""),0.554)</f>
        <v>0.554</v>
      </c>
      <c r="J1632" s="20">
        <f>IFERROR(__xludf.DUMMYFUNCTION("""COMPUTED_VALUE"""),1631.0)</f>
        <v>1631</v>
      </c>
      <c r="K1632" s="20" t="b">
        <f>IFERROR(__xludf.DUMMYFUNCTION("""COMPUTED_VALUE"""),FALSE)</f>
        <v>0</v>
      </c>
      <c r="L1632" s="20" t="str">
        <f>IFERROR(__xludf.DUMMYFUNCTION("""COMPUTED_VALUE"""),"Array;Binary Search;Depth-First Search;Breadth-First Search;Union Find;Heap (Priority Queue);Matrix;")</f>
        <v>Array;Binary Search;Depth-First Search;Breadth-First Search;Union Find;Heap (Priority Queue);Matrix;</v>
      </c>
      <c r="M1632" s="20" t="b">
        <f>IFERROR(__xludf.DUMMYFUNCTION("""COMPUTED_VALUE"""),TRUE)</f>
        <v>1</v>
      </c>
      <c r="N1632" s="20" t="b">
        <f>IFERROR(__xludf.DUMMYFUNCTION("""COMPUTED_VALUE"""),FALSE)</f>
        <v>0</v>
      </c>
      <c r="O1632" s="20">
        <f>IFERROR(__xludf.DUMMYFUNCTION("""COMPUTED_VALUE"""),55.430649966259)</f>
        <v>55.43064997</v>
      </c>
      <c r="P1632" s="20">
        <f>IFERROR(__xludf.DUMMYFUNCTION("""COMPUTED_VALUE"""),134712.0)</f>
        <v>134712</v>
      </c>
      <c r="Q1632" s="20">
        <f>IFERROR(__xludf.DUMMYFUNCTION("""COMPUTED_VALUE"""),243028.0)</f>
        <v>243028</v>
      </c>
    </row>
    <row r="1633">
      <c r="A1633" s="20">
        <f>IFERROR(__xludf.DUMMYFUNCTION("""COMPUTED_VALUE"""),1257.0)</f>
        <v>1257</v>
      </c>
      <c r="B1633" s="20" t="str">
        <f>IFERROR(__xludf.DUMMYFUNCTION("""COMPUTED_VALUE"""),"Rank Transform of a Matrix")</f>
        <v>Rank Transform of a Matrix</v>
      </c>
      <c r="C1633" s="20" t="str">
        <f>IFERROR(__xludf.DUMMYFUNCTION("""COMPUTED_VALUE"""),"rank-transform-of-a-matrix")</f>
        <v>rank-transform-of-a-matrix</v>
      </c>
      <c r="D1633" s="20" t="b">
        <f>IFERROR(__xludf.DUMMYFUNCTION("""COMPUTED_VALUE"""),FALSE)</f>
        <v>0</v>
      </c>
      <c r="E1633" s="20" t="str">
        <f>IFERROR(__xludf.DUMMYFUNCTION("""COMPUTED_VALUE"""),"Hard")</f>
        <v>Hard</v>
      </c>
      <c r="F1633" s="20">
        <f>IFERROR(__xludf.DUMMYFUNCTION("""COMPUTED_VALUE"""),738.0)</f>
        <v>738</v>
      </c>
      <c r="G1633" s="20">
        <f>IFERROR(__xludf.DUMMYFUNCTION("""COMPUTED_VALUE"""),49.0)</f>
        <v>49</v>
      </c>
      <c r="H1633" s="20" t="str">
        <f>IFERROR(__xludf.DUMMYFUNCTION("""COMPUTED_VALUE"""),"Algorithms")</f>
        <v>Algorithms</v>
      </c>
      <c r="I1633" s="20">
        <f>IFERROR(__xludf.DUMMYFUNCTION("""COMPUTED_VALUE"""),0.41)</f>
        <v>0.41</v>
      </c>
      <c r="J1633" s="20">
        <f>IFERROR(__xludf.DUMMYFUNCTION("""COMPUTED_VALUE"""),1632.0)</f>
        <v>1632</v>
      </c>
      <c r="K1633" s="20" t="b">
        <f>IFERROR(__xludf.DUMMYFUNCTION("""COMPUTED_VALUE"""),FALSE)</f>
        <v>0</v>
      </c>
      <c r="L1633" s="20" t="str">
        <f>IFERROR(__xludf.DUMMYFUNCTION("""COMPUTED_VALUE"""),"Array;Greedy;Union Find;Graph;Topological Sort;Matrix;")</f>
        <v>Array;Greedy;Union Find;Graph;Topological Sort;Matrix;</v>
      </c>
      <c r="M1633" s="20" t="b">
        <f>IFERROR(__xludf.DUMMYFUNCTION("""COMPUTED_VALUE"""),TRUE)</f>
        <v>1</v>
      </c>
      <c r="N1633" s="20" t="b">
        <f>IFERROR(__xludf.DUMMYFUNCTION("""COMPUTED_VALUE"""),FALSE)</f>
        <v>0</v>
      </c>
      <c r="O1633" s="20">
        <f>IFERROR(__xludf.DUMMYFUNCTION("""COMPUTED_VALUE"""),41.0125572214522)</f>
        <v>41.01255722</v>
      </c>
      <c r="P1633" s="20">
        <f>IFERROR(__xludf.DUMMYFUNCTION("""COMPUTED_VALUE"""),19531.0)</f>
        <v>19531</v>
      </c>
      <c r="Q1633" s="20">
        <f>IFERROR(__xludf.DUMMYFUNCTION("""COMPUTED_VALUE"""),47622.0)</f>
        <v>47622</v>
      </c>
    </row>
    <row r="1634">
      <c r="A1634" s="20">
        <f>IFERROR(__xludf.DUMMYFUNCTION("""COMPUTED_VALUE"""),1773.0)</f>
        <v>1773</v>
      </c>
      <c r="B1634" s="20" t="str">
        <f>IFERROR(__xludf.DUMMYFUNCTION("""COMPUTED_VALUE"""),"Percentage of Users Attended a Contest")</f>
        <v>Percentage of Users Attended a Contest</v>
      </c>
      <c r="C1634" s="20" t="str">
        <f>IFERROR(__xludf.DUMMYFUNCTION("""COMPUTED_VALUE"""),"percentage-of-users-attended-a-contest")</f>
        <v>percentage-of-users-attended-a-contest</v>
      </c>
      <c r="D1634" s="20" t="b">
        <f>IFERROR(__xludf.DUMMYFUNCTION("""COMPUTED_VALUE"""),TRUE)</f>
        <v>1</v>
      </c>
      <c r="E1634" s="20" t="str">
        <f>IFERROR(__xludf.DUMMYFUNCTION("""COMPUTED_VALUE"""),"Easy")</f>
        <v>Easy</v>
      </c>
      <c r="F1634" s="20">
        <f>IFERROR(__xludf.DUMMYFUNCTION("""COMPUTED_VALUE"""),87.0)</f>
        <v>87</v>
      </c>
      <c r="G1634" s="20">
        <f>IFERROR(__xludf.DUMMYFUNCTION("""COMPUTED_VALUE"""),21.0)</f>
        <v>21</v>
      </c>
      <c r="H1634" s="20" t="str">
        <f>IFERROR(__xludf.DUMMYFUNCTION("""COMPUTED_VALUE"""),"Database")</f>
        <v>Database</v>
      </c>
      <c r="I1634" s="20">
        <f>IFERROR(__xludf.DUMMYFUNCTION("""COMPUTED_VALUE"""),0.681)</f>
        <v>0.681</v>
      </c>
      <c r="J1634" s="20">
        <f>IFERROR(__xludf.DUMMYFUNCTION("""COMPUTED_VALUE"""),1633.0)</f>
        <v>1633</v>
      </c>
      <c r="K1634" s="20" t="b">
        <f>IFERROR(__xludf.DUMMYFUNCTION("""COMPUTED_VALUE"""),TRUE)</f>
        <v>1</v>
      </c>
      <c r="L1634" s="20" t="str">
        <f>IFERROR(__xludf.DUMMYFUNCTION("""COMPUTED_VALUE"""),"Database;")</f>
        <v>Database;</v>
      </c>
      <c r="M1634" s="20" t="b">
        <f>IFERROR(__xludf.DUMMYFUNCTION("""COMPUTED_VALUE"""),FALSE)</f>
        <v>0</v>
      </c>
      <c r="N1634" s="20" t="b">
        <f>IFERROR(__xludf.DUMMYFUNCTION("""COMPUTED_VALUE"""),FALSE)</f>
        <v>0</v>
      </c>
      <c r="O1634" s="20">
        <f>IFERROR(__xludf.DUMMYFUNCTION("""COMPUTED_VALUE"""),68.11300036602)</f>
        <v>68.11300037</v>
      </c>
      <c r="P1634" s="20">
        <f>IFERROR(__xludf.DUMMYFUNCTION("""COMPUTED_VALUE"""),20470.0)</f>
        <v>20470</v>
      </c>
      <c r="Q1634" s="20">
        <f>IFERROR(__xludf.DUMMYFUNCTION("""COMPUTED_VALUE"""),30053.0)</f>
        <v>30053</v>
      </c>
    </row>
    <row r="1635">
      <c r="A1635" s="20">
        <f>IFERROR(__xludf.DUMMYFUNCTION("""COMPUTED_VALUE"""),1774.0)</f>
        <v>1774</v>
      </c>
      <c r="B1635" s="20" t="str">
        <f>IFERROR(__xludf.DUMMYFUNCTION("""COMPUTED_VALUE"""),"Add Two Polynomials Represented as Linked Lists")</f>
        <v>Add Two Polynomials Represented as Linked Lists</v>
      </c>
      <c r="C1635" s="20" t="str">
        <f>IFERROR(__xludf.DUMMYFUNCTION("""COMPUTED_VALUE"""),"add-two-polynomials-represented-as-linked-lists")</f>
        <v>add-two-polynomials-represented-as-linked-lists</v>
      </c>
      <c r="D1635" s="20" t="b">
        <f>IFERROR(__xludf.DUMMYFUNCTION("""COMPUTED_VALUE"""),TRUE)</f>
        <v>1</v>
      </c>
      <c r="E1635" s="20" t="str">
        <f>IFERROR(__xludf.DUMMYFUNCTION("""COMPUTED_VALUE"""),"Medium")</f>
        <v>Medium</v>
      </c>
      <c r="F1635" s="20">
        <f>IFERROR(__xludf.DUMMYFUNCTION("""COMPUTED_VALUE"""),118.0)</f>
        <v>118</v>
      </c>
      <c r="G1635" s="20">
        <f>IFERROR(__xludf.DUMMYFUNCTION("""COMPUTED_VALUE"""),9.0)</f>
        <v>9</v>
      </c>
      <c r="H1635" s="20" t="str">
        <f>IFERROR(__xludf.DUMMYFUNCTION("""COMPUTED_VALUE"""),"Algorithms")</f>
        <v>Algorithms</v>
      </c>
      <c r="I1635" s="20">
        <f>IFERROR(__xludf.DUMMYFUNCTION("""COMPUTED_VALUE"""),0.539)</f>
        <v>0.539</v>
      </c>
      <c r="J1635" s="20">
        <f>IFERROR(__xludf.DUMMYFUNCTION("""COMPUTED_VALUE"""),1634.0)</f>
        <v>1634</v>
      </c>
      <c r="K1635" s="20" t="b">
        <f>IFERROR(__xludf.DUMMYFUNCTION("""COMPUTED_VALUE"""),TRUE)</f>
        <v>1</v>
      </c>
      <c r="L1635" s="20" t="str">
        <f>IFERROR(__xludf.DUMMYFUNCTION("""COMPUTED_VALUE"""),"Linked List;Math;Two Pointers;")</f>
        <v>Linked List;Math;Two Pointers;</v>
      </c>
      <c r="M1635" s="20" t="b">
        <f>IFERROR(__xludf.DUMMYFUNCTION("""COMPUTED_VALUE"""),FALSE)</f>
        <v>0</v>
      </c>
      <c r="N1635" s="20" t="b">
        <f>IFERROR(__xludf.DUMMYFUNCTION("""COMPUTED_VALUE"""),FALSE)</f>
        <v>0</v>
      </c>
      <c r="O1635" s="20">
        <f>IFERROR(__xludf.DUMMYFUNCTION("""COMPUTED_VALUE"""),53.8964038271197)</f>
        <v>53.89640383</v>
      </c>
      <c r="P1635" s="20">
        <f>IFERROR(__xludf.DUMMYFUNCTION("""COMPUTED_VALUE"""),8168.0)</f>
        <v>8168</v>
      </c>
      <c r="Q1635" s="20">
        <f>IFERROR(__xludf.DUMMYFUNCTION("""COMPUTED_VALUE"""),15155.0)</f>
        <v>15155</v>
      </c>
    </row>
    <row r="1636">
      <c r="A1636" s="20">
        <f>IFERROR(__xludf.DUMMYFUNCTION("""COMPUTED_VALUE"""),1779.0)</f>
        <v>1779</v>
      </c>
      <c r="B1636" s="20" t="str">
        <f>IFERROR(__xludf.DUMMYFUNCTION("""COMPUTED_VALUE"""),"Hopper Company Queries I")</f>
        <v>Hopper Company Queries I</v>
      </c>
      <c r="C1636" s="20" t="str">
        <f>IFERROR(__xludf.DUMMYFUNCTION("""COMPUTED_VALUE"""),"hopper-company-queries-i")</f>
        <v>hopper-company-queries-i</v>
      </c>
      <c r="D1636" s="20" t="b">
        <f>IFERROR(__xludf.DUMMYFUNCTION("""COMPUTED_VALUE"""),TRUE)</f>
        <v>1</v>
      </c>
      <c r="E1636" s="20" t="str">
        <f>IFERROR(__xludf.DUMMYFUNCTION("""COMPUTED_VALUE"""),"Hard")</f>
        <v>Hard</v>
      </c>
      <c r="F1636" s="20">
        <f>IFERROR(__xludf.DUMMYFUNCTION("""COMPUTED_VALUE"""),78.0)</f>
        <v>78</v>
      </c>
      <c r="G1636" s="20">
        <f>IFERROR(__xludf.DUMMYFUNCTION("""COMPUTED_VALUE"""),28.0)</f>
        <v>28</v>
      </c>
      <c r="H1636" s="20" t="str">
        <f>IFERROR(__xludf.DUMMYFUNCTION("""COMPUTED_VALUE"""),"Database")</f>
        <v>Database</v>
      </c>
      <c r="I1636" s="20">
        <f>IFERROR(__xludf.DUMMYFUNCTION("""COMPUTED_VALUE"""),0.529)</f>
        <v>0.529</v>
      </c>
      <c r="J1636" s="20">
        <f>IFERROR(__xludf.DUMMYFUNCTION("""COMPUTED_VALUE"""),1635.0)</f>
        <v>1635</v>
      </c>
      <c r="K1636" s="20" t="b">
        <f>IFERROR(__xludf.DUMMYFUNCTION("""COMPUTED_VALUE"""),TRUE)</f>
        <v>1</v>
      </c>
      <c r="L1636" s="20" t="str">
        <f>IFERROR(__xludf.DUMMYFUNCTION("""COMPUTED_VALUE"""),"Database;")</f>
        <v>Database;</v>
      </c>
      <c r="M1636" s="20" t="b">
        <f>IFERROR(__xludf.DUMMYFUNCTION("""COMPUTED_VALUE"""),FALSE)</f>
        <v>0</v>
      </c>
      <c r="N1636" s="20" t="b">
        <f>IFERROR(__xludf.DUMMYFUNCTION("""COMPUTED_VALUE"""),FALSE)</f>
        <v>0</v>
      </c>
      <c r="O1636" s="20">
        <f>IFERROR(__xludf.DUMMYFUNCTION("""COMPUTED_VALUE"""),52.8724279835391)</f>
        <v>52.87242798</v>
      </c>
      <c r="P1636" s="20">
        <f>IFERROR(__xludf.DUMMYFUNCTION("""COMPUTED_VALUE"""),6424.0)</f>
        <v>6424</v>
      </c>
      <c r="Q1636" s="20">
        <f>IFERROR(__xludf.DUMMYFUNCTION("""COMPUTED_VALUE"""),12150.0)</f>
        <v>12150</v>
      </c>
    </row>
    <row r="1637">
      <c r="A1637" s="20">
        <f>IFERROR(__xludf.DUMMYFUNCTION("""COMPUTED_VALUE"""),1741.0)</f>
        <v>1741</v>
      </c>
      <c r="B1637" s="20" t="str">
        <f>IFERROR(__xludf.DUMMYFUNCTION("""COMPUTED_VALUE"""),"Sort Array by Increasing Frequency")</f>
        <v>Sort Array by Increasing Frequency</v>
      </c>
      <c r="C1637" s="20" t="str">
        <f>IFERROR(__xludf.DUMMYFUNCTION("""COMPUTED_VALUE"""),"sort-array-by-increasing-frequency")</f>
        <v>sort-array-by-increasing-frequency</v>
      </c>
      <c r="D1637" s="20" t="b">
        <f>IFERROR(__xludf.DUMMYFUNCTION("""COMPUTED_VALUE"""),FALSE)</f>
        <v>0</v>
      </c>
      <c r="E1637" s="20" t="str">
        <f>IFERROR(__xludf.DUMMYFUNCTION("""COMPUTED_VALUE"""),"Easy")</f>
        <v>Easy</v>
      </c>
      <c r="F1637" s="20">
        <f>IFERROR(__xludf.DUMMYFUNCTION("""COMPUTED_VALUE"""),2076.0)</f>
        <v>2076</v>
      </c>
      <c r="G1637" s="20">
        <f>IFERROR(__xludf.DUMMYFUNCTION("""COMPUTED_VALUE"""),82.0)</f>
        <v>82</v>
      </c>
      <c r="H1637" s="20" t="str">
        <f>IFERROR(__xludf.DUMMYFUNCTION("""COMPUTED_VALUE"""),"Algorithms")</f>
        <v>Algorithms</v>
      </c>
      <c r="I1637" s="20">
        <f>IFERROR(__xludf.DUMMYFUNCTION("""COMPUTED_VALUE"""),0.69)</f>
        <v>0.69</v>
      </c>
      <c r="J1637" s="20">
        <f>IFERROR(__xludf.DUMMYFUNCTION("""COMPUTED_VALUE"""),1636.0)</f>
        <v>1636</v>
      </c>
      <c r="K1637" s="20" t="b">
        <f>IFERROR(__xludf.DUMMYFUNCTION("""COMPUTED_VALUE"""),FALSE)</f>
        <v>0</v>
      </c>
      <c r="L1637" s="20" t="str">
        <f>IFERROR(__xludf.DUMMYFUNCTION("""COMPUTED_VALUE"""),"Array;Hash Table;Sorting;")</f>
        <v>Array;Hash Table;Sorting;</v>
      </c>
      <c r="M1637" s="20" t="b">
        <f>IFERROR(__xludf.DUMMYFUNCTION("""COMPUTED_VALUE"""),FALSE)</f>
        <v>0</v>
      </c>
      <c r="N1637" s="20" t="b">
        <f>IFERROR(__xludf.DUMMYFUNCTION("""COMPUTED_VALUE"""),FALSE)</f>
        <v>0</v>
      </c>
      <c r="O1637" s="20">
        <f>IFERROR(__xludf.DUMMYFUNCTION("""COMPUTED_VALUE"""),68.97151414631)</f>
        <v>68.97151415</v>
      </c>
      <c r="P1637" s="20">
        <f>IFERROR(__xludf.DUMMYFUNCTION("""COMPUTED_VALUE"""),85662.0)</f>
        <v>85662</v>
      </c>
      <c r="Q1637" s="20">
        <f>IFERROR(__xludf.DUMMYFUNCTION("""COMPUTED_VALUE"""),124199.0)</f>
        <v>124199</v>
      </c>
    </row>
    <row r="1638">
      <c r="A1638" s="20">
        <f>IFERROR(__xludf.DUMMYFUNCTION("""COMPUTED_VALUE"""),1742.0)</f>
        <v>1742</v>
      </c>
      <c r="B1638" s="20" t="str">
        <f>IFERROR(__xludf.DUMMYFUNCTION("""COMPUTED_VALUE"""),"Widest Vertical Area Between Two Points Containing No Points")</f>
        <v>Widest Vertical Area Between Two Points Containing No Points</v>
      </c>
      <c r="C1638" s="20" t="str">
        <f>IFERROR(__xludf.DUMMYFUNCTION("""COMPUTED_VALUE"""),"widest-vertical-area-between-two-points-containing-no-points")</f>
        <v>widest-vertical-area-between-two-points-containing-no-points</v>
      </c>
      <c r="D1638" s="20" t="b">
        <f>IFERROR(__xludf.DUMMYFUNCTION("""COMPUTED_VALUE"""),FALSE)</f>
        <v>0</v>
      </c>
      <c r="E1638" s="20" t="str">
        <f>IFERROR(__xludf.DUMMYFUNCTION("""COMPUTED_VALUE"""),"Medium")</f>
        <v>Medium</v>
      </c>
      <c r="F1638" s="20">
        <f>IFERROR(__xludf.DUMMYFUNCTION("""COMPUTED_VALUE"""),254.0)</f>
        <v>254</v>
      </c>
      <c r="G1638" s="20">
        <f>IFERROR(__xludf.DUMMYFUNCTION("""COMPUTED_VALUE"""),638.0)</f>
        <v>638</v>
      </c>
      <c r="H1638" s="20" t="str">
        <f>IFERROR(__xludf.DUMMYFUNCTION("""COMPUTED_VALUE"""),"Algorithms")</f>
        <v>Algorithms</v>
      </c>
      <c r="I1638" s="20">
        <f>IFERROR(__xludf.DUMMYFUNCTION("""COMPUTED_VALUE"""),0.843)</f>
        <v>0.843</v>
      </c>
      <c r="J1638" s="20">
        <f>IFERROR(__xludf.DUMMYFUNCTION("""COMPUTED_VALUE"""),1637.0)</f>
        <v>1637</v>
      </c>
      <c r="K1638" s="20" t="b">
        <f>IFERROR(__xludf.DUMMYFUNCTION("""COMPUTED_VALUE"""),FALSE)</f>
        <v>0</v>
      </c>
      <c r="L1638" s="20" t="str">
        <f>IFERROR(__xludf.DUMMYFUNCTION("""COMPUTED_VALUE"""),"Array;Sorting;")</f>
        <v>Array;Sorting;</v>
      </c>
      <c r="M1638" s="20" t="b">
        <f>IFERROR(__xludf.DUMMYFUNCTION("""COMPUTED_VALUE"""),FALSE)</f>
        <v>0</v>
      </c>
      <c r="N1638" s="20" t="b">
        <f>IFERROR(__xludf.DUMMYFUNCTION("""COMPUTED_VALUE"""),FALSE)</f>
        <v>0</v>
      </c>
      <c r="O1638" s="20">
        <f>IFERROR(__xludf.DUMMYFUNCTION("""COMPUTED_VALUE"""),84.27273570038)</f>
        <v>84.2727357</v>
      </c>
      <c r="P1638" s="20">
        <f>IFERROR(__xludf.DUMMYFUNCTION("""COMPUTED_VALUE"""),36359.0)</f>
        <v>36359</v>
      </c>
      <c r="Q1638" s="20">
        <f>IFERROR(__xludf.DUMMYFUNCTION("""COMPUTED_VALUE"""),43144.0)</f>
        <v>43144</v>
      </c>
    </row>
    <row r="1639">
      <c r="A1639" s="20">
        <f>IFERROR(__xludf.DUMMYFUNCTION("""COMPUTED_VALUE"""),1743.0)</f>
        <v>1743</v>
      </c>
      <c r="B1639" s="20" t="str">
        <f>IFERROR(__xludf.DUMMYFUNCTION("""COMPUTED_VALUE"""),"Count Substrings That Differ by One Character")</f>
        <v>Count Substrings That Differ by One Character</v>
      </c>
      <c r="C1639" s="20" t="str">
        <f>IFERROR(__xludf.DUMMYFUNCTION("""COMPUTED_VALUE"""),"count-substrings-that-differ-by-one-character")</f>
        <v>count-substrings-that-differ-by-one-character</v>
      </c>
      <c r="D1639" s="20" t="b">
        <f>IFERROR(__xludf.DUMMYFUNCTION("""COMPUTED_VALUE"""),FALSE)</f>
        <v>0</v>
      </c>
      <c r="E1639" s="20" t="str">
        <f>IFERROR(__xludf.DUMMYFUNCTION("""COMPUTED_VALUE"""),"Medium")</f>
        <v>Medium</v>
      </c>
      <c r="F1639" s="20">
        <f>IFERROR(__xludf.DUMMYFUNCTION("""COMPUTED_VALUE"""),919.0)</f>
        <v>919</v>
      </c>
      <c r="G1639" s="20">
        <f>IFERROR(__xludf.DUMMYFUNCTION("""COMPUTED_VALUE"""),295.0)</f>
        <v>295</v>
      </c>
      <c r="H1639" s="20" t="str">
        <f>IFERROR(__xludf.DUMMYFUNCTION("""COMPUTED_VALUE"""),"Algorithms")</f>
        <v>Algorithms</v>
      </c>
      <c r="I1639" s="20">
        <f>IFERROR(__xludf.DUMMYFUNCTION("""COMPUTED_VALUE"""),0.714)</f>
        <v>0.714</v>
      </c>
      <c r="J1639" s="20">
        <f>IFERROR(__xludf.DUMMYFUNCTION("""COMPUTED_VALUE"""),1638.0)</f>
        <v>1638</v>
      </c>
      <c r="K1639" s="20" t="b">
        <f>IFERROR(__xludf.DUMMYFUNCTION("""COMPUTED_VALUE"""),FALSE)</f>
        <v>0</v>
      </c>
      <c r="L1639" s="20" t="str">
        <f>IFERROR(__xludf.DUMMYFUNCTION("""COMPUTED_VALUE"""),"Hash Table;String;Dynamic Programming;")</f>
        <v>Hash Table;String;Dynamic Programming;</v>
      </c>
      <c r="M1639" s="20" t="b">
        <f>IFERROR(__xludf.DUMMYFUNCTION("""COMPUTED_VALUE"""),FALSE)</f>
        <v>0</v>
      </c>
      <c r="N1639" s="20" t="b">
        <f>IFERROR(__xludf.DUMMYFUNCTION("""COMPUTED_VALUE"""),FALSE)</f>
        <v>0</v>
      </c>
      <c r="O1639" s="20">
        <f>IFERROR(__xludf.DUMMYFUNCTION("""COMPUTED_VALUE"""),71.3738540750973)</f>
        <v>71.37385408</v>
      </c>
      <c r="P1639" s="20">
        <f>IFERROR(__xludf.DUMMYFUNCTION("""COMPUTED_VALUE"""),22733.0)</f>
        <v>22733</v>
      </c>
      <c r="Q1639" s="20">
        <f>IFERROR(__xludf.DUMMYFUNCTION("""COMPUTED_VALUE"""),31851.0)</f>
        <v>31851</v>
      </c>
    </row>
    <row r="1640">
      <c r="A1640" s="20">
        <f>IFERROR(__xludf.DUMMYFUNCTION("""COMPUTED_VALUE"""),1744.0)</f>
        <v>1744</v>
      </c>
      <c r="B1640" s="20" t="str">
        <f>IFERROR(__xludf.DUMMYFUNCTION("""COMPUTED_VALUE"""),"Number of Ways to Form a Target String Given a Dictionary")</f>
        <v>Number of Ways to Form a Target String Given a Dictionary</v>
      </c>
      <c r="C1640" s="20" t="str">
        <f>IFERROR(__xludf.DUMMYFUNCTION("""COMPUTED_VALUE"""),"number-of-ways-to-form-a-target-string-given-a-dictionary")</f>
        <v>number-of-ways-to-form-a-target-string-given-a-dictionary</v>
      </c>
      <c r="D1640" s="20" t="b">
        <f>IFERROR(__xludf.DUMMYFUNCTION("""COMPUTED_VALUE"""),FALSE)</f>
        <v>0</v>
      </c>
      <c r="E1640" s="20" t="str">
        <f>IFERROR(__xludf.DUMMYFUNCTION("""COMPUTED_VALUE"""),"Hard")</f>
        <v>Hard</v>
      </c>
      <c r="F1640" s="20">
        <f>IFERROR(__xludf.DUMMYFUNCTION("""COMPUTED_VALUE"""),376.0)</f>
        <v>376</v>
      </c>
      <c r="G1640" s="20">
        <f>IFERROR(__xludf.DUMMYFUNCTION("""COMPUTED_VALUE"""),17.0)</f>
        <v>17</v>
      </c>
      <c r="H1640" s="20" t="str">
        <f>IFERROR(__xludf.DUMMYFUNCTION("""COMPUTED_VALUE"""),"Algorithms")</f>
        <v>Algorithms</v>
      </c>
      <c r="I1640" s="20">
        <f>IFERROR(__xludf.DUMMYFUNCTION("""COMPUTED_VALUE"""),0.431)</f>
        <v>0.431</v>
      </c>
      <c r="J1640" s="20">
        <f>IFERROR(__xludf.DUMMYFUNCTION("""COMPUTED_VALUE"""),1639.0)</f>
        <v>1639</v>
      </c>
      <c r="K1640" s="20" t="b">
        <f>IFERROR(__xludf.DUMMYFUNCTION("""COMPUTED_VALUE"""),FALSE)</f>
        <v>0</v>
      </c>
      <c r="L1640" s="20" t="str">
        <f>IFERROR(__xludf.DUMMYFUNCTION("""COMPUTED_VALUE"""),"Array;String;Dynamic Programming;")</f>
        <v>Array;String;Dynamic Programming;</v>
      </c>
      <c r="M1640" s="20" t="b">
        <f>IFERROR(__xludf.DUMMYFUNCTION("""COMPUTED_VALUE"""),FALSE)</f>
        <v>0</v>
      </c>
      <c r="N1640" s="20" t="b">
        <f>IFERROR(__xludf.DUMMYFUNCTION("""COMPUTED_VALUE"""),FALSE)</f>
        <v>0</v>
      </c>
      <c r="O1640" s="20">
        <f>IFERROR(__xludf.DUMMYFUNCTION("""COMPUTED_VALUE"""),43.14743333777)</f>
        <v>43.14743334</v>
      </c>
      <c r="P1640" s="20">
        <f>IFERROR(__xludf.DUMMYFUNCTION("""COMPUTED_VALUE"""),9725.0)</f>
        <v>9725</v>
      </c>
      <c r="Q1640" s="20">
        <f>IFERROR(__xludf.DUMMYFUNCTION("""COMPUTED_VALUE"""),22539.0)</f>
        <v>22539</v>
      </c>
    </row>
    <row r="1641">
      <c r="A1641" s="20">
        <f>IFERROR(__xludf.DUMMYFUNCTION("""COMPUTED_VALUE"""),1760.0)</f>
        <v>1760</v>
      </c>
      <c r="B1641" s="20" t="str">
        <f>IFERROR(__xludf.DUMMYFUNCTION("""COMPUTED_VALUE"""),"Check Array Formation Through Concatenation")</f>
        <v>Check Array Formation Through Concatenation</v>
      </c>
      <c r="C1641" s="20" t="str">
        <f>IFERROR(__xludf.DUMMYFUNCTION("""COMPUTED_VALUE"""),"check-array-formation-through-concatenation")</f>
        <v>check-array-formation-through-concatenation</v>
      </c>
      <c r="D1641" s="20" t="b">
        <f>IFERROR(__xludf.DUMMYFUNCTION("""COMPUTED_VALUE"""),FALSE)</f>
        <v>0</v>
      </c>
      <c r="E1641" s="20" t="str">
        <f>IFERROR(__xludf.DUMMYFUNCTION("""COMPUTED_VALUE"""),"Easy")</f>
        <v>Easy</v>
      </c>
      <c r="F1641" s="20">
        <f>IFERROR(__xludf.DUMMYFUNCTION("""COMPUTED_VALUE"""),775.0)</f>
        <v>775</v>
      </c>
      <c r="G1641" s="20">
        <f>IFERROR(__xludf.DUMMYFUNCTION("""COMPUTED_VALUE"""),125.0)</f>
        <v>125</v>
      </c>
      <c r="H1641" s="20" t="str">
        <f>IFERROR(__xludf.DUMMYFUNCTION("""COMPUTED_VALUE"""),"Algorithms")</f>
        <v>Algorithms</v>
      </c>
      <c r="I1641" s="20">
        <f>IFERROR(__xludf.DUMMYFUNCTION("""COMPUTED_VALUE"""),0.562)</f>
        <v>0.562</v>
      </c>
      <c r="J1641" s="20">
        <f>IFERROR(__xludf.DUMMYFUNCTION("""COMPUTED_VALUE"""),1640.0)</f>
        <v>1640</v>
      </c>
      <c r="K1641" s="20" t="b">
        <f>IFERROR(__xludf.DUMMYFUNCTION("""COMPUTED_VALUE"""),FALSE)</f>
        <v>0</v>
      </c>
      <c r="L1641" s="20" t="str">
        <f>IFERROR(__xludf.DUMMYFUNCTION("""COMPUTED_VALUE"""),"Array;Hash Table;")</f>
        <v>Array;Hash Table;</v>
      </c>
      <c r="M1641" s="20" t="b">
        <f>IFERROR(__xludf.DUMMYFUNCTION("""COMPUTED_VALUE"""),TRUE)</f>
        <v>1</v>
      </c>
      <c r="N1641" s="20" t="b">
        <f>IFERROR(__xludf.DUMMYFUNCTION("""COMPUTED_VALUE"""),FALSE)</f>
        <v>0</v>
      </c>
      <c r="O1641" s="20">
        <f>IFERROR(__xludf.DUMMYFUNCTION("""COMPUTED_VALUE"""),56.1559639395084)</f>
        <v>56.15596394</v>
      </c>
      <c r="P1641" s="20">
        <f>IFERROR(__xludf.DUMMYFUNCTION("""COMPUTED_VALUE"""),72818.0)</f>
        <v>72818</v>
      </c>
      <c r="Q1641" s="20">
        <f>IFERROR(__xludf.DUMMYFUNCTION("""COMPUTED_VALUE"""),129671.0)</f>
        <v>129671</v>
      </c>
    </row>
    <row r="1642">
      <c r="A1642" s="20">
        <f>IFERROR(__xludf.DUMMYFUNCTION("""COMPUTED_VALUE"""),1761.0)</f>
        <v>1761</v>
      </c>
      <c r="B1642" s="20" t="str">
        <f>IFERROR(__xludf.DUMMYFUNCTION("""COMPUTED_VALUE"""),"Count Sorted Vowel Strings")</f>
        <v>Count Sorted Vowel Strings</v>
      </c>
      <c r="C1642" s="20" t="str">
        <f>IFERROR(__xludf.DUMMYFUNCTION("""COMPUTED_VALUE"""),"count-sorted-vowel-strings")</f>
        <v>count-sorted-vowel-strings</v>
      </c>
      <c r="D1642" s="20" t="b">
        <f>IFERROR(__xludf.DUMMYFUNCTION("""COMPUTED_VALUE"""),FALSE)</f>
        <v>0</v>
      </c>
      <c r="E1642" s="20" t="str">
        <f>IFERROR(__xludf.DUMMYFUNCTION("""COMPUTED_VALUE"""),"Medium")</f>
        <v>Medium</v>
      </c>
      <c r="F1642" s="20">
        <f>IFERROR(__xludf.DUMMYFUNCTION("""COMPUTED_VALUE"""),3290.0)</f>
        <v>3290</v>
      </c>
      <c r="G1642" s="20">
        <f>IFERROR(__xludf.DUMMYFUNCTION("""COMPUTED_VALUE"""),71.0)</f>
        <v>71</v>
      </c>
      <c r="H1642" s="20" t="str">
        <f>IFERROR(__xludf.DUMMYFUNCTION("""COMPUTED_VALUE"""),"Algorithms")</f>
        <v>Algorithms</v>
      </c>
      <c r="I1642" s="20">
        <f>IFERROR(__xludf.DUMMYFUNCTION("""COMPUTED_VALUE"""),0.773)</f>
        <v>0.773</v>
      </c>
      <c r="J1642" s="20">
        <f>IFERROR(__xludf.DUMMYFUNCTION("""COMPUTED_VALUE"""),1641.0)</f>
        <v>1641</v>
      </c>
      <c r="K1642" s="20" t="b">
        <f>IFERROR(__xludf.DUMMYFUNCTION("""COMPUTED_VALUE"""),FALSE)</f>
        <v>0</v>
      </c>
      <c r="L1642" s="20" t="str">
        <f>IFERROR(__xludf.DUMMYFUNCTION("""COMPUTED_VALUE"""),"Dynamic Programming;")</f>
        <v>Dynamic Programming;</v>
      </c>
      <c r="M1642" s="20" t="b">
        <f>IFERROR(__xludf.DUMMYFUNCTION("""COMPUTED_VALUE"""),TRUE)</f>
        <v>1</v>
      </c>
      <c r="N1642" s="20" t="b">
        <f>IFERROR(__xludf.DUMMYFUNCTION("""COMPUTED_VALUE"""),FALSE)</f>
        <v>0</v>
      </c>
      <c r="O1642" s="20">
        <f>IFERROR(__xludf.DUMMYFUNCTION("""COMPUTED_VALUE"""),77.2617941571177)</f>
        <v>77.26179416</v>
      </c>
      <c r="P1642" s="20">
        <f>IFERROR(__xludf.DUMMYFUNCTION("""COMPUTED_VALUE"""),149684.0)</f>
        <v>149684</v>
      </c>
      <c r="Q1642" s="20">
        <f>IFERROR(__xludf.DUMMYFUNCTION("""COMPUTED_VALUE"""),193737.0)</f>
        <v>193737</v>
      </c>
    </row>
    <row r="1643">
      <c r="A1643" s="20">
        <f>IFERROR(__xludf.DUMMYFUNCTION("""COMPUTED_VALUE"""),1762.0)</f>
        <v>1762</v>
      </c>
      <c r="B1643" s="20" t="str">
        <f>IFERROR(__xludf.DUMMYFUNCTION("""COMPUTED_VALUE"""),"Furthest Building You Can Reach")</f>
        <v>Furthest Building You Can Reach</v>
      </c>
      <c r="C1643" s="20" t="str">
        <f>IFERROR(__xludf.DUMMYFUNCTION("""COMPUTED_VALUE"""),"furthest-building-you-can-reach")</f>
        <v>furthest-building-you-can-reach</v>
      </c>
      <c r="D1643" s="20" t="b">
        <f>IFERROR(__xludf.DUMMYFUNCTION("""COMPUTED_VALUE"""),FALSE)</f>
        <v>0</v>
      </c>
      <c r="E1643" s="20" t="str">
        <f>IFERROR(__xludf.DUMMYFUNCTION("""COMPUTED_VALUE"""),"Medium")</f>
        <v>Medium</v>
      </c>
      <c r="F1643" s="20">
        <f>IFERROR(__xludf.DUMMYFUNCTION("""COMPUTED_VALUE"""),4050.0)</f>
        <v>4050</v>
      </c>
      <c r="G1643" s="20">
        <f>IFERROR(__xludf.DUMMYFUNCTION("""COMPUTED_VALUE"""),85.0)</f>
        <v>85</v>
      </c>
      <c r="H1643" s="20" t="str">
        <f>IFERROR(__xludf.DUMMYFUNCTION("""COMPUTED_VALUE"""),"Algorithms")</f>
        <v>Algorithms</v>
      </c>
      <c r="I1643" s="20">
        <f>IFERROR(__xludf.DUMMYFUNCTION("""COMPUTED_VALUE"""),0.483)</f>
        <v>0.483</v>
      </c>
      <c r="J1643" s="20">
        <f>IFERROR(__xludf.DUMMYFUNCTION("""COMPUTED_VALUE"""),1642.0)</f>
        <v>1642</v>
      </c>
      <c r="K1643" s="20" t="b">
        <f>IFERROR(__xludf.DUMMYFUNCTION("""COMPUTED_VALUE"""),FALSE)</f>
        <v>0</v>
      </c>
      <c r="L1643" s="20" t="str">
        <f>IFERROR(__xludf.DUMMYFUNCTION("""COMPUTED_VALUE"""),"Array;Greedy;Heap (Priority Queue);")</f>
        <v>Array;Greedy;Heap (Priority Queue);</v>
      </c>
      <c r="M1643" s="20" t="b">
        <f>IFERROR(__xludf.DUMMYFUNCTION("""COMPUTED_VALUE"""),TRUE)</f>
        <v>1</v>
      </c>
      <c r="N1643" s="20" t="b">
        <f>IFERROR(__xludf.DUMMYFUNCTION("""COMPUTED_VALUE"""),FALSE)</f>
        <v>0</v>
      </c>
      <c r="O1643" s="20">
        <f>IFERROR(__xludf.DUMMYFUNCTION("""COMPUTED_VALUE"""),48.2920232751747)</f>
        <v>48.29202328</v>
      </c>
      <c r="P1643" s="20">
        <f>IFERROR(__xludf.DUMMYFUNCTION("""COMPUTED_VALUE"""),109634.0)</f>
        <v>109634</v>
      </c>
      <c r="Q1643" s="20">
        <f>IFERROR(__xludf.DUMMYFUNCTION("""COMPUTED_VALUE"""),227023.0)</f>
        <v>227023</v>
      </c>
    </row>
    <row r="1644">
      <c r="A1644" s="20">
        <f>IFERROR(__xludf.DUMMYFUNCTION("""COMPUTED_VALUE"""),489.0)</f>
        <v>489</v>
      </c>
      <c r="B1644" s="20" t="str">
        <f>IFERROR(__xludf.DUMMYFUNCTION("""COMPUTED_VALUE"""),"Kth Smallest Instructions")</f>
        <v>Kth Smallest Instructions</v>
      </c>
      <c r="C1644" s="20" t="str">
        <f>IFERROR(__xludf.DUMMYFUNCTION("""COMPUTED_VALUE"""),"kth-smallest-instructions")</f>
        <v>kth-smallest-instructions</v>
      </c>
      <c r="D1644" s="20" t="b">
        <f>IFERROR(__xludf.DUMMYFUNCTION("""COMPUTED_VALUE"""),FALSE)</f>
        <v>0</v>
      </c>
      <c r="E1644" s="20" t="str">
        <f>IFERROR(__xludf.DUMMYFUNCTION("""COMPUTED_VALUE"""),"Hard")</f>
        <v>Hard</v>
      </c>
      <c r="F1644" s="20">
        <f>IFERROR(__xludf.DUMMYFUNCTION("""COMPUTED_VALUE"""),438.0)</f>
        <v>438</v>
      </c>
      <c r="G1644" s="20">
        <f>IFERROR(__xludf.DUMMYFUNCTION("""COMPUTED_VALUE"""),6.0)</f>
        <v>6</v>
      </c>
      <c r="H1644" s="20" t="str">
        <f>IFERROR(__xludf.DUMMYFUNCTION("""COMPUTED_VALUE"""),"Algorithms")</f>
        <v>Algorithms</v>
      </c>
      <c r="I1644" s="20">
        <f>IFERROR(__xludf.DUMMYFUNCTION("""COMPUTED_VALUE"""),0.47)</f>
        <v>0.47</v>
      </c>
      <c r="J1644" s="20">
        <f>IFERROR(__xludf.DUMMYFUNCTION("""COMPUTED_VALUE"""),1643.0)</f>
        <v>1643</v>
      </c>
      <c r="K1644" s="20" t="b">
        <f>IFERROR(__xludf.DUMMYFUNCTION("""COMPUTED_VALUE"""),FALSE)</f>
        <v>0</v>
      </c>
      <c r="L1644" s="20" t="str">
        <f>IFERROR(__xludf.DUMMYFUNCTION("""COMPUTED_VALUE"""),"Array;Math;Dynamic Programming;Combinatorics;")</f>
        <v>Array;Math;Dynamic Programming;Combinatorics;</v>
      </c>
      <c r="M1644" s="20" t="b">
        <f>IFERROR(__xludf.DUMMYFUNCTION("""COMPUTED_VALUE"""),FALSE)</f>
        <v>0</v>
      </c>
      <c r="N1644" s="20" t="b">
        <f>IFERROR(__xludf.DUMMYFUNCTION("""COMPUTED_VALUE"""),FALSE)</f>
        <v>0</v>
      </c>
      <c r="O1644" s="20">
        <f>IFERROR(__xludf.DUMMYFUNCTION("""COMPUTED_VALUE"""),47.0004465836351)</f>
        <v>47.00044658</v>
      </c>
      <c r="P1644" s="20">
        <f>IFERROR(__xludf.DUMMYFUNCTION("""COMPUTED_VALUE"""),9472.0)</f>
        <v>9472</v>
      </c>
      <c r="Q1644" s="20">
        <f>IFERROR(__xludf.DUMMYFUNCTION("""COMPUTED_VALUE"""),20153.0)</f>
        <v>20153</v>
      </c>
    </row>
    <row r="1645">
      <c r="A1645" s="20">
        <f>IFERROR(__xludf.DUMMYFUNCTION("""COMPUTED_VALUE"""),1780.0)</f>
        <v>1780</v>
      </c>
      <c r="B1645" s="20" t="str">
        <f>IFERROR(__xludf.DUMMYFUNCTION("""COMPUTED_VALUE"""),"Lowest Common Ancestor of a Binary Tree II")</f>
        <v>Lowest Common Ancestor of a Binary Tree II</v>
      </c>
      <c r="C1645" s="20" t="str">
        <f>IFERROR(__xludf.DUMMYFUNCTION("""COMPUTED_VALUE"""),"lowest-common-ancestor-of-a-binary-tree-ii")</f>
        <v>lowest-common-ancestor-of-a-binary-tree-ii</v>
      </c>
      <c r="D1645" s="20" t="b">
        <f>IFERROR(__xludf.DUMMYFUNCTION("""COMPUTED_VALUE"""),TRUE)</f>
        <v>1</v>
      </c>
      <c r="E1645" s="20" t="str">
        <f>IFERROR(__xludf.DUMMYFUNCTION("""COMPUTED_VALUE"""),"Medium")</f>
        <v>Medium</v>
      </c>
      <c r="F1645" s="20">
        <f>IFERROR(__xludf.DUMMYFUNCTION("""COMPUTED_VALUE"""),513.0)</f>
        <v>513</v>
      </c>
      <c r="G1645" s="20">
        <f>IFERROR(__xludf.DUMMYFUNCTION("""COMPUTED_VALUE"""),25.0)</f>
        <v>25</v>
      </c>
      <c r="H1645" s="20" t="str">
        <f>IFERROR(__xludf.DUMMYFUNCTION("""COMPUTED_VALUE"""),"Algorithms")</f>
        <v>Algorithms</v>
      </c>
      <c r="I1645" s="20">
        <f>IFERROR(__xludf.DUMMYFUNCTION("""COMPUTED_VALUE"""),0.595)</f>
        <v>0.595</v>
      </c>
      <c r="J1645" s="20">
        <f>IFERROR(__xludf.DUMMYFUNCTION("""COMPUTED_VALUE"""),1644.0)</f>
        <v>1644</v>
      </c>
      <c r="K1645" s="20" t="b">
        <f>IFERROR(__xludf.DUMMYFUNCTION("""COMPUTED_VALUE"""),TRUE)</f>
        <v>1</v>
      </c>
      <c r="L1645" s="20" t="str">
        <f>IFERROR(__xludf.DUMMYFUNCTION("""COMPUTED_VALUE"""),"Tree;Depth-First Search;Binary Tree;")</f>
        <v>Tree;Depth-First Search;Binary Tree;</v>
      </c>
      <c r="M1645" s="20" t="b">
        <f>IFERROR(__xludf.DUMMYFUNCTION("""COMPUTED_VALUE"""),FALSE)</f>
        <v>0</v>
      </c>
      <c r="N1645" s="20" t="b">
        <f>IFERROR(__xludf.DUMMYFUNCTION("""COMPUTED_VALUE"""),FALSE)</f>
        <v>0</v>
      </c>
      <c r="O1645" s="20">
        <f>IFERROR(__xludf.DUMMYFUNCTION("""COMPUTED_VALUE"""),59.5454397447168)</f>
        <v>59.54543974</v>
      </c>
      <c r="P1645" s="20">
        <f>IFERROR(__xludf.DUMMYFUNCTION("""COMPUTED_VALUE"""),54861.0)</f>
        <v>54861</v>
      </c>
      <c r="Q1645" s="20">
        <f>IFERROR(__xludf.DUMMYFUNCTION("""COMPUTED_VALUE"""),92133.0)</f>
        <v>92133</v>
      </c>
    </row>
    <row r="1646">
      <c r="A1646" s="20">
        <f>IFERROR(__xludf.DUMMYFUNCTION("""COMPUTED_VALUE"""),1785.0)</f>
        <v>1785</v>
      </c>
      <c r="B1646" s="20" t="str">
        <f>IFERROR(__xludf.DUMMYFUNCTION("""COMPUTED_VALUE"""),"Hopper Company Queries II")</f>
        <v>Hopper Company Queries II</v>
      </c>
      <c r="C1646" s="20" t="str">
        <f>IFERROR(__xludf.DUMMYFUNCTION("""COMPUTED_VALUE"""),"hopper-company-queries-ii")</f>
        <v>hopper-company-queries-ii</v>
      </c>
      <c r="D1646" s="20" t="b">
        <f>IFERROR(__xludf.DUMMYFUNCTION("""COMPUTED_VALUE"""),TRUE)</f>
        <v>1</v>
      </c>
      <c r="E1646" s="20" t="str">
        <f>IFERROR(__xludf.DUMMYFUNCTION("""COMPUTED_VALUE"""),"Hard")</f>
        <v>Hard</v>
      </c>
      <c r="F1646" s="20">
        <f>IFERROR(__xludf.DUMMYFUNCTION("""COMPUTED_VALUE"""),51.0)</f>
        <v>51</v>
      </c>
      <c r="G1646" s="20">
        <f>IFERROR(__xludf.DUMMYFUNCTION("""COMPUTED_VALUE"""),13.0)</f>
        <v>13</v>
      </c>
      <c r="H1646" s="20" t="str">
        <f>IFERROR(__xludf.DUMMYFUNCTION("""COMPUTED_VALUE"""),"Database")</f>
        <v>Database</v>
      </c>
      <c r="I1646" s="20">
        <f>IFERROR(__xludf.DUMMYFUNCTION("""COMPUTED_VALUE"""),0.389)</f>
        <v>0.389</v>
      </c>
      <c r="J1646" s="20">
        <f>IFERROR(__xludf.DUMMYFUNCTION("""COMPUTED_VALUE"""),1645.0)</f>
        <v>1645</v>
      </c>
      <c r="K1646" s="20" t="b">
        <f>IFERROR(__xludf.DUMMYFUNCTION("""COMPUTED_VALUE"""),TRUE)</f>
        <v>1</v>
      </c>
      <c r="L1646" s="20" t="str">
        <f>IFERROR(__xludf.DUMMYFUNCTION("""COMPUTED_VALUE"""),"Database;")</f>
        <v>Database;</v>
      </c>
      <c r="M1646" s="20" t="b">
        <f>IFERROR(__xludf.DUMMYFUNCTION("""COMPUTED_VALUE"""),FALSE)</f>
        <v>0</v>
      </c>
      <c r="N1646" s="20" t="b">
        <f>IFERROR(__xludf.DUMMYFUNCTION("""COMPUTED_VALUE"""),FALSE)</f>
        <v>0</v>
      </c>
      <c r="O1646" s="20">
        <f>IFERROR(__xludf.DUMMYFUNCTION("""COMPUTED_VALUE"""),38.8964632288074)</f>
        <v>38.89646323</v>
      </c>
      <c r="P1646" s="20">
        <f>IFERROR(__xludf.DUMMYFUNCTION("""COMPUTED_VALUE"""),4850.0)</f>
        <v>4850</v>
      </c>
      <c r="Q1646" s="20">
        <f>IFERROR(__xludf.DUMMYFUNCTION("""COMPUTED_VALUE"""),12469.0)</f>
        <v>12469</v>
      </c>
    </row>
    <row r="1647">
      <c r="A1647" s="20">
        <f>IFERROR(__xludf.DUMMYFUNCTION("""COMPUTED_VALUE"""),1769.0)</f>
        <v>1769</v>
      </c>
      <c r="B1647" s="20" t="str">
        <f>IFERROR(__xludf.DUMMYFUNCTION("""COMPUTED_VALUE"""),"Get Maximum in Generated Array")</f>
        <v>Get Maximum in Generated Array</v>
      </c>
      <c r="C1647" s="20" t="str">
        <f>IFERROR(__xludf.DUMMYFUNCTION("""COMPUTED_VALUE"""),"get-maximum-in-generated-array")</f>
        <v>get-maximum-in-generated-array</v>
      </c>
      <c r="D1647" s="20" t="b">
        <f>IFERROR(__xludf.DUMMYFUNCTION("""COMPUTED_VALUE"""),FALSE)</f>
        <v>0</v>
      </c>
      <c r="E1647" s="20" t="str">
        <f>IFERROR(__xludf.DUMMYFUNCTION("""COMPUTED_VALUE"""),"Easy")</f>
        <v>Easy</v>
      </c>
      <c r="F1647" s="20">
        <f>IFERROR(__xludf.DUMMYFUNCTION("""COMPUTED_VALUE"""),550.0)</f>
        <v>550</v>
      </c>
      <c r="G1647" s="20">
        <f>IFERROR(__xludf.DUMMYFUNCTION("""COMPUTED_VALUE"""),742.0)</f>
        <v>742</v>
      </c>
      <c r="H1647" s="20" t="str">
        <f>IFERROR(__xludf.DUMMYFUNCTION("""COMPUTED_VALUE"""),"Algorithms")</f>
        <v>Algorithms</v>
      </c>
      <c r="I1647" s="20">
        <f>IFERROR(__xludf.DUMMYFUNCTION("""COMPUTED_VALUE"""),0.502)</f>
        <v>0.502</v>
      </c>
      <c r="J1647" s="20">
        <f>IFERROR(__xludf.DUMMYFUNCTION("""COMPUTED_VALUE"""),1646.0)</f>
        <v>1646</v>
      </c>
      <c r="K1647" s="20" t="b">
        <f>IFERROR(__xludf.DUMMYFUNCTION("""COMPUTED_VALUE"""),FALSE)</f>
        <v>0</v>
      </c>
      <c r="L1647" s="20" t="str">
        <f>IFERROR(__xludf.DUMMYFUNCTION("""COMPUTED_VALUE"""),"Array;Dynamic Programming;Simulation;")</f>
        <v>Array;Dynamic Programming;Simulation;</v>
      </c>
      <c r="M1647" s="20" t="b">
        <f>IFERROR(__xludf.DUMMYFUNCTION("""COMPUTED_VALUE"""),TRUE)</f>
        <v>1</v>
      </c>
      <c r="N1647" s="20" t="b">
        <f>IFERROR(__xludf.DUMMYFUNCTION("""COMPUTED_VALUE"""),FALSE)</f>
        <v>0</v>
      </c>
      <c r="O1647" s="20">
        <f>IFERROR(__xludf.DUMMYFUNCTION("""COMPUTED_VALUE"""),50.1779067048391)</f>
        <v>50.1779067</v>
      </c>
      <c r="P1647" s="20">
        <f>IFERROR(__xludf.DUMMYFUNCTION("""COMPUTED_VALUE"""),79393.0)</f>
        <v>79393</v>
      </c>
      <c r="Q1647" s="20">
        <f>IFERROR(__xludf.DUMMYFUNCTION("""COMPUTED_VALUE"""),158225.0)</f>
        <v>158225</v>
      </c>
    </row>
    <row r="1648">
      <c r="A1648" s="20">
        <f>IFERROR(__xludf.DUMMYFUNCTION("""COMPUTED_VALUE"""),1770.0)</f>
        <v>1770</v>
      </c>
      <c r="B1648" s="20" t="str">
        <f>IFERROR(__xludf.DUMMYFUNCTION("""COMPUTED_VALUE"""),"Minimum Deletions to Make Character Frequencies Unique")</f>
        <v>Minimum Deletions to Make Character Frequencies Unique</v>
      </c>
      <c r="C1648" s="20" t="str">
        <f>IFERROR(__xludf.DUMMYFUNCTION("""COMPUTED_VALUE"""),"minimum-deletions-to-make-character-frequencies-unique")</f>
        <v>minimum-deletions-to-make-character-frequencies-unique</v>
      </c>
      <c r="D1648" s="20" t="b">
        <f>IFERROR(__xludf.DUMMYFUNCTION("""COMPUTED_VALUE"""),FALSE)</f>
        <v>0</v>
      </c>
      <c r="E1648" s="20" t="str">
        <f>IFERROR(__xludf.DUMMYFUNCTION("""COMPUTED_VALUE"""),"Medium")</f>
        <v>Medium</v>
      </c>
      <c r="F1648" s="20">
        <f>IFERROR(__xludf.DUMMYFUNCTION("""COMPUTED_VALUE"""),3189.0)</f>
        <v>3189</v>
      </c>
      <c r="G1648" s="20">
        <f>IFERROR(__xludf.DUMMYFUNCTION("""COMPUTED_VALUE"""),49.0)</f>
        <v>49</v>
      </c>
      <c r="H1648" s="20" t="str">
        <f>IFERROR(__xludf.DUMMYFUNCTION("""COMPUTED_VALUE"""),"Algorithms")</f>
        <v>Algorithms</v>
      </c>
      <c r="I1648" s="20">
        <f>IFERROR(__xludf.DUMMYFUNCTION("""COMPUTED_VALUE"""),0.592)</f>
        <v>0.592</v>
      </c>
      <c r="J1648" s="20">
        <f>IFERROR(__xludf.DUMMYFUNCTION("""COMPUTED_VALUE"""),1647.0)</f>
        <v>1647</v>
      </c>
      <c r="K1648" s="20" t="b">
        <f>IFERROR(__xludf.DUMMYFUNCTION("""COMPUTED_VALUE"""),FALSE)</f>
        <v>0</v>
      </c>
      <c r="L1648" s="20" t="str">
        <f>IFERROR(__xludf.DUMMYFUNCTION("""COMPUTED_VALUE"""),"Hash Table;String;Greedy;Sorting;")</f>
        <v>Hash Table;String;Greedy;Sorting;</v>
      </c>
      <c r="M1648" s="20" t="b">
        <f>IFERROR(__xludf.DUMMYFUNCTION("""COMPUTED_VALUE"""),TRUE)</f>
        <v>1</v>
      </c>
      <c r="N1648" s="20" t="b">
        <f>IFERROR(__xludf.DUMMYFUNCTION("""COMPUTED_VALUE"""),FALSE)</f>
        <v>0</v>
      </c>
      <c r="O1648" s="20">
        <f>IFERROR(__xludf.DUMMYFUNCTION("""COMPUTED_VALUE"""),59.1779369433799)</f>
        <v>59.17793694</v>
      </c>
      <c r="P1648" s="20">
        <f>IFERROR(__xludf.DUMMYFUNCTION("""COMPUTED_VALUE"""),166318.0)</f>
        <v>166318</v>
      </c>
      <c r="Q1648" s="20">
        <f>IFERROR(__xludf.DUMMYFUNCTION("""COMPUTED_VALUE"""),281046.0)</f>
        <v>281046</v>
      </c>
    </row>
    <row r="1649">
      <c r="A1649" s="20">
        <f>IFERROR(__xludf.DUMMYFUNCTION("""COMPUTED_VALUE"""),1771.0)</f>
        <v>1771</v>
      </c>
      <c r="B1649" s="20" t="str">
        <f>IFERROR(__xludf.DUMMYFUNCTION("""COMPUTED_VALUE"""),"Sell Diminishing-Valued Colored Balls")</f>
        <v>Sell Diminishing-Valued Colored Balls</v>
      </c>
      <c r="C1649" s="20" t="str">
        <f>IFERROR(__xludf.DUMMYFUNCTION("""COMPUTED_VALUE"""),"sell-diminishing-valued-colored-balls")</f>
        <v>sell-diminishing-valued-colored-balls</v>
      </c>
      <c r="D1649" s="20" t="b">
        <f>IFERROR(__xludf.DUMMYFUNCTION("""COMPUTED_VALUE"""),FALSE)</f>
        <v>0</v>
      </c>
      <c r="E1649" s="20" t="str">
        <f>IFERROR(__xludf.DUMMYFUNCTION("""COMPUTED_VALUE"""),"Medium")</f>
        <v>Medium</v>
      </c>
      <c r="F1649" s="20">
        <f>IFERROR(__xludf.DUMMYFUNCTION("""COMPUTED_VALUE"""),911.0)</f>
        <v>911</v>
      </c>
      <c r="G1649" s="20">
        <f>IFERROR(__xludf.DUMMYFUNCTION("""COMPUTED_VALUE"""),347.0)</f>
        <v>347</v>
      </c>
      <c r="H1649" s="20" t="str">
        <f>IFERROR(__xludf.DUMMYFUNCTION("""COMPUTED_VALUE"""),"Algorithms")</f>
        <v>Algorithms</v>
      </c>
      <c r="I1649" s="20">
        <f>IFERROR(__xludf.DUMMYFUNCTION("""COMPUTED_VALUE"""),0.304)</f>
        <v>0.304</v>
      </c>
      <c r="J1649" s="20">
        <f>IFERROR(__xludf.DUMMYFUNCTION("""COMPUTED_VALUE"""),1648.0)</f>
        <v>1648</v>
      </c>
      <c r="K1649" s="20" t="b">
        <f>IFERROR(__xludf.DUMMYFUNCTION("""COMPUTED_VALUE"""),FALSE)</f>
        <v>0</v>
      </c>
      <c r="L1649" s="20" t="str">
        <f>IFERROR(__xludf.DUMMYFUNCTION("""COMPUTED_VALUE"""),"Array;Math;Binary Search;Greedy;Sorting;Heap (Priority Queue);")</f>
        <v>Array;Math;Binary Search;Greedy;Sorting;Heap (Priority Queue);</v>
      </c>
      <c r="M1649" s="20" t="b">
        <f>IFERROR(__xludf.DUMMYFUNCTION("""COMPUTED_VALUE"""),FALSE)</f>
        <v>0</v>
      </c>
      <c r="N1649" s="20" t="b">
        <f>IFERROR(__xludf.DUMMYFUNCTION("""COMPUTED_VALUE"""),FALSE)</f>
        <v>0</v>
      </c>
      <c r="O1649" s="20">
        <f>IFERROR(__xludf.DUMMYFUNCTION("""COMPUTED_VALUE"""),30.4249592683607)</f>
        <v>30.42495927</v>
      </c>
      <c r="P1649" s="20">
        <f>IFERROR(__xludf.DUMMYFUNCTION("""COMPUTED_VALUE"""),33800.0)</f>
        <v>33800</v>
      </c>
      <c r="Q1649" s="20">
        <f>IFERROR(__xludf.DUMMYFUNCTION("""COMPUTED_VALUE"""),111093.0)</f>
        <v>111093</v>
      </c>
    </row>
    <row r="1650">
      <c r="A1650" s="20">
        <f>IFERROR(__xludf.DUMMYFUNCTION("""COMPUTED_VALUE"""),1772.0)</f>
        <v>1772</v>
      </c>
      <c r="B1650" s="20" t="str">
        <f>IFERROR(__xludf.DUMMYFUNCTION("""COMPUTED_VALUE"""),"Create Sorted Array through Instructions")</f>
        <v>Create Sorted Array through Instructions</v>
      </c>
      <c r="C1650" s="20" t="str">
        <f>IFERROR(__xludf.DUMMYFUNCTION("""COMPUTED_VALUE"""),"create-sorted-array-through-instructions")</f>
        <v>create-sorted-array-through-instructions</v>
      </c>
      <c r="D1650" s="20" t="b">
        <f>IFERROR(__xludf.DUMMYFUNCTION("""COMPUTED_VALUE"""),FALSE)</f>
        <v>0</v>
      </c>
      <c r="E1650" s="20" t="str">
        <f>IFERROR(__xludf.DUMMYFUNCTION("""COMPUTED_VALUE"""),"Hard")</f>
        <v>Hard</v>
      </c>
      <c r="F1650" s="20">
        <f>IFERROR(__xludf.DUMMYFUNCTION("""COMPUTED_VALUE"""),551.0)</f>
        <v>551</v>
      </c>
      <c r="G1650" s="20">
        <f>IFERROR(__xludf.DUMMYFUNCTION("""COMPUTED_VALUE"""),72.0)</f>
        <v>72</v>
      </c>
      <c r="H1650" s="20" t="str">
        <f>IFERROR(__xludf.DUMMYFUNCTION("""COMPUTED_VALUE"""),"Algorithms")</f>
        <v>Algorithms</v>
      </c>
      <c r="I1650" s="20">
        <f>IFERROR(__xludf.DUMMYFUNCTION("""COMPUTED_VALUE"""),0.372)</f>
        <v>0.372</v>
      </c>
      <c r="J1650" s="20">
        <f>IFERROR(__xludf.DUMMYFUNCTION("""COMPUTED_VALUE"""),1649.0)</f>
        <v>1649</v>
      </c>
      <c r="K1650" s="20" t="b">
        <f>IFERROR(__xludf.DUMMYFUNCTION("""COMPUTED_VALUE"""),FALSE)</f>
        <v>0</v>
      </c>
      <c r="L1650" s="20" t="str">
        <f>IFERROR(__xludf.DUMMYFUNCTION("""COMPUTED_VALUE"""),"Array;Binary Search;Divide and Conquer;Binary Indexed Tree;Segment Tree;Merge Sort;Ordered Set;")</f>
        <v>Array;Binary Search;Divide and Conquer;Binary Indexed Tree;Segment Tree;Merge Sort;Ordered Set;</v>
      </c>
      <c r="M1650" s="20" t="b">
        <f>IFERROR(__xludf.DUMMYFUNCTION("""COMPUTED_VALUE"""),TRUE)</f>
        <v>1</v>
      </c>
      <c r="N1650" s="20" t="b">
        <f>IFERROR(__xludf.DUMMYFUNCTION("""COMPUTED_VALUE"""),FALSE)</f>
        <v>0</v>
      </c>
      <c r="O1650" s="20">
        <f>IFERROR(__xludf.DUMMYFUNCTION("""COMPUTED_VALUE"""),37.2463989932486)</f>
        <v>37.24639899</v>
      </c>
      <c r="P1650" s="20">
        <f>IFERROR(__xludf.DUMMYFUNCTION("""COMPUTED_VALUE"""),21902.0)</f>
        <v>21902</v>
      </c>
      <c r="Q1650" s="20">
        <f>IFERROR(__xludf.DUMMYFUNCTION("""COMPUTED_VALUE"""),58803.0)</f>
        <v>58803</v>
      </c>
    </row>
    <row r="1651">
      <c r="A1651" s="20">
        <f>IFERROR(__xludf.DUMMYFUNCTION("""COMPUTED_VALUE"""),1790.0)</f>
        <v>1790</v>
      </c>
      <c r="B1651" s="20" t="str">
        <f>IFERROR(__xludf.DUMMYFUNCTION("""COMPUTED_VALUE"""),"Lowest Common Ancestor of a Binary Tree III")</f>
        <v>Lowest Common Ancestor of a Binary Tree III</v>
      </c>
      <c r="C1651" s="20" t="str">
        <f>IFERROR(__xludf.DUMMYFUNCTION("""COMPUTED_VALUE"""),"lowest-common-ancestor-of-a-binary-tree-iii")</f>
        <v>lowest-common-ancestor-of-a-binary-tree-iii</v>
      </c>
      <c r="D1651" s="20" t="b">
        <f>IFERROR(__xludf.DUMMYFUNCTION("""COMPUTED_VALUE"""),TRUE)</f>
        <v>1</v>
      </c>
      <c r="E1651" s="20" t="str">
        <f>IFERROR(__xludf.DUMMYFUNCTION("""COMPUTED_VALUE"""),"Medium")</f>
        <v>Medium</v>
      </c>
      <c r="F1651" s="20">
        <f>IFERROR(__xludf.DUMMYFUNCTION("""COMPUTED_VALUE"""),1119.0)</f>
        <v>1119</v>
      </c>
      <c r="G1651" s="20">
        <f>IFERROR(__xludf.DUMMYFUNCTION("""COMPUTED_VALUE"""),39.0)</f>
        <v>39</v>
      </c>
      <c r="H1651" s="20" t="str">
        <f>IFERROR(__xludf.DUMMYFUNCTION("""COMPUTED_VALUE"""),"Algorithms")</f>
        <v>Algorithms</v>
      </c>
      <c r="I1651" s="20">
        <f>IFERROR(__xludf.DUMMYFUNCTION("""COMPUTED_VALUE"""),0.773)</f>
        <v>0.773</v>
      </c>
      <c r="J1651" s="20">
        <f>IFERROR(__xludf.DUMMYFUNCTION("""COMPUTED_VALUE"""),1650.0)</f>
        <v>1650</v>
      </c>
      <c r="K1651" s="20" t="b">
        <f>IFERROR(__xludf.DUMMYFUNCTION("""COMPUTED_VALUE"""),TRUE)</f>
        <v>1</v>
      </c>
      <c r="L1651" s="20" t="str">
        <f>IFERROR(__xludf.DUMMYFUNCTION("""COMPUTED_VALUE"""),"Hash Table;Tree;Binary Tree;")</f>
        <v>Hash Table;Tree;Binary Tree;</v>
      </c>
      <c r="M1651" s="20" t="b">
        <f>IFERROR(__xludf.DUMMYFUNCTION("""COMPUTED_VALUE"""),FALSE)</f>
        <v>0</v>
      </c>
      <c r="N1651" s="20" t="b">
        <f>IFERROR(__xludf.DUMMYFUNCTION("""COMPUTED_VALUE"""),FALSE)</f>
        <v>0</v>
      </c>
      <c r="O1651" s="20">
        <f>IFERROR(__xludf.DUMMYFUNCTION("""COMPUTED_VALUE"""),77.305156010179)</f>
        <v>77.30515601</v>
      </c>
      <c r="P1651" s="20">
        <f>IFERROR(__xludf.DUMMYFUNCTION("""COMPUTED_VALUE"""),154625.0)</f>
        <v>154625</v>
      </c>
      <c r="Q1651" s="20">
        <f>IFERROR(__xludf.DUMMYFUNCTION("""COMPUTED_VALUE"""),200019.0)</f>
        <v>200019</v>
      </c>
    </row>
    <row r="1652">
      <c r="A1652" s="20">
        <f>IFERROR(__xludf.DUMMYFUNCTION("""COMPUTED_VALUE"""),1795.0)</f>
        <v>1795</v>
      </c>
      <c r="B1652" s="20" t="str">
        <f>IFERROR(__xludf.DUMMYFUNCTION("""COMPUTED_VALUE"""),"Hopper Company Queries III")</f>
        <v>Hopper Company Queries III</v>
      </c>
      <c r="C1652" s="20" t="str">
        <f>IFERROR(__xludf.DUMMYFUNCTION("""COMPUTED_VALUE"""),"hopper-company-queries-iii")</f>
        <v>hopper-company-queries-iii</v>
      </c>
      <c r="D1652" s="20" t="b">
        <f>IFERROR(__xludf.DUMMYFUNCTION("""COMPUTED_VALUE"""),TRUE)</f>
        <v>1</v>
      </c>
      <c r="E1652" s="20" t="str">
        <f>IFERROR(__xludf.DUMMYFUNCTION("""COMPUTED_VALUE"""),"Hard")</f>
        <v>Hard</v>
      </c>
      <c r="F1652" s="20">
        <f>IFERROR(__xludf.DUMMYFUNCTION("""COMPUTED_VALUE"""),23.0)</f>
        <v>23</v>
      </c>
      <c r="G1652" s="20">
        <f>IFERROR(__xludf.DUMMYFUNCTION("""COMPUTED_VALUE"""),53.0)</f>
        <v>53</v>
      </c>
      <c r="H1652" s="20" t="str">
        <f>IFERROR(__xludf.DUMMYFUNCTION("""COMPUTED_VALUE"""),"Database")</f>
        <v>Database</v>
      </c>
      <c r="I1652" s="20">
        <f>IFERROR(__xludf.DUMMYFUNCTION("""COMPUTED_VALUE"""),0.68)</f>
        <v>0.68</v>
      </c>
      <c r="J1652" s="20">
        <f>IFERROR(__xludf.DUMMYFUNCTION("""COMPUTED_VALUE"""),1651.0)</f>
        <v>1651</v>
      </c>
      <c r="K1652" s="20" t="b">
        <f>IFERROR(__xludf.DUMMYFUNCTION("""COMPUTED_VALUE"""),TRUE)</f>
        <v>1</v>
      </c>
      <c r="L1652" s="20" t="str">
        <f>IFERROR(__xludf.DUMMYFUNCTION("""COMPUTED_VALUE"""),"Database;")</f>
        <v>Database;</v>
      </c>
      <c r="M1652" s="20" t="b">
        <f>IFERROR(__xludf.DUMMYFUNCTION("""COMPUTED_VALUE"""),FALSE)</f>
        <v>0</v>
      </c>
      <c r="N1652" s="20" t="b">
        <f>IFERROR(__xludf.DUMMYFUNCTION("""COMPUTED_VALUE"""),FALSE)</f>
        <v>0</v>
      </c>
      <c r="O1652" s="20">
        <f>IFERROR(__xludf.DUMMYFUNCTION("""COMPUTED_VALUE"""),67.9805615550756)</f>
        <v>67.98056156</v>
      </c>
      <c r="P1652" s="20">
        <f>IFERROR(__xludf.DUMMYFUNCTION("""COMPUTED_VALUE"""),5036.0)</f>
        <v>5036</v>
      </c>
      <c r="Q1652" s="20">
        <f>IFERROR(__xludf.DUMMYFUNCTION("""COMPUTED_VALUE"""),7408.0)</f>
        <v>7408</v>
      </c>
    </row>
    <row r="1653">
      <c r="A1653" s="20">
        <f>IFERROR(__xludf.DUMMYFUNCTION("""COMPUTED_VALUE"""),1755.0)</f>
        <v>1755</v>
      </c>
      <c r="B1653" s="20" t="str">
        <f>IFERROR(__xludf.DUMMYFUNCTION("""COMPUTED_VALUE"""),"Defuse the Bomb")</f>
        <v>Defuse the Bomb</v>
      </c>
      <c r="C1653" s="20" t="str">
        <f>IFERROR(__xludf.DUMMYFUNCTION("""COMPUTED_VALUE"""),"defuse-the-bomb")</f>
        <v>defuse-the-bomb</v>
      </c>
      <c r="D1653" s="20" t="b">
        <f>IFERROR(__xludf.DUMMYFUNCTION("""COMPUTED_VALUE"""),FALSE)</f>
        <v>0</v>
      </c>
      <c r="E1653" s="20" t="str">
        <f>IFERROR(__xludf.DUMMYFUNCTION("""COMPUTED_VALUE"""),"Easy")</f>
        <v>Easy</v>
      </c>
      <c r="F1653" s="20">
        <f>IFERROR(__xludf.DUMMYFUNCTION("""COMPUTED_VALUE"""),546.0)</f>
        <v>546</v>
      </c>
      <c r="G1653" s="20">
        <f>IFERROR(__xludf.DUMMYFUNCTION("""COMPUTED_VALUE"""),52.0)</f>
        <v>52</v>
      </c>
      <c r="H1653" s="20" t="str">
        <f>IFERROR(__xludf.DUMMYFUNCTION("""COMPUTED_VALUE"""),"Algorithms")</f>
        <v>Algorithms</v>
      </c>
      <c r="I1653" s="20">
        <f>IFERROR(__xludf.DUMMYFUNCTION("""COMPUTED_VALUE"""),0.615)</f>
        <v>0.615</v>
      </c>
      <c r="J1653" s="20">
        <f>IFERROR(__xludf.DUMMYFUNCTION("""COMPUTED_VALUE"""),1652.0)</f>
        <v>1652</v>
      </c>
      <c r="K1653" s="20" t="b">
        <f>IFERROR(__xludf.DUMMYFUNCTION("""COMPUTED_VALUE"""),FALSE)</f>
        <v>0</v>
      </c>
      <c r="L1653" s="20" t="str">
        <f>IFERROR(__xludf.DUMMYFUNCTION("""COMPUTED_VALUE"""),"Array;")</f>
        <v>Array;</v>
      </c>
      <c r="M1653" s="20" t="b">
        <f>IFERROR(__xludf.DUMMYFUNCTION("""COMPUTED_VALUE"""),FALSE)</f>
        <v>0</v>
      </c>
      <c r="N1653" s="20" t="b">
        <f>IFERROR(__xludf.DUMMYFUNCTION("""COMPUTED_VALUE"""),FALSE)</f>
        <v>0</v>
      </c>
      <c r="O1653" s="20">
        <f>IFERROR(__xludf.DUMMYFUNCTION("""COMPUTED_VALUE"""),61.5233362143474)</f>
        <v>61.52333621</v>
      </c>
      <c r="P1653" s="20">
        <f>IFERROR(__xludf.DUMMYFUNCTION("""COMPUTED_VALUE"""),28473.0)</f>
        <v>28473</v>
      </c>
      <c r="Q1653" s="20">
        <f>IFERROR(__xludf.DUMMYFUNCTION("""COMPUTED_VALUE"""),46280.0)</f>
        <v>46280</v>
      </c>
    </row>
    <row r="1654">
      <c r="A1654" s="20">
        <f>IFERROR(__xludf.DUMMYFUNCTION("""COMPUTED_VALUE"""),1756.0)</f>
        <v>1756</v>
      </c>
      <c r="B1654" s="20" t="str">
        <f>IFERROR(__xludf.DUMMYFUNCTION("""COMPUTED_VALUE"""),"Minimum Deletions to Make String Balanced")</f>
        <v>Minimum Deletions to Make String Balanced</v>
      </c>
      <c r="C1654" s="20" t="str">
        <f>IFERROR(__xludf.DUMMYFUNCTION("""COMPUTED_VALUE"""),"minimum-deletions-to-make-string-balanced")</f>
        <v>minimum-deletions-to-make-string-balanced</v>
      </c>
      <c r="D1654" s="20" t="b">
        <f>IFERROR(__xludf.DUMMYFUNCTION("""COMPUTED_VALUE"""),FALSE)</f>
        <v>0</v>
      </c>
      <c r="E1654" s="20" t="str">
        <f>IFERROR(__xludf.DUMMYFUNCTION("""COMPUTED_VALUE"""),"Medium")</f>
        <v>Medium</v>
      </c>
      <c r="F1654" s="20">
        <f>IFERROR(__xludf.DUMMYFUNCTION("""COMPUTED_VALUE"""),1022.0)</f>
        <v>1022</v>
      </c>
      <c r="G1654" s="20">
        <f>IFERROR(__xludf.DUMMYFUNCTION("""COMPUTED_VALUE"""),28.0)</f>
        <v>28</v>
      </c>
      <c r="H1654" s="20" t="str">
        <f>IFERROR(__xludf.DUMMYFUNCTION("""COMPUTED_VALUE"""),"Algorithms")</f>
        <v>Algorithms</v>
      </c>
      <c r="I1654" s="20">
        <f>IFERROR(__xludf.DUMMYFUNCTION("""COMPUTED_VALUE"""),0.589)</f>
        <v>0.589</v>
      </c>
      <c r="J1654" s="20">
        <f>IFERROR(__xludf.DUMMYFUNCTION("""COMPUTED_VALUE"""),1653.0)</f>
        <v>1653</v>
      </c>
      <c r="K1654" s="20" t="b">
        <f>IFERROR(__xludf.DUMMYFUNCTION("""COMPUTED_VALUE"""),FALSE)</f>
        <v>0</v>
      </c>
      <c r="L1654" s="20" t="str">
        <f>IFERROR(__xludf.DUMMYFUNCTION("""COMPUTED_VALUE"""),"String;Dynamic Programming;Stack;")</f>
        <v>String;Dynamic Programming;Stack;</v>
      </c>
      <c r="M1654" s="20" t="b">
        <f>IFERROR(__xludf.DUMMYFUNCTION("""COMPUTED_VALUE"""),FALSE)</f>
        <v>0</v>
      </c>
      <c r="N1654" s="20" t="b">
        <f>IFERROR(__xludf.DUMMYFUNCTION("""COMPUTED_VALUE"""),FALSE)</f>
        <v>0</v>
      </c>
      <c r="O1654" s="20">
        <f>IFERROR(__xludf.DUMMYFUNCTION("""COMPUTED_VALUE"""),58.9194871506072)</f>
        <v>58.91948715</v>
      </c>
      <c r="P1654" s="20">
        <f>IFERROR(__xludf.DUMMYFUNCTION("""COMPUTED_VALUE"""),31387.0)</f>
        <v>31387</v>
      </c>
      <c r="Q1654" s="20">
        <f>IFERROR(__xludf.DUMMYFUNCTION("""COMPUTED_VALUE"""),53270.0)</f>
        <v>53270</v>
      </c>
    </row>
    <row r="1655">
      <c r="A1655" s="20">
        <f>IFERROR(__xludf.DUMMYFUNCTION("""COMPUTED_VALUE"""),1757.0)</f>
        <v>1757</v>
      </c>
      <c r="B1655" s="20" t="str">
        <f>IFERROR(__xludf.DUMMYFUNCTION("""COMPUTED_VALUE"""),"Minimum Jumps to Reach Home")</f>
        <v>Minimum Jumps to Reach Home</v>
      </c>
      <c r="C1655" s="20" t="str">
        <f>IFERROR(__xludf.DUMMYFUNCTION("""COMPUTED_VALUE"""),"minimum-jumps-to-reach-home")</f>
        <v>minimum-jumps-to-reach-home</v>
      </c>
      <c r="D1655" s="20" t="b">
        <f>IFERROR(__xludf.DUMMYFUNCTION("""COMPUTED_VALUE"""),FALSE)</f>
        <v>0</v>
      </c>
      <c r="E1655" s="20" t="str">
        <f>IFERROR(__xludf.DUMMYFUNCTION("""COMPUTED_VALUE"""),"Medium")</f>
        <v>Medium</v>
      </c>
      <c r="F1655" s="20">
        <f>IFERROR(__xludf.DUMMYFUNCTION("""COMPUTED_VALUE"""),1194.0)</f>
        <v>1194</v>
      </c>
      <c r="G1655" s="20">
        <f>IFERROR(__xludf.DUMMYFUNCTION("""COMPUTED_VALUE"""),225.0)</f>
        <v>225</v>
      </c>
      <c r="H1655" s="20" t="str">
        <f>IFERROR(__xludf.DUMMYFUNCTION("""COMPUTED_VALUE"""),"Algorithms")</f>
        <v>Algorithms</v>
      </c>
      <c r="I1655" s="20">
        <f>IFERROR(__xludf.DUMMYFUNCTION("""COMPUTED_VALUE"""),0.288)</f>
        <v>0.288</v>
      </c>
      <c r="J1655" s="20">
        <f>IFERROR(__xludf.DUMMYFUNCTION("""COMPUTED_VALUE"""),1654.0)</f>
        <v>1654</v>
      </c>
      <c r="K1655" s="20" t="b">
        <f>IFERROR(__xludf.DUMMYFUNCTION("""COMPUTED_VALUE"""),FALSE)</f>
        <v>0</v>
      </c>
      <c r="L1655" s="20" t="str">
        <f>IFERROR(__xludf.DUMMYFUNCTION("""COMPUTED_VALUE"""),"Array;Dynamic Programming;Breadth-First Search;")</f>
        <v>Array;Dynamic Programming;Breadth-First Search;</v>
      </c>
      <c r="M1655" s="20" t="b">
        <f>IFERROR(__xludf.DUMMYFUNCTION("""COMPUTED_VALUE"""),FALSE)</f>
        <v>0</v>
      </c>
      <c r="N1655" s="20" t="b">
        <f>IFERROR(__xludf.DUMMYFUNCTION("""COMPUTED_VALUE"""),FALSE)</f>
        <v>0</v>
      </c>
      <c r="O1655" s="20">
        <f>IFERROR(__xludf.DUMMYFUNCTION("""COMPUTED_VALUE"""),28.793826151824)</f>
        <v>28.79382615</v>
      </c>
      <c r="P1655" s="20">
        <f>IFERROR(__xludf.DUMMYFUNCTION("""COMPUTED_VALUE"""),32421.0)</f>
        <v>32421</v>
      </c>
      <c r="Q1655" s="20">
        <f>IFERROR(__xludf.DUMMYFUNCTION("""COMPUTED_VALUE"""),112600.0)</f>
        <v>112600</v>
      </c>
    </row>
    <row r="1656">
      <c r="A1656" s="20">
        <f>IFERROR(__xludf.DUMMYFUNCTION("""COMPUTED_VALUE"""),1758.0)</f>
        <v>1758</v>
      </c>
      <c r="B1656" s="20" t="str">
        <f>IFERROR(__xludf.DUMMYFUNCTION("""COMPUTED_VALUE"""),"Distribute Repeating Integers")</f>
        <v>Distribute Repeating Integers</v>
      </c>
      <c r="C1656" s="20" t="str">
        <f>IFERROR(__xludf.DUMMYFUNCTION("""COMPUTED_VALUE"""),"distribute-repeating-integers")</f>
        <v>distribute-repeating-integers</v>
      </c>
      <c r="D1656" s="20" t="b">
        <f>IFERROR(__xludf.DUMMYFUNCTION("""COMPUTED_VALUE"""),FALSE)</f>
        <v>0</v>
      </c>
      <c r="E1656" s="20" t="str">
        <f>IFERROR(__xludf.DUMMYFUNCTION("""COMPUTED_VALUE"""),"Hard")</f>
        <v>Hard</v>
      </c>
      <c r="F1656" s="20">
        <f>IFERROR(__xludf.DUMMYFUNCTION("""COMPUTED_VALUE"""),286.0)</f>
        <v>286</v>
      </c>
      <c r="G1656" s="20">
        <f>IFERROR(__xludf.DUMMYFUNCTION("""COMPUTED_VALUE"""),18.0)</f>
        <v>18</v>
      </c>
      <c r="H1656" s="20" t="str">
        <f>IFERROR(__xludf.DUMMYFUNCTION("""COMPUTED_VALUE"""),"Algorithms")</f>
        <v>Algorithms</v>
      </c>
      <c r="I1656" s="20">
        <f>IFERROR(__xludf.DUMMYFUNCTION("""COMPUTED_VALUE"""),0.391)</f>
        <v>0.391</v>
      </c>
      <c r="J1656" s="20">
        <f>IFERROR(__xludf.DUMMYFUNCTION("""COMPUTED_VALUE"""),1655.0)</f>
        <v>1655</v>
      </c>
      <c r="K1656" s="20" t="b">
        <f>IFERROR(__xludf.DUMMYFUNCTION("""COMPUTED_VALUE"""),FALSE)</f>
        <v>0</v>
      </c>
      <c r="L1656" s="20" t="str">
        <f>IFERROR(__xludf.DUMMYFUNCTION("""COMPUTED_VALUE"""),"Array;Dynamic Programming;Backtracking;Bit Manipulation;Bitmask;")</f>
        <v>Array;Dynamic Programming;Backtracking;Bit Manipulation;Bitmask;</v>
      </c>
      <c r="M1656" s="20" t="b">
        <f>IFERROR(__xludf.DUMMYFUNCTION("""COMPUTED_VALUE"""),FALSE)</f>
        <v>0</v>
      </c>
      <c r="N1656" s="20" t="b">
        <f>IFERROR(__xludf.DUMMYFUNCTION("""COMPUTED_VALUE"""),FALSE)</f>
        <v>0</v>
      </c>
      <c r="O1656" s="20">
        <f>IFERROR(__xludf.DUMMYFUNCTION("""COMPUTED_VALUE"""),39.1477111462514)</f>
        <v>39.14771115</v>
      </c>
      <c r="P1656" s="20">
        <f>IFERROR(__xludf.DUMMYFUNCTION("""COMPUTED_VALUE"""),9655.0)</f>
        <v>9655</v>
      </c>
      <c r="Q1656" s="20">
        <f>IFERROR(__xludf.DUMMYFUNCTION("""COMPUTED_VALUE"""),24663.0)</f>
        <v>24663</v>
      </c>
    </row>
    <row r="1657">
      <c r="A1657" s="20">
        <f>IFERROR(__xludf.DUMMYFUNCTION("""COMPUTED_VALUE"""),1775.0)</f>
        <v>1775</v>
      </c>
      <c r="B1657" s="20" t="str">
        <f>IFERROR(__xludf.DUMMYFUNCTION("""COMPUTED_VALUE"""),"Design an Ordered Stream")</f>
        <v>Design an Ordered Stream</v>
      </c>
      <c r="C1657" s="20" t="str">
        <f>IFERROR(__xludf.DUMMYFUNCTION("""COMPUTED_VALUE"""),"design-an-ordered-stream")</f>
        <v>design-an-ordered-stream</v>
      </c>
      <c r="D1657" s="20" t="b">
        <f>IFERROR(__xludf.DUMMYFUNCTION("""COMPUTED_VALUE"""),FALSE)</f>
        <v>0</v>
      </c>
      <c r="E1657" s="20" t="str">
        <f>IFERROR(__xludf.DUMMYFUNCTION("""COMPUTED_VALUE"""),"Easy")</f>
        <v>Easy</v>
      </c>
      <c r="F1657" s="20">
        <f>IFERROR(__xludf.DUMMYFUNCTION("""COMPUTED_VALUE"""),353.0)</f>
        <v>353</v>
      </c>
      <c r="G1657" s="20">
        <f>IFERROR(__xludf.DUMMYFUNCTION("""COMPUTED_VALUE"""),2615.0)</f>
        <v>2615</v>
      </c>
      <c r="H1657" s="20" t="str">
        <f>IFERROR(__xludf.DUMMYFUNCTION("""COMPUTED_VALUE"""),"Algorithms")</f>
        <v>Algorithms</v>
      </c>
      <c r="I1657" s="20">
        <f>IFERROR(__xludf.DUMMYFUNCTION("""COMPUTED_VALUE"""),0.855)</f>
        <v>0.855</v>
      </c>
      <c r="J1657" s="20">
        <f>IFERROR(__xludf.DUMMYFUNCTION("""COMPUTED_VALUE"""),1656.0)</f>
        <v>1656</v>
      </c>
      <c r="K1657" s="20" t="b">
        <f>IFERROR(__xludf.DUMMYFUNCTION("""COMPUTED_VALUE"""),FALSE)</f>
        <v>0</v>
      </c>
      <c r="L1657" s="20" t="str">
        <f>IFERROR(__xludf.DUMMYFUNCTION("""COMPUTED_VALUE"""),"Array;Hash Table;Design;Data Stream;")</f>
        <v>Array;Hash Table;Design;Data Stream;</v>
      </c>
      <c r="M1657" s="20" t="b">
        <f>IFERROR(__xludf.DUMMYFUNCTION("""COMPUTED_VALUE"""),FALSE)</f>
        <v>0</v>
      </c>
      <c r="N1657" s="20" t="b">
        <f>IFERROR(__xludf.DUMMYFUNCTION("""COMPUTED_VALUE"""),FALSE)</f>
        <v>0</v>
      </c>
      <c r="O1657" s="20">
        <f>IFERROR(__xludf.DUMMYFUNCTION("""COMPUTED_VALUE"""),85.4552649058097)</f>
        <v>85.45526491</v>
      </c>
      <c r="P1657" s="20">
        <f>IFERROR(__xludf.DUMMYFUNCTION("""COMPUTED_VALUE"""),60467.0)</f>
        <v>60467</v>
      </c>
      <c r="Q1657" s="20">
        <f>IFERROR(__xludf.DUMMYFUNCTION("""COMPUTED_VALUE"""),70759.0)</f>
        <v>70759</v>
      </c>
    </row>
    <row r="1658">
      <c r="A1658" s="20">
        <f>IFERROR(__xludf.DUMMYFUNCTION("""COMPUTED_VALUE"""),1777.0)</f>
        <v>1777</v>
      </c>
      <c r="B1658" s="20" t="str">
        <f>IFERROR(__xludf.DUMMYFUNCTION("""COMPUTED_VALUE"""),"Determine if Two Strings Are Close")</f>
        <v>Determine if Two Strings Are Close</v>
      </c>
      <c r="C1658" s="20" t="str">
        <f>IFERROR(__xludf.DUMMYFUNCTION("""COMPUTED_VALUE"""),"determine-if-two-strings-are-close")</f>
        <v>determine-if-two-strings-are-close</v>
      </c>
      <c r="D1658" s="20" t="b">
        <f>IFERROR(__xludf.DUMMYFUNCTION("""COMPUTED_VALUE"""),FALSE)</f>
        <v>0</v>
      </c>
      <c r="E1658" s="20" t="str">
        <f>IFERROR(__xludf.DUMMYFUNCTION("""COMPUTED_VALUE"""),"Medium")</f>
        <v>Medium</v>
      </c>
      <c r="F1658" s="20">
        <f>IFERROR(__xludf.DUMMYFUNCTION("""COMPUTED_VALUE"""),2093.0)</f>
        <v>2093</v>
      </c>
      <c r="G1658" s="20">
        <f>IFERROR(__xludf.DUMMYFUNCTION("""COMPUTED_VALUE"""),95.0)</f>
        <v>95</v>
      </c>
      <c r="H1658" s="20" t="str">
        <f>IFERROR(__xludf.DUMMYFUNCTION("""COMPUTED_VALUE"""),"Algorithms")</f>
        <v>Algorithms</v>
      </c>
      <c r="I1658" s="20">
        <f>IFERROR(__xludf.DUMMYFUNCTION("""COMPUTED_VALUE"""),0.564)</f>
        <v>0.564</v>
      </c>
      <c r="J1658" s="20">
        <f>IFERROR(__xludf.DUMMYFUNCTION("""COMPUTED_VALUE"""),1657.0)</f>
        <v>1657</v>
      </c>
      <c r="K1658" s="20" t="b">
        <f>IFERROR(__xludf.DUMMYFUNCTION("""COMPUTED_VALUE"""),FALSE)</f>
        <v>0</v>
      </c>
      <c r="L1658" s="20" t="str">
        <f>IFERROR(__xludf.DUMMYFUNCTION("""COMPUTED_VALUE"""),"Hash Table;String;Sorting;")</f>
        <v>Hash Table;String;Sorting;</v>
      </c>
      <c r="M1658" s="20" t="b">
        <f>IFERROR(__xludf.DUMMYFUNCTION("""COMPUTED_VALUE"""),TRUE)</f>
        <v>1</v>
      </c>
      <c r="N1658" s="20" t="b">
        <f>IFERROR(__xludf.DUMMYFUNCTION("""COMPUTED_VALUE"""),FALSE)</f>
        <v>0</v>
      </c>
      <c r="O1658" s="20">
        <f>IFERROR(__xludf.DUMMYFUNCTION("""COMPUTED_VALUE"""),56.3902444367767)</f>
        <v>56.39024444</v>
      </c>
      <c r="P1658" s="20">
        <f>IFERROR(__xludf.DUMMYFUNCTION("""COMPUTED_VALUE"""),102959.0)</f>
        <v>102959</v>
      </c>
      <c r="Q1658" s="20">
        <f>IFERROR(__xludf.DUMMYFUNCTION("""COMPUTED_VALUE"""),182583.0)</f>
        <v>182583</v>
      </c>
    </row>
    <row r="1659">
      <c r="A1659" s="20">
        <f>IFERROR(__xludf.DUMMYFUNCTION("""COMPUTED_VALUE"""),1776.0)</f>
        <v>1776</v>
      </c>
      <c r="B1659" s="20" t="str">
        <f>IFERROR(__xludf.DUMMYFUNCTION("""COMPUTED_VALUE"""),"Minimum Operations to Reduce X to Zero")</f>
        <v>Minimum Operations to Reduce X to Zero</v>
      </c>
      <c r="C1659" s="20" t="str">
        <f>IFERROR(__xludf.DUMMYFUNCTION("""COMPUTED_VALUE"""),"minimum-operations-to-reduce-x-to-zero")</f>
        <v>minimum-operations-to-reduce-x-to-zero</v>
      </c>
      <c r="D1659" s="20" t="b">
        <f>IFERROR(__xludf.DUMMYFUNCTION("""COMPUTED_VALUE"""),FALSE)</f>
        <v>0</v>
      </c>
      <c r="E1659" s="20" t="str">
        <f>IFERROR(__xludf.DUMMYFUNCTION("""COMPUTED_VALUE"""),"Medium")</f>
        <v>Medium</v>
      </c>
      <c r="F1659" s="20">
        <f>IFERROR(__xludf.DUMMYFUNCTION("""COMPUTED_VALUE"""),3808.0)</f>
        <v>3808</v>
      </c>
      <c r="G1659" s="20">
        <f>IFERROR(__xludf.DUMMYFUNCTION("""COMPUTED_VALUE"""),80.0)</f>
        <v>80</v>
      </c>
      <c r="H1659" s="20" t="str">
        <f>IFERROR(__xludf.DUMMYFUNCTION("""COMPUTED_VALUE"""),"Algorithms")</f>
        <v>Algorithms</v>
      </c>
      <c r="I1659" s="20">
        <f>IFERROR(__xludf.DUMMYFUNCTION("""COMPUTED_VALUE"""),0.376)</f>
        <v>0.376</v>
      </c>
      <c r="J1659" s="20">
        <f>IFERROR(__xludf.DUMMYFUNCTION("""COMPUTED_VALUE"""),1658.0)</f>
        <v>1658</v>
      </c>
      <c r="K1659" s="20" t="b">
        <f>IFERROR(__xludf.DUMMYFUNCTION("""COMPUTED_VALUE"""),FALSE)</f>
        <v>0</v>
      </c>
      <c r="L1659" s="20" t="str">
        <f>IFERROR(__xludf.DUMMYFUNCTION("""COMPUTED_VALUE"""),"Array;Hash Table;Binary Search;Sliding Window;Prefix Sum;")</f>
        <v>Array;Hash Table;Binary Search;Sliding Window;Prefix Sum;</v>
      </c>
      <c r="M1659" s="20" t="b">
        <f>IFERROR(__xludf.DUMMYFUNCTION("""COMPUTED_VALUE"""),TRUE)</f>
        <v>1</v>
      </c>
      <c r="N1659" s="20" t="b">
        <f>IFERROR(__xludf.DUMMYFUNCTION("""COMPUTED_VALUE"""),FALSE)</f>
        <v>0</v>
      </c>
      <c r="O1659" s="20">
        <f>IFERROR(__xludf.DUMMYFUNCTION("""COMPUTED_VALUE"""),37.5891878985364)</f>
        <v>37.5891879</v>
      </c>
      <c r="P1659" s="20">
        <f>IFERROR(__xludf.DUMMYFUNCTION("""COMPUTED_VALUE"""),107050.0)</f>
        <v>107050</v>
      </c>
      <c r="Q1659" s="20">
        <f>IFERROR(__xludf.DUMMYFUNCTION("""COMPUTED_VALUE"""),284791.0)</f>
        <v>284791</v>
      </c>
    </row>
    <row r="1660">
      <c r="A1660" s="20">
        <f>IFERROR(__xludf.DUMMYFUNCTION("""COMPUTED_VALUE"""),1778.0)</f>
        <v>1778</v>
      </c>
      <c r="B1660" s="20" t="str">
        <f>IFERROR(__xludf.DUMMYFUNCTION("""COMPUTED_VALUE"""),"Maximize Grid Happiness")</f>
        <v>Maximize Grid Happiness</v>
      </c>
      <c r="C1660" s="20" t="str">
        <f>IFERROR(__xludf.DUMMYFUNCTION("""COMPUTED_VALUE"""),"maximize-grid-happiness")</f>
        <v>maximize-grid-happiness</v>
      </c>
      <c r="D1660" s="20" t="b">
        <f>IFERROR(__xludf.DUMMYFUNCTION("""COMPUTED_VALUE"""),FALSE)</f>
        <v>0</v>
      </c>
      <c r="E1660" s="20" t="str">
        <f>IFERROR(__xludf.DUMMYFUNCTION("""COMPUTED_VALUE"""),"Hard")</f>
        <v>Hard</v>
      </c>
      <c r="F1660" s="20">
        <f>IFERROR(__xludf.DUMMYFUNCTION("""COMPUTED_VALUE"""),271.0)</f>
        <v>271</v>
      </c>
      <c r="G1660" s="20">
        <f>IFERROR(__xludf.DUMMYFUNCTION("""COMPUTED_VALUE"""),46.0)</f>
        <v>46</v>
      </c>
      <c r="H1660" s="20" t="str">
        <f>IFERROR(__xludf.DUMMYFUNCTION("""COMPUTED_VALUE"""),"Algorithms")</f>
        <v>Algorithms</v>
      </c>
      <c r="I1660" s="20">
        <f>IFERROR(__xludf.DUMMYFUNCTION("""COMPUTED_VALUE"""),0.384)</f>
        <v>0.384</v>
      </c>
      <c r="J1660" s="20">
        <f>IFERROR(__xludf.DUMMYFUNCTION("""COMPUTED_VALUE"""),1659.0)</f>
        <v>1659</v>
      </c>
      <c r="K1660" s="20" t="b">
        <f>IFERROR(__xludf.DUMMYFUNCTION("""COMPUTED_VALUE"""),FALSE)</f>
        <v>0</v>
      </c>
      <c r="L1660" s="20" t="str">
        <f>IFERROR(__xludf.DUMMYFUNCTION("""COMPUTED_VALUE"""),"Dynamic Programming;Bit Manipulation;Memoization;Bitmask;")</f>
        <v>Dynamic Programming;Bit Manipulation;Memoization;Bitmask;</v>
      </c>
      <c r="M1660" s="20" t="b">
        <f>IFERROR(__xludf.DUMMYFUNCTION("""COMPUTED_VALUE"""),FALSE)</f>
        <v>0</v>
      </c>
      <c r="N1660" s="20" t="b">
        <f>IFERROR(__xludf.DUMMYFUNCTION("""COMPUTED_VALUE"""),FALSE)</f>
        <v>0</v>
      </c>
      <c r="O1660" s="20">
        <f>IFERROR(__xludf.DUMMYFUNCTION("""COMPUTED_VALUE"""),38.3572932881604)</f>
        <v>38.35729329</v>
      </c>
      <c r="P1660" s="20">
        <f>IFERROR(__xludf.DUMMYFUNCTION("""COMPUTED_VALUE"""),4189.0)</f>
        <v>4189</v>
      </c>
      <c r="Q1660" s="20">
        <f>IFERROR(__xludf.DUMMYFUNCTION("""COMPUTED_VALUE"""),10921.0)</f>
        <v>10921</v>
      </c>
    </row>
    <row r="1661">
      <c r="A1661" s="20">
        <f>IFERROR(__xludf.DUMMYFUNCTION("""COMPUTED_VALUE"""),1796.0)</f>
        <v>1796</v>
      </c>
      <c r="B1661" s="20" t="str">
        <f>IFERROR(__xludf.DUMMYFUNCTION("""COMPUTED_VALUE"""),"Correct a Binary Tree")</f>
        <v>Correct a Binary Tree</v>
      </c>
      <c r="C1661" s="20" t="str">
        <f>IFERROR(__xludf.DUMMYFUNCTION("""COMPUTED_VALUE"""),"correct-a-binary-tree")</f>
        <v>correct-a-binary-tree</v>
      </c>
      <c r="D1661" s="20" t="b">
        <f>IFERROR(__xludf.DUMMYFUNCTION("""COMPUTED_VALUE"""),TRUE)</f>
        <v>1</v>
      </c>
      <c r="E1661" s="20" t="str">
        <f>IFERROR(__xludf.DUMMYFUNCTION("""COMPUTED_VALUE"""),"Medium")</f>
        <v>Medium</v>
      </c>
      <c r="F1661" s="20">
        <f>IFERROR(__xludf.DUMMYFUNCTION("""COMPUTED_VALUE"""),201.0)</f>
        <v>201</v>
      </c>
      <c r="G1661" s="20">
        <f>IFERROR(__xludf.DUMMYFUNCTION("""COMPUTED_VALUE"""),30.0)</f>
        <v>30</v>
      </c>
      <c r="H1661" s="20" t="str">
        <f>IFERROR(__xludf.DUMMYFUNCTION("""COMPUTED_VALUE"""),"Algorithms")</f>
        <v>Algorithms</v>
      </c>
      <c r="I1661" s="20">
        <f>IFERROR(__xludf.DUMMYFUNCTION("""COMPUTED_VALUE"""),0.724)</f>
        <v>0.724</v>
      </c>
      <c r="J1661" s="20">
        <f>IFERROR(__xludf.DUMMYFUNCTION("""COMPUTED_VALUE"""),1660.0)</f>
        <v>1660</v>
      </c>
      <c r="K1661" s="20" t="b">
        <f>IFERROR(__xludf.DUMMYFUNCTION("""COMPUTED_VALUE"""),TRUE)</f>
        <v>1</v>
      </c>
      <c r="L1661" s="20" t="str">
        <f>IFERROR(__xludf.DUMMYFUNCTION("""COMPUTED_VALUE"""),"Hash Table;Tree;Depth-First Search;Breadth-First Search;Binary Tree;")</f>
        <v>Hash Table;Tree;Depth-First Search;Breadth-First Search;Binary Tree;</v>
      </c>
      <c r="M1661" s="20" t="b">
        <f>IFERROR(__xludf.DUMMYFUNCTION("""COMPUTED_VALUE"""),FALSE)</f>
        <v>0</v>
      </c>
      <c r="N1661" s="20" t="b">
        <f>IFERROR(__xludf.DUMMYFUNCTION("""COMPUTED_VALUE"""),FALSE)</f>
        <v>0</v>
      </c>
      <c r="O1661" s="20">
        <f>IFERROR(__xludf.DUMMYFUNCTION("""COMPUTED_VALUE"""),72.4181154286337)</f>
        <v>72.41811543</v>
      </c>
      <c r="P1661" s="20">
        <f>IFERROR(__xludf.DUMMYFUNCTION("""COMPUTED_VALUE"""),13288.0)</f>
        <v>13288</v>
      </c>
      <c r="Q1661" s="20">
        <f>IFERROR(__xludf.DUMMYFUNCTION("""COMPUTED_VALUE"""),18349.0)</f>
        <v>18349</v>
      </c>
    </row>
    <row r="1662">
      <c r="A1662" s="20">
        <f>IFERROR(__xludf.DUMMYFUNCTION("""COMPUTED_VALUE"""),1801.0)</f>
        <v>1801</v>
      </c>
      <c r="B1662" s="20" t="str">
        <f>IFERROR(__xludf.DUMMYFUNCTION("""COMPUTED_VALUE"""),"Average Time of Process per Machine")</f>
        <v>Average Time of Process per Machine</v>
      </c>
      <c r="C1662" s="20" t="str">
        <f>IFERROR(__xludf.DUMMYFUNCTION("""COMPUTED_VALUE"""),"average-time-of-process-per-machine")</f>
        <v>average-time-of-process-per-machine</v>
      </c>
      <c r="D1662" s="20" t="b">
        <f>IFERROR(__xludf.DUMMYFUNCTION("""COMPUTED_VALUE"""),TRUE)</f>
        <v>1</v>
      </c>
      <c r="E1662" s="20" t="str">
        <f>IFERROR(__xludf.DUMMYFUNCTION("""COMPUTED_VALUE"""),"Easy")</f>
        <v>Easy</v>
      </c>
      <c r="F1662" s="20">
        <f>IFERROR(__xludf.DUMMYFUNCTION("""COMPUTED_VALUE"""),109.0)</f>
        <v>109</v>
      </c>
      <c r="G1662" s="20">
        <f>IFERROR(__xludf.DUMMYFUNCTION("""COMPUTED_VALUE"""),20.0)</f>
        <v>20</v>
      </c>
      <c r="H1662" s="20" t="str">
        <f>IFERROR(__xludf.DUMMYFUNCTION("""COMPUTED_VALUE"""),"Database")</f>
        <v>Database</v>
      </c>
      <c r="I1662" s="20">
        <f>IFERROR(__xludf.DUMMYFUNCTION("""COMPUTED_VALUE"""),0.789)</f>
        <v>0.789</v>
      </c>
      <c r="J1662" s="20">
        <f>IFERROR(__xludf.DUMMYFUNCTION("""COMPUTED_VALUE"""),1661.0)</f>
        <v>1661</v>
      </c>
      <c r="K1662" s="20" t="b">
        <f>IFERROR(__xludf.DUMMYFUNCTION("""COMPUTED_VALUE"""),TRUE)</f>
        <v>1</v>
      </c>
      <c r="L1662" s="20" t="str">
        <f>IFERROR(__xludf.DUMMYFUNCTION("""COMPUTED_VALUE"""),"Database;")</f>
        <v>Database;</v>
      </c>
      <c r="M1662" s="20" t="b">
        <f>IFERROR(__xludf.DUMMYFUNCTION("""COMPUTED_VALUE"""),FALSE)</f>
        <v>0</v>
      </c>
      <c r="N1662" s="20" t="b">
        <f>IFERROR(__xludf.DUMMYFUNCTION("""COMPUTED_VALUE"""),FALSE)</f>
        <v>0</v>
      </c>
      <c r="O1662" s="20">
        <f>IFERROR(__xludf.DUMMYFUNCTION("""COMPUTED_VALUE"""),78.9021596858638)</f>
        <v>78.90215969</v>
      </c>
      <c r="P1662" s="20">
        <f>IFERROR(__xludf.DUMMYFUNCTION("""COMPUTED_VALUE"""),19290.0)</f>
        <v>19290</v>
      </c>
      <c r="Q1662" s="20">
        <f>IFERROR(__xludf.DUMMYFUNCTION("""COMPUTED_VALUE"""),24448.0)</f>
        <v>24448</v>
      </c>
    </row>
    <row r="1663">
      <c r="A1663" s="20">
        <f>IFERROR(__xludf.DUMMYFUNCTION("""COMPUTED_VALUE"""),1781.0)</f>
        <v>1781</v>
      </c>
      <c r="B1663" s="20" t="str">
        <f>IFERROR(__xludf.DUMMYFUNCTION("""COMPUTED_VALUE"""),"Check If Two String Arrays are Equivalent")</f>
        <v>Check If Two String Arrays are Equivalent</v>
      </c>
      <c r="C1663" s="20" t="str">
        <f>IFERROR(__xludf.DUMMYFUNCTION("""COMPUTED_VALUE"""),"check-if-two-string-arrays-are-equivalent")</f>
        <v>check-if-two-string-arrays-are-equivalent</v>
      </c>
      <c r="D1663" s="20" t="b">
        <f>IFERROR(__xludf.DUMMYFUNCTION("""COMPUTED_VALUE"""),FALSE)</f>
        <v>0</v>
      </c>
      <c r="E1663" s="20" t="str">
        <f>IFERROR(__xludf.DUMMYFUNCTION("""COMPUTED_VALUE"""),"Easy")</f>
        <v>Easy</v>
      </c>
      <c r="F1663" s="20">
        <f>IFERROR(__xludf.DUMMYFUNCTION("""COMPUTED_VALUE"""),1949.0)</f>
        <v>1949</v>
      </c>
      <c r="G1663" s="20">
        <f>IFERROR(__xludf.DUMMYFUNCTION("""COMPUTED_VALUE"""),170.0)</f>
        <v>170</v>
      </c>
      <c r="H1663" s="20" t="str">
        <f>IFERROR(__xludf.DUMMYFUNCTION("""COMPUTED_VALUE"""),"Algorithms")</f>
        <v>Algorithms</v>
      </c>
      <c r="I1663" s="20">
        <f>IFERROR(__xludf.DUMMYFUNCTION("""COMPUTED_VALUE"""),0.833)</f>
        <v>0.833</v>
      </c>
      <c r="J1663" s="20">
        <f>IFERROR(__xludf.DUMMYFUNCTION("""COMPUTED_VALUE"""),1662.0)</f>
        <v>1662</v>
      </c>
      <c r="K1663" s="20" t="b">
        <f>IFERROR(__xludf.DUMMYFUNCTION("""COMPUTED_VALUE"""),FALSE)</f>
        <v>0</v>
      </c>
      <c r="L1663" s="20" t="str">
        <f>IFERROR(__xludf.DUMMYFUNCTION("""COMPUTED_VALUE"""),"Array;String;")</f>
        <v>Array;String;</v>
      </c>
      <c r="M1663" s="20" t="b">
        <f>IFERROR(__xludf.DUMMYFUNCTION("""COMPUTED_VALUE"""),TRUE)</f>
        <v>1</v>
      </c>
      <c r="N1663" s="20" t="b">
        <f>IFERROR(__xludf.DUMMYFUNCTION("""COMPUTED_VALUE"""),FALSE)</f>
        <v>0</v>
      </c>
      <c r="O1663" s="20">
        <f>IFERROR(__xludf.DUMMYFUNCTION("""COMPUTED_VALUE"""),83.3392765165022)</f>
        <v>83.33927652</v>
      </c>
      <c r="P1663" s="20">
        <f>IFERROR(__xludf.DUMMYFUNCTION("""COMPUTED_VALUE"""),252405.0)</f>
        <v>252405</v>
      </c>
      <c r="Q1663" s="20">
        <f>IFERROR(__xludf.DUMMYFUNCTION("""COMPUTED_VALUE"""),302865.0)</f>
        <v>302865</v>
      </c>
    </row>
    <row r="1664">
      <c r="A1664" s="20">
        <f>IFERROR(__xludf.DUMMYFUNCTION("""COMPUTED_VALUE"""),1782.0)</f>
        <v>1782</v>
      </c>
      <c r="B1664" s="20" t="str">
        <f>IFERROR(__xludf.DUMMYFUNCTION("""COMPUTED_VALUE"""),"Smallest String With A Given Numeric Value")</f>
        <v>Smallest String With A Given Numeric Value</v>
      </c>
      <c r="C1664" s="20" t="str">
        <f>IFERROR(__xludf.DUMMYFUNCTION("""COMPUTED_VALUE"""),"smallest-string-with-a-given-numeric-value")</f>
        <v>smallest-string-with-a-given-numeric-value</v>
      </c>
      <c r="D1664" s="20" t="b">
        <f>IFERROR(__xludf.DUMMYFUNCTION("""COMPUTED_VALUE"""),FALSE)</f>
        <v>0</v>
      </c>
      <c r="E1664" s="20" t="str">
        <f>IFERROR(__xludf.DUMMYFUNCTION("""COMPUTED_VALUE"""),"Medium")</f>
        <v>Medium</v>
      </c>
      <c r="F1664" s="20">
        <f>IFERROR(__xludf.DUMMYFUNCTION("""COMPUTED_VALUE"""),1683.0)</f>
        <v>1683</v>
      </c>
      <c r="G1664" s="20">
        <f>IFERROR(__xludf.DUMMYFUNCTION("""COMPUTED_VALUE"""),53.0)</f>
        <v>53</v>
      </c>
      <c r="H1664" s="20" t="str">
        <f>IFERROR(__xludf.DUMMYFUNCTION("""COMPUTED_VALUE"""),"Algorithms")</f>
        <v>Algorithms</v>
      </c>
      <c r="I1664" s="20">
        <f>IFERROR(__xludf.DUMMYFUNCTION("""COMPUTED_VALUE"""),0.668)</f>
        <v>0.668</v>
      </c>
      <c r="J1664" s="20">
        <f>IFERROR(__xludf.DUMMYFUNCTION("""COMPUTED_VALUE"""),1663.0)</f>
        <v>1663</v>
      </c>
      <c r="K1664" s="20" t="b">
        <f>IFERROR(__xludf.DUMMYFUNCTION("""COMPUTED_VALUE"""),FALSE)</f>
        <v>0</v>
      </c>
      <c r="L1664" s="20" t="str">
        <f>IFERROR(__xludf.DUMMYFUNCTION("""COMPUTED_VALUE"""),"String;Greedy;")</f>
        <v>String;Greedy;</v>
      </c>
      <c r="M1664" s="20" t="b">
        <f>IFERROR(__xludf.DUMMYFUNCTION("""COMPUTED_VALUE"""),TRUE)</f>
        <v>1</v>
      </c>
      <c r="N1664" s="20" t="b">
        <f>IFERROR(__xludf.DUMMYFUNCTION("""COMPUTED_VALUE"""),FALSE)</f>
        <v>0</v>
      </c>
      <c r="O1664" s="20">
        <f>IFERROR(__xludf.DUMMYFUNCTION("""COMPUTED_VALUE"""),66.8329488058863)</f>
        <v>66.83294881</v>
      </c>
      <c r="P1664" s="20">
        <f>IFERROR(__xludf.DUMMYFUNCTION("""COMPUTED_VALUE"""),85744.0)</f>
        <v>85744</v>
      </c>
      <c r="Q1664" s="20">
        <f>IFERROR(__xludf.DUMMYFUNCTION("""COMPUTED_VALUE"""),128296.0)</f>
        <v>128296</v>
      </c>
    </row>
    <row r="1665">
      <c r="A1665" s="20">
        <f>IFERROR(__xludf.DUMMYFUNCTION("""COMPUTED_VALUE"""),1783.0)</f>
        <v>1783</v>
      </c>
      <c r="B1665" s="20" t="str">
        <f>IFERROR(__xludf.DUMMYFUNCTION("""COMPUTED_VALUE"""),"Ways to Make a Fair Array")</f>
        <v>Ways to Make a Fair Array</v>
      </c>
      <c r="C1665" s="20" t="str">
        <f>IFERROR(__xludf.DUMMYFUNCTION("""COMPUTED_VALUE"""),"ways-to-make-a-fair-array")</f>
        <v>ways-to-make-a-fair-array</v>
      </c>
      <c r="D1665" s="20" t="b">
        <f>IFERROR(__xludf.DUMMYFUNCTION("""COMPUTED_VALUE"""),FALSE)</f>
        <v>0</v>
      </c>
      <c r="E1665" s="20" t="str">
        <f>IFERROR(__xludf.DUMMYFUNCTION("""COMPUTED_VALUE"""),"Medium")</f>
        <v>Medium</v>
      </c>
      <c r="F1665" s="20">
        <f>IFERROR(__xludf.DUMMYFUNCTION("""COMPUTED_VALUE"""),1065.0)</f>
        <v>1065</v>
      </c>
      <c r="G1665" s="20">
        <f>IFERROR(__xludf.DUMMYFUNCTION("""COMPUTED_VALUE"""),30.0)</f>
        <v>30</v>
      </c>
      <c r="H1665" s="20" t="str">
        <f>IFERROR(__xludf.DUMMYFUNCTION("""COMPUTED_VALUE"""),"Algorithms")</f>
        <v>Algorithms</v>
      </c>
      <c r="I1665" s="20">
        <f>IFERROR(__xludf.DUMMYFUNCTION("""COMPUTED_VALUE"""),0.633)</f>
        <v>0.633</v>
      </c>
      <c r="J1665" s="20">
        <f>IFERROR(__xludf.DUMMYFUNCTION("""COMPUTED_VALUE"""),1664.0)</f>
        <v>1664</v>
      </c>
      <c r="K1665" s="20" t="b">
        <f>IFERROR(__xludf.DUMMYFUNCTION("""COMPUTED_VALUE"""),FALSE)</f>
        <v>0</v>
      </c>
      <c r="L1665" s="20" t="str">
        <f>IFERROR(__xludf.DUMMYFUNCTION("""COMPUTED_VALUE"""),"Array;Dynamic Programming;")</f>
        <v>Array;Dynamic Programming;</v>
      </c>
      <c r="M1665" s="20" t="b">
        <f>IFERROR(__xludf.DUMMYFUNCTION("""COMPUTED_VALUE"""),FALSE)</f>
        <v>0</v>
      </c>
      <c r="N1665" s="20" t="b">
        <f>IFERROR(__xludf.DUMMYFUNCTION("""COMPUTED_VALUE"""),FALSE)</f>
        <v>0</v>
      </c>
      <c r="O1665" s="20">
        <f>IFERROR(__xludf.DUMMYFUNCTION("""COMPUTED_VALUE"""),63.3083535375799)</f>
        <v>63.30835354</v>
      </c>
      <c r="P1665" s="20">
        <f>IFERROR(__xludf.DUMMYFUNCTION("""COMPUTED_VALUE"""),28723.0)</f>
        <v>28723</v>
      </c>
      <c r="Q1665" s="20">
        <f>IFERROR(__xludf.DUMMYFUNCTION("""COMPUTED_VALUE"""),45370.0)</f>
        <v>45370</v>
      </c>
    </row>
    <row r="1666">
      <c r="A1666" s="20">
        <f>IFERROR(__xludf.DUMMYFUNCTION("""COMPUTED_VALUE"""),1784.0)</f>
        <v>1784</v>
      </c>
      <c r="B1666" s="20" t="str">
        <f>IFERROR(__xludf.DUMMYFUNCTION("""COMPUTED_VALUE"""),"Minimum Initial Energy to Finish Tasks")</f>
        <v>Minimum Initial Energy to Finish Tasks</v>
      </c>
      <c r="C1666" s="20" t="str">
        <f>IFERROR(__xludf.DUMMYFUNCTION("""COMPUTED_VALUE"""),"minimum-initial-energy-to-finish-tasks")</f>
        <v>minimum-initial-energy-to-finish-tasks</v>
      </c>
      <c r="D1666" s="20" t="b">
        <f>IFERROR(__xludf.DUMMYFUNCTION("""COMPUTED_VALUE"""),FALSE)</f>
        <v>0</v>
      </c>
      <c r="E1666" s="20" t="str">
        <f>IFERROR(__xludf.DUMMYFUNCTION("""COMPUTED_VALUE"""),"Hard")</f>
        <v>Hard</v>
      </c>
      <c r="F1666" s="20">
        <f>IFERROR(__xludf.DUMMYFUNCTION("""COMPUTED_VALUE"""),460.0)</f>
        <v>460</v>
      </c>
      <c r="G1666" s="20">
        <f>IFERROR(__xludf.DUMMYFUNCTION("""COMPUTED_VALUE"""),32.0)</f>
        <v>32</v>
      </c>
      <c r="H1666" s="20" t="str">
        <f>IFERROR(__xludf.DUMMYFUNCTION("""COMPUTED_VALUE"""),"Algorithms")</f>
        <v>Algorithms</v>
      </c>
      <c r="I1666" s="20">
        <f>IFERROR(__xludf.DUMMYFUNCTION("""COMPUTED_VALUE"""),0.562)</f>
        <v>0.562</v>
      </c>
      <c r="J1666" s="20">
        <f>IFERROR(__xludf.DUMMYFUNCTION("""COMPUTED_VALUE"""),1665.0)</f>
        <v>1665</v>
      </c>
      <c r="K1666" s="20" t="b">
        <f>IFERROR(__xludf.DUMMYFUNCTION("""COMPUTED_VALUE"""),FALSE)</f>
        <v>0</v>
      </c>
      <c r="L1666" s="20" t="str">
        <f>IFERROR(__xludf.DUMMYFUNCTION("""COMPUTED_VALUE"""),"Array;Greedy;Sorting;")</f>
        <v>Array;Greedy;Sorting;</v>
      </c>
      <c r="M1666" s="20" t="b">
        <f>IFERROR(__xludf.DUMMYFUNCTION("""COMPUTED_VALUE"""),FALSE)</f>
        <v>0</v>
      </c>
      <c r="N1666" s="20" t="b">
        <f>IFERROR(__xludf.DUMMYFUNCTION("""COMPUTED_VALUE"""),FALSE)</f>
        <v>0</v>
      </c>
      <c r="O1666" s="20">
        <f>IFERROR(__xludf.DUMMYFUNCTION("""COMPUTED_VALUE"""),56.2167553191489)</f>
        <v>56.21675532</v>
      </c>
      <c r="P1666" s="20">
        <f>IFERROR(__xludf.DUMMYFUNCTION("""COMPUTED_VALUE"""),13528.0)</f>
        <v>13528</v>
      </c>
      <c r="Q1666" s="20">
        <f>IFERROR(__xludf.DUMMYFUNCTION("""COMPUTED_VALUE"""),24064.0)</f>
        <v>24064</v>
      </c>
    </row>
    <row r="1667">
      <c r="A1667" s="20">
        <f>IFERROR(__xludf.DUMMYFUNCTION("""COMPUTED_VALUE"""),1810.0)</f>
        <v>1810</v>
      </c>
      <c r="B1667" s="20" t="str">
        <f>IFERROR(__xludf.DUMMYFUNCTION("""COMPUTED_VALUE"""),"Change the Root of a Binary Tree")</f>
        <v>Change the Root of a Binary Tree</v>
      </c>
      <c r="C1667" s="20" t="str">
        <f>IFERROR(__xludf.DUMMYFUNCTION("""COMPUTED_VALUE"""),"change-the-root-of-a-binary-tree")</f>
        <v>change-the-root-of-a-binary-tree</v>
      </c>
      <c r="D1667" s="20" t="b">
        <f>IFERROR(__xludf.DUMMYFUNCTION("""COMPUTED_VALUE"""),TRUE)</f>
        <v>1</v>
      </c>
      <c r="E1667" s="20" t="str">
        <f>IFERROR(__xludf.DUMMYFUNCTION("""COMPUTED_VALUE"""),"Medium")</f>
        <v>Medium</v>
      </c>
      <c r="F1667" s="20">
        <f>IFERROR(__xludf.DUMMYFUNCTION("""COMPUTED_VALUE"""),49.0)</f>
        <v>49</v>
      </c>
      <c r="G1667" s="20">
        <f>IFERROR(__xludf.DUMMYFUNCTION("""COMPUTED_VALUE"""),135.0)</f>
        <v>135</v>
      </c>
      <c r="H1667" s="20" t="str">
        <f>IFERROR(__xludf.DUMMYFUNCTION("""COMPUTED_VALUE"""),"Algorithms")</f>
        <v>Algorithms</v>
      </c>
      <c r="I1667" s="20">
        <f>IFERROR(__xludf.DUMMYFUNCTION("""COMPUTED_VALUE"""),0.696)</f>
        <v>0.696</v>
      </c>
      <c r="J1667" s="20">
        <f>IFERROR(__xludf.DUMMYFUNCTION("""COMPUTED_VALUE"""),1666.0)</f>
        <v>1666</v>
      </c>
      <c r="K1667" s="20" t="b">
        <f>IFERROR(__xludf.DUMMYFUNCTION("""COMPUTED_VALUE"""),TRUE)</f>
        <v>1</v>
      </c>
      <c r="L1667" s="20" t="str">
        <f>IFERROR(__xludf.DUMMYFUNCTION("""COMPUTED_VALUE"""),"Tree;Depth-First Search;Binary Tree;")</f>
        <v>Tree;Depth-First Search;Binary Tree;</v>
      </c>
      <c r="M1667" s="20" t="b">
        <f>IFERROR(__xludf.DUMMYFUNCTION("""COMPUTED_VALUE"""),FALSE)</f>
        <v>0</v>
      </c>
      <c r="N1667" s="20" t="b">
        <f>IFERROR(__xludf.DUMMYFUNCTION("""COMPUTED_VALUE"""),FALSE)</f>
        <v>0</v>
      </c>
      <c r="O1667" s="20">
        <f>IFERROR(__xludf.DUMMYFUNCTION("""COMPUTED_VALUE"""),69.5830135584548)</f>
        <v>69.58301356</v>
      </c>
      <c r="P1667" s="20">
        <f>IFERROR(__xludf.DUMMYFUNCTION("""COMPUTED_VALUE"""),2720.0)</f>
        <v>2720</v>
      </c>
      <c r="Q1667" s="20">
        <f>IFERROR(__xludf.DUMMYFUNCTION("""COMPUTED_VALUE"""),3909.0)</f>
        <v>3909</v>
      </c>
    </row>
    <row r="1668">
      <c r="A1668" s="20">
        <f>IFERROR(__xludf.DUMMYFUNCTION("""COMPUTED_VALUE"""),1811.0)</f>
        <v>1811</v>
      </c>
      <c r="B1668" s="20" t="str">
        <f>IFERROR(__xludf.DUMMYFUNCTION("""COMPUTED_VALUE"""),"Fix Names in a Table")</f>
        <v>Fix Names in a Table</v>
      </c>
      <c r="C1668" s="20" t="str">
        <f>IFERROR(__xludf.DUMMYFUNCTION("""COMPUTED_VALUE"""),"fix-names-in-a-table")</f>
        <v>fix-names-in-a-table</v>
      </c>
      <c r="D1668" s="20" t="b">
        <f>IFERROR(__xludf.DUMMYFUNCTION("""COMPUTED_VALUE"""),FALSE)</f>
        <v>0</v>
      </c>
      <c r="E1668" s="20" t="str">
        <f>IFERROR(__xludf.DUMMYFUNCTION("""COMPUTED_VALUE"""),"Easy")</f>
        <v>Easy</v>
      </c>
      <c r="F1668" s="20">
        <f>IFERROR(__xludf.DUMMYFUNCTION("""COMPUTED_VALUE"""),456.0)</f>
        <v>456</v>
      </c>
      <c r="G1668" s="20">
        <f>IFERROR(__xludf.DUMMYFUNCTION("""COMPUTED_VALUE"""),69.0)</f>
        <v>69</v>
      </c>
      <c r="H1668" s="20" t="str">
        <f>IFERROR(__xludf.DUMMYFUNCTION("""COMPUTED_VALUE"""),"Database")</f>
        <v>Database</v>
      </c>
      <c r="I1668" s="20">
        <f>IFERROR(__xludf.DUMMYFUNCTION("""COMPUTED_VALUE"""),0.664)</f>
        <v>0.664</v>
      </c>
      <c r="J1668" s="20">
        <f>IFERROR(__xludf.DUMMYFUNCTION("""COMPUTED_VALUE"""),1667.0)</f>
        <v>1667</v>
      </c>
      <c r="K1668" s="20" t="b">
        <f>IFERROR(__xludf.DUMMYFUNCTION("""COMPUTED_VALUE"""),FALSE)</f>
        <v>0</v>
      </c>
      <c r="L1668" s="20" t="str">
        <f>IFERROR(__xludf.DUMMYFUNCTION("""COMPUTED_VALUE"""),"Database;")</f>
        <v>Database;</v>
      </c>
      <c r="M1668" s="20" t="b">
        <f>IFERROR(__xludf.DUMMYFUNCTION("""COMPUTED_VALUE"""),FALSE)</f>
        <v>0</v>
      </c>
      <c r="N1668" s="20" t="b">
        <f>IFERROR(__xludf.DUMMYFUNCTION("""COMPUTED_VALUE"""),FALSE)</f>
        <v>0</v>
      </c>
      <c r="O1668" s="20">
        <f>IFERROR(__xludf.DUMMYFUNCTION("""COMPUTED_VALUE"""),66.4455970531393)</f>
        <v>66.44559705</v>
      </c>
      <c r="P1668" s="20">
        <f>IFERROR(__xludf.DUMMYFUNCTION("""COMPUTED_VALUE"""),80447.0)</f>
        <v>80447</v>
      </c>
      <c r="Q1668" s="20">
        <f>IFERROR(__xludf.DUMMYFUNCTION("""COMPUTED_VALUE"""),121069.0)</f>
        <v>121069</v>
      </c>
    </row>
    <row r="1669">
      <c r="A1669" s="20">
        <f>IFERROR(__xludf.DUMMYFUNCTION("""COMPUTED_VALUE"""),1764.0)</f>
        <v>1764</v>
      </c>
      <c r="B1669" s="20" t="str">
        <f>IFERROR(__xludf.DUMMYFUNCTION("""COMPUTED_VALUE"""),"Maximum Repeating Substring")</f>
        <v>Maximum Repeating Substring</v>
      </c>
      <c r="C1669" s="20" t="str">
        <f>IFERROR(__xludf.DUMMYFUNCTION("""COMPUTED_VALUE"""),"maximum-repeating-substring")</f>
        <v>maximum-repeating-substring</v>
      </c>
      <c r="D1669" s="20" t="b">
        <f>IFERROR(__xludf.DUMMYFUNCTION("""COMPUTED_VALUE"""),FALSE)</f>
        <v>0</v>
      </c>
      <c r="E1669" s="20" t="str">
        <f>IFERROR(__xludf.DUMMYFUNCTION("""COMPUTED_VALUE"""),"Easy")</f>
        <v>Easy</v>
      </c>
      <c r="F1669" s="20">
        <f>IFERROR(__xludf.DUMMYFUNCTION("""COMPUTED_VALUE"""),511.0)</f>
        <v>511</v>
      </c>
      <c r="G1669" s="20">
        <f>IFERROR(__xludf.DUMMYFUNCTION("""COMPUTED_VALUE"""),176.0)</f>
        <v>176</v>
      </c>
      <c r="H1669" s="20" t="str">
        <f>IFERROR(__xludf.DUMMYFUNCTION("""COMPUTED_VALUE"""),"Algorithms")</f>
        <v>Algorithms</v>
      </c>
      <c r="I1669" s="20">
        <f>IFERROR(__xludf.DUMMYFUNCTION("""COMPUTED_VALUE"""),0.395)</f>
        <v>0.395</v>
      </c>
      <c r="J1669" s="20">
        <f>IFERROR(__xludf.DUMMYFUNCTION("""COMPUTED_VALUE"""),1668.0)</f>
        <v>1668</v>
      </c>
      <c r="K1669" s="20" t="b">
        <f>IFERROR(__xludf.DUMMYFUNCTION("""COMPUTED_VALUE"""),FALSE)</f>
        <v>0</v>
      </c>
      <c r="L1669" s="20" t="str">
        <f>IFERROR(__xludf.DUMMYFUNCTION("""COMPUTED_VALUE"""),"String;String Matching;")</f>
        <v>String;String Matching;</v>
      </c>
      <c r="M1669" s="20" t="b">
        <f>IFERROR(__xludf.DUMMYFUNCTION("""COMPUTED_VALUE"""),FALSE)</f>
        <v>0</v>
      </c>
      <c r="N1669" s="20" t="b">
        <f>IFERROR(__xludf.DUMMYFUNCTION("""COMPUTED_VALUE"""),FALSE)</f>
        <v>0</v>
      </c>
      <c r="O1669" s="20">
        <f>IFERROR(__xludf.DUMMYFUNCTION("""COMPUTED_VALUE"""),39.5347105899869)</f>
        <v>39.53471059</v>
      </c>
      <c r="P1669" s="20">
        <f>IFERROR(__xludf.DUMMYFUNCTION("""COMPUTED_VALUE"""),31863.0)</f>
        <v>31863</v>
      </c>
      <c r="Q1669" s="20">
        <f>IFERROR(__xludf.DUMMYFUNCTION("""COMPUTED_VALUE"""),80591.0)</f>
        <v>80591</v>
      </c>
    </row>
    <row r="1670">
      <c r="A1670" s="20">
        <f>IFERROR(__xludf.DUMMYFUNCTION("""COMPUTED_VALUE"""),1765.0)</f>
        <v>1765</v>
      </c>
      <c r="B1670" s="20" t="str">
        <f>IFERROR(__xludf.DUMMYFUNCTION("""COMPUTED_VALUE"""),"Merge In Between Linked Lists")</f>
        <v>Merge In Between Linked Lists</v>
      </c>
      <c r="C1670" s="20" t="str">
        <f>IFERROR(__xludf.DUMMYFUNCTION("""COMPUTED_VALUE"""),"merge-in-between-linked-lists")</f>
        <v>merge-in-between-linked-lists</v>
      </c>
      <c r="D1670" s="20" t="b">
        <f>IFERROR(__xludf.DUMMYFUNCTION("""COMPUTED_VALUE"""),FALSE)</f>
        <v>0</v>
      </c>
      <c r="E1670" s="20" t="str">
        <f>IFERROR(__xludf.DUMMYFUNCTION("""COMPUTED_VALUE"""),"Medium")</f>
        <v>Medium</v>
      </c>
      <c r="F1670" s="20">
        <f>IFERROR(__xludf.DUMMYFUNCTION("""COMPUTED_VALUE"""),1181.0)</f>
        <v>1181</v>
      </c>
      <c r="G1670" s="20">
        <f>IFERROR(__xludf.DUMMYFUNCTION("""COMPUTED_VALUE"""),155.0)</f>
        <v>155</v>
      </c>
      <c r="H1670" s="20" t="str">
        <f>IFERROR(__xludf.DUMMYFUNCTION("""COMPUTED_VALUE"""),"Algorithms")</f>
        <v>Algorithms</v>
      </c>
      <c r="I1670" s="20">
        <f>IFERROR(__xludf.DUMMYFUNCTION("""COMPUTED_VALUE"""),0.743)</f>
        <v>0.743</v>
      </c>
      <c r="J1670" s="20">
        <f>IFERROR(__xludf.DUMMYFUNCTION("""COMPUTED_VALUE"""),1669.0)</f>
        <v>1669</v>
      </c>
      <c r="K1670" s="20" t="b">
        <f>IFERROR(__xludf.DUMMYFUNCTION("""COMPUTED_VALUE"""),FALSE)</f>
        <v>0</v>
      </c>
      <c r="L1670" s="20" t="str">
        <f>IFERROR(__xludf.DUMMYFUNCTION("""COMPUTED_VALUE"""),"Linked List;")</f>
        <v>Linked List;</v>
      </c>
      <c r="M1670" s="20" t="b">
        <f>IFERROR(__xludf.DUMMYFUNCTION("""COMPUTED_VALUE"""),FALSE)</f>
        <v>0</v>
      </c>
      <c r="N1670" s="20" t="b">
        <f>IFERROR(__xludf.DUMMYFUNCTION("""COMPUTED_VALUE"""),FALSE)</f>
        <v>0</v>
      </c>
      <c r="O1670" s="20">
        <f>IFERROR(__xludf.DUMMYFUNCTION("""COMPUTED_VALUE"""),74.28021713736)</f>
        <v>74.28021714</v>
      </c>
      <c r="P1670" s="20">
        <f>IFERROR(__xludf.DUMMYFUNCTION("""COMPUTED_VALUE"""),64859.0)</f>
        <v>64859</v>
      </c>
      <c r="Q1670" s="20">
        <f>IFERROR(__xludf.DUMMYFUNCTION("""COMPUTED_VALUE"""),87314.0)</f>
        <v>87314</v>
      </c>
    </row>
    <row r="1671">
      <c r="A1671" s="20">
        <f>IFERROR(__xludf.DUMMYFUNCTION("""COMPUTED_VALUE"""),1767.0)</f>
        <v>1767</v>
      </c>
      <c r="B1671" s="20" t="str">
        <f>IFERROR(__xludf.DUMMYFUNCTION("""COMPUTED_VALUE"""),"Design Front Middle Back Queue")</f>
        <v>Design Front Middle Back Queue</v>
      </c>
      <c r="C1671" s="20" t="str">
        <f>IFERROR(__xludf.DUMMYFUNCTION("""COMPUTED_VALUE"""),"design-front-middle-back-queue")</f>
        <v>design-front-middle-back-queue</v>
      </c>
      <c r="D1671" s="20" t="b">
        <f>IFERROR(__xludf.DUMMYFUNCTION("""COMPUTED_VALUE"""),FALSE)</f>
        <v>0</v>
      </c>
      <c r="E1671" s="20" t="str">
        <f>IFERROR(__xludf.DUMMYFUNCTION("""COMPUTED_VALUE"""),"Medium")</f>
        <v>Medium</v>
      </c>
      <c r="F1671" s="20">
        <f>IFERROR(__xludf.DUMMYFUNCTION("""COMPUTED_VALUE"""),573.0)</f>
        <v>573</v>
      </c>
      <c r="G1671" s="20">
        <f>IFERROR(__xludf.DUMMYFUNCTION("""COMPUTED_VALUE"""),83.0)</f>
        <v>83</v>
      </c>
      <c r="H1671" s="20" t="str">
        <f>IFERROR(__xludf.DUMMYFUNCTION("""COMPUTED_VALUE"""),"Algorithms")</f>
        <v>Algorithms</v>
      </c>
      <c r="I1671" s="20">
        <f>IFERROR(__xludf.DUMMYFUNCTION("""COMPUTED_VALUE"""),0.575)</f>
        <v>0.575</v>
      </c>
      <c r="J1671" s="20">
        <f>IFERROR(__xludf.DUMMYFUNCTION("""COMPUTED_VALUE"""),1670.0)</f>
        <v>1670</v>
      </c>
      <c r="K1671" s="20" t="b">
        <f>IFERROR(__xludf.DUMMYFUNCTION("""COMPUTED_VALUE"""),FALSE)</f>
        <v>0</v>
      </c>
      <c r="L1671" s="20" t="str">
        <f>IFERROR(__xludf.DUMMYFUNCTION("""COMPUTED_VALUE"""),"Array;Linked List;Design;Queue;Data Stream;")</f>
        <v>Array;Linked List;Design;Queue;Data Stream;</v>
      </c>
      <c r="M1671" s="20" t="b">
        <f>IFERROR(__xludf.DUMMYFUNCTION("""COMPUTED_VALUE"""),FALSE)</f>
        <v>0</v>
      </c>
      <c r="N1671" s="20" t="b">
        <f>IFERROR(__xludf.DUMMYFUNCTION("""COMPUTED_VALUE"""),FALSE)</f>
        <v>0</v>
      </c>
      <c r="O1671" s="20">
        <f>IFERROR(__xludf.DUMMYFUNCTION("""COMPUTED_VALUE"""),57.4827931054767)</f>
        <v>57.48279311</v>
      </c>
      <c r="P1671" s="20">
        <f>IFERROR(__xludf.DUMMYFUNCTION("""COMPUTED_VALUE"""),19542.0)</f>
        <v>19542</v>
      </c>
      <c r="Q1671" s="20">
        <f>IFERROR(__xludf.DUMMYFUNCTION("""COMPUTED_VALUE"""),33997.0)</f>
        <v>33997</v>
      </c>
    </row>
    <row r="1672">
      <c r="A1672" s="20">
        <f>IFERROR(__xludf.DUMMYFUNCTION("""COMPUTED_VALUE"""),1766.0)</f>
        <v>1766</v>
      </c>
      <c r="B1672" s="20" t="str">
        <f>IFERROR(__xludf.DUMMYFUNCTION("""COMPUTED_VALUE"""),"Minimum Number of Removals to Make Mountain Array")</f>
        <v>Minimum Number of Removals to Make Mountain Array</v>
      </c>
      <c r="C1672" s="20" t="str">
        <f>IFERROR(__xludf.DUMMYFUNCTION("""COMPUTED_VALUE"""),"minimum-number-of-removals-to-make-mountain-array")</f>
        <v>minimum-number-of-removals-to-make-mountain-array</v>
      </c>
      <c r="D1672" s="20" t="b">
        <f>IFERROR(__xludf.DUMMYFUNCTION("""COMPUTED_VALUE"""),FALSE)</f>
        <v>0</v>
      </c>
      <c r="E1672" s="20" t="str">
        <f>IFERROR(__xludf.DUMMYFUNCTION("""COMPUTED_VALUE"""),"Hard")</f>
        <v>Hard</v>
      </c>
      <c r="F1672" s="20">
        <f>IFERROR(__xludf.DUMMYFUNCTION("""COMPUTED_VALUE"""),1157.0)</f>
        <v>1157</v>
      </c>
      <c r="G1672" s="20">
        <f>IFERROR(__xludf.DUMMYFUNCTION("""COMPUTED_VALUE"""),18.0)</f>
        <v>18</v>
      </c>
      <c r="H1672" s="20" t="str">
        <f>IFERROR(__xludf.DUMMYFUNCTION("""COMPUTED_VALUE"""),"Algorithms")</f>
        <v>Algorithms</v>
      </c>
      <c r="I1672" s="20">
        <f>IFERROR(__xludf.DUMMYFUNCTION("""COMPUTED_VALUE"""),0.425)</f>
        <v>0.425</v>
      </c>
      <c r="J1672" s="20">
        <f>IFERROR(__xludf.DUMMYFUNCTION("""COMPUTED_VALUE"""),1671.0)</f>
        <v>1671</v>
      </c>
      <c r="K1672" s="20" t="b">
        <f>IFERROR(__xludf.DUMMYFUNCTION("""COMPUTED_VALUE"""),FALSE)</f>
        <v>0</v>
      </c>
      <c r="L1672" s="20" t="str">
        <f>IFERROR(__xludf.DUMMYFUNCTION("""COMPUTED_VALUE"""),"Array;Binary Search;Dynamic Programming;Greedy;")</f>
        <v>Array;Binary Search;Dynamic Programming;Greedy;</v>
      </c>
      <c r="M1672" s="20" t="b">
        <f>IFERROR(__xludf.DUMMYFUNCTION("""COMPUTED_VALUE"""),FALSE)</f>
        <v>0</v>
      </c>
      <c r="N1672" s="20" t="b">
        <f>IFERROR(__xludf.DUMMYFUNCTION("""COMPUTED_VALUE"""),FALSE)</f>
        <v>0</v>
      </c>
      <c r="O1672" s="20">
        <f>IFERROR(__xludf.DUMMYFUNCTION("""COMPUTED_VALUE"""),42.4793604461193)</f>
        <v>42.47936045</v>
      </c>
      <c r="P1672" s="20">
        <f>IFERROR(__xludf.DUMMYFUNCTION("""COMPUTED_VALUE"""),19501.0)</f>
        <v>19501</v>
      </c>
      <c r="Q1672" s="20">
        <f>IFERROR(__xludf.DUMMYFUNCTION("""COMPUTED_VALUE"""),45896.0)</f>
        <v>45896</v>
      </c>
    </row>
    <row r="1673">
      <c r="A1673" s="20">
        <f>IFERROR(__xludf.DUMMYFUNCTION("""COMPUTED_VALUE"""),1791.0)</f>
        <v>1791</v>
      </c>
      <c r="B1673" s="20" t="str">
        <f>IFERROR(__xludf.DUMMYFUNCTION("""COMPUTED_VALUE"""),"Richest Customer Wealth")</f>
        <v>Richest Customer Wealth</v>
      </c>
      <c r="C1673" s="20" t="str">
        <f>IFERROR(__xludf.DUMMYFUNCTION("""COMPUTED_VALUE"""),"richest-customer-wealth")</f>
        <v>richest-customer-wealth</v>
      </c>
      <c r="D1673" s="20" t="b">
        <f>IFERROR(__xludf.DUMMYFUNCTION("""COMPUTED_VALUE"""),FALSE)</f>
        <v>0</v>
      </c>
      <c r="E1673" s="20" t="str">
        <f>IFERROR(__xludf.DUMMYFUNCTION("""COMPUTED_VALUE"""),"Easy")</f>
        <v>Easy</v>
      </c>
      <c r="F1673" s="20">
        <f>IFERROR(__xludf.DUMMYFUNCTION("""COMPUTED_VALUE"""),2956.0)</f>
        <v>2956</v>
      </c>
      <c r="G1673" s="20">
        <f>IFERROR(__xludf.DUMMYFUNCTION("""COMPUTED_VALUE"""),308.0)</f>
        <v>308</v>
      </c>
      <c r="H1673" s="20" t="str">
        <f>IFERROR(__xludf.DUMMYFUNCTION("""COMPUTED_VALUE"""),"Algorithms")</f>
        <v>Algorithms</v>
      </c>
      <c r="I1673" s="20">
        <f>IFERROR(__xludf.DUMMYFUNCTION("""COMPUTED_VALUE"""),0.881)</f>
        <v>0.881</v>
      </c>
      <c r="J1673" s="20">
        <f>IFERROR(__xludf.DUMMYFUNCTION("""COMPUTED_VALUE"""),1672.0)</f>
        <v>1672</v>
      </c>
      <c r="K1673" s="20" t="b">
        <f>IFERROR(__xludf.DUMMYFUNCTION("""COMPUTED_VALUE"""),FALSE)</f>
        <v>0</v>
      </c>
      <c r="L1673" s="20" t="str">
        <f>IFERROR(__xludf.DUMMYFUNCTION("""COMPUTED_VALUE"""),"Array;Matrix;")</f>
        <v>Array;Matrix;</v>
      </c>
      <c r="M1673" s="20" t="b">
        <f>IFERROR(__xludf.DUMMYFUNCTION("""COMPUTED_VALUE"""),TRUE)</f>
        <v>1</v>
      </c>
      <c r="N1673" s="20" t="b">
        <f>IFERROR(__xludf.DUMMYFUNCTION("""COMPUTED_VALUE"""),TRUE)</f>
        <v>1</v>
      </c>
      <c r="O1673" s="20">
        <f>IFERROR(__xludf.DUMMYFUNCTION("""COMPUTED_VALUE"""),88.1015399210378)</f>
        <v>88.10153992</v>
      </c>
      <c r="P1673" s="20">
        <f>IFERROR(__xludf.DUMMYFUNCTION("""COMPUTED_VALUE"""),499607.0)</f>
        <v>499607</v>
      </c>
      <c r="Q1673" s="20">
        <f>IFERROR(__xludf.DUMMYFUNCTION("""COMPUTED_VALUE"""),567083.0)</f>
        <v>567083</v>
      </c>
    </row>
    <row r="1674">
      <c r="A1674" s="20">
        <f>IFERROR(__xludf.DUMMYFUNCTION("""COMPUTED_VALUE"""),1792.0)</f>
        <v>1792</v>
      </c>
      <c r="B1674" s="20" t="str">
        <f>IFERROR(__xludf.DUMMYFUNCTION("""COMPUTED_VALUE"""),"Find the Most Competitive Subsequence")</f>
        <v>Find the Most Competitive Subsequence</v>
      </c>
      <c r="C1674" s="20" t="str">
        <f>IFERROR(__xludf.DUMMYFUNCTION("""COMPUTED_VALUE"""),"find-the-most-competitive-subsequence")</f>
        <v>find-the-most-competitive-subsequence</v>
      </c>
      <c r="D1674" s="20" t="b">
        <f>IFERROR(__xludf.DUMMYFUNCTION("""COMPUTED_VALUE"""),FALSE)</f>
        <v>0</v>
      </c>
      <c r="E1674" s="20" t="str">
        <f>IFERROR(__xludf.DUMMYFUNCTION("""COMPUTED_VALUE"""),"Medium")</f>
        <v>Medium</v>
      </c>
      <c r="F1674" s="20">
        <f>IFERROR(__xludf.DUMMYFUNCTION("""COMPUTED_VALUE"""),1617.0)</f>
        <v>1617</v>
      </c>
      <c r="G1674" s="20">
        <f>IFERROR(__xludf.DUMMYFUNCTION("""COMPUTED_VALUE"""),78.0)</f>
        <v>78</v>
      </c>
      <c r="H1674" s="20" t="str">
        <f>IFERROR(__xludf.DUMMYFUNCTION("""COMPUTED_VALUE"""),"Algorithms")</f>
        <v>Algorithms</v>
      </c>
      <c r="I1674" s="20">
        <f>IFERROR(__xludf.DUMMYFUNCTION("""COMPUTED_VALUE"""),0.493)</f>
        <v>0.493</v>
      </c>
      <c r="J1674" s="20">
        <f>IFERROR(__xludf.DUMMYFUNCTION("""COMPUTED_VALUE"""),1673.0)</f>
        <v>1673</v>
      </c>
      <c r="K1674" s="20" t="b">
        <f>IFERROR(__xludf.DUMMYFUNCTION("""COMPUTED_VALUE"""),FALSE)</f>
        <v>0</v>
      </c>
      <c r="L1674" s="20" t="str">
        <f>IFERROR(__xludf.DUMMYFUNCTION("""COMPUTED_VALUE"""),"Array;Stack;Greedy;Monotonic Stack;")</f>
        <v>Array;Stack;Greedy;Monotonic Stack;</v>
      </c>
      <c r="M1674" s="20" t="b">
        <f>IFERROR(__xludf.DUMMYFUNCTION("""COMPUTED_VALUE"""),TRUE)</f>
        <v>1</v>
      </c>
      <c r="N1674" s="20" t="b">
        <f>IFERROR(__xludf.DUMMYFUNCTION("""COMPUTED_VALUE"""),FALSE)</f>
        <v>0</v>
      </c>
      <c r="O1674" s="20">
        <f>IFERROR(__xludf.DUMMYFUNCTION("""COMPUTED_VALUE"""),49.2770508454322)</f>
        <v>49.27705085</v>
      </c>
      <c r="P1674" s="20">
        <f>IFERROR(__xludf.DUMMYFUNCTION("""COMPUTED_VALUE"""),49485.0)</f>
        <v>49485</v>
      </c>
      <c r="Q1674" s="20">
        <f>IFERROR(__xludf.DUMMYFUNCTION("""COMPUTED_VALUE"""),100422.0)</f>
        <v>100422</v>
      </c>
    </row>
    <row r="1675">
      <c r="A1675" s="20">
        <f>IFERROR(__xludf.DUMMYFUNCTION("""COMPUTED_VALUE"""),1793.0)</f>
        <v>1793</v>
      </c>
      <c r="B1675" s="20" t="str">
        <f>IFERROR(__xludf.DUMMYFUNCTION("""COMPUTED_VALUE"""),"Minimum Moves to Make Array Complementary")</f>
        <v>Minimum Moves to Make Array Complementary</v>
      </c>
      <c r="C1675" s="20" t="str">
        <f>IFERROR(__xludf.DUMMYFUNCTION("""COMPUTED_VALUE"""),"minimum-moves-to-make-array-complementary")</f>
        <v>minimum-moves-to-make-array-complementary</v>
      </c>
      <c r="D1675" s="20" t="b">
        <f>IFERROR(__xludf.DUMMYFUNCTION("""COMPUTED_VALUE"""),FALSE)</f>
        <v>0</v>
      </c>
      <c r="E1675" s="20" t="str">
        <f>IFERROR(__xludf.DUMMYFUNCTION("""COMPUTED_VALUE"""),"Medium")</f>
        <v>Medium</v>
      </c>
      <c r="F1675" s="20">
        <f>IFERROR(__xludf.DUMMYFUNCTION("""COMPUTED_VALUE"""),542.0)</f>
        <v>542</v>
      </c>
      <c r="G1675" s="20">
        <f>IFERROR(__xludf.DUMMYFUNCTION("""COMPUTED_VALUE"""),68.0)</f>
        <v>68</v>
      </c>
      <c r="H1675" s="20" t="str">
        <f>IFERROR(__xludf.DUMMYFUNCTION("""COMPUTED_VALUE"""),"Algorithms")</f>
        <v>Algorithms</v>
      </c>
      <c r="I1675" s="20">
        <f>IFERROR(__xludf.DUMMYFUNCTION("""COMPUTED_VALUE"""),0.387)</f>
        <v>0.387</v>
      </c>
      <c r="J1675" s="20">
        <f>IFERROR(__xludf.DUMMYFUNCTION("""COMPUTED_VALUE"""),1674.0)</f>
        <v>1674</v>
      </c>
      <c r="K1675" s="20" t="b">
        <f>IFERROR(__xludf.DUMMYFUNCTION("""COMPUTED_VALUE"""),FALSE)</f>
        <v>0</v>
      </c>
      <c r="L1675" s="20" t="str">
        <f>IFERROR(__xludf.DUMMYFUNCTION("""COMPUTED_VALUE"""),"Array;Hash Table;Prefix Sum;")</f>
        <v>Array;Hash Table;Prefix Sum;</v>
      </c>
      <c r="M1675" s="20" t="b">
        <f>IFERROR(__xludf.DUMMYFUNCTION("""COMPUTED_VALUE"""),FALSE)</f>
        <v>0</v>
      </c>
      <c r="N1675" s="20" t="b">
        <f>IFERROR(__xludf.DUMMYFUNCTION("""COMPUTED_VALUE"""),FALSE)</f>
        <v>0</v>
      </c>
      <c r="O1675" s="20">
        <f>IFERROR(__xludf.DUMMYFUNCTION("""COMPUTED_VALUE"""),38.6818381706244)</f>
        <v>38.68183817</v>
      </c>
      <c r="P1675" s="20">
        <f>IFERROR(__xludf.DUMMYFUNCTION("""COMPUTED_VALUE"""),7037.0)</f>
        <v>7037</v>
      </c>
      <c r="Q1675" s="20">
        <f>IFERROR(__xludf.DUMMYFUNCTION("""COMPUTED_VALUE"""),18192.0)</f>
        <v>18192</v>
      </c>
    </row>
    <row r="1676">
      <c r="A1676" s="20">
        <f>IFERROR(__xludf.DUMMYFUNCTION("""COMPUTED_VALUE"""),1794.0)</f>
        <v>1794</v>
      </c>
      <c r="B1676" s="20" t="str">
        <f>IFERROR(__xludf.DUMMYFUNCTION("""COMPUTED_VALUE"""),"Minimize Deviation in Array")</f>
        <v>Minimize Deviation in Array</v>
      </c>
      <c r="C1676" s="20" t="str">
        <f>IFERROR(__xludf.DUMMYFUNCTION("""COMPUTED_VALUE"""),"minimize-deviation-in-array")</f>
        <v>minimize-deviation-in-array</v>
      </c>
      <c r="D1676" s="20" t="b">
        <f>IFERROR(__xludf.DUMMYFUNCTION("""COMPUTED_VALUE"""),FALSE)</f>
        <v>0</v>
      </c>
      <c r="E1676" s="20" t="str">
        <f>IFERROR(__xludf.DUMMYFUNCTION("""COMPUTED_VALUE"""),"Hard")</f>
        <v>Hard</v>
      </c>
      <c r="F1676" s="20">
        <f>IFERROR(__xludf.DUMMYFUNCTION("""COMPUTED_VALUE"""),1690.0)</f>
        <v>1690</v>
      </c>
      <c r="G1676" s="20">
        <f>IFERROR(__xludf.DUMMYFUNCTION("""COMPUTED_VALUE"""),88.0)</f>
        <v>88</v>
      </c>
      <c r="H1676" s="20" t="str">
        <f>IFERROR(__xludf.DUMMYFUNCTION("""COMPUTED_VALUE"""),"Algorithms")</f>
        <v>Algorithms</v>
      </c>
      <c r="I1676" s="20">
        <f>IFERROR(__xludf.DUMMYFUNCTION("""COMPUTED_VALUE"""),0.52)</f>
        <v>0.52</v>
      </c>
      <c r="J1676" s="20">
        <f>IFERROR(__xludf.DUMMYFUNCTION("""COMPUTED_VALUE"""),1675.0)</f>
        <v>1675</v>
      </c>
      <c r="K1676" s="20" t="b">
        <f>IFERROR(__xludf.DUMMYFUNCTION("""COMPUTED_VALUE"""),FALSE)</f>
        <v>0</v>
      </c>
      <c r="L1676" s="20" t="str">
        <f>IFERROR(__xludf.DUMMYFUNCTION("""COMPUTED_VALUE"""),"Array;Greedy;Heap (Priority Queue);Ordered Set;")</f>
        <v>Array;Greedy;Heap (Priority Queue);Ordered Set;</v>
      </c>
      <c r="M1676" s="20" t="b">
        <f>IFERROR(__xludf.DUMMYFUNCTION("""COMPUTED_VALUE"""),TRUE)</f>
        <v>1</v>
      </c>
      <c r="N1676" s="20" t="b">
        <f>IFERROR(__xludf.DUMMYFUNCTION("""COMPUTED_VALUE"""),FALSE)</f>
        <v>0</v>
      </c>
      <c r="O1676" s="20">
        <f>IFERROR(__xludf.DUMMYFUNCTION("""COMPUTED_VALUE"""),51.9880452899591)</f>
        <v>51.98804529</v>
      </c>
      <c r="P1676" s="20">
        <f>IFERROR(__xludf.DUMMYFUNCTION("""COMPUTED_VALUE"""),45227.0)</f>
        <v>45227</v>
      </c>
      <c r="Q1676" s="20">
        <f>IFERROR(__xludf.DUMMYFUNCTION("""COMPUTED_VALUE"""),86995.0)</f>
        <v>86995</v>
      </c>
    </row>
    <row r="1677">
      <c r="A1677" s="20">
        <f>IFERROR(__xludf.DUMMYFUNCTION("""COMPUTED_VALUE"""),1816.0)</f>
        <v>1816</v>
      </c>
      <c r="B1677" s="20" t="str">
        <f>IFERROR(__xludf.DUMMYFUNCTION("""COMPUTED_VALUE"""),"Lowest Common Ancestor of a Binary Tree IV")</f>
        <v>Lowest Common Ancestor of a Binary Tree IV</v>
      </c>
      <c r="C1677" s="20" t="str">
        <f>IFERROR(__xludf.DUMMYFUNCTION("""COMPUTED_VALUE"""),"lowest-common-ancestor-of-a-binary-tree-iv")</f>
        <v>lowest-common-ancestor-of-a-binary-tree-iv</v>
      </c>
      <c r="D1677" s="20" t="b">
        <f>IFERROR(__xludf.DUMMYFUNCTION("""COMPUTED_VALUE"""),TRUE)</f>
        <v>1</v>
      </c>
      <c r="E1677" s="20" t="str">
        <f>IFERROR(__xludf.DUMMYFUNCTION("""COMPUTED_VALUE"""),"Medium")</f>
        <v>Medium</v>
      </c>
      <c r="F1677" s="20">
        <f>IFERROR(__xludf.DUMMYFUNCTION("""COMPUTED_VALUE"""),353.0)</f>
        <v>353</v>
      </c>
      <c r="G1677" s="20">
        <f>IFERROR(__xludf.DUMMYFUNCTION("""COMPUTED_VALUE"""),13.0)</f>
        <v>13</v>
      </c>
      <c r="H1677" s="20" t="str">
        <f>IFERROR(__xludf.DUMMYFUNCTION("""COMPUTED_VALUE"""),"Algorithms")</f>
        <v>Algorithms</v>
      </c>
      <c r="I1677" s="20">
        <f>IFERROR(__xludf.DUMMYFUNCTION("""COMPUTED_VALUE"""),0.793)</f>
        <v>0.793</v>
      </c>
      <c r="J1677" s="20">
        <f>IFERROR(__xludf.DUMMYFUNCTION("""COMPUTED_VALUE"""),1676.0)</f>
        <v>1676</v>
      </c>
      <c r="K1677" s="20" t="b">
        <f>IFERROR(__xludf.DUMMYFUNCTION("""COMPUTED_VALUE"""),TRUE)</f>
        <v>1</v>
      </c>
      <c r="L1677" s="20" t="str">
        <f>IFERROR(__xludf.DUMMYFUNCTION("""COMPUTED_VALUE"""),"Tree;Depth-First Search;Binary Tree;")</f>
        <v>Tree;Depth-First Search;Binary Tree;</v>
      </c>
      <c r="M1677" s="20" t="b">
        <f>IFERROR(__xludf.DUMMYFUNCTION("""COMPUTED_VALUE"""),FALSE)</f>
        <v>0</v>
      </c>
      <c r="N1677" s="20" t="b">
        <f>IFERROR(__xludf.DUMMYFUNCTION("""COMPUTED_VALUE"""),FALSE)</f>
        <v>0</v>
      </c>
      <c r="O1677" s="20">
        <f>IFERROR(__xludf.DUMMYFUNCTION("""COMPUTED_VALUE"""),79.2813988613918)</f>
        <v>79.28139886</v>
      </c>
      <c r="P1677" s="20">
        <f>IFERROR(__xludf.DUMMYFUNCTION("""COMPUTED_VALUE"""),27295.0)</f>
        <v>27295</v>
      </c>
      <c r="Q1677" s="20">
        <f>IFERROR(__xludf.DUMMYFUNCTION("""COMPUTED_VALUE"""),34428.0)</f>
        <v>34428</v>
      </c>
    </row>
    <row r="1678">
      <c r="A1678" s="20">
        <f>IFERROR(__xludf.DUMMYFUNCTION("""COMPUTED_VALUE"""),1821.0)</f>
        <v>1821</v>
      </c>
      <c r="B1678" s="20" t="str">
        <f>IFERROR(__xludf.DUMMYFUNCTION("""COMPUTED_VALUE"""),"Product's Worth Over Invoices")</f>
        <v>Product's Worth Over Invoices</v>
      </c>
      <c r="C1678" s="20" t="str">
        <f>IFERROR(__xludf.DUMMYFUNCTION("""COMPUTED_VALUE"""),"products-worth-over-invoices")</f>
        <v>products-worth-over-invoices</v>
      </c>
      <c r="D1678" s="20" t="b">
        <f>IFERROR(__xludf.DUMMYFUNCTION("""COMPUTED_VALUE"""),TRUE)</f>
        <v>1</v>
      </c>
      <c r="E1678" s="20" t="str">
        <f>IFERROR(__xludf.DUMMYFUNCTION("""COMPUTED_VALUE"""),"Easy")</f>
        <v>Easy</v>
      </c>
      <c r="F1678" s="20">
        <f>IFERROR(__xludf.DUMMYFUNCTION("""COMPUTED_VALUE"""),30.0)</f>
        <v>30</v>
      </c>
      <c r="G1678" s="20">
        <f>IFERROR(__xludf.DUMMYFUNCTION("""COMPUTED_VALUE"""),121.0)</f>
        <v>121</v>
      </c>
      <c r="H1678" s="20" t="str">
        <f>IFERROR(__xludf.DUMMYFUNCTION("""COMPUTED_VALUE"""),"Database")</f>
        <v>Database</v>
      </c>
      <c r="I1678" s="20">
        <f>IFERROR(__xludf.DUMMYFUNCTION("""COMPUTED_VALUE"""),0.389)</f>
        <v>0.389</v>
      </c>
      <c r="J1678" s="20">
        <f>IFERROR(__xludf.DUMMYFUNCTION("""COMPUTED_VALUE"""),1677.0)</f>
        <v>1677</v>
      </c>
      <c r="K1678" s="20" t="b">
        <f>IFERROR(__xludf.DUMMYFUNCTION("""COMPUTED_VALUE"""),TRUE)</f>
        <v>1</v>
      </c>
      <c r="L1678" s="20" t="str">
        <f>IFERROR(__xludf.DUMMYFUNCTION("""COMPUTED_VALUE"""),"Database;")</f>
        <v>Database;</v>
      </c>
      <c r="M1678" s="20" t="b">
        <f>IFERROR(__xludf.DUMMYFUNCTION("""COMPUTED_VALUE"""),FALSE)</f>
        <v>0</v>
      </c>
      <c r="N1678" s="20" t="b">
        <f>IFERROR(__xludf.DUMMYFUNCTION("""COMPUTED_VALUE"""),FALSE)</f>
        <v>0</v>
      </c>
      <c r="O1678" s="20">
        <f>IFERROR(__xludf.DUMMYFUNCTION("""COMPUTED_VALUE"""),38.922767192834)</f>
        <v>38.92276719</v>
      </c>
      <c r="P1678" s="20">
        <f>IFERROR(__xludf.DUMMYFUNCTION("""COMPUTED_VALUE"""),13340.0)</f>
        <v>13340</v>
      </c>
      <c r="Q1678" s="20">
        <f>IFERROR(__xludf.DUMMYFUNCTION("""COMPUTED_VALUE"""),34273.0)</f>
        <v>34273</v>
      </c>
    </row>
    <row r="1679">
      <c r="A1679" s="20">
        <f>IFERROR(__xludf.DUMMYFUNCTION("""COMPUTED_VALUE"""),1797.0)</f>
        <v>1797</v>
      </c>
      <c r="B1679" s="20" t="str">
        <f>IFERROR(__xludf.DUMMYFUNCTION("""COMPUTED_VALUE"""),"Goal Parser Interpretation")</f>
        <v>Goal Parser Interpretation</v>
      </c>
      <c r="C1679" s="20" t="str">
        <f>IFERROR(__xludf.DUMMYFUNCTION("""COMPUTED_VALUE"""),"goal-parser-interpretation")</f>
        <v>goal-parser-interpretation</v>
      </c>
      <c r="D1679" s="20" t="b">
        <f>IFERROR(__xludf.DUMMYFUNCTION("""COMPUTED_VALUE"""),FALSE)</f>
        <v>0</v>
      </c>
      <c r="E1679" s="20" t="str">
        <f>IFERROR(__xludf.DUMMYFUNCTION("""COMPUTED_VALUE"""),"Easy")</f>
        <v>Easy</v>
      </c>
      <c r="F1679" s="20">
        <f>IFERROR(__xludf.DUMMYFUNCTION("""COMPUTED_VALUE"""),1101.0)</f>
        <v>1101</v>
      </c>
      <c r="G1679" s="20">
        <f>IFERROR(__xludf.DUMMYFUNCTION("""COMPUTED_VALUE"""),78.0)</f>
        <v>78</v>
      </c>
      <c r="H1679" s="20" t="str">
        <f>IFERROR(__xludf.DUMMYFUNCTION("""COMPUTED_VALUE"""),"Algorithms")</f>
        <v>Algorithms</v>
      </c>
      <c r="I1679" s="20">
        <f>IFERROR(__xludf.DUMMYFUNCTION("""COMPUTED_VALUE"""),0.862)</f>
        <v>0.862</v>
      </c>
      <c r="J1679" s="20">
        <f>IFERROR(__xludf.DUMMYFUNCTION("""COMPUTED_VALUE"""),1678.0)</f>
        <v>1678</v>
      </c>
      <c r="K1679" s="20" t="b">
        <f>IFERROR(__xludf.DUMMYFUNCTION("""COMPUTED_VALUE"""),FALSE)</f>
        <v>0</v>
      </c>
      <c r="L1679" s="20" t="str">
        <f>IFERROR(__xludf.DUMMYFUNCTION("""COMPUTED_VALUE"""),"String;")</f>
        <v>String;</v>
      </c>
      <c r="M1679" s="20" t="b">
        <f>IFERROR(__xludf.DUMMYFUNCTION("""COMPUTED_VALUE"""),FALSE)</f>
        <v>0</v>
      </c>
      <c r="N1679" s="20" t="b">
        <f>IFERROR(__xludf.DUMMYFUNCTION("""COMPUTED_VALUE"""),FALSE)</f>
        <v>0</v>
      </c>
      <c r="O1679" s="20">
        <f>IFERROR(__xludf.DUMMYFUNCTION("""COMPUTED_VALUE"""),86.1950018765039)</f>
        <v>86.19500188</v>
      </c>
      <c r="P1679" s="20">
        <f>IFERROR(__xludf.DUMMYFUNCTION("""COMPUTED_VALUE"""),156173.0)</f>
        <v>156173</v>
      </c>
      <c r="Q1679" s="20">
        <f>IFERROR(__xludf.DUMMYFUNCTION("""COMPUTED_VALUE"""),181186.0)</f>
        <v>181186</v>
      </c>
    </row>
    <row r="1680">
      <c r="A1680" s="20">
        <f>IFERROR(__xludf.DUMMYFUNCTION("""COMPUTED_VALUE"""),1798.0)</f>
        <v>1798</v>
      </c>
      <c r="B1680" s="20" t="str">
        <f>IFERROR(__xludf.DUMMYFUNCTION("""COMPUTED_VALUE"""),"Max Number of K-Sum Pairs")</f>
        <v>Max Number of K-Sum Pairs</v>
      </c>
      <c r="C1680" s="20" t="str">
        <f>IFERROR(__xludf.DUMMYFUNCTION("""COMPUTED_VALUE"""),"max-number-of-k-sum-pairs")</f>
        <v>max-number-of-k-sum-pairs</v>
      </c>
      <c r="D1680" s="20" t="b">
        <f>IFERROR(__xludf.DUMMYFUNCTION("""COMPUTED_VALUE"""),FALSE)</f>
        <v>0</v>
      </c>
      <c r="E1680" s="20" t="str">
        <f>IFERROR(__xludf.DUMMYFUNCTION("""COMPUTED_VALUE"""),"Medium")</f>
        <v>Medium</v>
      </c>
      <c r="F1680" s="20">
        <f>IFERROR(__xludf.DUMMYFUNCTION("""COMPUTED_VALUE"""),2030.0)</f>
        <v>2030</v>
      </c>
      <c r="G1680" s="20">
        <f>IFERROR(__xludf.DUMMYFUNCTION("""COMPUTED_VALUE"""),47.0)</f>
        <v>47</v>
      </c>
      <c r="H1680" s="20" t="str">
        <f>IFERROR(__xludf.DUMMYFUNCTION("""COMPUTED_VALUE"""),"Algorithms")</f>
        <v>Algorithms</v>
      </c>
      <c r="I1680" s="20">
        <f>IFERROR(__xludf.DUMMYFUNCTION("""COMPUTED_VALUE"""),0.573)</f>
        <v>0.573</v>
      </c>
      <c r="J1680" s="20">
        <f>IFERROR(__xludf.DUMMYFUNCTION("""COMPUTED_VALUE"""),1679.0)</f>
        <v>1679</v>
      </c>
      <c r="K1680" s="20" t="b">
        <f>IFERROR(__xludf.DUMMYFUNCTION("""COMPUTED_VALUE"""),FALSE)</f>
        <v>0</v>
      </c>
      <c r="L1680" s="20" t="str">
        <f>IFERROR(__xludf.DUMMYFUNCTION("""COMPUTED_VALUE"""),"Array;Hash Table;Two Pointers;Sorting;")</f>
        <v>Array;Hash Table;Two Pointers;Sorting;</v>
      </c>
      <c r="M1680" s="20" t="b">
        <f>IFERROR(__xludf.DUMMYFUNCTION("""COMPUTED_VALUE"""),TRUE)</f>
        <v>1</v>
      </c>
      <c r="N1680" s="20" t="b">
        <f>IFERROR(__xludf.DUMMYFUNCTION("""COMPUTED_VALUE"""),FALSE)</f>
        <v>0</v>
      </c>
      <c r="O1680" s="20">
        <f>IFERROR(__xludf.DUMMYFUNCTION("""COMPUTED_VALUE"""),57.3125349478433)</f>
        <v>57.31253495</v>
      </c>
      <c r="P1680" s="20">
        <f>IFERROR(__xludf.DUMMYFUNCTION("""COMPUTED_VALUE"""),118895.0)</f>
        <v>118895</v>
      </c>
      <c r="Q1680" s="20">
        <f>IFERROR(__xludf.DUMMYFUNCTION("""COMPUTED_VALUE"""),207445.0)</f>
        <v>207445</v>
      </c>
    </row>
    <row r="1681">
      <c r="A1681" s="20">
        <f>IFERROR(__xludf.DUMMYFUNCTION("""COMPUTED_VALUE"""),1800.0)</f>
        <v>1800</v>
      </c>
      <c r="B1681" s="20" t="str">
        <f>IFERROR(__xludf.DUMMYFUNCTION("""COMPUTED_VALUE"""),"Concatenation of Consecutive Binary Numbers")</f>
        <v>Concatenation of Consecutive Binary Numbers</v>
      </c>
      <c r="C1681" s="20" t="str">
        <f>IFERROR(__xludf.DUMMYFUNCTION("""COMPUTED_VALUE"""),"concatenation-of-consecutive-binary-numbers")</f>
        <v>concatenation-of-consecutive-binary-numbers</v>
      </c>
      <c r="D1681" s="20" t="b">
        <f>IFERROR(__xludf.DUMMYFUNCTION("""COMPUTED_VALUE"""),FALSE)</f>
        <v>0</v>
      </c>
      <c r="E1681" s="20" t="str">
        <f>IFERROR(__xludf.DUMMYFUNCTION("""COMPUTED_VALUE"""),"Medium")</f>
        <v>Medium</v>
      </c>
      <c r="F1681" s="20">
        <f>IFERROR(__xludf.DUMMYFUNCTION("""COMPUTED_VALUE"""),1349.0)</f>
        <v>1349</v>
      </c>
      <c r="G1681" s="20">
        <f>IFERROR(__xludf.DUMMYFUNCTION("""COMPUTED_VALUE"""),421.0)</f>
        <v>421</v>
      </c>
      <c r="H1681" s="20" t="str">
        <f>IFERROR(__xludf.DUMMYFUNCTION("""COMPUTED_VALUE"""),"Algorithms")</f>
        <v>Algorithms</v>
      </c>
      <c r="I1681" s="20">
        <f>IFERROR(__xludf.DUMMYFUNCTION("""COMPUTED_VALUE"""),0.57)</f>
        <v>0.57</v>
      </c>
      <c r="J1681" s="20">
        <f>IFERROR(__xludf.DUMMYFUNCTION("""COMPUTED_VALUE"""),1680.0)</f>
        <v>1680</v>
      </c>
      <c r="K1681" s="20" t="b">
        <f>IFERROR(__xludf.DUMMYFUNCTION("""COMPUTED_VALUE"""),FALSE)</f>
        <v>0</v>
      </c>
      <c r="L1681" s="20" t="str">
        <f>IFERROR(__xludf.DUMMYFUNCTION("""COMPUTED_VALUE"""),"Math;Bit Manipulation;Simulation;")</f>
        <v>Math;Bit Manipulation;Simulation;</v>
      </c>
      <c r="M1681" s="20" t="b">
        <f>IFERROR(__xludf.DUMMYFUNCTION("""COMPUTED_VALUE"""),TRUE)</f>
        <v>1</v>
      </c>
      <c r="N1681" s="20" t="b">
        <f>IFERROR(__xludf.DUMMYFUNCTION("""COMPUTED_VALUE"""),FALSE)</f>
        <v>0</v>
      </c>
      <c r="O1681" s="20">
        <f>IFERROR(__xludf.DUMMYFUNCTION("""COMPUTED_VALUE"""),56.9690508711729)</f>
        <v>56.96905087</v>
      </c>
      <c r="P1681" s="20">
        <f>IFERROR(__xludf.DUMMYFUNCTION("""COMPUTED_VALUE"""),85502.0)</f>
        <v>85502</v>
      </c>
      <c r="Q1681" s="20">
        <f>IFERROR(__xludf.DUMMYFUNCTION("""COMPUTED_VALUE"""),150085.0)</f>
        <v>150085</v>
      </c>
    </row>
    <row r="1682">
      <c r="A1682" s="20">
        <f>IFERROR(__xludf.DUMMYFUNCTION("""COMPUTED_VALUE"""),1799.0)</f>
        <v>1799</v>
      </c>
      <c r="B1682" s="20" t="str">
        <f>IFERROR(__xludf.DUMMYFUNCTION("""COMPUTED_VALUE"""),"Minimum Incompatibility")</f>
        <v>Minimum Incompatibility</v>
      </c>
      <c r="C1682" s="20" t="str">
        <f>IFERROR(__xludf.DUMMYFUNCTION("""COMPUTED_VALUE"""),"minimum-incompatibility")</f>
        <v>minimum-incompatibility</v>
      </c>
      <c r="D1682" s="20" t="b">
        <f>IFERROR(__xludf.DUMMYFUNCTION("""COMPUTED_VALUE"""),FALSE)</f>
        <v>0</v>
      </c>
      <c r="E1682" s="20" t="str">
        <f>IFERROR(__xludf.DUMMYFUNCTION("""COMPUTED_VALUE"""),"Hard")</f>
        <v>Hard</v>
      </c>
      <c r="F1682" s="20">
        <f>IFERROR(__xludf.DUMMYFUNCTION("""COMPUTED_VALUE"""),225.0)</f>
        <v>225</v>
      </c>
      <c r="G1682" s="20">
        <f>IFERROR(__xludf.DUMMYFUNCTION("""COMPUTED_VALUE"""),88.0)</f>
        <v>88</v>
      </c>
      <c r="H1682" s="20" t="str">
        <f>IFERROR(__xludf.DUMMYFUNCTION("""COMPUTED_VALUE"""),"Algorithms")</f>
        <v>Algorithms</v>
      </c>
      <c r="I1682" s="20">
        <f>IFERROR(__xludf.DUMMYFUNCTION("""COMPUTED_VALUE"""),0.374)</f>
        <v>0.374</v>
      </c>
      <c r="J1682" s="20">
        <f>IFERROR(__xludf.DUMMYFUNCTION("""COMPUTED_VALUE"""),1681.0)</f>
        <v>1681</v>
      </c>
      <c r="K1682" s="20" t="b">
        <f>IFERROR(__xludf.DUMMYFUNCTION("""COMPUTED_VALUE"""),FALSE)</f>
        <v>0</v>
      </c>
      <c r="L1682" s="20" t="str">
        <f>IFERROR(__xludf.DUMMYFUNCTION("""COMPUTED_VALUE"""),"Array;Dynamic Programming;Bit Manipulation;Bitmask;")</f>
        <v>Array;Dynamic Programming;Bit Manipulation;Bitmask;</v>
      </c>
      <c r="M1682" s="20" t="b">
        <f>IFERROR(__xludf.DUMMYFUNCTION("""COMPUTED_VALUE"""),FALSE)</f>
        <v>0</v>
      </c>
      <c r="N1682" s="20" t="b">
        <f>IFERROR(__xludf.DUMMYFUNCTION("""COMPUTED_VALUE"""),FALSE)</f>
        <v>0</v>
      </c>
      <c r="O1682" s="20">
        <f>IFERROR(__xludf.DUMMYFUNCTION("""COMPUTED_VALUE"""),37.3968000911006)</f>
        <v>37.39680009</v>
      </c>
      <c r="P1682" s="20">
        <f>IFERROR(__xludf.DUMMYFUNCTION("""COMPUTED_VALUE"""),6568.0)</f>
        <v>6568</v>
      </c>
      <c r="Q1682" s="20">
        <f>IFERROR(__xludf.DUMMYFUNCTION("""COMPUTED_VALUE"""),17563.0)</f>
        <v>17563</v>
      </c>
    </row>
    <row r="1683">
      <c r="A1683" s="20">
        <f>IFERROR(__xludf.DUMMYFUNCTION("""COMPUTED_VALUE"""),1822.0)</f>
        <v>1822</v>
      </c>
      <c r="B1683" s="20" t="str">
        <f>IFERROR(__xludf.DUMMYFUNCTION("""COMPUTED_VALUE"""),"Longest Palindromic Subsequence II")</f>
        <v>Longest Palindromic Subsequence II</v>
      </c>
      <c r="C1683" s="20" t="str">
        <f>IFERROR(__xludf.DUMMYFUNCTION("""COMPUTED_VALUE"""),"longest-palindromic-subsequence-ii")</f>
        <v>longest-palindromic-subsequence-ii</v>
      </c>
      <c r="D1683" s="20" t="b">
        <f>IFERROR(__xludf.DUMMYFUNCTION("""COMPUTED_VALUE"""),TRUE)</f>
        <v>1</v>
      </c>
      <c r="E1683" s="20" t="str">
        <f>IFERROR(__xludf.DUMMYFUNCTION("""COMPUTED_VALUE"""),"Medium")</f>
        <v>Medium</v>
      </c>
      <c r="F1683" s="20">
        <f>IFERROR(__xludf.DUMMYFUNCTION("""COMPUTED_VALUE"""),130.0)</f>
        <v>130</v>
      </c>
      <c r="G1683" s="20">
        <f>IFERROR(__xludf.DUMMYFUNCTION("""COMPUTED_VALUE"""),27.0)</f>
        <v>27</v>
      </c>
      <c r="H1683" s="20" t="str">
        <f>IFERROR(__xludf.DUMMYFUNCTION("""COMPUTED_VALUE"""),"Algorithms")</f>
        <v>Algorithms</v>
      </c>
      <c r="I1683" s="20">
        <f>IFERROR(__xludf.DUMMYFUNCTION("""COMPUTED_VALUE"""),0.494)</f>
        <v>0.494</v>
      </c>
      <c r="J1683" s="20">
        <f>IFERROR(__xludf.DUMMYFUNCTION("""COMPUTED_VALUE"""),1682.0)</f>
        <v>1682</v>
      </c>
      <c r="K1683" s="20" t="b">
        <f>IFERROR(__xludf.DUMMYFUNCTION("""COMPUTED_VALUE"""),TRUE)</f>
        <v>1</v>
      </c>
      <c r="L1683" s="20" t="str">
        <f>IFERROR(__xludf.DUMMYFUNCTION("""COMPUTED_VALUE"""),"String;Dynamic Programming;")</f>
        <v>String;Dynamic Programming;</v>
      </c>
      <c r="M1683" s="20" t="b">
        <f>IFERROR(__xludf.DUMMYFUNCTION("""COMPUTED_VALUE"""),FALSE)</f>
        <v>0</v>
      </c>
      <c r="N1683" s="20" t="b">
        <f>IFERROR(__xludf.DUMMYFUNCTION("""COMPUTED_VALUE"""),FALSE)</f>
        <v>0</v>
      </c>
      <c r="O1683" s="20">
        <f>IFERROR(__xludf.DUMMYFUNCTION("""COMPUTED_VALUE"""),49.3814192343604)</f>
        <v>49.38141923</v>
      </c>
      <c r="P1683" s="20">
        <f>IFERROR(__xludf.DUMMYFUNCTION("""COMPUTED_VALUE"""),4231.0)</f>
        <v>4231</v>
      </c>
      <c r="Q1683" s="20">
        <f>IFERROR(__xludf.DUMMYFUNCTION("""COMPUTED_VALUE"""),8568.0)</f>
        <v>8568</v>
      </c>
    </row>
    <row r="1684">
      <c r="A1684" s="20">
        <f>IFERROR(__xludf.DUMMYFUNCTION("""COMPUTED_VALUE"""),1827.0)</f>
        <v>1827</v>
      </c>
      <c r="B1684" s="20" t="str">
        <f>IFERROR(__xludf.DUMMYFUNCTION("""COMPUTED_VALUE"""),"Invalid Tweets")</f>
        <v>Invalid Tweets</v>
      </c>
      <c r="C1684" s="20" t="str">
        <f>IFERROR(__xludf.DUMMYFUNCTION("""COMPUTED_VALUE"""),"invalid-tweets")</f>
        <v>invalid-tweets</v>
      </c>
      <c r="D1684" s="20" t="b">
        <f>IFERROR(__xludf.DUMMYFUNCTION("""COMPUTED_VALUE"""),TRUE)</f>
        <v>1</v>
      </c>
      <c r="E1684" s="20" t="str">
        <f>IFERROR(__xludf.DUMMYFUNCTION("""COMPUTED_VALUE"""),"Easy")</f>
        <v>Easy</v>
      </c>
      <c r="F1684" s="20">
        <f>IFERROR(__xludf.DUMMYFUNCTION("""COMPUTED_VALUE"""),75.0)</f>
        <v>75</v>
      </c>
      <c r="G1684" s="20">
        <f>IFERROR(__xludf.DUMMYFUNCTION("""COMPUTED_VALUE"""),78.0)</f>
        <v>78</v>
      </c>
      <c r="H1684" s="20" t="str">
        <f>IFERROR(__xludf.DUMMYFUNCTION("""COMPUTED_VALUE"""),"Database")</f>
        <v>Database</v>
      </c>
      <c r="I1684" s="20">
        <f>IFERROR(__xludf.DUMMYFUNCTION("""COMPUTED_VALUE"""),0.909)</f>
        <v>0.909</v>
      </c>
      <c r="J1684" s="20">
        <f>IFERROR(__xludf.DUMMYFUNCTION("""COMPUTED_VALUE"""),1683.0)</f>
        <v>1683</v>
      </c>
      <c r="K1684" s="20" t="b">
        <f>IFERROR(__xludf.DUMMYFUNCTION("""COMPUTED_VALUE"""),TRUE)</f>
        <v>1</v>
      </c>
      <c r="L1684" s="20" t="str">
        <f>IFERROR(__xludf.DUMMYFUNCTION("""COMPUTED_VALUE"""),"Database;")</f>
        <v>Database;</v>
      </c>
      <c r="M1684" s="20" t="b">
        <f>IFERROR(__xludf.DUMMYFUNCTION("""COMPUTED_VALUE"""),FALSE)</f>
        <v>0</v>
      </c>
      <c r="N1684" s="20" t="b">
        <f>IFERROR(__xludf.DUMMYFUNCTION("""COMPUTED_VALUE"""),FALSE)</f>
        <v>0</v>
      </c>
      <c r="O1684" s="20">
        <f>IFERROR(__xludf.DUMMYFUNCTION("""COMPUTED_VALUE"""),90.8896857923497)</f>
        <v>90.88968579</v>
      </c>
      <c r="P1684" s="20">
        <f>IFERROR(__xludf.DUMMYFUNCTION("""COMPUTED_VALUE"""),21290.0)</f>
        <v>21290</v>
      </c>
      <c r="Q1684" s="20">
        <f>IFERROR(__xludf.DUMMYFUNCTION("""COMPUTED_VALUE"""),23424.0)</f>
        <v>23424</v>
      </c>
    </row>
    <row r="1685">
      <c r="A1685" s="20">
        <f>IFERROR(__xludf.DUMMYFUNCTION("""COMPUTED_VALUE"""),1786.0)</f>
        <v>1786</v>
      </c>
      <c r="B1685" s="20" t="str">
        <f>IFERROR(__xludf.DUMMYFUNCTION("""COMPUTED_VALUE"""),"Count the Number of Consistent Strings")</f>
        <v>Count the Number of Consistent Strings</v>
      </c>
      <c r="C1685" s="20" t="str">
        <f>IFERROR(__xludf.DUMMYFUNCTION("""COMPUTED_VALUE"""),"count-the-number-of-consistent-strings")</f>
        <v>count-the-number-of-consistent-strings</v>
      </c>
      <c r="D1685" s="20" t="b">
        <f>IFERROR(__xludf.DUMMYFUNCTION("""COMPUTED_VALUE"""),FALSE)</f>
        <v>0</v>
      </c>
      <c r="E1685" s="20" t="str">
        <f>IFERROR(__xludf.DUMMYFUNCTION("""COMPUTED_VALUE"""),"Easy")</f>
        <v>Easy</v>
      </c>
      <c r="F1685" s="20">
        <f>IFERROR(__xludf.DUMMYFUNCTION("""COMPUTED_VALUE"""),1265.0)</f>
        <v>1265</v>
      </c>
      <c r="G1685" s="20">
        <f>IFERROR(__xludf.DUMMYFUNCTION("""COMPUTED_VALUE"""),53.0)</f>
        <v>53</v>
      </c>
      <c r="H1685" s="20" t="str">
        <f>IFERROR(__xludf.DUMMYFUNCTION("""COMPUTED_VALUE"""),"Algorithms")</f>
        <v>Algorithms</v>
      </c>
      <c r="I1685" s="20">
        <f>IFERROR(__xludf.DUMMYFUNCTION("""COMPUTED_VALUE"""),0.82)</f>
        <v>0.82</v>
      </c>
      <c r="J1685" s="20">
        <f>IFERROR(__xludf.DUMMYFUNCTION("""COMPUTED_VALUE"""),1684.0)</f>
        <v>1684</v>
      </c>
      <c r="K1685" s="20" t="b">
        <f>IFERROR(__xludf.DUMMYFUNCTION("""COMPUTED_VALUE"""),FALSE)</f>
        <v>0</v>
      </c>
      <c r="L1685" s="20" t="str">
        <f>IFERROR(__xludf.DUMMYFUNCTION("""COMPUTED_VALUE"""),"Array;Hash Table;String;Bit Manipulation;")</f>
        <v>Array;Hash Table;String;Bit Manipulation;</v>
      </c>
      <c r="M1685" s="20" t="b">
        <f>IFERROR(__xludf.DUMMYFUNCTION("""COMPUTED_VALUE"""),FALSE)</f>
        <v>0</v>
      </c>
      <c r="N1685" s="20" t="b">
        <f>IFERROR(__xludf.DUMMYFUNCTION("""COMPUTED_VALUE"""),FALSE)</f>
        <v>0</v>
      </c>
      <c r="O1685" s="20">
        <f>IFERROR(__xludf.DUMMYFUNCTION("""COMPUTED_VALUE"""),82.0095279955762)</f>
        <v>82.009528</v>
      </c>
      <c r="P1685" s="20">
        <f>IFERROR(__xludf.DUMMYFUNCTION("""COMPUTED_VALUE"""),115677.0)</f>
        <v>115677</v>
      </c>
      <c r="Q1685" s="20">
        <f>IFERROR(__xludf.DUMMYFUNCTION("""COMPUTED_VALUE"""),141054.0)</f>
        <v>141054</v>
      </c>
    </row>
    <row r="1686">
      <c r="A1686" s="20">
        <f>IFERROR(__xludf.DUMMYFUNCTION("""COMPUTED_VALUE"""),1787.0)</f>
        <v>1787</v>
      </c>
      <c r="B1686" s="20" t="str">
        <f>IFERROR(__xludf.DUMMYFUNCTION("""COMPUTED_VALUE"""),"Sum of Absolute Differences in a Sorted Array")</f>
        <v>Sum of Absolute Differences in a Sorted Array</v>
      </c>
      <c r="C1686" s="20" t="str">
        <f>IFERROR(__xludf.DUMMYFUNCTION("""COMPUTED_VALUE"""),"sum-of-absolute-differences-in-a-sorted-array")</f>
        <v>sum-of-absolute-differences-in-a-sorted-array</v>
      </c>
      <c r="D1686" s="20" t="b">
        <f>IFERROR(__xludf.DUMMYFUNCTION("""COMPUTED_VALUE"""),FALSE)</f>
        <v>0</v>
      </c>
      <c r="E1686" s="20" t="str">
        <f>IFERROR(__xludf.DUMMYFUNCTION("""COMPUTED_VALUE"""),"Medium")</f>
        <v>Medium</v>
      </c>
      <c r="F1686" s="20">
        <f>IFERROR(__xludf.DUMMYFUNCTION("""COMPUTED_VALUE"""),920.0)</f>
        <v>920</v>
      </c>
      <c r="G1686" s="20">
        <f>IFERROR(__xludf.DUMMYFUNCTION("""COMPUTED_VALUE"""),27.0)</f>
        <v>27</v>
      </c>
      <c r="H1686" s="20" t="str">
        <f>IFERROR(__xludf.DUMMYFUNCTION("""COMPUTED_VALUE"""),"Algorithms")</f>
        <v>Algorithms</v>
      </c>
      <c r="I1686" s="20">
        <f>IFERROR(__xludf.DUMMYFUNCTION("""COMPUTED_VALUE"""),0.646)</f>
        <v>0.646</v>
      </c>
      <c r="J1686" s="20">
        <f>IFERROR(__xludf.DUMMYFUNCTION("""COMPUTED_VALUE"""),1685.0)</f>
        <v>1685</v>
      </c>
      <c r="K1686" s="20" t="b">
        <f>IFERROR(__xludf.DUMMYFUNCTION("""COMPUTED_VALUE"""),FALSE)</f>
        <v>0</v>
      </c>
      <c r="L1686" s="20" t="str">
        <f>IFERROR(__xludf.DUMMYFUNCTION("""COMPUTED_VALUE"""),"Array;Math;Prefix Sum;")</f>
        <v>Array;Math;Prefix Sum;</v>
      </c>
      <c r="M1686" s="20" t="b">
        <f>IFERROR(__xludf.DUMMYFUNCTION("""COMPUTED_VALUE"""),FALSE)</f>
        <v>0</v>
      </c>
      <c r="N1686" s="20" t="b">
        <f>IFERROR(__xludf.DUMMYFUNCTION("""COMPUTED_VALUE"""),FALSE)</f>
        <v>0</v>
      </c>
      <c r="O1686" s="20">
        <f>IFERROR(__xludf.DUMMYFUNCTION("""COMPUTED_VALUE"""),64.6209200719609)</f>
        <v>64.62092007</v>
      </c>
      <c r="P1686" s="20">
        <f>IFERROR(__xludf.DUMMYFUNCTION("""COMPUTED_VALUE"""),25144.0)</f>
        <v>25144</v>
      </c>
      <c r="Q1686" s="20">
        <f>IFERROR(__xludf.DUMMYFUNCTION("""COMPUTED_VALUE"""),38908.0)</f>
        <v>38908</v>
      </c>
    </row>
    <row r="1687">
      <c r="A1687" s="20">
        <f>IFERROR(__xludf.DUMMYFUNCTION("""COMPUTED_VALUE"""),1788.0)</f>
        <v>1788</v>
      </c>
      <c r="B1687" s="20" t="str">
        <f>IFERROR(__xludf.DUMMYFUNCTION("""COMPUTED_VALUE"""),"Stone Game VI")</f>
        <v>Stone Game VI</v>
      </c>
      <c r="C1687" s="20" t="str">
        <f>IFERROR(__xludf.DUMMYFUNCTION("""COMPUTED_VALUE"""),"stone-game-vi")</f>
        <v>stone-game-vi</v>
      </c>
      <c r="D1687" s="20" t="b">
        <f>IFERROR(__xludf.DUMMYFUNCTION("""COMPUTED_VALUE"""),FALSE)</f>
        <v>0</v>
      </c>
      <c r="E1687" s="20" t="str">
        <f>IFERROR(__xludf.DUMMYFUNCTION("""COMPUTED_VALUE"""),"Medium")</f>
        <v>Medium</v>
      </c>
      <c r="F1687" s="20">
        <f>IFERROR(__xludf.DUMMYFUNCTION("""COMPUTED_VALUE"""),627.0)</f>
        <v>627</v>
      </c>
      <c r="G1687" s="20">
        <f>IFERROR(__xludf.DUMMYFUNCTION("""COMPUTED_VALUE"""),49.0)</f>
        <v>49</v>
      </c>
      <c r="H1687" s="20" t="str">
        <f>IFERROR(__xludf.DUMMYFUNCTION("""COMPUTED_VALUE"""),"Algorithms")</f>
        <v>Algorithms</v>
      </c>
      <c r="I1687" s="20">
        <f>IFERROR(__xludf.DUMMYFUNCTION("""COMPUTED_VALUE"""),0.545)</f>
        <v>0.545</v>
      </c>
      <c r="J1687" s="20">
        <f>IFERROR(__xludf.DUMMYFUNCTION("""COMPUTED_VALUE"""),1686.0)</f>
        <v>1686</v>
      </c>
      <c r="K1687" s="20" t="b">
        <f>IFERROR(__xludf.DUMMYFUNCTION("""COMPUTED_VALUE"""),FALSE)</f>
        <v>0</v>
      </c>
      <c r="L1687" s="20" t="str">
        <f>IFERROR(__xludf.DUMMYFUNCTION("""COMPUTED_VALUE"""),"Array;Math;Greedy;Sorting;Heap (Priority Queue);Game Theory;")</f>
        <v>Array;Math;Greedy;Sorting;Heap (Priority Queue);Game Theory;</v>
      </c>
      <c r="M1687" s="20" t="b">
        <f>IFERROR(__xludf.DUMMYFUNCTION("""COMPUTED_VALUE"""),FALSE)</f>
        <v>0</v>
      </c>
      <c r="N1687" s="20" t="b">
        <f>IFERROR(__xludf.DUMMYFUNCTION("""COMPUTED_VALUE"""),FALSE)</f>
        <v>0</v>
      </c>
      <c r="O1687" s="20">
        <f>IFERROR(__xludf.DUMMYFUNCTION("""COMPUTED_VALUE"""),54.4884674113959)</f>
        <v>54.48846741</v>
      </c>
      <c r="P1687" s="20">
        <f>IFERROR(__xludf.DUMMYFUNCTION("""COMPUTED_VALUE"""),13560.0)</f>
        <v>13560</v>
      </c>
      <c r="Q1687" s="20">
        <f>IFERROR(__xludf.DUMMYFUNCTION("""COMPUTED_VALUE"""),24886.0)</f>
        <v>24886</v>
      </c>
    </row>
    <row r="1688">
      <c r="A1688" s="20">
        <f>IFERROR(__xludf.DUMMYFUNCTION("""COMPUTED_VALUE"""),1789.0)</f>
        <v>1789</v>
      </c>
      <c r="B1688" s="20" t="str">
        <f>IFERROR(__xludf.DUMMYFUNCTION("""COMPUTED_VALUE"""),"Delivering Boxes from Storage to Ports")</f>
        <v>Delivering Boxes from Storage to Ports</v>
      </c>
      <c r="C1688" s="20" t="str">
        <f>IFERROR(__xludf.DUMMYFUNCTION("""COMPUTED_VALUE"""),"delivering-boxes-from-storage-to-ports")</f>
        <v>delivering-boxes-from-storage-to-ports</v>
      </c>
      <c r="D1688" s="20" t="b">
        <f>IFERROR(__xludf.DUMMYFUNCTION("""COMPUTED_VALUE"""),FALSE)</f>
        <v>0</v>
      </c>
      <c r="E1688" s="20" t="str">
        <f>IFERROR(__xludf.DUMMYFUNCTION("""COMPUTED_VALUE"""),"Hard")</f>
        <v>Hard</v>
      </c>
      <c r="F1688" s="20">
        <f>IFERROR(__xludf.DUMMYFUNCTION("""COMPUTED_VALUE"""),314.0)</f>
        <v>314</v>
      </c>
      <c r="G1688" s="20">
        <f>IFERROR(__xludf.DUMMYFUNCTION("""COMPUTED_VALUE"""),24.0)</f>
        <v>24</v>
      </c>
      <c r="H1688" s="20" t="str">
        <f>IFERROR(__xludf.DUMMYFUNCTION("""COMPUTED_VALUE"""),"Algorithms")</f>
        <v>Algorithms</v>
      </c>
      <c r="I1688" s="20">
        <f>IFERROR(__xludf.DUMMYFUNCTION("""COMPUTED_VALUE"""),0.387)</f>
        <v>0.387</v>
      </c>
      <c r="J1688" s="20">
        <f>IFERROR(__xludf.DUMMYFUNCTION("""COMPUTED_VALUE"""),1687.0)</f>
        <v>1687</v>
      </c>
      <c r="K1688" s="20" t="b">
        <f>IFERROR(__xludf.DUMMYFUNCTION("""COMPUTED_VALUE"""),FALSE)</f>
        <v>0</v>
      </c>
      <c r="L1688" s="20" t="str">
        <f>IFERROR(__xludf.DUMMYFUNCTION("""COMPUTED_VALUE"""),"Array;Dynamic Programming;Segment Tree;Queue;Heap (Priority Queue);Monotonic Queue;")</f>
        <v>Array;Dynamic Programming;Segment Tree;Queue;Heap (Priority Queue);Monotonic Queue;</v>
      </c>
      <c r="M1688" s="20" t="b">
        <f>IFERROR(__xludf.DUMMYFUNCTION("""COMPUTED_VALUE"""),FALSE)</f>
        <v>0</v>
      </c>
      <c r="N1688" s="20" t="b">
        <f>IFERROR(__xludf.DUMMYFUNCTION("""COMPUTED_VALUE"""),FALSE)</f>
        <v>0</v>
      </c>
      <c r="O1688" s="20">
        <f>IFERROR(__xludf.DUMMYFUNCTION("""COMPUTED_VALUE"""),38.7440951294999)</f>
        <v>38.74409513</v>
      </c>
      <c r="P1688" s="20">
        <f>IFERROR(__xludf.DUMMYFUNCTION("""COMPUTED_VALUE"""),4757.0)</f>
        <v>4757</v>
      </c>
      <c r="Q1688" s="20">
        <f>IFERROR(__xludf.DUMMYFUNCTION("""COMPUTED_VALUE"""),12278.0)</f>
        <v>12278</v>
      </c>
    </row>
    <row r="1689">
      <c r="A1689" s="20">
        <f>IFERROR(__xludf.DUMMYFUNCTION("""COMPUTED_VALUE"""),1806.0)</f>
        <v>1806</v>
      </c>
      <c r="B1689" s="20" t="str">
        <f>IFERROR(__xludf.DUMMYFUNCTION("""COMPUTED_VALUE"""),"Count of Matches in Tournament")</f>
        <v>Count of Matches in Tournament</v>
      </c>
      <c r="C1689" s="20" t="str">
        <f>IFERROR(__xludf.DUMMYFUNCTION("""COMPUTED_VALUE"""),"count-of-matches-in-tournament")</f>
        <v>count-of-matches-in-tournament</v>
      </c>
      <c r="D1689" s="20" t="b">
        <f>IFERROR(__xludf.DUMMYFUNCTION("""COMPUTED_VALUE"""),FALSE)</f>
        <v>0</v>
      </c>
      <c r="E1689" s="20" t="str">
        <f>IFERROR(__xludf.DUMMYFUNCTION("""COMPUTED_VALUE"""),"Easy")</f>
        <v>Easy</v>
      </c>
      <c r="F1689" s="20">
        <f>IFERROR(__xludf.DUMMYFUNCTION("""COMPUTED_VALUE"""),798.0)</f>
        <v>798</v>
      </c>
      <c r="G1689" s="20">
        <f>IFERROR(__xludf.DUMMYFUNCTION("""COMPUTED_VALUE"""),138.0)</f>
        <v>138</v>
      </c>
      <c r="H1689" s="20" t="str">
        <f>IFERROR(__xludf.DUMMYFUNCTION("""COMPUTED_VALUE"""),"Algorithms")</f>
        <v>Algorithms</v>
      </c>
      <c r="I1689" s="20">
        <f>IFERROR(__xludf.DUMMYFUNCTION("""COMPUTED_VALUE"""),0.832)</f>
        <v>0.832</v>
      </c>
      <c r="J1689" s="20">
        <f>IFERROR(__xludf.DUMMYFUNCTION("""COMPUTED_VALUE"""),1688.0)</f>
        <v>1688</v>
      </c>
      <c r="K1689" s="20" t="b">
        <f>IFERROR(__xludf.DUMMYFUNCTION("""COMPUTED_VALUE"""),FALSE)</f>
        <v>0</v>
      </c>
      <c r="L1689" s="20" t="str">
        <f>IFERROR(__xludf.DUMMYFUNCTION("""COMPUTED_VALUE"""),"Math;Simulation;")</f>
        <v>Math;Simulation;</v>
      </c>
      <c r="M1689" s="20" t="b">
        <f>IFERROR(__xludf.DUMMYFUNCTION("""COMPUTED_VALUE"""),FALSE)</f>
        <v>0</v>
      </c>
      <c r="N1689" s="20" t="b">
        <f>IFERROR(__xludf.DUMMYFUNCTION("""COMPUTED_VALUE"""),FALSE)</f>
        <v>0</v>
      </c>
      <c r="O1689" s="20">
        <f>IFERROR(__xludf.DUMMYFUNCTION("""COMPUTED_VALUE"""),83.2373359780286)</f>
        <v>83.23733598</v>
      </c>
      <c r="P1689" s="20">
        <f>IFERROR(__xludf.DUMMYFUNCTION("""COMPUTED_VALUE"""),87283.0)</f>
        <v>87283</v>
      </c>
      <c r="Q1689" s="20">
        <f>IFERROR(__xludf.DUMMYFUNCTION("""COMPUTED_VALUE"""),104859.0)</f>
        <v>104859</v>
      </c>
    </row>
    <row r="1690">
      <c r="A1690" s="20">
        <f>IFERROR(__xludf.DUMMYFUNCTION("""COMPUTED_VALUE"""),1807.0)</f>
        <v>1807</v>
      </c>
      <c r="B1690" s="20" t="str">
        <f>IFERROR(__xludf.DUMMYFUNCTION("""COMPUTED_VALUE"""),"Partitioning Into Minimum Number Of Deci-Binary Numbers")</f>
        <v>Partitioning Into Minimum Number Of Deci-Binary Numbers</v>
      </c>
      <c r="C1690" s="20" t="str">
        <f>IFERROR(__xludf.DUMMYFUNCTION("""COMPUTED_VALUE"""),"partitioning-into-minimum-number-of-deci-binary-numbers")</f>
        <v>partitioning-into-minimum-number-of-deci-binary-numbers</v>
      </c>
      <c r="D1690" s="20" t="b">
        <f>IFERROR(__xludf.DUMMYFUNCTION("""COMPUTED_VALUE"""),FALSE)</f>
        <v>0</v>
      </c>
      <c r="E1690" s="20" t="str">
        <f>IFERROR(__xludf.DUMMYFUNCTION("""COMPUTED_VALUE"""),"Medium")</f>
        <v>Medium</v>
      </c>
      <c r="F1690" s="20">
        <f>IFERROR(__xludf.DUMMYFUNCTION("""COMPUTED_VALUE"""),1974.0)</f>
        <v>1974</v>
      </c>
      <c r="G1690" s="20">
        <f>IFERROR(__xludf.DUMMYFUNCTION("""COMPUTED_VALUE"""),1264.0)</f>
        <v>1264</v>
      </c>
      <c r="H1690" s="20" t="str">
        <f>IFERROR(__xludf.DUMMYFUNCTION("""COMPUTED_VALUE"""),"Algorithms")</f>
        <v>Algorithms</v>
      </c>
      <c r="I1690" s="20">
        <f>IFERROR(__xludf.DUMMYFUNCTION("""COMPUTED_VALUE"""),0.894)</f>
        <v>0.894</v>
      </c>
      <c r="J1690" s="20">
        <f>IFERROR(__xludf.DUMMYFUNCTION("""COMPUTED_VALUE"""),1689.0)</f>
        <v>1689</v>
      </c>
      <c r="K1690" s="20" t="b">
        <f>IFERROR(__xludf.DUMMYFUNCTION("""COMPUTED_VALUE"""),FALSE)</f>
        <v>0</v>
      </c>
      <c r="L1690" s="20" t="str">
        <f>IFERROR(__xludf.DUMMYFUNCTION("""COMPUTED_VALUE"""),"String;Greedy;")</f>
        <v>String;Greedy;</v>
      </c>
      <c r="M1690" s="20" t="b">
        <f>IFERROR(__xludf.DUMMYFUNCTION("""COMPUTED_VALUE"""),TRUE)</f>
        <v>1</v>
      </c>
      <c r="N1690" s="20" t="b">
        <f>IFERROR(__xludf.DUMMYFUNCTION("""COMPUTED_VALUE"""),FALSE)</f>
        <v>0</v>
      </c>
      <c r="O1690" s="20">
        <f>IFERROR(__xludf.DUMMYFUNCTION("""COMPUTED_VALUE"""),89.4353400410539)</f>
        <v>89.43534004</v>
      </c>
      <c r="P1690" s="20">
        <f>IFERROR(__xludf.DUMMYFUNCTION("""COMPUTED_VALUE"""),159464.0)</f>
        <v>159464</v>
      </c>
      <c r="Q1690" s="20">
        <f>IFERROR(__xludf.DUMMYFUNCTION("""COMPUTED_VALUE"""),178301.0)</f>
        <v>178301</v>
      </c>
    </row>
    <row r="1691">
      <c r="A1691" s="20">
        <f>IFERROR(__xludf.DUMMYFUNCTION("""COMPUTED_VALUE"""),1808.0)</f>
        <v>1808</v>
      </c>
      <c r="B1691" s="20" t="str">
        <f>IFERROR(__xludf.DUMMYFUNCTION("""COMPUTED_VALUE"""),"Stone Game VII")</f>
        <v>Stone Game VII</v>
      </c>
      <c r="C1691" s="20" t="str">
        <f>IFERROR(__xludf.DUMMYFUNCTION("""COMPUTED_VALUE"""),"stone-game-vii")</f>
        <v>stone-game-vii</v>
      </c>
      <c r="D1691" s="20" t="b">
        <f>IFERROR(__xludf.DUMMYFUNCTION("""COMPUTED_VALUE"""),FALSE)</f>
        <v>0</v>
      </c>
      <c r="E1691" s="20" t="str">
        <f>IFERROR(__xludf.DUMMYFUNCTION("""COMPUTED_VALUE"""),"Medium")</f>
        <v>Medium</v>
      </c>
      <c r="F1691" s="20">
        <f>IFERROR(__xludf.DUMMYFUNCTION("""COMPUTED_VALUE"""),811.0)</f>
        <v>811</v>
      </c>
      <c r="G1691" s="20">
        <f>IFERROR(__xludf.DUMMYFUNCTION("""COMPUTED_VALUE"""),139.0)</f>
        <v>139</v>
      </c>
      <c r="H1691" s="20" t="str">
        <f>IFERROR(__xludf.DUMMYFUNCTION("""COMPUTED_VALUE"""),"Algorithms")</f>
        <v>Algorithms</v>
      </c>
      <c r="I1691" s="20">
        <f>IFERROR(__xludf.DUMMYFUNCTION("""COMPUTED_VALUE"""),0.584)</f>
        <v>0.584</v>
      </c>
      <c r="J1691" s="20">
        <f>IFERROR(__xludf.DUMMYFUNCTION("""COMPUTED_VALUE"""),1690.0)</f>
        <v>1690</v>
      </c>
      <c r="K1691" s="20" t="b">
        <f>IFERROR(__xludf.DUMMYFUNCTION("""COMPUTED_VALUE"""),FALSE)</f>
        <v>0</v>
      </c>
      <c r="L1691" s="20" t="str">
        <f>IFERROR(__xludf.DUMMYFUNCTION("""COMPUTED_VALUE"""),"Array;Math;Dynamic Programming;Game Theory;")</f>
        <v>Array;Math;Dynamic Programming;Game Theory;</v>
      </c>
      <c r="M1691" s="20" t="b">
        <f>IFERROR(__xludf.DUMMYFUNCTION("""COMPUTED_VALUE"""),TRUE)</f>
        <v>1</v>
      </c>
      <c r="N1691" s="20" t="b">
        <f>IFERROR(__xludf.DUMMYFUNCTION("""COMPUTED_VALUE"""),FALSE)</f>
        <v>0</v>
      </c>
      <c r="O1691" s="20">
        <f>IFERROR(__xludf.DUMMYFUNCTION("""COMPUTED_VALUE"""),58.377659574468)</f>
        <v>58.37765957</v>
      </c>
      <c r="P1691" s="20">
        <f>IFERROR(__xludf.DUMMYFUNCTION("""COMPUTED_VALUE"""),29413.0)</f>
        <v>29413</v>
      </c>
      <c r="Q1691" s="20">
        <f>IFERROR(__xludf.DUMMYFUNCTION("""COMPUTED_VALUE"""),50384.0)</f>
        <v>50384</v>
      </c>
    </row>
    <row r="1692">
      <c r="A1692" s="20">
        <f>IFERROR(__xludf.DUMMYFUNCTION("""COMPUTED_VALUE"""),1367.0)</f>
        <v>1367</v>
      </c>
      <c r="B1692" s="20" t="str">
        <f>IFERROR(__xludf.DUMMYFUNCTION("""COMPUTED_VALUE"""),"Maximum Height by Stacking Cuboids ")</f>
        <v>Maximum Height by Stacking Cuboids </v>
      </c>
      <c r="C1692" s="20" t="str">
        <f>IFERROR(__xludf.DUMMYFUNCTION("""COMPUTED_VALUE"""),"maximum-height-by-stacking-cuboids")</f>
        <v>maximum-height-by-stacking-cuboids</v>
      </c>
      <c r="D1692" s="20" t="b">
        <f>IFERROR(__xludf.DUMMYFUNCTION("""COMPUTED_VALUE"""),FALSE)</f>
        <v>0</v>
      </c>
      <c r="E1692" s="20" t="str">
        <f>IFERROR(__xludf.DUMMYFUNCTION("""COMPUTED_VALUE"""),"Hard")</f>
        <v>Hard</v>
      </c>
      <c r="F1692" s="20">
        <f>IFERROR(__xludf.DUMMYFUNCTION("""COMPUTED_VALUE"""),777.0)</f>
        <v>777</v>
      </c>
      <c r="G1692" s="20">
        <f>IFERROR(__xludf.DUMMYFUNCTION("""COMPUTED_VALUE"""),22.0)</f>
        <v>22</v>
      </c>
      <c r="H1692" s="20" t="str">
        <f>IFERROR(__xludf.DUMMYFUNCTION("""COMPUTED_VALUE"""),"Algorithms")</f>
        <v>Algorithms</v>
      </c>
      <c r="I1692" s="20">
        <f>IFERROR(__xludf.DUMMYFUNCTION("""COMPUTED_VALUE"""),0.544)</f>
        <v>0.544</v>
      </c>
      <c r="J1692" s="20">
        <f>IFERROR(__xludf.DUMMYFUNCTION("""COMPUTED_VALUE"""),1691.0)</f>
        <v>1691</v>
      </c>
      <c r="K1692" s="20" t="b">
        <f>IFERROR(__xludf.DUMMYFUNCTION("""COMPUTED_VALUE"""),FALSE)</f>
        <v>0</v>
      </c>
      <c r="L1692" s="20" t="str">
        <f>IFERROR(__xludf.DUMMYFUNCTION("""COMPUTED_VALUE"""),"Array;Dynamic Programming;Sorting;")</f>
        <v>Array;Dynamic Programming;Sorting;</v>
      </c>
      <c r="M1692" s="20" t="b">
        <f>IFERROR(__xludf.DUMMYFUNCTION("""COMPUTED_VALUE"""),FALSE)</f>
        <v>0</v>
      </c>
      <c r="N1692" s="20" t="b">
        <f>IFERROR(__xludf.DUMMYFUNCTION("""COMPUTED_VALUE"""),FALSE)</f>
        <v>0</v>
      </c>
      <c r="O1692" s="20">
        <f>IFERROR(__xludf.DUMMYFUNCTION("""COMPUTED_VALUE"""),54.3740725752057)</f>
        <v>54.37407258</v>
      </c>
      <c r="P1692" s="20">
        <f>IFERROR(__xludf.DUMMYFUNCTION("""COMPUTED_VALUE"""),16123.0)</f>
        <v>16123</v>
      </c>
      <c r="Q1692" s="20">
        <f>IFERROR(__xludf.DUMMYFUNCTION("""COMPUTED_VALUE"""),29652.0)</f>
        <v>29652</v>
      </c>
    </row>
    <row r="1693">
      <c r="A1693" s="20">
        <f>IFERROR(__xludf.DUMMYFUNCTION("""COMPUTED_VALUE"""),1828.0)</f>
        <v>1828</v>
      </c>
      <c r="B1693" s="20" t="str">
        <f>IFERROR(__xludf.DUMMYFUNCTION("""COMPUTED_VALUE"""),"Count Ways to Distribute Candies")</f>
        <v>Count Ways to Distribute Candies</v>
      </c>
      <c r="C1693" s="20" t="str">
        <f>IFERROR(__xludf.DUMMYFUNCTION("""COMPUTED_VALUE"""),"count-ways-to-distribute-candies")</f>
        <v>count-ways-to-distribute-candies</v>
      </c>
      <c r="D1693" s="20" t="b">
        <f>IFERROR(__xludf.DUMMYFUNCTION("""COMPUTED_VALUE"""),TRUE)</f>
        <v>1</v>
      </c>
      <c r="E1693" s="20" t="str">
        <f>IFERROR(__xludf.DUMMYFUNCTION("""COMPUTED_VALUE"""),"Hard")</f>
        <v>Hard</v>
      </c>
      <c r="F1693" s="20">
        <f>IFERROR(__xludf.DUMMYFUNCTION("""COMPUTED_VALUE"""),61.0)</f>
        <v>61</v>
      </c>
      <c r="G1693" s="20">
        <f>IFERROR(__xludf.DUMMYFUNCTION("""COMPUTED_VALUE"""),7.0)</f>
        <v>7</v>
      </c>
      <c r="H1693" s="20" t="str">
        <f>IFERROR(__xludf.DUMMYFUNCTION("""COMPUTED_VALUE"""),"Algorithms")</f>
        <v>Algorithms</v>
      </c>
      <c r="I1693" s="20">
        <f>IFERROR(__xludf.DUMMYFUNCTION("""COMPUTED_VALUE"""),0.625)</f>
        <v>0.625</v>
      </c>
      <c r="J1693" s="20">
        <f>IFERROR(__xludf.DUMMYFUNCTION("""COMPUTED_VALUE"""),1692.0)</f>
        <v>1692</v>
      </c>
      <c r="K1693" s="20" t="b">
        <f>IFERROR(__xludf.DUMMYFUNCTION("""COMPUTED_VALUE"""),TRUE)</f>
        <v>1</v>
      </c>
      <c r="L1693" s="20" t="str">
        <f>IFERROR(__xludf.DUMMYFUNCTION("""COMPUTED_VALUE"""),"Dynamic Programming;")</f>
        <v>Dynamic Programming;</v>
      </c>
      <c r="M1693" s="20" t="b">
        <f>IFERROR(__xludf.DUMMYFUNCTION("""COMPUTED_VALUE"""),FALSE)</f>
        <v>0</v>
      </c>
      <c r="N1693" s="20" t="b">
        <f>IFERROR(__xludf.DUMMYFUNCTION("""COMPUTED_VALUE"""),FALSE)</f>
        <v>0</v>
      </c>
      <c r="O1693" s="20">
        <f>IFERROR(__xludf.DUMMYFUNCTION("""COMPUTED_VALUE"""),62.4918883841661)</f>
        <v>62.49188838</v>
      </c>
      <c r="P1693" s="20">
        <f>IFERROR(__xludf.DUMMYFUNCTION("""COMPUTED_VALUE"""),1926.0)</f>
        <v>1926</v>
      </c>
      <c r="Q1693" s="20">
        <f>IFERROR(__xludf.DUMMYFUNCTION("""COMPUTED_VALUE"""),3082.0)</f>
        <v>3082</v>
      </c>
    </row>
    <row r="1694">
      <c r="A1694" s="20">
        <f>IFERROR(__xludf.DUMMYFUNCTION("""COMPUTED_VALUE"""),1837.0)</f>
        <v>1837</v>
      </c>
      <c r="B1694" s="20" t="str">
        <f>IFERROR(__xludf.DUMMYFUNCTION("""COMPUTED_VALUE"""),"Daily Leads and Partners")</f>
        <v>Daily Leads and Partners</v>
      </c>
      <c r="C1694" s="20" t="str">
        <f>IFERROR(__xludf.DUMMYFUNCTION("""COMPUTED_VALUE"""),"daily-leads-and-partners")</f>
        <v>daily-leads-and-partners</v>
      </c>
      <c r="D1694" s="20" t="b">
        <f>IFERROR(__xludf.DUMMYFUNCTION("""COMPUTED_VALUE"""),FALSE)</f>
        <v>0</v>
      </c>
      <c r="E1694" s="20" t="str">
        <f>IFERROR(__xludf.DUMMYFUNCTION("""COMPUTED_VALUE"""),"Easy")</f>
        <v>Easy</v>
      </c>
      <c r="F1694" s="20">
        <f>IFERROR(__xludf.DUMMYFUNCTION("""COMPUTED_VALUE"""),313.0)</f>
        <v>313</v>
      </c>
      <c r="G1694" s="20">
        <f>IFERROR(__xludf.DUMMYFUNCTION("""COMPUTED_VALUE"""),26.0)</f>
        <v>26</v>
      </c>
      <c r="H1694" s="20" t="str">
        <f>IFERROR(__xludf.DUMMYFUNCTION("""COMPUTED_VALUE"""),"Database")</f>
        <v>Database</v>
      </c>
      <c r="I1694" s="20">
        <f>IFERROR(__xludf.DUMMYFUNCTION("""COMPUTED_VALUE"""),0.896)</f>
        <v>0.896</v>
      </c>
      <c r="J1694" s="20">
        <f>IFERROR(__xludf.DUMMYFUNCTION("""COMPUTED_VALUE"""),1693.0)</f>
        <v>1693</v>
      </c>
      <c r="K1694" s="20" t="b">
        <f>IFERROR(__xludf.DUMMYFUNCTION("""COMPUTED_VALUE"""),FALSE)</f>
        <v>0</v>
      </c>
      <c r="L1694" s="20" t="str">
        <f>IFERROR(__xludf.DUMMYFUNCTION("""COMPUTED_VALUE"""),"Database;")</f>
        <v>Database;</v>
      </c>
      <c r="M1694" s="20" t="b">
        <f>IFERROR(__xludf.DUMMYFUNCTION("""COMPUTED_VALUE"""),FALSE)</f>
        <v>0</v>
      </c>
      <c r="N1694" s="20" t="b">
        <f>IFERROR(__xludf.DUMMYFUNCTION("""COMPUTED_VALUE"""),FALSE)</f>
        <v>0</v>
      </c>
      <c r="O1694" s="20">
        <f>IFERROR(__xludf.DUMMYFUNCTION("""COMPUTED_VALUE"""),89.5562178920724)</f>
        <v>89.55621789</v>
      </c>
      <c r="P1694" s="20">
        <f>IFERROR(__xludf.DUMMYFUNCTION("""COMPUTED_VALUE"""),59790.0)</f>
        <v>59790</v>
      </c>
      <c r="Q1694" s="20">
        <f>IFERROR(__xludf.DUMMYFUNCTION("""COMPUTED_VALUE"""),66763.0)</f>
        <v>66763</v>
      </c>
    </row>
    <row r="1695">
      <c r="A1695" s="20">
        <f>IFERROR(__xludf.DUMMYFUNCTION("""COMPUTED_VALUE"""),1812.0)</f>
        <v>1812</v>
      </c>
      <c r="B1695" s="20" t="str">
        <f>IFERROR(__xludf.DUMMYFUNCTION("""COMPUTED_VALUE"""),"Reformat Phone Number")</f>
        <v>Reformat Phone Number</v>
      </c>
      <c r="C1695" s="20" t="str">
        <f>IFERROR(__xludf.DUMMYFUNCTION("""COMPUTED_VALUE"""),"reformat-phone-number")</f>
        <v>reformat-phone-number</v>
      </c>
      <c r="D1695" s="20" t="b">
        <f>IFERROR(__xludf.DUMMYFUNCTION("""COMPUTED_VALUE"""),FALSE)</f>
        <v>0</v>
      </c>
      <c r="E1695" s="20" t="str">
        <f>IFERROR(__xludf.DUMMYFUNCTION("""COMPUTED_VALUE"""),"Easy")</f>
        <v>Easy</v>
      </c>
      <c r="F1695" s="20">
        <f>IFERROR(__xludf.DUMMYFUNCTION("""COMPUTED_VALUE"""),259.0)</f>
        <v>259</v>
      </c>
      <c r="G1695" s="20">
        <f>IFERROR(__xludf.DUMMYFUNCTION("""COMPUTED_VALUE"""),180.0)</f>
        <v>180</v>
      </c>
      <c r="H1695" s="20" t="str">
        <f>IFERROR(__xludf.DUMMYFUNCTION("""COMPUTED_VALUE"""),"Algorithms")</f>
        <v>Algorithms</v>
      </c>
      <c r="I1695" s="20">
        <f>IFERROR(__xludf.DUMMYFUNCTION("""COMPUTED_VALUE"""),0.651)</f>
        <v>0.651</v>
      </c>
      <c r="J1695" s="20">
        <f>IFERROR(__xludf.DUMMYFUNCTION("""COMPUTED_VALUE"""),1694.0)</f>
        <v>1694</v>
      </c>
      <c r="K1695" s="20" t="b">
        <f>IFERROR(__xludf.DUMMYFUNCTION("""COMPUTED_VALUE"""),FALSE)</f>
        <v>0</v>
      </c>
      <c r="L1695" s="20" t="str">
        <f>IFERROR(__xludf.DUMMYFUNCTION("""COMPUTED_VALUE"""),"String;")</f>
        <v>String;</v>
      </c>
      <c r="M1695" s="20" t="b">
        <f>IFERROR(__xludf.DUMMYFUNCTION("""COMPUTED_VALUE"""),FALSE)</f>
        <v>0</v>
      </c>
      <c r="N1695" s="20" t="b">
        <f>IFERROR(__xludf.DUMMYFUNCTION("""COMPUTED_VALUE"""),FALSE)</f>
        <v>0</v>
      </c>
      <c r="O1695" s="20">
        <f>IFERROR(__xludf.DUMMYFUNCTION("""COMPUTED_VALUE"""),65.0547343544467)</f>
        <v>65.05473435</v>
      </c>
      <c r="P1695" s="20">
        <f>IFERROR(__xludf.DUMMYFUNCTION("""COMPUTED_VALUE"""),29178.0)</f>
        <v>29178</v>
      </c>
      <c r="Q1695" s="20">
        <f>IFERROR(__xludf.DUMMYFUNCTION("""COMPUTED_VALUE"""),44850.0)</f>
        <v>44850</v>
      </c>
    </row>
    <row r="1696">
      <c r="A1696" s="20">
        <f>IFERROR(__xludf.DUMMYFUNCTION("""COMPUTED_VALUE"""),1813.0)</f>
        <v>1813</v>
      </c>
      <c r="B1696" s="20" t="str">
        <f>IFERROR(__xludf.DUMMYFUNCTION("""COMPUTED_VALUE"""),"Maximum Erasure Value")</f>
        <v>Maximum Erasure Value</v>
      </c>
      <c r="C1696" s="20" t="str">
        <f>IFERROR(__xludf.DUMMYFUNCTION("""COMPUTED_VALUE"""),"maximum-erasure-value")</f>
        <v>maximum-erasure-value</v>
      </c>
      <c r="D1696" s="20" t="b">
        <f>IFERROR(__xludf.DUMMYFUNCTION("""COMPUTED_VALUE"""),FALSE)</f>
        <v>0</v>
      </c>
      <c r="E1696" s="20" t="str">
        <f>IFERROR(__xludf.DUMMYFUNCTION("""COMPUTED_VALUE"""),"Medium")</f>
        <v>Medium</v>
      </c>
      <c r="F1696" s="20">
        <f>IFERROR(__xludf.DUMMYFUNCTION("""COMPUTED_VALUE"""),2421.0)</f>
        <v>2421</v>
      </c>
      <c r="G1696" s="20">
        <f>IFERROR(__xludf.DUMMYFUNCTION("""COMPUTED_VALUE"""),42.0)</f>
        <v>42</v>
      </c>
      <c r="H1696" s="20" t="str">
        <f>IFERROR(__xludf.DUMMYFUNCTION("""COMPUTED_VALUE"""),"Algorithms")</f>
        <v>Algorithms</v>
      </c>
      <c r="I1696" s="20">
        <f>IFERROR(__xludf.DUMMYFUNCTION("""COMPUTED_VALUE"""),0.576)</f>
        <v>0.576</v>
      </c>
      <c r="J1696" s="20">
        <f>IFERROR(__xludf.DUMMYFUNCTION("""COMPUTED_VALUE"""),1695.0)</f>
        <v>1695</v>
      </c>
      <c r="K1696" s="20" t="b">
        <f>IFERROR(__xludf.DUMMYFUNCTION("""COMPUTED_VALUE"""),FALSE)</f>
        <v>0</v>
      </c>
      <c r="L1696" s="20" t="str">
        <f>IFERROR(__xludf.DUMMYFUNCTION("""COMPUTED_VALUE"""),"Array;Hash Table;Sliding Window;")</f>
        <v>Array;Hash Table;Sliding Window;</v>
      </c>
      <c r="M1696" s="20" t="b">
        <f>IFERROR(__xludf.DUMMYFUNCTION("""COMPUTED_VALUE"""),TRUE)</f>
        <v>1</v>
      </c>
      <c r="N1696" s="20" t="b">
        <f>IFERROR(__xludf.DUMMYFUNCTION("""COMPUTED_VALUE"""),FALSE)</f>
        <v>0</v>
      </c>
      <c r="O1696" s="20">
        <f>IFERROR(__xludf.DUMMYFUNCTION("""COMPUTED_VALUE"""),57.6187035394839)</f>
        <v>57.61870354</v>
      </c>
      <c r="P1696" s="20">
        <f>IFERROR(__xludf.DUMMYFUNCTION("""COMPUTED_VALUE"""),105257.0)</f>
        <v>105257</v>
      </c>
      <c r="Q1696" s="20">
        <f>IFERROR(__xludf.DUMMYFUNCTION("""COMPUTED_VALUE"""),182680.0)</f>
        <v>182680</v>
      </c>
    </row>
    <row r="1697">
      <c r="A1697" s="20">
        <f>IFERROR(__xludf.DUMMYFUNCTION("""COMPUTED_VALUE"""),1814.0)</f>
        <v>1814</v>
      </c>
      <c r="B1697" s="20" t="str">
        <f>IFERROR(__xludf.DUMMYFUNCTION("""COMPUTED_VALUE"""),"Jump Game VI")</f>
        <v>Jump Game VI</v>
      </c>
      <c r="C1697" s="20" t="str">
        <f>IFERROR(__xludf.DUMMYFUNCTION("""COMPUTED_VALUE"""),"jump-game-vi")</f>
        <v>jump-game-vi</v>
      </c>
      <c r="D1697" s="20" t="b">
        <f>IFERROR(__xludf.DUMMYFUNCTION("""COMPUTED_VALUE"""),FALSE)</f>
        <v>0</v>
      </c>
      <c r="E1697" s="20" t="str">
        <f>IFERROR(__xludf.DUMMYFUNCTION("""COMPUTED_VALUE"""),"Medium")</f>
        <v>Medium</v>
      </c>
      <c r="F1697" s="20">
        <f>IFERROR(__xludf.DUMMYFUNCTION("""COMPUTED_VALUE"""),3009.0)</f>
        <v>3009</v>
      </c>
      <c r="G1697" s="20">
        <f>IFERROR(__xludf.DUMMYFUNCTION("""COMPUTED_VALUE"""),105.0)</f>
        <v>105</v>
      </c>
      <c r="H1697" s="20" t="str">
        <f>IFERROR(__xludf.DUMMYFUNCTION("""COMPUTED_VALUE"""),"Algorithms")</f>
        <v>Algorithms</v>
      </c>
      <c r="I1697" s="20">
        <f>IFERROR(__xludf.DUMMYFUNCTION("""COMPUTED_VALUE"""),0.462)</f>
        <v>0.462</v>
      </c>
      <c r="J1697" s="20">
        <f>IFERROR(__xludf.DUMMYFUNCTION("""COMPUTED_VALUE"""),1696.0)</f>
        <v>1696</v>
      </c>
      <c r="K1697" s="20" t="b">
        <f>IFERROR(__xludf.DUMMYFUNCTION("""COMPUTED_VALUE"""),FALSE)</f>
        <v>0</v>
      </c>
      <c r="L1697" s="20" t="str">
        <f>IFERROR(__xludf.DUMMYFUNCTION("""COMPUTED_VALUE"""),"Array;Dynamic Programming;Queue;Sliding Window;Heap (Priority Queue);Monotonic Queue;")</f>
        <v>Array;Dynamic Programming;Queue;Sliding Window;Heap (Priority Queue);Monotonic Queue;</v>
      </c>
      <c r="M1697" s="20" t="b">
        <f>IFERROR(__xludf.DUMMYFUNCTION("""COMPUTED_VALUE"""),TRUE)</f>
        <v>1</v>
      </c>
      <c r="N1697" s="20" t="b">
        <f>IFERROR(__xludf.DUMMYFUNCTION("""COMPUTED_VALUE"""),FALSE)</f>
        <v>0</v>
      </c>
      <c r="O1697" s="20">
        <f>IFERROR(__xludf.DUMMYFUNCTION("""COMPUTED_VALUE"""),46.2361684398193)</f>
        <v>46.23616844</v>
      </c>
      <c r="P1697" s="20">
        <f>IFERROR(__xludf.DUMMYFUNCTION("""COMPUTED_VALUE"""),95437.0)</f>
        <v>95437</v>
      </c>
      <c r="Q1697" s="20">
        <f>IFERROR(__xludf.DUMMYFUNCTION("""COMPUTED_VALUE"""),206411.0)</f>
        <v>206411</v>
      </c>
    </row>
    <row r="1698">
      <c r="A1698" s="20">
        <f>IFERROR(__xludf.DUMMYFUNCTION("""COMPUTED_VALUE"""),1815.0)</f>
        <v>1815</v>
      </c>
      <c r="B1698" s="20" t="str">
        <f>IFERROR(__xludf.DUMMYFUNCTION("""COMPUTED_VALUE"""),"Checking Existence of Edge Length Limited Paths")</f>
        <v>Checking Existence of Edge Length Limited Paths</v>
      </c>
      <c r="C1698" s="20" t="str">
        <f>IFERROR(__xludf.DUMMYFUNCTION("""COMPUTED_VALUE"""),"checking-existence-of-edge-length-limited-paths")</f>
        <v>checking-existence-of-edge-length-limited-paths</v>
      </c>
      <c r="D1698" s="20" t="b">
        <f>IFERROR(__xludf.DUMMYFUNCTION("""COMPUTED_VALUE"""),FALSE)</f>
        <v>0</v>
      </c>
      <c r="E1698" s="20" t="str">
        <f>IFERROR(__xludf.DUMMYFUNCTION("""COMPUTED_VALUE"""),"Hard")</f>
        <v>Hard</v>
      </c>
      <c r="F1698" s="20">
        <f>IFERROR(__xludf.DUMMYFUNCTION("""COMPUTED_VALUE"""),652.0)</f>
        <v>652</v>
      </c>
      <c r="G1698" s="20">
        <f>IFERROR(__xludf.DUMMYFUNCTION("""COMPUTED_VALUE"""),14.0)</f>
        <v>14</v>
      </c>
      <c r="H1698" s="20" t="str">
        <f>IFERROR(__xludf.DUMMYFUNCTION("""COMPUTED_VALUE"""),"Algorithms")</f>
        <v>Algorithms</v>
      </c>
      <c r="I1698" s="20">
        <f>IFERROR(__xludf.DUMMYFUNCTION("""COMPUTED_VALUE"""),0.504)</f>
        <v>0.504</v>
      </c>
      <c r="J1698" s="20">
        <f>IFERROR(__xludf.DUMMYFUNCTION("""COMPUTED_VALUE"""),1697.0)</f>
        <v>1697</v>
      </c>
      <c r="K1698" s="20" t="b">
        <f>IFERROR(__xludf.DUMMYFUNCTION("""COMPUTED_VALUE"""),FALSE)</f>
        <v>0</v>
      </c>
      <c r="L1698" s="20" t="str">
        <f>IFERROR(__xludf.DUMMYFUNCTION("""COMPUTED_VALUE"""),"Array;Union Find;Graph;Sorting;")</f>
        <v>Array;Union Find;Graph;Sorting;</v>
      </c>
      <c r="M1698" s="20" t="b">
        <f>IFERROR(__xludf.DUMMYFUNCTION("""COMPUTED_VALUE"""),FALSE)</f>
        <v>0</v>
      </c>
      <c r="N1698" s="20" t="b">
        <f>IFERROR(__xludf.DUMMYFUNCTION("""COMPUTED_VALUE"""),FALSE)</f>
        <v>0</v>
      </c>
      <c r="O1698" s="20">
        <f>IFERROR(__xludf.DUMMYFUNCTION("""COMPUTED_VALUE"""),50.4291197653857)</f>
        <v>50.42911977</v>
      </c>
      <c r="P1698" s="20">
        <f>IFERROR(__xludf.DUMMYFUNCTION("""COMPUTED_VALUE"""),11692.0)</f>
        <v>11692</v>
      </c>
      <c r="Q1698" s="20">
        <f>IFERROR(__xludf.DUMMYFUNCTION("""COMPUTED_VALUE"""),23184.0)</f>
        <v>23184</v>
      </c>
    </row>
    <row r="1699">
      <c r="A1699" s="20">
        <f>IFERROR(__xludf.DUMMYFUNCTION("""COMPUTED_VALUE"""),1838.0)</f>
        <v>1838</v>
      </c>
      <c r="B1699" s="20" t="str">
        <f>IFERROR(__xludf.DUMMYFUNCTION("""COMPUTED_VALUE"""),"Number of Distinct Substrings in a String")</f>
        <v>Number of Distinct Substrings in a String</v>
      </c>
      <c r="C1699" s="20" t="str">
        <f>IFERROR(__xludf.DUMMYFUNCTION("""COMPUTED_VALUE"""),"number-of-distinct-substrings-in-a-string")</f>
        <v>number-of-distinct-substrings-in-a-string</v>
      </c>
      <c r="D1699" s="20" t="b">
        <f>IFERROR(__xludf.DUMMYFUNCTION("""COMPUTED_VALUE"""),TRUE)</f>
        <v>1</v>
      </c>
      <c r="E1699" s="20" t="str">
        <f>IFERROR(__xludf.DUMMYFUNCTION("""COMPUTED_VALUE"""),"Medium")</f>
        <v>Medium</v>
      </c>
      <c r="F1699" s="20">
        <f>IFERROR(__xludf.DUMMYFUNCTION("""COMPUTED_VALUE"""),158.0)</f>
        <v>158</v>
      </c>
      <c r="G1699" s="20">
        <f>IFERROR(__xludf.DUMMYFUNCTION("""COMPUTED_VALUE"""),39.0)</f>
        <v>39</v>
      </c>
      <c r="H1699" s="20" t="str">
        <f>IFERROR(__xludf.DUMMYFUNCTION("""COMPUTED_VALUE"""),"Algorithms")</f>
        <v>Algorithms</v>
      </c>
      <c r="I1699" s="20">
        <f>IFERROR(__xludf.DUMMYFUNCTION("""COMPUTED_VALUE"""),0.632)</f>
        <v>0.632</v>
      </c>
      <c r="J1699" s="20">
        <f>IFERROR(__xludf.DUMMYFUNCTION("""COMPUTED_VALUE"""),1698.0)</f>
        <v>1698</v>
      </c>
      <c r="K1699" s="20" t="b">
        <f>IFERROR(__xludf.DUMMYFUNCTION("""COMPUTED_VALUE"""),TRUE)</f>
        <v>1</v>
      </c>
      <c r="L1699" s="20" t="str">
        <f>IFERROR(__xludf.DUMMYFUNCTION("""COMPUTED_VALUE"""),"String;Trie;Rolling Hash;Suffix Array;Hash Function;")</f>
        <v>String;Trie;Rolling Hash;Suffix Array;Hash Function;</v>
      </c>
      <c r="M1699" s="20" t="b">
        <f>IFERROR(__xludf.DUMMYFUNCTION("""COMPUTED_VALUE"""),FALSE)</f>
        <v>0</v>
      </c>
      <c r="N1699" s="20" t="b">
        <f>IFERROR(__xludf.DUMMYFUNCTION("""COMPUTED_VALUE"""),FALSE)</f>
        <v>0</v>
      </c>
      <c r="O1699" s="20">
        <f>IFERROR(__xludf.DUMMYFUNCTION("""COMPUTED_VALUE"""),63.1605562579013)</f>
        <v>63.16055626</v>
      </c>
      <c r="P1699" s="20">
        <f>IFERROR(__xludf.DUMMYFUNCTION("""COMPUTED_VALUE"""),7494.0)</f>
        <v>7494</v>
      </c>
      <c r="Q1699" s="20">
        <f>IFERROR(__xludf.DUMMYFUNCTION("""COMPUTED_VALUE"""),11865.0)</f>
        <v>11865</v>
      </c>
    </row>
    <row r="1700">
      <c r="A1700" s="20">
        <f>IFERROR(__xludf.DUMMYFUNCTION("""COMPUTED_VALUE"""),1842.0)</f>
        <v>1842</v>
      </c>
      <c r="B1700" s="20" t="str">
        <f>IFERROR(__xludf.DUMMYFUNCTION("""COMPUTED_VALUE"""),"Number of Calls Between Two Persons")</f>
        <v>Number of Calls Between Two Persons</v>
      </c>
      <c r="C1700" s="20" t="str">
        <f>IFERROR(__xludf.DUMMYFUNCTION("""COMPUTED_VALUE"""),"number-of-calls-between-two-persons")</f>
        <v>number-of-calls-between-two-persons</v>
      </c>
      <c r="D1700" s="20" t="b">
        <f>IFERROR(__xludf.DUMMYFUNCTION("""COMPUTED_VALUE"""),TRUE)</f>
        <v>1</v>
      </c>
      <c r="E1700" s="20" t="str">
        <f>IFERROR(__xludf.DUMMYFUNCTION("""COMPUTED_VALUE"""),"Medium")</f>
        <v>Medium</v>
      </c>
      <c r="F1700" s="20">
        <f>IFERROR(__xludf.DUMMYFUNCTION("""COMPUTED_VALUE"""),215.0)</f>
        <v>215</v>
      </c>
      <c r="G1700" s="20">
        <f>IFERROR(__xludf.DUMMYFUNCTION("""COMPUTED_VALUE"""),11.0)</f>
        <v>11</v>
      </c>
      <c r="H1700" s="20" t="str">
        <f>IFERROR(__xludf.DUMMYFUNCTION("""COMPUTED_VALUE"""),"Database")</f>
        <v>Database</v>
      </c>
      <c r="I1700" s="20">
        <f>IFERROR(__xludf.DUMMYFUNCTION("""COMPUTED_VALUE"""),0.847)</f>
        <v>0.847</v>
      </c>
      <c r="J1700" s="20">
        <f>IFERROR(__xludf.DUMMYFUNCTION("""COMPUTED_VALUE"""),1699.0)</f>
        <v>1699</v>
      </c>
      <c r="K1700" s="20" t="b">
        <f>IFERROR(__xludf.DUMMYFUNCTION("""COMPUTED_VALUE"""),TRUE)</f>
        <v>1</v>
      </c>
      <c r="L1700" s="20" t="str">
        <f>IFERROR(__xludf.DUMMYFUNCTION("""COMPUTED_VALUE"""),"Database;")</f>
        <v>Database;</v>
      </c>
      <c r="M1700" s="20" t="b">
        <f>IFERROR(__xludf.DUMMYFUNCTION("""COMPUTED_VALUE"""),FALSE)</f>
        <v>0</v>
      </c>
      <c r="N1700" s="20" t="b">
        <f>IFERROR(__xludf.DUMMYFUNCTION("""COMPUTED_VALUE"""),FALSE)</f>
        <v>0</v>
      </c>
      <c r="O1700" s="20">
        <f>IFERROR(__xludf.DUMMYFUNCTION("""COMPUTED_VALUE"""),84.7237020186022)</f>
        <v>84.72370202</v>
      </c>
      <c r="P1700" s="20">
        <f>IFERROR(__xludf.DUMMYFUNCTION("""COMPUTED_VALUE"""),29422.0)</f>
        <v>29422</v>
      </c>
      <c r="Q1700" s="20">
        <f>IFERROR(__xludf.DUMMYFUNCTION("""COMPUTED_VALUE"""),34727.0)</f>
        <v>34727</v>
      </c>
    </row>
    <row r="1701">
      <c r="A1701" s="20">
        <f>IFERROR(__xludf.DUMMYFUNCTION("""COMPUTED_VALUE"""),1802.0)</f>
        <v>1802</v>
      </c>
      <c r="B1701" s="20" t="str">
        <f>IFERROR(__xludf.DUMMYFUNCTION("""COMPUTED_VALUE"""),"Number of Students Unable to Eat Lunch")</f>
        <v>Number of Students Unable to Eat Lunch</v>
      </c>
      <c r="C1701" s="20" t="str">
        <f>IFERROR(__xludf.DUMMYFUNCTION("""COMPUTED_VALUE"""),"number-of-students-unable-to-eat-lunch")</f>
        <v>number-of-students-unable-to-eat-lunch</v>
      </c>
      <c r="D1701" s="20" t="b">
        <f>IFERROR(__xludf.DUMMYFUNCTION("""COMPUTED_VALUE"""),FALSE)</f>
        <v>0</v>
      </c>
      <c r="E1701" s="20" t="str">
        <f>IFERROR(__xludf.DUMMYFUNCTION("""COMPUTED_VALUE"""),"Easy")</f>
        <v>Easy</v>
      </c>
      <c r="F1701" s="20">
        <f>IFERROR(__xludf.DUMMYFUNCTION("""COMPUTED_VALUE"""),1136.0)</f>
        <v>1136</v>
      </c>
      <c r="G1701" s="20">
        <f>IFERROR(__xludf.DUMMYFUNCTION("""COMPUTED_VALUE"""),71.0)</f>
        <v>71</v>
      </c>
      <c r="H1701" s="20" t="str">
        <f>IFERROR(__xludf.DUMMYFUNCTION("""COMPUTED_VALUE"""),"Algorithms")</f>
        <v>Algorithms</v>
      </c>
      <c r="I1701" s="20">
        <f>IFERROR(__xludf.DUMMYFUNCTION("""COMPUTED_VALUE"""),0.681)</f>
        <v>0.681</v>
      </c>
      <c r="J1701" s="20">
        <f>IFERROR(__xludf.DUMMYFUNCTION("""COMPUTED_VALUE"""),1700.0)</f>
        <v>1700</v>
      </c>
      <c r="K1701" s="20" t="b">
        <f>IFERROR(__xludf.DUMMYFUNCTION("""COMPUTED_VALUE"""),FALSE)</f>
        <v>0</v>
      </c>
      <c r="L1701" s="20" t="str">
        <f>IFERROR(__xludf.DUMMYFUNCTION("""COMPUTED_VALUE"""),"Array;Stack;Queue;Simulation;")</f>
        <v>Array;Stack;Queue;Simulation;</v>
      </c>
      <c r="M1701" s="20" t="b">
        <f>IFERROR(__xludf.DUMMYFUNCTION("""COMPUTED_VALUE"""),FALSE)</f>
        <v>0</v>
      </c>
      <c r="N1701" s="20" t="b">
        <f>IFERROR(__xludf.DUMMYFUNCTION("""COMPUTED_VALUE"""),FALSE)</f>
        <v>0</v>
      </c>
      <c r="O1701" s="20">
        <f>IFERROR(__xludf.DUMMYFUNCTION("""COMPUTED_VALUE"""),68.1088438681137)</f>
        <v>68.10884387</v>
      </c>
      <c r="P1701" s="20">
        <f>IFERROR(__xludf.DUMMYFUNCTION("""COMPUTED_VALUE"""),56041.0)</f>
        <v>56041</v>
      </c>
      <c r="Q1701" s="20">
        <f>IFERROR(__xludf.DUMMYFUNCTION("""COMPUTED_VALUE"""),82282.0)</f>
        <v>82282</v>
      </c>
    </row>
    <row r="1702">
      <c r="A1702" s="20">
        <f>IFERROR(__xludf.DUMMYFUNCTION("""COMPUTED_VALUE"""),1803.0)</f>
        <v>1803</v>
      </c>
      <c r="B1702" s="20" t="str">
        <f>IFERROR(__xludf.DUMMYFUNCTION("""COMPUTED_VALUE"""),"Average Waiting Time")</f>
        <v>Average Waiting Time</v>
      </c>
      <c r="C1702" s="20" t="str">
        <f>IFERROR(__xludf.DUMMYFUNCTION("""COMPUTED_VALUE"""),"average-waiting-time")</f>
        <v>average-waiting-time</v>
      </c>
      <c r="D1702" s="20" t="b">
        <f>IFERROR(__xludf.DUMMYFUNCTION("""COMPUTED_VALUE"""),FALSE)</f>
        <v>0</v>
      </c>
      <c r="E1702" s="20" t="str">
        <f>IFERROR(__xludf.DUMMYFUNCTION("""COMPUTED_VALUE"""),"Medium")</f>
        <v>Medium</v>
      </c>
      <c r="F1702" s="20">
        <f>IFERROR(__xludf.DUMMYFUNCTION("""COMPUTED_VALUE"""),410.0)</f>
        <v>410</v>
      </c>
      <c r="G1702" s="20">
        <f>IFERROR(__xludf.DUMMYFUNCTION("""COMPUTED_VALUE"""),45.0)</f>
        <v>45</v>
      </c>
      <c r="H1702" s="20" t="str">
        <f>IFERROR(__xludf.DUMMYFUNCTION("""COMPUTED_VALUE"""),"Algorithms")</f>
        <v>Algorithms</v>
      </c>
      <c r="I1702" s="20">
        <f>IFERROR(__xludf.DUMMYFUNCTION("""COMPUTED_VALUE"""),0.626)</f>
        <v>0.626</v>
      </c>
      <c r="J1702" s="20">
        <f>IFERROR(__xludf.DUMMYFUNCTION("""COMPUTED_VALUE"""),1701.0)</f>
        <v>1701</v>
      </c>
      <c r="K1702" s="20" t="b">
        <f>IFERROR(__xludf.DUMMYFUNCTION("""COMPUTED_VALUE"""),FALSE)</f>
        <v>0</v>
      </c>
      <c r="L1702" s="20" t="str">
        <f>IFERROR(__xludf.DUMMYFUNCTION("""COMPUTED_VALUE"""),"Array;Simulation;")</f>
        <v>Array;Simulation;</v>
      </c>
      <c r="M1702" s="20" t="b">
        <f>IFERROR(__xludf.DUMMYFUNCTION("""COMPUTED_VALUE"""),FALSE)</f>
        <v>0</v>
      </c>
      <c r="N1702" s="20" t="b">
        <f>IFERROR(__xludf.DUMMYFUNCTION("""COMPUTED_VALUE"""),FALSE)</f>
        <v>0</v>
      </c>
      <c r="O1702" s="20">
        <f>IFERROR(__xludf.DUMMYFUNCTION("""COMPUTED_VALUE"""),62.6121415597996)</f>
        <v>62.61214156</v>
      </c>
      <c r="P1702" s="20">
        <f>IFERROR(__xludf.DUMMYFUNCTION("""COMPUTED_VALUE"""),22752.0)</f>
        <v>22752</v>
      </c>
      <c r="Q1702" s="20">
        <f>IFERROR(__xludf.DUMMYFUNCTION("""COMPUTED_VALUE"""),36338.0)</f>
        <v>36338</v>
      </c>
    </row>
    <row r="1703">
      <c r="A1703" s="20">
        <f>IFERROR(__xludf.DUMMYFUNCTION("""COMPUTED_VALUE"""),1804.0)</f>
        <v>1804</v>
      </c>
      <c r="B1703" s="20" t="str">
        <f>IFERROR(__xludf.DUMMYFUNCTION("""COMPUTED_VALUE"""),"Maximum Binary String After Change")</f>
        <v>Maximum Binary String After Change</v>
      </c>
      <c r="C1703" s="20" t="str">
        <f>IFERROR(__xludf.DUMMYFUNCTION("""COMPUTED_VALUE"""),"maximum-binary-string-after-change")</f>
        <v>maximum-binary-string-after-change</v>
      </c>
      <c r="D1703" s="20" t="b">
        <f>IFERROR(__xludf.DUMMYFUNCTION("""COMPUTED_VALUE"""),FALSE)</f>
        <v>0</v>
      </c>
      <c r="E1703" s="20" t="str">
        <f>IFERROR(__xludf.DUMMYFUNCTION("""COMPUTED_VALUE"""),"Medium")</f>
        <v>Medium</v>
      </c>
      <c r="F1703" s="20">
        <f>IFERROR(__xludf.DUMMYFUNCTION("""COMPUTED_VALUE"""),408.0)</f>
        <v>408</v>
      </c>
      <c r="G1703" s="20">
        <f>IFERROR(__xludf.DUMMYFUNCTION("""COMPUTED_VALUE"""),41.0)</f>
        <v>41</v>
      </c>
      <c r="H1703" s="20" t="str">
        <f>IFERROR(__xludf.DUMMYFUNCTION("""COMPUTED_VALUE"""),"Algorithms")</f>
        <v>Algorithms</v>
      </c>
      <c r="I1703" s="20">
        <f>IFERROR(__xludf.DUMMYFUNCTION("""COMPUTED_VALUE"""),0.462)</f>
        <v>0.462</v>
      </c>
      <c r="J1703" s="20">
        <f>IFERROR(__xludf.DUMMYFUNCTION("""COMPUTED_VALUE"""),1702.0)</f>
        <v>1702</v>
      </c>
      <c r="K1703" s="20" t="b">
        <f>IFERROR(__xludf.DUMMYFUNCTION("""COMPUTED_VALUE"""),FALSE)</f>
        <v>0</v>
      </c>
      <c r="L1703" s="20" t="str">
        <f>IFERROR(__xludf.DUMMYFUNCTION("""COMPUTED_VALUE"""),"String;Greedy;")</f>
        <v>String;Greedy;</v>
      </c>
      <c r="M1703" s="20" t="b">
        <f>IFERROR(__xludf.DUMMYFUNCTION("""COMPUTED_VALUE"""),FALSE)</f>
        <v>0</v>
      </c>
      <c r="N1703" s="20" t="b">
        <f>IFERROR(__xludf.DUMMYFUNCTION("""COMPUTED_VALUE"""),FALSE)</f>
        <v>0</v>
      </c>
      <c r="O1703" s="20">
        <f>IFERROR(__xludf.DUMMYFUNCTION("""COMPUTED_VALUE"""),46.2352462352462)</f>
        <v>46.23524624</v>
      </c>
      <c r="P1703" s="20">
        <f>IFERROR(__xludf.DUMMYFUNCTION("""COMPUTED_VALUE"""),10223.0)</f>
        <v>10223</v>
      </c>
      <c r="Q1703" s="20">
        <f>IFERROR(__xludf.DUMMYFUNCTION("""COMPUTED_VALUE"""),22111.0)</f>
        <v>22111</v>
      </c>
    </row>
    <row r="1704">
      <c r="A1704" s="20">
        <f>IFERROR(__xludf.DUMMYFUNCTION("""COMPUTED_VALUE"""),1805.0)</f>
        <v>1805</v>
      </c>
      <c r="B1704" s="20" t="str">
        <f>IFERROR(__xludf.DUMMYFUNCTION("""COMPUTED_VALUE"""),"Minimum Adjacent Swaps for K Consecutive Ones")</f>
        <v>Minimum Adjacent Swaps for K Consecutive Ones</v>
      </c>
      <c r="C1704" s="20" t="str">
        <f>IFERROR(__xludf.DUMMYFUNCTION("""COMPUTED_VALUE"""),"minimum-adjacent-swaps-for-k-consecutive-ones")</f>
        <v>minimum-adjacent-swaps-for-k-consecutive-ones</v>
      </c>
      <c r="D1704" s="20" t="b">
        <f>IFERROR(__xludf.DUMMYFUNCTION("""COMPUTED_VALUE"""),FALSE)</f>
        <v>0</v>
      </c>
      <c r="E1704" s="20" t="str">
        <f>IFERROR(__xludf.DUMMYFUNCTION("""COMPUTED_VALUE"""),"Hard")</f>
        <v>Hard</v>
      </c>
      <c r="F1704" s="20">
        <f>IFERROR(__xludf.DUMMYFUNCTION("""COMPUTED_VALUE"""),563.0)</f>
        <v>563</v>
      </c>
      <c r="G1704" s="20">
        <f>IFERROR(__xludf.DUMMYFUNCTION("""COMPUTED_VALUE"""),21.0)</f>
        <v>21</v>
      </c>
      <c r="H1704" s="20" t="str">
        <f>IFERROR(__xludf.DUMMYFUNCTION("""COMPUTED_VALUE"""),"Algorithms")</f>
        <v>Algorithms</v>
      </c>
      <c r="I1704" s="20">
        <f>IFERROR(__xludf.DUMMYFUNCTION("""COMPUTED_VALUE"""),0.425)</f>
        <v>0.425</v>
      </c>
      <c r="J1704" s="20">
        <f>IFERROR(__xludf.DUMMYFUNCTION("""COMPUTED_VALUE"""),1703.0)</f>
        <v>1703</v>
      </c>
      <c r="K1704" s="20" t="b">
        <f>IFERROR(__xludf.DUMMYFUNCTION("""COMPUTED_VALUE"""),FALSE)</f>
        <v>0</v>
      </c>
      <c r="L1704" s="20" t="str">
        <f>IFERROR(__xludf.DUMMYFUNCTION("""COMPUTED_VALUE"""),"Array;Greedy;Sliding Window;Prefix Sum;")</f>
        <v>Array;Greedy;Sliding Window;Prefix Sum;</v>
      </c>
      <c r="M1704" s="20" t="b">
        <f>IFERROR(__xludf.DUMMYFUNCTION("""COMPUTED_VALUE"""),FALSE)</f>
        <v>0</v>
      </c>
      <c r="N1704" s="20" t="b">
        <f>IFERROR(__xludf.DUMMYFUNCTION("""COMPUTED_VALUE"""),FALSE)</f>
        <v>0</v>
      </c>
      <c r="O1704" s="20">
        <f>IFERROR(__xludf.DUMMYFUNCTION("""COMPUTED_VALUE"""),42.4690307831357)</f>
        <v>42.46903078</v>
      </c>
      <c r="P1704" s="20">
        <f>IFERROR(__xludf.DUMMYFUNCTION("""COMPUTED_VALUE"""),7988.0)</f>
        <v>7988</v>
      </c>
      <c r="Q1704" s="20">
        <f>IFERROR(__xludf.DUMMYFUNCTION("""COMPUTED_VALUE"""),18809.0)</f>
        <v>18809</v>
      </c>
    </row>
    <row r="1705">
      <c r="A1705" s="20">
        <f>IFERROR(__xludf.DUMMYFUNCTION("""COMPUTED_VALUE"""),1823.0)</f>
        <v>1823</v>
      </c>
      <c r="B1705" s="20" t="str">
        <f>IFERROR(__xludf.DUMMYFUNCTION("""COMPUTED_VALUE"""),"Determine if String Halves Are Alike")</f>
        <v>Determine if String Halves Are Alike</v>
      </c>
      <c r="C1705" s="20" t="str">
        <f>IFERROR(__xludf.DUMMYFUNCTION("""COMPUTED_VALUE"""),"determine-if-string-halves-are-alike")</f>
        <v>determine-if-string-halves-are-alike</v>
      </c>
      <c r="D1705" s="20" t="b">
        <f>IFERROR(__xludf.DUMMYFUNCTION("""COMPUTED_VALUE"""),FALSE)</f>
        <v>0</v>
      </c>
      <c r="E1705" s="20" t="str">
        <f>IFERROR(__xludf.DUMMYFUNCTION("""COMPUTED_VALUE"""),"Easy")</f>
        <v>Easy</v>
      </c>
      <c r="F1705" s="20">
        <f>IFERROR(__xludf.DUMMYFUNCTION("""COMPUTED_VALUE"""),1583.0)</f>
        <v>1583</v>
      </c>
      <c r="G1705" s="20">
        <f>IFERROR(__xludf.DUMMYFUNCTION("""COMPUTED_VALUE"""),79.0)</f>
        <v>79</v>
      </c>
      <c r="H1705" s="20" t="str">
        <f>IFERROR(__xludf.DUMMYFUNCTION("""COMPUTED_VALUE"""),"Algorithms")</f>
        <v>Algorithms</v>
      </c>
      <c r="I1705" s="20">
        <f>IFERROR(__xludf.DUMMYFUNCTION("""COMPUTED_VALUE"""),0.779)</f>
        <v>0.779</v>
      </c>
      <c r="J1705" s="20">
        <f>IFERROR(__xludf.DUMMYFUNCTION("""COMPUTED_VALUE"""),1704.0)</f>
        <v>1704</v>
      </c>
      <c r="K1705" s="20" t="b">
        <f>IFERROR(__xludf.DUMMYFUNCTION("""COMPUTED_VALUE"""),FALSE)</f>
        <v>0</v>
      </c>
      <c r="L1705" s="20" t="str">
        <f>IFERROR(__xludf.DUMMYFUNCTION("""COMPUTED_VALUE"""),"String;Counting;")</f>
        <v>String;Counting;</v>
      </c>
      <c r="M1705" s="20" t="b">
        <f>IFERROR(__xludf.DUMMYFUNCTION("""COMPUTED_VALUE"""),TRUE)</f>
        <v>1</v>
      </c>
      <c r="N1705" s="20" t="b">
        <f>IFERROR(__xludf.DUMMYFUNCTION("""COMPUTED_VALUE"""),FALSE)</f>
        <v>0</v>
      </c>
      <c r="O1705" s="20">
        <f>IFERROR(__xludf.DUMMYFUNCTION("""COMPUTED_VALUE"""),77.8920319604085)</f>
        <v>77.89203196</v>
      </c>
      <c r="P1705" s="20">
        <f>IFERROR(__xludf.DUMMYFUNCTION("""COMPUTED_VALUE"""),180054.0)</f>
        <v>180054</v>
      </c>
      <c r="Q1705" s="20">
        <f>IFERROR(__xludf.DUMMYFUNCTION("""COMPUTED_VALUE"""),231158.0)</f>
        <v>231158</v>
      </c>
    </row>
    <row r="1706">
      <c r="A1706" s="20">
        <f>IFERROR(__xludf.DUMMYFUNCTION("""COMPUTED_VALUE"""),1824.0)</f>
        <v>1824</v>
      </c>
      <c r="B1706" s="20" t="str">
        <f>IFERROR(__xludf.DUMMYFUNCTION("""COMPUTED_VALUE"""),"Maximum Number of Eaten Apples")</f>
        <v>Maximum Number of Eaten Apples</v>
      </c>
      <c r="C1706" s="20" t="str">
        <f>IFERROR(__xludf.DUMMYFUNCTION("""COMPUTED_VALUE"""),"maximum-number-of-eaten-apples")</f>
        <v>maximum-number-of-eaten-apples</v>
      </c>
      <c r="D1706" s="20" t="b">
        <f>IFERROR(__xludf.DUMMYFUNCTION("""COMPUTED_VALUE"""),FALSE)</f>
        <v>0</v>
      </c>
      <c r="E1706" s="20" t="str">
        <f>IFERROR(__xludf.DUMMYFUNCTION("""COMPUTED_VALUE"""),"Medium")</f>
        <v>Medium</v>
      </c>
      <c r="F1706" s="20">
        <f>IFERROR(__xludf.DUMMYFUNCTION("""COMPUTED_VALUE"""),656.0)</f>
        <v>656</v>
      </c>
      <c r="G1706" s="20">
        <f>IFERROR(__xludf.DUMMYFUNCTION("""COMPUTED_VALUE"""),165.0)</f>
        <v>165</v>
      </c>
      <c r="H1706" s="20" t="str">
        <f>IFERROR(__xludf.DUMMYFUNCTION("""COMPUTED_VALUE"""),"Algorithms")</f>
        <v>Algorithms</v>
      </c>
      <c r="I1706" s="20">
        <f>IFERROR(__xludf.DUMMYFUNCTION("""COMPUTED_VALUE"""),0.377)</f>
        <v>0.377</v>
      </c>
      <c r="J1706" s="20">
        <f>IFERROR(__xludf.DUMMYFUNCTION("""COMPUTED_VALUE"""),1705.0)</f>
        <v>1705</v>
      </c>
      <c r="K1706" s="20" t="b">
        <f>IFERROR(__xludf.DUMMYFUNCTION("""COMPUTED_VALUE"""),FALSE)</f>
        <v>0</v>
      </c>
      <c r="L1706" s="20" t="str">
        <f>IFERROR(__xludf.DUMMYFUNCTION("""COMPUTED_VALUE"""),"Array;Greedy;Heap (Priority Queue);")</f>
        <v>Array;Greedy;Heap (Priority Queue);</v>
      </c>
      <c r="M1706" s="20" t="b">
        <f>IFERROR(__xludf.DUMMYFUNCTION("""COMPUTED_VALUE"""),FALSE)</f>
        <v>0</v>
      </c>
      <c r="N1706" s="20" t="b">
        <f>IFERROR(__xludf.DUMMYFUNCTION("""COMPUTED_VALUE"""),FALSE)</f>
        <v>0</v>
      </c>
      <c r="O1706" s="20">
        <f>IFERROR(__xludf.DUMMYFUNCTION("""COMPUTED_VALUE"""),37.7214448557863)</f>
        <v>37.72144486</v>
      </c>
      <c r="P1706" s="20">
        <f>IFERROR(__xludf.DUMMYFUNCTION("""COMPUTED_VALUE"""),18035.0)</f>
        <v>18035</v>
      </c>
      <c r="Q1706" s="20">
        <f>IFERROR(__xludf.DUMMYFUNCTION("""COMPUTED_VALUE"""),47811.0)</f>
        <v>47811</v>
      </c>
    </row>
    <row r="1707">
      <c r="A1707" s="20">
        <f>IFERROR(__xludf.DUMMYFUNCTION("""COMPUTED_VALUE"""),1324.0)</f>
        <v>1324</v>
      </c>
      <c r="B1707" s="20" t="str">
        <f>IFERROR(__xludf.DUMMYFUNCTION("""COMPUTED_VALUE"""),"Where Will the Ball Fall")</f>
        <v>Where Will the Ball Fall</v>
      </c>
      <c r="C1707" s="20" t="str">
        <f>IFERROR(__xludf.DUMMYFUNCTION("""COMPUTED_VALUE"""),"where-will-the-ball-fall")</f>
        <v>where-will-the-ball-fall</v>
      </c>
      <c r="D1707" s="20" t="b">
        <f>IFERROR(__xludf.DUMMYFUNCTION("""COMPUTED_VALUE"""),FALSE)</f>
        <v>0</v>
      </c>
      <c r="E1707" s="20" t="str">
        <f>IFERROR(__xludf.DUMMYFUNCTION("""COMPUTED_VALUE"""),"Medium")</f>
        <v>Medium</v>
      </c>
      <c r="F1707" s="20">
        <f>IFERROR(__xludf.DUMMYFUNCTION("""COMPUTED_VALUE"""),2646.0)</f>
        <v>2646</v>
      </c>
      <c r="G1707" s="20">
        <f>IFERROR(__xludf.DUMMYFUNCTION("""COMPUTED_VALUE"""),153.0)</f>
        <v>153</v>
      </c>
      <c r="H1707" s="20" t="str">
        <f>IFERROR(__xludf.DUMMYFUNCTION("""COMPUTED_VALUE"""),"Algorithms")</f>
        <v>Algorithms</v>
      </c>
      <c r="I1707" s="20">
        <f>IFERROR(__xludf.DUMMYFUNCTION("""COMPUTED_VALUE"""),0.716)</f>
        <v>0.716</v>
      </c>
      <c r="J1707" s="20">
        <f>IFERROR(__xludf.DUMMYFUNCTION("""COMPUTED_VALUE"""),1706.0)</f>
        <v>1706</v>
      </c>
      <c r="K1707" s="20" t="b">
        <f>IFERROR(__xludf.DUMMYFUNCTION("""COMPUTED_VALUE"""),FALSE)</f>
        <v>0</v>
      </c>
      <c r="L1707" s="20" t="str">
        <f>IFERROR(__xludf.DUMMYFUNCTION("""COMPUTED_VALUE"""),"Array;Dynamic Programming;Depth-First Search;Matrix;Simulation;")</f>
        <v>Array;Dynamic Programming;Depth-First Search;Matrix;Simulation;</v>
      </c>
      <c r="M1707" s="20" t="b">
        <f>IFERROR(__xludf.DUMMYFUNCTION("""COMPUTED_VALUE"""),TRUE)</f>
        <v>1</v>
      </c>
      <c r="N1707" s="20" t="b">
        <f>IFERROR(__xludf.DUMMYFUNCTION("""COMPUTED_VALUE"""),FALSE)</f>
        <v>0</v>
      </c>
      <c r="O1707" s="20">
        <f>IFERROR(__xludf.DUMMYFUNCTION("""COMPUTED_VALUE"""),71.5748336267495)</f>
        <v>71.57483363</v>
      </c>
      <c r="P1707" s="20">
        <f>IFERROR(__xludf.DUMMYFUNCTION("""COMPUTED_VALUE"""),114646.0)</f>
        <v>114646</v>
      </c>
      <c r="Q1707" s="20">
        <f>IFERROR(__xludf.DUMMYFUNCTION("""COMPUTED_VALUE"""),160178.0)</f>
        <v>160178</v>
      </c>
    </row>
    <row r="1708">
      <c r="A1708" s="20">
        <f>IFERROR(__xludf.DUMMYFUNCTION("""COMPUTED_VALUE"""),1826.0)</f>
        <v>1826</v>
      </c>
      <c r="B1708" s="20" t="str">
        <f>IFERROR(__xludf.DUMMYFUNCTION("""COMPUTED_VALUE"""),"Maximum XOR With an Element From Array")</f>
        <v>Maximum XOR With an Element From Array</v>
      </c>
      <c r="C1708" s="20" t="str">
        <f>IFERROR(__xludf.DUMMYFUNCTION("""COMPUTED_VALUE"""),"maximum-xor-with-an-element-from-array")</f>
        <v>maximum-xor-with-an-element-from-array</v>
      </c>
      <c r="D1708" s="20" t="b">
        <f>IFERROR(__xludf.DUMMYFUNCTION("""COMPUTED_VALUE"""),FALSE)</f>
        <v>0</v>
      </c>
      <c r="E1708" s="20" t="str">
        <f>IFERROR(__xludf.DUMMYFUNCTION("""COMPUTED_VALUE"""),"Hard")</f>
        <v>Hard</v>
      </c>
      <c r="F1708" s="20">
        <f>IFERROR(__xludf.DUMMYFUNCTION("""COMPUTED_VALUE"""),839.0)</f>
        <v>839</v>
      </c>
      <c r="G1708" s="20">
        <f>IFERROR(__xludf.DUMMYFUNCTION("""COMPUTED_VALUE"""),27.0)</f>
        <v>27</v>
      </c>
      <c r="H1708" s="20" t="str">
        <f>IFERROR(__xludf.DUMMYFUNCTION("""COMPUTED_VALUE"""),"Algorithms")</f>
        <v>Algorithms</v>
      </c>
      <c r="I1708" s="20">
        <f>IFERROR(__xludf.DUMMYFUNCTION("""COMPUTED_VALUE"""),0.445)</f>
        <v>0.445</v>
      </c>
      <c r="J1708" s="20">
        <f>IFERROR(__xludf.DUMMYFUNCTION("""COMPUTED_VALUE"""),1707.0)</f>
        <v>1707</v>
      </c>
      <c r="K1708" s="20" t="b">
        <f>IFERROR(__xludf.DUMMYFUNCTION("""COMPUTED_VALUE"""),FALSE)</f>
        <v>0</v>
      </c>
      <c r="L1708" s="20" t="str">
        <f>IFERROR(__xludf.DUMMYFUNCTION("""COMPUTED_VALUE"""),"Array;Bit Manipulation;Trie;")</f>
        <v>Array;Bit Manipulation;Trie;</v>
      </c>
      <c r="M1708" s="20" t="b">
        <f>IFERROR(__xludf.DUMMYFUNCTION("""COMPUTED_VALUE"""),FALSE)</f>
        <v>0</v>
      </c>
      <c r="N1708" s="20" t="b">
        <f>IFERROR(__xludf.DUMMYFUNCTION("""COMPUTED_VALUE"""),FALSE)</f>
        <v>0</v>
      </c>
      <c r="O1708" s="20">
        <f>IFERROR(__xludf.DUMMYFUNCTION("""COMPUTED_VALUE"""),44.5114017667602)</f>
        <v>44.51140177</v>
      </c>
      <c r="P1708" s="20">
        <f>IFERROR(__xludf.DUMMYFUNCTION("""COMPUTED_VALUE"""),12999.0)</f>
        <v>12999</v>
      </c>
      <c r="Q1708" s="20">
        <f>IFERROR(__xludf.DUMMYFUNCTION("""COMPUTED_VALUE"""),29205.0)</f>
        <v>29205</v>
      </c>
    </row>
    <row r="1709">
      <c r="A1709" s="20">
        <f>IFERROR(__xludf.DUMMYFUNCTION("""COMPUTED_VALUE"""),1847.0)</f>
        <v>1847</v>
      </c>
      <c r="B1709" s="20" t="str">
        <f>IFERROR(__xludf.DUMMYFUNCTION("""COMPUTED_VALUE"""),"Largest Subarray Length K")</f>
        <v>Largest Subarray Length K</v>
      </c>
      <c r="C1709" s="20" t="str">
        <f>IFERROR(__xludf.DUMMYFUNCTION("""COMPUTED_VALUE"""),"largest-subarray-length-k")</f>
        <v>largest-subarray-length-k</v>
      </c>
      <c r="D1709" s="20" t="b">
        <f>IFERROR(__xludf.DUMMYFUNCTION("""COMPUTED_VALUE"""),TRUE)</f>
        <v>1</v>
      </c>
      <c r="E1709" s="20" t="str">
        <f>IFERROR(__xludf.DUMMYFUNCTION("""COMPUTED_VALUE"""),"Easy")</f>
        <v>Easy</v>
      </c>
      <c r="F1709" s="20">
        <f>IFERROR(__xludf.DUMMYFUNCTION("""COMPUTED_VALUE"""),85.0)</f>
        <v>85</v>
      </c>
      <c r="G1709" s="20">
        <f>IFERROR(__xludf.DUMMYFUNCTION("""COMPUTED_VALUE"""),102.0)</f>
        <v>102</v>
      </c>
      <c r="H1709" s="20" t="str">
        <f>IFERROR(__xludf.DUMMYFUNCTION("""COMPUTED_VALUE"""),"Algorithms")</f>
        <v>Algorithms</v>
      </c>
      <c r="I1709" s="20">
        <f>IFERROR(__xludf.DUMMYFUNCTION("""COMPUTED_VALUE"""),0.638)</f>
        <v>0.638</v>
      </c>
      <c r="J1709" s="20">
        <f>IFERROR(__xludf.DUMMYFUNCTION("""COMPUTED_VALUE"""),1708.0)</f>
        <v>1708</v>
      </c>
      <c r="K1709" s="20" t="b">
        <f>IFERROR(__xludf.DUMMYFUNCTION("""COMPUTED_VALUE"""),TRUE)</f>
        <v>1</v>
      </c>
      <c r="L1709" s="20" t="str">
        <f>IFERROR(__xludf.DUMMYFUNCTION("""COMPUTED_VALUE"""),"Array;Greedy;")</f>
        <v>Array;Greedy;</v>
      </c>
      <c r="M1709" s="20" t="b">
        <f>IFERROR(__xludf.DUMMYFUNCTION("""COMPUTED_VALUE"""),FALSE)</f>
        <v>0</v>
      </c>
      <c r="N1709" s="20" t="b">
        <f>IFERROR(__xludf.DUMMYFUNCTION("""COMPUTED_VALUE"""),FALSE)</f>
        <v>0</v>
      </c>
      <c r="O1709" s="20">
        <f>IFERROR(__xludf.DUMMYFUNCTION("""COMPUTED_VALUE"""),63.7585785465826)</f>
        <v>63.75857855</v>
      </c>
      <c r="P1709" s="20">
        <f>IFERROR(__xludf.DUMMYFUNCTION("""COMPUTED_VALUE"""),6782.0)</f>
        <v>6782</v>
      </c>
      <c r="Q1709" s="20">
        <f>IFERROR(__xludf.DUMMYFUNCTION("""COMPUTED_VALUE"""),10637.0)</f>
        <v>10637</v>
      </c>
    </row>
    <row r="1710">
      <c r="A1710" s="20">
        <f>IFERROR(__xludf.DUMMYFUNCTION("""COMPUTED_VALUE"""),1852.0)</f>
        <v>1852</v>
      </c>
      <c r="B1710" s="20" t="str">
        <f>IFERROR(__xludf.DUMMYFUNCTION("""COMPUTED_VALUE"""),"Biggest Window Between Visits")</f>
        <v>Biggest Window Between Visits</v>
      </c>
      <c r="C1710" s="20" t="str">
        <f>IFERROR(__xludf.DUMMYFUNCTION("""COMPUTED_VALUE"""),"biggest-window-between-visits")</f>
        <v>biggest-window-between-visits</v>
      </c>
      <c r="D1710" s="20" t="b">
        <f>IFERROR(__xludf.DUMMYFUNCTION("""COMPUTED_VALUE"""),TRUE)</f>
        <v>1</v>
      </c>
      <c r="E1710" s="20" t="str">
        <f>IFERROR(__xludf.DUMMYFUNCTION("""COMPUTED_VALUE"""),"Medium")</f>
        <v>Medium</v>
      </c>
      <c r="F1710" s="20">
        <f>IFERROR(__xludf.DUMMYFUNCTION("""COMPUTED_VALUE"""),158.0)</f>
        <v>158</v>
      </c>
      <c r="G1710" s="20">
        <f>IFERROR(__xludf.DUMMYFUNCTION("""COMPUTED_VALUE"""),12.0)</f>
        <v>12</v>
      </c>
      <c r="H1710" s="20" t="str">
        <f>IFERROR(__xludf.DUMMYFUNCTION("""COMPUTED_VALUE"""),"Database")</f>
        <v>Database</v>
      </c>
      <c r="I1710" s="20">
        <f>IFERROR(__xludf.DUMMYFUNCTION("""COMPUTED_VALUE"""),0.767)</f>
        <v>0.767</v>
      </c>
      <c r="J1710" s="20">
        <f>IFERROR(__xludf.DUMMYFUNCTION("""COMPUTED_VALUE"""),1709.0)</f>
        <v>1709</v>
      </c>
      <c r="K1710" s="20" t="b">
        <f>IFERROR(__xludf.DUMMYFUNCTION("""COMPUTED_VALUE"""),TRUE)</f>
        <v>1</v>
      </c>
      <c r="L1710" s="20" t="str">
        <f>IFERROR(__xludf.DUMMYFUNCTION("""COMPUTED_VALUE"""),"Database;")</f>
        <v>Database;</v>
      </c>
      <c r="M1710" s="20" t="b">
        <f>IFERROR(__xludf.DUMMYFUNCTION("""COMPUTED_VALUE"""),FALSE)</f>
        <v>0</v>
      </c>
      <c r="N1710" s="20" t="b">
        <f>IFERROR(__xludf.DUMMYFUNCTION("""COMPUTED_VALUE"""),FALSE)</f>
        <v>0</v>
      </c>
      <c r="O1710" s="20">
        <f>IFERROR(__xludf.DUMMYFUNCTION("""COMPUTED_VALUE"""),76.707451609668)</f>
        <v>76.70745161</v>
      </c>
      <c r="P1710" s="20">
        <f>IFERROR(__xludf.DUMMYFUNCTION("""COMPUTED_VALUE"""),15297.0)</f>
        <v>15297</v>
      </c>
      <c r="Q1710" s="20">
        <f>IFERROR(__xludf.DUMMYFUNCTION("""COMPUTED_VALUE"""),19942.0)</f>
        <v>19942</v>
      </c>
    </row>
    <row r="1711">
      <c r="A1711" s="20">
        <f>IFERROR(__xludf.DUMMYFUNCTION("""COMPUTED_VALUE"""),1829.0)</f>
        <v>1829</v>
      </c>
      <c r="B1711" s="20" t="str">
        <f>IFERROR(__xludf.DUMMYFUNCTION("""COMPUTED_VALUE"""),"Maximum Units on a Truck")</f>
        <v>Maximum Units on a Truck</v>
      </c>
      <c r="C1711" s="20" t="str">
        <f>IFERROR(__xludf.DUMMYFUNCTION("""COMPUTED_VALUE"""),"maximum-units-on-a-truck")</f>
        <v>maximum-units-on-a-truck</v>
      </c>
      <c r="D1711" s="20" t="b">
        <f>IFERROR(__xludf.DUMMYFUNCTION("""COMPUTED_VALUE"""),FALSE)</f>
        <v>0</v>
      </c>
      <c r="E1711" s="20" t="str">
        <f>IFERROR(__xludf.DUMMYFUNCTION("""COMPUTED_VALUE"""),"Easy")</f>
        <v>Easy</v>
      </c>
      <c r="F1711" s="20">
        <f>IFERROR(__xludf.DUMMYFUNCTION("""COMPUTED_VALUE"""),3282.0)</f>
        <v>3282</v>
      </c>
      <c r="G1711" s="20">
        <f>IFERROR(__xludf.DUMMYFUNCTION("""COMPUTED_VALUE"""),185.0)</f>
        <v>185</v>
      </c>
      <c r="H1711" s="20" t="str">
        <f>IFERROR(__xludf.DUMMYFUNCTION("""COMPUTED_VALUE"""),"Algorithms")</f>
        <v>Algorithms</v>
      </c>
      <c r="I1711" s="20">
        <f>IFERROR(__xludf.DUMMYFUNCTION("""COMPUTED_VALUE"""),0.739)</f>
        <v>0.739</v>
      </c>
      <c r="J1711" s="20">
        <f>IFERROR(__xludf.DUMMYFUNCTION("""COMPUTED_VALUE"""),1710.0)</f>
        <v>1710</v>
      </c>
      <c r="K1711" s="20" t="b">
        <f>IFERROR(__xludf.DUMMYFUNCTION("""COMPUTED_VALUE"""),FALSE)</f>
        <v>0</v>
      </c>
      <c r="L1711" s="20" t="str">
        <f>IFERROR(__xludf.DUMMYFUNCTION("""COMPUTED_VALUE"""),"Array;Greedy;Sorting;")</f>
        <v>Array;Greedy;Sorting;</v>
      </c>
      <c r="M1711" s="20" t="b">
        <f>IFERROR(__xludf.DUMMYFUNCTION("""COMPUTED_VALUE"""),TRUE)</f>
        <v>1</v>
      </c>
      <c r="N1711" s="20" t="b">
        <f>IFERROR(__xludf.DUMMYFUNCTION("""COMPUTED_VALUE"""),FALSE)</f>
        <v>0</v>
      </c>
      <c r="O1711" s="20">
        <f>IFERROR(__xludf.DUMMYFUNCTION("""COMPUTED_VALUE"""),73.8823148373066)</f>
        <v>73.88231484</v>
      </c>
      <c r="P1711" s="20">
        <f>IFERROR(__xludf.DUMMYFUNCTION("""COMPUTED_VALUE"""),255486.0)</f>
        <v>255486</v>
      </c>
      <c r="Q1711" s="20">
        <f>IFERROR(__xludf.DUMMYFUNCTION("""COMPUTED_VALUE"""),345802.0)</f>
        <v>345802</v>
      </c>
    </row>
    <row r="1712">
      <c r="A1712" s="20">
        <f>IFERROR(__xludf.DUMMYFUNCTION("""COMPUTED_VALUE"""),1830.0)</f>
        <v>1830</v>
      </c>
      <c r="B1712" s="20" t="str">
        <f>IFERROR(__xludf.DUMMYFUNCTION("""COMPUTED_VALUE"""),"Count Good Meals")</f>
        <v>Count Good Meals</v>
      </c>
      <c r="C1712" s="20" t="str">
        <f>IFERROR(__xludf.DUMMYFUNCTION("""COMPUTED_VALUE"""),"count-good-meals")</f>
        <v>count-good-meals</v>
      </c>
      <c r="D1712" s="20" t="b">
        <f>IFERROR(__xludf.DUMMYFUNCTION("""COMPUTED_VALUE"""),FALSE)</f>
        <v>0</v>
      </c>
      <c r="E1712" s="20" t="str">
        <f>IFERROR(__xludf.DUMMYFUNCTION("""COMPUTED_VALUE"""),"Medium")</f>
        <v>Medium</v>
      </c>
      <c r="F1712" s="20">
        <f>IFERROR(__xludf.DUMMYFUNCTION("""COMPUTED_VALUE"""),786.0)</f>
        <v>786</v>
      </c>
      <c r="G1712" s="20">
        <f>IFERROR(__xludf.DUMMYFUNCTION("""COMPUTED_VALUE"""),219.0)</f>
        <v>219</v>
      </c>
      <c r="H1712" s="20" t="str">
        <f>IFERROR(__xludf.DUMMYFUNCTION("""COMPUTED_VALUE"""),"Algorithms")</f>
        <v>Algorithms</v>
      </c>
      <c r="I1712" s="20">
        <f>IFERROR(__xludf.DUMMYFUNCTION("""COMPUTED_VALUE"""),0.291)</f>
        <v>0.291</v>
      </c>
      <c r="J1712" s="20">
        <f>IFERROR(__xludf.DUMMYFUNCTION("""COMPUTED_VALUE"""),1711.0)</f>
        <v>1711</v>
      </c>
      <c r="K1712" s="20" t="b">
        <f>IFERROR(__xludf.DUMMYFUNCTION("""COMPUTED_VALUE"""),FALSE)</f>
        <v>0</v>
      </c>
      <c r="L1712" s="20" t="str">
        <f>IFERROR(__xludf.DUMMYFUNCTION("""COMPUTED_VALUE"""),"Array;Hash Table;")</f>
        <v>Array;Hash Table;</v>
      </c>
      <c r="M1712" s="20" t="b">
        <f>IFERROR(__xludf.DUMMYFUNCTION("""COMPUTED_VALUE"""),FALSE)</f>
        <v>0</v>
      </c>
      <c r="N1712" s="20" t="b">
        <f>IFERROR(__xludf.DUMMYFUNCTION("""COMPUTED_VALUE"""),FALSE)</f>
        <v>0</v>
      </c>
      <c r="O1712" s="20">
        <f>IFERROR(__xludf.DUMMYFUNCTION("""COMPUTED_VALUE"""),29.1217125032195)</f>
        <v>29.1217125</v>
      </c>
      <c r="P1712" s="20">
        <f>IFERROR(__xludf.DUMMYFUNCTION("""COMPUTED_VALUE"""),30528.0)</f>
        <v>30528</v>
      </c>
      <c r="Q1712" s="20">
        <f>IFERROR(__xludf.DUMMYFUNCTION("""COMPUTED_VALUE"""),104828.0)</f>
        <v>104828</v>
      </c>
    </row>
    <row r="1713">
      <c r="A1713" s="20">
        <f>IFERROR(__xludf.DUMMYFUNCTION("""COMPUTED_VALUE"""),1831.0)</f>
        <v>1831</v>
      </c>
      <c r="B1713" s="20" t="str">
        <f>IFERROR(__xludf.DUMMYFUNCTION("""COMPUTED_VALUE"""),"Ways to Split Array Into Three Subarrays")</f>
        <v>Ways to Split Array Into Three Subarrays</v>
      </c>
      <c r="C1713" s="20" t="str">
        <f>IFERROR(__xludf.DUMMYFUNCTION("""COMPUTED_VALUE"""),"ways-to-split-array-into-three-subarrays")</f>
        <v>ways-to-split-array-into-three-subarrays</v>
      </c>
      <c r="D1713" s="20" t="b">
        <f>IFERROR(__xludf.DUMMYFUNCTION("""COMPUTED_VALUE"""),FALSE)</f>
        <v>0</v>
      </c>
      <c r="E1713" s="20" t="str">
        <f>IFERROR(__xludf.DUMMYFUNCTION("""COMPUTED_VALUE"""),"Medium")</f>
        <v>Medium</v>
      </c>
      <c r="F1713" s="20">
        <f>IFERROR(__xludf.DUMMYFUNCTION("""COMPUTED_VALUE"""),1113.0)</f>
        <v>1113</v>
      </c>
      <c r="G1713" s="20">
        <f>IFERROR(__xludf.DUMMYFUNCTION("""COMPUTED_VALUE"""),88.0)</f>
        <v>88</v>
      </c>
      <c r="H1713" s="20" t="str">
        <f>IFERROR(__xludf.DUMMYFUNCTION("""COMPUTED_VALUE"""),"Algorithms")</f>
        <v>Algorithms</v>
      </c>
      <c r="I1713" s="20">
        <f>IFERROR(__xludf.DUMMYFUNCTION("""COMPUTED_VALUE"""),0.326)</f>
        <v>0.326</v>
      </c>
      <c r="J1713" s="20">
        <f>IFERROR(__xludf.DUMMYFUNCTION("""COMPUTED_VALUE"""),1712.0)</f>
        <v>1712</v>
      </c>
      <c r="K1713" s="20" t="b">
        <f>IFERROR(__xludf.DUMMYFUNCTION("""COMPUTED_VALUE"""),FALSE)</f>
        <v>0</v>
      </c>
      <c r="L1713" s="20" t="str">
        <f>IFERROR(__xludf.DUMMYFUNCTION("""COMPUTED_VALUE"""),"Array;Two Pointers;Binary Search;Prefix Sum;")</f>
        <v>Array;Two Pointers;Binary Search;Prefix Sum;</v>
      </c>
      <c r="M1713" s="20" t="b">
        <f>IFERROR(__xludf.DUMMYFUNCTION("""COMPUTED_VALUE"""),FALSE)</f>
        <v>0</v>
      </c>
      <c r="N1713" s="20" t="b">
        <f>IFERROR(__xludf.DUMMYFUNCTION("""COMPUTED_VALUE"""),FALSE)</f>
        <v>0</v>
      </c>
      <c r="O1713" s="20">
        <f>IFERROR(__xludf.DUMMYFUNCTION("""COMPUTED_VALUE"""),32.5827275961978)</f>
        <v>32.5827276</v>
      </c>
      <c r="P1713" s="20">
        <f>IFERROR(__xludf.DUMMYFUNCTION("""COMPUTED_VALUE"""),25640.0)</f>
        <v>25640</v>
      </c>
      <c r="Q1713" s="20">
        <f>IFERROR(__xludf.DUMMYFUNCTION("""COMPUTED_VALUE"""),78692.0)</f>
        <v>78692</v>
      </c>
    </row>
    <row r="1714">
      <c r="A1714" s="20">
        <f>IFERROR(__xludf.DUMMYFUNCTION("""COMPUTED_VALUE"""),1832.0)</f>
        <v>1832</v>
      </c>
      <c r="B1714" s="20" t="str">
        <f>IFERROR(__xludf.DUMMYFUNCTION("""COMPUTED_VALUE"""),"Minimum Operations to Make a Subsequence")</f>
        <v>Minimum Operations to Make a Subsequence</v>
      </c>
      <c r="C1714" s="20" t="str">
        <f>IFERROR(__xludf.DUMMYFUNCTION("""COMPUTED_VALUE"""),"minimum-operations-to-make-a-subsequence")</f>
        <v>minimum-operations-to-make-a-subsequence</v>
      </c>
      <c r="D1714" s="20" t="b">
        <f>IFERROR(__xludf.DUMMYFUNCTION("""COMPUTED_VALUE"""),FALSE)</f>
        <v>0</v>
      </c>
      <c r="E1714" s="20" t="str">
        <f>IFERROR(__xludf.DUMMYFUNCTION("""COMPUTED_VALUE"""),"Hard")</f>
        <v>Hard</v>
      </c>
      <c r="F1714" s="20">
        <f>IFERROR(__xludf.DUMMYFUNCTION("""COMPUTED_VALUE"""),535.0)</f>
        <v>535</v>
      </c>
      <c r="G1714" s="20">
        <f>IFERROR(__xludf.DUMMYFUNCTION("""COMPUTED_VALUE"""),9.0)</f>
        <v>9</v>
      </c>
      <c r="H1714" s="20" t="str">
        <f>IFERROR(__xludf.DUMMYFUNCTION("""COMPUTED_VALUE"""),"Algorithms")</f>
        <v>Algorithms</v>
      </c>
      <c r="I1714" s="20">
        <f>IFERROR(__xludf.DUMMYFUNCTION("""COMPUTED_VALUE"""),0.49)</f>
        <v>0.49</v>
      </c>
      <c r="J1714" s="20">
        <f>IFERROR(__xludf.DUMMYFUNCTION("""COMPUTED_VALUE"""),1713.0)</f>
        <v>1713</v>
      </c>
      <c r="K1714" s="20" t="b">
        <f>IFERROR(__xludf.DUMMYFUNCTION("""COMPUTED_VALUE"""),FALSE)</f>
        <v>0</v>
      </c>
      <c r="L1714" s="20" t="str">
        <f>IFERROR(__xludf.DUMMYFUNCTION("""COMPUTED_VALUE"""),"Array;Hash Table;Binary Search;Greedy;")</f>
        <v>Array;Hash Table;Binary Search;Greedy;</v>
      </c>
      <c r="M1714" s="20" t="b">
        <f>IFERROR(__xludf.DUMMYFUNCTION("""COMPUTED_VALUE"""),FALSE)</f>
        <v>0</v>
      </c>
      <c r="N1714" s="20" t="b">
        <f>IFERROR(__xludf.DUMMYFUNCTION("""COMPUTED_VALUE"""),FALSE)</f>
        <v>0</v>
      </c>
      <c r="O1714" s="20">
        <f>IFERROR(__xludf.DUMMYFUNCTION("""COMPUTED_VALUE"""),49.006511938554)</f>
        <v>49.00651194</v>
      </c>
      <c r="P1714" s="20">
        <f>IFERROR(__xludf.DUMMYFUNCTION("""COMPUTED_VALUE"""),8804.0)</f>
        <v>8804</v>
      </c>
      <c r="Q1714" s="20">
        <f>IFERROR(__xludf.DUMMYFUNCTION("""COMPUTED_VALUE"""),17966.0)</f>
        <v>17966</v>
      </c>
    </row>
    <row r="1715">
      <c r="A1715" s="20">
        <f>IFERROR(__xludf.DUMMYFUNCTION("""COMPUTED_VALUE"""),1809.0)</f>
        <v>1809</v>
      </c>
      <c r="B1715" s="20" t="str">
        <f>IFERROR(__xludf.DUMMYFUNCTION("""COMPUTED_VALUE"""),"Sum Of Special Evenly-Spaced Elements In Array")</f>
        <v>Sum Of Special Evenly-Spaced Elements In Array</v>
      </c>
      <c r="C1715" s="20" t="str">
        <f>IFERROR(__xludf.DUMMYFUNCTION("""COMPUTED_VALUE"""),"sum-of-special-evenly-spaced-elements-in-array")</f>
        <v>sum-of-special-evenly-spaced-elements-in-array</v>
      </c>
      <c r="D1715" s="20" t="b">
        <f>IFERROR(__xludf.DUMMYFUNCTION("""COMPUTED_VALUE"""),TRUE)</f>
        <v>1</v>
      </c>
      <c r="E1715" s="20" t="str">
        <f>IFERROR(__xludf.DUMMYFUNCTION("""COMPUTED_VALUE"""),"Hard")</f>
        <v>Hard</v>
      </c>
      <c r="F1715" s="20">
        <f>IFERROR(__xludf.DUMMYFUNCTION("""COMPUTED_VALUE"""),23.0)</f>
        <v>23</v>
      </c>
      <c r="G1715" s="20">
        <f>IFERROR(__xludf.DUMMYFUNCTION("""COMPUTED_VALUE"""),21.0)</f>
        <v>21</v>
      </c>
      <c r="H1715" s="20" t="str">
        <f>IFERROR(__xludf.DUMMYFUNCTION("""COMPUTED_VALUE"""),"Algorithms")</f>
        <v>Algorithms</v>
      </c>
      <c r="I1715" s="20">
        <f>IFERROR(__xludf.DUMMYFUNCTION("""COMPUTED_VALUE"""),0.495)</f>
        <v>0.495</v>
      </c>
      <c r="J1715" s="20">
        <f>IFERROR(__xludf.DUMMYFUNCTION("""COMPUTED_VALUE"""),1714.0)</f>
        <v>1714</v>
      </c>
      <c r="K1715" s="20" t="b">
        <f>IFERROR(__xludf.DUMMYFUNCTION("""COMPUTED_VALUE"""),TRUE)</f>
        <v>1</v>
      </c>
      <c r="L1715" s="20" t="str">
        <f>IFERROR(__xludf.DUMMYFUNCTION("""COMPUTED_VALUE"""),"Array;Dynamic Programming;")</f>
        <v>Array;Dynamic Programming;</v>
      </c>
      <c r="M1715" s="20" t="b">
        <f>IFERROR(__xludf.DUMMYFUNCTION("""COMPUTED_VALUE"""),FALSE)</f>
        <v>0</v>
      </c>
      <c r="N1715" s="20" t="b">
        <f>IFERROR(__xludf.DUMMYFUNCTION("""COMPUTED_VALUE"""),FALSE)</f>
        <v>0</v>
      </c>
      <c r="O1715" s="20">
        <f>IFERROR(__xludf.DUMMYFUNCTION("""COMPUTED_VALUE"""),49.4808126410835)</f>
        <v>49.48081264</v>
      </c>
      <c r="P1715" s="20">
        <f>IFERROR(__xludf.DUMMYFUNCTION("""COMPUTED_VALUE"""),1096.0)</f>
        <v>1096</v>
      </c>
      <c r="Q1715" s="20">
        <f>IFERROR(__xludf.DUMMYFUNCTION("""COMPUTED_VALUE"""),2215.0)</f>
        <v>2215</v>
      </c>
    </row>
    <row r="1716">
      <c r="A1716" s="20">
        <f>IFERROR(__xludf.DUMMYFUNCTION("""COMPUTED_VALUE"""),1862.0)</f>
        <v>1862</v>
      </c>
      <c r="B1716" s="20" t="str">
        <f>IFERROR(__xludf.DUMMYFUNCTION("""COMPUTED_VALUE"""),"Count Apples and Oranges")</f>
        <v>Count Apples and Oranges</v>
      </c>
      <c r="C1716" s="20" t="str">
        <f>IFERROR(__xludf.DUMMYFUNCTION("""COMPUTED_VALUE"""),"count-apples-and-oranges")</f>
        <v>count-apples-and-oranges</v>
      </c>
      <c r="D1716" s="20" t="b">
        <f>IFERROR(__xludf.DUMMYFUNCTION("""COMPUTED_VALUE"""),TRUE)</f>
        <v>1</v>
      </c>
      <c r="E1716" s="20" t="str">
        <f>IFERROR(__xludf.DUMMYFUNCTION("""COMPUTED_VALUE"""),"Medium")</f>
        <v>Medium</v>
      </c>
      <c r="F1716" s="20">
        <f>IFERROR(__xludf.DUMMYFUNCTION("""COMPUTED_VALUE"""),64.0)</f>
        <v>64</v>
      </c>
      <c r="G1716" s="20">
        <f>IFERROR(__xludf.DUMMYFUNCTION("""COMPUTED_VALUE"""),18.0)</f>
        <v>18</v>
      </c>
      <c r="H1716" s="20" t="str">
        <f>IFERROR(__xludf.DUMMYFUNCTION("""COMPUTED_VALUE"""),"Database")</f>
        <v>Database</v>
      </c>
      <c r="I1716" s="20">
        <f>IFERROR(__xludf.DUMMYFUNCTION("""COMPUTED_VALUE"""),0.767)</f>
        <v>0.767</v>
      </c>
      <c r="J1716" s="20">
        <f>IFERROR(__xludf.DUMMYFUNCTION("""COMPUTED_VALUE"""),1715.0)</f>
        <v>1715</v>
      </c>
      <c r="K1716" s="20" t="b">
        <f>IFERROR(__xludf.DUMMYFUNCTION("""COMPUTED_VALUE"""),TRUE)</f>
        <v>1</v>
      </c>
      <c r="L1716" s="20" t="str">
        <f>IFERROR(__xludf.DUMMYFUNCTION("""COMPUTED_VALUE"""),"Database;")</f>
        <v>Database;</v>
      </c>
      <c r="M1716" s="20" t="b">
        <f>IFERROR(__xludf.DUMMYFUNCTION("""COMPUTED_VALUE"""),FALSE)</f>
        <v>0</v>
      </c>
      <c r="N1716" s="20" t="b">
        <f>IFERROR(__xludf.DUMMYFUNCTION("""COMPUTED_VALUE"""),FALSE)</f>
        <v>0</v>
      </c>
      <c r="O1716" s="20">
        <f>IFERROR(__xludf.DUMMYFUNCTION("""COMPUTED_VALUE"""),76.7186558671932)</f>
        <v>76.71865587</v>
      </c>
      <c r="P1716" s="20">
        <f>IFERROR(__xludf.DUMMYFUNCTION("""COMPUTED_VALUE"""),11461.0)</f>
        <v>11461</v>
      </c>
      <c r="Q1716" s="20">
        <f>IFERROR(__xludf.DUMMYFUNCTION("""COMPUTED_VALUE"""),14939.0)</f>
        <v>14939</v>
      </c>
    </row>
    <row r="1717">
      <c r="A1717" s="20">
        <f>IFERROR(__xludf.DUMMYFUNCTION("""COMPUTED_VALUE"""),1817.0)</f>
        <v>1817</v>
      </c>
      <c r="B1717" s="20" t="str">
        <f>IFERROR(__xludf.DUMMYFUNCTION("""COMPUTED_VALUE"""),"Calculate Money in Leetcode Bank")</f>
        <v>Calculate Money in Leetcode Bank</v>
      </c>
      <c r="C1717" s="20" t="str">
        <f>IFERROR(__xludf.DUMMYFUNCTION("""COMPUTED_VALUE"""),"calculate-money-in-leetcode-bank")</f>
        <v>calculate-money-in-leetcode-bank</v>
      </c>
      <c r="D1717" s="20" t="b">
        <f>IFERROR(__xludf.DUMMYFUNCTION("""COMPUTED_VALUE"""),FALSE)</f>
        <v>0</v>
      </c>
      <c r="E1717" s="20" t="str">
        <f>IFERROR(__xludf.DUMMYFUNCTION("""COMPUTED_VALUE"""),"Easy")</f>
        <v>Easy</v>
      </c>
      <c r="F1717" s="20">
        <f>IFERROR(__xludf.DUMMYFUNCTION("""COMPUTED_VALUE"""),516.0)</f>
        <v>516</v>
      </c>
      <c r="G1717" s="20">
        <f>IFERROR(__xludf.DUMMYFUNCTION("""COMPUTED_VALUE"""),16.0)</f>
        <v>16</v>
      </c>
      <c r="H1717" s="20" t="str">
        <f>IFERROR(__xludf.DUMMYFUNCTION("""COMPUTED_VALUE"""),"Algorithms")</f>
        <v>Algorithms</v>
      </c>
      <c r="I1717" s="20">
        <f>IFERROR(__xludf.DUMMYFUNCTION("""COMPUTED_VALUE"""),0.655)</f>
        <v>0.655</v>
      </c>
      <c r="J1717" s="20">
        <f>IFERROR(__xludf.DUMMYFUNCTION("""COMPUTED_VALUE"""),1716.0)</f>
        <v>1716</v>
      </c>
      <c r="K1717" s="20" t="b">
        <f>IFERROR(__xludf.DUMMYFUNCTION("""COMPUTED_VALUE"""),FALSE)</f>
        <v>0</v>
      </c>
      <c r="L1717" s="20" t="str">
        <f>IFERROR(__xludf.DUMMYFUNCTION("""COMPUTED_VALUE"""),"Math;")</f>
        <v>Math;</v>
      </c>
      <c r="M1717" s="20" t="b">
        <f>IFERROR(__xludf.DUMMYFUNCTION("""COMPUTED_VALUE"""),FALSE)</f>
        <v>0</v>
      </c>
      <c r="N1717" s="20" t="b">
        <f>IFERROR(__xludf.DUMMYFUNCTION("""COMPUTED_VALUE"""),FALSE)</f>
        <v>0</v>
      </c>
      <c r="O1717" s="20">
        <f>IFERROR(__xludf.DUMMYFUNCTION("""COMPUTED_VALUE"""),65.4882033971343)</f>
        <v>65.4882034</v>
      </c>
      <c r="P1717" s="20">
        <f>IFERROR(__xludf.DUMMYFUNCTION("""COMPUTED_VALUE"""),36473.0)</f>
        <v>36473</v>
      </c>
      <c r="Q1717" s="20">
        <f>IFERROR(__xludf.DUMMYFUNCTION("""COMPUTED_VALUE"""),55694.0)</f>
        <v>55694</v>
      </c>
    </row>
    <row r="1718">
      <c r="A1718" s="20">
        <f>IFERROR(__xludf.DUMMYFUNCTION("""COMPUTED_VALUE"""),1818.0)</f>
        <v>1818</v>
      </c>
      <c r="B1718" s="20" t="str">
        <f>IFERROR(__xludf.DUMMYFUNCTION("""COMPUTED_VALUE"""),"Maximum Score From Removing Substrings")</f>
        <v>Maximum Score From Removing Substrings</v>
      </c>
      <c r="C1718" s="20" t="str">
        <f>IFERROR(__xludf.DUMMYFUNCTION("""COMPUTED_VALUE"""),"maximum-score-from-removing-substrings")</f>
        <v>maximum-score-from-removing-substrings</v>
      </c>
      <c r="D1718" s="20" t="b">
        <f>IFERROR(__xludf.DUMMYFUNCTION("""COMPUTED_VALUE"""),FALSE)</f>
        <v>0</v>
      </c>
      <c r="E1718" s="20" t="str">
        <f>IFERROR(__xludf.DUMMYFUNCTION("""COMPUTED_VALUE"""),"Medium")</f>
        <v>Medium</v>
      </c>
      <c r="F1718" s="20">
        <f>IFERROR(__xludf.DUMMYFUNCTION("""COMPUTED_VALUE"""),514.0)</f>
        <v>514</v>
      </c>
      <c r="G1718" s="20">
        <f>IFERROR(__xludf.DUMMYFUNCTION("""COMPUTED_VALUE"""),28.0)</f>
        <v>28</v>
      </c>
      <c r="H1718" s="20" t="str">
        <f>IFERROR(__xludf.DUMMYFUNCTION("""COMPUTED_VALUE"""),"Algorithms")</f>
        <v>Algorithms</v>
      </c>
      <c r="I1718" s="20">
        <f>IFERROR(__xludf.DUMMYFUNCTION("""COMPUTED_VALUE"""),0.461)</f>
        <v>0.461</v>
      </c>
      <c r="J1718" s="20">
        <f>IFERROR(__xludf.DUMMYFUNCTION("""COMPUTED_VALUE"""),1717.0)</f>
        <v>1717</v>
      </c>
      <c r="K1718" s="20" t="b">
        <f>IFERROR(__xludf.DUMMYFUNCTION("""COMPUTED_VALUE"""),FALSE)</f>
        <v>0</v>
      </c>
      <c r="L1718" s="20" t="str">
        <f>IFERROR(__xludf.DUMMYFUNCTION("""COMPUTED_VALUE"""),"String;Stack;Greedy;")</f>
        <v>String;Stack;Greedy;</v>
      </c>
      <c r="M1718" s="20" t="b">
        <f>IFERROR(__xludf.DUMMYFUNCTION("""COMPUTED_VALUE"""),FALSE)</f>
        <v>0</v>
      </c>
      <c r="N1718" s="20" t="b">
        <f>IFERROR(__xludf.DUMMYFUNCTION("""COMPUTED_VALUE"""),FALSE)</f>
        <v>0</v>
      </c>
      <c r="O1718" s="20">
        <f>IFERROR(__xludf.DUMMYFUNCTION("""COMPUTED_VALUE"""),46.0575470948255)</f>
        <v>46.05754709</v>
      </c>
      <c r="P1718" s="20">
        <f>IFERROR(__xludf.DUMMYFUNCTION("""COMPUTED_VALUE"""),11589.0)</f>
        <v>11589</v>
      </c>
      <c r="Q1718" s="20">
        <f>IFERROR(__xludf.DUMMYFUNCTION("""COMPUTED_VALUE"""),25162.0)</f>
        <v>25162</v>
      </c>
    </row>
    <row r="1719">
      <c r="A1719" s="20">
        <f>IFERROR(__xludf.DUMMYFUNCTION("""COMPUTED_VALUE"""),1819.0)</f>
        <v>1819</v>
      </c>
      <c r="B1719" s="20" t="str">
        <f>IFERROR(__xludf.DUMMYFUNCTION("""COMPUTED_VALUE"""),"Construct the Lexicographically Largest Valid Sequence")</f>
        <v>Construct the Lexicographically Largest Valid Sequence</v>
      </c>
      <c r="C1719" s="20" t="str">
        <f>IFERROR(__xludf.DUMMYFUNCTION("""COMPUTED_VALUE"""),"construct-the-lexicographically-largest-valid-sequence")</f>
        <v>construct-the-lexicographically-largest-valid-sequence</v>
      </c>
      <c r="D1719" s="20" t="b">
        <f>IFERROR(__xludf.DUMMYFUNCTION("""COMPUTED_VALUE"""),FALSE)</f>
        <v>0</v>
      </c>
      <c r="E1719" s="20" t="str">
        <f>IFERROR(__xludf.DUMMYFUNCTION("""COMPUTED_VALUE"""),"Medium")</f>
        <v>Medium</v>
      </c>
      <c r="F1719" s="20">
        <f>IFERROR(__xludf.DUMMYFUNCTION("""COMPUTED_VALUE"""),446.0)</f>
        <v>446</v>
      </c>
      <c r="G1719" s="20">
        <f>IFERROR(__xludf.DUMMYFUNCTION("""COMPUTED_VALUE"""),38.0)</f>
        <v>38</v>
      </c>
      <c r="H1719" s="20" t="str">
        <f>IFERROR(__xludf.DUMMYFUNCTION("""COMPUTED_VALUE"""),"Algorithms")</f>
        <v>Algorithms</v>
      </c>
      <c r="I1719" s="20">
        <f>IFERROR(__xludf.DUMMYFUNCTION("""COMPUTED_VALUE"""),0.518)</f>
        <v>0.518</v>
      </c>
      <c r="J1719" s="20">
        <f>IFERROR(__xludf.DUMMYFUNCTION("""COMPUTED_VALUE"""),1718.0)</f>
        <v>1718</v>
      </c>
      <c r="K1719" s="20" t="b">
        <f>IFERROR(__xludf.DUMMYFUNCTION("""COMPUTED_VALUE"""),FALSE)</f>
        <v>0</v>
      </c>
      <c r="L1719" s="20" t="str">
        <f>IFERROR(__xludf.DUMMYFUNCTION("""COMPUTED_VALUE"""),"Array;Backtracking;")</f>
        <v>Array;Backtracking;</v>
      </c>
      <c r="M1719" s="20" t="b">
        <f>IFERROR(__xludf.DUMMYFUNCTION("""COMPUTED_VALUE"""),FALSE)</f>
        <v>0</v>
      </c>
      <c r="N1719" s="20" t="b">
        <f>IFERROR(__xludf.DUMMYFUNCTION("""COMPUTED_VALUE"""),FALSE)</f>
        <v>0</v>
      </c>
      <c r="O1719" s="20">
        <f>IFERROR(__xludf.DUMMYFUNCTION("""COMPUTED_VALUE"""),51.7911508017048)</f>
        <v>51.7911508</v>
      </c>
      <c r="P1719" s="20">
        <f>IFERROR(__xludf.DUMMYFUNCTION("""COMPUTED_VALUE"""),10207.0)</f>
        <v>10207</v>
      </c>
      <c r="Q1719" s="20">
        <f>IFERROR(__xludf.DUMMYFUNCTION("""COMPUTED_VALUE"""),19708.0)</f>
        <v>19708</v>
      </c>
    </row>
    <row r="1720">
      <c r="A1720" s="20">
        <f>IFERROR(__xludf.DUMMYFUNCTION("""COMPUTED_VALUE"""),1820.0)</f>
        <v>1820</v>
      </c>
      <c r="B1720" s="20" t="str">
        <f>IFERROR(__xludf.DUMMYFUNCTION("""COMPUTED_VALUE"""),"Number Of Ways To Reconstruct A Tree")</f>
        <v>Number Of Ways To Reconstruct A Tree</v>
      </c>
      <c r="C1720" s="20" t="str">
        <f>IFERROR(__xludf.DUMMYFUNCTION("""COMPUTED_VALUE"""),"number-of-ways-to-reconstruct-a-tree")</f>
        <v>number-of-ways-to-reconstruct-a-tree</v>
      </c>
      <c r="D1720" s="20" t="b">
        <f>IFERROR(__xludf.DUMMYFUNCTION("""COMPUTED_VALUE"""),FALSE)</f>
        <v>0</v>
      </c>
      <c r="E1720" s="20" t="str">
        <f>IFERROR(__xludf.DUMMYFUNCTION("""COMPUTED_VALUE"""),"Hard")</f>
        <v>Hard</v>
      </c>
      <c r="F1720" s="20">
        <f>IFERROR(__xludf.DUMMYFUNCTION("""COMPUTED_VALUE"""),177.0)</f>
        <v>177</v>
      </c>
      <c r="G1720" s="20">
        <f>IFERROR(__xludf.DUMMYFUNCTION("""COMPUTED_VALUE"""),125.0)</f>
        <v>125</v>
      </c>
      <c r="H1720" s="20" t="str">
        <f>IFERROR(__xludf.DUMMYFUNCTION("""COMPUTED_VALUE"""),"Algorithms")</f>
        <v>Algorithms</v>
      </c>
      <c r="I1720" s="20">
        <f>IFERROR(__xludf.DUMMYFUNCTION("""COMPUTED_VALUE"""),0.431)</f>
        <v>0.431</v>
      </c>
      <c r="J1720" s="20">
        <f>IFERROR(__xludf.DUMMYFUNCTION("""COMPUTED_VALUE"""),1719.0)</f>
        <v>1719</v>
      </c>
      <c r="K1720" s="20" t="b">
        <f>IFERROR(__xludf.DUMMYFUNCTION("""COMPUTED_VALUE"""),FALSE)</f>
        <v>0</v>
      </c>
      <c r="L1720" s="20" t="str">
        <f>IFERROR(__xludf.DUMMYFUNCTION("""COMPUTED_VALUE"""),"Tree;Graph;")</f>
        <v>Tree;Graph;</v>
      </c>
      <c r="M1720" s="20" t="b">
        <f>IFERROR(__xludf.DUMMYFUNCTION("""COMPUTED_VALUE"""),FALSE)</f>
        <v>0</v>
      </c>
      <c r="N1720" s="20" t="b">
        <f>IFERROR(__xludf.DUMMYFUNCTION("""COMPUTED_VALUE"""),FALSE)</f>
        <v>0</v>
      </c>
      <c r="O1720" s="20">
        <f>IFERROR(__xludf.DUMMYFUNCTION("""COMPUTED_VALUE"""),43.0601545253863)</f>
        <v>43.06015453</v>
      </c>
      <c r="P1720" s="20">
        <f>IFERROR(__xludf.DUMMYFUNCTION("""COMPUTED_VALUE"""),3121.0)</f>
        <v>3121</v>
      </c>
      <c r="Q1720" s="20">
        <f>IFERROR(__xludf.DUMMYFUNCTION("""COMPUTED_VALUE"""),7248.0)</f>
        <v>7248</v>
      </c>
    </row>
    <row r="1721">
      <c r="A1721" s="20">
        <f>IFERROR(__xludf.DUMMYFUNCTION("""COMPUTED_VALUE"""),1839.0)</f>
        <v>1839</v>
      </c>
      <c r="B1721" s="20" t="str">
        <f>IFERROR(__xludf.DUMMYFUNCTION("""COMPUTED_VALUE"""),"Decode XORed Array")</f>
        <v>Decode XORed Array</v>
      </c>
      <c r="C1721" s="20" t="str">
        <f>IFERROR(__xludf.DUMMYFUNCTION("""COMPUTED_VALUE"""),"decode-xored-array")</f>
        <v>decode-xored-array</v>
      </c>
      <c r="D1721" s="20" t="b">
        <f>IFERROR(__xludf.DUMMYFUNCTION("""COMPUTED_VALUE"""),FALSE)</f>
        <v>0</v>
      </c>
      <c r="E1721" s="20" t="str">
        <f>IFERROR(__xludf.DUMMYFUNCTION("""COMPUTED_VALUE"""),"Easy")</f>
        <v>Easy</v>
      </c>
      <c r="F1721" s="20">
        <f>IFERROR(__xludf.DUMMYFUNCTION("""COMPUTED_VALUE"""),1144.0)</f>
        <v>1144</v>
      </c>
      <c r="G1721" s="20">
        <f>IFERROR(__xludf.DUMMYFUNCTION("""COMPUTED_VALUE"""),177.0)</f>
        <v>177</v>
      </c>
      <c r="H1721" s="20" t="str">
        <f>IFERROR(__xludf.DUMMYFUNCTION("""COMPUTED_VALUE"""),"Algorithms")</f>
        <v>Algorithms</v>
      </c>
      <c r="I1721" s="20">
        <f>IFERROR(__xludf.DUMMYFUNCTION("""COMPUTED_VALUE"""),0.859)</f>
        <v>0.859</v>
      </c>
      <c r="J1721" s="20">
        <f>IFERROR(__xludf.DUMMYFUNCTION("""COMPUTED_VALUE"""),1720.0)</f>
        <v>1720</v>
      </c>
      <c r="K1721" s="20" t="b">
        <f>IFERROR(__xludf.DUMMYFUNCTION("""COMPUTED_VALUE"""),FALSE)</f>
        <v>0</v>
      </c>
      <c r="L1721" s="20" t="str">
        <f>IFERROR(__xludf.DUMMYFUNCTION("""COMPUTED_VALUE"""),"Array;Bit Manipulation;")</f>
        <v>Array;Bit Manipulation;</v>
      </c>
      <c r="M1721" s="20" t="b">
        <f>IFERROR(__xludf.DUMMYFUNCTION("""COMPUTED_VALUE"""),FALSE)</f>
        <v>0</v>
      </c>
      <c r="N1721" s="20" t="b">
        <f>IFERROR(__xludf.DUMMYFUNCTION("""COMPUTED_VALUE"""),FALSE)</f>
        <v>0</v>
      </c>
      <c r="O1721" s="20">
        <f>IFERROR(__xludf.DUMMYFUNCTION("""COMPUTED_VALUE"""),85.9439242649345)</f>
        <v>85.94392426</v>
      </c>
      <c r="P1721" s="20">
        <f>IFERROR(__xludf.DUMMYFUNCTION("""COMPUTED_VALUE"""),99495.0)</f>
        <v>99495</v>
      </c>
      <c r="Q1721" s="20">
        <f>IFERROR(__xludf.DUMMYFUNCTION("""COMPUTED_VALUE"""),115768.0)</f>
        <v>115768</v>
      </c>
    </row>
    <row r="1722">
      <c r="A1722" s="20">
        <f>IFERROR(__xludf.DUMMYFUNCTION("""COMPUTED_VALUE"""),528.0)</f>
        <v>528</v>
      </c>
      <c r="B1722" s="20" t="str">
        <f>IFERROR(__xludf.DUMMYFUNCTION("""COMPUTED_VALUE"""),"Swapping Nodes in a Linked List")</f>
        <v>Swapping Nodes in a Linked List</v>
      </c>
      <c r="C1722" s="20" t="str">
        <f>IFERROR(__xludf.DUMMYFUNCTION("""COMPUTED_VALUE"""),"swapping-nodes-in-a-linked-list")</f>
        <v>swapping-nodes-in-a-linked-list</v>
      </c>
      <c r="D1722" s="20" t="b">
        <f>IFERROR(__xludf.DUMMYFUNCTION("""COMPUTED_VALUE"""),FALSE)</f>
        <v>0</v>
      </c>
      <c r="E1722" s="20" t="str">
        <f>IFERROR(__xludf.DUMMYFUNCTION("""COMPUTED_VALUE"""),"Medium")</f>
        <v>Medium</v>
      </c>
      <c r="F1722" s="20">
        <f>IFERROR(__xludf.DUMMYFUNCTION("""COMPUTED_VALUE"""),3507.0)</f>
        <v>3507</v>
      </c>
      <c r="G1722" s="20">
        <f>IFERROR(__xludf.DUMMYFUNCTION("""COMPUTED_VALUE"""),122.0)</f>
        <v>122</v>
      </c>
      <c r="H1722" s="20" t="str">
        <f>IFERROR(__xludf.DUMMYFUNCTION("""COMPUTED_VALUE"""),"Algorithms")</f>
        <v>Algorithms</v>
      </c>
      <c r="I1722" s="20">
        <f>IFERROR(__xludf.DUMMYFUNCTION("""COMPUTED_VALUE"""),0.675)</f>
        <v>0.675</v>
      </c>
      <c r="J1722" s="20">
        <f>IFERROR(__xludf.DUMMYFUNCTION("""COMPUTED_VALUE"""),1721.0)</f>
        <v>1721</v>
      </c>
      <c r="K1722" s="20" t="b">
        <f>IFERROR(__xludf.DUMMYFUNCTION("""COMPUTED_VALUE"""),FALSE)</f>
        <v>0</v>
      </c>
      <c r="L1722" s="20" t="str">
        <f>IFERROR(__xludf.DUMMYFUNCTION("""COMPUTED_VALUE"""),"Linked List;Two Pointers;")</f>
        <v>Linked List;Two Pointers;</v>
      </c>
      <c r="M1722" s="20" t="b">
        <f>IFERROR(__xludf.DUMMYFUNCTION("""COMPUTED_VALUE"""),TRUE)</f>
        <v>1</v>
      </c>
      <c r="N1722" s="20" t="b">
        <f>IFERROR(__xludf.DUMMYFUNCTION("""COMPUTED_VALUE"""),FALSE)</f>
        <v>0</v>
      </c>
      <c r="O1722" s="20">
        <f>IFERROR(__xludf.DUMMYFUNCTION("""COMPUTED_VALUE"""),67.5122367046142)</f>
        <v>67.5122367</v>
      </c>
      <c r="P1722" s="20">
        <f>IFERROR(__xludf.DUMMYFUNCTION("""COMPUTED_VALUE"""),196407.0)</f>
        <v>196407</v>
      </c>
      <c r="Q1722" s="20">
        <f>IFERROR(__xludf.DUMMYFUNCTION("""COMPUTED_VALUE"""),290921.0)</f>
        <v>290921</v>
      </c>
    </row>
    <row r="1723">
      <c r="A1723" s="20">
        <f>IFERROR(__xludf.DUMMYFUNCTION("""COMPUTED_VALUE"""),1840.0)</f>
        <v>1840</v>
      </c>
      <c r="B1723" s="20" t="str">
        <f>IFERROR(__xludf.DUMMYFUNCTION("""COMPUTED_VALUE"""),"Minimize Hamming Distance After Swap Operations")</f>
        <v>Minimize Hamming Distance After Swap Operations</v>
      </c>
      <c r="C1723" s="20" t="str">
        <f>IFERROR(__xludf.DUMMYFUNCTION("""COMPUTED_VALUE"""),"minimize-hamming-distance-after-swap-operations")</f>
        <v>minimize-hamming-distance-after-swap-operations</v>
      </c>
      <c r="D1723" s="20" t="b">
        <f>IFERROR(__xludf.DUMMYFUNCTION("""COMPUTED_VALUE"""),FALSE)</f>
        <v>0</v>
      </c>
      <c r="E1723" s="20" t="str">
        <f>IFERROR(__xludf.DUMMYFUNCTION("""COMPUTED_VALUE"""),"Medium")</f>
        <v>Medium</v>
      </c>
      <c r="F1723" s="20">
        <f>IFERROR(__xludf.DUMMYFUNCTION("""COMPUTED_VALUE"""),711.0)</f>
        <v>711</v>
      </c>
      <c r="G1723" s="20">
        <f>IFERROR(__xludf.DUMMYFUNCTION("""COMPUTED_VALUE"""),22.0)</f>
        <v>22</v>
      </c>
      <c r="H1723" s="20" t="str">
        <f>IFERROR(__xludf.DUMMYFUNCTION("""COMPUTED_VALUE"""),"Algorithms")</f>
        <v>Algorithms</v>
      </c>
      <c r="I1723" s="20">
        <f>IFERROR(__xludf.DUMMYFUNCTION("""COMPUTED_VALUE"""),0.487)</f>
        <v>0.487</v>
      </c>
      <c r="J1723" s="20">
        <f>IFERROR(__xludf.DUMMYFUNCTION("""COMPUTED_VALUE"""),1722.0)</f>
        <v>1722</v>
      </c>
      <c r="K1723" s="20" t="b">
        <f>IFERROR(__xludf.DUMMYFUNCTION("""COMPUTED_VALUE"""),FALSE)</f>
        <v>0</v>
      </c>
      <c r="L1723" s="20" t="str">
        <f>IFERROR(__xludf.DUMMYFUNCTION("""COMPUTED_VALUE"""),"Array;Depth-First Search;Union Find;")</f>
        <v>Array;Depth-First Search;Union Find;</v>
      </c>
      <c r="M1723" s="20" t="b">
        <f>IFERROR(__xludf.DUMMYFUNCTION("""COMPUTED_VALUE"""),FALSE)</f>
        <v>0</v>
      </c>
      <c r="N1723" s="20" t="b">
        <f>IFERROR(__xludf.DUMMYFUNCTION("""COMPUTED_VALUE"""),FALSE)</f>
        <v>0</v>
      </c>
      <c r="O1723" s="20">
        <f>IFERROR(__xludf.DUMMYFUNCTION("""COMPUTED_VALUE"""),48.6725957390323)</f>
        <v>48.67259574</v>
      </c>
      <c r="P1723" s="20">
        <f>IFERROR(__xludf.DUMMYFUNCTION("""COMPUTED_VALUE"""),14667.0)</f>
        <v>14667</v>
      </c>
      <c r="Q1723" s="20">
        <f>IFERROR(__xludf.DUMMYFUNCTION("""COMPUTED_VALUE"""),30134.0)</f>
        <v>30134</v>
      </c>
    </row>
    <row r="1724">
      <c r="A1724" s="20">
        <f>IFERROR(__xludf.DUMMYFUNCTION("""COMPUTED_VALUE"""),1825.0)</f>
        <v>1825</v>
      </c>
      <c r="B1724" s="20" t="str">
        <f>IFERROR(__xludf.DUMMYFUNCTION("""COMPUTED_VALUE"""),"Find Minimum Time to Finish All Jobs")</f>
        <v>Find Minimum Time to Finish All Jobs</v>
      </c>
      <c r="C1724" s="20" t="str">
        <f>IFERROR(__xludf.DUMMYFUNCTION("""COMPUTED_VALUE"""),"find-minimum-time-to-finish-all-jobs")</f>
        <v>find-minimum-time-to-finish-all-jobs</v>
      </c>
      <c r="D1724" s="20" t="b">
        <f>IFERROR(__xludf.DUMMYFUNCTION("""COMPUTED_VALUE"""),FALSE)</f>
        <v>0</v>
      </c>
      <c r="E1724" s="20" t="str">
        <f>IFERROR(__xludf.DUMMYFUNCTION("""COMPUTED_VALUE"""),"Hard")</f>
        <v>Hard</v>
      </c>
      <c r="F1724" s="20">
        <f>IFERROR(__xludf.DUMMYFUNCTION("""COMPUTED_VALUE"""),755.0)</f>
        <v>755</v>
      </c>
      <c r="G1724" s="20">
        <f>IFERROR(__xludf.DUMMYFUNCTION("""COMPUTED_VALUE"""),20.0)</f>
        <v>20</v>
      </c>
      <c r="H1724" s="20" t="str">
        <f>IFERROR(__xludf.DUMMYFUNCTION("""COMPUTED_VALUE"""),"Algorithms")</f>
        <v>Algorithms</v>
      </c>
      <c r="I1724" s="20">
        <f>IFERROR(__xludf.DUMMYFUNCTION("""COMPUTED_VALUE"""),0.426)</f>
        <v>0.426</v>
      </c>
      <c r="J1724" s="20">
        <f>IFERROR(__xludf.DUMMYFUNCTION("""COMPUTED_VALUE"""),1723.0)</f>
        <v>1723</v>
      </c>
      <c r="K1724" s="20" t="b">
        <f>IFERROR(__xludf.DUMMYFUNCTION("""COMPUTED_VALUE"""),FALSE)</f>
        <v>0</v>
      </c>
      <c r="L1724" s="20" t="str">
        <f>IFERROR(__xludf.DUMMYFUNCTION("""COMPUTED_VALUE"""),"Array;Dynamic Programming;Backtracking;Bit Manipulation;Bitmask;")</f>
        <v>Array;Dynamic Programming;Backtracking;Bit Manipulation;Bitmask;</v>
      </c>
      <c r="M1724" s="20" t="b">
        <f>IFERROR(__xludf.DUMMYFUNCTION("""COMPUTED_VALUE"""),FALSE)</f>
        <v>0</v>
      </c>
      <c r="N1724" s="20" t="b">
        <f>IFERROR(__xludf.DUMMYFUNCTION("""COMPUTED_VALUE"""),FALSE)</f>
        <v>0</v>
      </c>
      <c r="O1724" s="20">
        <f>IFERROR(__xludf.DUMMYFUNCTION("""COMPUTED_VALUE"""),42.6117733915271)</f>
        <v>42.61177339</v>
      </c>
      <c r="P1724" s="20">
        <f>IFERROR(__xludf.DUMMYFUNCTION("""COMPUTED_VALUE"""),19624.0)</f>
        <v>19624</v>
      </c>
      <c r="Q1724" s="20">
        <f>IFERROR(__xludf.DUMMYFUNCTION("""COMPUTED_VALUE"""),46053.0)</f>
        <v>46053</v>
      </c>
    </row>
    <row r="1725">
      <c r="A1725" s="20">
        <f>IFERROR(__xludf.DUMMYFUNCTION("""COMPUTED_VALUE"""),1865.0)</f>
        <v>1865</v>
      </c>
      <c r="B1725" s="20" t="str">
        <f>IFERROR(__xludf.DUMMYFUNCTION("""COMPUTED_VALUE"""),"Checking Existence of Edge Length Limited Paths II")</f>
        <v>Checking Existence of Edge Length Limited Paths II</v>
      </c>
      <c r="C1725" s="20" t="str">
        <f>IFERROR(__xludf.DUMMYFUNCTION("""COMPUTED_VALUE"""),"checking-existence-of-edge-length-limited-paths-ii")</f>
        <v>checking-existence-of-edge-length-limited-paths-ii</v>
      </c>
      <c r="D1725" s="20" t="b">
        <f>IFERROR(__xludf.DUMMYFUNCTION("""COMPUTED_VALUE"""),TRUE)</f>
        <v>1</v>
      </c>
      <c r="E1725" s="20" t="str">
        <f>IFERROR(__xludf.DUMMYFUNCTION("""COMPUTED_VALUE"""),"Hard")</f>
        <v>Hard</v>
      </c>
      <c r="F1725" s="20">
        <f>IFERROR(__xludf.DUMMYFUNCTION("""COMPUTED_VALUE"""),66.0)</f>
        <v>66</v>
      </c>
      <c r="G1725" s="20">
        <f>IFERROR(__xludf.DUMMYFUNCTION("""COMPUTED_VALUE"""),7.0)</f>
        <v>7</v>
      </c>
      <c r="H1725" s="20" t="str">
        <f>IFERROR(__xludf.DUMMYFUNCTION("""COMPUTED_VALUE"""),"Algorithms")</f>
        <v>Algorithms</v>
      </c>
      <c r="I1725" s="20">
        <f>IFERROR(__xludf.DUMMYFUNCTION("""COMPUTED_VALUE"""),0.511)</f>
        <v>0.511</v>
      </c>
      <c r="J1725" s="20">
        <f>IFERROR(__xludf.DUMMYFUNCTION("""COMPUTED_VALUE"""),1724.0)</f>
        <v>1724</v>
      </c>
      <c r="K1725" s="20" t="b">
        <f>IFERROR(__xludf.DUMMYFUNCTION("""COMPUTED_VALUE"""),TRUE)</f>
        <v>1</v>
      </c>
      <c r="L1725" s="20" t="str">
        <f>IFERROR(__xludf.DUMMYFUNCTION("""COMPUTED_VALUE"""),"Union Find;Graph;Minimum Spanning Tree;")</f>
        <v>Union Find;Graph;Minimum Spanning Tree;</v>
      </c>
      <c r="M1725" s="20" t="b">
        <f>IFERROR(__xludf.DUMMYFUNCTION("""COMPUTED_VALUE"""),FALSE)</f>
        <v>0</v>
      </c>
      <c r="N1725" s="20" t="b">
        <f>IFERROR(__xludf.DUMMYFUNCTION("""COMPUTED_VALUE"""),FALSE)</f>
        <v>0</v>
      </c>
      <c r="O1725" s="20">
        <f>IFERROR(__xludf.DUMMYFUNCTION("""COMPUTED_VALUE"""),51.1306532663316)</f>
        <v>51.13065327</v>
      </c>
      <c r="P1725" s="20">
        <f>IFERROR(__xludf.DUMMYFUNCTION("""COMPUTED_VALUE"""),2035.0)</f>
        <v>2035</v>
      </c>
      <c r="Q1725" s="20">
        <f>IFERROR(__xludf.DUMMYFUNCTION("""COMPUTED_VALUE"""),3980.0)</f>
        <v>3980</v>
      </c>
    </row>
    <row r="1726">
      <c r="A1726" s="20">
        <f>IFERROR(__xludf.DUMMYFUNCTION("""COMPUTED_VALUE"""),1843.0)</f>
        <v>1843</v>
      </c>
      <c r="B1726" s="20" t="str">
        <f>IFERROR(__xludf.DUMMYFUNCTION("""COMPUTED_VALUE"""),"Number Of Rectangles That Can Form The Largest Square")</f>
        <v>Number Of Rectangles That Can Form The Largest Square</v>
      </c>
      <c r="C1726" s="20" t="str">
        <f>IFERROR(__xludf.DUMMYFUNCTION("""COMPUTED_VALUE"""),"number-of-rectangles-that-can-form-the-largest-square")</f>
        <v>number-of-rectangles-that-can-form-the-largest-square</v>
      </c>
      <c r="D1726" s="20" t="b">
        <f>IFERROR(__xludf.DUMMYFUNCTION("""COMPUTED_VALUE"""),FALSE)</f>
        <v>0</v>
      </c>
      <c r="E1726" s="20" t="str">
        <f>IFERROR(__xludf.DUMMYFUNCTION("""COMPUTED_VALUE"""),"Easy")</f>
        <v>Easy</v>
      </c>
      <c r="F1726" s="20">
        <f>IFERROR(__xludf.DUMMYFUNCTION("""COMPUTED_VALUE"""),446.0)</f>
        <v>446</v>
      </c>
      <c r="G1726" s="20">
        <f>IFERROR(__xludf.DUMMYFUNCTION("""COMPUTED_VALUE"""),46.0)</f>
        <v>46</v>
      </c>
      <c r="H1726" s="20" t="str">
        <f>IFERROR(__xludf.DUMMYFUNCTION("""COMPUTED_VALUE"""),"Algorithms")</f>
        <v>Algorithms</v>
      </c>
      <c r="I1726" s="20">
        <f>IFERROR(__xludf.DUMMYFUNCTION("""COMPUTED_VALUE"""),0.787)</f>
        <v>0.787</v>
      </c>
      <c r="J1726" s="20">
        <f>IFERROR(__xludf.DUMMYFUNCTION("""COMPUTED_VALUE"""),1725.0)</f>
        <v>1725</v>
      </c>
      <c r="K1726" s="20" t="b">
        <f>IFERROR(__xludf.DUMMYFUNCTION("""COMPUTED_VALUE"""),FALSE)</f>
        <v>0</v>
      </c>
      <c r="L1726" s="20" t="str">
        <f>IFERROR(__xludf.DUMMYFUNCTION("""COMPUTED_VALUE"""),"Array;")</f>
        <v>Array;</v>
      </c>
      <c r="M1726" s="20" t="b">
        <f>IFERROR(__xludf.DUMMYFUNCTION("""COMPUTED_VALUE"""),FALSE)</f>
        <v>0</v>
      </c>
      <c r="N1726" s="20" t="b">
        <f>IFERROR(__xludf.DUMMYFUNCTION("""COMPUTED_VALUE"""),FALSE)</f>
        <v>0</v>
      </c>
      <c r="O1726" s="20">
        <f>IFERROR(__xludf.DUMMYFUNCTION("""COMPUTED_VALUE"""),78.7000300571085)</f>
        <v>78.70003006</v>
      </c>
      <c r="P1726" s="20">
        <f>IFERROR(__xludf.DUMMYFUNCTION("""COMPUTED_VALUE"""),52367.0)</f>
        <v>52367</v>
      </c>
      <c r="Q1726" s="20">
        <f>IFERROR(__xludf.DUMMYFUNCTION("""COMPUTED_VALUE"""),66540.0)</f>
        <v>66540</v>
      </c>
    </row>
    <row r="1727">
      <c r="A1727" s="20">
        <f>IFERROR(__xludf.DUMMYFUNCTION("""COMPUTED_VALUE"""),1364.0)</f>
        <v>1364</v>
      </c>
      <c r="B1727" s="20" t="str">
        <f>IFERROR(__xludf.DUMMYFUNCTION("""COMPUTED_VALUE"""),"Tuple with Same Product")</f>
        <v>Tuple with Same Product</v>
      </c>
      <c r="C1727" s="20" t="str">
        <f>IFERROR(__xludf.DUMMYFUNCTION("""COMPUTED_VALUE"""),"tuple-with-same-product")</f>
        <v>tuple-with-same-product</v>
      </c>
      <c r="D1727" s="20" t="b">
        <f>IFERROR(__xludf.DUMMYFUNCTION("""COMPUTED_VALUE"""),FALSE)</f>
        <v>0</v>
      </c>
      <c r="E1727" s="20" t="str">
        <f>IFERROR(__xludf.DUMMYFUNCTION("""COMPUTED_VALUE"""),"Medium")</f>
        <v>Medium</v>
      </c>
      <c r="F1727" s="20">
        <f>IFERROR(__xludf.DUMMYFUNCTION("""COMPUTED_VALUE"""),517.0)</f>
        <v>517</v>
      </c>
      <c r="G1727" s="20">
        <f>IFERROR(__xludf.DUMMYFUNCTION("""COMPUTED_VALUE"""),24.0)</f>
        <v>24</v>
      </c>
      <c r="H1727" s="20" t="str">
        <f>IFERROR(__xludf.DUMMYFUNCTION("""COMPUTED_VALUE"""),"Algorithms")</f>
        <v>Algorithms</v>
      </c>
      <c r="I1727" s="20">
        <f>IFERROR(__xludf.DUMMYFUNCTION("""COMPUTED_VALUE"""),0.608)</f>
        <v>0.608</v>
      </c>
      <c r="J1727" s="20">
        <f>IFERROR(__xludf.DUMMYFUNCTION("""COMPUTED_VALUE"""),1726.0)</f>
        <v>1726</v>
      </c>
      <c r="K1727" s="20" t="b">
        <f>IFERROR(__xludf.DUMMYFUNCTION("""COMPUTED_VALUE"""),FALSE)</f>
        <v>0</v>
      </c>
      <c r="L1727" s="20" t="str">
        <f>IFERROR(__xludf.DUMMYFUNCTION("""COMPUTED_VALUE"""),"Array;Hash Table;")</f>
        <v>Array;Hash Table;</v>
      </c>
      <c r="M1727" s="20" t="b">
        <f>IFERROR(__xludf.DUMMYFUNCTION("""COMPUTED_VALUE"""),FALSE)</f>
        <v>0</v>
      </c>
      <c r="N1727" s="20" t="b">
        <f>IFERROR(__xludf.DUMMYFUNCTION("""COMPUTED_VALUE"""),FALSE)</f>
        <v>0</v>
      </c>
      <c r="O1727" s="20">
        <f>IFERROR(__xludf.DUMMYFUNCTION("""COMPUTED_VALUE"""),60.8041299063123)</f>
        <v>60.80412991</v>
      </c>
      <c r="P1727" s="20">
        <f>IFERROR(__xludf.DUMMYFUNCTION("""COMPUTED_VALUE"""),22261.0)</f>
        <v>22261</v>
      </c>
      <c r="Q1727" s="20">
        <f>IFERROR(__xludf.DUMMYFUNCTION("""COMPUTED_VALUE"""),36611.0)</f>
        <v>36611</v>
      </c>
    </row>
    <row r="1728">
      <c r="A1728" s="20">
        <f>IFERROR(__xludf.DUMMYFUNCTION("""COMPUTED_VALUE"""),1845.0)</f>
        <v>1845</v>
      </c>
      <c r="B1728" s="20" t="str">
        <f>IFERROR(__xludf.DUMMYFUNCTION("""COMPUTED_VALUE"""),"Largest Submatrix With Rearrangements")</f>
        <v>Largest Submatrix With Rearrangements</v>
      </c>
      <c r="C1728" s="20" t="str">
        <f>IFERROR(__xludf.DUMMYFUNCTION("""COMPUTED_VALUE"""),"largest-submatrix-with-rearrangements")</f>
        <v>largest-submatrix-with-rearrangements</v>
      </c>
      <c r="D1728" s="20" t="b">
        <f>IFERROR(__xludf.DUMMYFUNCTION("""COMPUTED_VALUE"""),FALSE)</f>
        <v>0</v>
      </c>
      <c r="E1728" s="20" t="str">
        <f>IFERROR(__xludf.DUMMYFUNCTION("""COMPUTED_VALUE"""),"Medium")</f>
        <v>Medium</v>
      </c>
      <c r="F1728" s="20">
        <f>IFERROR(__xludf.DUMMYFUNCTION("""COMPUTED_VALUE"""),853.0)</f>
        <v>853</v>
      </c>
      <c r="G1728" s="20">
        <f>IFERROR(__xludf.DUMMYFUNCTION("""COMPUTED_VALUE"""),21.0)</f>
        <v>21</v>
      </c>
      <c r="H1728" s="20" t="str">
        <f>IFERROR(__xludf.DUMMYFUNCTION("""COMPUTED_VALUE"""),"Algorithms")</f>
        <v>Algorithms</v>
      </c>
      <c r="I1728" s="20">
        <f>IFERROR(__xludf.DUMMYFUNCTION("""COMPUTED_VALUE"""),0.611)</f>
        <v>0.611</v>
      </c>
      <c r="J1728" s="20">
        <f>IFERROR(__xludf.DUMMYFUNCTION("""COMPUTED_VALUE"""),1727.0)</f>
        <v>1727</v>
      </c>
      <c r="K1728" s="20" t="b">
        <f>IFERROR(__xludf.DUMMYFUNCTION("""COMPUTED_VALUE"""),FALSE)</f>
        <v>0</v>
      </c>
      <c r="L1728" s="20" t="str">
        <f>IFERROR(__xludf.DUMMYFUNCTION("""COMPUTED_VALUE"""),"Array;Greedy;Sorting;Matrix;")</f>
        <v>Array;Greedy;Sorting;Matrix;</v>
      </c>
      <c r="M1728" s="20" t="b">
        <f>IFERROR(__xludf.DUMMYFUNCTION("""COMPUTED_VALUE"""),FALSE)</f>
        <v>0</v>
      </c>
      <c r="N1728" s="20" t="b">
        <f>IFERROR(__xludf.DUMMYFUNCTION("""COMPUTED_VALUE"""),FALSE)</f>
        <v>0</v>
      </c>
      <c r="O1728" s="20">
        <f>IFERROR(__xludf.DUMMYFUNCTION("""COMPUTED_VALUE"""),61.1423974255832)</f>
        <v>61.14239743</v>
      </c>
      <c r="P1728" s="20">
        <f>IFERROR(__xludf.DUMMYFUNCTION("""COMPUTED_VALUE"""),14440.0)</f>
        <v>14440</v>
      </c>
      <c r="Q1728" s="20">
        <f>IFERROR(__xludf.DUMMYFUNCTION("""COMPUTED_VALUE"""),23617.0)</f>
        <v>23617</v>
      </c>
    </row>
    <row r="1729">
      <c r="A1729" s="20">
        <f>IFERROR(__xludf.DUMMYFUNCTION("""COMPUTED_VALUE"""),1727.0)</f>
        <v>1727</v>
      </c>
      <c r="B1729" s="20" t="str">
        <f>IFERROR(__xludf.DUMMYFUNCTION("""COMPUTED_VALUE"""),"Cat and Mouse II")</f>
        <v>Cat and Mouse II</v>
      </c>
      <c r="C1729" s="20" t="str">
        <f>IFERROR(__xludf.DUMMYFUNCTION("""COMPUTED_VALUE"""),"cat-and-mouse-ii")</f>
        <v>cat-and-mouse-ii</v>
      </c>
      <c r="D1729" s="20" t="b">
        <f>IFERROR(__xludf.DUMMYFUNCTION("""COMPUTED_VALUE"""),FALSE)</f>
        <v>0</v>
      </c>
      <c r="E1729" s="20" t="str">
        <f>IFERROR(__xludf.DUMMYFUNCTION("""COMPUTED_VALUE"""),"Hard")</f>
        <v>Hard</v>
      </c>
      <c r="F1729" s="20">
        <f>IFERROR(__xludf.DUMMYFUNCTION("""COMPUTED_VALUE"""),219.0)</f>
        <v>219</v>
      </c>
      <c r="G1729" s="20">
        <f>IFERROR(__xludf.DUMMYFUNCTION("""COMPUTED_VALUE"""),35.0)</f>
        <v>35</v>
      </c>
      <c r="H1729" s="20" t="str">
        <f>IFERROR(__xludf.DUMMYFUNCTION("""COMPUTED_VALUE"""),"Algorithms")</f>
        <v>Algorithms</v>
      </c>
      <c r="I1729" s="20">
        <f>IFERROR(__xludf.DUMMYFUNCTION("""COMPUTED_VALUE"""),0.402)</f>
        <v>0.402</v>
      </c>
      <c r="J1729" s="20">
        <f>IFERROR(__xludf.DUMMYFUNCTION("""COMPUTED_VALUE"""),1728.0)</f>
        <v>1728</v>
      </c>
      <c r="K1729" s="20" t="b">
        <f>IFERROR(__xludf.DUMMYFUNCTION("""COMPUTED_VALUE"""),FALSE)</f>
        <v>0</v>
      </c>
      <c r="L1729" s="20" t="str">
        <f>IFERROR(__xludf.DUMMYFUNCTION("""COMPUTED_VALUE"""),"Array;Math;Dynamic Programming;Graph;Topological Sort;Memoization;Matrix;Game Theory;")</f>
        <v>Array;Math;Dynamic Programming;Graph;Topological Sort;Memoization;Matrix;Game Theory;</v>
      </c>
      <c r="M1729" s="20" t="b">
        <f>IFERROR(__xludf.DUMMYFUNCTION("""COMPUTED_VALUE"""),FALSE)</f>
        <v>0</v>
      </c>
      <c r="N1729" s="20" t="b">
        <f>IFERROR(__xludf.DUMMYFUNCTION("""COMPUTED_VALUE"""),FALSE)</f>
        <v>0</v>
      </c>
      <c r="O1729" s="20">
        <f>IFERROR(__xludf.DUMMYFUNCTION("""COMPUTED_VALUE"""),40.2023584218954)</f>
        <v>40.20235842</v>
      </c>
      <c r="P1729" s="20">
        <f>IFERROR(__xludf.DUMMYFUNCTION("""COMPUTED_VALUE"""),5523.0)</f>
        <v>5523</v>
      </c>
      <c r="Q1729" s="20">
        <f>IFERROR(__xludf.DUMMYFUNCTION("""COMPUTED_VALUE"""),13738.0)</f>
        <v>13738</v>
      </c>
    </row>
    <row r="1730">
      <c r="A1730" s="20">
        <f>IFERROR(__xludf.DUMMYFUNCTION("""COMPUTED_VALUE"""),1877.0)</f>
        <v>1877</v>
      </c>
      <c r="B1730" s="20" t="str">
        <f>IFERROR(__xludf.DUMMYFUNCTION("""COMPUTED_VALUE"""),"Find Followers Count")</f>
        <v>Find Followers Count</v>
      </c>
      <c r="C1730" s="20" t="str">
        <f>IFERROR(__xludf.DUMMYFUNCTION("""COMPUTED_VALUE"""),"find-followers-count")</f>
        <v>find-followers-count</v>
      </c>
      <c r="D1730" s="20" t="b">
        <f>IFERROR(__xludf.DUMMYFUNCTION("""COMPUTED_VALUE"""),FALSE)</f>
        <v>0</v>
      </c>
      <c r="E1730" s="20" t="str">
        <f>IFERROR(__xludf.DUMMYFUNCTION("""COMPUTED_VALUE"""),"Easy")</f>
        <v>Easy</v>
      </c>
      <c r="F1730" s="20">
        <f>IFERROR(__xludf.DUMMYFUNCTION("""COMPUTED_VALUE"""),223.0)</f>
        <v>223</v>
      </c>
      <c r="G1730" s="20">
        <f>IFERROR(__xludf.DUMMYFUNCTION("""COMPUTED_VALUE"""),16.0)</f>
        <v>16</v>
      </c>
      <c r="H1730" s="20" t="str">
        <f>IFERROR(__xludf.DUMMYFUNCTION("""COMPUTED_VALUE"""),"Database")</f>
        <v>Database</v>
      </c>
      <c r="I1730" s="20">
        <f>IFERROR(__xludf.DUMMYFUNCTION("""COMPUTED_VALUE"""),0.714)</f>
        <v>0.714</v>
      </c>
      <c r="J1730" s="20">
        <f>IFERROR(__xludf.DUMMYFUNCTION("""COMPUTED_VALUE"""),1729.0)</f>
        <v>1729</v>
      </c>
      <c r="K1730" s="20" t="b">
        <f>IFERROR(__xludf.DUMMYFUNCTION("""COMPUTED_VALUE"""),FALSE)</f>
        <v>0</v>
      </c>
      <c r="L1730" s="20" t="str">
        <f>IFERROR(__xludf.DUMMYFUNCTION("""COMPUTED_VALUE"""),"Database;")</f>
        <v>Database;</v>
      </c>
      <c r="M1730" s="20" t="b">
        <f>IFERROR(__xludf.DUMMYFUNCTION("""COMPUTED_VALUE"""),FALSE)</f>
        <v>0</v>
      </c>
      <c r="N1730" s="20" t="b">
        <f>IFERROR(__xludf.DUMMYFUNCTION("""COMPUTED_VALUE"""),FALSE)</f>
        <v>0</v>
      </c>
      <c r="O1730" s="20">
        <f>IFERROR(__xludf.DUMMYFUNCTION("""COMPUTED_VALUE"""),71.3711210552484)</f>
        <v>71.37112106</v>
      </c>
      <c r="P1730" s="20">
        <f>IFERROR(__xludf.DUMMYFUNCTION("""COMPUTED_VALUE"""),48802.0)</f>
        <v>48802</v>
      </c>
      <c r="Q1730" s="20">
        <f>IFERROR(__xludf.DUMMYFUNCTION("""COMPUTED_VALUE"""),68379.0)</f>
        <v>68379</v>
      </c>
    </row>
    <row r="1731">
      <c r="A1731" s="20">
        <f>IFERROR(__xludf.DUMMYFUNCTION("""COMPUTED_VALUE"""),550.0)</f>
        <v>550</v>
      </c>
      <c r="B1731" s="20" t="str">
        <f>IFERROR(__xludf.DUMMYFUNCTION("""COMPUTED_VALUE"""),"Shortest Path to Get Food")</f>
        <v>Shortest Path to Get Food</v>
      </c>
      <c r="C1731" s="20" t="str">
        <f>IFERROR(__xludf.DUMMYFUNCTION("""COMPUTED_VALUE"""),"shortest-path-to-get-food")</f>
        <v>shortest-path-to-get-food</v>
      </c>
      <c r="D1731" s="20" t="b">
        <f>IFERROR(__xludf.DUMMYFUNCTION("""COMPUTED_VALUE"""),TRUE)</f>
        <v>1</v>
      </c>
      <c r="E1731" s="20" t="str">
        <f>IFERROR(__xludf.DUMMYFUNCTION("""COMPUTED_VALUE"""),"Medium")</f>
        <v>Medium</v>
      </c>
      <c r="F1731" s="20">
        <f>IFERROR(__xludf.DUMMYFUNCTION("""COMPUTED_VALUE"""),577.0)</f>
        <v>577</v>
      </c>
      <c r="G1731" s="20">
        <f>IFERROR(__xludf.DUMMYFUNCTION("""COMPUTED_VALUE"""),35.0)</f>
        <v>35</v>
      </c>
      <c r="H1731" s="20" t="str">
        <f>IFERROR(__xludf.DUMMYFUNCTION("""COMPUTED_VALUE"""),"Algorithms")</f>
        <v>Algorithms</v>
      </c>
      <c r="I1731" s="20">
        <f>IFERROR(__xludf.DUMMYFUNCTION("""COMPUTED_VALUE"""),0.541)</f>
        <v>0.541</v>
      </c>
      <c r="J1731" s="20">
        <f>IFERROR(__xludf.DUMMYFUNCTION("""COMPUTED_VALUE"""),1730.0)</f>
        <v>1730</v>
      </c>
      <c r="K1731" s="20" t="b">
        <f>IFERROR(__xludf.DUMMYFUNCTION("""COMPUTED_VALUE"""),TRUE)</f>
        <v>1</v>
      </c>
      <c r="L1731" s="20" t="str">
        <f>IFERROR(__xludf.DUMMYFUNCTION("""COMPUTED_VALUE"""),"Array;Breadth-First Search;Matrix;")</f>
        <v>Array;Breadth-First Search;Matrix;</v>
      </c>
      <c r="M1731" s="20" t="b">
        <f>IFERROR(__xludf.DUMMYFUNCTION("""COMPUTED_VALUE"""),FALSE)</f>
        <v>0</v>
      </c>
      <c r="N1731" s="20" t="b">
        <f>IFERROR(__xludf.DUMMYFUNCTION("""COMPUTED_VALUE"""),FALSE)</f>
        <v>0</v>
      </c>
      <c r="O1731" s="20">
        <f>IFERROR(__xludf.DUMMYFUNCTION("""COMPUTED_VALUE"""),54.108193031995)</f>
        <v>54.10819303</v>
      </c>
      <c r="P1731" s="20">
        <f>IFERROR(__xludf.DUMMYFUNCTION("""COMPUTED_VALUE"""),50971.0)</f>
        <v>50971</v>
      </c>
      <c r="Q1731" s="20">
        <f>IFERROR(__xludf.DUMMYFUNCTION("""COMPUTED_VALUE"""),94202.0)</f>
        <v>94202</v>
      </c>
    </row>
    <row r="1732">
      <c r="A1732" s="20">
        <f>IFERROR(__xludf.DUMMYFUNCTION("""COMPUTED_VALUE"""),1882.0)</f>
        <v>1882</v>
      </c>
      <c r="B1732" s="20" t="str">
        <f>IFERROR(__xludf.DUMMYFUNCTION("""COMPUTED_VALUE"""),"The Number of Employees Which Report to Each Employee")</f>
        <v>The Number of Employees Which Report to Each Employee</v>
      </c>
      <c r="C1732" s="20" t="str">
        <f>IFERROR(__xludf.DUMMYFUNCTION("""COMPUTED_VALUE"""),"the-number-of-employees-which-report-to-each-employee")</f>
        <v>the-number-of-employees-which-report-to-each-employee</v>
      </c>
      <c r="D1732" s="20" t="b">
        <f>IFERROR(__xludf.DUMMYFUNCTION("""COMPUTED_VALUE"""),TRUE)</f>
        <v>1</v>
      </c>
      <c r="E1732" s="20" t="str">
        <f>IFERROR(__xludf.DUMMYFUNCTION("""COMPUTED_VALUE"""),"Easy")</f>
        <v>Easy</v>
      </c>
      <c r="F1732" s="20">
        <f>IFERROR(__xludf.DUMMYFUNCTION("""COMPUTED_VALUE"""),88.0)</f>
        <v>88</v>
      </c>
      <c r="G1732" s="20">
        <f>IFERROR(__xludf.DUMMYFUNCTION("""COMPUTED_VALUE"""),28.0)</f>
        <v>28</v>
      </c>
      <c r="H1732" s="20" t="str">
        <f>IFERROR(__xludf.DUMMYFUNCTION("""COMPUTED_VALUE"""),"Database")</f>
        <v>Database</v>
      </c>
      <c r="I1732" s="20">
        <f>IFERROR(__xludf.DUMMYFUNCTION("""COMPUTED_VALUE"""),0.5)</f>
        <v>0.5</v>
      </c>
      <c r="J1732" s="20">
        <f>IFERROR(__xludf.DUMMYFUNCTION("""COMPUTED_VALUE"""),1731.0)</f>
        <v>1731</v>
      </c>
      <c r="K1732" s="20" t="b">
        <f>IFERROR(__xludf.DUMMYFUNCTION("""COMPUTED_VALUE"""),TRUE)</f>
        <v>1</v>
      </c>
      <c r="L1732" s="20" t="str">
        <f>IFERROR(__xludf.DUMMYFUNCTION("""COMPUTED_VALUE"""),"Database;")</f>
        <v>Database;</v>
      </c>
      <c r="M1732" s="20" t="b">
        <f>IFERROR(__xludf.DUMMYFUNCTION("""COMPUTED_VALUE"""),FALSE)</f>
        <v>0</v>
      </c>
      <c r="N1732" s="20" t="b">
        <f>IFERROR(__xludf.DUMMYFUNCTION("""COMPUTED_VALUE"""),FALSE)</f>
        <v>0</v>
      </c>
      <c r="O1732" s="20">
        <f>IFERROR(__xludf.DUMMYFUNCTION("""COMPUTED_VALUE"""),50.0183688464364)</f>
        <v>50.01836885</v>
      </c>
      <c r="P1732" s="20">
        <f>IFERROR(__xludf.DUMMYFUNCTION("""COMPUTED_VALUE"""),16338.0)</f>
        <v>16338</v>
      </c>
      <c r="Q1732" s="20">
        <f>IFERROR(__xludf.DUMMYFUNCTION("""COMPUTED_VALUE"""),32664.0)</f>
        <v>32664</v>
      </c>
    </row>
    <row r="1733">
      <c r="A1733" s="20">
        <f>IFERROR(__xludf.DUMMYFUNCTION("""COMPUTED_VALUE"""),1833.0)</f>
        <v>1833</v>
      </c>
      <c r="B1733" s="20" t="str">
        <f>IFERROR(__xludf.DUMMYFUNCTION("""COMPUTED_VALUE"""),"Find the Highest Altitude")</f>
        <v>Find the Highest Altitude</v>
      </c>
      <c r="C1733" s="20" t="str">
        <f>IFERROR(__xludf.DUMMYFUNCTION("""COMPUTED_VALUE"""),"find-the-highest-altitude")</f>
        <v>find-the-highest-altitude</v>
      </c>
      <c r="D1733" s="20" t="b">
        <f>IFERROR(__xludf.DUMMYFUNCTION("""COMPUTED_VALUE"""),FALSE)</f>
        <v>0</v>
      </c>
      <c r="E1733" s="20" t="str">
        <f>IFERROR(__xludf.DUMMYFUNCTION("""COMPUTED_VALUE"""),"Easy")</f>
        <v>Easy</v>
      </c>
      <c r="F1733" s="20">
        <f>IFERROR(__xludf.DUMMYFUNCTION("""COMPUTED_VALUE"""),1157.0)</f>
        <v>1157</v>
      </c>
      <c r="G1733" s="20">
        <f>IFERROR(__xludf.DUMMYFUNCTION("""COMPUTED_VALUE"""),96.0)</f>
        <v>96</v>
      </c>
      <c r="H1733" s="20" t="str">
        <f>IFERROR(__xludf.DUMMYFUNCTION("""COMPUTED_VALUE"""),"Algorithms")</f>
        <v>Algorithms</v>
      </c>
      <c r="I1733" s="20">
        <f>IFERROR(__xludf.DUMMYFUNCTION("""COMPUTED_VALUE"""),0.788)</f>
        <v>0.788</v>
      </c>
      <c r="J1733" s="20">
        <f>IFERROR(__xludf.DUMMYFUNCTION("""COMPUTED_VALUE"""),1732.0)</f>
        <v>1732</v>
      </c>
      <c r="K1733" s="20" t="b">
        <f>IFERROR(__xludf.DUMMYFUNCTION("""COMPUTED_VALUE"""),FALSE)</f>
        <v>0</v>
      </c>
      <c r="L1733" s="20" t="str">
        <f>IFERROR(__xludf.DUMMYFUNCTION("""COMPUTED_VALUE"""),"Array;Prefix Sum;")</f>
        <v>Array;Prefix Sum;</v>
      </c>
      <c r="M1733" s="20" t="b">
        <f>IFERROR(__xludf.DUMMYFUNCTION("""COMPUTED_VALUE"""),FALSE)</f>
        <v>0</v>
      </c>
      <c r="N1733" s="20" t="b">
        <f>IFERROR(__xludf.DUMMYFUNCTION("""COMPUTED_VALUE"""),FALSE)</f>
        <v>0</v>
      </c>
      <c r="O1733" s="20">
        <f>IFERROR(__xludf.DUMMYFUNCTION("""COMPUTED_VALUE"""),78.7964125991055)</f>
        <v>78.7964126</v>
      </c>
      <c r="P1733" s="20">
        <f>IFERROR(__xludf.DUMMYFUNCTION("""COMPUTED_VALUE"""),98490.0)</f>
        <v>98490</v>
      </c>
      <c r="Q1733" s="20">
        <f>IFERROR(__xludf.DUMMYFUNCTION("""COMPUTED_VALUE"""),124993.0)</f>
        <v>124993</v>
      </c>
    </row>
    <row r="1734">
      <c r="A1734" s="20">
        <f>IFERROR(__xludf.DUMMYFUNCTION("""COMPUTED_VALUE"""),1834.0)</f>
        <v>1834</v>
      </c>
      <c r="B1734" s="20" t="str">
        <f>IFERROR(__xludf.DUMMYFUNCTION("""COMPUTED_VALUE"""),"Minimum Number of People to Teach")</f>
        <v>Minimum Number of People to Teach</v>
      </c>
      <c r="C1734" s="20" t="str">
        <f>IFERROR(__xludf.DUMMYFUNCTION("""COMPUTED_VALUE"""),"minimum-number-of-people-to-teach")</f>
        <v>minimum-number-of-people-to-teach</v>
      </c>
      <c r="D1734" s="20" t="b">
        <f>IFERROR(__xludf.DUMMYFUNCTION("""COMPUTED_VALUE"""),FALSE)</f>
        <v>0</v>
      </c>
      <c r="E1734" s="20" t="str">
        <f>IFERROR(__xludf.DUMMYFUNCTION("""COMPUTED_VALUE"""),"Medium")</f>
        <v>Medium</v>
      </c>
      <c r="F1734" s="20">
        <f>IFERROR(__xludf.DUMMYFUNCTION("""COMPUTED_VALUE"""),168.0)</f>
        <v>168</v>
      </c>
      <c r="G1734" s="20">
        <f>IFERROR(__xludf.DUMMYFUNCTION("""COMPUTED_VALUE"""),336.0)</f>
        <v>336</v>
      </c>
      <c r="H1734" s="20" t="str">
        <f>IFERROR(__xludf.DUMMYFUNCTION("""COMPUTED_VALUE"""),"Algorithms")</f>
        <v>Algorithms</v>
      </c>
      <c r="I1734" s="20">
        <f>IFERROR(__xludf.DUMMYFUNCTION("""COMPUTED_VALUE"""),0.419)</f>
        <v>0.419</v>
      </c>
      <c r="J1734" s="20">
        <f>IFERROR(__xludf.DUMMYFUNCTION("""COMPUTED_VALUE"""),1733.0)</f>
        <v>1733</v>
      </c>
      <c r="K1734" s="20" t="b">
        <f>IFERROR(__xludf.DUMMYFUNCTION("""COMPUTED_VALUE"""),FALSE)</f>
        <v>0</v>
      </c>
      <c r="L1734" s="20" t="str">
        <f>IFERROR(__xludf.DUMMYFUNCTION("""COMPUTED_VALUE"""),"Array;Greedy;")</f>
        <v>Array;Greedy;</v>
      </c>
      <c r="M1734" s="20" t="b">
        <f>IFERROR(__xludf.DUMMYFUNCTION("""COMPUTED_VALUE"""),FALSE)</f>
        <v>0</v>
      </c>
      <c r="N1734" s="20" t="b">
        <f>IFERROR(__xludf.DUMMYFUNCTION("""COMPUTED_VALUE"""),FALSE)</f>
        <v>0</v>
      </c>
      <c r="O1734" s="20">
        <f>IFERROR(__xludf.DUMMYFUNCTION("""COMPUTED_VALUE"""),41.908689591078)</f>
        <v>41.90868959</v>
      </c>
      <c r="P1734" s="20">
        <f>IFERROR(__xludf.DUMMYFUNCTION("""COMPUTED_VALUE"""),7215.0)</f>
        <v>7215</v>
      </c>
      <c r="Q1734" s="20">
        <f>IFERROR(__xludf.DUMMYFUNCTION("""COMPUTED_VALUE"""),17216.0)</f>
        <v>17216</v>
      </c>
    </row>
    <row r="1735">
      <c r="A1735" s="20">
        <f>IFERROR(__xludf.DUMMYFUNCTION("""COMPUTED_VALUE"""),1835.0)</f>
        <v>1835</v>
      </c>
      <c r="B1735" s="20" t="str">
        <f>IFERROR(__xludf.DUMMYFUNCTION("""COMPUTED_VALUE"""),"Decode XORed Permutation")</f>
        <v>Decode XORed Permutation</v>
      </c>
      <c r="C1735" s="20" t="str">
        <f>IFERROR(__xludf.DUMMYFUNCTION("""COMPUTED_VALUE"""),"decode-xored-permutation")</f>
        <v>decode-xored-permutation</v>
      </c>
      <c r="D1735" s="20" t="b">
        <f>IFERROR(__xludf.DUMMYFUNCTION("""COMPUTED_VALUE"""),FALSE)</f>
        <v>0</v>
      </c>
      <c r="E1735" s="20" t="str">
        <f>IFERROR(__xludf.DUMMYFUNCTION("""COMPUTED_VALUE"""),"Medium")</f>
        <v>Medium</v>
      </c>
      <c r="F1735" s="20">
        <f>IFERROR(__xludf.DUMMYFUNCTION("""COMPUTED_VALUE"""),615.0)</f>
        <v>615</v>
      </c>
      <c r="G1735" s="20">
        <f>IFERROR(__xludf.DUMMYFUNCTION("""COMPUTED_VALUE"""),20.0)</f>
        <v>20</v>
      </c>
      <c r="H1735" s="20" t="str">
        <f>IFERROR(__xludf.DUMMYFUNCTION("""COMPUTED_VALUE"""),"Algorithms")</f>
        <v>Algorithms</v>
      </c>
      <c r="I1735" s="20">
        <f>IFERROR(__xludf.DUMMYFUNCTION("""COMPUTED_VALUE"""),0.626)</f>
        <v>0.626</v>
      </c>
      <c r="J1735" s="20">
        <f>IFERROR(__xludf.DUMMYFUNCTION("""COMPUTED_VALUE"""),1734.0)</f>
        <v>1734</v>
      </c>
      <c r="K1735" s="20" t="b">
        <f>IFERROR(__xludf.DUMMYFUNCTION("""COMPUTED_VALUE"""),FALSE)</f>
        <v>0</v>
      </c>
      <c r="L1735" s="20" t="str">
        <f>IFERROR(__xludf.DUMMYFUNCTION("""COMPUTED_VALUE"""),"Array;Bit Manipulation;")</f>
        <v>Array;Bit Manipulation;</v>
      </c>
      <c r="M1735" s="20" t="b">
        <f>IFERROR(__xludf.DUMMYFUNCTION("""COMPUTED_VALUE"""),FALSE)</f>
        <v>0</v>
      </c>
      <c r="N1735" s="20" t="b">
        <f>IFERROR(__xludf.DUMMYFUNCTION("""COMPUTED_VALUE"""),FALSE)</f>
        <v>0</v>
      </c>
      <c r="O1735" s="20">
        <f>IFERROR(__xludf.DUMMYFUNCTION("""COMPUTED_VALUE"""),62.5788250912711)</f>
        <v>62.57882509</v>
      </c>
      <c r="P1735" s="20">
        <f>IFERROR(__xludf.DUMMYFUNCTION("""COMPUTED_VALUE"""),11313.0)</f>
        <v>11313</v>
      </c>
      <c r="Q1735" s="20">
        <f>IFERROR(__xludf.DUMMYFUNCTION("""COMPUTED_VALUE"""),18078.0)</f>
        <v>18078</v>
      </c>
    </row>
    <row r="1736">
      <c r="A1736" s="20">
        <f>IFERROR(__xludf.DUMMYFUNCTION("""COMPUTED_VALUE"""),1836.0)</f>
        <v>1836</v>
      </c>
      <c r="B1736" s="20" t="str">
        <f>IFERROR(__xludf.DUMMYFUNCTION("""COMPUTED_VALUE"""),"Count Ways to Make Array With Product")</f>
        <v>Count Ways to Make Array With Product</v>
      </c>
      <c r="C1736" s="20" t="str">
        <f>IFERROR(__xludf.DUMMYFUNCTION("""COMPUTED_VALUE"""),"count-ways-to-make-array-with-product")</f>
        <v>count-ways-to-make-array-with-product</v>
      </c>
      <c r="D1736" s="20" t="b">
        <f>IFERROR(__xludf.DUMMYFUNCTION("""COMPUTED_VALUE"""),FALSE)</f>
        <v>0</v>
      </c>
      <c r="E1736" s="20" t="str">
        <f>IFERROR(__xludf.DUMMYFUNCTION("""COMPUTED_VALUE"""),"Hard")</f>
        <v>Hard</v>
      </c>
      <c r="F1736" s="20">
        <f>IFERROR(__xludf.DUMMYFUNCTION("""COMPUTED_VALUE"""),215.0)</f>
        <v>215</v>
      </c>
      <c r="G1736" s="20">
        <f>IFERROR(__xludf.DUMMYFUNCTION("""COMPUTED_VALUE"""),30.0)</f>
        <v>30</v>
      </c>
      <c r="H1736" s="20" t="str">
        <f>IFERROR(__xludf.DUMMYFUNCTION("""COMPUTED_VALUE"""),"Algorithms")</f>
        <v>Algorithms</v>
      </c>
      <c r="I1736" s="20">
        <f>IFERROR(__xludf.DUMMYFUNCTION("""COMPUTED_VALUE"""),0.504)</f>
        <v>0.504</v>
      </c>
      <c r="J1736" s="20">
        <f>IFERROR(__xludf.DUMMYFUNCTION("""COMPUTED_VALUE"""),1735.0)</f>
        <v>1735</v>
      </c>
      <c r="K1736" s="20" t="b">
        <f>IFERROR(__xludf.DUMMYFUNCTION("""COMPUTED_VALUE"""),FALSE)</f>
        <v>0</v>
      </c>
      <c r="L1736" s="20" t="str">
        <f>IFERROR(__xludf.DUMMYFUNCTION("""COMPUTED_VALUE"""),"Array;Math;Dynamic Programming;Combinatorics;Number Theory;")</f>
        <v>Array;Math;Dynamic Programming;Combinatorics;Number Theory;</v>
      </c>
      <c r="M1736" s="20" t="b">
        <f>IFERROR(__xludf.DUMMYFUNCTION("""COMPUTED_VALUE"""),FALSE)</f>
        <v>0</v>
      </c>
      <c r="N1736" s="20" t="b">
        <f>IFERROR(__xludf.DUMMYFUNCTION("""COMPUTED_VALUE"""),FALSE)</f>
        <v>0</v>
      </c>
      <c r="O1736" s="20">
        <f>IFERROR(__xludf.DUMMYFUNCTION("""COMPUTED_VALUE"""),50.390717499408)</f>
        <v>50.3907175</v>
      </c>
      <c r="P1736" s="20">
        <f>IFERROR(__xludf.DUMMYFUNCTION("""COMPUTED_VALUE"""),4256.0)</f>
        <v>4256</v>
      </c>
      <c r="Q1736" s="20">
        <f>IFERROR(__xludf.DUMMYFUNCTION("""COMPUTED_VALUE"""),8446.0)</f>
        <v>8446</v>
      </c>
    </row>
    <row r="1737">
      <c r="A1737" s="20">
        <f>IFERROR(__xludf.DUMMYFUNCTION("""COMPUTED_VALUE"""),1858.0)</f>
        <v>1858</v>
      </c>
      <c r="B1737" s="20" t="str">
        <f>IFERROR(__xludf.DUMMYFUNCTION("""COMPUTED_VALUE"""),"Latest Time by Replacing Hidden Digits")</f>
        <v>Latest Time by Replacing Hidden Digits</v>
      </c>
      <c r="C1737" s="20" t="str">
        <f>IFERROR(__xludf.DUMMYFUNCTION("""COMPUTED_VALUE"""),"latest-time-by-replacing-hidden-digits")</f>
        <v>latest-time-by-replacing-hidden-digits</v>
      </c>
      <c r="D1737" s="20" t="b">
        <f>IFERROR(__xludf.DUMMYFUNCTION("""COMPUTED_VALUE"""),FALSE)</f>
        <v>0</v>
      </c>
      <c r="E1737" s="20" t="str">
        <f>IFERROR(__xludf.DUMMYFUNCTION("""COMPUTED_VALUE"""),"Easy")</f>
        <v>Easy</v>
      </c>
      <c r="F1737" s="20">
        <f>IFERROR(__xludf.DUMMYFUNCTION("""COMPUTED_VALUE"""),277.0)</f>
        <v>277</v>
      </c>
      <c r="G1737" s="20">
        <f>IFERROR(__xludf.DUMMYFUNCTION("""COMPUTED_VALUE"""),138.0)</f>
        <v>138</v>
      </c>
      <c r="H1737" s="20" t="str">
        <f>IFERROR(__xludf.DUMMYFUNCTION("""COMPUTED_VALUE"""),"Algorithms")</f>
        <v>Algorithms</v>
      </c>
      <c r="I1737" s="20">
        <f>IFERROR(__xludf.DUMMYFUNCTION("""COMPUTED_VALUE"""),0.423)</f>
        <v>0.423</v>
      </c>
      <c r="J1737" s="20">
        <f>IFERROR(__xludf.DUMMYFUNCTION("""COMPUTED_VALUE"""),1736.0)</f>
        <v>1736</v>
      </c>
      <c r="K1737" s="20" t="b">
        <f>IFERROR(__xludf.DUMMYFUNCTION("""COMPUTED_VALUE"""),FALSE)</f>
        <v>0</v>
      </c>
      <c r="L1737" s="20" t="str">
        <f>IFERROR(__xludf.DUMMYFUNCTION("""COMPUTED_VALUE"""),"String;Greedy;")</f>
        <v>String;Greedy;</v>
      </c>
      <c r="M1737" s="20" t="b">
        <f>IFERROR(__xludf.DUMMYFUNCTION("""COMPUTED_VALUE"""),FALSE)</f>
        <v>0</v>
      </c>
      <c r="N1737" s="20" t="b">
        <f>IFERROR(__xludf.DUMMYFUNCTION("""COMPUTED_VALUE"""),FALSE)</f>
        <v>0</v>
      </c>
      <c r="O1737" s="20">
        <f>IFERROR(__xludf.DUMMYFUNCTION("""COMPUTED_VALUE"""),42.2922985522654)</f>
        <v>42.29229855</v>
      </c>
      <c r="P1737" s="20">
        <f>IFERROR(__xludf.DUMMYFUNCTION("""COMPUTED_VALUE"""),27050.0)</f>
        <v>27050</v>
      </c>
      <c r="Q1737" s="20">
        <f>IFERROR(__xludf.DUMMYFUNCTION("""COMPUTED_VALUE"""),63958.0)</f>
        <v>63958</v>
      </c>
    </row>
    <row r="1738">
      <c r="A1738" s="20">
        <f>IFERROR(__xludf.DUMMYFUNCTION("""COMPUTED_VALUE"""),1859.0)</f>
        <v>1859</v>
      </c>
      <c r="B1738" s="20" t="str">
        <f>IFERROR(__xludf.DUMMYFUNCTION("""COMPUTED_VALUE"""),"Change Minimum Characters to Satisfy One of Three Conditions")</f>
        <v>Change Minimum Characters to Satisfy One of Three Conditions</v>
      </c>
      <c r="C1738" s="20" t="str">
        <f>IFERROR(__xludf.DUMMYFUNCTION("""COMPUTED_VALUE"""),"change-minimum-characters-to-satisfy-one-of-three-conditions")</f>
        <v>change-minimum-characters-to-satisfy-one-of-three-conditions</v>
      </c>
      <c r="D1738" s="20" t="b">
        <f>IFERROR(__xludf.DUMMYFUNCTION("""COMPUTED_VALUE"""),FALSE)</f>
        <v>0</v>
      </c>
      <c r="E1738" s="20" t="str">
        <f>IFERROR(__xludf.DUMMYFUNCTION("""COMPUTED_VALUE"""),"Medium")</f>
        <v>Medium</v>
      </c>
      <c r="F1738" s="20">
        <f>IFERROR(__xludf.DUMMYFUNCTION("""COMPUTED_VALUE"""),272.0)</f>
        <v>272</v>
      </c>
      <c r="G1738" s="20">
        <f>IFERROR(__xludf.DUMMYFUNCTION("""COMPUTED_VALUE"""),299.0)</f>
        <v>299</v>
      </c>
      <c r="H1738" s="20" t="str">
        <f>IFERROR(__xludf.DUMMYFUNCTION("""COMPUTED_VALUE"""),"Algorithms")</f>
        <v>Algorithms</v>
      </c>
      <c r="I1738" s="20">
        <f>IFERROR(__xludf.DUMMYFUNCTION("""COMPUTED_VALUE"""),0.354)</f>
        <v>0.354</v>
      </c>
      <c r="J1738" s="20">
        <f>IFERROR(__xludf.DUMMYFUNCTION("""COMPUTED_VALUE"""),1737.0)</f>
        <v>1737</v>
      </c>
      <c r="K1738" s="20" t="b">
        <f>IFERROR(__xludf.DUMMYFUNCTION("""COMPUTED_VALUE"""),FALSE)</f>
        <v>0</v>
      </c>
      <c r="L1738" s="20" t="str">
        <f>IFERROR(__xludf.DUMMYFUNCTION("""COMPUTED_VALUE"""),"Hash Table;String;Counting;Prefix Sum;")</f>
        <v>Hash Table;String;Counting;Prefix Sum;</v>
      </c>
      <c r="M1738" s="20" t="b">
        <f>IFERROR(__xludf.DUMMYFUNCTION("""COMPUTED_VALUE"""),FALSE)</f>
        <v>0</v>
      </c>
      <c r="N1738" s="20" t="b">
        <f>IFERROR(__xludf.DUMMYFUNCTION("""COMPUTED_VALUE"""),FALSE)</f>
        <v>0</v>
      </c>
      <c r="O1738" s="20">
        <f>IFERROR(__xludf.DUMMYFUNCTION("""COMPUTED_VALUE"""),35.3516741851451)</f>
        <v>35.35167419</v>
      </c>
      <c r="P1738" s="20">
        <f>IFERROR(__xludf.DUMMYFUNCTION("""COMPUTED_VALUE"""),11128.0)</f>
        <v>11128</v>
      </c>
      <c r="Q1738" s="20">
        <f>IFERROR(__xludf.DUMMYFUNCTION("""COMPUTED_VALUE"""),31478.0)</f>
        <v>31478</v>
      </c>
    </row>
    <row r="1739">
      <c r="A1739" s="20">
        <f>IFERROR(__xludf.DUMMYFUNCTION("""COMPUTED_VALUE"""),1860.0)</f>
        <v>1860</v>
      </c>
      <c r="B1739" s="20" t="str">
        <f>IFERROR(__xludf.DUMMYFUNCTION("""COMPUTED_VALUE"""),"Find Kth Largest XOR Coordinate Value")</f>
        <v>Find Kth Largest XOR Coordinate Value</v>
      </c>
      <c r="C1739" s="20" t="str">
        <f>IFERROR(__xludf.DUMMYFUNCTION("""COMPUTED_VALUE"""),"find-kth-largest-xor-coordinate-value")</f>
        <v>find-kth-largest-xor-coordinate-value</v>
      </c>
      <c r="D1739" s="20" t="b">
        <f>IFERROR(__xludf.DUMMYFUNCTION("""COMPUTED_VALUE"""),FALSE)</f>
        <v>0</v>
      </c>
      <c r="E1739" s="20" t="str">
        <f>IFERROR(__xludf.DUMMYFUNCTION("""COMPUTED_VALUE"""),"Medium")</f>
        <v>Medium</v>
      </c>
      <c r="F1739" s="20">
        <f>IFERROR(__xludf.DUMMYFUNCTION("""COMPUTED_VALUE"""),406.0)</f>
        <v>406</v>
      </c>
      <c r="G1739" s="20">
        <f>IFERROR(__xludf.DUMMYFUNCTION("""COMPUTED_VALUE"""),59.0)</f>
        <v>59</v>
      </c>
      <c r="H1739" s="20" t="str">
        <f>IFERROR(__xludf.DUMMYFUNCTION("""COMPUTED_VALUE"""),"Algorithms")</f>
        <v>Algorithms</v>
      </c>
      <c r="I1739" s="20">
        <f>IFERROR(__xludf.DUMMYFUNCTION("""COMPUTED_VALUE"""),0.611)</f>
        <v>0.611</v>
      </c>
      <c r="J1739" s="20">
        <f>IFERROR(__xludf.DUMMYFUNCTION("""COMPUTED_VALUE"""),1738.0)</f>
        <v>1738</v>
      </c>
      <c r="K1739" s="20" t="b">
        <f>IFERROR(__xludf.DUMMYFUNCTION("""COMPUTED_VALUE"""),FALSE)</f>
        <v>0</v>
      </c>
      <c r="L1739" s="20" t="str">
        <f>IFERROR(__xludf.DUMMYFUNCTION("""COMPUTED_VALUE"""),"Array;Divide and Conquer;Bit Manipulation;Heap (Priority Queue);Matrix;Prefix Sum;Quickselect;")</f>
        <v>Array;Divide and Conquer;Bit Manipulation;Heap (Priority Queue);Matrix;Prefix Sum;Quickselect;</v>
      </c>
      <c r="M1739" s="20" t="b">
        <f>IFERROR(__xludf.DUMMYFUNCTION("""COMPUTED_VALUE"""),FALSE)</f>
        <v>0</v>
      </c>
      <c r="N1739" s="20" t="b">
        <f>IFERROR(__xludf.DUMMYFUNCTION("""COMPUTED_VALUE"""),FALSE)</f>
        <v>0</v>
      </c>
      <c r="O1739" s="20">
        <f>IFERROR(__xludf.DUMMYFUNCTION("""COMPUTED_VALUE"""),61.0702341137123)</f>
        <v>61.07023411</v>
      </c>
      <c r="P1739" s="20">
        <f>IFERROR(__xludf.DUMMYFUNCTION("""COMPUTED_VALUE"""),17347.0)</f>
        <v>17347</v>
      </c>
      <c r="Q1739" s="20">
        <f>IFERROR(__xludf.DUMMYFUNCTION("""COMPUTED_VALUE"""),28405.0)</f>
        <v>28405</v>
      </c>
    </row>
    <row r="1740">
      <c r="A1740" s="20">
        <f>IFERROR(__xludf.DUMMYFUNCTION("""COMPUTED_VALUE"""),1861.0)</f>
        <v>1861</v>
      </c>
      <c r="B1740" s="20" t="str">
        <f>IFERROR(__xludf.DUMMYFUNCTION("""COMPUTED_VALUE"""),"Building Boxes")</f>
        <v>Building Boxes</v>
      </c>
      <c r="C1740" s="20" t="str">
        <f>IFERROR(__xludf.DUMMYFUNCTION("""COMPUTED_VALUE"""),"building-boxes")</f>
        <v>building-boxes</v>
      </c>
      <c r="D1740" s="20" t="b">
        <f>IFERROR(__xludf.DUMMYFUNCTION("""COMPUTED_VALUE"""),FALSE)</f>
        <v>0</v>
      </c>
      <c r="E1740" s="20" t="str">
        <f>IFERROR(__xludf.DUMMYFUNCTION("""COMPUTED_VALUE"""),"Hard")</f>
        <v>Hard</v>
      </c>
      <c r="F1740" s="20">
        <f>IFERROR(__xludf.DUMMYFUNCTION("""COMPUTED_VALUE"""),248.0)</f>
        <v>248</v>
      </c>
      <c r="G1740" s="20">
        <f>IFERROR(__xludf.DUMMYFUNCTION("""COMPUTED_VALUE"""),42.0)</f>
        <v>42</v>
      </c>
      <c r="H1740" s="20" t="str">
        <f>IFERROR(__xludf.DUMMYFUNCTION("""COMPUTED_VALUE"""),"Algorithms")</f>
        <v>Algorithms</v>
      </c>
      <c r="I1740" s="20">
        <f>IFERROR(__xludf.DUMMYFUNCTION("""COMPUTED_VALUE"""),0.521)</f>
        <v>0.521</v>
      </c>
      <c r="J1740" s="20">
        <f>IFERROR(__xludf.DUMMYFUNCTION("""COMPUTED_VALUE"""),1739.0)</f>
        <v>1739</v>
      </c>
      <c r="K1740" s="20" t="b">
        <f>IFERROR(__xludf.DUMMYFUNCTION("""COMPUTED_VALUE"""),FALSE)</f>
        <v>0</v>
      </c>
      <c r="L1740" s="20" t="str">
        <f>IFERROR(__xludf.DUMMYFUNCTION("""COMPUTED_VALUE"""),"Math;Binary Search;Greedy;")</f>
        <v>Math;Binary Search;Greedy;</v>
      </c>
      <c r="M1740" s="20" t="b">
        <f>IFERROR(__xludf.DUMMYFUNCTION("""COMPUTED_VALUE"""),FALSE)</f>
        <v>0</v>
      </c>
      <c r="N1740" s="20" t="b">
        <f>IFERROR(__xludf.DUMMYFUNCTION("""COMPUTED_VALUE"""),FALSE)</f>
        <v>0</v>
      </c>
      <c r="O1740" s="20">
        <f>IFERROR(__xludf.DUMMYFUNCTION("""COMPUTED_VALUE"""),52.1491550330639)</f>
        <v>52.14915503</v>
      </c>
      <c r="P1740" s="20">
        <f>IFERROR(__xludf.DUMMYFUNCTION("""COMPUTED_VALUE"""),5678.0)</f>
        <v>5678</v>
      </c>
      <c r="Q1740" s="20">
        <f>IFERROR(__xludf.DUMMYFUNCTION("""COMPUTED_VALUE"""),10888.0)</f>
        <v>10888</v>
      </c>
    </row>
    <row r="1741">
      <c r="A1741" s="20">
        <f>IFERROR(__xludf.DUMMYFUNCTION("""COMPUTED_VALUE"""),1883.0)</f>
        <v>1883</v>
      </c>
      <c r="B1741" s="20" t="str">
        <f>IFERROR(__xludf.DUMMYFUNCTION("""COMPUTED_VALUE"""),"Find Distance in a Binary Tree")</f>
        <v>Find Distance in a Binary Tree</v>
      </c>
      <c r="C1741" s="20" t="str">
        <f>IFERROR(__xludf.DUMMYFUNCTION("""COMPUTED_VALUE"""),"find-distance-in-a-binary-tree")</f>
        <v>find-distance-in-a-binary-tree</v>
      </c>
      <c r="D1741" s="20" t="b">
        <f>IFERROR(__xludf.DUMMYFUNCTION("""COMPUTED_VALUE"""),TRUE)</f>
        <v>1</v>
      </c>
      <c r="E1741" s="20" t="str">
        <f>IFERROR(__xludf.DUMMYFUNCTION("""COMPUTED_VALUE"""),"Medium")</f>
        <v>Medium</v>
      </c>
      <c r="F1741" s="20">
        <f>IFERROR(__xludf.DUMMYFUNCTION("""COMPUTED_VALUE"""),340.0)</f>
        <v>340</v>
      </c>
      <c r="G1741" s="20">
        <f>IFERROR(__xludf.DUMMYFUNCTION("""COMPUTED_VALUE"""),12.0)</f>
        <v>12</v>
      </c>
      <c r="H1741" s="20" t="str">
        <f>IFERROR(__xludf.DUMMYFUNCTION("""COMPUTED_VALUE"""),"Algorithms")</f>
        <v>Algorithms</v>
      </c>
      <c r="I1741" s="20">
        <f>IFERROR(__xludf.DUMMYFUNCTION("""COMPUTED_VALUE"""),0.689)</f>
        <v>0.689</v>
      </c>
      <c r="J1741" s="20">
        <f>IFERROR(__xludf.DUMMYFUNCTION("""COMPUTED_VALUE"""),1740.0)</f>
        <v>1740</v>
      </c>
      <c r="K1741" s="20" t="b">
        <f>IFERROR(__xludf.DUMMYFUNCTION("""COMPUTED_VALUE"""),TRUE)</f>
        <v>1</v>
      </c>
      <c r="L1741" s="20" t="str">
        <f>IFERROR(__xludf.DUMMYFUNCTION("""COMPUTED_VALUE"""),"Hash Table;Tree;Depth-First Search;Breadth-First Search;Binary Tree;")</f>
        <v>Hash Table;Tree;Depth-First Search;Breadth-First Search;Binary Tree;</v>
      </c>
      <c r="M1741" s="20" t="b">
        <f>IFERROR(__xludf.DUMMYFUNCTION("""COMPUTED_VALUE"""),FALSE)</f>
        <v>0</v>
      </c>
      <c r="N1741" s="20" t="b">
        <f>IFERROR(__xludf.DUMMYFUNCTION("""COMPUTED_VALUE"""),FALSE)</f>
        <v>0</v>
      </c>
      <c r="O1741" s="20">
        <f>IFERROR(__xludf.DUMMYFUNCTION("""COMPUTED_VALUE"""),68.8938888665675)</f>
        <v>68.89388887</v>
      </c>
      <c r="P1741" s="20">
        <f>IFERROR(__xludf.DUMMYFUNCTION("""COMPUTED_VALUE"""),17147.0)</f>
        <v>17147</v>
      </c>
      <c r="Q1741" s="20">
        <f>IFERROR(__xludf.DUMMYFUNCTION("""COMPUTED_VALUE"""),24889.0)</f>
        <v>24889</v>
      </c>
    </row>
    <row r="1742">
      <c r="A1742" s="20">
        <f>IFERROR(__xludf.DUMMYFUNCTION("""COMPUTED_VALUE"""),1892.0)</f>
        <v>1892</v>
      </c>
      <c r="B1742" s="20" t="str">
        <f>IFERROR(__xludf.DUMMYFUNCTION("""COMPUTED_VALUE"""),"Find Total Time Spent by Each Employee")</f>
        <v>Find Total Time Spent by Each Employee</v>
      </c>
      <c r="C1742" s="20" t="str">
        <f>IFERROR(__xludf.DUMMYFUNCTION("""COMPUTED_VALUE"""),"find-total-time-spent-by-each-employee")</f>
        <v>find-total-time-spent-by-each-employee</v>
      </c>
      <c r="D1742" s="20" t="b">
        <f>IFERROR(__xludf.DUMMYFUNCTION("""COMPUTED_VALUE"""),FALSE)</f>
        <v>0</v>
      </c>
      <c r="E1742" s="20" t="str">
        <f>IFERROR(__xludf.DUMMYFUNCTION("""COMPUTED_VALUE"""),"Easy")</f>
        <v>Easy</v>
      </c>
      <c r="F1742" s="20">
        <f>IFERROR(__xludf.DUMMYFUNCTION("""COMPUTED_VALUE"""),413.0)</f>
        <v>413</v>
      </c>
      <c r="G1742" s="20">
        <f>IFERROR(__xludf.DUMMYFUNCTION("""COMPUTED_VALUE"""),9.0)</f>
        <v>9</v>
      </c>
      <c r="H1742" s="20" t="str">
        <f>IFERROR(__xludf.DUMMYFUNCTION("""COMPUTED_VALUE"""),"Database")</f>
        <v>Database</v>
      </c>
      <c r="I1742" s="20">
        <f>IFERROR(__xludf.DUMMYFUNCTION("""COMPUTED_VALUE"""),0.911)</f>
        <v>0.911</v>
      </c>
      <c r="J1742" s="20">
        <f>IFERROR(__xludf.DUMMYFUNCTION("""COMPUTED_VALUE"""),1741.0)</f>
        <v>1741</v>
      </c>
      <c r="K1742" s="20" t="b">
        <f>IFERROR(__xludf.DUMMYFUNCTION("""COMPUTED_VALUE"""),FALSE)</f>
        <v>0</v>
      </c>
      <c r="L1742" s="20" t="str">
        <f>IFERROR(__xludf.DUMMYFUNCTION("""COMPUTED_VALUE"""),"Database;")</f>
        <v>Database;</v>
      </c>
      <c r="M1742" s="20" t="b">
        <f>IFERROR(__xludf.DUMMYFUNCTION("""COMPUTED_VALUE"""),FALSE)</f>
        <v>0</v>
      </c>
      <c r="N1742" s="20" t="b">
        <f>IFERROR(__xludf.DUMMYFUNCTION("""COMPUTED_VALUE"""),FALSE)</f>
        <v>0</v>
      </c>
      <c r="O1742" s="20">
        <f>IFERROR(__xludf.DUMMYFUNCTION("""COMPUTED_VALUE"""),91.0689592557931)</f>
        <v>91.06895926</v>
      </c>
      <c r="P1742" s="20">
        <f>IFERROR(__xludf.DUMMYFUNCTION("""COMPUTED_VALUE"""),65192.0)</f>
        <v>65192</v>
      </c>
      <c r="Q1742" s="20">
        <f>IFERROR(__xludf.DUMMYFUNCTION("""COMPUTED_VALUE"""),71586.0)</f>
        <v>71586</v>
      </c>
    </row>
    <row r="1743">
      <c r="A1743" s="20">
        <f>IFERROR(__xludf.DUMMYFUNCTION("""COMPUTED_VALUE"""),1844.0)</f>
        <v>1844</v>
      </c>
      <c r="B1743" s="20" t="str">
        <f>IFERROR(__xludf.DUMMYFUNCTION("""COMPUTED_VALUE"""),"Maximum Number of Balls in a Box")</f>
        <v>Maximum Number of Balls in a Box</v>
      </c>
      <c r="C1743" s="20" t="str">
        <f>IFERROR(__xludf.DUMMYFUNCTION("""COMPUTED_VALUE"""),"maximum-number-of-balls-in-a-box")</f>
        <v>maximum-number-of-balls-in-a-box</v>
      </c>
      <c r="D1743" s="20" t="b">
        <f>IFERROR(__xludf.DUMMYFUNCTION("""COMPUTED_VALUE"""),FALSE)</f>
        <v>0</v>
      </c>
      <c r="E1743" s="20" t="str">
        <f>IFERROR(__xludf.DUMMYFUNCTION("""COMPUTED_VALUE"""),"Easy")</f>
        <v>Easy</v>
      </c>
      <c r="F1743" s="20">
        <f>IFERROR(__xludf.DUMMYFUNCTION("""COMPUTED_VALUE"""),481.0)</f>
        <v>481</v>
      </c>
      <c r="G1743" s="20">
        <f>IFERROR(__xludf.DUMMYFUNCTION("""COMPUTED_VALUE"""),114.0)</f>
        <v>114</v>
      </c>
      <c r="H1743" s="20" t="str">
        <f>IFERROR(__xludf.DUMMYFUNCTION("""COMPUTED_VALUE"""),"Algorithms")</f>
        <v>Algorithms</v>
      </c>
      <c r="I1743" s="20">
        <f>IFERROR(__xludf.DUMMYFUNCTION("""COMPUTED_VALUE"""),0.738)</f>
        <v>0.738</v>
      </c>
      <c r="J1743" s="20">
        <f>IFERROR(__xludf.DUMMYFUNCTION("""COMPUTED_VALUE"""),1742.0)</f>
        <v>1742</v>
      </c>
      <c r="K1743" s="20" t="b">
        <f>IFERROR(__xludf.DUMMYFUNCTION("""COMPUTED_VALUE"""),FALSE)</f>
        <v>0</v>
      </c>
      <c r="L1743" s="20" t="str">
        <f>IFERROR(__xludf.DUMMYFUNCTION("""COMPUTED_VALUE"""),"Hash Table;Math;Counting;")</f>
        <v>Hash Table;Math;Counting;</v>
      </c>
      <c r="M1743" s="20" t="b">
        <f>IFERROR(__xludf.DUMMYFUNCTION("""COMPUTED_VALUE"""),FALSE)</f>
        <v>0</v>
      </c>
      <c r="N1743" s="20" t="b">
        <f>IFERROR(__xludf.DUMMYFUNCTION("""COMPUTED_VALUE"""),FALSE)</f>
        <v>0</v>
      </c>
      <c r="O1743" s="20">
        <f>IFERROR(__xludf.DUMMYFUNCTION("""COMPUTED_VALUE"""),73.8462490524003)</f>
        <v>73.84624905</v>
      </c>
      <c r="P1743" s="20">
        <f>IFERROR(__xludf.DUMMYFUNCTION("""COMPUTED_VALUE"""),47732.0)</f>
        <v>47732</v>
      </c>
      <c r="Q1743" s="20">
        <f>IFERROR(__xludf.DUMMYFUNCTION("""COMPUTED_VALUE"""),64637.0)</f>
        <v>64637</v>
      </c>
    </row>
    <row r="1744">
      <c r="A1744" s="20">
        <f>IFERROR(__xludf.DUMMYFUNCTION("""COMPUTED_VALUE"""),1866.0)</f>
        <v>1866</v>
      </c>
      <c r="B1744" s="20" t="str">
        <f>IFERROR(__xludf.DUMMYFUNCTION("""COMPUTED_VALUE"""),"Restore the Array From Adjacent Pairs")</f>
        <v>Restore the Array From Adjacent Pairs</v>
      </c>
      <c r="C1744" s="20" t="str">
        <f>IFERROR(__xludf.DUMMYFUNCTION("""COMPUTED_VALUE"""),"restore-the-array-from-adjacent-pairs")</f>
        <v>restore-the-array-from-adjacent-pairs</v>
      </c>
      <c r="D1744" s="20" t="b">
        <f>IFERROR(__xludf.DUMMYFUNCTION("""COMPUTED_VALUE"""),FALSE)</f>
        <v>0</v>
      </c>
      <c r="E1744" s="20" t="str">
        <f>IFERROR(__xludf.DUMMYFUNCTION("""COMPUTED_VALUE"""),"Medium")</f>
        <v>Medium</v>
      </c>
      <c r="F1744" s="20">
        <f>IFERROR(__xludf.DUMMYFUNCTION("""COMPUTED_VALUE"""),827.0)</f>
        <v>827</v>
      </c>
      <c r="G1744" s="20">
        <f>IFERROR(__xludf.DUMMYFUNCTION("""COMPUTED_VALUE"""),16.0)</f>
        <v>16</v>
      </c>
      <c r="H1744" s="20" t="str">
        <f>IFERROR(__xludf.DUMMYFUNCTION("""COMPUTED_VALUE"""),"Algorithms")</f>
        <v>Algorithms</v>
      </c>
      <c r="I1744" s="20">
        <f>IFERROR(__xludf.DUMMYFUNCTION("""COMPUTED_VALUE"""),0.687)</f>
        <v>0.687</v>
      </c>
      <c r="J1744" s="20">
        <f>IFERROR(__xludf.DUMMYFUNCTION("""COMPUTED_VALUE"""),1743.0)</f>
        <v>1743</v>
      </c>
      <c r="K1744" s="20" t="b">
        <f>IFERROR(__xludf.DUMMYFUNCTION("""COMPUTED_VALUE"""),FALSE)</f>
        <v>0</v>
      </c>
      <c r="L1744" s="20" t="str">
        <f>IFERROR(__xludf.DUMMYFUNCTION("""COMPUTED_VALUE"""),"Array;Hash Table;")</f>
        <v>Array;Hash Table;</v>
      </c>
      <c r="M1744" s="20" t="b">
        <f>IFERROR(__xludf.DUMMYFUNCTION("""COMPUTED_VALUE"""),FALSE)</f>
        <v>0</v>
      </c>
      <c r="N1744" s="20" t="b">
        <f>IFERROR(__xludf.DUMMYFUNCTION("""COMPUTED_VALUE"""),FALSE)</f>
        <v>0</v>
      </c>
      <c r="O1744" s="20">
        <f>IFERROR(__xludf.DUMMYFUNCTION("""COMPUTED_VALUE"""),68.6706037302969)</f>
        <v>68.67060373</v>
      </c>
      <c r="P1744" s="20">
        <f>IFERROR(__xludf.DUMMYFUNCTION("""COMPUTED_VALUE"""),32326.0)</f>
        <v>32326</v>
      </c>
      <c r="Q1744" s="20">
        <f>IFERROR(__xludf.DUMMYFUNCTION("""COMPUTED_VALUE"""),47074.0)</f>
        <v>47074</v>
      </c>
    </row>
    <row r="1745">
      <c r="A1745" s="20">
        <f>IFERROR(__xludf.DUMMYFUNCTION("""COMPUTED_VALUE"""),1872.0)</f>
        <v>1872</v>
      </c>
      <c r="B1745" s="20" t="str">
        <f>IFERROR(__xludf.DUMMYFUNCTION("""COMPUTED_VALUE"""),"Can You Eat Your Favorite Candy on Your Favorite Day?")</f>
        <v>Can You Eat Your Favorite Candy on Your Favorite Day?</v>
      </c>
      <c r="C1745" s="20" t="str">
        <f>IFERROR(__xludf.DUMMYFUNCTION("""COMPUTED_VALUE"""),"can-you-eat-your-favorite-candy-on-your-favorite-day")</f>
        <v>can-you-eat-your-favorite-candy-on-your-favorite-day</v>
      </c>
      <c r="D1745" s="20" t="b">
        <f>IFERROR(__xludf.DUMMYFUNCTION("""COMPUTED_VALUE"""),FALSE)</f>
        <v>0</v>
      </c>
      <c r="E1745" s="20" t="str">
        <f>IFERROR(__xludf.DUMMYFUNCTION("""COMPUTED_VALUE"""),"Medium")</f>
        <v>Medium</v>
      </c>
      <c r="F1745" s="20">
        <f>IFERROR(__xludf.DUMMYFUNCTION("""COMPUTED_VALUE"""),102.0)</f>
        <v>102</v>
      </c>
      <c r="G1745" s="20">
        <f>IFERROR(__xludf.DUMMYFUNCTION("""COMPUTED_VALUE"""),291.0)</f>
        <v>291</v>
      </c>
      <c r="H1745" s="20" t="str">
        <f>IFERROR(__xludf.DUMMYFUNCTION("""COMPUTED_VALUE"""),"Algorithms")</f>
        <v>Algorithms</v>
      </c>
      <c r="I1745" s="20">
        <f>IFERROR(__xludf.DUMMYFUNCTION("""COMPUTED_VALUE"""),0.33)</f>
        <v>0.33</v>
      </c>
      <c r="J1745" s="20">
        <f>IFERROR(__xludf.DUMMYFUNCTION("""COMPUTED_VALUE"""),1744.0)</f>
        <v>1744</v>
      </c>
      <c r="K1745" s="20" t="b">
        <f>IFERROR(__xludf.DUMMYFUNCTION("""COMPUTED_VALUE"""),FALSE)</f>
        <v>0</v>
      </c>
      <c r="L1745" s="20" t="str">
        <f>IFERROR(__xludf.DUMMYFUNCTION("""COMPUTED_VALUE"""),"Array;Prefix Sum;")</f>
        <v>Array;Prefix Sum;</v>
      </c>
      <c r="M1745" s="20" t="b">
        <f>IFERROR(__xludf.DUMMYFUNCTION("""COMPUTED_VALUE"""),FALSE)</f>
        <v>0</v>
      </c>
      <c r="N1745" s="20" t="b">
        <f>IFERROR(__xludf.DUMMYFUNCTION("""COMPUTED_VALUE"""),FALSE)</f>
        <v>0</v>
      </c>
      <c r="O1745" s="20">
        <f>IFERROR(__xludf.DUMMYFUNCTION("""COMPUTED_VALUE"""),32.9918264341406)</f>
        <v>32.99182643</v>
      </c>
      <c r="P1745" s="20">
        <f>IFERROR(__xludf.DUMMYFUNCTION("""COMPUTED_VALUE"""),8759.0)</f>
        <v>8759</v>
      </c>
      <c r="Q1745" s="20">
        <f>IFERROR(__xludf.DUMMYFUNCTION("""COMPUTED_VALUE"""),26549.0)</f>
        <v>26549</v>
      </c>
    </row>
    <row r="1746">
      <c r="A1746" s="20">
        <f>IFERROR(__xludf.DUMMYFUNCTION("""COMPUTED_VALUE"""),1871.0)</f>
        <v>1871</v>
      </c>
      <c r="B1746" s="20" t="str">
        <f>IFERROR(__xludf.DUMMYFUNCTION("""COMPUTED_VALUE"""),"Palindrome Partitioning IV")</f>
        <v>Palindrome Partitioning IV</v>
      </c>
      <c r="C1746" s="20" t="str">
        <f>IFERROR(__xludf.DUMMYFUNCTION("""COMPUTED_VALUE"""),"palindrome-partitioning-iv")</f>
        <v>palindrome-partitioning-iv</v>
      </c>
      <c r="D1746" s="20" t="b">
        <f>IFERROR(__xludf.DUMMYFUNCTION("""COMPUTED_VALUE"""),FALSE)</f>
        <v>0</v>
      </c>
      <c r="E1746" s="20" t="str">
        <f>IFERROR(__xludf.DUMMYFUNCTION("""COMPUTED_VALUE"""),"Hard")</f>
        <v>Hard</v>
      </c>
      <c r="F1746" s="20">
        <f>IFERROR(__xludf.DUMMYFUNCTION("""COMPUTED_VALUE"""),728.0)</f>
        <v>728</v>
      </c>
      <c r="G1746" s="20">
        <f>IFERROR(__xludf.DUMMYFUNCTION("""COMPUTED_VALUE"""),20.0)</f>
        <v>20</v>
      </c>
      <c r="H1746" s="20" t="str">
        <f>IFERROR(__xludf.DUMMYFUNCTION("""COMPUTED_VALUE"""),"Algorithms")</f>
        <v>Algorithms</v>
      </c>
      <c r="I1746" s="20">
        <f>IFERROR(__xludf.DUMMYFUNCTION("""COMPUTED_VALUE"""),0.458)</f>
        <v>0.458</v>
      </c>
      <c r="J1746" s="20">
        <f>IFERROR(__xludf.DUMMYFUNCTION("""COMPUTED_VALUE"""),1745.0)</f>
        <v>1745</v>
      </c>
      <c r="K1746" s="20" t="b">
        <f>IFERROR(__xludf.DUMMYFUNCTION("""COMPUTED_VALUE"""),FALSE)</f>
        <v>0</v>
      </c>
      <c r="L1746" s="20" t="str">
        <f>IFERROR(__xludf.DUMMYFUNCTION("""COMPUTED_VALUE"""),"String;Dynamic Programming;")</f>
        <v>String;Dynamic Programming;</v>
      </c>
      <c r="M1746" s="20" t="b">
        <f>IFERROR(__xludf.DUMMYFUNCTION("""COMPUTED_VALUE"""),FALSE)</f>
        <v>0</v>
      </c>
      <c r="N1746" s="20" t="b">
        <f>IFERROR(__xludf.DUMMYFUNCTION("""COMPUTED_VALUE"""),FALSE)</f>
        <v>0</v>
      </c>
      <c r="O1746" s="20">
        <f>IFERROR(__xludf.DUMMYFUNCTION("""COMPUTED_VALUE"""),45.7869831281123)</f>
        <v>45.78698313</v>
      </c>
      <c r="P1746" s="20">
        <f>IFERROR(__xludf.DUMMYFUNCTION("""COMPUTED_VALUE"""),18480.0)</f>
        <v>18480</v>
      </c>
      <c r="Q1746" s="20">
        <f>IFERROR(__xludf.DUMMYFUNCTION("""COMPUTED_VALUE"""),40361.0)</f>
        <v>40361</v>
      </c>
    </row>
    <row r="1747">
      <c r="A1747" s="20">
        <f>IFERROR(__xludf.DUMMYFUNCTION("""COMPUTED_VALUE"""),1893.0)</f>
        <v>1893</v>
      </c>
      <c r="B1747" s="20" t="str">
        <f>IFERROR(__xludf.DUMMYFUNCTION("""COMPUTED_VALUE"""),"Maximum Subarray Sum After One Operation")</f>
        <v>Maximum Subarray Sum After One Operation</v>
      </c>
      <c r="C1747" s="20" t="str">
        <f>IFERROR(__xludf.DUMMYFUNCTION("""COMPUTED_VALUE"""),"maximum-subarray-sum-after-one-operation")</f>
        <v>maximum-subarray-sum-after-one-operation</v>
      </c>
      <c r="D1747" s="20" t="b">
        <f>IFERROR(__xludf.DUMMYFUNCTION("""COMPUTED_VALUE"""),TRUE)</f>
        <v>1</v>
      </c>
      <c r="E1747" s="20" t="str">
        <f>IFERROR(__xludf.DUMMYFUNCTION("""COMPUTED_VALUE"""),"Medium")</f>
        <v>Medium</v>
      </c>
      <c r="F1747" s="20">
        <f>IFERROR(__xludf.DUMMYFUNCTION("""COMPUTED_VALUE"""),246.0)</f>
        <v>246</v>
      </c>
      <c r="G1747" s="20">
        <f>IFERROR(__xludf.DUMMYFUNCTION("""COMPUTED_VALUE"""),5.0)</f>
        <v>5</v>
      </c>
      <c r="H1747" s="20" t="str">
        <f>IFERROR(__xludf.DUMMYFUNCTION("""COMPUTED_VALUE"""),"Algorithms")</f>
        <v>Algorithms</v>
      </c>
      <c r="I1747" s="20">
        <f>IFERROR(__xludf.DUMMYFUNCTION("""COMPUTED_VALUE"""),0.622)</f>
        <v>0.622</v>
      </c>
      <c r="J1747" s="20">
        <f>IFERROR(__xludf.DUMMYFUNCTION("""COMPUTED_VALUE"""),1746.0)</f>
        <v>1746</v>
      </c>
      <c r="K1747" s="20" t="b">
        <f>IFERROR(__xludf.DUMMYFUNCTION("""COMPUTED_VALUE"""),TRUE)</f>
        <v>1</v>
      </c>
      <c r="L1747" s="20" t="str">
        <f>IFERROR(__xludf.DUMMYFUNCTION("""COMPUTED_VALUE"""),"Array;Dynamic Programming;")</f>
        <v>Array;Dynamic Programming;</v>
      </c>
      <c r="M1747" s="20" t="b">
        <f>IFERROR(__xludf.DUMMYFUNCTION("""COMPUTED_VALUE"""),FALSE)</f>
        <v>0</v>
      </c>
      <c r="N1747" s="20" t="b">
        <f>IFERROR(__xludf.DUMMYFUNCTION("""COMPUTED_VALUE"""),FALSE)</f>
        <v>0</v>
      </c>
      <c r="O1747" s="20">
        <f>IFERROR(__xludf.DUMMYFUNCTION("""COMPUTED_VALUE"""),62.1955233706385)</f>
        <v>62.19552337</v>
      </c>
      <c r="P1747" s="20">
        <f>IFERROR(__xludf.DUMMYFUNCTION("""COMPUTED_VALUE"""),7558.0)</f>
        <v>7558</v>
      </c>
      <c r="Q1747" s="20">
        <f>IFERROR(__xludf.DUMMYFUNCTION("""COMPUTED_VALUE"""),12152.0)</f>
        <v>12152</v>
      </c>
    </row>
    <row r="1748">
      <c r="A1748" s="20">
        <f>IFERROR(__xludf.DUMMYFUNCTION("""COMPUTED_VALUE"""),1898.0)</f>
        <v>1898</v>
      </c>
      <c r="B1748" s="20" t="str">
        <f>IFERROR(__xludf.DUMMYFUNCTION("""COMPUTED_VALUE"""),"Leetflex Banned Accounts")</f>
        <v>Leetflex Banned Accounts</v>
      </c>
      <c r="C1748" s="20" t="str">
        <f>IFERROR(__xludf.DUMMYFUNCTION("""COMPUTED_VALUE"""),"leetflex-banned-accounts")</f>
        <v>leetflex-banned-accounts</v>
      </c>
      <c r="D1748" s="20" t="b">
        <f>IFERROR(__xludf.DUMMYFUNCTION("""COMPUTED_VALUE"""),TRUE)</f>
        <v>1</v>
      </c>
      <c r="E1748" s="20" t="str">
        <f>IFERROR(__xludf.DUMMYFUNCTION("""COMPUTED_VALUE"""),"Medium")</f>
        <v>Medium</v>
      </c>
      <c r="F1748" s="20">
        <f>IFERROR(__xludf.DUMMYFUNCTION("""COMPUTED_VALUE"""),122.0)</f>
        <v>122</v>
      </c>
      <c r="G1748" s="20">
        <f>IFERROR(__xludf.DUMMYFUNCTION("""COMPUTED_VALUE"""),7.0)</f>
        <v>7</v>
      </c>
      <c r="H1748" s="20" t="str">
        <f>IFERROR(__xludf.DUMMYFUNCTION("""COMPUTED_VALUE"""),"Database")</f>
        <v>Database</v>
      </c>
      <c r="I1748" s="20">
        <f>IFERROR(__xludf.DUMMYFUNCTION("""COMPUTED_VALUE"""),0.681)</f>
        <v>0.681</v>
      </c>
      <c r="J1748" s="20">
        <f>IFERROR(__xludf.DUMMYFUNCTION("""COMPUTED_VALUE"""),1747.0)</f>
        <v>1747</v>
      </c>
      <c r="K1748" s="20" t="b">
        <f>IFERROR(__xludf.DUMMYFUNCTION("""COMPUTED_VALUE"""),TRUE)</f>
        <v>1</v>
      </c>
      <c r="L1748" s="20" t="str">
        <f>IFERROR(__xludf.DUMMYFUNCTION("""COMPUTED_VALUE"""),"Database;")</f>
        <v>Database;</v>
      </c>
      <c r="M1748" s="20" t="b">
        <f>IFERROR(__xludf.DUMMYFUNCTION("""COMPUTED_VALUE"""),FALSE)</f>
        <v>0</v>
      </c>
      <c r="N1748" s="20" t="b">
        <f>IFERROR(__xludf.DUMMYFUNCTION("""COMPUTED_VALUE"""),FALSE)</f>
        <v>0</v>
      </c>
      <c r="O1748" s="20">
        <f>IFERROR(__xludf.DUMMYFUNCTION("""COMPUTED_VALUE"""),68.1313053720489)</f>
        <v>68.13130537</v>
      </c>
      <c r="P1748" s="20">
        <f>IFERROR(__xludf.DUMMYFUNCTION("""COMPUTED_VALUE"""),13304.0)</f>
        <v>13304</v>
      </c>
      <c r="Q1748" s="20">
        <f>IFERROR(__xludf.DUMMYFUNCTION("""COMPUTED_VALUE"""),19527.0)</f>
        <v>19527</v>
      </c>
    </row>
    <row r="1749">
      <c r="A1749" s="20">
        <f>IFERROR(__xludf.DUMMYFUNCTION("""COMPUTED_VALUE"""),1848.0)</f>
        <v>1848</v>
      </c>
      <c r="B1749" s="20" t="str">
        <f>IFERROR(__xludf.DUMMYFUNCTION("""COMPUTED_VALUE"""),"Sum of Unique Elements")</f>
        <v>Sum of Unique Elements</v>
      </c>
      <c r="C1749" s="20" t="str">
        <f>IFERROR(__xludf.DUMMYFUNCTION("""COMPUTED_VALUE"""),"sum-of-unique-elements")</f>
        <v>sum-of-unique-elements</v>
      </c>
      <c r="D1749" s="20" t="b">
        <f>IFERROR(__xludf.DUMMYFUNCTION("""COMPUTED_VALUE"""),FALSE)</f>
        <v>0</v>
      </c>
      <c r="E1749" s="20" t="str">
        <f>IFERROR(__xludf.DUMMYFUNCTION("""COMPUTED_VALUE"""),"Easy")</f>
        <v>Easy</v>
      </c>
      <c r="F1749" s="20">
        <f>IFERROR(__xludf.DUMMYFUNCTION("""COMPUTED_VALUE"""),1038.0)</f>
        <v>1038</v>
      </c>
      <c r="G1749" s="20">
        <f>IFERROR(__xludf.DUMMYFUNCTION("""COMPUTED_VALUE"""),22.0)</f>
        <v>22</v>
      </c>
      <c r="H1749" s="20" t="str">
        <f>IFERROR(__xludf.DUMMYFUNCTION("""COMPUTED_VALUE"""),"Algorithms")</f>
        <v>Algorithms</v>
      </c>
      <c r="I1749" s="20">
        <f>IFERROR(__xludf.DUMMYFUNCTION("""COMPUTED_VALUE"""),0.758)</f>
        <v>0.758</v>
      </c>
      <c r="J1749" s="20">
        <f>IFERROR(__xludf.DUMMYFUNCTION("""COMPUTED_VALUE"""),1748.0)</f>
        <v>1748</v>
      </c>
      <c r="K1749" s="20" t="b">
        <f>IFERROR(__xludf.DUMMYFUNCTION("""COMPUTED_VALUE"""),FALSE)</f>
        <v>0</v>
      </c>
      <c r="L1749" s="20" t="str">
        <f>IFERROR(__xludf.DUMMYFUNCTION("""COMPUTED_VALUE"""),"Array;Hash Table;Counting;")</f>
        <v>Array;Hash Table;Counting;</v>
      </c>
      <c r="M1749" s="20" t="b">
        <f>IFERROR(__xludf.DUMMYFUNCTION("""COMPUTED_VALUE"""),FALSE)</f>
        <v>0</v>
      </c>
      <c r="N1749" s="20" t="b">
        <f>IFERROR(__xludf.DUMMYFUNCTION("""COMPUTED_VALUE"""),FALSE)</f>
        <v>0</v>
      </c>
      <c r="O1749" s="20">
        <f>IFERROR(__xludf.DUMMYFUNCTION("""COMPUTED_VALUE"""),75.8414304691114)</f>
        <v>75.84143047</v>
      </c>
      <c r="P1749" s="20">
        <f>IFERROR(__xludf.DUMMYFUNCTION("""COMPUTED_VALUE"""),101625.0)</f>
        <v>101625</v>
      </c>
      <c r="Q1749" s="20">
        <f>IFERROR(__xludf.DUMMYFUNCTION("""COMPUTED_VALUE"""),133993.0)</f>
        <v>133993</v>
      </c>
    </row>
    <row r="1750">
      <c r="A1750" s="20">
        <f>IFERROR(__xludf.DUMMYFUNCTION("""COMPUTED_VALUE"""),1849.0)</f>
        <v>1849</v>
      </c>
      <c r="B1750" s="20" t="str">
        <f>IFERROR(__xludf.DUMMYFUNCTION("""COMPUTED_VALUE"""),"Maximum Absolute Sum of Any Subarray")</f>
        <v>Maximum Absolute Sum of Any Subarray</v>
      </c>
      <c r="C1750" s="20" t="str">
        <f>IFERROR(__xludf.DUMMYFUNCTION("""COMPUTED_VALUE"""),"maximum-absolute-sum-of-any-subarray")</f>
        <v>maximum-absolute-sum-of-any-subarray</v>
      </c>
      <c r="D1750" s="20" t="b">
        <f>IFERROR(__xludf.DUMMYFUNCTION("""COMPUTED_VALUE"""),FALSE)</f>
        <v>0</v>
      </c>
      <c r="E1750" s="20" t="str">
        <f>IFERROR(__xludf.DUMMYFUNCTION("""COMPUTED_VALUE"""),"Medium")</f>
        <v>Medium</v>
      </c>
      <c r="F1750" s="20">
        <f>IFERROR(__xludf.DUMMYFUNCTION("""COMPUTED_VALUE"""),981.0)</f>
        <v>981</v>
      </c>
      <c r="G1750" s="20">
        <f>IFERROR(__xludf.DUMMYFUNCTION("""COMPUTED_VALUE"""),15.0)</f>
        <v>15</v>
      </c>
      <c r="H1750" s="20" t="str">
        <f>IFERROR(__xludf.DUMMYFUNCTION("""COMPUTED_VALUE"""),"Algorithms")</f>
        <v>Algorithms</v>
      </c>
      <c r="I1750" s="20">
        <f>IFERROR(__xludf.DUMMYFUNCTION("""COMPUTED_VALUE"""),0.583)</f>
        <v>0.583</v>
      </c>
      <c r="J1750" s="20">
        <f>IFERROR(__xludf.DUMMYFUNCTION("""COMPUTED_VALUE"""),1749.0)</f>
        <v>1749</v>
      </c>
      <c r="K1750" s="20" t="b">
        <f>IFERROR(__xludf.DUMMYFUNCTION("""COMPUTED_VALUE"""),FALSE)</f>
        <v>0</v>
      </c>
      <c r="L1750" s="20" t="str">
        <f>IFERROR(__xludf.DUMMYFUNCTION("""COMPUTED_VALUE"""),"Array;Dynamic Programming;")</f>
        <v>Array;Dynamic Programming;</v>
      </c>
      <c r="M1750" s="20" t="b">
        <f>IFERROR(__xludf.DUMMYFUNCTION("""COMPUTED_VALUE"""),FALSE)</f>
        <v>0</v>
      </c>
      <c r="N1750" s="20" t="b">
        <f>IFERROR(__xludf.DUMMYFUNCTION("""COMPUTED_VALUE"""),FALSE)</f>
        <v>0</v>
      </c>
      <c r="O1750" s="20">
        <f>IFERROR(__xludf.DUMMYFUNCTION("""COMPUTED_VALUE"""),58.3365452885688)</f>
        <v>58.33654529</v>
      </c>
      <c r="P1750" s="20">
        <f>IFERROR(__xludf.DUMMYFUNCTION("""COMPUTED_VALUE"""),28757.0)</f>
        <v>28757</v>
      </c>
      <c r="Q1750" s="20">
        <f>IFERROR(__xludf.DUMMYFUNCTION("""COMPUTED_VALUE"""),49295.0)</f>
        <v>49295</v>
      </c>
    </row>
    <row r="1751">
      <c r="A1751" s="20">
        <f>IFERROR(__xludf.DUMMYFUNCTION("""COMPUTED_VALUE"""),1850.0)</f>
        <v>1850</v>
      </c>
      <c r="B1751" s="20" t="str">
        <f>IFERROR(__xludf.DUMMYFUNCTION("""COMPUTED_VALUE"""),"Minimum Length of String After Deleting Similar Ends")</f>
        <v>Minimum Length of String After Deleting Similar Ends</v>
      </c>
      <c r="C1751" s="20" t="str">
        <f>IFERROR(__xludf.DUMMYFUNCTION("""COMPUTED_VALUE"""),"minimum-length-of-string-after-deleting-similar-ends")</f>
        <v>minimum-length-of-string-after-deleting-similar-ends</v>
      </c>
      <c r="D1751" s="20" t="b">
        <f>IFERROR(__xludf.DUMMYFUNCTION("""COMPUTED_VALUE"""),FALSE)</f>
        <v>0</v>
      </c>
      <c r="E1751" s="20" t="str">
        <f>IFERROR(__xludf.DUMMYFUNCTION("""COMPUTED_VALUE"""),"Medium")</f>
        <v>Medium</v>
      </c>
      <c r="F1751" s="20">
        <f>IFERROR(__xludf.DUMMYFUNCTION("""COMPUTED_VALUE"""),361.0)</f>
        <v>361</v>
      </c>
      <c r="G1751" s="20">
        <f>IFERROR(__xludf.DUMMYFUNCTION("""COMPUTED_VALUE"""),23.0)</f>
        <v>23</v>
      </c>
      <c r="H1751" s="20" t="str">
        <f>IFERROR(__xludf.DUMMYFUNCTION("""COMPUTED_VALUE"""),"Algorithms")</f>
        <v>Algorithms</v>
      </c>
      <c r="I1751" s="20">
        <f>IFERROR(__xludf.DUMMYFUNCTION("""COMPUTED_VALUE"""),0.438)</f>
        <v>0.438</v>
      </c>
      <c r="J1751" s="20">
        <f>IFERROR(__xludf.DUMMYFUNCTION("""COMPUTED_VALUE"""),1750.0)</f>
        <v>1750</v>
      </c>
      <c r="K1751" s="20" t="b">
        <f>IFERROR(__xludf.DUMMYFUNCTION("""COMPUTED_VALUE"""),FALSE)</f>
        <v>0</v>
      </c>
      <c r="L1751" s="20" t="str">
        <f>IFERROR(__xludf.DUMMYFUNCTION("""COMPUTED_VALUE"""),"Two Pointers;String;")</f>
        <v>Two Pointers;String;</v>
      </c>
      <c r="M1751" s="20" t="b">
        <f>IFERROR(__xludf.DUMMYFUNCTION("""COMPUTED_VALUE"""),FALSE)</f>
        <v>0</v>
      </c>
      <c r="N1751" s="20" t="b">
        <f>IFERROR(__xludf.DUMMYFUNCTION("""COMPUTED_VALUE"""),FALSE)</f>
        <v>0</v>
      </c>
      <c r="O1751" s="20">
        <f>IFERROR(__xludf.DUMMYFUNCTION("""COMPUTED_VALUE"""),43.7648066938857)</f>
        <v>43.76480669</v>
      </c>
      <c r="P1751" s="20">
        <f>IFERROR(__xludf.DUMMYFUNCTION("""COMPUTED_VALUE"""),17365.0)</f>
        <v>17365</v>
      </c>
      <c r="Q1751" s="20">
        <f>IFERROR(__xludf.DUMMYFUNCTION("""COMPUTED_VALUE"""),39678.0)</f>
        <v>39678</v>
      </c>
    </row>
    <row r="1752">
      <c r="A1752" s="20">
        <f>IFERROR(__xludf.DUMMYFUNCTION("""COMPUTED_VALUE"""),1851.0)</f>
        <v>1851</v>
      </c>
      <c r="B1752" s="20" t="str">
        <f>IFERROR(__xludf.DUMMYFUNCTION("""COMPUTED_VALUE"""),"Maximum Number of Events That Can Be Attended II")</f>
        <v>Maximum Number of Events That Can Be Attended II</v>
      </c>
      <c r="C1752" s="20" t="str">
        <f>IFERROR(__xludf.DUMMYFUNCTION("""COMPUTED_VALUE"""),"maximum-number-of-events-that-can-be-attended-ii")</f>
        <v>maximum-number-of-events-that-can-be-attended-ii</v>
      </c>
      <c r="D1752" s="20" t="b">
        <f>IFERROR(__xludf.DUMMYFUNCTION("""COMPUTED_VALUE"""),FALSE)</f>
        <v>0</v>
      </c>
      <c r="E1752" s="20" t="str">
        <f>IFERROR(__xludf.DUMMYFUNCTION("""COMPUTED_VALUE"""),"Hard")</f>
        <v>Hard</v>
      </c>
      <c r="F1752" s="20">
        <f>IFERROR(__xludf.DUMMYFUNCTION("""COMPUTED_VALUE"""),663.0)</f>
        <v>663</v>
      </c>
      <c r="G1752" s="20">
        <f>IFERROR(__xludf.DUMMYFUNCTION("""COMPUTED_VALUE"""),12.0)</f>
        <v>12</v>
      </c>
      <c r="H1752" s="20" t="str">
        <f>IFERROR(__xludf.DUMMYFUNCTION("""COMPUTED_VALUE"""),"Algorithms")</f>
        <v>Algorithms</v>
      </c>
      <c r="I1752" s="20">
        <f>IFERROR(__xludf.DUMMYFUNCTION("""COMPUTED_VALUE"""),0.563)</f>
        <v>0.563</v>
      </c>
      <c r="J1752" s="20">
        <f>IFERROR(__xludf.DUMMYFUNCTION("""COMPUTED_VALUE"""),1751.0)</f>
        <v>1751</v>
      </c>
      <c r="K1752" s="20" t="b">
        <f>IFERROR(__xludf.DUMMYFUNCTION("""COMPUTED_VALUE"""),FALSE)</f>
        <v>0</v>
      </c>
      <c r="L1752" s="20" t="str">
        <f>IFERROR(__xludf.DUMMYFUNCTION("""COMPUTED_VALUE"""),"Array;Binary Search;Dynamic Programming;")</f>
        <v>Array;Binary Search;Dynamic Programming;</v>
      </c>
      <c r="M1752" s="20" t="b">
        <f>IFERROR(__xludf.DUMMYFUNCTION("""COMPUTED_VALUE"""),FALSE)</f>
        <v>0</v>
      </c>
      <c r="N1752" s="20" t="b">
        <f>IFERROR(__xludf.DUMMYFUNCTION("""COMPUTED_VALUE"""),FALSE)</f>
        <v>0</v>
      </c>
      <c r="O1752" s="20">
        <f>IFERROR(__xludf.DUMMYFUNCTION("""COMPUTED_VALUE"""),56.3441474917821)</f>
        <v>56.34414749</v>
      </c>
      <c r="P1752" s="20">
        <f>IFERROR(__xludf.DUMMYFUNCTION("""COMPUTED_VALUE"""),19711.0)</f>
        <v>19711</v>
      </c>
      <c r="Q1752" s="20">
        <f>IFERROR(__xludf.DUMMYFUNCTION("""COMPUTED_VALUE"""),34984.0)</f>
        <v>34984</v>
      </c>
    </row>
    <row r="1753">
      <c r="A1753" s="20">
        <f>IFERROR(__xludf.DUMMYFUNCTION("""COMPUTED_VALUE"""),1878.0)</f>
        <v>1878</v>
      </c>
      <c r="B1753" s="20" t="str">
        <f>IFERROR(__xludf.DUMMYFUNCTION("""COMPUTED_VALUE"""),"Check if Array Is Sorted and Rotated")</f>
        <v>Check if Array Is Sorted and Rotated</v>
      </c>
      <c r="C1753" s="20" t="str">
        <f>IFERROR(__xludf.DUMMYFUNCTION("""COMPUTED_VALUE"""),"check-if-array-is-sorted-and-rotated")</f>
        <v>check-if-array-is-sorted-and-rotated</v>
      </c>
      <c r="D1753" s="20" t="b">
        <f>IFERROR(__xludf.DUMMYFUNCTION("""COMPUTED_VALUE"""),FALSE)</f>
        <v>0</v>
      </c>
      <c r="E1753" s="20" t="str">
        <f>IFERROR(__xludf.DUMMYFUNCTION("""COMPUTED_VALUE"""),"Easy")</f>
        <v>Easy</v>
      </c>
      <c r="F1753" s="20">
        <f>IFERROR(__xludf.DUMMYFUNCTION("""COMPUTED_VALUE"""),1321.0)</f>
        <v>1321</v>
      </c>
      <c r="G1753" s="20">
        <f>IFERROR(__xludf.DUMMYFUNCTION("""COMPUTED_VALUE"""),64.0)</f>
        <v>64</v>
      </c>
      <c r="H1753" s="20" t="str">
        <f>IFERROR(__xludf.DUMMYFUNCTION("""COMPUTED_VALUE"""),"Algorithms")</f>
        <v>Algorithms</v>
      </c>
      <c r="I1753" s="20">
        <f>IFERROR(__xludf.DUMMYFUNCTION("""COMPUTED_VALUE"""),0.496)</f>
        <v>0.496</v>
      </c>
      <c r="J1753" s="20">
        <f>IFERROR(__xludf.DUMMYFUNCTION("""COMPUTED_VALUE"""),1752.0)</f>
        <v>1752</v>
      </c>
      <c r="K1753" s="20" t="b">
        <f>IFERROR(__xludf.DUMMYFUNCTION("""COMPUTED_VALUE"""),FALSE)</f>
        <v>0</v>
      </c>
      <c r="L1753" s="20" t="str">
        <f>IFERROR(__xludf.DUMMYFUNCTION("""COMPUTED_VALUE"""),"Array;")</f>
        <v>Array;</v>
      </c>
      <c r="M1753" s="20" t="b">
        <f>IFERROR(__xludf.DUMMYFUNCTION("""COMPUTED_VALUE"""),FALSE)</f>
        <v>0</v>
      </c>
      <c r="N1753" s="20" t="b">
        <f>IFERROR(__xludf.DUMMYFUNCTION("""COMPUTED_VALUE"""),FALSE)</f>
        <v>0</v>
      </c>
      <c r="O1753" s="20">
        <f>IFERROR(__xludf.DUMMYFUNCTION("""COMPUTED_VALUE"""),49.5662722801581)</f>
        <v>49.56627228</v>
      </c>
      <c r="P1753" s="20">
        <f>IFERROR(__xludf.DUMMYFUNCTION("""COMPUTED_VALUE"""),67820.0)</f>
        <v>67820</v>
      </c>
      <c r="Q1753" s="20">
        <f>IFERROR(__xludf.DUMMYFUNCTION("""COMPUTED_VALUE"""),136832.0)</f>
        <v>136832</v>
      </c>
    </row>
    <row r="1754">
      <c r="A1754" s="20">
        <f>IFERROR(__xludf.DUMMYFUNCTION("""COMPUTED_VALUE"""),1879.0)</f>
        <v>1879</v>
      </c>
      <c r="B1754" s="20" t="str">
        <f>IFERROR(__xludf.DUMMYFUNCTION("""COMPUTED_VALUE"""),"Maximum Score From Removing Stones")</f>
        <v>Maximum Score From Removing Stones</v>
      </c>
      <c r="C1754" s="20" t="str">
        <f>IFERROR(__xludf.DUMMYFUNCTION("""COMPUTED_VALUE"""),"maximum-score-from-removing-stones")</f>
        <v>maximum-score-from-removing-stones</v>
      </c>
      <c r="D1754" s="20" t="b">
        <f>IFERROR(__xludf.DUMMYFUNCTION("""COMPUTED_VALUE"""),FALSE)</f>
        <v>0</v>
      </c>
      <c r="E1754" s="20" t="str">
        <f>IFERROR(__xludf.DUMMYFUNCTION("""COMPUTED_VALUE"""),"Medium")</f>
        <v>Medium</v>
      </c>
      <c r="F1754" s="20">
        <f>IFERROR(__xludf.DUMMYFUNCTION("""COMPUTED_VALUE"""),702.0)</f>
        <v>702</v>
      </c>
      <c r="G1754" s="20">
        <f>IFERROR(__xludf.DUMMYFUNCTION("""COMPUTED_VALUE"""),44.0)</f>
        <v>44</v>
      </c>
      <c r="H1754" s="20" t="str">
        <f>IFERROR(__xludf.DUMMYFUNCTION("""COMPUTED_VALUE"""),"Algorithms")</f>
        <v>Algorithms</v>
      </c>
      <c r="I1754" s="20">
        <f>IFERROR(__xludf.DUMMYFUNCTION("""COMPUTED_VALUE"""),0.664)</f>
        <v>0.664</v>
      </c>
      <c r="J1754" s="20">
        <f>IFERROR(__xludf.DUMMYFUNCTION("""COMPUTED_VALUE"""),1753.0)</f>
        <v>1753</v>
      </c>
      <c r="K1754" s="20" t="b">
        <f>IFERROR(__xludf.DUMMYFUNCTION("""COMPUTED_VALUE"""),FALSE)</f>
        <v>0</v>
      </c>
      <c r="L1754" s="20" t="str">
        <f>IFERROR(__xludf.DUMMYFUNCTION("""COMPUTED_VALUE"""),"Math;Greedy;Heap (Priority Queue);")</f>
        <v>Math;Greedy;Heap (Priority Queue);</v>
      </c>
      <c r="M1754" s="20" t="b">
        <f>IFERROR(__xludf.DUMMYFUNCTION("""COMPUTED_VALUE"""),FALSE)</f>
        <v>0</v>
      </c>
      <c r="N1754" s="20" t="b">
        <f>IFERROR(__xludf.DUMMYFUNCTION("""COMPUTED_VALUE"""),FALSE)</f>
        <v>0</v>
      </c>
      <c r="O1754" s="20">
        <f>IFERROR(__xludf.DUMMYFUNCTION("""COMPUTED_VALUE"""),66.4189047051399)</f>
        <v>66.41890471</v>
      </c>
      <c r="P1754" s="20">
        <f>IFERROR(__xludf.DUMMYFUNCTION("""COMPUTED_VALUE"""),28416.0)</f>
        <v>28416</v>
      </c>
      <c r="Q1754" s="20">
        <f>IFERROR(__xludf.DUMMYFUNCTION("""COMPUTED_VALUE"""),42783.0)</f>
        <v>42783</v>
      </c>
    </row>
    <row r="1755">
      <c r="A1755" s="20">
        <f>IFERROR(__xludf.DUMMYFUNCTION("""COMPUTED_VALUE"""),1880.0)</f>
        <v>1880</v>
      </c>
      <c r="B1755" s="20" t="str">
        <f>IFERROR(__xludf.DUMMYFUNCTION("""COMPUTED_VALUE"""),"Largest Merge Of Two Strings")</f>
        <v>Largest Merge Of Two Strings</v>
      </c>
      <c r="C1755" s="20" t="str">
        <f>IFERROR(__xludf.DUMMYFUNCTION("""COMPUTED_VALUE"""),"largest-merge-of-two-strings")</f>
        <v>largest-merge-of-two-strings</v>
      </c>
      <c r="D1755" s="20" t="b">
        <f>IFERROR(__xludf.DUMMYFUNCTION("""COMPUTED_VALUE"""),FALSE)</f>
        <v>0</v>
      </c>
      <c r="E1755" s="20" t="str">
        <f>IFERROR(__xludf.DUMMYFUNCTION("""COMPUTED_VALUE"""),"Medium")</f>
        <v>Medium</v>
      </c>
      <c r="F1755" s="20">
        <f>IFERROR(__xludf.DUMMYFUNCTION("""COMPUTED_VALUE"""),412.0)</f>
        <v>412</v>
      </c>
      <c r="G1755" s="20">
        <f>IFERROR(__xludf.DUMMYFUNCTION("""COMPUTED_VALUE"""),60.0)</f>
        <v>60</v>
      </c>
      <c r="H1755" s="20" t="str">
        <f>IFERROR(__xludf.DUMMYFUNCTION("""COMPUTED_VALUE"""),"Algorithms")</f>
        <v>Algorithms</v>
      </c>
      <c r="I1755" s="20">
        <f>IFERROR(__xludf.DUMMYFUNCTION("""COMPUTED_VALUE"""),0.453)</f>
        <v>0.453</v>
      </c>
      <c r="J1755" s="20">
        <f>IFERROR(__xludf.DUMMYFUNCTION("""COMPUTED_VALUE"""),1754.0)</f>
        <v>1754</v>
      </c>
      <c r="K1755" s="20" t="b">
        <f>IFERROR(__xludf.DUMMYFUNCTION("""COMPUTED_VALUE"""),FALSE)</f>
        <v>0</v>
      </c>
      <c r="L1755" s="20" t="str">
        <f>IFERROR(__xludf.DUMMYFUNCTION("""COMPUTED_VALUE"""),"Two Pointers;String;Greedy;")</f>
        <v>Two Pointers;String;Greedy;</v>
      </c>
      <c r="M1755" s="20" t="b">
        <f>IFERROR(__xludf.DUMMYFUNCTION("""COMPUTED_VALUE"""),FALSE)</f>
        <v>0</v>
      </c>
      <c r="N1755" s="20" t="b">
        <f>IFERROR(__xludf.DUMMYFUNCTION("""COMPUTED_VALUE"""),FALSE)</f>
        <v>0</v>
      </c>
      <c r="O1755" s="20">
        <f>IFERROR(__xludf.DUMMYFUNCTION("""COMPUTED_VALUE"""),45.2964384444026)</f>
        <v>45.29643844</v>
      </c>
      <c r="P1755" s="20">
        <f>IFERROR(__xludf.DUMMYFUNCTION("""COMPUTED_VALUE"""),16875.0)</f>
        <v>16875</v>
      </c>
      <c r="Q1755" s="20">
        <f>IFERROR(__xludf.DUMMYFUNCTION("""COMPUTED_VALUE"""),37256.0)</f>
        <v>37256</v>
      </c>
    </row>
    <row r="1756">
      <c r="A1756" s="20">
        <f>IFERROR(__xludf.DUMMYFUNCTION("""COMPUTED_VALUE"""),1881.0)</f>
        <v>1881</v>
      </c>
      <c r="B1756" s="20" t="str">
        <f>IFERROR(__xludf.DUMMYFUNCTION("""COMPUTED_VALUE"""),"Closest Subsequence Sum")</f>
        <v>Closest Subsequence Sum</v>
      </c>
      <c r="C1756" s="20" t="str">
        <f>IFERROR(__xludf.DUMMYFUNCTION("""COMPUTED_VALUE"""),"closest-subsequence-sum")</f>
        <v>closest-subsequence-sum</v>
      </c>
      <c r="D1756" s="20" t="b">
        <f>IFERROR(__xludf.DUMMYFUNCTION("""COMPUTED_VALUE"""),FALSE)</f>
        <v>0</v>
      </c>
      <c r="E1756" s="20" t="str">
        <f>IFERROR(__xludf.DUMMYFUNCTION("""COMPUTED_VALUE"""),"Hard")</f>
        <v>Hard</v>
      </c>
      <c r="F1756" s="20">
        <f>IFERROR(__xludf.DUMMYFUNCTION("""COMPUTED_VALUE"""),617.0)</f>
        <v>617</v>
      </c>
      <c r="G1756" s="20">
        <f>IFERROR(__xludf.DUMMYFUNCTION("""COMPUTED_VALUE"""),60.0)</f>
        <v>60</v>
      </c>
      <c r="H1756" s="20" t="str">
        <f>IFERROR(__xludf.DUMMYFUNCTION("""COMPUTED_VALUE"""),"Algorithms")</f>
        <v>Algorithms</v>
      </c>
      <c r="I1756" s="20">
        <f>IFERROR(__xludf.DUMMYFUNCTION("""COMPUTED_VALUE"""),0.365)</f>
        <v>0.365</v>
      </c>
      <c r="J1756" s="20">
        <f>IFERROR(__xludf.DUMMYFUNCTION("""COMPUTED_VALUE"""),1755.0)</f>
        <v>1755</v>
      </c>
      <c r="K1756" s="20" t="b">
        <f>IFERROR(__xludf.DUMMYFUNCTION("""COMPUTED_VALUE"""),FALSE)</f>
        <v>0</v>
      </c>
      <c r="L1756" s="20" t="str">
        <f>IFERROR(__xludf.DUMMYFUNCTION("""COMPUTED_VALUE"""),"Array;Two Pointers;Dynamic Programming;Bit Manipulation;Bitmask;")</f>
        <v>Array;Two Pointers;Dynamic Programming;Bit Manipulation;Bitmask;</v>
      </c>
      <c r="M1756" s="20" t="b">
        <f>IFERROR(__xludf.DUMMYFUNCTION("""COMPUTED_VALUE"""),FALSE)</f>
        <v>0</v>
      </c>
      <c r="N1756" s="20" t="b">
        <f>IFERROR(__xludf.DUMMYFUNCTION("""COMPUTED_VALUE"""),FALSE)</f>
        <v>0</v>
      </c>
      <c r="O1756" s="20">
        <f>IFERROR(__xludf.DUMMYFUNCTION("""COMPUTED_VALUE"""),36.4982748518976)</f>
        <v>36.49827485</v>
      </c>
      <c r="P1756" s="20">
        <f>IFERROR(__xludf.DUMMYFUNCTION("""COMPUTED_VALUE"""),11212.0)</f>
        <v>11212</v>
      </c>
      <c r="Q1756" s="20">
        <f>IFERROR(__xludf.DUMMYFUNCTION("""COMPUTED_VALUE"""),30721.0)</f>
        <v>30721</v>
      </c>
    </row>
    <row r="1757">
      <c r="A1757" s="20">
        <f>IFERROR(__xludf.DUMMYFUNCTION("""COMPUTED_VALUE"""),1903.0)</f>
        <v>1903</v>
      </c>
      <c r="B1757" s="20" t="str">
        <f>IFERROR(__xludf.DUMMYFUNCTION("""COMPUTED_VALUE"""),"Design Most Recently Used Queue")</f>
        <v>Design Most Recently Used Queue</v>
      </c>
      <c r="C1757" s="20" t="str">
        <f>IFERROR(__xludf.DUMMYFUNCTION("""COMPUTED_VALUE"""),"design-most-recently-used-queue")</f>
        <v>design-most-recently-used-queue</v>
      </c>
      <c r="D1757" s="20" t="b">
        <f>IFERROR(__xludf.DUMMYFUNCTION("""COMPUTED_VALUE"""),TRUE)</f>
        <v>1</v>
      </c>
      <c r="E1757" s="20" t="str">
        <f>IFERROR(__xludf.DUMMYFUNCTION("""COMPUTED_VALUE"""),"Medium")</f>
        <v>Medium</v>
      </c>
      <c r="F1757" s="20">
        <f>IFERROR(__xludf.DUMMYFUNCTION("""COMPUTED_VALUE"""),209.0)</f>
        <v>209</v>
      </c>
      <c r="G1757" s="20">
        <f>IFERROR(__xludf.DUMMYFUNCTION("""COMPUTED_VALUE"""),15.0)</f>
        <v>15</v>
      </c>
      <c r="H1757" s="20" t="str">
        <f>IFERROR(__xludf.DUMMYFUNCTION("""COMPUTED_VALUE"""),"Algorithms")</f>
        <v>Algorithms</v>
      </c>
      <c r="I1757" s="20">
        <f>IFERROR(__xludf.DUMMYFUNCTION("""COMPUTED_VALUE"""),0.788)</f>
        <v>0.788</v>
      </c>
      <c r="J1757" s="20">
        <f>IFERROR(__xludf.DUMMYFUNCTION("""COMPUTED_VALUE"""),1756.0)</f>
        <v>1756</v>
      </c>
      <c r="K1757" s="20" t="b">
        <f>IFERROR(__xludf.DUMMYFUNCTION("""COMPUTED_VALUE"""),TRUE)</f>
        <v>1</v>
      </c>
      <c r="L1757" s="20" t="str">
        <f>IFERROR(__xludf.DUMMYFUNCTION("""COMPUTED_VALUE"""),"Array;Hash Table;Stack;Design;Binary Indexed Tree;Ordered Set;")</f>
        <v>Array;Hash Table;Stack;Design;Binary Indexed Tree;Ordered Set;</v>
      </c>
      <c r="M1757" s="20" t="b">
        <f>IFERROR(__xludf.DUMMYFUNCTION("""COMPUTED_VALUE"""),FALSE)</f>
        <v>0</v>
      </c>
      <c r="N1757" s="20" t="b">
        <f>IFERROR(__xludf.DUMMYFUNCTION("""COMPUTED_VALUE"""),FALSE)</f>
        <v>0</v>
      </c>
      <c r="O1757" s="20">
        <f>IFERROR(__xludf.DUMMYFUNCTION("""COMPUTED_VALUE"""),78.8080117244748)</f>
        <v>78.80801172</v>
      </c>
      <c r="P1757" s="20">
        <f>IFERROR(__xludf.DUMMYFUNCTION("""COMPUTED_VALUE"""),8066.0)</f>
        <v>8066</v>
      </c>
      <c r="Q1757" s="20">
        <f>IFERROR(__xludf.DUMMYFUNCTION("""COMPUTED_VALUE"""),10235.0)</f>
        <v>10235</v>
      </c>
    </row>
    <row r="1758">
      <c r="A1758" s="20">
        <f>IFERROR(__xludf.DUMMYFUNCTION("""COMPUTED_VALUE"""),1908.0)</f>
        <v>1908</v>
      </c>
      <c r="B1758" s="20" t="str">
        <f>IFERROR(__xludf.DUMMYFUNCTION("""COMPUTED_VALUE"""),"Recyclable and Low Fat Products")</f>
        <v>Recyclable and Low Fat Products</v>
      </c>
      <c r="C1758" s="20" t="str">
        <f>IFERROR(__xludf.DUMMYFUNCTION("""COMPUTED_VALUE"""),"recyclable-and-low-fat-products")</f>
        <v>recyclable-and-low-fat-products</v>
      </c>
      <c r="D1758" s="20" t="b">
        <f>IFERROR(__xludf.DUMMYFUNCTION("""COMPUTED_VALUE"""),FALSE)</f>
        <v>0</v>
      </c>
      <c r="E1758" s="20" t="str">
        <f>IFERROR(__xludf.DUMMYFUNCTION("""COMPUTED_VALUE"""),"Easy")</f>
        <v>Easy</v>
      </c>
      <c r="F1758" s="20">
        <f>IFERROR(__xludf.DUMMYFUNCTION("""COMPUTED_VALUE"""),727.0)</f>
        <v>727</v>
      </c>
      <c r="G1758" s="20">
        <f>IFERROR(__xludf.DUMMYFUNCTION("""COMPUTED_VALUE"""),69.0)</f>
        <v>69</v>
      </c>
      <c r="H1758" s="20" t="str">
        <f>IFERROR(__xludf.DUMMYFUNCTION("""COMPUTED_VALUE"""),"Database")</f>
        <v>Database</v>
      </c>
      <c r="I1758" s="20">
        <f>IFERROR(__xludf.DUMMYFUNCTION("""COMPUTED_VALUE"""),0.933)</f>
        <v>0.933</v>
      </c>
      <c r="J1758" s="20">
        <f>IFERROR(__xludf.DUMMYFUNCTION("""COMPUTED_VALUE"""),1757.0)</f>
        <v>1757</v>
      </c>
      <c r="K1758" s="20" t="b">
        <f>IFERROR(__xludf.DUMMYFUNCTION("""COMPUTED_VALUE"""),FALSE)</f>
        <v>0</v>
      </c>
      <c r="L1758" s="20" t="str">
        <f>IFERROR(__xludf.DUMMYFUNCTION("""COMPUTED_VALUE"""),"Database;")</f>
        <v>Database;</v>
      </c>
      <c r="M1758" s="20" t="b">
        <f>IFERROR(__xludf.DUMMYFUNCTION("""COMPUTED_VALUE"""),FALSE)</f>
        <v>0</v>
      </c>
      <c r="N1758" s="20" t="b">
        <f>IFERROR(__xludf.DUMMYFUNCTION("""COMPUTED_VALUE"""),FALSE)</f>
        <v>0</v>
      </c>
      <c r="O1758" s="20">
        <f>IFERROR(__xludf.DUMMYFUNCTION("""COMPUTED_VALUE"""),93.3148931379959)</f>
        <v>93.31489314</v>
      </c>
      <c r="P1758" s="20">
        <f>IFERROR(__xludf.DUMMYFUNCTION("""COMPUTED_VALUE"""),232089.0)</f>
        <v>232089</v>
      </c>
      <c r="Q1758" s="20">
        <f>IFERROR(__xludf.DUMMYFUNCTION("""COMPUTED_VALUE"""),248714.0)</f>
        <v>248714</v>
      </c>
    </row>
    <row r="1759">
      <c r="A1759" s="20">
        <f>IFERROR(__xludf.DUMMYFUNCTION("""COMPUTED_VALUE"""),1884.0)</f>
        <v>1884</v>
      </c>
      <c r="B1759" s="20" t="str">
        <f>IFERROR(__xludf.DUMMYFUNCTION("""COMPUTED_VALUE"""),"Minimum Changes To Make Alternating Binary String")</f>
        <v>Minimum Changes To Make Alternating Binary String</v>
      </c>
      <c r="C1759" s="20" t="str">
        <f>IFERROR(__xludf.DUMMYFUNCTION("""COMPUTED_VALUE"""),"minimum-changes-to-make-alternating-binary-string")</f>
        <v>minimum-changes-to-make-alternating-binary-string</v>
      </c>
      <c r="D1759" s="20" t="b">
        <f>IFERROR(__xludf.DUMMYFUNCTION("""COMPUTED_VALUE"""),FALSE)</f>
        <v>0</v>
      </c>
      <c r="E1759" s="20" t="str">
        <f>IFERROR(__xludf.DUMMYFUNCTION("""COMPUTED_VALUE"""),"Easy")</f>
        <v>Easy</v>
      </c>
      <c r="F1759" s="20">
        <f>IFERROR(__xludf.DUMMYFUNCTION("""COMPUTED_VALUE"""),479.0)</f>
        <v>479</v>
      </c>
      <c r="G1759" s="20">
        <f>IFERROR(__xludf.DUMMYFUNCTION("""COMPUTED_VALUE"""),16.0)</f>
        <v>16</v>
      </c>
      <c r="H1759" s="20" t="str">
        <f>IFERROR(__xludf.DUMMYFUNCTION("""COMPUTED_VALUE"""),"Algorithms")</f>
        <v>Algorithms</v>
      </c>
      <c r="I1759" s="20">
        <f>IFERROR(__xludf.DUMMYFUNCTION("""COMPUTED_VALUE"""),0.584)</f>
        <v>0.584</v>
      </c>
      <c r="J1759" s="20">
        <f>IFERROR(__xludf.DUMMYFUNCTION("""COMPUTED_VALUE"""),1758.0)</f>
        <v>1758</v>
      </c>
      <c r="K1759" s="20" t="b">
        <f>IFERROR(__xludf.DUMMYFUNCTION("""COMPUTED_VALUE"""),FALSE)</f>
        <v>0</v>
      </c>
      <c r="L1759" s="20" t="str">
        <f>IFERROR(__xludf.DUMMYFUNCTION("""COMPUTED_VALUE"""),"String;")</f>
        <v>String;</v>
      </c>
      <c r="M1759" s="20" t="b">
        <f>IFERROR(__xludf.DUMMYFUNCTION("""COMPUTED_VALUE"""),FALSE)</f>
        <v>0</v>
      </c>
      <c r="N1759" s="20" t="b">
        <f>IFERROR(__xludf.DUMMYFUNCTION("""COMPUTED_VALUE"""),FALSE)</f>
        <v>0</v>
      </c>
      <c r="O1759" s="20">
        <f>IFERROR(__xludf.DUMMYFUNCTION("""COMPUTED_VALUE"""),58.4240836757028)</f>
        <v>58.42408368</v>
      </c>
      <c r="P1759" s="20">
        <f>IFERROR(__xludf.DUMMYFUNCTION("""COMPUTED_VALUE"""),32564.0)</f>
        <v>32564</v>
      </c>
      <c r="Q1759" s="20">
        <f>IFERROR(__xludf.DUMMYFUNCTION("""COMPUTED_VALUE"""),55736.0)</f>
        <v>55736</v>
      </c>
    </row>
    <row r="1760">
      <c r="A1760" s="20">
        <f>IFERROR(__xludf.DUMMYFUNCTION("""COMPUTED_VALUE"""),1885.0)</f>
        <v>1885</v>
      </c>
      <c r="B1760" s="20" t="str">
        <f>IFERROR(__xludf.DUMMYFUNCTION("""COMPUTED_VALUE"""),"Count Number of Homogenous Substrings")</f>
        <v>Count Number of Homogenous Substrings</v>
      </c>
      <c r="C1760" s="20" t="str">
        <f>IFERROR(__xludf.DUMMYFUNCTION("""COMPUTED_VALUE"""),"count-number-of-homogenous-substrings")</f>
        <v>count-number-of-homogenous-substrings</v>
      </c>
      <c r="D1760" s="20" t="b">
        <f>IFERROR(__xludf.DUMMYFUNCTION("""COMPUTED_VALUE"""),FALSE)</f>
        <v>0</v>
      </c>
      <c r="E1760" s="20" t="str">
        <f>IFERROR(__xludf.DUMMYFUNCTION("""COMPUTED_VALUE"""),"Medium")</f>
        <v>Medium</v>
      </c>
      <c r="F1760" s="20">
        <f>IFERROR(__xludf.DUMMYFUNCTION("""COMPUTED_VALUE"""),536.0)</f>
        <v>536</v>
      </c>
      <c r="G1760" s="20">
        <f>IFERROR(__xludf.DUMMYFUNCTION("""COMPUTED_VALUE"""),42.0)</f>
        <v>42</v>
      </c>
      <c r="H1760" s="20" t="str">
        <f>IFERROR(__xludf.DUMMYFUNCTION("""COMPUTED_VALUE"""),"Algorithms")</f>
        <v>Algorithms</v>
      </c>
      <c r="I1760" s="20">
        <f>IFERROR(__xludf.DUMMYFUNCTION("""COMPUTED_VALUE"""),0.481)</f>
        <v>0.481</v>
      </c>
      <c r="J1760" s="20">
        <f>IFERROR(__xludf.DUMMYFUNCTION("""COMPUTED_VALUE"""),1759.0)</f>
        <v>1759</v>
      </c>
      <c r="K1760" s="20" t="b">
        <f>IFERROR(__xludf.DUMMYFUNCTION("""COMPUTED_VALUE"""),FALSE)</f>
        <v>0</v>
      </c>
      <c r="L1760" s="20" t="str">
        <f>IFERROR(__xludf.DUMMYFUNCTION("""COMPUTED_VALUE"""),"Math;String;")</f>
        <v>Math;String;</v>
      </c>
      <c r="M1760" s="20" t="b">
        <f>IFERROR(__xludf.DUMMYFUNCTION("""COMPUTED_VALUE"""),FALSE)</f>
        <v>0</v>
      </c>
      <c r="N1760" s="20" t="b">
        <f>IFERROR(__xludf.DUMMYFUNCTION("""COMPUTED_VALUE"""),FALSE)</f>
        <v>0</v>
      </c>
      <c r="O1760" s="20">
        <f>IFERROR(__xludf.DUMMYFUNCTION("""COMPUTED_VALUE"""),48.0966981624011)</f>
        <v>48.09669816</v>
      </c>
      <c r="P1760" s="20">
        <f>IFERROR(__xludf.DUMMYFUNCTION("""COMPUTED_VALUE"""),23058.0)</f>
        <v>23058</v>
      </c>
      <c r="Q1760" s="20">
        <f>IFERROR(__xludf.DUMMYFUNCTION("""COMPUTED_VALUE"""),47942.0)</f>
        <v>47942</v>
      </c>
    </row>
    <row r="1761">
      <c r="A1761" s="20">
        <f>IFERROR(__xludf.DUMMYFUNCTION("""COMPUTED_VALUE"""),1886.0)</f>
        <v>1886</v>
      </c>
      <c r="B1761" s="20" t="str">
        <f>IFERROR(__xludf.DUMMYFUNCTION("""COMPUTED_VALUE"""),"Minimum Limit of Balls in a Bag")</f>
        <v>Minimum Limit of Balls in a Bag</v>
      </c>
      <c r="C1761" s="20" t="str">
        <f>IFERROR(__xludf.DUMMYFUNCTION("""COMPUTED_VALUE"""),"minimum-limit-of-balls-in-a-bag")</f>
        <v>minimum-limit-of-balls-in-a-bag</v>
      </c>
      <c r="D1761" s="20" t="b">
        <f>IFERROR(__xludf.DUMMYFUNCTION("""COMPUTED_VALUE"""),FALSE)</f>
        <v>0</v>
      </c>
      <c r="E1761" s="20" t="str">
        <f>IFERROR(__xludf.DUMMYFUNCTION("""COMPUTED_VALUE"""),"Medium")</f>
        <v>Medium</v>
      </c>
      <c r="F1761" s="20">
        <f>IFERROR(__xludf.DUMMYFUNCTION("""COMPUTED_VALUE"""),1504.0)</f>
        <v>1504</v>
      </c>
      <c r="G1761" s="20">
        <f>IFERROR(__xludf.DUMMYFUNCTION("""COMPUTED_VALUE"""),40.0)</f>
        <v>40</v>
      </c>
      <c r="H1761" s="20" t="str">
        <f>IFERROR(__xludf.DUMMYFUNCTION("""COMPUTED_VALUE"""),"Algorithms")</f>
        <v>Algorithms</v>
      </c>
      <c r="I1761" s="20">
        <f>IFERROR(__xludf.DUMMYFUNCTION("""COMPUTED_VALUE"""),0.604)</f>
        <v>0.604</v>
      </c>
      <c r="J1761" s="20">
        <f>IFERROR(__xludf.DUMMYFUNCTION("""COMPUTED_VALUE"""),1760.0)</f>
        <v>1760</v>
      </c>
      <c r="K1761" s="20" t="b">
        <f>IFERROR(__xludf.DUMMYFUNCTION("""COMPUTED_VALUE"""),FALSE)</f>
        <v>0</v>
      </c>
      <c r="L1761" s="20" t="str">
        <f>IFERROR(__xludf.DUMMYFUNCTION("""COMPUTED_VALUE"""),"Array;Binary Search;")</f>
        <v>Array;Binary Search;</v>
      </c>
      <c r="M1761" s="20" t="b">
        <f>IFERROR(__xludf.DUMMYFUNCTION("""COMPUTED_VALUE"""),FALSE)</f>
        <v>0</v>
      </c>
      <c r="N1761" s="20" t="b">
        <f>IFERROR(__xludf.DUMMYFUNCTION("""COMPUTED_VALUE"""),FALSE)</f>
        <v>0</v>
      </c>
      <c r="O1761" s="20">
        <f>IFERROR(__xludf.DUMMYFUNCTION("""COMPUTED_VALUE"""),60.3775677714184)</f>
        <v>60.37756777</v>
      </c>
      <c r="P1761" s="20">
        <f>IFERROR(__xludf.DUMMYFUNCTION("""COMPUTED_VALUE"""),27217.0)</f>
        <v>27217</v>
      </c>
      <c r="Q1761" s="20">
        <f>IFERROR(__xludf.DUMMYFUNCTION("""COMPUTED_VALUE"""),45078.0)</f>
        <v>45078</v>
      </c>
    </row>
    <row r="1762">
      <c r="A1762" s="20">
        <f>IFERROR(__xludf.DUMMYFUNCTION("""COMPUTED_VALUE"""),1887.0)</f>
        <v>1887</v>
      </c>
      <c r="B1762" s="20" t="str">
        <f>IFERROR(__xludf.DUMMYFUNCTION("""COMPUTED_VALUE"""),"Minimum Degree of a Connected Trio in a Graph")</f>
        <v>Minimum Degree of a Connected Trio in a Graph</v>
      </c>
      <c r="C1762" s="20" t="str">
        <f>IFERROR(__xludf.DUMMYFUNCTION("""COMPUTED_VALUE"""),"minimum-degree-of-a-connected-trio-in-a-graph")</f>
        <v>minimum-degree-of-a-connected-trio-in-a-graph</v>
      </c>
      <c r="D1762" s="20" t="b">
        <f>IFERROR(__xludf.DUMMYFUNCTION("""COMPUTED_VALUE"""),FALSE)</f>
        <v>0</v>
      </c>
      <c r="E1762" s="20" t="str">
        <f>IFERROR(__xludf.DUMMYFUNCTION("""COMPUTED_VALUE"""),"Hard")</f>
        <v>Hard</v>
      </c>
      <c r="F1762" s="20">
        <f>IFERROR(__xludf.DUMMYFUNCTION("""COMPUTED_VALUE"""),262.0)</f>
        <v>262</v>
      </c>
      <c r="G1762" s="20">
        <f>IFERROR(__xludf.DUMMYFUNCTION("""COMPUTED_VALUE"""),260.0)</f>
        <v>260</v>
      </c>
      <c r="H1762" s="20" t="str">
        <f>IFERROR(__xludf.DUMMYFUNCTION("""COMPUTED_VALUE"""),"Algorithms")</f>
        <v>Algorithms</v>
      </c>
      <c r="I1762" s="20">
        <f>IFERROR(__xludf.DUMMYFUNCTION("""COMPUTED_VALUE"""),0.415)</f>
        <v>0.415</v>
      </c>
      <c r="J1762" s="20">
        <f>IFERROR(__xludf.DUMMYFUNCTION("""COMPUTED_VALUE"""),1761.0)</f>
        <v>1761</v>
      </c>
      <c r="K1762" s="20" t="b">
        <f>IFERROR(__xludf.DUMMYFUNCTION("""COMPUTED_VALUE"""),FALSE)</f>
        <v>0</v>
      </c>
      <c r="L1762" s="20" t="str">
        <f>IFERROR(__xludf.DUMMYFUNCTION("""COMPUTED_VALUE"""),"Graph;")</f>
        <v>Graph;</v>
      </c>
      <c r="M1762" s="20" t="b">
        <f>IFERROR(__xludf.DUMMYFUNCTION("""COMPUTED_VALUE"""),FALSE)</f>
        <v>0</v>
      </c>
      <c r="N1762" s="20" t="b">
        <f>IFERROR(__xludf.DUMMYFUNCTION("""COMPUTED_VALUE"""),FALSE)</f>
        <v>0</v>
      </c>
      <c r="O1762" s="20">
        <f>IFERROR(__xludf.DUMMYFUNCTION("""COMPUTED_VALUE"""),41.5471648467306)</f>
        <v>41.54716485</v>
      </c>
      <c r="P1762" s="20">
        <f>IFERROR(__xludf.DUMMYFUNCTION("""COMPUTED_VALUE"""),18948.0)</f>
        <v>18948</v>
      </c>
      <c r="Q1762" s="20">
        <f>IFERROR(__xludf.DUMMYFUNCTION("""COMPUTED_VALUE"""),45606.0)</f>
        <v>45606</v>
      </c>
    </row>
    <row r="1763">
      <c r="A1763" s="20">
        <f>IFERROR(__xludf.DUMMYFUNCTION("""COMPUTED_VALUE"""),1909.0)</f>
        <v>1909</v>
      </c>
      <c r="B1763" s="20" t="str">
        <f>IFERROR(__xludf.DUMMYFUNCTION("""COMPUTED_VALUE"""),"Buildings With an Ocean View")</f>
        <v>Buildings With an Ocean View</v>
      </c>
      <c r="C1763" s="20" t="str">
        <f>IFERROR(__xludf.DUMMYFUNCTION("""COMPUTED_VALUE"""),"buildings-with-an-ocean-view")</f>
        <v>buildings-with-an-ocean-view</v>
      </c>
      <c r="D1763" s="20" t="b">
        <f>IFERROR(__xludf.DUMMYFUNCTION("""COMPUTED_VALUE"""),TRUE)</f>
        <v>1</v>
      </c>
      <c r="E1763" s="20" t="str">
        <f>IFERROR(__xludf.DUMMYFUNCTION("""COMPUTED_VALUE"""),"Medium")</f>
        <v>Medium</v>
      </c>
      <c r="F1763" s="20">
        <f>IFERROR(__xludf.DUMMYFUNCTION("""COMPUTED_VALUE"""),976.0)</f>
        <v>976</v>
      </c>
      <c r="G1763" s="20">
        <f>IFERROR(__xludf.DUMMYFUNCTION("""COMPUTED_VALUE"""),127.0)</f>
        <v>127</v>
      </c>
      <c r="H1763" s="20" t="str">
        <f>IFERROR(__xludf.DUMMYFUNCTION("""COMPUTED_VALUE"""),"Algorithms")</f>
        <v>Algorithms</v>
      </c>
      <c r="I1763" s="20">
        <f>IFERROR(__xludf.DUMMYFUNCTION("""COMPUTED_VALUE"""),0.792)</f>
        <v>0.792</v>
      </c>
      <c r="J1763" s="20">
        <f>IFERROR(__xludf.DUMMYFUNCTION("""COMPUTED_VALUE"""),1762.0)</f>
        <v>1762</v>
      </c>
      <c r="K1763" s="20" t="b">
        <f>IFERROR(__xludf.DUMMYFUNCTION("""COMPUTED_VALUE"""),TRUE)</f>
        <v>1</v>
      </c>
      <c r="L1763" s="20" t="str">
        <f>IFERROR(__xludf.DUMMYFUNCTION("""COMPUTED_VALUE"""),"Array;Stack;Monotonic Stack;")</f>
        <v>Array;Stack;Monotonic Stack;</v>
      </c>
      <c r="M1763" s="20" t="b">
        <f>IFERROR(__xludf.DUMMYFUNCTION("""COMPUTED_VALUE"""),TRUE)</f>
        <v>1</v>
      </c>
      <c r="N1763" s="20" t="b">
        <f>IFERROR(__xludf.DUMMYFUNCTION("""COMPUTED_VALUE"""),FALSE)</f>
        <v>0</v>
      </c>
      <c r="O1763" s="20">
        <f>IFERROR(__xludf.DUMMYFUNCTION("""COMPUTED_VALUE"""),79.2180402336145)</f>
        <v>79.21804023</v>
      </c>
      <c r="P1763" s="20">
        <f>IFERROR(__xludf.DUMMYFUNCTION("""COMPUTED_VALUE"""),136724.0)</f>
        <v>136724</v>
      </c>
      <c r="Q1763" s="20">
        <f>IFERROR(__xludf.DUMMYFUNCTION("""COMPUTED_VALUE"""),172592.0)</f>
        <v>172592</v>
      </c>
    </row>
    <row r="1764">
      <c r="A1764" s="20">
        <f>IFERROR(__xludf.DUMMYFUNCTION("""COMPUTED_VALUE"""),1873.0)</f>
        <v>1873</v>
      </c>
      <c r="B1764" s="20" t="str">
        <f>IFERROR(__xludf.DUMMYFUNCTION("""COMPUTED_VALUE"""),"Longest Nice Substring")</f>
        <v>Longest Nice Substring</v>
      </c>
      <c r="C1764" s="20" t="str">
        <f>IFERROR(__xludf.DUMMYFUNCTION("""COMPUTED_VALUE"""),"longest-nice-substring")</f>
        <v>longest-nice-substring</v>
      </c>
      <c r="D1764" s="20" t="b">
        <f>IFERROR(__xludf.DUMMYFUNCTION("""COMPUTED_VALUE"""),FALSE)</f>
        <v>0</v>
      </c>
      <c r="E1764" s="20" t="str">
        <f>IFERROR(__xludf.DUMMYFUNCTION("""COMPUTED_VALUE"""),"Easy")</f>
        <v>Easy</v>
      </c>
      <c r="F1764" s="20">
        <f>IFERROR(__xludf.DUMMYFUNCTION("""COMPUTED_VALUE"""),895.0)</f>
        <v>895</v>
      </c>
      <c r="G1764" s="20">
        <f>IFERROR(__xludf.DUMMYFUNCTION("""COMPUTED_VALUE"""),636.0)</f>
        <v>636</v>
      </c>
      <c r="H1764" s="20" t="str">
        <f>IFERROR(__xludf.DUMMYFUNCTION("""COMPUTED_VALUE"""),"Algorithms")</f>
        <v>Algorithms</v>
      </c>
      <c r="I1764" s="20">
        <f>IFERROR(__xludf.DUMMYFUNCTION("""COMPUTED_VALUE"""),0.616)</f>
        <v>0.616</v>
      </c>
      <c r="J1764" s="20">
        <f>IFERROR(__xludf.DUMMYFUNCTION("""COMPUTED_VALUE"""),1763.0)</f>
        <v>1763</v>
      </c>
      <c r="K1764" s="20" t="b">
        <f>IFERROR(__xludf.DUMMYFUNCTION("""COMPUTED_VALUE"""),FALSE)</f>
        <v>0</v>
      </c>
      <c r="L1764" s="20" t="str">
        <f>IFERROR(__xludf.DUMMYFUNCTION("""COMPUTED_VALUE"""),"Hash Table;String;Divide and Conquer;Bit Manipulation;Sliding Window;")</f>
        <v>Hash Table;String;Divide and Conquer;Bit Manipulation;Sliding Window;</v>
      </c>
      <c r="M1764" s="20" t="b">
        <f>IFERROR(__xludf.DUMMYFUNCTION("""COMPUTED_VALUE"""),FALSE)</f>
        <v>0</v>
      </c>
      <c r="N1764" s="20" t="b">
        <f>IFERROR(__xludf.DUMMYFUNCTION("""COMPUTED_VALUE"""),FALSE)</f>
        <v>0</v>
      </c>
      <c r="O1764" s="20">
        <f>IFERROR(__xludf.DUMMYFUNCTION("""COMPUTED_VALUE"""),61.5776778861966)</f>
        <v>61.57767789</v>
      </c>
      <c r="P1764" s="20">
        <f>IFERROR(__xludf.DUMMYFUNCTION("""COMPUTED_VALUE"""),33699.0)</f>
        <v>33699</v>
      </c>
      <c r="Q1764" s="20">
        <f>IFERROR(__xludf.DUMMYFUNCTION("""COMPUTED_VALUE"""),54726.0)</f>
        <v>54726</v>
      </c>
    </row>
    <row r="1765">
      <c r="A1765" s="20">
        <f>IFERROR(__xludf.DUMMYFUNCTION("""COMPUTED_VALUE"""),1874.0)</f>
        <v>1874</v>
      </c>
      <c r="B1765" s="20" t="str">
        <f>IFERROR(__xludf.DUMMYFUNCTION("""COMPUTED_VALUE"""),"Form Array by Concatenating Subarrays of Another Array")</f>
        <v>Form Array by Concatenating Subarrays of Another Array</v>
      </c>
      <c r="C1765" s="20" t="str">
        <f>IFERROR(__xludf.DUMMYFUNCTION("""COMPUTED_VALUE"""),"form-array-by-concatenating-subarrays-of-another-array")</f>
        <v>form-array-by-concatenating-subarrays-of-another-array</v>
      </c>
      <c r="D1765" s="20" t="b">
        <f>IFERROR(__xludf.DUMMYFUNCTION("""COMPUTED_VALUE"""),FALSE)</f>
        <v>0</v>
      </c>
      <c r="E1765" s="20" t="str">
        <f>IFERROR(__xludf.DUMMYFUNCTION("""COMPUTED_VALUE"""),"Medium")</f>
        <v>Medium</v>
      </c>
      <c r="F1765" s="20">
        <f>IFERROR(__xludf.DUMMYFUNCTION("""COMPUTED_VALUE"""),258.0)</f>
        <v>258</v>
      </c>
      <c r="G1765" s="20">
        <f>IFERROR(__xludf.DUMMYFUNCTION("""COMPUTED_VALUE"""),33.0)</f>
        <v>33</v>
      </c>
      <c r="H1765" s="20" t="str">
        <f>IFERROR(__xludf.DUMMYFUNCTION("""COMPUTED_VALUE"""),"Algorithms")</f>
        <v>Algorithms</v>
      </c>
      <c r="I1765" s="20">
        <f>IFERROR(__xludf.DUMMYFUNCTION("""COMPUTED_VALUE"""),0.529)</f>
        <v>0.529</v>
      </c>
      <c r="J1765" s="20">
        <f>IFERROR(__xludf.DUMMYFUNCTION("""COMPUTED_VALUE"""),1764.0)</f>
        <v>1764</v>
      </c>
      <c r="K1765" s="20" t="b">
        <f>IFERROR(__xludf.DUMMYFUNCTION("""COMPUTED_VALUE"""),FALSE)</f>
        <v>0</v>
      </c>
      <c r="L1765" s="20" t="str">
        <f>IFERROR(__xludf.DUMMYFUNCTION("""COMPUTED_VALUE"""),"Array;Greedy;String Matching;")</f>
        <v>Array;Greedy;String Matching;</v>
      </c>
      <c r="M1765" s="20" t="b">
        <f>IFERROR(__xludf.DUMMYFUNCTION("""COMPUTED_VALUE"""),FALSE)</f>
        <v>0</v>
      </c>
      <c r="N1765" s="20" t="b">
        <f>IFERROR(__xludf.DUMMYFUNCTION("""COMPUTED_VALUE"""),FALSE)</f>
        <v>0</v>
      </c>
      <c r="O1765" s="20">
        <f>IFERROR(__xludf.DUMMYFUNCTION("""COMPUTED_VALUE"""),52.881385508005)</f>
        <v>52.88138551</v>
      </c>
      <c r="P1765" s="20">
        <f>IFERROR(__xludf.DUMMYFUNCTION("""COMPUTED_VALUE"""),12122.0)</f>
        <v>12122</v>
      </c>
      <c r="Q1765" s="20">
        <f>IFERROR(__xludf.DUMMYFUNCTION("""COMPUTED_VALUE"""),22923.0)</f>
        <v>22923</v>
      </c>
    </row>
    <row r="1766">
      <c r="A1766" s="20">
        <f>IFERROR(__xludf.DUMMYFUNCTION("""COMPUTED_VALUE"""),1876.0)</f>
        <v>1876</v>
      </c>
      <c r="B1766" s="20" t="str">
        <f>IFERROR(__xludf.DUMMYFUNCTION("""COMPUTED_VALUE"""),"Map of Highest Peak")</f>
        <v>Map of Highest Peak</v>
      </c>
      <c r="C1766" s="20" t="str">
        <f>IFERROR(__xludf.DUMMYFUNCTION("""COMPUTED_VALUE"""),"map-of-highest-peak")</f>
        <v>map-of-highest-peak</v>
      </c>
      <c r="D1766" s="20" t="b">
        <f>IFERROR(__xludf.DUMMYFUNCTION("""COMPUTED_VALUE"""),FALSE)</f>
        <v>0</v>
      </c>
      <c r="E1766" s="20" t="str">
        <f>IFERROR(__xludf.DUMMYFUNCTION("""COMPUTED_VALUE"""),"Medium")</f>
        <v>Medium</v>
      </c>
      <c r="F1766" s="20">
        <f>IFERROR(__xludf.DUMMYFUNCTION("""COMPUTED_VALUE"""),643.0)</f>
        <v>643</v>
      </c>
      <c r="G1766" s="20">
        <f>IFERROR(__xludf.DUMMYFUNCTION("""COMPUTED_VALUE"""),44.0)</f>
        <v>44</v>
      </c>
      <c r="H1766" s="20" t="str">
        <f>IFERROR(__xludf.DUMMYFUNCTION("""COMPUTED_VALUE"""),"Algorithms")</f>
        <v>Algorithms</v>
      </c>
      <c r="I1766" s="20">
        <f>IFERROR(__xludf.DUMMYFUNCTION("""COMPUTED_VALUE"""),0.603)</f>
        <v>0.603</v>
      </c>
      <c r="J1766" s="20">
        <f>IFERROR(__xludf.DUMMYFUNCTION("""COMPUTED_VALUE"""),1765.0)</f>
        <v>1765</v>
      </c>
      <c r="K1766" s="20" t="b">
        <f>IFERROR(__xludf.DUMMYFUNCTION("""COMPUTED_VALUE"""),FALSE)</f>
        <v>0</v>
      </c>
      <c r="L1766" s="20" t="str">
        <f>IFERROR(__xludf.DUMMYFUNCTION("""COMPUTED_VALUE"""),"Array;Breadth-First Search;Matrix;")</f>
        <v>Array;Breadth-First Search;Matrix;</v>
      </c>
      <c r="M1766" s="20" t="b">
        <f>IFERROR(__xludf.DUMMYFUNCTION("""COMPUTED_VALUE"""),FALSE)</f>
        <v>0</v>
      </c>
      <c r="N1766" s="20" t="b">
        <f>IFERROR(__xludf.DUMMYFUNCTION("""COMPUTED_VALUE"""),FALSE)</f>
        <v>0</v>
      </c>
      <c r="O1766" s="20">
        <f>IFERROR(__xludf.DUMMYFUNCTION("""COMPUTED_VALUE"""),60.3486567890717)</f>
        <v>60.34865679</v>
      </c>
      <c r="P1766" s="20">
        <f>IFERROR(__xludf.DUMMYFUNCTION("""COMPUTED_VALUE"""),19833.0)</f>
        <v>19833</v>
      </c>
      <c r="Q1766" s="20">
        <f>IFERROR(__xludf.DUMMYFUNCTION("""COMPUTED_VALUE"""),32866.0)</f>
        <v>32866</v>
      </c>
    </row>
    <row r="1767">
      <c r="A1767" s="20">
        <f>IFERROR(__xludf.DUMMYFUNCTION("""COMPUTED_VALUE"""),1875.0)</f>
        <v>1875</v>
      </c>
      <c r="B1767" s="20" t="str">
        <f>IFERROR(__xludf.DUMMYFUNCTION("""COMPUTED_VALUE"""),"Tree of Coprimes")</f>
        <v>Tree of Coprimes</v>
      </c>
      <c r="C1767" s="20" t="str">
        <f>IFERROR(__xludf.DUMMYFUNCTION("""COMPUTED_VALUE"""),"tree-of-coprimes")</f>
        <v>tree-of-coprimes</v>
      </c>
      <c r="D1767" s="20" t="b">
        <f>IFERROR(__xludf.DUMMYFUNCTION("""COMPUTED_VALUE"""),FALSE)</f>
        <v>0</v>
      </c>
      <c r="E1767" s="20" t="str">
        <f>IFERROR(__xludf.DUMMYFUNCTION("""COMPUTED_VALUE"""),"Hard")</f>
        <v>Hard</v>
      </c>
      <c r="F1767" s="20">
        <f>IFERROR(__xludf.DUMMYFUNCTION("""COMPUTED_VALUE"""),328.0)</f>
        <v>328</v>
      </c>
      <c r="G1767" s="20">
        <f>IFERROR(__xludf.DUMMYFUNCTION("""COMPUTED_VALUE"""),23.0)</f>
        <v>23</v>
      </c>
      <c r="H1767" s="20" t="str">
        <f>IFERROR(__xludf.DUMMYFUNCTION("""COMPUTED_VALUE"""),"Algorithms")</f>
        <v>Algorithms</v>
      </c>
      <c r="I1767" s="20">
        <f>IFERROR(__xludf.DUMMYFUNCTION("""COMPUTED_VALUE"""),0.393)</f>
        <v>0.393</v>
      </c>
      <c r="J1767" s="20">
        <f>IFERROR(__xludf.DUMMYFUNCTION("""COMPUTED_VALUE"""),1766.0)</f>
        <v>1766</v>
      </c>
      <c r="K1767" s="20" t="b">
        <f>IFERROR(__xludf.DUMMYFUNCTION("""COMPUTED_VALUE"""),FALSE)</f>
        <v>0</v>
      </c>
      <c r="L1767" s="20" t="str">
        <f>IFERROR(__xludf.DUMMYFUNCTION("""COMPUTED_VALUE"""),"Math;Tree;Depth-First Search;Breadth-First Search;")</f>
        <v>Math;Tree;Depth-First Search;Breadth-First Search;</v>
      </c>
      <c r="M1767" s="20" t="b">
        <f>IFERROR(__xludf.DUMMYFUNCTION("""COMPUTED_VALUE"""),FALSE)</f>
        <v>0</v>
      </c>
      <c r="N1767" s="20" t="b">
        <f>IFERROR(__xludf.DUMMYFUNCTION("""COMPUTED_VALUE"""),FALSE)</f>
        <v>0</v>
      </c>
      <c r="O1767" s="20">
        <f>IFERROR(__xludf.DUMMYFUNCTION("""COMPUTED_VALUE"""),39.2732590842614)</f>
        <v>39.27325908</v>
      </c>
      <c r="P1767" s="20">
        <f>IFERROR(__xludf.DUMMYFUNCTION("""COMPUTED_VALUE"""),6982.0)</f>
        <v>6982</v>
      </c>
      <c r="Q1767" s="20">
        <f>IFERROR(__xludf.DUMMYFUNCTION("""COMPUTED_VALUE"""),17778.0)</f>
        <v>17778</v>
      </c>
    </row>
    <row r="1768">
      <c r="A1768" s="20">
        <f>IFERROR(__xludf.DUMMYFUNCTION("""COMPUTED_VALUE"""),1914.0)</f>
        <v>1914</v>
      </c>
      <c r="B1768" s="20" t="str">
        <f>IFERROR(__xludf.DUMMYFUNCTION("""COMPUTED_VALUE"""),"Find the Subtasks That Did Not Execute")</f>
        <v>Find the Subtasks That Did Not Execute</v>
      </c>
      <c r="C1768" s="20" t="str">
        <f>IFERROR(__xludf.DUMMYFUNCTION("""COMPUTED_VALUE"""),"find-the-subtasks-that-did-not-execute")</f>
        <v>find-the-subtasks-that-did-not-execute</v>
      </c>
      <c r="D1768" s="20" t="b">
        <f>IFERROR(__xludf.DUMMYFUNCTION("""COMPUTED_VALUE"""),TRUE)</f>
        <v>1</v>
      </c>
      <c r="E1768" s="20" t="str">
        <f>IFERROR(__xludf.DUMMYFUNCTION("""COMPUTED_VALUE"""),"Hard")</f>
        <v>Hard</v>
      </c>
      <c r="F1768" s="20">
        <f>IFERROR(__xludf.DUMMYFUNCTION("""COMPUTED_VALUE"""),119.0)</f>
        <v>119</v>
      </c>
      <c r="G1768" s="20">
        <f>IFERROR(__xludf.DUMMYFUNCTION("""COMPUTED_VALUE"""),11.0)</f>
        <v>11</v>
      </c>
      <c r="H1768" s="20" t="str">
        <f>IFERROR(__xludf.DUMMYFUNCTION("""COMPUTED_VALUE"""),"Database")</f>
        <v>Database</v>
      </c>
      <c r="I1768" s="20">
        <f>IFERROR(__xludf.DUMMYFUNCTION("""COMPUTED_VALUE"""),0.844)</f>
        <v>0.844</v>
      </c>
      <c r="J1768" s="20">
        <f>IFERROR(__xludf.DUMMYFUNCTION("""COMPUTED_VALUE"""),1767.0)</f>
        <v>1767</v>
      </c>
      <c r="K1768" s="20" t="b">
        <f>IFERROR(__xludf.DUMMYFUNCTION("""COMPUTED_VALUE"""),TRUE)</f>
        <v>1</v>
      </c>
      <c r="L1768" s="20" t="str">
        <f>IFERROR(__xludf.DUMMYFUNCTION("""COMPUTED_VALUE"""),"Database;")</f>
        <v>Database;</v>
      </c>
      <c r="M1768" s="20" t="b">
        <f>IFERROR(__xludf.DUMMYFUNCTION("""COMPUTED_VALUE"""),FALSE)</f>
        <v>0</v>
      </c>
      <c r="N1768" s="20" t="b">
        <f>IFERROR(__xludf.DUMMYFUNCTION("""COMPUTED_VALUE"""),FALSE)</f>
        <v>0</v>
      </c>
      <c r="O1768" s="20">
        <f>IFERROR(__xludf.DUMMYFUNCTION("""COMPUTED_VALUE"""),84.3742634928116)</f>
        <v>84.37426349</v>
      </c>
      <c r="P1768" s="20">
        <f>IFERROR(__xludf.DUMMYFUNCTION("""COMPUTED_VALUE"""),7160.0)</f>
        <v>7160</v>
      </c>
      <c r="Q1768" s="20">
        <f>IFERROR(__xludf.DUMMYFUNCTION("""COMPUTED_VALUE"""),8486.0)</f>
        <v>8486</v>
      </c>
    </row>
    <row r="1769">
      <c r="A1769" s="20">
        <f>IFERROR(__xludf.DUMMYFUNCTION("""COMPUTED_VALUE"""),1894.0)</f>
        <v>1894</v>
      </c>
      <c r="B1769" s="20" t="str">
        <f>IFERROR(__xludf.DUMMYFUNCTION("""COMPUTED_VALUE"""),"Merge Strings Alternately")</f>
        <v>Merge Strings Alternately</v>
      </c>
      <c r="C1769" s="20" t="str">
        <f>IFERROR(__xludf.DUMMYFUNCTION("""COMPUTED_VALUE"""),"merge-strings-alternately")</f>
        <v>merge-strings-alternately</v>
      </c>
      <c r="D1769" s="20" t="b">
        <f>IFERROR(__xludf.DUMMYFUNCTION("""COMPUTED_VALUE"""),FALSE)</f>
        <v>0</v>
      </c>
      <c r="E1769" s="20" t="str">
        <f>IFERROR(__xludf.DUMMYFUNCTION("""COMPUTED_VALUE"""),"Easy")</f>
        <v>Easy</v>
      </c>
      <c r="F1769" s="20">
        <f>IFERROR(__xludf.DUMMYFUNCTION("""COMPUTED_VALUE"""),856.0)</f>
        <v>856</v>
      </c>
      <c r="G1769" s="20">
        <f>IFERROR(__xludf.DUMMYFUNCTION("""COMPUTED_VALUE"""),17.0)</f>
        <v>17</v>
      </c>
      <c r="H1769" s="20" t="str">
        <f>IFERROR(__xludf.DUMMYFUNCTION("""COMPUTED_VALUE"""),"Algorithms")</f>
        <v>Algorithms</v>
      </c>
      <c r="I1769" s="20">
        <f>IFERROR(__xludf.DUMMYFUNCTION("""COMPUTED_VALUE"""),0.765)</f>
        <v>0.765</v>
      </c>
      <c r="J1769" s="20">
        <f>IFERROR(__xludf.DUMMYFUNCTION("""COMPUTED_VALUE"""),1768.0)</f>
        <v>1768</v>
      </c>
      <c r="K1769" s="20" t="b">
        <f>IFERROR(__xludf.DUMMYFUNCTION("""COMPUTED_VALUE"""),FALSE)</f>
        <v>0</v>
      </c>
      <c r="L1769" s="20" t="str">
        <f>IFERROR(__xludf.DUMMYFUNCTION("""COMPUTED_VALUE"""),"Two Pointers;String;")</f>
        <v>Two Pointers;String;</v>
      </c>
      <c r="M1769" s="20" t="b">
        <f>IFERROR(__xludf.DUMMYFUNCTION("""COMPUTED_VALUE"""),FALSE)</f>
        <v>0</v>
      </c>
      <c r="N1769" s="20" t="b">
        <f>IFERROR(__xludf.DUMMYFUNCTION("""COMPUTED_VALUE"""),FALSE)</f>
        <v>0</v>
      </c>
      <c r="O1769" s="20">
        <f>IFERROR(__xludf.DUMMYFUNCTION("""COMPUTED_VALUE"""),76.4748220616852)</f>
        <v>76.47482206</v>
      </c>
      <c r="P1769" s="20">
        <f>IFERROR(__xludf.DUMMYFUNCTION("""COMPUTED_VALUE"""),86064.0)</f>
        <v>86064</v>
      </c>
      <c r="Q1769" s="20">
        <f>IFERROR(__xludf.DUMMYFUNCTION("""COMPUTED_VALUE"""),112539.0)</f>
        <v>112539</v>
      </c>
    </row>
    <row r="1770">
      <c r="A1770" s="20">
        <f>IFERROR(__xludf.DUMMYFUNCTION("""COMPUTED_VALUE"""),1895.0)</f>
        <v>1895</v>
      </c>
      <c r="B1770" s="20" t="str">
        <f>IFERROR(__xludf.DUMMYFUNCTION("""COMPUTED_VALUE"""),"Minimum Number of Operations to Move All Balls to Each Box")</f>
        <v>Minimum Number of Operations to Move All Balls to Each Box</v>
      </c>
      <c r="C1770" s="20" t="str">
        <f>IFERROR(__xludf.DUMMYFUNCTION("""COMPUTED_VALUE"""),"minimum-number-of-operations-to-move-all-balls-to-each-box")</f>
        <v>minimum-number-of-operations-to-move-all-balls-to-each-box</v>
      </c>
      <c r="D1770" s="20" t="b">
        <f>IFERROR(__xludf.DUMMYFUNCTION("""COMPUTED_VALUE"""),FALSE)</f>
        <v>0</v>
      </c>
      <c r="E1770" s="20" t="str">
        <f>IFERROR(__xludf.DUMMYFUNCTION("""COMPUTED_VALUE"""),"Medium")</f>
        <v>Medium</v>
      </c>
      <c r="F1770" s="20">
        <f>IFERROR(__xludf.DUMMYFUNCTION("""COMPUTED_VALUE"""),1775.0)</f>
        <v>1775</v>
      </c>
      <c r="G1770" s="20">
        <f>IFERROR(__xludf.DUMMYFUNCTION("""COMPUTED_VALUE"""),66.0)</f>
        <v>66</v>
      </c>
      <c r="H1770" s="20" t="str">
        <f>IFERROR(__xludf.DUMMYFUNCTION("""COMPUTED_VALUE"""),"Algorithms")</f>
        <v>Algorithms</v>
      </c>
      <c r="I1770" s="20">
        <f>IFERROR(__xludf.DUMMYFUNCTION("""COMPUTED_VALUE"""),0.852)</f>
        <v>0.852</v>
      </c>
      <c r="J1770" s="20">
        <f>IFERROR(__xludf.DUMMYFUNCTION("""COMPUTED_VALUE"""),1769.0)</f>
        <v>1769</v>
      </c>
      <c r="K1770" s="20" t="b">
        <f>IFERROR(__xludf.DUMMYFUNCTION("""COMPUTED_VALUE"""),FALSE)</f>
        <v>0</v>
      </c>
      <c r="L1770" s="20" t="str">
        <f>IFERROR(__xludf.DUMMYFUNCTION("""COMPUTED_VALUE"""),"Array;String;")</f>
        <v>Array;String;</v>
      </c>
      <c r="M1770" s="20" t="b">
        <f>IFERROR(__xludf.DUMMYFUNCTION("""COMPUTED_VALUE"""),FALSE)</f>
        <v>0</v>
      </c>
      <c r="N1770" s="20" t="b">
        <f>IFERROR(__xludf.DUMMYFUNCTION("""COMPUTED_VALUE"""),FALSE)</f>
        <v>0</v>
      </c>
      <c r="O1770" s="20">
        <f>IFERROR(__xludf.DUMMYFUNCTION("""COMPUTED_VALUE"""),85.2083142569361)</f>
        <v>85.20831426</v>
      </c>
      <c r="P1770" s="20">
        <f>IFERROR(__xludf.DUMMYFUNCTION("""COMPUTED_VALUE"""),93055.0)</f>
        <v>93055</v>
      </c>
      <c r="Q1770" s="20">
        <f>IFERROR(__xludf.DUMMYFUNCTION("""COMPUTED_VALUE"""),109209.0)</f>
        <v>109209</v>
      </c>
    </row>
    <row r="1771">
      <c r="A1771" s="20">
        <f>IFERROR(__xludf.DUMMYFUNCTION("""COMPUTED_VALUE"""),1896.0)</f>
        <v>1896</v>
      </c>
      <c r="B1771" s="20" t="str">
        <f>IFERROR(__xludf.DUMMYFUNCTION("""COMPUTED_VALUE"""),"Maximum Score from Performing Multiplication Operations")</f>
        <v>Maximum Score from Performing Multiplication Operations</v>
      </c>
      <c r="C1771" s="20" t="str">
        <f>IFERROR(__xludf.DUMMYFUNCTION("""COMPUTED_VALUE"""),"maximum-score-from-performing-multiplication-operations")</f>
        <v>maximum-score-from-performing-multiplication-operations</v>
      </c>
      <c r="D1771" s="20" t="b">
        <f>IFERROR(__xludf.DUMMYFUNCTION("""COMPUTED_VALUE"""),FALSE)</f>
        <v>0</v>
      </c>
      <c r="E1771" s="20" t="str">
        <f>IFERROR(__xludf.DUMMYFUNCTION("""COMPUTED_VALUE"""),"Hard")</f>
        <v>Hard</v>
      </c>
      <c r="F1771" s="20">
        <f>IFERROR(__xludf.DUMMYFUNCTION("""COMPUTED_VALUE"""),2280.0)</f>
        <v>2280</v>
      </c>
      <c r="G1771" s="20">
        <f>IFERROR(__xludf.DUMMYFUNCTION("""COMPUTED_VALUE"""),505.0)</f>
        <v>505</v>
      </c>
      <c r="H1771" s="20" t="str">
        <f>IFERROR(__xludf.DUMMYFUNCTION("""COMPUTED_VALUE"""),"Algorithms")</f>
        <v>Algorithms</v>
      </c>
      <c r="I1771" s="20">
        <f>IFERROR(__xludf.DUMMYFUNCTION("""COMPUTED_VALUE"""),0.369)</f>
        <v>0.369</v>
      </c>
      <c r="J1771" s="20">
        <f>IFERROR(__xludf.DUMMYFUNCTION("""COMPUTED_VALUE"""),1770.0)</f>
        <v>1770</v>
      </c>
      <c r="K1771" s="20" t="b">
        <f>IFERROR(__xludf.DUMMYFUNCTION("""COMPUTED_VALUE"""),FALSE)</f>
        <v>0</v>
      </c>
      <c r="L1771" s="20" t="str">
        <f>IFERROR(__xludf.DUMMYFUNCTION("""COMPUTED_VALUE"""),"Array;Dynamic Programming;")</f>
        <v>Array;Dynamic Programming;</v>
      </c>
      <c r="M1771" s="20" t="b">
        <f>IFERROR(__xludf.DUMMYFUNCTION("""COMPUTED_VALUE"""),TRUE)</f>
        <v>1</v>
      </c>
      <c r="N1771" s="20" t="b">
        <f>IFERROR(__xludf.DUMMYFUNCTION("""COMPUTED_VALUE"""),FALSE)</f>
        <v>0</v>
      </c>
      <c r="O1771" s="20">
        <f>IFERROR(__xludf.DUMMYFUNCTION("""COMPUTED_VALUE"""),36.8909676163173)</f>
        <v>36.89096762</v>
      </c>
      <c r="P1771" s="20">
        <f>IFERROR(__xludf.DUMMYFUNCTION("""COMPUTED_VALUE"""),89050.0)</f>
        <v>89050</v>
      </c>
      <c r="Q1771" s="20">
        <f>IFERROR(__xludf.DUMMYFUNCTION("""COMPUTED_VALUE"""),241387.0)</f>
        <v>241387</v>
      </c>
    </row>
    <row r="1772">
      <c r="A1772" s="20">
        <f>IFERROR(__xludf.DUMMYFUNCTION("""COMPUTED_VALUE"""),1897.0)</f>
        <v>1897</v>
      </c>
      <c r="B1772" s="20" t="str">
        <f>IFERROR(__xludf.DUMMYFUNCTION("""COMPUTED_VALUE"""),"Maximize Palindrome Length From Subsequences")</f>
        <v>Maximize Palindrome Length From Subsequences</v>
      </c>
      <c r="C1772" s="20" t="str">
        <f>IFERROR(__xludf.DUMMYFUNCTION("""COMPUTED_VALUE"""),"maximize-palindrome-length-from-subsequences")</f>
        <v>maximize-palindrome-length-from-subsequences</v>
      </c>
      <c r="D1772" s="20" t="b">
        <f>IFERROR(__xludf.DUMMYFUNCTION("""COMPUTED_VALUE"""),FALSE)</f>
        <v>0</v>
      </c>
      <c r="E1772" s="20" t="str">
        <f>IFERROR(__xludf.DUMMYFUNCTION("""COMPUTED_VALUE"""),"Hard")</f>
        <v>Hard</v>
      </c>
      <c r="F1772" s="20">
        <f>IFERROR(__xludf.DUMMYFUNCTION("""COMPUTED_VALUE"""),454.0)</f>
        <v>454</v>
      </c>
      <c r="G1772" s="20">
        <f>IFERROR(__xludf.DUMMYFUNCTION("""COMPUTED_VALUE"""),8.0)</f>
        <v>8</v>
      </c>
      <c r="H1772" s="20" t="str">
        <f>IFERROR(__xludf.DUMMYFUNCTION("""COMPUTED_VALUE"""),"Algorithms")</f>
        <v>Algorithms</v>
      </c>
      <c r="I1772" s="20">
        <f>IFERROR(__xludf.DUMMYFUNCTION("""COMPUTED_VALUE"""),0.352)</f>
        <v>0.352</v>
      </c>
      <c r="J1772" s="20">
        <f>IFERROR(__xludf.DUMMYFUNCTION("""COMPUTED_VALUE"""),1771.0)</f>
        <v>1771</v>
      </c>
      <c r="K1772" s="20" t="b">
        <f>IFERROR(__xludf.DUMMYFUNCTION("""COMPUTED_VALUE"""),FALSE)</f>
        <v>0</v>
      </c>
      <c r="L1772" s="20" t="str">
        <f>IFERROR(__xludf.DUMMYFUNCTION("""COMPUTED_VALUE"""),"String;Dynamic Programming;")</f>
        <v>String;Dynamic Programming;</v>
      </c>
      <c r="M1772" s="20" t="b">
        <f>IFERROR(__xludf.DUMMYFUNCTION("""COMPUTED_VALUE"""),FALSE)</f>
        <v>0</v>
      </c>
      <c r="N1772" s="20" t="b">
        <f>IFERROR(__xludf.DUMMYFUNCTION("""COMPUTED_VALUE"""),FALSE)</f>
        <v>0</v>
      </c>
      <c r="O1772" s="20">
        <f>IFERROR(__xludf.DUMMYFUNCTION("""COMPUTED_VALUE"""),35.2479272959183)</f>
        <v>35.2479273</v>
      </c>
      <c r="P1772" s="20">
        <f>IFERROR(__xludf.DUMMYFUNCTION("""COMPUTED_VALUE"""),8843.0)</f>
        <v>8843</v>
      </c>
      <c r="Q1772" s="20">
        <f>IFERROR(__xludf.DUMMYFUNCTION("""COMPUTED_VALUE"""),25088.0)</f>
        <v>25088</v>
      </c>
    </row>
    <row r="1773">
      <c r="A1773" s="20">
        <f>IFERROR(__xludf.DUMMYFUNCTION("""COMPUTED_VALUE"""),1919.0)</f>
        <v>1919</v>
      </c>
      <c r="B1773" s="20" t="str">
        <f>IFERROR(__xludf.DUMMYFUNCTION("""COMPUTED_VALUE"""),"Sort Features by Popularity")</f>
        <v>Sort Features by Popularity</v>
      </c>
      <c r="C1773" s="20" t="str">
        <f>IFERROR(__xludf.DUMMYFUNCTION("""COMPUTED_VALUE"""),"sort-features-by-popularity")</f>
        <v>sort-features-by-popularity</v>
      </c>
      <c r="D1773" s="20" t="b">
        <f>IFERROR(__xludf.DUMMYFUNCTION("""COMPUTED_VALUE"""),TRUE)</f>
        <v>1</v>
      </c>
      <c r="E1773" s="20" t="str">
        <f>IFERROR(__xludf.DUMMYFUNCTION("""COMPUTED_VALUE"""),"Medium")</f>
        <v>Medium</v>
      </c>
      <c r="F1773" s="20">
        <f>IFERROR(__xludf.DUMMYFUNCTION("""COMPUTED_VALUE"""),69.0)</f>
        <v>69</v>
      </c>
      <c r="G1773" s="20">
        <f>IFERROR(__xludf.DUMMYFUNCTION("""COMPUTED_VALUE"""),39.0)</f>
        <v>39</v>
      </c>
      <c r="H1773" s="20" t="str">
        <f>IFERROR(__xludf.DUMMYFUNCTION("""COMPUTED_VALUE"""),"Algorithms")</f>
        <v>Algorithms</v>
      </c>
      <c r="I1773" s="20">
        <f>IFERROR(__xludf.DUMMYFUNCTION("""COMPUTED_VALUE"""),0.65)</f>
        <v>0.65</v>
      </c>
      <c r="J1773" s="20">
        <f>IFERROR(__xludf.DUMMYFUNCTION("""COMPUTED_VALUE"""),1772.0)</f>
        <v>1772</v>
      </c>
      <c r="K1773" s="20" t="b">
        <f>IFERROR(__xludf.DUMMYFUNCTION("""COMPUTED_VALUE"""),TRUE)</f>
        <v>1</v>
      </c>
      <c r="L1773" s="20" t="str">
        <f>IFERROR(__xludf.DUMMYFUNCTION("""COMPUTED_VALUE"""),"Array;Hash Table;String;Sorting;")</f>
        <v>Array;Hash Table;String;Sorting;</v>
      </c>
      <c r="M1773" s="20" t="b">
        <f>IFERROR(__xludf.DUMMYFUNCTION("""COMPUTED_VALUE"""),FALSE)</f>
        <v>0</v>
      </c>
      <c r="N1773" s="20" t="b">
        <f>IFERROR(__xludf.DUMMYFUNCTION("""COMPUTED_VALUE"""),FALSE)</f>
        <v>0</v>
      </c>
      <c r="O1773" s="20">
        <f>IFERROR(__xludf.DUMMYFUNCTION("""COMPUTED_VALUE"""),64.9903020227209)</f>
        <v>64.99030202</v>
      </c>
      <c r="P1773" s="20">
        <f>IFERROR(__xludf.DUMMYFUNCTION("""COMPUTED_VALUE"""),4691.0)</f>
        <v>4691</v>
      </c>
      <c r="Q1773" s="20">
        <f>IFERROR(__xludf.DUMMYFUNCTION("""COMPUTED_VALUE"""),7218.0)</f>
        <v>7218</v>
      </c>
    </row>
    <row r="1774">
      <c r="A1774" s="20">
        <f>IFERROR(__xludf.DUMMYFUNCTION("""COMPUTED_VALUE"""),1899.0)</f>
        <v>1899</v>
      </c>
      <c r="B1774" s="20" t="str">
        <f>IFERROR(__xludf.DUMMYFUNCTION("""COMPUTED_VALUE"""),"Count Items Matching a Rule")</f>
        <v>Count Items Matching a Rule</v>
      </c>
      <c r="C1774" s="20" t="str">
        <f>IFERROR(__xludf.DUMMYFUNCTION("""COMPUTED_VALUE"""),"count-items-matching-a-rule")</f>
        <v>count-items-matching-a-rule</v>
      </c>
      <c r="D1774" s="20" t="b">
        <f>IFERROR(__xludf.DUMMYFUNCTION("""COMPUTED_VALUE"""),FALSE)</f>
        <v>0</v>
      </c>
      <c r="E1774" s="20" t="str">
        <f>IFERROR(__xludf.DUMMYFUNCTION("""COMPUTED_VALUE"""),"Easy")</f>
        <v>Easy</v>
      </c>
      <c r="F1774" s="20">
        <f>IFERROR(__xludf.DUMMYFUNCTION("""COMPUTED_VALUE"""),1322.0)</f>
        <v>1322</v>
      </c>
      <c r="G1774" s="20">
        <f>IFERROR(__xludf.DUMMYFUNCTION("""COMPUTED_VALUE"""),139.0)</f>
        <v>139</v>
      </c>
      <c r="H1774" s="20" t="str">
        <f>IFERROR(__xludf.DUMMYFUNCTION("""COMPUTED_VALUE"""),"Algorithms")</f>
        <v>Algorithms</v>
      </c>
      <c r="I1774" s="20">
        <f>IFERROR(__xludf.DUMMYFUNCTION("""COMPUTED_VALUE"""),0.843)</f>
        <v>0.843</v>
      </c>
      <c r="J1774" s="20">
        <f>IFERROR(__xludf.DUMMYFUNCTION("""COMPUTED_VALUE"""),1773.0)</f>
        <v>1773</v>
      </c>
      <c r="K1774" s="20" t="b">
        <f>IFERROR(__xludf.DUMMYFUNCTION("""COMPUTED_VALUE"""),FALSE)</f>
        <v>0</v>
      </c>
      <c r="L1774" s="20" t="str">
        <f>IFERROR(__xludf.DUMMYFUNCTION("""COMPUTED_VALUE"""),"Array;String;")</f>
        <v>Array;String;</v>
      </c>
      <c r="M1774" s="20" t="b">
        <f>IFERROR(__xludf.DUMMYFUNCTION("""COMPUTED_VALUE"""),FALSE)</f>
        <v>0</v>
      </c>
      <c r="N1774" s="20" t="b">
        <f>IFERROR(__xludf.DUMMYFUNCTION("""COMPUTED_VALUE"""),FALSE)</f>
        <v>0</v>
      </c>
      <c r="O1774" s="20">
        <f>IFERROR(__xludf.DUMMYFUNCTION("""COMPUTED_VALUE"""),84.3115567562993)</f>
        <v>84.31155676</v>
      </c>
      <c r="P1774" s="20">
        <f>IFERROR(__xludf.DUMMYFUNCTION("""COMPUTED_VALUE"""),139495.0)</f>
        <v>139495</v>
      </c>
      <c r="Q1774" s="20">
        <f>IFERROR(__xludf.DUMMYFUNCTION("""COMPUTED_VALUE"""),165452.0)</f>
        <v>165452</v>
      </c>
    </row>
    <row r="1775">
      <c r="A1775" s="20">
        <f>IFERROR(__xludf.DUMMYFUNCTION("""COMPUTED_VALUE"""),1900.0)</f>
        <v>1900</v>
      </c>
      <c r="B1775" s="20" t="str">
        <f>IFERROR(__xludf.DUMMYFUNCTION("""COMPUTED_VALUE"""),"Closest Dessert Cost")</f>
        <v>Closest Dessert Cost</v>
      </c>
      <c r="C1775" s="20" t="str">
        <f>IFERROR(__xludf.DUMMYFUNCTION("""COMPUTED_VALUE"""),"closest-dessert-cost")</f>
        <v>closest-dessert-cost</v>
      </c>
      <c r="D1775" s="20" t="b">
        <f>IFERROR(__xludf.DUMMYFUNCTION("""COMPUTED_VALUE"""),FALSE)</f>
        <v>0</v>
      </c>
      <c r="E1775" s="20" t="str">
        <f>IFERROR(__xludf.DUMMYFUNCTION("""COMPUTED_VALUE"""),"Medium")</f>
        <v>Medium</v>
      </c>
      <c r="F1775" s="20">
        <f>IFERROR(__xludf.DUMMYFUNCTION("""COMPUTED_VALUE"""),566.0)</f>
        <v>566</v>
      </c>
      <c r="G1775" s="20">
        <f>IFERROR(__xludf.DUMMYFUNCTION("""COMPUTED_VALUE"""),63.0)</f>
        <v>63</v>
      </c>
      <c r="H1775" s="20" t="str">
        <f>IFERROR(__xludf.DUMMYFUNCTION("""COMPUTED_VALUE"""),"Algorithms")</f>
        <v>Algorithms</v>
      </c>
      <c r="I1775" s="20">
        <f>IFERROR(__xludf.DUMMYFUNCTION("""COMPUTED_VALUE"""),0.471)</f>
        <v>0.471</v>
      </c>
      <c r="J1775" s="20">
        <f>IFERROR(__xludf.DUMMYFUNCTION("""COMPUTED_VALUE"""),1774.0)</f>
        <v>1774</v>
      </c>
      <c r="K1775" s="20" t="b">
        <f>IFERROR(__xludf.DUMMYFUNCTION("""COMPUTED_VALUE"""),FALSE)</f>
        <v>0</v>
      </c>
      <c r="L1775" s="20" t="str">
        <f>IFERROR(__xludf.DUMMYFUNCTION("""COMPUTED_VALUE"""),"Array;Dynamic Programming;Backtracking;")</f>
        <v>Array;Dynamic Programming;Backtracking;</v>
      </c>
      <c r="M1775" s="20" t="b">
        <f>IFERROR(__xludf.DUMMYFUNCTION("""COMPUTED_VALUE"""),FALSE)</f>
        <v>0</v>
      </c>
      <c r="N1775" s="20" t="b">
        <f>IFERROR(__xludf.DUMMYFUNCTION("""COMPUTED_VALUE"""),FALSE)</f>
        <v>0</v>
      </c>
      <c r="O1775" s="20">
        <f>IFERROR(__xludf.DUMMYFUNCTION("""COMPUTED_VALUE"""),47.0914298666776)</f>
        <v>47.09142987</v>
      </c>
      <c r="P1775" s="20">
        <f>IFERROR(__xludf.DUMMYFUNCTION("""COMPUTED_VALUE"""),22853.0)</f>
        <v>22853</v>
      </c>
      <c r="Q1775" s="20">
        <f>IFERROR(__xludf.DUMMYFUNCTION("""COMPUTED_VALUE"""),48529.0)</f>
        <v>48529</v>
      </c>
    </row>
    <row r="1776">
      <c r="A1776" s="20">
        <f>IFERROR(__xludf.DUMMYFUNCTION("""COMPUTED_VALUE"""),1901.0)</f>
        <v>1901</v>
      </c>
      <c r="B1776" s="20" t="str">
        <f>IFERROR(__xludf.DUMMYFUNCTION("""COMPUTED_VALUE"""),"Equal Sum Arrays With Minimum Number of Operations")</f>
        <v>Equal Sum Arrays With Minimum Number of Operations</v>
      </c>
      <c r="C1776" s="20" t="str">
        <f>IFERROR(__xludf.DUMMYFUNCTION("""COMPUTED_VALUE"""),"equal-sum-arrays-with-minimum-number-of-operations")</f>
        <v>equal-sum-arrays-with-minimum-number-of-operations</v>
      </c>
      <c r="D1776" s="20" t="b">
        <f>IFERROR(__xludf.DUMMYFUNCTION("""COMPUTED_VALUE"""),FALSE)</f>
        <v>0</v>
      </c>
      <c r="E1776" s="20" t="str">
        <f>IFERROR(__xludf.DUMMYFUNCTION("""COMPUTED_VALUE"""),"Medium")</f>
        <v>Medium</v>
      </c>
      <c r="F1776" s="20">
        <f>IFERROR(__xludf.DUMMYFUNCTION("""COMPUTED_VALUE"""),750.0)</f>
        <v>750</v>
      </c>
      <c r="G1776" s="20">
        <f>IFERROR(__xludf.DUMMYFUNCTION("""COMPUTED_VALUE"""),25.0)</f>
        <v>25</v>
      </c>
      <c r="H1776" s="20" t="str">
        <f>IFERROR(__xludf.DUMMYFUNCTION("""COMPUTED_VALUE"""),"Algorithms")</f>
        <v>Algorithms</v>
      </c>
      <c r="I1776" s="20">
        <f>IFERROR(__xludf.DUMMYFUNCTION("""COMPUTED_VALUE"""),0.529)</f>
        <v>0.529</v>
      </c>
      <c r="J1776" s="20">
        <f>IFERROR(__xludf.DUMMYFUNCTION("""COMPUTED_VALUE"""),1775.0)</f>
        <v>1775</v>
      </c>
      <c r="K1776" s="20" t="b">
        <f>IFERROR(__xludf.DUMMYFUNCTION("""COMPUTED_VALUE"""),FALSE)</f>
        <v>0</v>
      </c>
      <c r="L1776" s="20" t="str">
        <f>IFERROR(__xludf.DUMMYFUNCTION("""COMPUTED_VALUE"""),"Array;Hash Table;Greedy;Counting;")</f>
        <v>Array;Hash Table;Greedy;Counting;</v>
      </c>
      <c r="M1776" s="20" t="b">
        <f>IFERROR(__xludf.DUMMYFUNCTION("""COMPUTED_VALUE"""),FALSE)</f>
        <v>0</v>
      </c>
      <c r="N1776" s="20" t="b">
        <f>IFERROR(__xludf.DUMMYFUNCTION("""COMPUTED_VALUE"""),FALSE)</f>
        <v>0</v>
      </c>
      <c r="O1776" s="20">
        <f>IFERROR(__xludf.DUMMYFUNCTION("""COMPUTED_VALUE"""),52.9067525574432)</f>
        <v>52.90675256</v>
      </c>
      <c r="P1776" s="20">
        <f>IFERROR(__xludf.DUMMYFUNCTION("""COMPUTED_VALUE"""),23325.0)</f>
        <v>23325</v>
      </c>
      <c r="Q1776" s="20">
        <f>IFERROR(__xludf.DUMMYFUNCTION("""COMPUTED_VALUE"""),44087.0)</f>
        <v>44087</v>
      </c>
    </row>
    <row r="1777">
      <c r="A1777" s="20">
        <f>IFERROR(__xludf.DUMMYFUNCTION("""COMPUTED_VALUE"""),1902.0)</f>
        <v>1902</v>
      </c>
      <c r="B1777" s="20" t="str">
        <f>IFERROR(__xludf.DUMMYFUNCTION("""COMPUTED_VALUE"""),"Car Fleet II")</f>
        <v>Car Fleet II</v>
      </c>
      <c r="C1777" s="20" t="str">
        <f>IFERROR(__xludf.DUMMYFUNCTION("""COMPUTED_VALUE"""),"car-fleet-ii")</f>
        <v>car-fleet-ii</v>
      </c>
      <c r="D1777" s="20" t="b">
        <f>IFERROR(__xludf.DUMMYFUNCTION("""COMPUTED_VALUE"""),FALSE)</f>
        <v>0</v>
      </c>
      <c r="E1777" s="20" t="str">
        <f>IFERROR(__xludf.DUMMYFUNCTION("""COMPUTED_VALUE"""),"Hard")</f>
        <v>Hard</v>
      </c>
      <c r="F1777" s="20">
        <f>IFERROR(__xludf.DUMMYFUNCTION("""COMPUTED_VALUE"""),723.0)</f>
        <v>723</v>
      </c>
      <c r="G1777" s="20">
        <f>IFERROR(__xludf.DUMMYFUNCTION("""COMPUTED_VALUE"""),19.0)</f>
        <v>19</v>
      </c>
      <c r="H1777" s="20" t="str">
        <f>IFERROR(__xludf.DUMMYFUNCTION("""COMPUTED_VALUE"""),"Algorithms")</f>
        <v>Algorithms</v>
      </c>
      <c r="I1777" s="20">
        <f>IFERROR(__xludf.DUMMYFUNCTION("""COMPUTED_VALUE"""),0.535)</f>
        <v>0.535</v>
      </c>
      <c r="J1777" s="20">
        <f>IFERROR(__xludf.DUMMYFUNCTION("""COMPUTED_VALUE"""),1776.0)</f>
        <v>1776</v>
      </c>
      <c r="K1777" s="20" t="b">
        <f>IFERROR(__xludf.DUMMYFUNCTION("""COMPUTED_VALUE"""),FALSE)</f>
        <v>0</v>
      </c>
      <c r="L1777" s="20" t="str">
        <f>IFERROR(__xludf.DUMMYFUNCTION("""COMPUTED_VALUE"""),"Array;Math;Stack;Heap (Priority Queue);Monotonic Stack;")</f>
        <v>Array;Math;Stack;Heap (Priority Queue);Monotonic Stack;</v>
      </c>
      <c r="M1777" s="20" t="b">
        <f>IFERROR(__xludf.DUMMYFUNCTION("""COMPUTED_VALUE"""),FALSE)</f>
        <v>0</v>
      </c>
      <c r="N1777" s="20" t="b">
        <f>IFERROR(__xludf.DUMMYFUNCTION("""COMPUTED_VALUE"""),FALSE)</f>
        <v>0</v>
      </c>
      <c r="O1777" s="20">
        <f>IFERROR(__xludf.DUMMYFUNCTION("""COMPUTED_VALUE"""),53.4846644397206)</f>
        <v>53.48466444</v>
      </c>
      <c r="P1777" s="20">
        <f>IFERROR(__xludf.DUMMYFUNCTION("""COMPUTED_VALUE"""),21135.0)</f>
        <v>21135</v>
      </c>
      <c r="Q1777" s="20">
        <f>IFERROR(__xludf.DUMMYFUNCTION("""COMPUTED_VALUE"""),39516.0)</f>
        <v>39516</v>
      </c>
    </row>
    <row r="1778">
      <c r="A1778" s="20">
        <f>IFERROR(__xludf.DUMMYFUNCTION("""COMPUTED_VALUE"""),1926.0)</f>
        <v>1926</v>
      </c>
      <c r="B1778" s="20" t="str">
        <f>IFERROR(__xludf.DUMMYFUNCTION("""COMPUTED_VALUE"""),"Product's Price for Each Store")</f>
        <v>Product's Price for Each Store</v>
      </c>
      <c r="C1778" s="20" t="str">
        <f>IFERROR(__xludf.DUMMYFUNCTION("""COMPUTED_VALUE"""),"products-price-for-each-store")</f>
        <v>products-price-for-each-store</v>
      </c>
      <c r="D1778" s="20" t="b">
        <f>IFERROR(__xludf.DUMMYFUNCTION("""COMPUTED_VALUE"""),TRUE)</f>
        <v>1</v>
      </c>
      <c r="E1778" s="20" t="str">
        <f>IFERROR(__xludf.DUMMYFUNCTION("""COMPUTED_VALUE"""),"Easy")</f>
        <v>Easy</v>
      </c>
      <c r="F1778" s="20">
        <f>IFERROR(__xludf.DUMMYFUNCTION("""COMPUTED_VALUE"""),104.0)</f>
        <v>104</v>
      </c>
      <c r="G1778" s="20">
        <f>IFERROR(__xludf.DUMMYFUNCTION("""COMPUTED_VALUE"""),10.0)</f>
        <v>10</v>
      </c>
      <c r="H1778" s="20" t="str">
        <f>IFERROR(__xludf.DUMMYFUNCTION("""COMPUTED_VALUE"""),"Database")</f>
        <v>Database</v>
      </c>
      <c r="I1778" s="20">
        <f>IFERROR(__xludf.DUMMYFUNCTION("""COMPUTED_VALUE"""),0.852)</f>
        <v>0.852</v>
      </c>
      <c r="J1778" s="20">
        <f>IFERROR(__xludf.DUMMYFUNCTION("""COMPUTED_VALUE"""),1777.0)</f>
        <v>1777</v>
      </c>
      <c r="K1778" s="20" t="b">
        <f>IFERROR(__xludf.DUMMYFUNCTION("""COMPUTED_VALUE"""),TRUE)</f>
        <v>1</v>
      </c>
      <c r="L1778" s="20" t="str">
        <f>IFERROR(__xludf.DUMMYFUNCTION("""COMPUTED_VALUE"""),"Database;")</f>
        <v>Database;</v>
      </c>
      <c r="M1778" s="20" t="b">
        <f>IFERROR(__xludf.DUMMYFUNCTION("""COMPUTED_VALUE"""),FALSE)</f>
        <v>0</v>
      </c>
      <c r="N1778" s="20" t="b">
        <f>IFERROR(__xludf.DUMMYFUNCTION("""COMPUTED_VALUE"""),FALSE)</f>
        <v>0</v>
      </c>
      <c r="O1778" s="20">
        <f>IFERROR(__xludf.DUMMYFUNCTION("""COMPUTED_VALUE"""),85.1602117581499)</f>
        <v>85.16021176</v>
      </c>
      <c r="P1778" s="20">
        <f>IFERROR(__xludf.DUMMYFUNCTION("""COMPUTED_VALUE"""),15282.0)</f>
        <v>15282</v>
      </c>
      <c r="Q1778" s="20">
        <f>IFERROR(__xludf.DUMMYFUNCTION("""COMPUTED_VALUE"""),17945.0)</f>
        <v>17945</v>
      </c>
    </row>
    <row r="1779">
      <c r="A1779" s="20">
        <f>IFERROR(__xludf.DUMMYFUNCTION("""COMPUTED_VALUE"""),1931.0)</f>
        <v>1931</v>
      </c>
      <c r="B1779" s="20" t="str">
        <f>IFERROR(__xludf.DUMMYFUNCTION("""COMPUTED_VALUE"""),"Shortest Path in a Hidden Grid")</f>
        <v>Shortest Path in a Hidden Grid</v>
      </c>
      <c r="C1779" s="20" t="str">
        <f>IFERROR(__xludf.DUMMYFUNCTION("""COMPUTED_VALUE"""),"shortest-path-in-a-hidden-grid")</f>
        <v>shortest-path-in-a-hidden-grid</v>
      </c>
      <c r="D1779" s="20" t="b">
        <f>IFERROR(__xludf.DUMMYFUNCTION("""COMPUTED_VALUE"""),TRUE)</f>
        <v>1</v>
      </c>
      <c r="E1779" s="20" t="str">
        <f>IFERROR(__xludf.DUMMYFUNCTION("""COMPUTED_VALUE"""),"Medium")</f>
        <v>Medium</v>
      </c>
      <c r="F1779" s="20">
        <f>IFERROR(__xludf.DUMMYFUNCTION("""COMPUTED_VALUE"""),135.0)</f>
        <v>135</v>
      </c>
      <c r="G1779" s="20">
        <f>IFERROR(__xludf.DUMMYFUNCTION("""COMPUTED_VALUE"""),58.0)</f>
        <v>58</v>
      </c>
      <c r="H1779" s="20" t="str">
        <f>IFERROR(__xludf.DUMMYFUNCTION("""COMPUTED_VALUE"""),"Algorithms")</f>
        <v>Algorithms</v>
      </c>
      <c r="I1779" s="20">
        <f>IFERROR(__xludf.DUMMYFUNCTION("""COMPUTED_VALUE"""),0.392)</f>
        <v>0.392</v>
      </c>
      <c r="J1779" s="20">
        <f>IFERROR(__xludf.DUMMYFUNCTION("""COMPUTED_VALUE"""),1778.0)</f>
        <v>1778</v>
      </c>
      <c r="K1779" s="20" t="b">
        <f>IFERROR(__xludf.DUMMYFUNCTION("""COMPUTED_VALUE"""),TRUE)</f>
        <v>1</v>
      </c>
      <c r="L1779" s="20" t="str">
        <f>IFERROR(__xludf.DUMMYFUNCTION("""COMPUTED_VALUE"""),"Depth-First Search;Breadth-First Search;Graph;Interactive;")</f>
        <v>Depth-First Search;Breadth-First Search;Graph;Interactive;</v>
      </c>
      <c r="M1779" s="20" t="b">
        <f>IFERROR(__xludf.DUMMYFUNCTION("""COMPUTED_VALUE"""),FALSE)</f>
        <v>0</v>
      </c>
      <c r="N1779" s="20" t="b">
        <f>IFERROR(__xludf.DUMMYFUNCTION("""COMPUTED_VALUE"""),FALSE)</f>
        <v>0</v>
      </c>
      <c r="O1779" s="20">
        <f>IFERROR(__xludf.DUMMYFUNCTION("""COMPUTED_VALUE"""),39.1591382904795)</f>
        <v>39.15913829</v>
      </c>
      <c r="P1779" s="20">
        <f>IFERROR(__xludf.DUMMYFUNCTION("""COMPUTED_VALUE"""),4508.0)</f>
        <v>4508</v>
      </c>
      <c r="Q1779" s="20">
        <f>IFERROR(__xludf.DUMMYFUNCTION("""COMPUTED_VALUE"""),11512.0)</f>
        <v>11512</v>
      </c>
    </row>
    <row r="1780">
      <c r="A1780" s="20">
        <f>IFERROR(__xludf.DUMMYFUNCTION("""COMPUTED_VALUE"""),1888.0)</f>
        <v>1888</v>
      </c>
      <c r="B1780" s="20" t="str">
        <f>IFERROR(__xludf.DUMMYFUNCTION("""COMPUTED_VALUE"""),"Find Nearest Point That Has the Same X or Y Coordinate")</f>
        <v>Find Nearest Point That Has the Same X or Y Coordinate</v>
      </c>
      <c r="C1780" s="20" t="str">
        <f>IFERROR(__xludf.DUMMYFUNCTION("""COMPUTED_VALUE"""),"find-nearest-point-that-has-the-same-x-or-y-coordinate")</f>
        <v>find-nearest-point-that-has-the-same-x-or-y-coordinate</v>
      </c>
      <c r="D1780" s="20" t="b">
        <f>IFERROR(__xludf.DUMMYFUNCTION("""COMPUTED_VALUE"""),FALSE)</f>
        <v>0</v>
      </c>
      <c r="E1780" s="20" t="str">
        <f>IFERROR(__xludf.DUMMYFUNCTION("""COMPUTED_VALUE"""),"Easy")</f>
        <v>Easy</v>
      </c>
      <c r="F1780" s="20">
        <f>IFERROR(__xludf.DUMMYFUNCTION("""COMPUTED_VALUE"""),646.0)</f>
        <v>646</v>
      </c>
      <c r="G1780" s="20">
        <f>IFERROR(__xludf.DUMMYFUNCTION("""COMPUTED_VALUE"""),130.0)</f>
        <v>130</v>
      </c>
      <c r="H1780" s="20" t="str">
        <f>IFERROR(__xludf.DUMMYFUNCTION("""COMPUTED_VALUE"""),"Algorithms")</f>
        <v>Algorithms</v>
      </c>
      <c r="I1780" s="20">
        <f>IFERROR(__xludf.DUMMYFUNCTION("""COMPUTED_VALUE"""),0.674)</f>
        <v>0.674</v>
      </c>
      <c r="J1780" s="20">
        <f>IFERROR(__xludf.DUMMYFUNCTION("""COMPUTED_VALUE"""),1779.0)</f>
        <v>1779</v>
      </c>
      <c r="K1780" s="20" t="b">
        <f>IFERROR(__xludf.DUMMYFUNCTION("""COMPUTED_VALUE"""),FALSE)</f>
        <v>0</v>
      </c>
      <c r="L1780" s="20" t="str">
        <f>IFERROR(__xludf.DUMMYFUNCTION("""COMPUTED_VALUE"""),"Array;")</f>
        <v>Array;</v>
      </c>
      <c r="M1780" s="20" t="b">
        <f>IFERROR(__xludf.DUMMYFUNCTION("""COMPUTED_VALUE"""),FALSE)</f>
        <v>0</v>
      </c>
      <c r="N1780" s="20" t="b">
        <f>IFERROR(__xludf.DUMMYFUNCTION("""COMPUTED_VALUE"""),FALSE)</f>
        <v>0</v>
      </c>
      <c r="O1780" s="20">
        <f>IFERROR(__xludf.DUMMYFUNCTION("""COMPUTED_VALUE"""),67.4358666506583)</f>
        <v>67.43586665</v>
      </c>
      <c r="P1780" s="20">
        <f>IFERROR(__xludf.DUMMYFUNCTION("""COMPUTED_VALUE"""),84249.0)</f>
        <v>84249</v>
      </c>
      <c r="Q1780" s="20">
        <f>IFERROR(__xludf.DUMMYFUNCTION("""COMPUTED_VALUE"""),124930.0)</f>
        <v>124930</v>
      </c>
    </row>
    <row r="1781">
      <c r="A1781" s="20">
        <f>IFERROR(__xludf.DUMMYFUNCTION("""COMPUTED_VALUE"""),1889.0)</f>
        <v>1889</v>
      </c>
      <c r="B1781" s="20" t="str">
        <f>IFERROR(__xludf.DUMMYFUNCTION("""COMPUTED_VALUE"""),"Check if Number is a Sum of Powers of Three")</f>
        <v>Check if Number is a Sum of Powers of Three</v>
      </c>
      <c r="C1781" s="20" t="str">
        <f>IFERROR(__xludf.DUMMYFUNCTION("""COMPUTED_VALUE"""),"check-if-number-is-a-sum-of-powers-of-three")</f>
        <v>check-if-number-is-a-sum-of-powers-of-three</v>
      </c>
      <c r="D1781" s="20" t="b">
        <f>IFERROR(__xludf.DUMMYFUNCTION("""COMPUTED_VALUE"""),FALSE)</f>
        <v>0</v>
      </c>
      <c r="E1781" s="20" t="str">
        <f>IFERROR(__xludf.DUMMYFUNCTION("""COMPUTED_VALUE"""),"Medium")</f>
        <v>Medium</v>
      </c>
      <c r="F1781" s="20">
        <f>IFERROR(__xludf.DUMMYFUNCTION("""COMPUTED_VALUE"""),782.0)</f>
        <v>782</v>
      </c>
      <c r="G1781" s="20">
        <f>IFERROR(__xludf.DUMMYFUNCTION("""COMPUTED_VALUE"""),27.0)</f>
        <v>27</v>
      </c>
      <c r="H1781" s="20" t="str">
        <f>IFERROR(__xludf.DUMMYFUNCTION("""COMPUTED_VALUE"""),"Algorithms")</f>
        <v>Algorithms</v>
      </c>
      <c r="I1781" s="20">
        <f>IFERROR(__xludf.DUMMYFUNCTION("""COMPUTED_VALUE"""),0.655)</f>
        <v>0.655</v>
      </c>
      <c r="J1781" s="20">
        <f>IFERROR(__xludf.DUMMYFUNCTION("""COMPUTED_VALUE"""),1780.0)</f>
        <v>1780</v>
      </c>
      <c r="K1781" s="20" t="b">
        <f>IFERROR(__xludf.DUMMYFUNCTION("""COMPUTED_VALUE"""),FALSE)</f>
        <v>0</v>
      </c>
      <c r="L1781" s="20" t="str">
        <f>IFERROR(__xludf.DUMMYFUNCTION("""COMPUTED_VALUE"""),"Math;")</f>
        <v>Math;</v>
      </c>
      <c r="M1781" s="20" t="b">
        <f>IFERROR(__xludf.DUMMYFUNCTION("""COMPUTED_VALUE"""),FALSE)</f>
        <v>0</v>
      </c>
      <c r="N1781" s="20" t="b">
        <f>IFERROR(__xludf.DUMMYFUNCTION("""COMPUTED_VALUE"""),FALSE)</f>
        <v>0</v>
      </c>
      <c r="O1781" s="20">
        <f>IFERROR(__xludf.DUMMYFUNCTION("""COMPUTED_VALUE"""),65.5410288417318)</f>
        <v>65.54102884</v>
      </c>
      <c r="P1781" s="20">
        <f>IFERROR(__xludf.DUMMYFUNCTION("""COMPUTED_VALUE"""),29926.0)</f>
        <v>29926</v>
      </c>
      <c r="Q1781" s="20">
        <f>IFERROR(__xludf.DUMMYFUNCTION("""COMPUTED_VALUE"""),45661.0)</f>
        <v>45661</v>
      </c>
    </row>
    <row r="1782">
      <c r="A1782" s="20">
        <f>IFERROR(__xludf.DUMMYFUNCTION("""COMPUTED_VALUE"""),1890.0)</f>
        <v>1890</v>
      </c>
      <c r="B1782" s="20" t="str">
        <f>IFERROR(__xludf.DUMMYFUNCTION("""COMPUTED_VALUE"""),"Sum of Beauty of All Substrings")</f>
        <v>Sum of Beauty of All Substrings</v>
      </c>
      <c r="C1782" s="20" t="str">
        <f>IFERROR(__xludf.DUMMYFUNCTION("""COMPUTED_VALUE"""),"sum-of-beauty-of-all-substrings")</f>
        <v>sum-of-beauty-of-all-substrings</v>
      </c>
      <c r="D1782" s="20" t="b">
        <f>IFERROR(__xludf.DUMMYFUNCTION("""COMPUTED_VALUE"""),FALSE)</f>
        <v>0</v>
      </c>
      <c r="E1782" s="20" t="str">
        <f>IFERROR(__xludf.DUMMYFUNCTION("""COMPUTED_VALUE"""),"Medium")</f>
        <v>Medium</v>
      </c>
      <c r="F1782" s="20">
        <f>IFERROR(__xludf.DUMMYFUNCTION("""COMPUTED_VALUE"""),512.0)</f>
        <v>512</v>
      </c>
      <c r="G1782" s="20">
        <f>IFERROR(__xludf.DUMMYFUNCTION("""COMPUTED_VALUE"""),114.0)</f>
        <v>114</v>
      </c>
      <c r="H1782" s="20" t="str">
        <f>IFERROR(__xludf.DUMMYFUNCTION("""COMPUTED_VALUE"""),"Algorithms")</f>
        <v>Algorithms</v>
      </c>
      <c r="I1782" s="20">
        <f>IFERROR(__xludf.DUMMYFUNCTION("""COMPUTED_VALUE"""),0.608)</f>
        <v>0.608</v>
      </c>
      <c r="J1782" s="20">
        <f>IFERROR(__xludf.DUMMYFUNCTION("""COMPUTED_VALUE"""),1781.0)</f>
        <v>1781</v>
      </c>
      <c r="K1782" s="20" t="b">
        <f>IFERROR(__xludf.DUMMYFUNCTION("""COMPUTED_VALUE"""),FALSE)</f>
        <v>0</v>
      </c>
      <c r="L1782" s="20" t="str">
        <f>IFERROR(__xludf.DUMMYFUNCTION("""COMPUTED_VALUE"""),"Hash Table;String;Counting;")</f>
        <v>Hash Table;String;Counting;</v>
      </c>
      <c r="M1782" s="20" t="b">
        <f>IFERROR(__xludf.DUMMYFUNCTION("""COMPUTED_VALUE"""),FALSE)</f>
        <v>0</v>
      </c>
      <c r="N1782" s="20" t="b">
        <f>IFERROR(__xludf.DUMMYFUNCTION("""COMPUTED_VALUE"""),FALSE)</f>
        <v>0</v>
      </c>
      <c r="O1782" s="20">
        <f>IFERROR(__xludf.DUMMYFUNCTION("""COMPUTED_VALUE"""),60.7790373036429)</f>
        <v>60.7790373</v>
      </c>
      <c r="P1782" s="20">
        <f>IFERROR(__xludf.DUMMYFUNCTION("""COMPUTED_VALUE"""),18067.0)</f>
        <v>18067</v>
      </c>
      <c r="Q1782" s="20">
        <f>IFERROR(__xludf.DUMMYFUNCTION("""COMPUTED_VALUE"""),29725.0)</f>
        <v>29725</v>
      </c>
    </row>
    <row r="1783">
      <c r="A1783" s="20">
        <f>IFERROR(__xludf.DUMMYFUNCTION("""COMPUTED_VALUE"""),1891.0)</f>
        <v>1891</v>
      </c>
      <c r="B1783" s="20" t="str">
        <f>IFERROR(__xludf.DUMMYFUNCTION("""COMPUTED_VALUE"""),"Count Pairs Of Nodes")</f>
        <v>Count Pairs Of Nodes</v>
      </c>
      <c r="C1783" s="20" t="str">
        <f>IFERROR(__xludf.DUMMYFUNCTION("""COMPUTED_VALUE"""),"count-pairs-of-nodes")</f>
        <v>count-pairs-of-nodes</v>
      </c>
      <c r="D1783" s="20" t="b">
        <f>IFERROR(__xludf.DUMMYFUNCTION("""COMPUTED_VALUE"""),FALSE)</f>
        <v>0</v>
      </c>
      <c r="E1783" s="20" t="str">
        <f>IFERROR(__xludf.DUMMYFUNCTION("""COMPUTED_VALUE"""),"Hard")</f>
        <v>Hard</v>
      </c>
      <c r="F1783" s="20">
        <f>IFERROR(__xludf.DUMMYFUNCTION("""COMPUTED_VALUE"""),246.0)</f>
        <v>246</v>
      </c>
      <c r="G1783" s="20">
        <f>IFERROR(__xludf.DUMMYFUNCTION("""COMPUTED_VALUE"""),142.0)</f>
        <v>142</v>
      </c>
      <c r="H1783" s="20" t="str">
        <f>IFERROR(__xludf.DUMMYFUNCTION("""COMPUTED_VALUE"""),"Algorithms")</f>
        <v>Algorithms</v>
      </c>
      <c r="I1783" s="20">
        <f>IFERROR(__xludf.DUMMYFUNCTION("""COMPUTED_VALUE"""),0.383)</f>
        <v>0.383</v>
      </c>
      <c r="J1783" s="20">
        <f>IFERROR(__xludf.DUMMYFUNCTION("""COMPUTED_VALUE"""),1782.0)</f>
        <v>1782</v>
      </c>
      <c r="K1783" s="20" t="b">
        <f>IFERROR(__xludf.DUMMYFUNCTION("""COMPUTED_VALUE"""),FALSE)</f>
        <v>0</v>
      </c>
      <c r="L1783" s="20" t="str">
        <f>IFERROR(__xludf.DUMMYFUNCTION("""COMPUTED_VALUE"""),"Two Pointers;Binary Search;Graph;")</f>
        <v>Two Pointers;Binary Search;Graph;</v>
      </c>
      <c r="M1783" s="20" t="b">
        <f>IFERROR(__xludf.DUMMYFUNCTION("""COMPUTED_VALUE"""),FALSE)</f>
        <v>0</v>
      </c>
      <c r="N1783" s="20" t="b">
        <f>IFERROR(__xludf.DUMMYFUNCTION("""COMPUTED_VALUE"""),FALSE)</f>
        <v>0</v>
      </c>
      <c r="O1783" s="20">
        <f>IFERROR(__xludf.DUMMYFUNCTION("""COMPUTED_VALUE"""),38.2796334614247)</f>
        <v>38.27963346</v>
      </c>
      <c r="P1783" s="20">
        <f>IFERROR(__xludf.DUMMYFUNCTION("""COMPUTED_VALUE"""),5180.0)</f>
        <v>5180</v>
      </c>
      <c r="Q1783" s="20">
        <f>IFERROR(__xludf.DUMMYFUNCTION("""COMPUTED_VALUE"""),13532.0)</f>
        <v>13532</v>
      </c>
    </row>
    <row r="1784">
      <c r="A1784" s="20">
        <f>IFERROR(__xludf.DUMMYFUNCTION("""COMPUTED_VALUE"""),1932.0)</f>
        <v>1932</v>
      </c>
      <c r="B1784" s="20" t="str">
        <f>IFERROR(__xludf.DUMMYFUNCTION("""COMPUTED_VALUE"""),"Grand Slam Titles")</f>
        <v>Grand Slam Titles</v>
      </c>
      <c r="C1784" s="20" t="str">
        <f>IFERROR(__xludf.DUMMYFUNCTION("""COMPUTED_VALUE"""),"grand-slam-titles")</f>
        <v>grand-slam-titles</v>
      </c>
      <c r="D1784" s="20" t="b">
        <f>IFERROR(__xludf.DUMMYFUNCTION("""COMPUTED_VALUE"""),TRUE)</f>
        <v>1</v>
      </c>
      <c r="E1784" s="20" t="str">
        <f>IFERROR(__xludf.DUMMYFUNCTION("""COMPUTED_VALUE"""),"Medium")</f>
        <v>Medium</v>
      </c>
      <c r="F1784" s="20">
        <f>IFERROR(__xludf.DUMMYFUNCTION("""COMPUTED_VALUE"""),172.0)</f>
        <v>172</v>
      </c>
      <c r="G1784" s="20">
        <f>IFERROR(__xludf.DUMMYFUNCTION("""COMPUTED_VALUE"""),4.0)</f>
        <v>4</v>
      </c>
      <c r="H1784" s="20" t="str">
        <f>IFERROR(__xludf.DUMMYFUNCTION("""COMPUTED_VALUE"""),"Database")</f>
        <v>Database</v>
      </c>
      <c r="I1784" s="20">
        <f>IFERROR(__xludf.DUMMYFUNCTION("""COMPUTED_VALUE"""),0.878)</f>
        <v>0.878</v>
      </c>
      <c r="J1784" s="20">
        <f>IFERROR(__xludf.DUMMYFUNCTION("""COMPUTED_VALUE"""),1783.0)</f>
        <v>1783</v>
      </c>
      <c r="K1784" s="20" t="b">
        <f>IFERROR(__xludf.DUMMYFUNCTION("""COMPUTED_VALUE"""),TRUE)</f>
        <v>1</v>
      </c>
      <c r="L1784" s="20" t="str">
        <f>IFERROR(__xludf.DUMMYFUNCTION("""COMPUTED_VALUE"""),"Database;")</f>
        <v>Database;</v>
      </c>
      <c r="M1784" s="20" t="b">
        <f>IFERROR(__xludf.DUMMYFUNCTION("""COMPUTED_VALUE"""),FALSE)</f>
        <v>0</v>
      </c>
      <c r="N1784" s="20" t="b">
        <f>IFERROR(__xludf.DUMMYFUNCTION("""COMPUTED_VALUE"""),FALSE)</f>
        <v>0</v>
      </c>
      <c r="O1784" s="20">
        <f>IFERROR(__xludf.DUMMYFUNCTION("""COMPUTED_VALUE"""),87.7748274030802)</f>
        <v>87.7748274</v>
      </c>
      <c r="P1784" s="20">
        <f>IFERROR(__xludf.DUMMYFUNCTION("""COMPUTED_VALUE"""),16528.0)</f>
        <v>16528</v>
      </c>
      <c r="Q1784" s="20">
        <f>IFERROR(__xludf.DUMMYFUNCTION("""COMPUTED_VALUE"""),18830.0)</f>
        <v>18830</v>
      </c>
    </row>
    <row r="1785">
      <c r="A1785" s="20">
        <f>IFERROR(__xludf.DUMMYFUNCTION("""COMPUTED_VALUE"""),1910.0)</f>
        <v>1910</v>
      </c>
      <c r="B1785" s="20" t="str">
        <f>IFERROR(__xludf.DUMMYFUNCTION("""COMPUTED_VALUE"""),"Check if Binary String Has at Most One Segment of Ones")</f>
        <v>Check if Binary String Has at Most One Segment of Ones</v>
      </c>
      <c r="C1785" s="20" t="str">
        <f>IFERROR(__xludf.DUMMYFUNCTION("""COMPUTED_VALUE"""),"check-if-binary-string-has-at-most-one-segment-of-ones")</f>
        <v>check-if-binary-string-has-at-most-one-segment-of-ones</v>
      </c>
      <c r="D1785" s="20" t="b">
        <f>IFERROR(__xludf.DUMMYFUNCTION("""COMPUTED_VALUE"""),FALSE)</f>
        <v>0</v>
      </c>
      <c r="E1785" s="20" t="str">
        <f>IFERROR(__xludf.DUMMYFUNCTION("""COMPUTED_VALUE"""),"Easy")</f>
        <v>Easy</v>
      </c>
      <c r="F1785" s="20">
        <f>IFERROR(__xludf.DUMMYFUNCTION("""COMPUTED_VALUE"""),238.0)</f>
        <v>238</v>
      </c>
      <c r="G1785" s="20">
        <f>IFERROR(__xludf.DUMMYFUNCTION("""COMPUTED_VALUE"""),723.0)</f>
        <v>723</v>
      </c>
      <c r="H1785" s="20" t="str">
        <f>IFERROR(__xludf.DUMMYFUNCTION("""COMPUTED_VALUE"""),"Algorithms")</f>
        <v>Algorithms</v>
      </c>
      <c r="I1785" s="20">
        <f>IFERROR(__xludf.DUMMYFUNCTION("""COMPUTED_VALUE"""),0.404)</f>
        <v>0.404</v>
      </c>
      <c r="J1785" s="20">
        <f>IFERROR(__xludf.DUMMYFUNCTION("""COMPUTED_VALUE"""),1784.0)</f>
        <v>1784</v>
      </c>
      <c r="K1785" s="20" t="b">
        <f>IFERROR(__xludf.DUMMYFUNCTION("""COMPUTED_VALUE"""),FALSE)</f>
        <v>0</v>
      </c>
      <c r="L1785" s="20" t="str">
        <f>IFERROR(__xludf.DUMMYFUNCTION("""COMPUTED_VALUE"""),"String;")</f>
        <v>String;</v>
      </c>
      <c r="M1785" s="20" t="b">
        <f>IFERROR(__xludf.DUMMYFUNCTION("""COMPUTED_VALUE"""),FALSE)</f>
        <v>0</v>
      </c>
      <c r="N1785" s="20" t="b">
        <f>IFERROR(__xludf.DUMMYFUNCTION("""COMPUTED_VALUE"""),FALSE)</f>
        <v>0</v>
      </c>
      <c r="O1785" s="20">
        <f>IFERROR(__xludf.DUMMYFUNCTION("""COMPUTED_VALUE"""),40.3714175726441)</f>
        <v>40.37141757</v>
      </c>
      <c r="P1785" s="20">
        <f>IFERROR(__xludf.DUMMYFUNCTION("""COMPUTED_VALUE"""),30413.0)</f>
        <v>30413</v>
      </c>
      <c r="Q1785" s="20">
        <f>IFERROR(__xludf.DUMMYFUNCTION("""COMPUTED_VALUE"""),75333.0)</f>
        <v>75333</v>
      </c>
    </row>
    <row r="1786">
      <c r="A1786" s="20">
        <f>IFERROR(__xludf.DUMMYFUNCTION("""COMPUTED_VALUE"""),1911.0)</f>
        <v>1911</v>
      </c>
      <c r="B1786" s="20" t="str">
        <f>IFERROR(__xludf.DUMMYFUNCTION("""COMPUTED_VALUE"""),"Minimum Elements to Add to Form a Given Sum")</f>
        <v>Minimum Elements to Add to Form a Given Sum</v>
      </c>
      <c r="C1786" s="20" t="str">
        <f>IFERROR(__xludf.DUMMYFUNCTION("""COMPUTED_VALUE"""),"minimum-elements-to-add-to-form-a-given-sum")</f>
        <v>minimum-elements-to-add-to-form-a-given-sum</v>
      </c>
      <c r="D1786" s="20" t="b">
        <f>IFERROR(__xludf.DUMMYFUNCTION("""COMPUTED_VALUE"""),FALSE)</f>
        <v>0</v>
      </c>
      <c r="E1786" s="20" t="str">
        <f>IFERROR(__xludf.DUMMYFUNCTION("""COMPUTED_VALUE"""),"Medium")</f>
        <v>Medium</v>
      </c>
      <c r="F1786" s="20">
        <f>IFERROR(__xludf.DUMMYFUNCTION("""COMPUTED_VALUE"""),193.0)</f>
        <v>193</v>
      </c>
      <c r="G1786" s="20">
        <f>IFERROR(__xludf.DUMMYFUNCTION("""COMPUTED_VALUE"""),166.0)</f>
        <v>166</v>
      </c>
      <c r="H1786" s="20" t="str">
        <f>IFERROR(__xludf.DUMMYFUNCTION("""COMPUTED_VALUE"""),"Algorithms")</f>
        <v>Algorithms</v>
      </c>
      <c r="I1786" s="20">
        <f>IFERROR(__xludf.DUMMYFUNCTION("""COMPUTED_VALUE"""),0.426)</f>
        <v>0.426</v>
      </c>
      <c r="J1786" s="20">
        <f>IFERROR(__xludf.DUMMYFUNCTION("""COMPUTED_VALUE"""),1785.0)</f>
        <v>1785</v>
      </c>
      <c r="K1786" s="20" t="b">
        <f>IFERROR(__xludf.DUMMYFUNCTION("""COMPUTED_VALUE"""),FALSE)</f>
        <v>0</v>
      </c>
      <c r="L1786" s="20" t="str">
        <f>IFERROR(__xludf.DUMMYFUNCTION("""COMPUTED_VALUE"""),"Array;Greedy;")</f>
        <v>Array;Greedy;</v>
      </c>
      <c r="M1786" s="20" t="b">
        <f>IFERROR(__xludf.DUMMYFUNCTION("""COMPUTED_VALUE"""),FALSE)</f>
        <v>0</v>
      </c>
      <c r="N1786" s="20" t="b">
        <f>IFERROR(__xludf.DUMMYFUNCTION("""COMPUTED_VALUE"""),FALSE)</f>
        <v>0</v>
      </c>
      <c r="O1786" s="20">
        <f>IFERROR(__xludf.DUMMYFUNCTION("""COMPUTED_VALUE"""),42.5880861850443)</f>
        <v>42.58808619</v>
      </c>
      <c r="P1786" s="20">
        <f>IFERROR(__xludf.DUMMYFUNCTION("""COMPUTED_VALUE"""),16801.0)</f>
        <v>16801</v>
      </c>
      <c r="Q1786" s="20">
        <f>IFERROR(__xludf.DUMMYFUNCTION("""COMPUTED_VALUE"""),39449.0)</f>
        <v>39449</v>
      </c>
    </row>
    <row r="1787">
      <c r="A1787" s="20">
        <f>IFERROR(__xludf.DUMMYFUNCTION("""COMPUTED_VALUE"""),1912.0)</f>
        <v>1912</v>
      </c>
      <c r="B1787" s="20" t="str">
        <f>IFERROR(__xludf.DUMMYFUNCTION("""COMPUTED_VALUE"""),"Number of Restricted Paths From First to Last Node")</f>
        <v>Number of Restricted Paths From First to Last Node</v>
      </c>
      <c r="C1787" s="20" t="str">
        <f>IFERROR(__xludf.DUMMYFUNCTION("""COMPUTED_VALUE"""),"number-of-restricted-paths-from-first-to-last-node")</f>
        <v>number-of-restricted-paths-from-first-to-last-node</v>
      </c>
      <c r="D1787" s="20" t="b">
        <f>IFERROR(__xludf.DUMMYFUNCTION("""COMPUTED_VALUE"""),FALSE)</f>
        <v>0</v>
      </c>
      <c r="E1787" s="20" t="str">
        <f>IFERROR(__xludf.DUMMYFUNCTION("""COMPUTED_VALUE"""),"Medium")</f>
        <v>Medium</v>
      </c>
      <c r="F1787" s="20">
        <f>IFERROR(__xludf.DUMMYFUNCTION("""COMPUTED_VALUE"""),807.0)</f>
        <v>807</v>
      </c>
      <c r="G1787" s="20">
        <f>IFERROR(__xludf.DUMMYFUNCTION("""COMPUTED_VALUE"""),146.0)</f>
        <v>146</v>
      </c>
      <c r="H1787" s="20" t="str">
        <f>IFERROR(__xludf.DUMMYFUNCTION("""COMPUTED_VALUE"""),"Algorithms")</f>
        <v>Algorithms</v>
      </c>
      <c r="I1787" s="20">
        <f>IFERROR(__xludf.DUMMYFUNCTION("""COMPUTED_VALUE"""),0.394)</f>
        <v>0.394</v>
      </c>
      <c r="J1787" s="20">
        <f>IFERROR(__xludf.DUMMYFUNCTION("""COMPUTED_VALUE"""),1786.0)</f>
        <v>1786</v>
      </c>
      <c r="K1787" s="20" t="b">
        <f>IFERROR(__xludf.DUMMYFUNCTION("""COMPUTED_VALUE"""),FALSE)</f>
        <v>0</v>
      </c>
      <c r="L1787" s="20" t="str">
        <f>IFERROR(__xludf.DUMMYFUNCTION("""COMPUTED_VALUE"""),"Dynamic Programming;Graph;Topological Sort;Heap (Priority Queue);Shortest Path;")</f>
        <v>Dynamic Programming;Graph;Topological Sort;Heap (Priority Queue);Shortest Path;</v>
      </c>
      <c r="M1787" s="20" t="b">
        <f>IFERROR(__xludf.DUMMYFUNCTION("""COMPUTED_VALUE"""),FALSE)</f>
        <v>0</v>
      </c>
      <c r="N1787" s="20" t="b">
        <f>IFERROR(__xludf.DUMMYFUNCTION("""COMPUTED_VALUE"""),FALSE)</f>
        <v>0</v>
      </c>
      <c r="O1787" s="20">
        <f>IFERROR(__xludf.DUMMYFUNCTION("""COMPUTED_VALUE"""),39.3759388228867)</f>
        <v>39.37593882</v>
      </c>
      <c r="P1787" s="20">
        <f>IFERROR(__xludf.DUMMYFUNCTION("""COMPUTED_VALUE"""),17301.0)</f>
        <v>17301</v>
      </c>
      <c r="Q1787" s="20">
        <f>IFERROR(__xludf.DUMMYFUNCTION("""COMPUTED_VALUE"""),43938.0)</f>
        <v>43938</v>
      </c>
    </row>
    <row r="1788">
      <c r="A1788" s="20">
        <f>IFERROR(__xludf.DUMMYFUNCTION("""COMPUTED_VALUE"""),1913.0)</f>
        <v>1913</v>
      </c>
      <c r="B1788" s="20" t="str">
        <f>IFERROR(__xludf.DUMMYFUNCTION("""COMPUTED_VALUE"""),"Make the XOR of All Segments Equal to Zero")</f>
        <v>Make the XOR of All Segments Equal to Zero</v>
      </c>
      <c r="C1788" s="20" t="str">
        <f>IFERROR(__xludf.DUMMYFUNCTION("""COMPUTED_VALUE"""),"make-the-xor-of-all-segments-equal-to-zero")</f>
        <v>make-the-xor-of-all-segments-equal-to-zero</v>
      </c>
      <c r="D1788" s="20" t="b">
        <f>IFERROR(__xludf.DUMMYFUNCTION("""COMPUTED_VALUE"""),FALSE)</f>
        <v>0</v>
      </c>
      <c r="E1788" s="20" t="str">
        <f>IFERROR(__xludf.DUMMYFUNCTION("""COMPUTED_VALUE"""),"Hard")</f>
        <v>Hard</v>
      </c>
      <c r="F1788" s="20">
        <f>IFERROR(__xludf.DUMMYFUNCTION("""COMPUTED_VALUE"""),327.0)</f>
        <v>327</v>
      </c>
      <c r="G1788" s="20">
        <f>IFERROR(__xludf.DUMMYFUNCTION("""COMPUTED_VALUE"""),19.0)</f>
        <v>19</v>
      </c>
      <c r="H1788" s="20" t="str">
        <f>IFERROR(__xludf.DUMMYFUNCTION("""COMPUTED_VALUE"""),"Algorithms")</f>
        <v>Algorithms</v>
      </c>
      <c r="I1788" s="20">
        <f>IFERROR(__xludf.DUMMYFUNCTION("""COMPUTED_VALUE"""),0.395)</f>
        <v>0.395</v>
      </c>
      <c r="J1788" s="20">
        <f>IFERROR(__xludf.DUMMYFUNCTION("""COMPUTED_VALUE"""),1787.0)</f>
        <v>1787</v>
      </c>
      <c r="K1788" s="20" t="b">
        <f>IFERROR(__xludf.DUMMYFUNCTION("""COMPUTED_VALUE"""),FALSE)</f>
        <v>0</v>
      </c>
      <c r="L1788" s="20" t="str">
        <f>IFERROR(__xludf.DUMMYFUNCTION("""COMPUTED_VALUE"""),"Array;Dynamic Programming;Bit Manipulation;")</f>
        <v>Array;Dynamic Programming;Bit Manipulation;</v>
      </c>
      <c r="M1788" s="20" t="b">
        <f>IFERROR(__xludf.DUMMYFUNCTION("""COMPUTED_VALUE"""),FALSE)</f>
        <v>0</v>
      </c>
      <c r="N1788" s="20" t="b">
        <f>IFERROR(__xludf.DUMMYFUNCTION("""COMPUTED_VALUE"""),FALSE)</f>
        <v>0</v>
      </c>
      <c r="O1788" s="20">
        <f>IFERROR(__xludf.DUMMYFUNCTION("""COMPUTED_VALUE"""),39.5327189798008)</f>
        <v>39.53271898</v>
      </c>
      <c r="P1788" s="20">
        <f>IFERROR(__xludf.DUMMYFUNCTION("""COMPUTED_VALUE"""),4247.0)</f>
        <v>4247</v>
      </c>
      <c r="Q1788" s="20">
        <f>IFERROR(__xludf.DUMMYFUNCTION("""COMPUTED_VALUE"""),10743.0)</f>
        <v>10743</v>
      </c>
    </row>
    <row r="1789">
      <c r="A1789" s="20">
        <f>IFERROR(__xludf.DUMMYFUNCTION("""COMPUTED_VALUE"""),1937.0)</f>
        <v>1937</v>
      </c>
      <c r="B1789" s="20" t="str">
        <f>IFERROR(__xludf.DUMMYFUNCTION("""COMPUTED_VALUE"""),"Maximize the Beauty of the Garden")</f>
        <v>Maximize the Beauty of the Garden</v>
      </c>
      <c r="C1789" s="20" t="str">
        <f>IFERROR(__xludf.DUMMYFUNCTION("""COMPUTED_VALUE"""),"maximize-the-beauty-of-the-garden")</f>
        <v>maximize-the-beauty-of-the-garden</v>
      </c>
      <c r="D1789" s="20" t="b">
        <f>IFERROR(__xludf.DUMMYFUNCTION("""COMPUTED_VALUE"""),TRUE)</f>
        <v>1</v>
      </c>
      <c r="E1789" s="20" t="str">
        <f>IFERROR(__xludf.DUMMYFUNCTION("""COMPUTED_VALUE"""),"Hard")</f>
        <v>Hard</v>
      </c>
      <c r="F1789" s="20">
        <f>IFERROR(__xludf.DUMMYFUNCTION("""COMPUTED_VALUE"""),61.0)</f>
        <v>61</v>
      </c>
      <c r="G1789" s="20">
        <f>IFERROR(__xludf.DUMMYFUNCTION("""COMPUTED_VALUE"""),5.0)</f>
        <v>5</v>
      </c>
      <c r="H1789" s="20" t="str">
        <f>IFERROR(__xludf.DUMMYFUNCTION("""COMPUTED_VALUE"""),"Algorithms")</f>
        <v>Algorithms</v>
      </c>
      <c r="I1789" s="20">
        <f>IFERROR(__xludf.DUMMYFUNCTION("""COMPUTED_VALUE"""),0.665)</f>
        <v>0.665</v>
      </c>
      <c r="J1789" s="20">
        <f>IFERROR(__xludf.DUMMYFUNCTION("""COMPUTED_VALUE"""),1788.0)</f>
        <v>1788</v>
      </c>
      <c r="K1789" s="20" t="b">
        <f>IFERROR(__xludf.DUMMYFUNCTION("""COMPUTED_VALUE"""),TRUE)</f>
        <v>1</v>
      </c>
      <c r="L1789" s="20" t="str">
        <f>IFERROR(__xludf.DUMMYFUNCTION("""COMPUTED_VALUE"""),"Array;Greedy;Prefix Sum;")</f>
        <v>Array;Greedy;Prefix Sum;</v>
      </c>
      <c r="M1789" s="20" t="b">
        <f>IFERROR(__xludf.DUMMYFUNCTION("""COMPUTED_VALUE"""),FALSE)</f>
        <v>0</v>
      </c>
      <c r="N1789" s="20" t="b">
        <f>IFERROR(__xludf.DUMMYFUNCTION("""COMPUTED_VALUE"""),FALSE)</f>
        <v>0</v>
      </c>
      <c r="O1789" s="20">
        <f>IFERROR(__xludf.DUMMYFUNCTION("""COMPUTED_VALUE"""),66.4536741214057)</f>
        <v>66.45367412</v>
      </c>
      <c r="P1789" s="20">
        <f>IFERROR(__xludf.DUMMYFUNCTION("""COMPUTED_VALUE"""),1664.0)</f>
        <v>1664</v>
      </c>
      <c r="Q1789" s="20">
        <f>IFERROR(__xludf.DUMMYFUNCTION("""COMPUTED_VALUE"""),2504.0)</f>
        <v>2504</v>
      </c>
    </row>
    <row r="1790">
      <c r="A1790" s="20">
        <f>IFERROR(__xludf.DUMMYFUNCTION("""COMPUTED_VALUE"""),1942.0)</f>
        <v>1942</v>
      </c>
      <c r="B1790" s="20" t="str">
        <f>IFERROR(__xludf.DUMMYFUNCTION("""COMPUTED_VALUE"""),"Primary Department for Each Employee")</f>
        <v>Primary Department for Each Employee</v>
      </c>
      <c r="C1790" s="20" t="str">
        <f>IFERROR(__xludf.DUMMYFUNCTION("""COMPUTED_VALUE"""),"primary-department-for-each-employee")</f>
        <v>primary-department-for-each-employee</v>
      </c>
      <c r="D1790" s="20" t="b">
        <f>IFERROR(__xludf.DUMMYFUNCTION("""COMPUTED_VALUE"""),TRUE)</f>
        <v>1</v>
      </c>
      <c r="E1790" s="20" t="str">
        <f>IFERROR(__xludf.DUMMYFUNCTION("""COMPUTED_VALUE"""),"Easy")</f>
        <v>Easy</v>
      </c>
      <c r="F1790" s="20">
        <f>IFERROR(__xludf.DUMMYFUNCTION("""COMPUTED_VALUE"""),83.0)</f>
        <v>83</v>
      </c>
      <c r="G1790" s="20">
        <f>IFERROR(__xludf.DUMMYFUNCTION("""COMPUTED_VALUE"""),40.0)</f>
        <v>40</v>
      </c>
      <c r="H1790" s="20" t="str">
        <f>IFERROR(__xludf.DUMMYFUNCTION("""COMPUTED_VALUE"""),"Database")</f>
        <v>Database</v>
      </c>
      <c r="I1790" s="20">
        <f>IFERROR(__xludf.DUMMYFUNCTION("""COMPUTED_VALUE"""),0.798)</f>
        <v>0.798</v>
      </c>
      <c r="J1790" s="20">
        <f>IFERROR(__xludf.DUMMYFUNCTION("""COMPUTED_VALUE"""),1789.0)</f>
        <v>1789</v>
      </c>
      <c r="K1790" s="20" t="b">
        <f>IFERROR(__xludf.DUMMYFUNCTION("""COMPUTED_VALUE"""),TRUE)</f>
        <v>1</v>
      </c>
      <c r="L1790" s="20" t="str">
        <f>IFERROR(__xludf.DUMMYFUNCTION("""COMPUTED_VALUE"""),"Database;")</f>
        <v>Database;</v>
      </c>
      <c r="M1790" s="20" t="b">
        <f>IFERROR(__xludf.DUMMYFUNCTION("""COMPUTED_VALUE"""),FALSE)</f>
        <v>0</v>
      </c>
      <c r="N1790" s="20" t="b">
        <f>IFERROR(__xludf.DUMMYFUNCTION("""COMPUTED_VALUE"""),FALSE)</f>
        <v>0</v>
      </c>
      <c r="O1790" s="20">
        <f>IFERROR(__xludf.DUMMYFUNCTION("""COMPUTED_VALUE"""),79.8200011180054)</f>
        <v>79.82000112</v>
      </c>
      <c r="P1790" s="20">
        <f>IFERROR(__xludf.DUMMYFUNCTION("""COMPUTED_VALUE"""),14279.0)</f>
        <v>14279</v>
      </c>
      <c r="Q1790" s="20">
        <f>IFERROR(__xludf.DUMMYFUNCTION("""COMPUTED_VALUE"""),17889.0)</f>
        <v>17889</v>
      </c>
    </row>
    <row r="1791">
      <c r="A1791" s="20">
        <f>IFERROR(__xludf.DUMMYFUNCTION("""COMPUTED_VALUE"""),1915.0)</f>
        <v>1915</v>
      </c>
      <c r="B1791" s="20" t="str">
        <f>IFERROR(__xludf.DUMMYFUNCTION("""COMPUTED_VALUE"""),"Check if One String Swap Can Make Strings Equal")</f>
        <v>Check if One String Swap Can Make Strings Equal</v>
      </c>
      <c r="C1791" s="20" t="str">
        <f>IFERROR(__xludf.DUMMYFUNCTION("""COMPUTED_VALUE"""),"check-if-one-string-swap-can-make-strings-equal")</f>
        <v>check-if-one-string-swap-can-make-strings-equal</v>
      </c>
      <c r="D1791" s="20" t="b">
        <f>IFERROR(__xludf.DUMMYFUNCTION("""COMPUTED_VALUE"""),FALSE)</f>
        <v>0</v>
      </c>
      <c r="E1791" s="20" t="str">
        <f>IFERROR(__xludf.DUMMYFUNCTION("""COMPUTED_VALUE"""),"Easy")</f>
        <v>Easy</v>
      </c>
      <c r="F1791" s="20">
        <f>IFERROR(__xludf.DUMMYFUNCTION("""COMPUTED_VALUE"""),780.0)</f>
        <v>780</v>
      </c>
      <c r="G1791" s="20">
        <f>IFERROR(__xludf.DUMMYFUNCTION("""COMPUTED_VALUE"""),37.0)</f>
        <v>37</v>
      </c>
      <c r="H1791" s="20" t="str">
        <f>IFERROR(__xludf.DUMMYFUNCTION("""COMPUTED_VALUE"""),"Algorithms")</f>
        <v>Algorithms</v>
      </c>
      <c r="I1791" s="20">
        <f>IFERROR(__xludf.DUMMYFUNCTION("""COMPUTED_VALUE"""),0.456)</f>
        <v>0.456</v>
      </c>
      <c r="J1791" s="20">
        <f>IFERROR(__xludf.DUMMYFUNCTION("""COMPUTED_VALUE"""),1790.0)</f>
        <v>1790</v>
      </c>
      <c r="K1791" s="20" t="b">
        <f>IFERROR(__xludf.DUMMYFUNCTION("""COMPUTED_VALUE"""),FALSE)</f>
        <v>0</v>
      </c>
      <c r="L1791" s="20" t="str">
        <f>IFERROR(__xludf.DUMMYFUNCTION("""COMPUTED_VALUE"""),"Hash Table;String;Counting;")</f>
        <v>Hash Table;String;Counting;</v>
      </c>
      <c r="M1791" s="20" t="b">
        <f>IFERROR(__xludf.DUMMYFUNCTION("""COMPUTED_VALUE"""),FALSE)</f>
        <v>0</v>
      </c>
      <c r="N1791" s="20" t="b">
        <f>IFERROR(__xludf.DUMMYFUNCTION("""COMPUTED_VALUE"""),FALSE)</f>
        <v>0</v>
      </c>
      <c r="O1791" s="20">
        <f>IFERROR(__xludf.DUMMYFUNCTION("""COMPUTED_VALUE"""),45.5739785500216)</f>
        <v>45.57397855</v>
      </c>
      <c r="P1791" s="20">
        <f>IFERROR(__xludf.DUMMYFUNCTION("""COMPUTED_VALUE"""),72536.0)</f>
        <v>72536</v>
      </c>
      <c r="Q1791" s="20">
        <f>IFERROR(__xludf.DUMMYFUNCTION("""COMPUTED_VALUE"""),159161.0)</f>
        <v>159161</v>
      </c>
    </row>
    <row r="1792">
      <c r="A1792" s="20">
        <f>IFERROR(__xludf.DUMMYFUNCTION("""COMPUTED_VALUE"""),1916.0)</f>
        <v>1916</v>
      </c>
      <c r="B1792" s="20" t="str">
        <f>IFERROR(__xludf.DUMMYFUNCTION("""COMPUTED_VALUE"""),"Find Center of Star Graph")</f>
        <v>Find Center of Star Graph</v>
      </c>
      <c r="C1792" s="20" t="str">
        <f>IFERROR(__xludf.DUMMYFUNCTION("""COMPUTED_VALUE"""),"find-center-of-star-graph")</f>
        <v>find-center-of-star-graph</v>
      </c>
      <c r="D1792" s="20" t="b">
        <f>IFERROR(__xludf.DUMMYFUNCTION("""COMPUTED_VALUE"""),FALSE)</f>
        <v>0</v>
      </c>
      <c r="E1792" s="20" t="str">
        <f>IFERROR(__xludf.DUMMYFUNCTION("""COMPUTED_VALUE"""),"Easy")</f>
        <v>Easy</v>
      </c>
      <c r="F1792" s="20">
        <f>IFERROR(__xludf.DUMMYFUNCTION("""COMPUTED_VALUE"""),946.0)</f>
        <v>946</v>
      </c>
      <c r="G1792" s="20">
        <f>IFERROR(__xludf.DUMMYFUNCTION("""COMPUTED_VALUE"""),118.0)</f>
        <v>118</v>
      </c>
      <c r="H1792" s="20" t="str">
        <f>IFERROR(__xludf.DUMMYFUNCTION("""COMPUTED_VALUE"""),"Algorithms")</f>
        <v>Algorithms</v>
      </c>
      <c r="I1792" s="20">
        <f>IFERROR(__xludf.DUMMYFUNCTION("""COMPUTED_VALUE"""),0.835)</f>
        <v>0.835</v>
      </c>
      <c r="J1792" s="20">
        <f>IFERROR(__xludf.DUMMYFUNCTION("""COMPUTED_VALUE"""),1791.0)</f>
        <v>1791</v>
      </c>
      <c r="K1792" s="20" t="b">
        <f>IFERROR(__xludf.DUMMYFUNCTION("""COMPUTED_VALUE"""),FALSE)</f>
        <v>0</v>
      </c>
      <c r="L1792" s="20" t="str">
        <f>IFERROR(__xludf.DUMMYFUNCTION("""COMPUTED_VALUE"""),"Graph;")</f>
        <v>Graph;</v>
      </c>
      <c r="M1792" s="20" t="b">
        <f>IFERROR(__xludf.DUMMYFUNCTION("""COMPUTED_VALUE"""),FALSE)</f>
        <v>0</v>
      </c>
      <c r="N1792" s="20" t="b">
        <f>IFERROR(__xludf.DUMMYFUNCTION("""COMPUTED_VALUE"""),FALSE)</f>
        <v>0</v>
      </c>
      <c r="O1792" s="20">
        <f>IFERROR(__xludf.DUMMYFUNCTION("""COMPUTED_VALUE"""),83.5343745642169)</f>
        <v>83.53437456</v>
      </c>
      <c r="P1792" s="20">
        <f>IFERROR(__xludf.DUMMYFUNCTION("""COMPUTED_VALUE"""),119804.0)</f>
        <v>119804</v>
      </c>
      <c r="Q1792" s="20">
        <f>IFERROR(__xludf.DUMMYFUNCTION("""COMPUTED_VALUE"""),143419.0)</f>
        <v>143419</v>
      </c>
    </row>
    <row r="1793">
      <c r="A1793" s="20">
        <f>IFERROR(__xludf.DUMMYFUNCTION("""COMPUTED_VALUE"""),1917.0)</f>
        <v>1917</v>
      </c>
      <c r="B1793" s="20" t="str">
        <f>IFERROR(__xludf.DUMMYFUNCTION("""COMPUTED_VALUE"""),"Maximum Average Pass Ratio")</f>
        <v>Maximum Average Pass Ratio</v>
      </c>
      <c r="C1793" s="20" t="str">
        <f>IFERROR(__xludf.DUMMYFUNCTION("""COMPUTED_VALUE"""),"maximum-average-pass-ratio")</f>
        <v>maximum-average-pass-ratio</v>
      </c>
      <c r="D1793" s="20" t="b">
        <f>IFERROR(__xludf.DUMMYFUNCTION("""COMPUTED_VALUE"""),FALSE)</f>
        <v>0</v>
      </c>
      <c r="E1793" s="20" t="str">
        <f>IFERROR(__xludf.DUMMYFUNCTION("""COMPUTED_VALUE"""),"Medium")</f>
        <v>Medium</v>
      </c>
      <c r="F1793" s="20">
        <f>IFERROR(__xludf.DUMMYFUNCTION("""COMPUTED_VALUE"""),604.0)</f>
        <v>604</v>
      </c>
      <c r="G1793" s="20">
        <f>IFERROR(__xludf.DUMMYFUNCTION("""COMPUTED_VALUE"""),65.0)</f>
        <v>65</v>
      </c>
      <c r="H1793" s="20" t="str">
        <f>IFERROR(__xludf.DUMMYFUNCTION("""COMPUTED_VALUE"""),"Algorithms")</f>
        <v>Algorithms</v>
      </c>
      <c r="I1793" s="20">
        <f>IFERROR(__xludf.DUMMYFUNCTION("""COMPUTED_VALUE"""),0.521)</f>
        <v>0.521</v>
      </c>
      <c r="J1793" s="20">
        <f>IFERROR(__xludf.DUMMYFUNCTION("""COMPUTED_VALUE"""),1792.0)</f>
        <v>1792</v>
      </c>
      <c r="K1793" s="20" t="b">
        <f>IFERROR(__xludf.DUMMYFUNCTION("""COMPUTED_VALUE"""),FALSE)</f>
        <v>0</v>
      </c>
      <c r="L1793" s="20" t="str">
        <f>IFERROR(__xludf.DUMMYFUNCTION("""COMPUTED_VALUE"""),"Array;Greedy;Heap (Priority Queue);")</f>
        <v>Array;Greedy;Heap (Priority Queue);</v>
      </c>
      <c r="M1793" s="20" t="b">
        <f>IFERROR(__xludf.DUMMYFUNCTION("""COMPUTED_VALUE"""),FALSE)</f>
        <v>0</v>
      </c>
      <c r="N1793" s="20" t="b">
        <f>IFERROR(__xludf.DUMMYFUNCTION("""COMPUTED_VALUE"""),FALSE)</f>
        <v>0</v>
      </c>
      <c r="O1793" s="20">
        <f>IFERROR(__xludf.DUMMYFUNCTION("""COMPUTED_VALUE"""),52.1363335158028)</f>
        <v>52.13633352</v>
      </c>
      <c r="P1793" s="20">
        <f>IFERROR(__xludf.DUMMYFUNCTION("""COMPUTED_VALUE"""),18096.0)</f>
        <v>18096</v>
      </c>
      <c r="Q1793" s="20">
        <f>IFERROR(__xludf.DUMMYFUNCTION("""COMPUTED_VALUE"""),34709.0)</f>
        <v>34709</v>
      </c>
    </row>
    <row r="1794">
      <c r="A1794" s="20">
        <f>IFERROR(__xludf.DUMMYFUNCTION("""COMPUTED_VALUE"""),1918.0)</f>
        <v>1918</v>
      </c>
      <c r="B1794" s="20" t="str">
        <f>IFERROR(__xludf.DUMMYFUNCTION("""COMPUTED_VALUE"""),"Maximum Score of a Good Subarray")</f>
        <v>Maximum Score of a Good Subarray</v>
      </c>
      <c r="C1794" s="20" t="str">
        <f>IFERROR(__xludf.DUMMYFUNCTION("""COMPUTED_VALUE"""),"maximum-score-of-a-good-subarray")</f>
        <v>maximum-score-of-a-good-subarray</v>
      </c>
      <c r="D1794" s="20" t="b">
        <f>IFERROR(__xludf.DUMMYFUNCTION("""COMPUTED_VALUE"""),FALSE)</f>
        <v>0</v>
      </c>
      <c r="E1794" s="20" t="str">
        <f>IFERROR(__xludf.DUMMYFUNCTION("""COMPUTED_VALUE"""),"Hard")</f>
        <v>Hard</v>
      </c>
      <c r="F1794" s="20">
        <f>IFERROR(__xludf.DUMMYFUNCTION("""COMPUTED_VALUE"""),845.0)</f>
        <v>845</v>
      </c>
      <c r="G1794" s="20">
        <f>IFERROR(__xludf.DUMMYFUNCTION("""COMPUTED_VALUE"""),27.0)</f>
        <v>27</v>
      </c>
      <c r="H1794" s="20" t="str">
        <f>IFERROR(__xludf.DUMMYFUNCTION("""COMPUTED_VALUE"""),"Algorithms")</f>
        <v>Algorithms</v>
      </c>
      <c r="I1794" s="20">
        <f>IFERROR(__xludf.DUMMYFUNCTION("""COMPUTED_VALUE"""),0.535)</f>
        <v>0.535</v>
      </c>
      <c r="J1794" s="20">
        <f>IFERROR(__xludf.DUMMYFUNCTION("""COMPUTED_VALUE"""),1793.0)</f>
        <v>1793</v>
      </c>
      <c r="K1794" s="20" t="b">
        <f>IFERROR(__xludf.DUMMYFUNCTION("""COMPUTED_VALUE"""),FALSE)</f>
        <v>0</v>
      </c>
      <c r="L1794" s="20" t="str">
        <f>IFERROR(__xludf.DUMMYFUNCTION("""COMPUTED_VALUE"""),"Array;Two Pointers;Binary Search;Stack;Monotonic Stack;")</f>
        <v>Array;Two Pointers;Binary Search;Stack;Monotonic Stack;</v>
      </c>
      <c r="M1794" s="20" t="b">
        <f>IFERROR(__xludf.DUMMYFUNCTION("""COMPUTED_VALUE"""),FALSE)</f>
        <v>0</v>
      </c>
      <c r="N1794" s="20" t="b">
        <f>IFERROR(__xludf.DUMMYFUNCTION("""COMPUTED_VALUE"""),FALSE)</f>
        <v>0</v>
      </c>
      <c r="O1794" s="20">
        <f>IFERROR(__xludf.DUMMYFUNCTION("""COMPUTED_VALUE"""),53.5453237410071)</f>
        <v>53.54532374</v>
      </c>
      <c r="P1794" s="20">
        <f>IFERROR(__xludf.DUMMYFUNCTION("""COMPUTED_VALUE"""),18607.0)</f>
        <v>18607</v>
      </c>
      <c r="Q1794" s="20">
        <f>IFERROR(__xludf.DUMMYFUNCTION("""COMPUTED_VALUE"""),34749.0)</f>
        <v>34749</v>
      </c>
    </row>
    <row r="1795">
      <c r="A1795" s="20">
        <f>IFERROR(__xludf.DUMMYFUNCTION("""COMPUTED_VALUE"""),1943.0)</f>
        <v>1943</v>
      </c>
      <c r="B1795" s="20" t="str">
        <f>IFERROR(__xludf.DUMMYFUNCTION("""COMPUTED_VALUE"""),"Count Pairs of Equal Substrings With Minimum Difference")</f>
        <v>Count Pairs of Equal Substrings With Minimum Difference</v>
      </c>
      <c r="C1795" s="20" t="str">
        <f>IFERROR(__xludf.DUMMYFUNCTION("""COMPUTED_VALUE"""),"count-pairs-of-equal-substrings-with-minimum-difference")</f>
        <v>count-pairs-of-equal-substrings-with-minimum-difference</v>
      </c>
      <c r="D1795" s="20" t="b">
        <f>IFERROR(__xludf.DUMMYFUNCTION("""COMPUTED_VALUE"""),TRUE)</f>
        <v>1</v>
      </c>
      <c r="E1795" s="20" t="str">
        <f>IFERROR(__xludf.DUMMYFUNCTION("""COMPUTED_VALUE"""),"Medium")</f>
        <v>Medium</v>
      </c>
      <c r="F1795" s="20">
        <f>IFERROR(__xludf.DUMMYFUNCTION("""COMPUTED_VALUE"""),35.0)</f>
        <v>35</v>
      </c>
      <c r="G1795" s="20">
        <f>IFERROR(__xludf.DUMMYFUNCTION("""COMPUTED_VALUE"""),45.0)</f>
        <v>45</v>
      </c>
      <c r="H1795" s="20" t="str">
        <f>IFERROR(__xludf.DUMMYFUNCTION("""COMPUTED_VALUE"""),"Algorithms")</f>
        <v>Algorithms</v>
      </c>
      <c r="I1795" s="20">
        <f>IFERROR(__xludf.DUMMYFUNCTION("""COMPUTED_VALUE"""),0.653)</f>
        <v>0.653</v>
      </c>
      <c r="J1795" s="20">
        <f>IFERROR(__xludf.DUMMYFUNCTION("""COMPUTED_VALUE"""),1794.0)</f>
        <v>1794</v>
      </c>
      <c r="K1795" s="20" t="b">
        <f>IFERROR(__xludf.DUMMYFUNCTION("""COMPUTED_VALUE"""),TRUE)</f>
        <v>1</v>
      </c>
      <c r="L1795" s="20" t="str">
        <f>IFERROR(__xludf.DUMMYFUNCTION("""COMPUTED_VALUE"""),"Hash Table;String;Greedy;")</f>
        <v>Hash Table;String;Greedy;</v>
      </c>
      <c r="M1795" s="20" t="b">
        <f>IFERROR(__xludf.DUMMYFUNCTION("""COMPUTED_VALUE"""),FALSE)</f>
        <v>0</v>
      </c>
      <c r="N1795" s="20" t="b">
        <f>IFERROR(__xludf.DUMMYFUNCTION("""COMPUTED_VALUE"""),FALSE)</f>
        <v>0</v>
      </c>
      <c r="O1795" s="20">
        <f>IFERROR(__xludf.DUMMYFUNCTION("""COMPUTED_VALUE"""),65.3345307588684)</f>
        <v>65.33453076</v>
      </c>
      <c r="P1795" s="20">
        <f>IFERROR(__xludf.DUMMYFUNCTION("""COMPUTED_VALUE"""),1455.0)</f>
        <v>1455</v>
      </c>
      <c r="Q1795" s="20">
        <f>IFERROR(__xludf.DUMMYFUNCTION("""COMPUTED_VALUE"""),2227.0)</f>
        <v>2227</v>
      </c>
    </row>
    <row r="1796">
      <c r="A1796" s="20">
        <f>IFERROR(__xludf.DUMMYFUNCTION("""COMPUTED_VALUE"""),1948.0)</f>
        <v>1948</v>
      </c>
      <c r="B1796" s="20" t="str">
        <f>IFERROR(__xludf.DUMMYFUNCTION("""COMPUTED_VALUE"""),"Rearrange Products Table")</f>
        <v>Rearrange Products Table</v>
      </c>
      <c r="C1796" s="20" t="str">
        <f>IFERROR(__xludf.DUMMYFUNCTION("""COMPUTED_VALUE"""),"rearrange-products-table")</f>
        <v>rearrange-products-table</v>
      </c>
      <c r="D1796" s="20" t="b">
        <f>IFERROR(__xludf.DUMMYFUNCTION("""COMPUTED_VALUE"""),FALSE)</f>
        <v>0</v>
      </c>
      <c r="E1796" s="20" t="str">
        <f>IFERROR(__xludf.DUMMYFUNCTION("""COMPUTED_VALUE"""),"Easy")</f>
        <v>Easy</v>
      </c>
      <c r="F1796" s="20">
        <f>IFERROR(__xludf.DUMMYFUNCTION("""COMPUTED_VALUE"""),517.0)</f>
        <v>517</v>
      </c>
      <c r="G1796" s="20">
        <f>IFERROR(__xludf.DUMMYFUNCTION("""COMPUTED_VALUE"""),37.0)</f>
        <v>37</v>
      </c>
      <c r="H1796" s="20" t="str">
        <f>IFERROR(__xludf.DUMMYFUNCTION("""COMPUTED_VALUE"""),"Database")</f>
        <v>Database</v>
      </c>
      <c r="I1796" s="20">
        <f>IFERROR(__xludf.DUMMYFUNCTION("""COMPUTED_VALUE"""),0.882)</f>
        <v>0.882</v>
      </c>
      <c r="J1796" s="20">
        <f>IFERROR(__xludf.DUMMYFUNCTION("""COMPUTED_VALUE"""),1795.0)</f>
        <v>1795</v>
      </c>
      <c r="K1796" s="20" t="b">
        <f>IFERROR(__xludf.DUMMYFUNCTION("""COMPUTED_VALUE"""),FALSE)</f>
        <v>0</v>
      </c>
      <c r="L1796" s="20" t="str">
        <f>IFERROR(__xludf.DUMMYFUNCTION("""COMPUTED_VALUE"""),"Database;")</f>
        <v>Database;</v>
      </c>
      <c r="M1796" s="20" t="b">
        <f>IFERROR(__xludf.DUMMYFUNCTION("""COMPUTED_VALUE"""),FALSE)</f>
        <v>0</v>
      </c>
      <c r="N1796" s="20" t="b">
        <f>IFERROR(__xludf.DUMMYFUNCTION("""COMPUTED_VALUE"""),FALSE)</f>
        <v>0</v>
      </c>
      <c r="O1796" s="20">
        <f>IFERROR(__xludf.DUMMYFUNCTION("""COMPUTED_VALUE"""),88.2454260643131)</f>
        <v>88.24542606</v>
      </c>
      <c r="P1796" s="20">
        <f>IFERROR(__xludf.DUMMYFUNCTION("""COMPUTED_VALUE"""),65059.0)</f>
        <v>65059</v>
      </c>
      <c r="Q1796" s="20">
        <f>IFERROR(__xludf.DUMMYFUNCTION("""COMPUTED_VALUE"""),73724.0)</f>
        <v>73724</v>
      </c>
    </row>
    <row r="1797">
      <c r="A1797" s="20">
        <f>IFERROR(__xludf.DUMMYFUNCTION("""COMPUTED_VALUE"""),1904.0)</f>
        <v>1904</v>
      </c>
      <c r="B1797" s="20" t="str">
        <f>IFERROR(__xludf.DUMMYFUNCTION("""COMPUTED_VALUE"""),"Second Largest Digit in a String")</f>
        <v>Second Largest Digit in a String</v>
      </c>
      <c r="C1797" s="20" t="str">
        <f>IFERROR(__xludf.DUMMYFUNCTION("""COMPUTED_VALUE"""),"second-largest-digit-in-a-string")</f>
        <v>second-largest-digit-in-a-string</v>
      </c>
      <c r="D1797" s="20" t="b">
        <f>IFERROR(__xludf.DUMMYFUNCTION("""COMPUTED_VALUE"""),FALSE)</f>
        <v>0</v>
      </c>
      <c r="E1797" s="20" t="str">
        <f>IFERROR(__xludf.DUMMYFUNCTION("""COMPUTED_VALUE"""),"Easy")</f>
        <v>Easy</v>
      </c>
      <c r="F1797" s="20">
        <f>IFERROR(__xludf.DUMMYFUNCTION("""COMPUTED_VALUE"""),371.0)</f>
        <v>371</v>
      </c>
      <c r="G1797" s="20">
        <f>IFERROR(__xludf.DUMMYFUNCTION("""COMPUTED_VALUE"""),100.0)</f>
        <v>100</v>
      </c>
      <c r="H1797" s="20" t="str">
        <f>IFERROR(__xludf.DUMMYFUNCTION("""COMPUTED_VALUE"""),"Algorithms")</f>
        <v>Algorithms</v>
      </c>
      <c r="I1797" s="20">
        <f>IFERROR(__xludf.DUMMYFUNCTION("""COMPUTED_VALUE"""),0.492)</f>
        <v>0.492</v>
      </c>
      <c r="J1797" s="20">
        <f>IFERROR(__xludf.DUMMYFUNCTION("""COMPUTED_VALUE"""),1796.0)</f>
        <v>1796</v>
      </c>
      <c r="K1797" s="20" t="b">
        <f>IFERROR(__xludf.DUMMYFUNCTION("""COMPUTED_VALUE"""),FALSE)</f>
        <v>0</v>
      </c>
      <c r="L1797" s="20" t="str">
        <f>IFERROR(__xludf.DUMMYFUNCTION("""COMPUTED_VALUE"""),"Hash Table;String;")</f>
        <v>Hash Table;String;</v>
      </c>
      <c r="M1797" s="20" t="b">
        <f>IFERROR(__xludf.DUMMYFUNCTION("""COMPUTED_VALUE"""),FALSE)</f>
        <v>0</v>
      </c>
      <c r="N1797" s="20" t="b">
        <f>IFERROR(__xludf.DUMMYFUNCTION("""COMPUTED_VALUE"""),FALSE)</f>
        <v>0</v>
      </c>
      <c r="O1797" s="20">
        <f>IFERROR(__xludf.DUMMYFUNCTION("""COMPUTED_VALUE"""),49.2072992497529)</f>
        <v>49.20729925</v>
      </c>
      <c r="P1797" s="20">
        <f>IFERROR(__xludf.DUMMYFUNCTION("""COMPUTED_VALUE"""),35352.0)</f>
        <v>35352</v>
      </c>
      <c r="Q1797" s="20">
        <f>IFERROR(__xludf.DUMMYFUNCTION("""COMPUTED_VALUE"""),71842.0)</f>
        <v>71842</v>
      </c>
    </row>
    <row r="1798">
      <c r="A1798" s="20">
        <f>IFERROR(__xludf.DUMMYFUNCTION("""COMPUTED_VALUE"""),1905.0)</f>
        <v>1905</v>
      </c>
      <c r="B1798" s="20" t="str">
        <f>IFERROR(__xludf.DUMMYFUNCTION("""COMPUTED_VALUE"""),"Design Authentication Manager")</f>
        <v>Design Authentication Manager</v>
      </c>
      <c r="C1798" s="20" t="str">
        <f>IFERROR(__xludf.DUMMYFUNCTION("""COMPUTED_VALUE"""),"design-authentication-manager")</f>
        <v>design-authentication-manager</v>
      </c>
      <c r="D1798" s="20" t="b">
        <f>IFERROR(__xludf.DUMMYFUNCTION("""COMPUTED_VALUE"""),FALSE)</f>
        <v>0</v>
      </c>
      <c r="E1798" s="20" t="str">
        <f>IFERROR(__xludf.DUMMYFUNCTION("""COMPUTED_VALUE"""),"Medium")</f>
        <v>Medium</v>
      </c>
      <c r="F1798" s="20">
        <f>IFERROR(__xludf.DUMMYFUNCTION("""COMPUTED_VALUE"""),241.0)</f>
        <v>241</v>
      </c>
      <c r="G1798" s="20">
        <f>IFERROR(__xludf.DUMMYFUNCTION("""COMPUTED_VALUE"""),37.0)</f>
        <v>37</v>
      </c>
      <c r="H1798" s="20" t="str">
        <f>IFERROR(__xludf.DUMMYFUNCTION("""COMPUTED_VALUE"""),"Algorithms")</f>
        <v>Algorithms</v>
      </c>
      <c r="I1798" s="20">
        <f>IFERROR(__xludf.DUMMYFUNCTION("""COMPUTED_VALUE"""),0.564)</f>
        <v>0.564</v>
      </c>
      <c r="J1798" s="20">
        <f>IFERROR(__xludf.DUMMYFUNCTION("""COMPUTED_VALUE"""),1797.0)</f>
        <v>1797</v>
      </c>
      <c r="K1798" s="20" t="b">
        <f>IFERROR(__xludf.DUMMYFUNCTION("""COMPUTED_VALUE"""),FALSE)</f>
        <v>0</v>
      </c>
      <c r="L1798" s="20" t="str">
        <f>IFERROR(__xludf.DUMMYFUNCTION("""COMPUTED_VALUE"""),"Hash Table;Design;")</f>
        <v>Hash Table;Design;</v>
      </c>
      <c r="M1798" s="20" t="b">
        <f>IFERROR(__xludf.DUMMYFUNCTION("""COMPUTED_VALUE"""),FALSE)</f>
        <v>0</v>
      </c>
      <c r="N1798" s="20" t="b">
        <f>IFERROR(__xludf.DUMMYFUNCTION("""COMPUTED_VALUE"""),FALSE)</f>
        <v>0</v>
      </c>
      <c r="O1798" s="20">
        <f>IFERROR(__xludf.DUMMYFUNCTION("""COMPUTED_VALUE"""),56.4411214953271)</f>
        <v>56.4411215</v>
      </c>
      <c r="P1798" s="20">
        <f>IFERROR(__xludf.DUMMYFUNCTION("""COMPUTED_VALUE"""),15098.0)</f>
        <v>15098</v>
      </c>
      <c r="Q1798" s="20">
        <f>IFERROR(__xludf.DUMMYFUNCTION("""COMPUTED_VALUE"""),26750.0)</f>
        <v>26750</v>
      </c>
    </row>
    <row r="1799">
      <c r="A1799" s="20">
        <f>IFERROR(__xludf.DUMMYFUNCTION("""COMPUTED_VALUE"""),1930.0)</f>
        <v>1930</v>
      </c>
      <c r="B1799" s="20" t="str">
        <f>IFERROR(__xludf.DUMMYFUNCTION("""COMPUTED_VALUE"""),"Maximum Number of Consecutive Values You Can Make")</f>
        <v>Maximum Number of Consecutive Values You Can Make</v>
      </c>
      <c r="C1799" s="20" t="str">
        <f>IFERROR(__xludf.DUMMYFUNCTION("""COMPUTED_VALUE"""),"maximum-number-of-consecutive-values-you-can-make")</f>
        <v>maximum-number-of-consecutive-values-you-can-make</v>
      </c>
      <c r="D1799" s="20" t="b">
        <f>IFERROR(__xludf.DUMMYFUNCTION("""COMPUTED_VALUE"""),FALSE)</f>
        <v>0</v>
      </c>
      <c r="E1799" s="20" t="str">
        <f>IFERROR(__xludf.DUMMYFUNCTION("""COMPUTED_VALUE"""),"Medium")</f>
        <v>Medium</v>
      </c>
      <c r="F1799" s="20">
        <f>IFERROR(__xludf.DUMMYFUNCTION("""COMPUTED_VALUE"""),600.0)</f>
        <v>600</v>
      </c>
      <c r="G1799" s="20">
        <f>IFERROR(__xludf.DUMMYFUNCTION("""COMPUTED_VALUE"""),44.0)</f>
        <v>44</v>
      </c>
      <c r="H1799" s="20" t="str">
        <f>IFERROR(__xludf.DUMMYFUNCTION("""COMPUTED_VALUE"""),"Algorithms")</f>
        <v>Algorithms</v>
      </c>
      <c r="I1799" s="20">
        <f>IFERROR(__xludf.DUMMYFUNCTION("""COMPUTED_VALUE"""),0.549)</f>
        <v>0.549</v>
      </c>
      <c r="J1799" s="20">
        <f>IFERROR(__xludf.DUMMYFUNCTION("""COMPUTED_VALUE"""),1798.0)</f>
        <v>1798</v>
      </c>
      <c r="K1799" s="20" t="b">
        <f>IFERROR(__xludf.DUMMYFUNCTION("""COMPUTED_VALUE"""),FALSE)</f>
        <v>0</v>
      </c>
      <c r="L1799" s="20" t="str">
        <f>IFERROR(__xludf.DUMMYFUNCTION("""COMPUTED_VALUE"""),"Array;Greedy;")</f>
        <v>Array;Greedy;</v>
      </c>
      <c r="M1799" s="20" t="b">
        <f>IFERROR(__xludf.DUMMYFUNCTION("""COMPUTED_VALUE"""),FALSE)</f>
        <v>0</v>
      </c>
      <c r="N1799" s="20" t="b">
        <f>IFERROR(__xludf.DUMMYFUNCTION("""COMPUTED_VALUE"""),FALSE)</f>
        <v>0</v>
      </c>
      <c r="O1799" s="20">
        <f>IFERROR(__xludf.DUMMYFUNCTION("""COMPUTED_VALUE"""),54.8615073965146)</f>
        <v>54.8615074</v>
      </c>
      <c r="P1799" s="20">
        <f>IFERROR(__xludf.DUMMYFUNCTION("""COMPUTED_VALUE"""),12498.0)</f>
        <v>12498</v>
      </c>
      <c r="Q1799" s="20">
        <f>IFERROR(__xludf.DUMMYFUNCTION("""COMPUTED_VALUE"""),22781.0)</f>
        <v>22781</v>
      </c>
    </row>
    <row r="1800">
      <c r="A1800" s="20">
        <f>IFERROR(__xludf.DUMMYFUNCTION("""COMPUTED_VALUE"""),1906.0)</f>
        <v>1906</v>
      </c>
      <c r="B1800" s="20" t="str">
        <f>IFERROR(__xludf.DUMMYFUNCTION("""COMPUTED_VALUE"""),"Maximize Score After N Operations")</f>
        <v>Maximize Score After N Operations</v>
      </c>
      <c r="C1800" s="20" t="str">
        <f>IFERROR(__xludf.DUMMYFUNCTION("""COMPUTED_VALUE"""),"maximize-score-after-n-operations")</f>
        <v>maximize-score-after-n-operations</v>
      </c>
      <c r="D1800" s="20" t="b">
        <f>IFERROR(__xludf.DUMMYFUNCTION("""COMPUTED_VALUE"""),FALSE)</f>
        <v>0</v>
      </c>
      <c r="E1800" s="20" t="str">
        <f>IFERROR(__xludf.DUMMYFUNCTION("""COMPUTED_VALUE"""),"Hard")</f>
        <v>Hard</v>
      </c>
      <c r="F1800" s="20">
        <f>IFERROR(__xludf.DUMMYFUNCTION("""COMPUTED_VALUE"""),506.0)</f>
        <v>506</v>
      </c>
      <c r="G1800" s="20">
        <f>IFERROR(__xludf.DUMMYFUNCTION("""COMPUTED_VALUE"""),46.0)</f>
        <v>46</v>
      </c>
      <c r="H1800" s="20" t="str">
        <f>IFERROR(__xludf.DUMMYFUNCTION("""COMPUTED_VALUE"""),"Algorithms")</f>
        <v>Algorithms</v>
      </c>
      <c r="I1800" s="20">
        <f>IFERROR(__xludf.DUMMYFUNCTION("""COMPUTED_VALUE"""),0.46)</f>
        <v>0.46</v>
      </c>
      <c r="J1800" s="20">
        <f>IFERROR(__xludf.DUMMYFUNCTION("""COMPUTED_VALUE"""),1799.0)</f>
        <v>1799</v>
      </c>
      <c r="K1800" s="20" t="b">
        <f>IFERROR(__xludf.DUMMYFUNCTION("""COMPUTED_VALUE"""),FALSE)</f>
        <v>0</v>
      </c>
      <c r="L1800" s="20" t="str">
        <f>IFERROR(__xludf.DUMMYFUNCTION("""COMPUTED_VALUE"""),"Array;Math;Dynamic Programming;Backtracking;Bit Manipulation;Number Theory;Bitmask;")</f>
        <v>Array;Math;Dynamic Programming;Backtracking;Bit Manipulation;Number Theory;Bitmask;</v>
      </c>
      <c r="M1800" s="20" t="b">
        <f>IFERROR(__xludf.DUMMYFUNCTION("""COMPUTED_VALUE"""),FALSE)</f>
        <v>0</v>
      </c>
      <c r="N1800" s="20" t="b">
        <f>IFERROR(__xludf.DUMMYFUNCTION("""COMPUTED_VALUE"""),FALSE)</f>
        <v>0</v>
      </c>
      <c r="O1800" s="20">
        <f>IFERROR(__xludf.DUMMYFUNCTION("""COMPUTED_VALUE"""),46.0460520406024)</f>
        <v>46.04605204</v>
      </c>
      <c r="P1800" s="20">
        <f>IFERROR(__xludf.DUMMYFUNCTION("""COMPUTED_VALUE"""),15377.0)</f>
        <v>15377</v>
      </c>
      <c r="Q1800" s="20">
        <f>IFERROR(__xludf.DUMMYFUNCTION("""COMPUTED_VALUE"""),33396.0)</f>
        <v>33396</v>
      </c>
    </row>
    <row r="1801">
      <c r="A1801" s="20">
        <f>IFERROR(__xludf.DUMMYFUNCTION("""COMPUTED_VALUE"""),1927.0)</f>
        <v>1927</v>
      </c>
      <c r="B1801" s="20" t="str">
        <f>IFERROR(__xludf.DUMMYFUNCTION("""COMPUTED_VALUE"""),"Maximum Ascending Subarray Sum")</f>
        <v>Maximum Ascending Subarray Sum</v>
      </c>
      <c r="C1801" s="20" t="str">
        <f>IFERROR(__xludf.DUMMYFUNCTION("""COMPUTED_VALUE"""),"maximum-ascending-subarray-sum")</f>
        <v>maximum-ascending-subarray-sum</v>
      </c>
      <c r="D1801" s="20" t="b">
        <f>IFERROR(__xludf.DUMMYFUNCTION("""COMPUTED_VALUE"""),FALSE)</f>
        <v>0</v>
      </c>
      <c r="E1801" s="20" t="str">
        <f>IFERROR(__xludf.DUMMYFUNCTION("""COMPUTED_VALUE"""),"Easy")</f>
        <v>Easy</v>
      </c>
      <c r="F1801" s="20">
        <f>IFERROR(__xludf.DUMMYFUNCTION("""COMPUTED_VALUE"""),531.0)</f>
        <v>531</v>
      </c>
      <c r="G1801" s="20">
        <f>IFERROR(__xludf.DUMMYFUNCTION("""COMPUTED_VALUE"""),19.0)</f>
        <v>19</v>
      </c>
      <c r="H1801" s="20" t="str">
        <f>IFERROR(__xludf.DUMMYFUNCTION("""COMPUTED_VALUE"""),"Algorithms")</f>
        <v>Algorithms</v>
      </c>
      <c r="I1801" s="20">
        <f>IFERROR(__xludf.DUMMYFUNCTION("""COMPUTED_VALUE"""),0.635)</f>
        <v>0.635</v>
      </c>
      <c r="J1801" s="20">
        <f>IFERROR(__xludf.DUMMYFUNCTION("""COMPUTED_VALUE"""),1800.0)</f>
        <v>1800</v>
      </c>
      <c r="K1801" s="20" t="b">
        <f>IFERROR(__xludf.DUMMYFUNCTION("""COMPUTED_VALUE"""),FALSE)</f>
        <v>0</v>
      </c>
      <c r="L1801" s="20" t="str">
        <f>IFERROR(__xludf.DUMMYFUNCTION("""COMPUTED_VALUE"""),"Array;")</f>
        <v>Array;</v>
      </c>
      <c r="M1801" s="20" t="b">
        <f>IFERROR(__xludf.DUMMYFUNCTION("""COMPUTED_VALUE"""),FALSE)</f>
        <v>0</v>
      </c>
      <c r="N1801" s="20" t="b">
        <f>IFERROR(__xludf.DUMMYFUNCTION("""COMPUTED_VALUE"""),FALSE)</f>
        <v>0</v>
      </c>
      <c r="O1801" s="20">
        <f>IFERROR(__xludf.DUMMYFUNCTION("""COMPUTED_VALUE"""),63.5106015495205)</f>
        <v>63.51060155</v>
      </c>
      <c r="P1801" s="20">
        <f>IFERROR(__xludf.DUMMYFUNCTION("""COMPUTED_VALUE"""),38609.0)</f>
        <v>38609</v>
      </c>
      <c r="Q1801" s="20">
        <f>IFERROR(__xludf.DUMMYFUNCTION("""COMPUTED_VALUE"""),60792.0)</f>
        <v>60792</v>
      </c>
    </row>
    <row r="1802">
      <c r="A1802" s="20">
        <f>IFERROR(__xludf.DUMMYFUNCTION("""COMPUTED_VALUE"""),1928.0)</f>
        <v>1928</v>
      </c>
      <c r="B1802" s="20" t="str">
        <f>IFERROR(__xludf.DUMMYFUNCTION("""COMPUTED_VALUE"""),"Number of Orders in the Backlog")</f>
        <v>Number of Orders in the Backlog</v>
      </c>
      <c r="C1802" s="20" t="str">
        <f>IFERROR(__xludf.DUMMYFUNCTION("""COMPUTED_VALUE"""),"number-of-orders-in-the-backlog")</f>
        <v>number-of-orders-in-the-backlog</v>
      </c>
      <c r="D1802" s="20" t="b">
        <f>IFERROR(__xludf.DUMMYFUNCTION("""COMPUTED_VALUE"""),FALSE)</f>
        <v>0</v>
      </c>
      <c r="E1802" s="20" t="str">
        <f>IFERROR(__xludf.DUMMYFUNCTION("""COMPUTED_VALUE"""),"Medium")</f>
        <v>Medium</v>
      </c>
      <c r="F1802" s="20">
        <f>IFERROR(__xludf.DUMMYFUNCTION("""COMPUTED_VALUE"""),225.0)</f>
        <v>225</v>
      </c>
      <c r="G1802" s="20">
        <f>IFERROR(__xludf.DUMMYFUNCTION("""COMPUTED_VALUE"""),203.0)</f>
        <v>203</v>
      </c>
      <c r="H1802" s="20" t="str">
        <f>IFERROR(__xludf.DUMMYFUNCTION("""COMPUTED_VALUE"""),"Algorithms")</f>
        <v>Algorithms</v>
      </c>
      <c r="I1802" s="20">
        <f>IFERROR(__xludf.DUMMYFUNCTION("""COMPUTED_VALUE"""),0.476)</f>
        <v>0.476</v>
      </c>
      <c r="J1802" s="20">
        <f>IFERROR(__xludf.DUMMYFUNCTION("""COMPUTED_VALUE"""),1801.0)</f>
        <v>1801</v>
      </c>
      <c r="K1802" s="20" t="b">
        <f>IFERROR(__xludf.DUMMYFUNCTION("""COMPUTED_VALUE"""),FALSE)</f>
        <v>0</v>
      </c>
      <c r="L1802" s="20" t="str">
        <f>IFERROR(__xludf.DUMMYFUNCTION("""COMPUTED_VALUE"""),"Array;Heap (Priority Queue);Simulation;")</f>
        <v>Array;Heap (Priority Queue);Simulation;</v>
      </c>
      <c r="M1802" s="20" t="b">
        <f>IFERROR(__xludf.DUMMYFUNCTION("""COMPUTED_VALUE"""),FALSE)</f>
        <v>0</v>
      </c>
      <c r="N1802" s="20" t="b">
        <f>IFERROR(__xludf.DUMMYFUNCTION("""COMPUTED_VALUE"""),FALSE)</f>
        <v>0</v>
      </c>
      <c r="O1802" s="20">
        <f>IFERROR(__xludf.DUMMYFUNCTION("""COMPUTED_VALUE"""),47.6080395556411)</f>
        <v>47.60803956</v>
      </c>
      <c r="P1802" s="20">
        <f>IFERROR(__xludf.DUMMYFUNCTION("""COMPUTED_VALUE"""),14827.0)</f>
        <v>14827</v>
      </c>
      <c r="Q1802" s="20">
        <f>IFERROR(__xludf.DUMMYFUNCTION("""COMPUTED_VALUE"""),31144.0)</f>
        <v>31144</v>
      </c>
    </row>
    <row r="1803">
      <c r="A1803" s="20">
        <f>IFERROR(__xludf.DUMMYFUNCTION("""COMPUTED_VALUE"""),1929.0)</f>
        <v>1929</v>
      </c>
      <c r="B1803" s="20" t="str">
        <f>IFERROR(__xludf.DUMMYFUNCTION("""COMPUTED_VALUE"""),"Maximum Value at a Given Index in a Bounded Array")</f>
        <v>Maximum Value at a Given Index in a Bounded Array</v>
      </c>
      <c r="C1803" s="20" t="str">
        <f>IFERROR(__xludf.DUMMYFUNCTION("""COMPUTED_VALUE"""),"maximum-value-at-a-given-index-in-a-bounded-array")</f>
        <v>maximum-value-at-a-given-index-in-a-bounded-array</v>
      </c>
      <c r="D1803" s="20" t="b">
        <f>IFERROR(__xludf.DUMMYFUNCTION("""COMPUTED_VALUE"""),FALSE)</f>
        <v>0</v>
      </c>
      <c r="E1803" s="20" t="str">
        <f>IFERROR(__xludf.DUMMYFUNCTION("""COMPUTED_VALUE"""),"Medium")</f>
        <v>Medium</v>
      </c>
      <c r="F1803" s="20">
        <f>IFERROR(__xludf.DUMMYFUNCTION("""COMPUTED_VALUE"""),703.0)</f>
        <v>703</v>
      </c>
      <c r="G1803" s="20">
        <f>IFERROR(__xludf.DUMMYFUNCTION("""COMPUTED_VALUE"""),109.0)</f>
        <v>109</v>
      </c>
      <c r="H1803" s="20" t="str">
        <f>IFERROR(__xludf.DUMMYFUNCTION("""COMPUTED_VALUE"""),"Algorithms")</f>
        <v>Algorithms</v>
      </c>
      <c r="I1803" s="20">
        <f>IFERROR(__xludf.DUMMYFUNCTION("""COMPUTED_VALUE"""),0.32)</f>
        <v>0.32</v>
      </c>
      <c r="J1803" s="20">
        <f>IFERROR(__xludf.DUMMYFUNCTION("""COMPUTED_VALUE"""),1802.0)</f>
        <v>1802</v>
      </c>
      <c r="K1803" s="20" t="b">
        <f>IFERROR(__xludf.DUMMYFUNCTION("""COMPUTED_VALUE"""),FALSE)</f>
        <v>0</v>
      </c>
      <c r="L1803" s="20" t="str">
        <f>IFERROR(__xludf.DUMMYFUNCTION("""COMPUTED_VALUE"""),"Binary Search;Greedy;")</f>
        <v>Binary Search;Greedy;</v>
      </c>
      <c r="M1803" s="20" t="b">
        <f>IFERROR(__xludf.DUMMYFUNCTION("""COMPUTED_VALUE"""),FALSE)</f>
        <v>0</v>
      </c>
      <c r="N1803" s="20" t="b">
        <f>IFERROR(__xludf.DUMMYFUNCTION("""COMPUTED_VALUE"""),FALSE)</f>
        <v>0</v>
      </c>
      <c r="O1803" s="20">
        <f>IFERROR(__xludf.DUMMYFUNCTION("""COMPUTED_VALUE"""),32.0088493636781)</f>
        <v>32.00884936</v>
      </c>
      <c r="P1803" s="20">
        <f>IFERROR(__xludf.DUMMYFUNCTION("""COMPUTED_VALUE"""),14613.0)</f>
        <v>14613</v>
      </c>
      <c r="Q1803" s="20">
        <f>IFERROR(__xludf.DUMMYFUNCTION("""COMPUTED_VALUE"""),45653.0)</f>
        <v>45653</v>
      </c>
    </row>
    <row r="1804">
      <c r="A1804" s="20">
        <f>IFERROR(__xludf.DUMMYFUNCTION("""COMPUTED_VALUE"""),1907.0)</f>
        <v>1907</v>
      </c>
      <c r="B1804" s="20" t="str">
        <f>IFERROR(__xludf.DUMMYFUNCTION("""COMPUTED_VALUE"""),"Count Pairs With XOR in a Range")</f>
        <v>Count Pairs With XOR in a Range</v>
      </c>
      <c r="C1804" s="20" t="str">
        <f>IFERROR(__xludf.DUMMYFUNCTION("""COMPUTED_VALUE"""),"count-pairs-with-xor-in-a-range")</f>
        <v>count-pairs-with-xor-in-a-range</v>
      </c>
      <c r="D1804" s="20" t="b">
        <f>IFERROR(__xludf.DUMMYFUNCTION("""COMPUTED_VALUE"""),FALSE)</f>
        <v>0</v>
      </c>
      <c r="E1804" s="20" t="str">
        <f>IFERROR(__xludf.DUMMYFUNCTION("""COMPUTED_VALUE"""),"Hard")</f>
        <v>Hard</v>
      </c>
      <c r="F1804" s="20">
        <f>IFERROR(__xludf.DUMMYFUNCTION("""COMPUTED_VALUE"""),371.0)</f>
        <v>371</v>
      </c>
      <c r="G1804" s="20">
        <f>IFERROR(__xludf.DUMMYFUNCTION("""COMPUTED_VALUE"""),13.0)</f>
        <v>13</v>
      </c>
      <c r="H1804" s="20" t="str">
        <f>IFERROR(__xludf.DUMMYFUNCTION("""COMPUTED_VALUE"""),"Algorithms")</f>
        <v>Algorithms</v>
      </c>
      <c r="I1804" s="20">
        <f>IFERROR(__xludf.DUMMYFUNCTION("""COMPUTED_VALUE"""),0.467)</f>
        <v>0.467</v>
      </c>
      <c r="J1804" s="20">
        <f>IFERROR(__xludf.DUMMYFUNCTION("""COMPUTED_VALUE"""),1803.0)</f>
        <v>1803</v>
      </c>
      <c r="K1804" s="20" t="b">
        <f>IFERROR(__xludf.DUMMYFUNCTION("""COMPUTED_VALUE"""),FALSE)</f>
        <v>0</v>
      </c>
      <c r="L1804" s="20" t="str">
        <f>IFERROR(__xludf.DUMMYFUNCTION("""COMPUTED_VALUE"""),"Array;Bit Manipulation;Trie;")</f>
        <v>Array;Bit Manipulation;Trie;</v>
      </c>
      <c r="M1804" s="20" t="b">
        <f>IFERROR(__xludf.DUMMYFUNCTION("""COMPUTED_VALUE"""),FALSE)</f>
        <v>0</v>
      </c>
      <c r="N1804" s="20" t="b">
        <f>IFERROR(__xludf.DUMMYFUNCTION("""COMPUTED_VALUE"""),FALSE)</f>
        <v>0</v>
      </c>
      <c r="O1804" s="20">
        <f>IFERROR(__xludf.DUMMYFUNCTION("""COMPUTED_VALUE"""),46.7100387054269)</f>
        <v>46.71003871</v>
      </c>
      <c r="P1804" s="20">
        <f>IFERROR(__xludf.DUMMYFUNCTION("""COMPUTED_VALUE"""),5672.0)</f>
        <v>5672</v>
      </c>
      <c r="Q1804" s="20">
        <f>IFERROR(__xludf.DUMMYFUNCTION("""COMPUTED_VALUE"""),12143.0)</f>
        <v>12143</v>
      </c>
    </row>
    <row r="1805">
      <c r="A1805" s="20">
        <f>IFERROR(__xludf.DUMMYFUNCTION("""COMPUTED_VALUE"""),1949.0)</f>
        <v>1949</v>
      </c>
      <c r="B1805" s="20" t="str">
        <f>IFERROR(__xludf.DUMMYFUNCTION("""COMPUTED_VALUE"""),"Implement Trie II (Prefix Tree)")</f>
        <v>Implement Trie II (Prefix Tree)</v>
      </c>
      <c r="C1805" s="20" t="str">
        <f>IFERROR(__xludf.DUMMYFUNCTION("""COMPUTED_VALUE"""),"implement-trie-ii-prefix-tree")</f>
        <v>implement-trie-ii-prefix-tree</v>
      </c>
      <c r="D1805" s="20" t="b">
        <f>IFERROR(__xludf.DUMMYFUNCTION("""COMPUTED_VALUE"""),TRUE)</f>
        <v>1</v>
      </c>
      <c r="E1805" s="20" t="str">
        <f>IFERROR(__xludf.DUMMYFUNCTION("""COMPUTED_VALUE"""),"Medium")</f>
        <v>Medium</v>
      </c>
      <c r="F1805" s="20">
        <f>IFERROR(__xludf.DUMMYFUNCTION("""COMPUTED_VALUE"""),223.0)</f>
        <v>223</v>
      </c>
      <c r="G1805" s="20">
        <f>IFERROR(__xludf.DUMMYFUNCTION("""COMPUTED_VALUE"""),11.0)</f>
        <v>11</v>
      </c>
      <c r="H1805" s="20" t="str">
        <f>IFERROR(__xludf.DUMMYFUNCTION("""COMPUTED_VALUE"""),"Algorithms")</f>
        <v>Algorithms</v>
      </c>
      <c r="I1805" s="20">
        <f>IFERROR(__xludf.DUMMYFUNCTION("""COMPUTED_VALUE"""),0.596)</f>
        <v>0.596</v>
      </c>
      <c r="J1805" s="20">
        <f>IFERROR(__xludf.DUMMYFUNCTION("""COMPUTED_VALUE"""),1804.0)</f>
        <v>1804</v>
      </c>
      <c r="K1805" s="20" t="b">
        <f>IFERROR(__xludf.DUMMYFUNCTION("""COMPUTED_VALUE"""),TRUE)</f>
        <v>1</v>
      </c>
      <c r="L1805" s="20" t="str">
        <f>IFERROR(__xludf.DUMMYFUNCTION("""COMPUTED_VALUE"""),"Hash Table;String;Design;Trie;")</f>
        <v>Hash Table;String;Design;Trie;</v>
      </c>
      <c r="M1805" s="20" t="b">
        <f>IFERROR(__xludf.DUMMYFUNCTION("""COMPUTED_VALUE"""),FALSE)</f>
        <v>0</v>
      </c>
      <c r="N1805" s="20" t="b">
        <f>IFERROR(__xludf.DUMMYFUNCTION("""COMPUTED_VALUE"""),FALSE)</f>
        <v>0</v>
      </c>
      <c r="O1805" s="20">
        <f>IFERROR(__xludf.DUMMYFUNCTION("""COMPUTED_VALUE"""),59.6202531645569)</f>
        <v>59.62025316</v>
      </c>
      <c r="P1805" s="20">
        <f>IFERROR(__xludf.DUMMYFUNCTION("""COMPUTED_VALUE"""),10833.0)</f>
        <v>10833</v>
      </c>
      <c r="Q1805" s="20">
        <f>IFERROR(__xludf.DUMMYFUNCTION("""COMPUTED_VALUE"""),18170.0)</f>
        <v>18170</v>
      </c>
    </row>
    <row r="1806">
      <c r="A1806" s="20">
        <f>IFERROR(__xludf.DUMMYFUNCTION("""COMPUTED_VALUE"""),1933.0)</f>
        <v>1933</v>
      </c>
      <c r="B1806" s="20" t="str">
        <f>IFERROR(__xludf.DUMMYFUNCTION("""COMPUTED_VALUE"""),"Number of Different Integers in a String")</f>
        <v>Number of Different Integers in a String</v>
      </c>
      <c r="C1806" s="20" t="str">
        <f>IFERROR(__xludf.DUMMYFUNCTION("""COMPUTED_VALUE"""),"number-of-different-integers-in-a-string")</f>
        <v>number-of-different-integers-in-a-string</v>
      </c>
      <c r="D1806" s="20" t="b">
        <f>IFERROR(__xludf.DUMMYFUNCTION("""COMPUTED_VALUE"""),FALSE)</f>
        <v>0</v>
      </c>
      <c r="E1806" s="20" t="str">
        <f>IFERROR(__xludf.DUMMYFUNCTION("""COMPUTED_VALUE"""),"Easy")</f>
        <v>Easy</v>
      </c>
      <c r="F1806" s="20">
        <f>IFERROR(__xludf.DUMMYFUNCTION("""COMPUTED_VALUE"""),443.0)</f>
        <v>443</v>
      </c>
      <c r="G1806" s="20">
        <f>IFERROR(__xludf.DUMMYFUNCTION("""COMPUTED_VALUE"""),82.0)</f>
        <v>82</v>
      </c>
      <c r="H1806" s="20" t="str">
        <f>IFERROR(__xludf.DUMMYFUNCTION("""COMPUTED_VALUE"""),"Algorithms")</f>
        <v>Algorithms</v>
      </c>
      <c r="I1806" s="20">
        <f>IFERROR(__xludf.DUMMYFUNCTION("""COMPUTED_VALUE"""),0.364)</f>
        <v>0.364</v>
      </c>
      <c r="J1806" s="20">
        <f>IFERROR(__xludf.DUMMYFUNCTION("""COMPUTED_VALUE"""),1805.0)</f>
        <v>1805</v>
      </c>
      <c r="K1806" s="20" t="b">
        <f>IFERROR(__xludf.DUMMYFUNCTION("""COMPUTED_VALUE"""),FALSE)</f>
        <v>0</v>
      </c>
      <c r="L1806" s="20" t="str">
        <f>IFERROR(__xludf.DUMMYFUNCTION("""COMPUTED_VALUE"""),"Hash Table;String;")</f>
        <v>Hash Table;String;</v>
      </c>
      <c r="M1806" s="20" t="b">
        <f>IFERROR(__xludf.DUMMYFUNCTION("""COMPUTED_VALUE"""),FALSE)</f>
        <v>0</v>
      </c>
      <c r="N1806" s="20" t="b">
        <f>IFERROR(__xludf.DUMMYFUNCTION("""COMPUTED_VALUE"""),FALSE)</f>
        <v>0</v>
      </c>
      <c r="O1806" s="20">
        <f>IFERROR(__xludf.DUMMYFUNCTION("""COMPUTED_VALUE"""),36.3666731320445)</f>
        <v>36.36667313</v>
      </c>
      <c r="P1806" s="20">
        <f>IFERROR(__xludf.DUMMYFUNCTION("""COMPUTED_VALUE"""),33747.0)</f>
        <v>33747</v>
      </c>
      <c r="Q1806" s="20">
        <f>IFERROR(__xludf.DUMMYFUNCTION("""COMPUTED_VALUE"""),92797.0)</f>
        <v>92797</v>
      </c>
    </row>
    <row r="1807">
      <c r="A1807" s="20">
        <f>IFERROR(__xludf.DUMMYFUNCTION("""COMPUTED_VALUE"""),1935.0)</f>
        <v>1935</v>
      </c>
      <c r="B1807" s="20" t="str">
        <f>IFERROR(__xludf.DUMMYFUNCTION("""COMPUTED_VALUE"""),"Minimum Number of Operations to Reinitialize a Permutation")</f>
        <v>Minimum Number of Operations to Reinitialize a Permutation</v>
      </c>
      <c r="C1807" s="20" t="str">
        <f>IFERROR(__xludf.DUMMYFUNCTION("""COMPUTED_VALUE"""),"minimum-number-of-operations-to-reinitialize-a-permutation")</f>
        <v>minimum-number-of-operations-to-reinitialize-a-permutation</v>
      </c>
      <c r="D1807" s="20" t="b">
        <f>IFERROR(__xludf.DUMMYFUNCTION("""COMPUTED_VALUE"""),FALSE)</f>
        <v>0</v>
      </c>
      <c r="E1807" s="20" t="str">
        <f>IFERROR(__xludf.DUMMYFUNCTION("""COMPUTED_VALUE"""),"Medium")</f>
        <v>Medium</v>
      </c>
      <c r="F1807" s="20">
        <f>IFERROR(__xludf.DUMMYFUNCTION("""COMPUTED_VALUE"""),265.0)</f>
        <v>265</v>
      </c>
      <c r="G1807" s="20">
        <f>IFERROR(__xludf.DUMMYFUNCTION("""COMPUTED_VALUE"""),142.0)</f>
        <v>142</v>
      </c>
      <c r="H1807" s="20" t="str">
        <f>IFERROR(__xludf.DUMMYFUNCTION("""COMPUTED_VALUE"""),"Algorithms")</f>
        <v>Algorithms</v>
      </c>
      <c r="I1807" s="20">
        <f>IFERROR(__xludf.DUMMYFUNCTION("""COMPUTED_VALUE"""),0.717)</f>
        <v>0.717</v>
      </c>
      <c r="J1807" s="20">
        <f>IFERROR(__xludf.DUMMYFUNCTION("""COMPUTED_VALUE"""),1806.0)</f>
        <v>1806</v>
      </c>
      <c r="K1807" s="20" t="b">
        <f>IFERROR(__xludf.DUMMYFUNCTION("""COMPUTED_VALUE"""),FALSE)</f>
        <v>0</v>
      </c>
      <c r="L1807" s="20" t="str">
        <f>IFERROR(__xludf.DUMMYFUNCTION("""COMPUTED_VALUE"""),"Array;Math;Simulation;")</f>
        <v>Array;Math;Simulation;</v>
      </c>
      <c r="M1807" s="20" t="b">
        <f>IFERROR(__xludf.DUMMYFUNCTION("""COMPUTED_VALUE"""),FALSE)</f>
        <v>0</v>
      </c>
      <c r="N1807" s="20" t="b">
        <f>IFERROR(__xludf.DUMMYFUNCTION("""COMPUTED_VALUE"""),FALSE)</f>
        <v>0</v>
      </c>
      <c r="O1807" s="20">
        <f>IFERROR(__xludf.DUMMYFUNCTION("""COMPUTED_VALUE"""),71.6684105393322)</f>
        <v>71.66841054</v>
      </c>
      <c r="P1807" s="20">
        <f>IFERROR(__xludf.DUMMYFUNCTION("""COMPUTED_VALUE"""),15069.0)</f>
        <v>15069</v>
      </c>
      <c r="Q1807" s="20">
        <f>IFERROR(__xludf.DUMMYFUNCTION("""COMPUTED_VALUE"""),21026.0)</f>
        <v>21026</v>
      </c>
    </row>
    <row r="1808">
      <c r="A1808" s="20">
        <f>IFERROR(__xludf.DUMMYFUNCTION("""COMPUTED_VALUE"""),1934.0)</f>
        <v>1934</v>
      </c>
      <c r="B1808" s="20" t="str">
        <f>IFERROR(__xludf.DUMMYFUNCTION("""COMPUTED_VALUE"""),"Evaluate the Bracket Pairs of a String")</f>
        <v>Evaluate the Bracket Pairs of a String</v>
      </c>
      <c r="C1808" s="20" t="str">
        <f>IFERROR(__xludf.DUMMYFUNCTION("""COMPUTED_VALUE"""),"evaluate-the-bracket-pairs-of-a-string")</f>
        <v>evaluate-the-bracket-pairs-of-a-string</v>
      </c>
      <c r="D1808" s="20" t="b">
        <f>IFERROR(__xludf.DUMMYFUNCTION("""COMPUTED_VALUE"""),FALSE)</f>
        <v>0</v>
      </c>
      <c r="E1808" s="20" t="str">
        <f>IFERROR(__xludf.DUMMYFUNCTION("""COMPUTED_VALUE"""),"Medium")</f>
        <v>Medium</v>
      </c>
      <c r="F1808" s="20">
        <f>IFERROR(__xludf.DUMMYFUNCTION("""COMPUTED_VALUE"""),386.0)</f>
        <v>386</v>
      </c>
      <c r="G1808" s="20">
        <f>IFERROR(__xludf.DUMMYFUNCTION("""COMPUTED_VALUE"""),33.0)</f>
        <v>33</v>
      </c>
      <c r="H1808" s="20" t="str">
        <f>IFERROR(__xludf.DUMMYFUNCTION("""COMPUTED_VALUE"""),"Algorithms")</f>
        <v>Algorithms</v>
      </c>
      <c r="I1808" s="20">
        <f>IFERROR(__xludf.DUMMYFUNCTION("""COMPUTED_VALUE"""),0.668)</f>
        <v>0.668</v>
      </c>
      <c r="J1808" s="20">
        <f>IFERROR(__xludf.DUMMYFUNCTION("""COMPUTED_VALUE"""),1807.0)</f>
        <v>1807</v>
      </c>
      <c r="K1808" s="20" t="b">
        <f>IFERROR(__xludf.DUMMYFUNCTION("""COMPUTED_VALUE"""),FALSE)</f>
        <v>0</v>
      </c>
      <c r="L1808" s="20" t="str">
        <f>IFERROR(__xludf.DUMMYFUNCTION("""COMPUTED_VALUE"""),"Array;Hash Table;String;")</f>
        <v>Array;Hash Table;String;</v>
      </c>
      <c r="M1808" s="20" t="b">
        <f>IFERROR(__xludf.DUMMYFUNCTION("""COMPUTED_VALUE"""),FALSE)</f>
        <v>0</v>
      </c>
      <c r="N1808" s="20" t="b">
        <f>IFERROR(__xludf.DUMMYFUNCTION("""COMPUTED_VALUE"""),FALSE)</f>
        <v>0</v>
      </c>
      <c r="O1808" s="20">
        <f>IFERROR(__xludf.DUMMYFUNCTION("""COMPUTED_VALUE"""),66.8103947216113)</f>
        <v>66.81039472</v>
      </c>
      <c r="P1808" s="20">
        <f>IFERROR(__xludf.DUMMYFUNCTION("""COMPUTED_VALUE"""),23087.0)</f>
        <v>23087</v>
      </c>
      <c r="Q1808" s="20">
        <f>IFERROR(__xludf.DUMMYFUNCTION("""COMPUTED_VALUE"""),34556.0)</f>
        <v>34556</v>
      </c>
    </row>
    <row r="1809">
      <c r="A1809" s="20">
        <f>IFERROR(__xludf.DUMMYFUNCTION("""COMPUTED_VALUE"""),1936.0)</f>
        <v>1936</v>
      </c>
      <c r="B1809" s="20" t="str">
        <f>IFERROR(__xludf.DUMMYFUNCTION("""COMPUTED_VALUE"""),"Maximize Number of Nice Divisors")</f>
        <v>Maximize Number of Nice Divisors</v>
      </c>
      <c r="C1809" s="20" t="str">
        <f>IFERROR(__xludf.DUMMYFUNCTION("""COMPUTED_VALUE"""),"maximize-number-of-nice-divisors")</f>
        <v>maximize-number-of-nice-divisors</v>
      </c>
      <c r="D1809" s="20" t="b">
        <f>IFERROR(__xludf.DUMMYFUNCTION("""COMPUTED_VALUE"""),FALSE)</f>
        <v>0</v>
      </c>
      <c r="E1809" s="20" t="str">
        <f>IFERROR(__xludf.DUMMYFUNCTION("""COMPUTED_VALUE"""),"Hard")</f>
        <v>Hard</v>
      </c>
      <c r="F1809" s="20">
        <f>IFERROR(__xludf.DUMMYFUNCTION("""COMPUTED_VALUE"""),178.0)</f>
        <v>178</v>
      </c>
      <c r="G1809" s="20">
        <f>IFERROR(__xludf.DUMMYFUNCTION("""COMPUTED_VALUE"""),150.0)</f>
        <v>150</v>
      </c>
      <c r="H1809" s="20" t="str">
        <f>IFERROR(__xludf.DUMMYFUNCTION("""COMPUTED_VALUE"""),"Algorithms")</f>
        <v>Algorithms</v>
      </c>
      <c r="I1809" s="20">
        <f>IFERROR(__xludf.DUMMYFUNCTION("""COMPUTED_VALUE"""),0.314)</f>
        <v>0.314</v>
      </c>
      <c r="J1809" s="20">
        <f>IFERROR(__xludf.DUMMYFUNCTION("""COMPUTED_VALUE"""),1808.0)</f>
        <v>1808</v>
      </c>
      <c r="K1809" s="20" t="b">
        <f>IFERROR(__xludf.DUMMYFUNCTION("""COMPUTED_VALUE"""),FALSE)</f>
        <v>0</v>
      </c>
      <c r="L1809" s="20" t="str">
        <f>IFERROR(__xludf.DUMMYFUNCTION("""COMPUTED_VALUE"""),"Math;Recursion;")</f>
        <v>Math;Recursion;</v>
      </c>
      <c r="M1809" s="20" t="b">
        <f>IFERROR(__xludf.DUMMYFUNCTION("""COMPUTED_VALUE"""),FALSE)</f>
        <v>0</v>
      </c>
      <c r="N1809" s="20" t="b">
        <f>IFERROR(__xludf.DUMMYFUNCTION("""COMPUTED_VALUE"""),FALSE)</f>
        <v>0</v>
      </c>
      <c r="O1809" s="20">
        <f>IFERROR(__xludf.DUMMYFUNCTION("""COMPUTED_VALUE"""),31.3706793802145)</f>
        <v>31.37067938</v>
      </c>
      <c r="P1809" s="20">
        <f>IFERROR(__xludf.DUMMYFUNCTION("""COMPUTED_VALUE"""),5264.0)</f>
        <v>5264</v>
      </c>
      <c r="Q1809" s="20">
        <f>IFERROR(__xludf.DUMMYFUNCTION("""COMPUTED_VALUE"""),16780.0)</f>
        <v>16780</v>
      </c>
    </row>
    <row r="1810">
      <c r="A1810" s="20">
        <f>IFERROR(__xludf.DUMMYFUNCTION("""COMPUTED_VALUE"""),1958.0)</f>
        <v>1958</v>
      </c>
      <c r="B1810" s="20" t="str">
        <f>IFERROR(__xludf.DUMMYFUNCTION("""COMPUTED_VALUE"""),"Ad-Free Sessions")</f>
        <v>Ad-Free Sessions</v>
      </c>
      <c r="C1810" s="20" t="str">
        <f>IFERROR(__xludf.DUMMYFUNCTION("""COMPUTED_VALUE"""),"ad-free-sessions")</f>
        <v>ad-free-sessions</v>
      </c>
      <c r="D1810" s="20" t="b">
        <f>IFERROR(__xludf.DUMMYFUNCTION("""COMPUTED_VALUE"""),TRUE)</f>
        <v>1</v>
      </c>
      <c r="E1810" s="20" t="str">
        <f>IFERROR(__xludf.DUMMYFUNCTION("""COMPUTED_VALUE"""),"Easy")</f>
        <v>Easy</v>
      </c>
      <c r="F1810" s="20">
        <f>IFERROR(__xludf.DUMMYFUNCTION("""COMPUTED_VALUE"""),64.0)</f>
        <v>64</v>
      </c>
      <c r="G1810" s="20">
        <f>IFERROR(__xludf.DUMMYFUNCTION("""COMPUTED_VALUE"""),47.0)</f>
        <v>47</v>
      </c>
      <c r="H1810" s="20" t="str">
        <f>IFERROR(__xludf.DUMMYFUNCTION("""COMPUTED_VALUE"""),"Database")</f>
        <v>Database</v>
      </c>
      <c r="I1810" s="20">
        <f>IFERROR(__xludf.DUMMYFUNCTION("""COMPUTED_VALUE"""),0.598)</f>
        <v>0.598</v>
      </c>
      <c r="J1810" s="20">
        <f>IFERROR(__xludf.DUMMYFUNCTION("""COMPUTED_VALUE"""),1809.0)</f>
        <v>1809</v>
      </c>
      <c r="K1810" s="20" t="b">
        <f>IFERROR(__xludf.DUMMYFUNCTION("""COMPUTED_VALUE"""),TRUE)</f>
        <v>1</v>
      </c>
      <c r="L1810" s="20" t="str">
        <f>IFERROR(__xludf.DUMMYFUNCTION("""COMPUTED_VALUE"""),"Database;")</f>
        <v>Database;</v>
      </c>
      <c r="M1810" s="20" t="b">
        <f>IFERROR(__xludf.DUMMYFUNCTION("""COMPUTED_VALUE"""),FALSE)</f>
        <v>0</v>
      </c>
      <c r="N1810" s="20" t="b">
        <f>IFERROR(__xludf.DUMMYFUNCTION("""COMPUTED_VALUE"""),FALSE)</f>
        <v>0</v>
      </c>
      <c r="O1810" s="20">
        <f>IFERROR(__xludf.DUMMYFUNCTION("""COMPUTED_VALUE"""),59.7516398778228)</f>
        <v>59.75163988</v>
      </c>
      <c r="P1810" s="20">
        <f>IFERROR(__xludf.DUMMYFUNCTION("""COMPUTED_VALUE"""),11933.0)</f>
        <v>11933</v>
      </c>
      <c r="Q1810" s="20">
        <f>IFERROR(__xludf.DUMMYFUNCTION("""COMPUTED_VALUE"""),19971.0)</f>
        <v>19971</v>
      </c>
    </row>
    <row r="1811">
      <c r="A1811" s="20">
        <f>IFERROR(__xludf.DUMMYFUNCTION("""COMPUTED_VALUE"""),1959.0)</f>
        <v>1959</v>
      </c>
      <c r="B1811" s="20" t="str">
        <f>IFERROR(__xludf.DUMMYFUNCTION("""COMPUTED_VALUE"""),"Minimum Path Cost in a Hidden Grid")</f>
        <v>Minimum Path Cost in a Hidden Grid</v>
      </c>
      <c r="C1811" s="20" t="str">
        <f>IFERROR(__xludf.DUMMYFUNCTION("""COMPUTED_VALUE"""),"minimum-path-cost-in-a-hidden-grid")</f>
        <v>minimum-path-cost-in-a-hidden-grid</v>
      </c>
      <c r="D1811" s="20" t="b">
        <f>IFERROR(__xludf.DUMMYFUNCTION("""COMPUTED_VALUE"""),TRUE)</f>
        <v>1</v>
      </c>
      <c r="E1811" s="20" t="str">
        <f>IFERROR(__xludf.DUMMYFUNCTION("""COMPUTED_VALUE"""),"Medium")</f>
        <v>Medium</v>
      </c>
      <c r="F1811" s="20">
        <f>IFERROR(__xludf.DUMMYFUNCTION("""COMPUTED_VALUE"""),70.0)</f>
        <v>70</v>
      </c>
      <c r="G1811" s="20">
        <f>IFERROR(__xludf.DUMMYFUNCTION("""COMPUTED_VALUE"""),20.0)</f>
        <v>20</v>
      </c>
      <c r="H1811" s="20" t="str">
        <f>IFERROR(__xludf.DUMMYFUNCTION("""COMPUTED_VALUE"""),"Algorithms")</f>
        <v>Algorithms</v>
      </c>
      <c r="I1811" s="20">
        <f>IFERROR(__xludf.DUMMYFUNCTION("""COMPUTED_VALUE"""),0.542)</f>
        <v>0.542</v>
      </c>
      <c r="J1811" s="20">
        <f>IFERROR(__xludf.DUMMYFUNCTION("""COMPUTED_VALUE"""),1810.0)</f>
        <v>1810</v>
      </c>
      <c r="K1811" s="20" t="b">
        <f>IFERROR(__xludf.DUMMYFUNCTION("""COMPUTED_VALUE"""),TRUE)</f>
        <v>1</v>
      </c>
      <c r="L1811" s="20" t="str">
        <f>IFERROR(__xludf.DUMMYFUNCTION("""COMPUTED_VALUE"""),"Depth-First Search;Breadth-First Search;Graph;Heap (Priority Queue);Interactive;")</f>
        <v>Depth-First Search;Breadth-First Search;Graph;Heap (Priority Queue);Interactive;</v>
      </c>
      <c r="M1811" s="20" t="b">
        <f>IFERROR(__xludf.DUMMYFUNCTION("""COMPUTED_VALUE"""),FALSE)</f>
        <v>0</v>
      </c>
      <c r="N1811" s="20" t="b">
        <f>IFERROR(__xludf.DUMMYFUNCTION("""COMPUTED_VALUE"""),FALSE)</f>
        <v>0</v>
      </c>
      <c r="O1811" s="20">
        <f>IFERROR(__xludf.DUMMYFUNCTION("""COMPUTED_VALUE"""),54.16467209191)</f>
        <v>54.16467209</v>
      </c>
      <c r="P1811" s="20">
        <f>IFERROR(__xludf.DUMMYFUNCTION("""COMPUTED_VALUE"""),2263.0)</f>
        <v>2263</v>
      </c>
      <c r="Q1811" s="20">
        <f>IFERROR(__xludf.DUMMYFUNCTION("""COMPUTED_VALUE"""),4178.0)</f>
        <v>4178</v>
      </c>
    </row>
    <row r="1812">
      <c r="A1812" s="20">
        <f>IFERROR(__xludf.DUMMYFUNCTION("""COMPUTED_VALUE"""),1964.0)</f>
        <v>1964</v>
      </c>
      <c r="B1812" s="20" t="str">
        <f>IFERROR(__xludf.DUMMYFUNCTION("""COMPUTED_VALUE"""),"Find Interview Candidates")</f>
        <v>Find Interview Candidates</v>
      </c>
      <c r="C1812" s="20" t="str">
        <f>IFERROR(__xludf.DUMMYFUNCTION("""COMPUTED_VALUE"""),"find-interview-candidates")</f>
        <v>find-interview-candidates</v>
      </c>
      <c r="D1812" s="20" t="b">
        <f>IFERROR(__xludf.DUMMYFUNCTION("""COMPUTED_VALUE"""),TRUE)</f>
        <v>1</v>
      </c>
      <c r="E1812" s="20" t="str">
        <f>IFERROR(__xludf.DUMMYFUNCTION("""COMPUTED_VALUE"""),"Medium")</f>
        <v>Medium</v>
      </c>
      <c r="F1812" s="20">
        <f>IFERROR(__xludf.DUMMYFUNCTION("""COMPUTED_VALUE"""),158.0)</f>
        <v>158</v>
      </c>
      <c r="G1812" s="20">
        <f>IFERROR(__xludf.DUMMYFUNCTION("""COMPUTED_VALUE"""),22.0)</f>
        <v>22</v>
      </c>
      <c r="H1812" s="20" t="str">
        <f>IFERROR(__xludf.DUMMYFUNCTION("""COMPUTED_VALUE"""),"Database")</f>
        <v>Database</v>
      </c>
      <c r="I1812" s="20">
        <f>IFERROR(__xludf.DUMMYFUNCTION("""COMPUTED_VALUE"""),0.647)</f>
        <v>0.647</v>
      </c>
      <c r="J1812" s="20">
        <f>IFERROR(__xludf.DUMMYFUNCTION("""COMPUTED_VALUE"""),1811.0)</f>
        <v>1811</v>
      </c>
      <c r="K1812" s="20" t="b">
        <f>IFERROR(__xludf.DUMMYFUNCTION("""COMPUTED_VALUE"""),TRUE)</f>
        <v>1</v>
      </c>
      <c r="L1812" s="20" t="str">
        <f>IFERROR(__xludf.DUMMYFUNCTION("""COMPUTED_VALUE"""),"Database;")</f>
        <v>Database;</v>
      </c>
      <c r="M1812" s="20" t="b">
        <f>IFERROR(__xludf.DUMMYFUNCTION("""COMPUTED_VALUE"""),FALSE)</f>
        <v>0</v>
      </c>
      <c r="N1812" s="20" t="b">
        <f>IFERROR(__xludf.DUMMYFUNCTION("""COMPUTED_VALUE"""),FALSE)</f>
        <v>0</v>
      </c>
      <c r="O1812" s="20">
        <f>IFERROR(__xludf.DUMMYFUNCTION("""COMPUTED_VALUE"""),64.7006750027664)</f>
        <v>64.700675</v>
      </c>
      <c r="P1812" s="20">
        <f>IFERROR(__xludf.DUMMYFUNCTION("""COMPUTED_VALUE"""),11694.0)</f>
        <v>11694</v>
      </c>
      <c r="Q1812" s="20">
        <f>IFERROR(__xludf.DUMMYFUNCTION("""COMPUTED_VALUE"""),18074.0)</f>
        <v>18074</v>
      </c>
    </row>
    <row r="1813">
      <c r="A1813" s="20">
        <f>IFERROR(__xludf.DUMMYFUNCTION("""COMPUTED_VALUE"""),1920.0)</f>
        <v>1920</v>
      </c>
      <c r="B1813" s="20" t="str">
        <f>IFERROR(__xludf.DUMMYFUNCTION("""COMPUTED_VALUE"""),"Determine Color of a Chessboard Square")</f>
        <v>Determine Color of a Chessboard Square</v>
      </c>
      <c r="C1813" s="20" t="str">
        <f>IFERROR(__xludf.DUMMYFUNCTION("""COMPUTED_VALUE"""),"determine-color-of-a-chessboard-square")</f>
        <v>determine-color-of-a-chessboard-square</v>
      </c>
      <c r="D1813" s="20" t="b">
        <f>IFERROR(__xludf.DUMMYFUNCTION("""COMPUTED_VALUE"""),FALSE)</f>
        <v>0</v>
      </c>
      <c r="E1813" s="20" t="str">
        <f>IFERROR(__xludf.DUMMYFUNCTION("""COMPUTED_VALUE"""),"Easy")</f>
        <v>Easy</v>
      </c>
      <c r="F1813" s="20">
        <f>IFERROR(__xludf.DUMMYFUNCTION("""COMPUTED_VALUE"""),574.0)</f>
        <v>574</v>
      </c>
      <c r="G1813" s="20">
        <f>IFERROR(__xludf.DUMMYFUNCTION("""COMPUTED_VALUE"""),15.0)</f>
        <v>15</v>
      </c>
      <c r="H1813" s="20" t="str">
        <f>IFERROR(__xludf.DUMMYFUNCTION("""COMPUTED_VALUE"""),"Algorithms")</f>
        <v>Algorithms</v>
      </c>
      <c r="I1813" s="20">
        <f>IFERROR(__xludf.DUMMYFUNCTION("""COMPUTED_VALUE"""),0.776)</f>
        <v>0.776</v>
      </c>
      <c r="J1813" s="20">
        <f>IFERROR(__xludf.DUMMYFUNCTION("""COMPUTED_VALUE"""),1812.0)</f>
        <v>1812</v>
      </c>
      <c r="K1813" s="20" t="b">
        <f>IFERROR(__xludf.DUMMYFUNCTION("""COMPUTED_VALUE"""),FALSE)</f>
        <v>0</v>
      </c>
      <c r="L1813" s="20" t="str">
        <f>IFERROR(__xludf.DUMMYFUNCTION("""COMPUTED_VALUE"""),"Math;String;")</f>
        <v>Math;String;</v>
      </c>
      <c r="M1813" s="20" t="b">
        <f>IFERROR(__xludf.DUMMYFUNCTION("""COMPUTED_VALUE"""),FALSE)</f>
        <v>0</v>
      </c>
      <c r="N1813" s="20" t="b">
        <f>IFERROR(__xludf.DUMMYFUNCTION("""COMPUTED_VALUE"""),FALSE)</f>
        <v>0</v>
      </c>
      <c r="O1813" s="20">
        <f>IFERROR(__xludf.DUMMYFUNCTION("""COMPUTED_VALUE"""),77.5752314814814)</f>
        <v>77.57523148</v>
      </c>
      <c r="P1813" s="20">
        <f>IFERROR(__xludf.DUMMYFUNCTION("""COMPUTED_VALUE"""),50933.0)</f>
        <v>50933</v>
      </c>
      <c r="Q1813" s="20">
        <f>IFERROR(__xludf.DUMMYFUNCTION("""COMPUTED_VALUE"""),65658.0)</f>
        <v>65658</v>
      </c>
    </row>
    <row r="1814">
      <c r="A1814" s="20">
        <f>IFERROR(__xludf.DUMMYFUNCTION("""COMPUTED_VALUE"""),1923.0)</f>
        <v>1923</v>
      </c>
      <c r="B1814" s="20" t="str">
        <f>IFERROR(__xludf.DUMMYFUNCTION("""COMPUTED_VALUE"""),"Sentence Similarity III")</f>
        <v>Sentence Similarity III</v>
      </c>
      <c r="C1814" s="20" t="str">
        <f>IFERROR(__xludf.DUMMYFUNCTION("""COMPUTED_VALUE"""),"sentence-similarity-iii")</f>
        <v>sentence-similarity-iii</v>
      </c>
      <c r="D1814" s="20" t="b">
        <f>IFERROR(__xludf.DUMMYFUNCTION("""COMPUTED_VALUE"""),FALSE)</f>
        <v>0</v>
      </c>
      <c r="E1814" s="20" t="str">
        <f>IFERROR(__xludf.DUMMYFUNCTION("""COMPUTED_VALUE"""),"Medium")</f>
        <v>Medium</v>
      </c>
      <c r="F1814" s="20">
        <f>IFERROR(__xludf.DUMMYFUNCTION("""COMPUTED_VALUE"""),294.0)</f>
        <v>294</v>
      </c>
      <c r="G1814" s="20">
        <f>IFERROR(__xludf.DUMMYFUNCTION("""COMPUTED_VALUE"""),50.0)</f>
        <v>50</v>
      </c>
      <c r="H1814" s="20" t="str">
        <f>IFERROR(__xludf.DUMMYFUNCTION("""COMPUTED_VALUE"""),"Algorithms")</f>
        <v>Algorithms</v>
      </c>
      <c r="I1814" s="20">
        <f>IFERROR(__xludf.DUMMYFUNCTION("""COMPUTED_VALUE"""),0.331)</f>
        <v>0.331</v>
      </c>
      <c r="J1814" s="20">
        <f>IFERROR(__xludf.DUMMYFUNCTION("""COMPUTED_VALUE"""),1813.0)</f>
        <v>1813</v>
      </c>
      <c r="K1814" s="20" t="b">
        <f>IFERROR(__xludf.DUMMYFUNCTION("""COMPUTED_VALUE"""),FALSE)</f>
        <v>0</v>
      </c>
      <c r="L1814" s="20" t="str">
        <f>IFERROR(__xludf.DUMMYFUNCTION("""COMPUTED_VALUE"""),"Array;Two Pointers;String;")</f>
        <v>Array;Two Pointers;String;</v>
      </c>
      <c r="M1814" s="20" t="b">
        <f>IFERROR(__xludf.DUMMYFUNCTION("""COMPUTED_VALUE"""),FALSE)</f>
        <v>0</v>
      </c>
      <c r="N1814" s="20" t="b">
        <f>IFERROR(__xludf.DUMMYFUNCTION("""COMPUTED_VALUE"""),FALSE)</f>
        <v>0</v>
      </c>
      <c r="O1814" s="20">
        <f>IFERROR(__xludf.DUMMYFUNCTION("""COMPUTED_VALUE"""),33.147873058744)</f>
        <v>33.14787306</v>
      </c>
      <c r="P1814" s="20">
        <f>IFERROR(__xludf.DUMMYFUNCTION("""COMPUTED_VALUE"""),12272.0)</f>
        <v>12272</v>
      </c>
      <c r="Q1814" s="20">
        <f>IFERROR(__xludf.DUMMYFUNCTION("""COMPUTED_VALUE"""),37024.0)</f>
        <v>37024</v>
      </c>
    </row>
    <row r="1815">
      <c r="A1815" s="20">
        <f>IFERROR(__xludf.DUMMYFUNCTION("""COMPUTED_VALUE"""),1925.0)</f>
        <v>1925</v>
      </c>
      <c r="B1815" s="20" t="str">
        <f>IFERROR(__xludf.DUMMYFUNCTION("""COMPUTED_VALUE"""),"Count Nice Pairs in an Array")</f>
        <v>Count Nice Pairs in an Array</v>
      </c>
      <c r="C1815" s="20" t="str">
        <f>IFERROR(__xludf.DUMMYFUNCTION("""COMPUTED_VALUE"""),"count-nice-pairs-in-an-array")</f>
        <v>count-nice-pairs-in-an-array</v>
      </c>
      <c r="D1815" s="20" t="b">
        <f>IFERROR(__xludf.DUMMYFUNCTION("""COMPUTED_VALUE"""),FALSE)</f>
        <v>0</v>
      </c>
      <c r="E1815" s="20" t="str">
        <f>IFERROR(__xludf.DUMMYFUNCTION("""COMPUTED_VALUE"""),"Medium")</f>
        <v>Medium</v>
      </c>
      <c r="F1815" s="20">
        <f>IFERROR(__xludf.DUMMYFUNCTION("""COMPUTED_VALUE"""),621.0)</f>
        <v>621</v>
      </c>
      <c r="G1815" s="20">
        <f>IFERROR(__xludf.DUMMYFUNCTION("""COMPUTED_VALUE"""),27.0)</f>
        <v>27</v>
      </c>
      <c r="H1815" s="20" t="str">
        <f>IFERROR(__xludf.DUMMYFUNCTION("""COMPUTED_VALUE"""),"Algorithms")</f>
        <v>Algorithms</v>
      </c>
      <c r="I1815" s="20">
        <f>IFERROR(__xludf.DUMMYFUNCTION("""COMPUTED_VALUE"""),0.42)</f>
        <v>0.42</v>
      </c>
      <c r="J1815" s="20">
        <f>IFERROR(__xludf.DUMMYFUNCTION("""COMPUTED_VALUE"""),1814.0)</f>
        <v>1814</v>
      </c>
      <c r="K1815" s="20" t="b">
        <f>IFERROR(__xludf.DUMMYFUNCTION("""COMPUTED_VALUE"""),FALSE)</f>
        <v>0</v>
      </c>
      <c r="L1815" s="20" t="str">
        <f>IFERROR(__xludf.DUMMYFUNCTION("""COMPUTED_VALUE"""),"Array;Hash Table;Math;Counting;")</f>
        <v>Array;Hash Table;Math;Counting;</v>
      </c>
      <c r="M1815" s="20" t="b">
        <f>IFERROR(__xludf.DUMMYFUNCTION("""COMPUTED_VALUE"""),FALSE)</f>
        <v>0</v>
      </c>
      <c r="N1815" s="20" t="b">
        <f>IFERROR(__xludf.DUMMYFUNCTION("""COMPUTED_VALUE"""),FALSE)</f>
        <v>0</v>
      </c>
      <c r="O1815" s="20">
        <f>IFERROR(__xludf.DUMMYFUNCTION("""COMPUTED_VALUE"""),42.0346126080424)</f>
        <v>42.03461261</v>
      </c>
      <c r="P1815" s="20">
        <f>IFERROR(__xludf.DUMMYFUNCTION("""COMPUTED_VALUE"""),21543.0)</f>
        <v>21543</v>
      </c>
      <c r="Q1815" s="20">
        <f>IFERROR(__xludf.DUMMYFUNCTION("""COMPUTED_VALUE"""),51250.0)</f>
        <v>51250</v>
      </c>
    </row>
    <row r="1816">
      <c r="A1816" s="20">
        <f>IFERROR(__xludf.DUMMYFUNCTION("""COMPUTED_VALUE"""),1924.0)</f>
        <v>1924</v>
      </c>
      <c r="B1816" s="20" t="str">
        <f>IFERROR(__xludf.DUMMYFUNCTION("""COMPUTED_VALUE"""),"Maximum Number of Groups Getting Fresh Donuts")</f>
        <v>Maximum Number of Groups Getting Fresh Donuts</v>
      </c>
      <c r="C1816" s="20" t="str">
        <f>IFERROR(__xludf.DUMMYFUNCTION("""COMPUTED_VALUE"""),"maximum-number-of-groups-getting-fresh-donuts")</f>
        <v>maximum-number-of-groups-getting-fresh-donuts</v>
      </c>
      <c r="D1816" s="20" t="b">
        <f>IFERROR(__xludf.DUMMYFUNCTION("""COMPUTED_VALUE"""),FALSE)</f>
        <v>0</v>
      </c>
      <c r="E1816" s="20" t="str">
        <f>IFERROR(__xludf.DUMMYFUNCTION("""COMPUTED_VALUE"""),"Hard")</f>
        <v>Hard</v>
      </c>
      <c r="F1816" s="20">
        <f>IFERROR(__xludf.DUMMYFUNCTION("""COMPUTED_VALUE"""),283.0)</f>
        <v>283</v>
      </c>
      <c r="G1816" s="20">
        <f>IFERROR(__xludf.DUMMYFUNCTION("""COMPUTED_VALUE"""),18.0)</f>
        <v>18</v>
      </c>
      <c r="H1816" s="20" t="str">
        <f>IFERROR(__xludf.DUMMYFUNCTION("""COMPUTED_VALUE"""),"Algorithms")</f>
        <v>Algorithms</v>
      </c>
      <c r="I1816" s="20">
        <f>IFERROR(__xludf.DUMMYFUNCTION("""COMPUTED_VALUE"""),0.401)</f>
        <v>0.401</v>
      </c>
      <c r="J1816" s="20">
        <f>IFERROR(__xludf.DUMMYFUNCTION("""COMPUTED_VALUE"""),1815.0)</f>
        <v>1815</v>
      </c>
      <c r="K1816" s="20" t="b">
        <f>IFERROR(__xludf.DUMMYFUNCTION("""COMPUTED_VALUE"""),FALSE)</f>
        <v>0</v>
      </c>
      <c r="L1816" s="20" t="str">
        <f>IFERROR(__xludf.DUMMYFUNCTION("""COMPUTED_VALUE"""),"Array;Dynamic Programming;Bit Manipulation;Memoization;Bitmask;")</f>
        <v>Array;Dynamic Programming;Bit Manipulation;Memoization;Bitmask;</v>
      </c>
      <c r="M1816" s="20" t="b">
        <f>IFERROR(__xludf.DUMMYFUNCTION("""COMPUTED_VALUE"""),FALSE)</f>
        <v>0</v>
      </c>
      <c r="N1816" s="20" t="b">
        <f>IFERROR(__xludf.DUMMYFUNCTION("""COMPUTED_VALUE"""),FALSE)</f>
        <v>0</v>
      </c>
      <c r="O1816" s="20">
        <f>IFERROR(__xludf.DUMMYFUNCTION("""COMPUTED_VALUE"""),40.1027077497665)</f>
        <v>40.10270775</v>
      </c>
      <c r="P1816" s="20">
        <f>IFERROR(__xludf.DUMMYFUNCTION("""COMPUTED_VALUE"""),5154.0)</f>
        <v>5154</v>
      </c>
      <c r="Q1816" s="20">
        <f>IFERROR(__xludf.DUMMYFUNCTION("""COMPUTED_VALUE"""),12852.0)</f>
        <v>12852</v>
      </c>
    </row>
    <row r="1817">
      <c r="A1817" s="20">
        <f>IFERROR(__xludf.DUMMYFUNCTION("""COMPUTED_VALUE"""),1944.0)</f>
        <v>1944</v>
      </c>
      <c r="B1817" s="20" t="str">
        <f>IFERROR(__xludf.DUMMYFUNCTION("""COMPUTED_VALUE"""),"Truncate Sentence")</f>
        <v>Truncate Sentence</v>
      </c>
      <c r="C1817" s="20" t="str">
        <f>IFERROR(__xludf.DUMMYFUNCTION("""COMPUTED_VALUE"""),"truncate-sentence")</f>
        <v>truncate-sentence</v>
      </c>
      <c r="D1817" s="20" t="b">
        <f>IFERROR(__xludf.DUMMYFUNCTION("""COMPUTED_VALUE"""),FALSE)</f>
        <v>0</v>
      </c>
      <c r="E1817" s="20" t="str">
        <f>IFERROR(__xludf.DUMMYFUNCTION("""COMPUTED_VALUE"""),"Easy")</f>
        <v>Easy</v>
      </c>
      <c r="F1817" s="20">
        <f>IFERROR(__xludf.DUMMYFUNCTION("""COMPUTED_VALUE"""),732.0)</f>
        <v>732</v>
      </c>
      <c r="G1817" s="20">
        <f>IFERROR(__xludf.DUMMYFUNCTION("""COMPUTED_VALUE"""),19.0)</f>
        <v>19</v>
      </c>
      <c r="H1817" s="20" t="str">
        <f>IFERROR(__xludf.DUMMYFUNCTION("""COMPUTED_VALUE"""),"Algorithms")</f>
        <v>Algorithms</v>
      </c>
      <c r="I1817" s="20">
        <f>IFERROR(__xludf.DUMMYFUNCTION("""COMPUTED_VALUE"""),0.824)</f>
        <v>0.824</v>
      </c>
      <c r="J1817" s="20">
        <f>IFERROR(__xludf.DUMMYFUNCTION("""COMPUTED_VALUE"""),1816.0)</f>
        <v>1816</v>
      </c>
      <c r="K1817" s="20" t="b">
        <f>IFERROR(__xludf.DUMMYFUNCTION("""COMPUTED_VALUE"""),FALSE)</f>
        <v>0</v>
      </c>
      <c r="L1817" s="20" t="str">
        <f>IFERROR(__xludf.DUMMYFUNCTION("""COMPUTED_VALUE"""),"Array;String;")</f>
        <v>Array;String;</v>
      </c>
      <c r="M1817" s="20" t="b">
        <f>IFERROR(__xludf.DUMMYFUNCTION("""COMPUTED_VALUE"""),FALSE)</f>
        <v>0</v>
      </c>
      <c r="N1817" s="20" t="b">
        <f>IFERROR(__xludf.DUMMYFUNCTION("""COMPUTED_VALUE"""),FALSE)</f>
        <v>0</v>
      </c>
      <c r="O1817" s="20">
        <f>IFERROR(__xludf.DUMMYFUNCTION("""COMPUTED_VALUE"""),82.4084288465493)</f>
        <v>82.40842885</v>
      </c>
      <c r="P1817" s="20">
        <f>IFERROR(__xludf.DUMMYFUNCTION("""COMPUTED_VALUE"""),88147.0)</f>
        <v>88147</v>
      </c>
      <c r="Q1817" s="20">
        <f>IFERROR(__xludf.DUMMYFUNCTION("""COMPUTED_VALUE"""),106964.0)</f>
        <v>106964</v>
      </c>
    </row>
    <row r="1818">
      <c r="A1818" s="20">
        <f>IFERROR(__xludf.DUMMYFUNCTION("""COMPUTED_VALUE"""),1945.0)</f>
        <v>1945</v>
      </c>
      <c r="B1818" s="20" t="str">
        <f>IFERROR(__xludf.DUMMYFUNCTION("""COMPUTED_VALUE"""),"Finding the Users Active Minutes")</f>
        <v>Finding the Users Active Minutes</v>
      </c>
      <c r="C1818" s="20" t="str">
        <f>IFERROR(__xludf.DUMMYFUNCTION("""COMPUTED_VALUE"""),"finding-the-users-active-minutes")</f>
        <v>finding-the-users-active-minutes</v>
      </c>
      <c r="D1818" s="20" t="b">
        <f>IFERROR(__xludf.DUMMYFUNCTION("""COMPUTED_VALUE"""),FALSE)</f>
        <v>0</v>
      </c>
      <c r="E1818" s="20" t="str">
        <f>IFERROR(__xludf.DUMMYFUNCTION("""COMPUTED_VALUE"""),"Medium")</f>
        <v>Medium</v>
      </c>
      <c r="F1818" s="20">
        <f>IFERROR(__xludf.DUMMYFUNCTION("""COMPUTED_VALUE"""),616.0)</f>
        <v>616</v>
      </c>
      <c r="G1818" s="20">
        <f>IFERROR(__xludf.DUMMYFUNCTION("""COMPUTED_VALUE"""),232.0)</f>
        <v>232</v>
      </c>
      <c r="H1818" s="20" t="str">
        <f>IFERROR(__xludf.DUMMYFUNCTION("""COMPUTED_VALUE"""),"Algorithms")</f>
        <v>Algorithms</v>
      </c>
      <c r="I1818" s="20">
        <f>IFERROR(__xludf.DUMMYFUNCTION("""COMPUTED_VALUE"""),0.805)</f>
        <v>0.805</v>
      </c>
      <c r="J1818" s="20">
        <f>IFERROR(__xludf.DUMMYFUNCTION("""COMPUTED_VALUE"""),1817.0)</f>
        <v>1817</v>
      </c>
      <c r="K1818" s="20" t="b">
        <f>IFERROR(__xludf.DUMMYFUNCTION("""COMPUTED_VALUE"""),FALSE)</f>
        <v>0</v>
      </c>
      <c r="L1818" s="20" t="str">
        <f>IFERROR(__xludf.DUMMYFUNCTION("""COMPUTED_VALUE"""),"Array;Hash Table;")</f>
        <v>Array;Hash Table;</v>
      </c>
      <c r="M1818" s="20" t="b">
        <f>IFERROR(__xludf.DUMMYFUNCTION("""COMPUTED_VALUE"""),FALSE)</f>
        <v>0</v>
      </c>
      <c r="N1818" s="20" t="b">
        <f>IFERROR(__xludf.DUMMYFUNCTION("""COMPUTED_VALUE"""),FALSE)</f>
        <v>0</v>
      </c>
      <c r="O1818" s="20">
        <f>IFERROR(__xludf.DUMMYFUNCTION("""COMPUTED_VALUE"""),80.5501018707168)</f>
        <v>80.55010187</v>
      </c>
      <c r="P1818" s="20">
        <f>IFERROR(__xludf.DUMMYFUNCTION("""COMPUTED_VALUE"""),43488.0)</f>
        <v>43488</v>
      </c>
      <c r="Q1818" s="20">
        <f>IFERROR(__xludf.DUMMYFUNCTION("""COMPUTED_VALUE"""),53989.0)</f>
        <v>53989</v>
      </c>
    </row>
    <row r="1819">
      <c r="A1819" s="20">
        <f>IFERROR(__xludf.DUMMYFUNCTION("""COMPUTED_VALUE"""),1946.0)</f>
        <v>1946</v>
      </c>
      <c r="B1819" s="20" t="str">
        <f>IFERROR(__xludf.DUMMYFUNCTION("""COMPUTED_VALUE"""),"Minimum Absolute Sum Difference")</f>
        <v>Minimum Absolute Sum Difference</v>
      </c>
      <c r="C1819" s="20" t="str">
        <f>IFERROR(__xludf.DUMMYFUNCTION("""COMPUTED_VALUE"""),"minimum-absolute-sum-difference")</f>
        <v>minimum-absolute-sum-difference</v>
      </c>
      <c r="D1819" s="20" t="b">
        <f>IFERROR(__xludf.DUMMYFUNCTION("""COMPUTED_VALUE"""),FALSE)</f>
        <v>0</v>
      </c>
      <c r="E1819" s="20" t="str">
        <f>IFERROR(__xludf.DUMMYFUNCTION("""COMPUTED_VALUE"""),"Medium")</f>
        <v>Medium</v>
      </c>
      <c r="F1819" s="20">
        <f>IFERROR(__xludf.DUMMYFUNCTION("""COMPUTED_VALUE"""),794.0)</f>
        <v>794</v>
      </c>
      <c r="G1819" s="20">
        <f>IFERROR(__xludf.DUMMYFUNCTION("""COMPUTED_VALUE"""),62.0)</f>
        <v>62</v>
      </c>
      <c r="H1819" s="20" t="str">
        <f>IFERROR(__xludf.DUMMYFUNCTION("""COMPUTED_VALUE"""),"Algorithms")</f>
        <v>Algorithms</v>
      </c>
      <c r="I1819" s="20">
        <f>IFERROR(__xludf.DUMMYFUNCTION("""COMPUTED_VALUE"""),0.302)</f>
        <v>0.302</v>
      </c>
      <c r="J1819" s="20">
        <f>IFERROR(__xludf.DUMMYFUNCTION("""COMPUTED_VALUE"""),1818.0)</f>
        <v>1818</v>
      </c>
      <c r="K1819" s="20" t="b">
        <f>IFERROR(__xludf.DUMMYFUNCTION("""COMPUTED_VALUE"""),FALSE)</f>
        <v>0</v>
      </c>
      <c r="L1819" s="20" t="str">
        <f>IFERROR(__xludf.DUMMYFUNCTION("""COMPUTED_VALUE"""),"Array;Binary Search;Sorting;Ordered Set;")</f>
        <v>Array;Binary Search;Sorting;Ordered Set;</v>
      </c>
      <c r="M1819" s="20" t="b">
        <f>IFERROR(__xludf.DUMMYFUNCTION("""COMPUTED_VALUE"""),FALSE)</f>
        <v>0</v>
      </c>
      <c r="N1819" s="20" t="b">
        <f>IFERROR(__xludf.DUMMYFUNCTION("""COMPUTED_VALUE"""),FALSE)</f>
        <v>0</v>
      </c>
      <c r="O1819" s="20">
        <f>IFERROR(__xludf.DUMMYFUNCTION("""COMPUTED_VALUE"""),30.2490822869566)</f>
        <v>30.24908229</v>
      </c>
      <c r="P1819" s="20">
        <f>IFERROR(__xludf.DUMMYFUNCTION("""COMPUTED_VALUE"""),19200.0)</f>
        <v>19200</v>
      </c>
      <c r="Q1819" s="20">
        <f>IFERROR(__xludf.DUMMYFUNCTION("""COMPUTED_VALUE"""),63473.0)</f>
        <v>63473</v>
      </c>
    </row>
    <row r="1820">
      <c r="A1820" s="20">
        <f>IFERROR(__xludf.DUMMYFUNCTION("""COMPUTED_VALUE"""),1947.0)</f>
        <v>1947</v>
      </c>
      <c r="B1820" s="20" t="str">
        <f>IFERROR(__xludf.DUMMYFUNCTION("""COMPUTED_VALUE"""),"Number of Different Subsequences GCDs")</f>
        <v>Number of Different Subsequences GCDs</v>
      </c>
      <c r="C1820" s="20" t="str">
        <f>IFERROR(__xludf.DUMMYFUNCTION("""COMPUTED_VALUE"""),"number-of-different-subsequences-gcds")</f>
        <v>number-of-different-subsequences-gcds</v>
      </c>
      <c r="D1820" s="20" t="b">
        <f>IFERROR(__xludf.DUMMYFUNCTION("""COMPUTED_VALUE"""),FALSE)</f>
        <v>0</v>
      </c>
      <c r="E1820" s="20" t="str">
        <f>IFERROR(__xludf.DUMMYFUNCTION("""COMPUTED_VALUE"""),"Hard")</f>
        <v>Hard</v>
      </c>
      <c r="F1820" s="20">
        <f>IFERROR(__xludf.DUMMYFUNCTION("""COMPUTED_VALUE"""),328.0)</f>
        <v>328</v>
      </c>
      <c r="G1820" s="20">
        <f>IFERROR(__xludf.DUMMYFUNCTION("""COMPUTED_VALUE"""),35.0)</f>
        <v>35</v>
      </c>
      <c r="H1820" s="20" t="str">
        <f>IFERROR(__xludf.DUMMYFUNCTION("""COMPUTED_VALUE"""),"Algorithms")</f>
        <v>Algorithms</v>
      </c>
      <c r="I1820" s="20">
        <f>IFERROR(__xludf.DUMMYFUNCTION("""COMPUTED_VALUE"""),0.386)</f>
        <v>0.386</v>
      </c>
      <c r="J1820" s="20">
        <f>IFERROR(__xludf.DUMMYFUNCTION("""COMPUTED_VALUE"""),1819.0)</f>
        <v>1819</v>
      </c>
      <c r="K1820" s="20" t="b">
        <f>IFERROR(__xludf.DUMMYFUNCTION("""COMPUTED_VALUE"""),FALSE)</f>
        <v>0</v>
      </c>
      <c r="L1820" s="20" t="str">
        <f>IFERROR(__xludf.DUMMYFUNCTION("""COMPUTED_VALUE"""),"Array;Math;Counting;Number Theory;")</f>
        <v>Array;Math;Counting;Number Theory;</v>
      </c>
      <c r="M1820" s="20" t="b">
        <f>IFERROR(__xludf.DUMMYFUNCTION("""COMPUTED_VALUE"""),FALSE)</f>
        <v>0</v>
      </c>
      <c r="N1820" s="20" t="b">
        <f>IFERROR(__xludf.DUMMYFUNCTION("""COMPUTED_VALUE"""),FALSE)</f>
        <v>0</v>
      </c>
      <c r="O1820" s="20">
        <f>IFERROR(__xludf.DUMMYFUNCTION("""COMPUTED_VALUE"""),38.553144129104)</f>
        <v>38.55314413</v>
      </c>
      <c r="P1820" s="20">
        <f>IFERROR(__xludf.DUMMYFUNCTION("""COMPUTED_VALUE"""),6928.0)</f>
        <v>6928</v>
      </c>
      <c r="Q1820" s="20">
        <f>IFERROR(__xludf.DUMMYFUNCTION("""COMPUTED_VALUE"""),17970.0)</f>
        <v>17970</v>
      </c>
    </row>
    <row r="1821">
      <c r="A1821" s="20">
        <f>IFERROR(__xludf.DUMMYFUNCTION("""COMPUTED_VALUE"""),1969.0)</f>
        <v>1969</v>
      </c>
      <c r="B1821" s="20" t="str">
        <f>IFERROR(__xludf.DUMMYFUNCTION("""COMPUTED_VALUE"""),"Maximum Number of Accepted Invitations")</f>
        <v>Maximum Number of Accepted Invitations</v>
      </c>
      <c r="C1821" s="20" t="str">
        <f>IFERROR(__xludf.DUMMYFUNCTION("""COMPUTED_VALUE"""),"maximum-number-of-accepted-invitations")</f>
        <v>maximum-number-of-accepted-invitations</v>
      </c>
      <c r="D1821" s="20" t="b">
        <f>IFERROR(__xludf.DUMMYFUNCTION("""COMPUTED_VALUE"""),TRUE)</f>
        <v>1</v>
      </c>
      <c r="E1821" s="20" t="str">
        <f>IFERROR(__xludf.DUMMYFUNCTION("""COMPUTED_VALUE"""),"Medium")</f>
        <v>Medium</v>
      </c>
      <c r="F1821" s="20">
        <f>IFERROR(__xludf.DUMMYFUNCTION("""COMPUTED_VALUE"""),156.0)</f>
        <v>156</v>
      </c>
      <c r="G1821" s="20">
        <f>IFERROR(__xludf.DUMMYFUNCTION("""COMPUTED_VALUE"""),47.0)</f>
        <v>47</v>
      </c>
      <c r="H1821" s="20" t="str">
        <f>IFERROR(__xludf.DUMMYFUNCTION("""COMPUTED_VALUE"""),"Algorithms")</f>
        <v>Algorithms</v>
      </c>
      <c r="I1821" s="20">
        <f>IFERROR(__xludf.DUMMYFUNCTION("""COMPUTED_VALUE"""),0.498)</f>
        <v>0.498</v>
      </c>
      <c r="J1821" s="20">
        <f>IFERROR(__xludf.DUMMYFUNCTION("""COMPUTED_VALUE"""),1820.0)</f>
        <v>1820</v>
      </c>
      <c r="K1821" s="20" t="b">
        <f>IFERROR(__xludf.DUMMYFUNCTION("""COMPUTED_VALUE"""),TRUE)</f>
        <v>1</v>
      </c>
      <c r="L1821" s="20" t="str">
        <f>IFERROR(__xludf.DUMMYFUNCTION("""COMPUTED_VALUE"""),"Array;Backtracking;Matrix;")</f>
        <v>Array;Backtracking;Matrix;</v>
      </c>
      <c r="M1821" s="20" t="b">
        <f>IFERROR(__xludf.DUMMYFUNCTION("""COMPUTED_VALUE"""),FALSE)</f>
        <v>0</v>
      </c>
      <c r="N1821" s="20" t="b">
        <f>IFERROR(__xludf.DUMMYFUNCTION("""COMPUTED_VALUE"""),FALSE)</f>
        <v>0</v>
      </c>
      <c r="O1821" s="20">
        <f>IFERROR(__xludf.DUMMYFUNCTION("""COMPUTED_VALUE"""),49.786854367007)</f>
        <v>49.78685437</v>
      </c>
      <c r="P1821" s="20">
        <f>IFERROR(__xludf.DUMMYFUNCTION("""COMPUTED_VALUE"""),5022.0)</f>
        <v>5022</v>
      </c>
      <c r="Q1821" s="20">
        <f>IFERROR(__xludf.DUMMYFUNCTION("""COMPUTED_VALUE"""),10087.0)</f>
        <v>10087</v>
      </c>
    </row>
    <row r="1822">
      <c r="A1822" s="20">
        <f>IFERROR(__xludf.DUMMYFUNCTION("""COMPUTED_VALUE"""),1974.0)</f>
        <v>1974</v>
      </c>
      <c r="B1822" s="20" t="str">
        <f>IFERROR(__xludf.DUMMYFUNCTION("""COMPUTED_VALUE"""),"Find Customers With Positive Revenue this Year")</f>
        <v>Find Customers With Positive Revenue this Year</v>
      </c>
      <c r="C1822" s="20" t="str">
        <f>IFERROR(__xludf.DUMMYFUNCTION("""COMPUTED_VALUE"""),"find-customers-with-positive-revenue-this-year")</f>
        <v>find-customers-with-positive-revenue-this-year</v>
      </c>
      <c r="D1822" s="20" t="b">
        <f>IFERROR(__xludf.DUMMYFUNCTION("""COMPUTED_VALUE"""),TRUE)</f>
        <v>1</v>
      </c>
      <c r="E1822" s="20" t="str">
        <f>IFERROR(__xludf.DUMMYFUNCTION("""COMPUTED_VALUE"""),"Easy")</f>
        <v>Easy</v>
      </c>
      <c r="F1822" s="20">
        <f>IFERROR(__xludf.DUMMYFUNCTION("""COMPUTED_VALUE"""),36.0)</f>
        <v>36</v>
      </c>
      <c r="G1822" s="20">
        <f>IFERROR(__xludf.DUMMYFUNCTION("""COMPUTED_VALUE"""),19.0)</f>
        <v>19</v>
      </c>
      <c r="H1822" s="20" t="str">
        <f>IFERROR(__xludf.DUMMYFUNCTION("""COMPUTED_VALUE"""),"Database")</f>
        <v>Database</v>
      </c>
      <c r="I1822" s="20">
        <f>IFERROR(__xludf.DUMMYFUNCTION("""COMPUTED_VALUE"""),0.893)</f>
        <v>0.893</v>
      </c>
      <c r="J1822" s="20">
        <f>IFERROR(__xludf.DUMMYFUNCTION("""COMPUTED_VALUE"""),1821.0)</f>
        <v>1821</v>
      </c>
      <c r="K1822" s="20" t="b">
        <f>IFERROR(__xludf.DUMMYFUNCTION("""COMPUTED_VALUE"""),TRUE)</f>
        <v>1</v>
      </c>
      <c r="L1822" s="20" t="str">
        <f>IFERROR(__xludf.DUMMYFUNCTION("""COMPUTED_VALUE"""),"Database;")</f>
        <v>Database;</v>
      </c>
      <c r="M1822" s="20" t="b">
        <f>IFERROR(__xludf.DUMMYFUNCTION("""COMPUTED_VALUE"""),FALSE)</f>
        <v>0</v>
      </c>
      <c r="N1822" s="20" t="b">
        <f>IFERROR(__xludf.DUMMYFUNCTION("""COMPUTED_VALUE"""),FALSE)</f>
        <v>0</v>
      </c>
      <c r="O1822" s="20">
        <f>IFERROR(__xludf.DUMMYFUNCTION("""COMPUTED_VALUE"""),89.3351333108336)</f>
        <v>89.33513331</v>
      </c>
      <c r="P1822" s="20">
        <f>IFERROR(__xludf.DUMMYFUNCTION("""COMPUTED_VALUE"""),13235.0)</f>
        <v>13235</v>
      </c>
      <c r="Q1822" s="20">
        <f>IFERROR(__xludf.DUMMYFUNCTION("""COMPUTED_VALUE"""),14815.0)</f>
        <v>14815</v>
      </c>
    </row>
    <row r="1823">
      <c r="A1823" s="20">
        <f>IFERROR(__xludf.DUMMYFUNCTION("""COMPUTED_VALUE"""),1950.0)</f>
        <v>1950</v>
      </c>
      <c r="B1823" s="20" t="str">
        <f>IFERROR(__xludf.DUMMYFUNCTION("""COMPUTED_VALUE"""),"Sign of the Product of an Array")</f>
        <v>Sign of the Product of an Array</v>
      </c>
      <c r="C1823" s="20" t="str">
        <f>IFERROR(__xludf.DUMMYFUNCTION("""COMPUTED_VALUE"""),"sign-of-the-product-of-an-array")</f>
        <v>sign-of-the-product-of-an-array</v>
      </c>
      <c r="D1823" s="20" t="b">
        <f>IFERROR(__xludf.DUMMYFUNCTION("""COMPUTED_VALUE"""),FALSE)</f>
        <v>0</v>
      </c>
      <c r="E1823" s="20" t="str">
        <f>IFERROR(__xludf.DUMMYFUNCTION("""COMPUTED_VALUE"""),"Easy")</f>
        <v>Easy</v>
      </c>
      <c r="F1823" s="20">
        <f>IFERROR(__xludf.DUMMYFUNCTION("""COMPUTED_VALUE"""),858.0)</f>
        <v>858</v>
      </c>
      <c r="G1823" s="20">
        <f>IFERROR(__xludf.DUMMYFUNCTION("""COMPUTED_VALUE"""),112.0)</f>
        <v>112</v>
      </c>
      <c r="H1823" s="20" t="str">
        <f>IFERROR(__xludf.DUMMYFUNCTION("""COMPUTED_VALUE"""),"Algorithms")</f>
        <v>Algorithms</v>
      </c>
      <c r="I1823" s="20">
        <f>IFERROR(__xludf.DUMMYFUNCTION("""COMPUTED_VALUE"""),0.659)</f>
        <v>0.659</v>
      </c>
      <c r="J1823" s="20">
        <f>IFERROR(__xludf.DUMMYFUNCTION("""COMPUTED_VALUE"""),1822.0)</f>
        <v>1822</v>
      </c>
      <c r="K1823" s="20" t="b">
        <f>IFERROR(__xludf.DUMMYFUNCTION("""COMPUTED_VALUE"""),FALSE)</f>
        <v>0</v>
      </c>
      <c r="L1823" s="20" t="str">
        <f>IFERROR(__xludf.DUMMYFUNCTION("""COMPUTED_VALUE"""),"Array;Math;")</f>
        <v>Array;Math;</v>
      </c>
      <c r="M1823" s="20" t="b">
        <f>IFERROR(__xludf.DUMMYFUNCTION("""COMPUTED_VALUE"""),FALSE)</f>
        <v>0</v>
      </c>
      <c r="N1823" s="20" t="b">
        <f>IFERROR(__xludf.DUMMYFUNCTION("""COMPUTED_VALUE"""),FALSE)</f>
        <v>0</v>
      </c>
      <c r="O1823" s="20">
        <f>IFERROR(__xludf.DUMMYFUNCTION("""COMPUTED_VALUE"""),65.8509051145947)</f>
        <v>65.85090511</v>
      </c>
      <c r="P1823" s="20">
        <f>IFERROR(__xludf.DUMMYFUNCTION("""COMPUTED_VALUE"""),148740.0)</f>
        <v>148740</v>
      </c>
      <c r="Q1823" s="20">
        <f>IFERROR(__xludf.DUMMYFUNCTION("""COMPUTED_VALUE"""),225873.0)</f>
        <v>225873</v>
      </c>
    </row>
    <row r="1824">
      <c r="A1824" s="20">
        <f>IFERROR(__xludf.DUMMYFUNCTION("""COMPUTED_VALUE"""),1951.0)</f>
        <v>1951</v>
      </c>
      <c r="B1824" s="20" t="str">
        <f>IFERROR(__xludf.DUMMYFUNCTION("""COMPUTED_VALUE"""),"Find the Winner of the Circular Game")</f>
        <v>Find the Winner of the Circular Game</v>
      </c>
      <c r="C1824" s="20" t="str">
        <f>IFERROR(__xludf.DUMMYFUNCTION("""COMPUTED_VALUE"""),"find-the-winner-of-the-circular-game")</f>
        <v>find-the-winner-of-the-circular-game</v>
      </c>
      <c r="D1824" s="20" t="b">
        <f>IFERROR(__xludf.DUMMYFUNCTION("""COMPUTED_VALUE"""),FALSE)</f>
        <v>0</v>
      </c>
      <c r="E1824" s="20" t="str">
        <f>IFERROR(__xludf.DUMMYFUNCTION("""COMPUTED_VALUE"""),"Medium")</f>
        <v>Medium</v>
      </c>
      <c r="F1824" s="20">
        <f>IFERROR(__xludf.DUMMYFUNCTION("""COMPUTED_VALUE"""),2098.0)</f>
        <v>2098</v>
      </c>
      <c r="G1824" s="20">
        <f>IFERROR(__xludf.DUMMYFUNCTION("""COMPUTED_VALUE"""),38.0)</f>
        <v>38</v>
      </c>
      <c r="H1824" s="20" t="str">
        <f>IFERROR(__xludf.DUMMYFUNCTION("""COMPUTED_VALUE"""),"Algorithms")</f>
        <v>Algorithms</v>
      </c>
      <c r="I1824" s="20">
        <f>IFERROR(__xludf.DUMMYFUNCTION("""COMPUTED_VALUE"""),0.78)</f>
        <v>0.78</v>
      </c>
      <c r="J1824" s="20">
        <f>IFERROR(__xludf.DUMMYFUNCTION("""COMPUTED_VALUE"""),1823.0)</f>
        <v>1823</v>
      </c>
      <c r="K1824" s="20" t="b">
        <f>IFERROR(__xludf.DUMMYFUNCTION("""COMPUTED_VALUE"""),FALSE)</f>
        <v>0</v>
      </c>
      <c r="L1824" s="20" t="str">
        <f>IFERROR(__xludf.DUMMYFUNCTION("""COMPUTED_VALUE"""),"Array;Math;Recursion;Queue;Simulation;")</f>
        <v>Array;Math;Recursion;Queue;Simulation;</v>
      </c>
      <c r="M1824" s="20" t="b">
        <f>IFERROR(__xludf.DUMMYFUNCTION("""COMPUTED_VALUE"""),FALSE)</f>
        <v>0</v>
      </c>
      <c r="N1824" s="20" t="b">
        <f>IFERROR(__xludf.DUMMYFUNCTION("""COMPUTED_VALUE"""),FALSE)</f>
        <v>0</v>
      </c>
      <c r="O1824" s="20">
        <f>IFERROR(__xludf.DUMMYFUNCTION("""COMPUTED_VALUE"""),78.0151153540175)</f>
        <v>78.01511535</v>
      </c>
      <c r="P1824" s="20">
        <f>IFERROR(__xludf.DUMMYFUNCTION("""COMPUTED_VALUE"""),78450.0)</f>
        <v>78450</v>
      </c>
      <c r="Q1824" s="20">
        <f>IFERROR(__xludf.DUMMYFUNCTION("""COMPUTED_VALUE"""),100558.0)</f>
        <v>100558</v>
      </c>
    </row>
    <row r="1825">
      <c r="A1825" s="20">
        <f>IFERROR(__xludf.DUMMYFUNCTION("""COMPUTED_VALUE"""),1952.0)</f>
        <v>1952</v>
      </c>
      <c r="B1825" s="20" t="str">
        <f>IFERROR(__xludf.DUMMYFUNCTION("""COMPUTED_VALUE"""),"Minimum Sideway Jumps")</f>
        <v>Minimum Sideway Jumps</v>
      </c>
      <c r="C1825" s="20" t="str">
        <f>IFERROR(__xludf.DUMMYFUNCTION("""COMPUTED_VALUE"""),"minimum-sideway-jumps")</f>
        <v>minimum-sideway-jumps</v>
      </c>
      <c r="D1825" s="20" t="b">
        <f>IFERROR(__xludf.DUMMYFUNCTION("""COMPUTED_VALUE"""),FALSE)</f>
        <v>0</v>
      </c>
      <c r="E1825" s="20" t="str">
        <f>IFERROR(__xludf.DUMMYFUNCTION("""COMPUTED_VALUE"""),"Medium")</f>
        <v>Medium</v>
      </c>
      <c r="F1825" s="20">
        <f>IFERROR(__xludf.DUMMYFUNCTION("""COMPUTED_VALUE"""),815.0)</f>
        <v>815</v>
      </c>
      <c r="G1825" s="20">
        <f>IFERROR(__xludf.DUMMYFUNCTION("""COMPUTED_VALUE"""),35.0)</f>
        <v>35</v>
      </c>
      <c r="H1825" s="20" t="str">
        <f>IFERROR(__xludf.DUMMYFUNCTION("""COMPUTED_VALUE"""),"Algorithms")</f>
        <v>Algorithms</v>
      </c>
      <c r="I1825" s="20">
        <f>IFERROR(__xludf.DUMMYFUNCTION("""COMPUTED_VALUE"""),0.494)</f>
        <v>0.494</v>
      </c>
      <c r="J1825" s="20">
        <f>IFERROR(__xludf.DUMMYFUNCTION("""COMPUTED_VALUE"""),1824.0)</f>
        <v>1824</v>
      </c>
      <c r="K1825" s="20" t="b">
        <f>IFERROR(__xludf.DUMMYFUNCTION("""COMPUTED_VALUE"""),FALSE)</f>
        <v>0</v>
      </c>
      <c r="L1825" s="20" t="str">
        <f>IFERROR(__xludf.DUMMYFUNCTION("""COMPUTED_VALUE"""),"Array;Dynamic Programming;Greedy;")</f>
        <v>Array;Dynamic Programming;Greedy;</v>
      </c>
      <c r="M1825" s="20" t="b">
        <f>IFERROR(__xludf.DUMMYFUNCTION("""COMPUTED_VALUE"""),FALSE)</f>
        <v>0</v>
      </c>
      <c r="N1825" s="20" t="b">
        <f>IFERROR(__xludf.DUMMYFUNCTION("""COMPUTED_VALUE"""),FALSE)</f>
        <v>0</v>
      </c>
      <c r="O1825" s="20">
        <f>IFERROR(__xludf.DUMMYFUNCTION("""COMPUTED_VALUE"""),49.3662684753998)</f>
        <v>49.36626848</v>
      </c>
      <c r="P1825" s="20">
        <f>IFERROR(__xludf.DUMMYFUNCTION("""COMPUTED_VALUE"""),24382.0)</f>
        <v>24382</v>
      </c>
      <c r="Q1825" s="20">
        <f>IFERROR(__xludf.DUMMYFUNCTION("""COMPUTED_VALUE"""),49390.0)</f>
        <v>49390</v>
      </c>
    </row>
    <row r="1826">
      <c r="A1826" s="20">
        <f>IFERROR(__xludf.DUMMYFUNCTION("""COMPUTED_VALUE"""),1953.0)</f>
        <v>1953</v>
      </c>
      <c r="B1826" s="20" t="str">
        <f>IFERROR(__xludf.DUMMYFUNCTION("""COMPUTED_VALUE"""),"Finding MK Average")</f>
        <v>Finding MK Average</v>
      </c>
      <c r="C1826" s="20" t="str">
        <f>IFERROR(__xludf.DUMMYFUNCTION("""COMPUTED_VALUE"""),"finding-mk-average")</f>
        <v>finding-mk-average</v>
      </c>
      <c r="D1826" s="20" t="b">
        <f>IFERROR(__xludf.DUMMYFUNCTION("""COMPUTED_VALUE"""),FALSE)</f>
        <v>0</v>
      </c>
      <c r="E1826" s="20" t="str">
        <f>IFERROR(__xludf.DUMMYFUNCTION("""COMPUTED_VALUE"""),"Hard")</f>
        <v>Hard</v>
      </c>
      <c r="F1826" s="20">
        <f>IFERROR(__xludf.DUMMYFUNCTION("""COMPUTED_VALUE"""),304.0)</f>
        <v>304</v>
      </c>
      <c r="G1826" s="20">
        <f>IFERROR(__xludf.DUMMYFUNCTION("""COMPUTED_VALUE"""),94.0)</f>
        <v>94</v>
      </c>
      <c r="H1826" s="20" t="str">
        <f>IFERROR(__xludf.DUMMYFUNCTION("""COMPUTED_VALUE"""),"Algorithms")</f>
        <v>Algorithms</v>
      </c>
      <c r="I1826" s="20">
        <f>IFERROR(__xludf.DUMMYFUNCTION("""COMPUTED_VALUE"""),0.355)</f>
        <v>0.355</v>
      </c>
      <c r="J1826" s="20">
        <f>IFERROR(__xludf.DUMMYFUNCTION("""COMPUTED_VALUE"""),1825.0)</f>
        <v>1825</v>
      </c>
      <c r="K1826" s="20" t="b">
        <f>IFERROR(__xludf.DUMMYFUNCTION("""COMPUTED_VALUE"""),FALSE)</f>
        <v>0</v>
      </c>
      <c r="L1826" s="20" t="str">
        <f>IFERROR(__xludf.DUMMYFUNCTION("""COMPUTED_VALUE"""),"Design;Queue;Heap (Priority Queue);Data Stream;Ordered Set;")</f>
        <v>Design;Queue;Heap (Priority Queue);Data Stream;Ordered Set;</v>
      </c>
      <c r="M1826" s="20" t="b">
        <f>IFERROR(__xludf.DUMMYFUNCTION("""COMPUTED_VALUE"""),FALSE)</f>
        <v>0</v>
      </c>
      <c r="N1826" s="20" t="b">
        <f>IFERROR(__xludf.DUMMYFUNCTION("""COMPUTED_VALUE"""),FALSE)</f>
        <v>0</v>
      </c>
      <c r="O1826" s="20">
        <f>IFERROR(__xludf.DUMMYFUNCTION("""COMPUTED_VALUE"""),35.5311622479121)</f>
        <v>35.53116225</v>
      </c>
      <c r="P1826" s="20">
        <f>IFERROR(__xludf.DUMMYFUNCTION("""COMPUTED_VALUE"""),9741.0)</f>
        <v>9741</v>
      </c>
      <c r="Q1826" s="20">
        <f>IFERROR(__xludf.DUMMYFUNCTION("""COMPUTED_VALUE"""),27418.0)</f>
        <v>27418</v>
      </c>
    </row>
    <row r="1827">
      <c r="A1827" s="20">
        <f>IFERROR(__xludf.DUMMYFUNCTION("""COMPUTED_VALUE"""),1980.0)</f>
        <v>1980</v>
      </c>
      <c r="B1827" s="20" t="str">
        <f>IFERROR(__xludf.DUMMYFUNCTION("""COMPUTED_VALUE"""),"Faulty Sensor")</f>
        <v>Faulty Sensor</v>
      </c>
      <c r="C1827" s="20" t="str">
        <f>IFERROR(__xludf.DUMMYFUNCTION("""COMPUTED_VALUE"""),"faulty-sensor")</f>
        <v>faulty-sensor</v>
      </c>
      <c r="D1827" s="20" t="b">
        <f>IFERROR(__xludf.DUMMYFUNCTION("""COMPUTED_VALUE"""),TRUE)</f>
        <v>1</v>
      </c>
      <c r="E1827" s="20" t="str">
        <f>IFERROR(__xludf.DUMMYFUNCTION("""COMPUTED_VALUE"""),"Easy")</f>
        <v>Easy</v>
      </c>
      <c r="F1827" s="20">
        <f>IFERROR(__xludf.DUMMYFUNCTION("""COMPUTED_VALUE"""),52.0)</f>
        <v>52</v>
      </c>
      <c r="G1827" s="20">
        <f>IFERROR(__xludf.DUMMYFUNCTION("""COMPUTED_VALUE"""),49.0)</f>
        <v>49</v>
      </c>
      <c r="H1827" s="20" t="str">
        <f>IFERROR(__xludf.DUMMYFUNCTION("""COMPUTED_VALUE"""),"Algorithms")</f>
        <v>Algorithms</v>
      </c>
      <c r="I1827" s="20">
        <f>IFERROR(__xludf.DUMMYFUNCTION("""COMPUTED_VALUE"""),0.495)</f>
        <v>0.495</v>
      </c>
      <c r="J1827" s="20">
        <f>IFERROR(__xludf.DUMMYFUNCTION("""COMPUTED_VALUE"""),1826.0)</f>
        <v>1826</v>
      </c>
      <c r="K1827" s="20" t="b">
        <f>IFERROR(__xludf.DUMMYFUNCTION("""COMPUTED_VALUE"""),TRUE)</f>
        <v>1</v>
      </c>
      <c r="L1827" s="20" t="str">
        <f>IFERROR(__xludf.DUMMYFUNCTION("""COMPUTED_VALUE"""),"Array;Two Pointers;")</f>
        <v>Array;Two Pointers;</v>
      </c>
      <c r="M1827" s="20" t="b">
        <f>IFERROR(__xludf.DUMMYFUNCTION("""COMPUTED_VALUE"""),FALSE)</f>
        <v>0</v>
      </c>
      <c r="N1827" s="20" t="b">
        <f>IFERROR(__xludf.DUMMYFUNCTION("""COMPUTED_VALUE"""),FALSE)</f>
        <v>0</v>
      </c>
      <c r="O1827" s="20">
        <f>IFERROR(__xludf.DUMMYFUNCTION("""COMPUTED_VALUE"""),49.4626865671641)</f>
        <v>49.46268657</v>
      </c>
      <c r="P1827" s="20">
        <f>IFERROR(__xludf.DUMMYFUNCTION("""COMPUTED_VALUE"""),3314.0)</f>
        <v>3314</v>
      </c>
      <c r="Q1827" s="20">
        <f>IFERROR(__xludf.DUMMYFUNCTION("""COMPUTED_VALUE"""),6698.0)</f>
        <v>6698</v>
      </c>
    </row>
    <row r="1828">
      <c r="A1828" s="20">
        <f>IFERROR(__xludf.DUMMYFUNCTION("""COMPUTED_VALUE"""),1938.0)</f>
        <v>1938</v>
      </c>
      <c r="B1828" s="20" t="str">
        <f>IFERROR(__xludf.DUMMYFUNCTION("""COMPUTED_VALUE"""),"Minimum Operations to Make the Array Increasing")</f>
        <v>Minimum Operations to Make the Array Increasing</v>
      </c>
      <c r="C1828" s="20" t="str">
        <f>IFERROR(__xludf.DUMMYFUNCTION("""COMPUTED_VALUE"""),"minimum-operations-to-make-the-array-increasing")</f>
        <v>minimum-operations-to-make-the-array-increasing</v>
      </c>
      <c r="D1828" s="20" t="b">
        <f>IFERROR(__xludf.DUMMYFUNCTION("""COMPUTED_VALUE"""),FALSE)</f>
        <v>0</v>
      </c>
      <c r="E1828" s="20" t="str">
        <f>IFERROR(__xludf.DUMMYFUNCTION("""COMPUTED_VALUE"""),"Easy")</f>
        <v>Easy</v>
      </c>
      <c r="F1828" s="20">
        <f>IFERROR(__xludf.DUMMYFUNCTION("""COMPUTED_VALUE"""),861.0)</f>
        <v>861</v>
      </c>
      <c r="G1828" s="20">
        <f>IFERROR(__xludf.DUMMYFUNCTION("""COMPUTED_VALUE"""),39.0)</f>
        <v>39</v>
      </c>
      <c r="H1828" s="20" t="str">
        <f>IFERROR(__xludf.DUMMYFUNCTION("""COMPUTED_VALUE"""),"Algorithms")</f>
        <v>Algorithms</v>
      </c>
      <c r="I1828" s="20">
        <f>IFERROR(__xludf.DUMMYFUNCTION("""COMPUTED_VALUE"""),0.784)</f>
        <v>0.784</v>
      </c>
      <c r="J1828" s="20">
        <f>IFERROR(__xludf.DUMMYFUNCTION("""COMPUTED_VALUE"""),1827.0)</f>
        <v>1827</v>
      </c>
      <c r="K1828" s="20" t="b">
        <f>IFERROR(__xludf.DUMMYFUNCTION("""COMPUTED_VALUE"""),FALSE)</f>
        <v>0</v>
      </c>
      <c r="L1828" s="20" t="str">
        <f>IFERROR(__xludf.DUMMYFUNCTION("""COMPUTED_VALUE"""),"Array;Greedy;")</f>
        <v>Array;Greedy;</v>
      </c>
      <c r="M1828" s="20" t="b">
        <f>IFERROR(__xludf.DUMMYFUNCTION("""COMPUTED_VALUE"""),FALSE)</f>
        <v>0</v>
      </c>
      <c r="N1828" s="20" t="b">
        <f>IFERROR(__xludf.DUMMYFUNCTION("""COMPUTED_VALUE"""),FALSE)</f>
        <v>0</v>
      </c>
      <c r="O1828" s="20">
        <f>IFERROR(__xludf.DUMMYFUNCTION("""COMPUTED_VALUE"""),78.3557752998106)</f>
        <v>78.3557753</v>
      </c>
      <c r="P1828" s="20">
        <f>IFERROR(__xludf.DUMMYFUNCTION("""COMPUTED_VALUE"""),59587.0)</f>
        <v>59587</v>
      </c>
      <c r="Q1828" s="20">
        <f>IFERROR(__xludf.DUMMYFUNCTION("""COMPUTED_VALUE"""),76047.0)</f>
        <v>76047</v>
      </c>
    </row>
    <row r="1829">
      <c r="A1829" s="20">
        <f>IFERROR(__xludf.DUMMYFUNCTION("""COMPUTED_VALUE"""),1939.0)</f>
        <v>1939</v>
      </c>
      <c r="B1829" s="20" t="str">
        <f>IFERROR(__xludf.DUMMYFUNCTION("""COMPUTED_VALUE"""),"Queries on Number of Points Inside a Circle")</f>
        <v>Queries on Number of Points Inside a Circle</v>
      </c>
      <c r="C1829" s="20" t="str">
        <f>IFERROR(__xludf.DUMMYFUNCTION("""COMPUTED_VALUE"""),"queries-on-number-of-points-inside-a-circle")</f>
        <v>queries-on-number-of-points-inside-a-circle</v>
      </c>
      <c r="D1829" s="20" t="b">
        <f>IFERROR(__xludf.DUMMYFUNCTION("""COMPUTED_VALUE"""),FALSE)</f>
        <v>0</v>
      </c>
      <c r="E1829" s="20" t="str">
        <f>IFERROR(__xludf.DUMMYFUNCTION("""COMPUTED_VALUE"""),"Medium")</f>
        <v>Medium</v>
      </c>
      <c r="F1829" s="20">
        <f>IFERROR(__xludf.DUMMYFUNCTION("""COMPUTED_VALUE"""),853.0)</f>
        <v>853</v>
      </c>
      <c r="G1829" s="20">
        <f>IFERROR(__xludf.DUMMYFUNCTION("""COMPUTED_VALUE"""),68.0)</f>
        <v>68</v>
      </c>
      <c r="H1829" s="20" t="str">
        <f>IFERROR(__xludf.DUMMYFUNCTION("""COMPUTED_VALUE"""),"Algorithms")</f>
        <v>Algorithms</v>
      </c>
      <c r="I1829" s="20">
        <f>IFERROR(__xludf.DUMMYFUNCTION("""COMPUTED_VALUE"""),0.863)</f>
        <v>0.863</v>
      </c>
      <c r="J1829" s="20">
        <f>IFERROR(__xludf.DUMMYFUNCTION("""COMPUTED_VALUE"""),1828.0)</f>
        <v>1828</v>
      </c>
      <c r="K1829" s="20" t="b">
        <f>IFERROR(__xludf.DUMMYFUNCTION("""COMPUTED_VALUE"""),FALSE)</f>
        <v>0</v>
      </c>
      <c r="L1829" s="20" t="str">
        <f>IFERROR(__xludf.DUMMYFUNCTION("""COMPUTED_VALUE"""),"Array;Math;Geometry;")</f>
        <v>Array;Math;Geometry;</v>
      </c>
      <c r="M1829" s="20" t="b">
        <f>IFERROR(__xludf.DUMMYFUNCTION("""COMPUTED_VALUE"""),FALSE)</f>
        <v>0</v>
      </c>
      <c r="N1829" s="20" t="b">
        <f>IFERROR(__xludf.DUMMYFUNCTION("""COMPUTED_VALUE"""),FALSE)</f>
        <v>0</v>
      </c>
      <c r="O1829" s="20">
        <f>IFERROR(__xludf.DUMMYFUNCTION("""COMPUTED_VALUE"""),86.3211242385969)</f>
        <v>86.32112424</v>
      </c>
      <c r="P1829" s="20">
        <f>IFERROR(__xludf.DUMMYFUNCTION("""COMPUTED_VALUE"""),53991.0)</f>
        <v>53991</v>
      </c>
      <c r="Q1829" s="20">
        <f>IFERROR(__xludf.DUMMYFUNCTION("""COMPUTED_VALUE"""),62546.0)</f>
        <v>62546</v>
      </c>
    </row>
    <row r="1830">
      <c r="A1830" s="20">
        <f>IFERROR(__xludf.DUMMYFUNCTION("""COMPUTED_VALUE"""),1940.0)</f>
        <v>1940</v>
      </c>
      <c r="B1830" s="20" t="str">
        <f>IFERROR(__xludf.DUMMYFUNCTION("""COMPUTED_VALUE"""),"Maximum XOR for Each Query")</f>
        <v>Maximum XOR for Each Query</v>
      </c>
      <c r="C1830" s="20" t="str">
        <f>IFERROR(__xludf.DUMMYFUNCTION("""COMPUTED_VALUE"""),"maximum-xor-for-each-query")</f>
        <v>maximum-xor-for-each-query</v>
      </c>
      <c r="D1830" s="20" t="b">
        <f>IFERROR(__xludf.DUMMYFUNCTION("""COMPUTED_VALUE"""),FALSE)</f>
        <v>0</v>
      </c>
      <c r="E1830" s="20" t="str">
        <f>IFERROR(__xludf.DUMMYFUNCTION("""COMPUTED_VALUE"""),"Medium")</f>
        <v>Medium</v>
      </c>
      <c r="F1830" s="20">
        <f>IFERROR(__xludf.DUMMYFUNCTION("""COMPUTED_VALUE"""),567.0)</f>
        <v>567</v>
      </c>
      <c r="G1830" s="20">
        <f>IFERROR(__xludf.DUMMYFUNCTION("""COMPUTED_VALUE"""),46.0)</f>
        <v>46</v>
      </c>
      <c r="H1830" s="20" t="str">
        <f>IFERROR(__xludf.DUMMYFUNCTION("""COMPUTED_VALUE"""),"Algorithms")</f>
        <v>Algorithms</v>
      </c>
      <c r="I1830" s="20">
        <f>IFERROR(__xludf.DUMMYFUNCTION("""COMPUTED_VALUE"""),0.768)</f>
        <v>0.768</v>
      </c>
      <c r="J1830" s="20">
        <f>IFERROR(__xludf.DUMMYFUNCTION("""COMPUTED_VALUE"""),1829.0)</f>
        <v>1829</v>
      </c>
      <c r="K1830" s="20" t="b">
        <f>IFERROR(__xludf.DUMMYFUNCTION("""COMPUTED_VALUE"""),FALSE)</f>
        <v>0</v>
      </c>
      <c r="L1830" s="20" t="str">
        <f>IFERROR(__xludf.DUMMYFUNCTION("""COMPUTED_VALUE"""),"Array;Bit Manipulation;Prefix Sum;")</f>
        <v>Array;Bit Manipulation;Prefix Sum;</v>
      </c>
      <c r="M1830" s="20" t="b">
        <f>IFERROR(__xludf.DUMMYFUNCTION("""COMPUTED_VALUE"""),FALSE)</f>
        <v>0</v>
      </c>
      <c r="N1830" s="20" t="b">
        <f>IFERROR(__xludf.DUMMYFUNCTION("""COMPUTED_VALUE"""),FALSE)</f>
        <v>0</v>
      </c>
      <c r="O1830" s="20">
        <f>IFERROR(__xludf.DUMMYFUNCTION("""COMPUTED_VALUE"""),76.8202135126149)</f>
        <v>76.82021351</v>
      </c>
      <c r="P1830" s="20">
        <f>IFERROR(__xludf.DUMMYFUNCTION("""COMPUTED_VALUE"""),20796.0)</f>
        <v>20796</v>
      </c>
      <c r="Q1830" s="20">
        <f>IFERROR(__xludf.DUMMYFUNCTION("""COMPUTED_VALUE"""),27071.0)</f>
        <v>27071</v>
      </c>
    </row>
    <row r="1831">
      <c r="A1831" s="20">
        <f>IFERROR(__xludf.DUMMYFUNCTION("""COMPUTED_VALUE"""),1941.0)</f>
        <v>1941</v>
      </c>
      <c r="B1831" s="20" t="str">
        <f>IFERROR(__xludf.DUMMYFUNCTION("""COMPUTED_VALUE"""),"Minimum Number of Operations to Make String Sorted")</f>
        <v>Minimum Number of Operations to Make String Sorted</v>
      </c>
      <c r="C1831" s="20" t="str">
        <f>IFERROR(__xludf.DUMMYFUNCTION("""COMPUTED_VALUE"""),"minimum-number-of-operations-to-make-string-sorted")</f>
        <v>minimum-number-of-operations-to-make-string-sorted</v>
      </c>
      <c r="D1831" s="20" t="b">
        <f>IFERROR(__xludf.DUMMYFUNCTION("""COMPUTED_VALUE"""),FALSE)</f>
        <v>0</v>
      </c>
      <c r="E1831" s="20" t="str">
        <f>IFERROR(__xludf.DUMMYFUNCTION("""COMPUTED_VALUE"""),"Hard")</f>
        <v>Hard</v>
      </c>
      <c r="F1831" s="20">
        <f>IFERROR(__xludf.DUMMYFUNCTION("""COMPUTED_VALUE"""),152.0)</f>
        <v>152</v>
      </c>
      <c r="G1831" s="20">
        <f>IFERROR(__xludf.DUMMYFUNCTION("""COMPUTED_VALUE"""),109.0)</f>
        <v>109</v>
      </c>
      <c r="H1831" s="20" t="str">
        <f>IFERROR(__xludf.DUMMYFUNCTION("""COMPUTED_VALUE"""),"Algorithms")</f>
        <v>Algorithms</v>
      </c>
      <c r="I1831" s="20">
        <f>IFERROR(__xludf.DUMMYFUNCTION("""COMPUTED_VALUE"""),0.494)</f>
        <v>0.494</v>
      </c>
      <c r="J1831" s="20">
        <f>IFERROR(__xludf.DUMMYFUNCTION("""COMPUTED_VALUE"""),1830.0)</f>
        <v>1830</v>
      </c>
      <c r="K1831" s="20" t="b">
        <f>IFERROR(__xludf.DUMMYFUNCTION("""COMPUTED_VALUE"""),FALSE)</f>
        <v>0</v>
      </c>
      <c r="L1831" s="20" t="str">
        <f>IFERROR(__xludf.DUMMYFUNCTION("""COMPUTED_VALUE"""),"Math;String;Combinatorics;")</f>
        <v>Math;String;Combinatorics;</v>
      </c>
      <c r="M1831" s="20" t="b">
        <f>IFERROR(__xludf.DUMMYFUNCTION("""COMPUTED_VALUE"""),FALSE)</f>
        <v>0</v>
      </c>
      <c r="N1831" s="20" t="b">
        <f>IFERROR(__xludf.DUMMYFUNCTION("""COMPUTED_VALUE"""),FALSE)</f>
        <v>0</v>
      </c>
      <c r="O1831" s="20">
        <f>IFERROR(__xludf.DUMMYFUNCTION("""COMPUTED_VALUE"""),49.3555593744629)</f>
        <v>49.35555937</v>
      </c>
      <c r="P1831" s="20">
        <f>IFERROR(__xludf.DUMMYFUNCTION("""COMPUTED_VALUE"""),2872.0)</f>
        <v>2872</v>
      </c>
      <c r="Q1831" s="20">
        <f>IFERROR(__xludf.DUMMYFUNCTION("""COMPUTED_VALUE"""),5819.0)</f>
        <v>5819</v>
      </c>
    </row>
    <row r="1832">
      <c r="A1832" s="20">
        <f>IFERROR(__xludf.DUMMYFUNCTION("""COMPUTED_VALUE"""),1981.0)</f>
        <v>1981</v>
      </c>
      <c r="B1832" s="20" t="str">
        <f>IFERROR(__xludf.DUMMYFUNCTION("""COMPUTED_VALUE"""),"Maximum Transaction Each Day")</f>
        <v>Maximum Transaction Each Day</v>
      </c>
      <c r="C1832" s="20" t="str">
        <f>IFERROR(__xludf.DUMMYFUNCTION("""COMPUTED_VALUE"""),"maximum-transaction-each-day")</f>
        <v>maximum-transaction-each-day</v>
      </c>
      <c r="D1832" s="20" t="b">
        <f>IFERROR(__xludf.DUMMYFUNCTION("""COMPUTED_VALUE"""),TRUE)</f>
        <v>1</v>
      </c>
      <c r="E1832" s="20" t="str">
        <f>IFERROR(__xludf.DUMMYFUNCTION("""COMPUTED_VALUE"""),"Medium")</f>
        <v>Medium</v>
      </c>
      <c r="F1832" s="20">
        <f>IFERROR(__xludf.DUMMYFUNCTION("""COMPUTED_VALUE"""),57.0)</f>
        <v>57</v>
      </c>
      <c r="G1832" s="20">
        <f>IFERROR(__xludf.DUMMYFUNCTION("""COMPUTED_VALUE"""),1.0)</f>
        <v>1</v>
      </c>
      <c r="H1832" s="20" t="str">
        <f>IFERROR(__xludf.DUMMYFUNCTION("""COMPUTED_VALUE"""),"Database")</f>
        <v>Database</v>
      </c>
      <c r="I1832" s="20">
        <f>IFERROR(__xludf.DUMMYFUNCTION("""COMPUTED_VALUE"""),0.844)</f>
        <v>0.844</v>
      </c>
      <c r="J1832" s="20">
        <f>IFERROR(__xludf.DUMMYFUNCTION("""COMPUTED_VALUE"""),1831.0)</f>
        <v>1831</v>
      </c>
      <c r="K1832" s="20" t="b">
        <f>IFERROR(__xludf.DUMMYFUNCTION("""COMPUTED_VALUE"""),TRUE)</f>
        <v>1</v>
      </c>
      <c r="L1832" s="20" t="str">
        <f>IFERROR(__xludf.DUMMYFUNCTION("""COMPUTED_VALUE"""),"Database;")</f>
        <v>Database;</v>
      </c>
      <c r="M1832" s="20" t="b">
        <f>IFERROR(__xludf.DUMMYFUNCTION("""COMPUTED_VALUE"""),FALSE)</f>
        <v>0</v>
      </c>
      <c r="N1832" s="20" t="b">
        <f>IFERROR(__xludf.DUMMYFUNCTION("""COMPUTED_VALUE"""),FALSE)</f>
        <v>0</v>
      </c>
      <c r="O1832" s="20">
        <f>IFERROR(__xludf.DUMMYFUNCTION("""COMPUTED_VALUE"""),84.3609906665686)</f>
        <v>84.36099067</v>
      </c>
      <c r="P1832" s="20">
        <f>IFERROR(__xludf.DUMMYFUNCTION("""COMPUTED_VALUE"""),11479.0)</f>
        <v>11479</v>
      </c>
      <c r="Q1832" s="20">
        <f>IFERROR(__xludf.DUMMYFUNCTION("""COMPUTED_VALUE"""),13607.0)</f>
        <v>13607</v>
      </c>
    </row>
    <row r="1833">
      <c r="A1833" s="20">
        <f>IFERROR(__xludf.DUMMYFUNCTION("""COMPUTED_VALUE"""),1960.0)</f>
        <v>1960</v>
      </c>
      <c r="B1833" s="20" t="str">
        <f>IFERROR(__xludf.DUMMYFUNCTION("""COMPUTED_VALUE"""),"Check if the Sentence Is Pangram")</f>
        <v>Check if the Sentence Is Pangram</v>
      </c>
      <c r="C1833" s="20" t="str">
        <f>IFERROR(__xludf.DUMMYFUNCTION("""COMPUTED_VALUE"""),"check-if-the-sentence-is-pangram")</f>
        <v>check-if-the-sentence-is-pangram</v>
      </c>
      <c r="D1833" s="20" t="b">
        <f>IFERROR(__xludf.DUMMYFUNCTION("""COMPUTED_VALUE"""),FALSE)</f>
        <v>0</v>
      </c>
      <c r="E1833" s="20" t="str">
        <f>IFERROR(__xludf.DUMMYFUNCTION("""COMPUTED_VALUE"""),"Easy")</f>
        <v>Easy</v>
      </c>
      <c r="F1833" s="20">
        <f>IFERROR(__xludf.DUMMYFUNCTION("""COMPUTED_VALUE"""),2076.0)</f>
        <v>2076</v>
      </c>
      <c r="G1833" s="20">
        <f>IFERROR(__xludf.DUMMYFUNCTION("""COMPUTED_VALUE"""),47.0)</f>
        <v>47</v>
      </c>
      <c r="H1833" s="20" t="str">
        <f>IFERROR(__xludf.DUMMYFUNCTION("""COMPUTED_VALUE"""),"Algorithms")</f>
        <v>Algorithms</v>
      </c>
      <c r="I1833" s="20">
        <f>IFERROR(__xludf.DUMMYFUNCTION("""COMPUTED_VALUE"""),0.838)</f>
        <v>0.838</v>
      </c>
      <c r="J1833" s="20">
        <f>IFERROR(__xludf.DUMMYFUNCTION("""COMPUTED_VALUE"""),1832.0)</f>
        <v>1832</v>
      </c>
      <c r="K1833" s="20" t="b">
        <f>IFERROR(__xludf.DUMMYFUNCTION("""COMPUTED_VALUE"""),FALSE)</f>
        <v>0</v>
      </c>
      <c r="L1833" s="20" t="str">
        <f>IFERROR(__xludf.DUMMYFUNCTION("""COMPUTED_VALUE"""),"Hash Table;String;")</f>
        <v>Hash Table;String;</v>
      </c>
      <c r="M1833" s="20" t="b">
        <f>IFERROR(__xludf.DUMMYFUNCTION("""COMPUTED_VALUE"""),TRUE)</f>
        <v>1</v>
      </c>
      <c r="N1833" s="20" t="b">
        <f>IFERROR(__xludf.DUMMYFUNCTION("""COMPUTED_VALUE"""),FALSE)</f>
        <v>0</v>
      </c>
      <c r="O1833" s="20">
        <f>IFERROR(__xludf.DUMMYFUNCTION("""COMPUTED_VALUE"""),83.7527523086529)</f>
        <v>83.75275231</v>
      </c>
      <c r="P1833" s="20">
        <f>IFERROR(__xludf.DUMMYFUNCTION("""COMPUTED_VALUE"""),203877.0)</f>
        <v>203877</v>
      </c>
      <c r="Q1833" s="20">
        <f>IFERROR(__xludf.DUMMYFUNCTION("""COMPUTED_VALUE"""),243428.0)</f>
        <v>243428</v>
      </c>
    </row>
    <row r="1834">
      <c r="A1834" s="20">
        <f>IFERROR(__xludf.DUMMYFUNCTION("""COMPUTED_VALUE"""),1961.0)</f>
        <v>1961</v>
      </c>
      <c r="B1834" s="20" t="str">
        <f>IFERROR(__xludf.DUMMYFUNCTION("""COMPUTED_VALUE"""),"Maximum Ice Cream Bars")</f>
        <v>Maximum Ice Cream Bars</v>
      </c>
      <c r="C1834" s="20" t="str">
        <f>IFERROR(__xludf.DUMMYFUNCTION("""COMPUTED_VALUE"""),"maximum-ice-cream-bars")</f>
        <v>maximum-ice-cream-bars</v>
      </c>
      <c r="D1834" s="20" t="b">
        <f>IFERROR(__xludf.DUMMYFUNCTION("""COMPUTED_VALUE"""),FALSE)</f>
        <v>0</v>
      </c>
      <c r="E1834" s="20" t="str">
        <f>IFERROR(__xludf.DUMMYFUNCTION("""COMPUTED_VALUE"""),"Medium")</f>
        <v>Medium</v>
      </c>
      <c r="F1834" s="20">
        <f>IFERROR(__xludf.DUMMYFUNCTION("""COMPUTED_VALUE"""),450.0)</f>
        <v>450</v>
      </c>
      <c r="G1834" s="20">
        <f>IFERROR(__xludf.DUMMYFUNCTION("""COMPUTED_VALUE"""),182.0)</f>
        <v>182</v>
      </c>
      <c r="H1834" s="20" t="str">
        <f>IFERROR(__xludf.DUMMYFUNCTION("""COMPUTED_VALUE"""),"Algorithms")</f>
        <v>Algorithms</v>
      </c>
      <c r="I1834" s="20">
        <f>IFERROR(__xludf.DUMMYFUNCTION("""COMPUTED_VALUE"""),0.657)</f>
        <v>0.657</v>
      </c>
      <c r="J1834" s="20">
        <f>IFERROR(__xludf.DUMMYFUNCTION("""COMPUTED_VALUE"""),1833.0)</f>
        <v>1833</v>
      </c>
      <c r="K1834" s="20" t="b">
        <f>IFERROR(__xludf.DUMMYFUNCTION("""COMPUTED_VALUE"""),FALSE)</f>
        <v>0</v>
      </c>
      <c r="L1834" s="20" t="str">
        <f>IFERROR(__xludf.DUMMYFUNCTION("""COMPUTED_VALUE"""),"Array;Greedy;Sorting;")</f>
        <v>Array;Greedy;Sorting;</v>
      </c>
      <c r="M1834" s="20" t="b">
        <f>IFERROR(__xludf.DUMMYFUNCTION("""COMPUTED_VALUE"""),TRUE)</f>
        <v>1</v>
      </c>
      <c r="N1834" s="20" t="b">
        <f>IFERROR(__xludf.DUMMYFUNCTION("""COMPUTED_VALUE"""),FALSE)</f>
        <v>0</v>
      </c>
      <c r="O1834" s="20">
        <f>IFERROR(__xludf.DUMMYFUNCTION("""COMPUTED_VALUE"""),65.7222112145829)</f>
        <v>65.72221121</v>
      </c>
      <c r="P1834" s="20">
        <f>IFERROR(__xludf.DUMMYFUNCTION("""COMPUTED_VALUE"""),39802.0)</f>
        <v>39802</v>
      </c>
      <c r="Q1834" s="20">
        <f>IFERROR(__xludf.DUMMYFUNCTION("""COMPUTED_VALUE"""),60562.0)</f>
        <v>60562</v>
      </c>
    </row>
    <row r="1835">
      <c r="A1835" s="20">
        <f>IFERROR(__xludf.DUMMYFUNCTION("""COMPUTED_VALUE"""),1962.0)</f>
        <v>1962</v>
      </c>
      <c r="B1835" s="20" t="str">
        <f>IFERROR(__xludf.DUMMYFUNCTION("""COMPUTED_VALUE"""),"Single-Threaded CPU")</f>
        <v>Single-Threaded CPU</v>
      </c>
      <c r="C1835" s="20" t="str">
        <f>IFERROR(__xludf.DUMMYFUNCTION("""COMPUTED_VALUE"""),"single-threaded-cpu")</f>
        <v>single-threaded-cpu</v>
      </c>
      <c r="D1835" s="20" t="b">
        <f>IFERROR(__xludf.DUMMYFUNCTION("""COMPUTED_VALUE"""),FALSE)</f>
        <v>0</v>
      </c>
      <c r="E1835" s="20" t="str">
        <f>IFERROR(__xludf.DUMMYFUNCTION("""COMPUTED_VALUE"""),"Medium")</f>
        <v>Medium</v>
      </c>
      <c r="F1835" s="20">
        <f>IFERROR(__xludf.DUMMYFUNCTION("""COMPUTED_VALUE"""),2608.0)</f>
        <v>2608</v>
      </c>
      <c r="G1835" s="20">
        <f>IFERROR(__xludf.DUMMYFUNCTION("""COMPUTED_VALUE"""),223.0)</f>
        <v>223</v>
      </c>
      <c r="H1835" s="20" t="str">
        <f>IFERROR(__xludf.DUMMYFUNCTION("""COMPUTED_VALUE"""),"Algorithms")</f>
        <v>Algorithms</v>
      </c>
      <c r="I1835" s="20">
        <f>IFERROR(__xludf.DUMMYFUNCTION("""COMPUTED_VALUE"""),0.459)</f>
        <v>0.459</v>
      </c>
      <c r="J1835" s="20">
        <f>IFERROR(__xludf.DUMMYFUNCTION("""COMPUTED_VALUE"""),1834.0)</f>
        <v>1834</v>
      </c>
      <c r="K1835" s="20" t="b">
        <f>IFERROR(__xludf.DUMMYFUNCTION("""COMPUTED_VALUE"""),FALSE)</f>
        <v>0</v>
      </c>
      <c r="L1835" s="20" t="str">
        <f>IFERROR(__xludf.DUMMYFUNCTION("""COMPUTED_VALUE"""),"Array;Sorting;Heap (Priority Queue);")</f>
        <v>Array;Sorting;Heap (Priority Queue);</v>
      </c>
      <c r="M1835" s="20" t="b">
        <f>IFERROR(__xludf.DUMMYFUNCTION("""COMPUTED_VALUE"""),TRUE)</f>
        <v>1</v>
      </c>
      <c r="N1835" s="20" t="b">
        <f>IFERROR(__xludf.DUMMYFUNCTION("""COMPUTED_VALUE"""),FALSE)</f>
        <v>0</v>
      </c>
      <c r="O1835" s="20">
        <f>IFERROR(__xludf.DUMMYFUNCTION("""COMPUTED_VALUE"""),45.9356088653331)</f>
        <v>45.93560887</v>
      </c>
      <c r="P1835" s="20">
        <f>IFERROR(__xludf.DUMMYFUNCTION("""COMPUTED_VALUE"""),82503.0)</f>
        <v>82503</v>
      </c>
      <c r="Q1835" s="20">
        <f>IFERROR(__xludf.DUMMYFUNCTION("""COMPUTED_VALUE"""),179595.0)</f>
        <v>179595</v>
      </c>
    </row>
    <row r="1836">
      <c r="A1836" s="20">
        <f>IFERROR(__xludf.DUMMYFUNCTION("""COMPUTED_VALUE"""),1963.0)</f>
        <v>1963</v>
      </c>
      <c r="B1836" s="20" t="str">
        <f>IFERROR(__xludf.DUMMYFUNCTION("""COMPUTED_VALUE"""),"Find XOR Sum of All Pairs Bitwise AND")</f>
        <v>Find XOR Sum of All Pairs Bitwise AND</v>
      </c>
      <c r="C1836" s="20" t="str">
        <f>IFERROR(__xludf.DUMMYFUNCTION("""COMPUTED_VALUE"""),"find-xor-sum-of-all-pairs-bitwise-and")</f>
        <v>find-xor-sum-of-all-pairs-bitwise-and</v>
      </c>
      <c r="D1836" s="20" t="b">
        <f>IFERROR(__xludf.DUMMYFUNCTION("""COMPUTED_VALUE"""),FALSE)</f>
        <v>0</v>
      </c>
      <c r="E1836" s="20" t="str">
        <f>IFERROR(__xludf.DUMMYFUNCTION("""COMPUTED_VALUE"""),"Hard")</f>
        <v>Hard</v>
      </c>
      <c r="F1836" s="20">
        <f>IFERROR(__xludf.DUMMYFUNCTION("""COMPUTED_VALUE"""),456.0)</f>
        <v>456</v>
      </c>
      <c r="G1836" s="20">
        <f>IFERROR(__xludf.DUMMYFUNCTION("""COMPUTED_VALUE"""),38.0)</f>
        <v>38</v>
      </c>
      <c r="H1836" s="20" t="str">
        <f>IFERROR(__xludf.DUMMYFUNCTION("""COMPUTED_VALUE"""),"Algorithms")</f>
        <v>Algorithms</v>
      </c>
      <c r="I1836" s="20">
        <f>IFERROR(__xludf.DUMMYFUNCTION("""COMPUTED_VALUE"""),0.604)</f>
        <v>0.604</v>
      </c>
      <c r="J1836" s="20">
        <f>IFERROR(__xludf.DUMMYFUNCTION("""COMPUTED_VALUE"""),1835.0)</f>
        <v>1835</v>
      </c>
      <c r="K1836" s="20" t="b">
        <f>IFERROR(__xludf.DUMMYFUNCTION("""COMPUTED_VALUE"""),FALSE)</f>
        <v>0</v>
      </c>
      <c r="L1836" s="20" t="str">
        <f>IFERROR(__xludf.DUMMYFUNCTION("""COMPUTED_VALUE"""),"Array;Math;Bit Manipulation;")</f>
        <v>Array;Math;Bit Manipulation;</v>
      </c>
      <c r="M1836" s="20" t="b">
        <f>IFERROR(__xludf.DUMMYFUNCTION("""COMPUTED_VALUE"""),FALSE)</f>
        <v>0</v>
      </c>
      <c r="N1836" s="20" t="b">
        <f>IFERROR(__xludf.DUMMYFUNCTION("""COMPUTED_VALUE"""),FALSE)</f>
        <v>0</v>
      </c>
      <c r="O1836" s="20">
        <f>IFERROR(__xludf.DUMMYFUNCTION("""COMPUTED_VALUE"""),60.363959165557)</f>
        <v>60.36395917</v>
      </c>
      <c r="P1836" s="20">
        <f>IFERROR(__xludf.DUMMYFUNCTION("""COMPUTED_VALUE"""),13599.0)</f>
        <v>13599</v>
      </c>
      <c r="Q1836" s="20">
        <f>IFERROR(__xludf.DUMMYFUNCTION("""COMPUTED_VALUE"""),22528.0)</f>
        <v>22528</v>
      </c>
    </row>
    <row r="1837">
      <c r="A1837" s="20">
        <f>IFERROR(__xludf.DUMMYFUNCTION("""COMPUTED_VALUE"""),1982.0)</f>
        <v>1982</v>
      </c>
      <c r="B1837" s="20" t="str">
        <f>IFERROR(__xludf.DUMMYFUNCTION("""COMPUTED_VALUE"""),"Remove Duplicates From an Unsorted Linked List")</f>
        <v>Remove Duplicates From an Unsorted Linked List</v>
      </c>
      <c r="C1837" s="20" t="str">
        <f>IFERROR(__xludf.DUMMYFUNCTION("""COMPUTED_VALUE"""),"remove-duplicates-from-an-unsorted-linked-list")</f>
        <v>remove-duplicates-from-an-unsorted-linked-list</v>
      </c>
      <c r="D1837" s="20" t="b">
        <f>IFERROR(__xludf.DUMMYFUNCTION("""COMPUTED_VALUE"""),TRUE)</f>
        <v>1</v>
      </c>
      <c r="E1837" s="20" t="str">
        <f>IFERROR(__xludf.DUMMYFUNCTION("""COMPUTED_VALUE"""),"Medium")</f>
        <v>Medium</v>
      </c>
      <c r="F1837" s="20">
        <f>IFERROR(__xludf.DUMMYFUNCTION("""COMPUTED_VALUE"""),306.0)</f>
        <v>306</v>
      </c>
      <c r="G1837" s="20">
        <f>IFERROR(__xludf.DUMMYFUNCTION("""COMPUTED_VALUE"""),10.0)</f>
        <v>10</v>
      </c>
      <c r="H1837" s="20" t="str">
        <f>IFERROR(__xludf.DUMMYFUNCTION("""COMPUTED_VALUE"""),"Algorithms")</f>
        <v>Algorithms</v>
      </c>
      <c r="I1837" s="20">
        <f>IFERROR(__xludf.DUMMYFUNCTION("""COMPUTED_VALUE"""),0.699)</f>
        <v>0.699</v>
      </c>
      <c r="J1837" s="20">
        <f>IFERROR(__xludf.DUMMYFUNCTION("""COMPUTED_VALUE"""),1836.0)</f>
        <v>1836</v>
      </c>
      <c r="K1837" s="20" t="b">
        <f>IFERROR(__xludf.DUMMYFUNCTION("""COMPUTED_VALUE"""),TRUE)</f>
        <v>1</v>
      </c>
      <c r="L1837" s="20" t="str">
        <f>IFERROR(__xludf.DUMMYFUNCTION("""COMPUTED_VALUE"""),"Hash Table;Linked List;")</f>
        <v>Hash Table;Linked List;</v>
      </c>
      <c r="M1837" s="20" t="b">
        <f>IFERROR(__xludf.DUMMYFUNCTION("""COMPUTED_VALUE"""),FALSE)</f>
        <v>0</v>
      </c>
      <c r="N1837" s="20" t="b">
        <f>IFERROR(__xludf.DUMMYFUNCTION("""COMPUTED_VALUE"""),FALSE)</f>
        <v>0</v>
      </c>
      <c r="O1837" s="20">
        <f>IFERROR(__xludf.DUMMYFUNCTION("""COMPUTED_VALUE"""),69.8547215496368)</f>
        <v>69.85472155</v>
      </c>
      <c r="P1837" s="20">
        <f>IFERROR(__xludf.DUMMYFUNCTION("""COMPUTED_VALUE"""),21349.0)</f>
        <v>21349</v>
      </c>
      <c r="Q1837" s="20">
        <f>IFERROR(__xludf.DUMMYFUNCTION("""COMPUTED_VALUE"""),30562.0)</f>
        <v>30562</v>
      </c>
    </row>
    <row r="1838">
      <c r="A1838" s="20">
        <f>IFERROR(__xludf.DUMMYFUNCTION("""COMPUTED_VALUE"""),1965.0)</f>
        <v>1965</v>
      </c>
      <c r="B1838" s="20" t="str">
        <f>IFERROR(__xludf.DUMMYFUNCTION("""COMPUTED_VALUE"""),"Sum of Digits in Base K")</f>
        <v>Sum of Digits in Base K</v>
      </c>
      <c r="C1838" s="20" t="str">
        <f>IFERROR(__xludf.DUMMYFUNCTION("""COMPUTED_VALUE"""),"sum-of-digits-in-base-k")</f>
        <v>sum-of-digits-in-base-k</v>
      </c>
      <c r="D1838" s="20" t="b">
        <f>IFERROR(__xludf.DUMMYFUNCTION("""COMPUTED_VALUE"""),FALSE)</f>
        <v>0</v>
      </c>
      <c r="E1838" s="20" t="str">
        <f>IFERROR(__xludf.DUMMYFUNCTION("""COMPUTED_VALUE"""),"Easy")</f>
        <v>Easy</v>
      </c>
      <c r="F1838" s="20">
        <f>IFERROR(__xludf.DUMMYFUNCTION("""COMPUTED_VALUE"""),381.0)</f>
        <v>381</v>
      </c>
      <c r="G1838" s="20">
        <f>IFERROR(__xludf.DUMMYFUNCTION("""COMPUTED_VALUE"""),31.0)</f>
        <v>31</v>
      </c>
      <c r="H1838" s="20" t="str">
        <f>IFERROR(__xludf.DUMMYFUNCTION("""COMPUTED_VALUE"""),"Algorithms")</f>
        <v>Algorithms</v>
      </c>
      <c r="I1838" s="20">
        <f>IFERROR(__xludf.DUMMYFUNCTION("""COMPUTED_VALUE"""),0.769)</f>
        <v>0.769</v>
      </c>
      <c r="J1838" s="20">
        <f>IFERROR(__xludf.DUMMYFUNCTION("""COMPUTED_VALUE"""),1837.0)</f>
        <v>1837</v>
      </c>
      <c r="K1838" s="20" t="b">
        <f>IFERROR(__xludf.DUMMYFUNCTION("""COMPUTED_VALUE"""),FALSE)</f>
        <v>0</v>
      </c>
      <c r="L1838" s="20" t="str">
        <f>IFERROR(__xludf.DUMMYFUNCTION("""COMPUTED_VALUE"""),"Math;")</f>
        <v>Math;</v>
      </c>
      <c r="M1838" s="20" t="b">
        <f>IFERROR(__xludf.DUMMYFUNCTION("""COMPUTED_VALUE"""),FALSE)</f>
        <v>0</v>
      </c>
      <c r="N1838" s="20" t="b">
        <f>IFERROR(__xludf.DUMMYFUNCTION("""COMPUTED_VALUE"""),FALSE)</f>
        <v>0</v>
      </c>
      <c r="O1838" s="20">
        <f>IFERROR(__xludf.DUMMYFUNCTION("""COMPUTED_VALUE"""),76.9012997040277)</f>
        <v>76.9012997</v>
      </c>
      <c r="P1838" s="20">
        <f>IFERROR(__xludf.DUMMYFUNCTION("""COMPUTED_VALUE"""),35856.0)</f>
        <v>35856</v>
      </c>
      <c r="Q1838" s="20">
        <f>IFERROR(__xludf.DUMMYFUNCTION("""COMPUTED_VALUE"""),46626.0)</f>
        <v>46626</v>
      </c>
    </row>
    <row r="1839">
      <c r="A1839" s="20">
        <f>IFERROR(__xludf.DUMMYFUNCTION("""COMPUTED_VALUE"""),1966.0)</f>
        <v>1966</v>
      </c>
      <c r="B1839" s="20" t="str">
        <f>IFERROR(__xludf.DUMMYFUNCTION("""COMPUTED_VALUE"""),"Frequency of the Most Frequent Element")</f>
        <v>Frequency of the Most Frequent Element</v>
      </c>
      <c r="C1839" s="20" t="str">
        <f>IFERROR(__xludf.DUMMYFUNCTION("""COMPUTED_VALUE"""),"frequency-of-the-most-frequent-element")</f>
        <v>frequency-of-the-most-frequent-element</v>
      </c>
      <c r="D1839" s="20" t="b">
        <f>IFERROR(__xludf.DUMMYFUNCTION("""COMPUTED_VALUE"""),FALSE)</f>
        <v>0</v>
      </c>
      <c r="E1839" s="20" t="str">
        <f>IFERROR(__xludf.DUMMYFUNCTION("""COMPUTED_VALUE"""),"Medium")</f>
        <v>Medium</v>
      </c>
      <c r="F1839" s="20">
        <f>IFERROR(__xludf.DUMMYFUNCTION("""COMPUTED_VALUE"""),1997.0)</f>
        <v>1997</v>
      </c>
      <c r="G1839" s="20">
        <f>IFERROR(__xludf.DUMMYFUNCTION("""COMPUTED_VALUE"""),52.0)</f>
        <v>52</v>
      </c>
      <c r="H1839" s="20" t="str">
        <f>IFERROR(__xludf.DUMMYFUNCTION("""COMPUTED_VALUE"""),"Algorithms")</f>
        <v>Algorithms</v>
      </c>
      <c r="I1839" s="20">
        <f>IFERROR(__xludf.DUMMYFUNCTION("""COMPUTED_VALUE"""),0.388)</f>
        <v>0.388</v>
      </c>
      <c r="J1839" s="20">
        <f>IFERROR(__xludf.DUMMYFUNCTION("""COMPUTED_VALUE"""),1838.0)</f>
        <v>1838</v>
      </c>
      <c r="K1839" s="20" t="b">
        <f>IFERROR(__xludf.DUMMYFUNCTION("""COMPUTED_VALUE"""),FALSE)</f>
        <v>0</v>
      </c>
      <c r="L1839" s="20" t="str">
        <f>IFERROR(__xludf.DUMMYFUNCTION("""COMPUTED_VALUE"""),"Array;Binary Search;Greedy;Sliding Window;Sorting;Prefix Sum;")</f>
        <v>Array;Binary Search;Greedy;Sliding Window;Sorting;Prefix Sum;</v>
      </c>
      <c r="M1839" s="20" t="b">
        <f>IFERROR(__xludf.DUMMYFUNCTION("""COMPUTED_VALUE"""),FALSE)</f>
        <v>0</v>
      </c>
      <c r="N1839" s="20" t="b">
        <f>IFERROR(__xludf.DUMMYFUNCTION("""COMPUTED_VALUE"""),FALSE)</f>
        <v>0</v>
      </c>
      <c r="O1839" s="20">
        <f>IFERROR(__xludf.DUMMYFUNCTION("""COMPUTED_VALUE"""),38.8386778596163)</f>
        <v>38.83867786</v>
      </c>
      <c r="P1839" s="20">
        <f>IFERROR(__xludf.DUMMYFUNCTION("""COMPUTED_VALUE"""),36220.0)</f>
        <v>36220</v>
      </c>
      <c r="Q1839" s="20">
        <f>IFERROR(__xludf.DUMMYFUNCTION("""COMPUTED_VALUE"""),93262.0)</f>
        <v>93262</v>
      </c>
    </row>
    <row r="1840">
      <c r="A1840" s="20">
        <f>IFERROR(__xludf.DUMMYFUNCTION("""COMPUTED_VALUE"""),1967.0)</f>
        <v>1967</v>
      </c>
      <c r="B1840" s="20" t="str">
        <f>IFERROR(__xludf.DUMMYFUNCTION("""COMPUTED_VALUE"""),"Longest Substring Of All Vowels in Order")</f>
        <v>Longest Substring Of All Vowels in Order</v>
      </c>
      <c r="C1840" s="20" t="str">
        <f>IFERROR(__xludf.DUMMYFUNCTION("""COMPUTED_VALUE"""),"longest-substring-of-all-vowels-in-order")</f>
        <v>longest-substring-of-all-vowels-in-order</v>
      </c>
      <c r="D1840" s="20" t="b">
        <f>IFERROR(__xludf.DUMMYFUNCTION("""COMPUTED_VALUE"""),FALSE)</f>
        <v>0</v>
      </c>
      <c r="E1840" s="20" t="str">
        <f>IFERROR(__xludf.DUMMYFUNCTION("""COMPUTED_VALUE"""),"Medium")</f>
        <v>Medium</v>
      </c>
      <c r="F1840" s="20">
        <f>IFERROR(__xludf.DUMMYFUNCTION("""COMPUTED_VALUE"""),557.0)</f>
        <v>557</v>
      </c>
      <c r="G1840" s="20">
        <f>IFERROR(__xludf.DUMMYFUNCTION("""COMPUTED_VALUE"""),16.0)</f>
        <v>16</v>
      </c>
      <c r="H1840" s="20" t="str">
        <f>IFERROR(__xludf.DUMMYFUNCTION("""COMPUTED_VALUE"""),"Algorithms")</f>
        <v>Algorithms</v>
      </c>
      <c r="I1840" s="20">
        <f>IFERROR(__xludf.DUMMYFUNCTION("""COMPUTED_VALUE"""),0.486)</f>
        <v>0.486</v>
      </c>
      <c r="J1840" s="20">
        <f>IFERROR(__xludf.DUMMYFUNCTION("""COMPUTED_VALUE"""),1839.0)</f>
        <v>1839</v>
      </c>
      <c r="K1840" s="20" t="b">
        <f>IFERROR(__xludf.DUMMYFUNCTION("""COMPUTED_VALUE"""),FALSE)</f>
        <v>0</v>
      </c>
      <c r="L1840" s="20" t="str">
        <f>IFERROR(__xludf.DUMMYFUNCTION("""COMPUTED_VALUE"""),"String;Sliding Window;")</f>
        <v>String;Sliding Window;</v>
      </c>
      <c r="M1840" s="20" t="b">
        <f>IFERROR(__xludf.DUMMYFUNCTION("""COMPUTED_VALUE"""),FALSE)</f>
        <v>0</v>
      </c>
      <c r="N1840" s="20" t="b">
        <f>IFERROR(__xludf.DUMMYFUNCTION("""COMPUTED_VALUE"""),FALSE)</f>
        <v>0</v>
      </c>
      <c r="O1840" s="20">
        <f>IFERROR(__xludf.DUMMYFUNCTION("""COMPUTED_VALUE"""),48.5722765141076)</f>
        <v>48.57227651</v>
      </c>
      <c r="P1840" s="20">
        <f>IFERROR(__xludf.DUMMYFUNCTION("""COMPUTED_VALUE"""),22913.0)</f>
        <v>22913</v>
      </c>
      <c r="Q1840" s="20">
        <f>IFERROR(__xludf.DUMMYFUNCTION("""COMPUTED_VALUE"""),47173.0)</f>
        <v>47173</v>
      </c>
    </row>
    <row r="1841">
      <c r="A1841" s="20">
        <f>IFERROR(__xludf.DUMMYFUNCTION("""COMPUTED_VALUE"""),1968.0)</f>
        <v>1968</v>
      </c>
      <c r="B1841" s="20" t="str">
        <f>IFERROR(__xludf.DUMMYFUNCTION("""COMPUTED_VALUE"""),"Maximum Building Height")</f>
        <v>Maximum Building Height</v>
      </c>
      <c r="C1841" s="20" t="str">
        <f>IFERROR(__xludf.DUMMYFUNCTION("""COMPUTED_VALUE"""),"maximum-building-height")</f>
        <v>maximum-building-height</v>
      </c>
      <c r="D1841" s="20" t="b">
        <f>IFERROR(__xludf.DUMMYFUNCTION("""COMPUTED_VALUE"""),FALSE)</f>
        <v>0</v>
      </c>
      <c r="E1841" s="20" t="str">
        <f>IFERROR(__xludf.DUMMYFUNCTION("""COMPUTED_VALUE"""),"Hard")</f>
        <v>Hard</v>
      </c>
      <c r="F1841" s="20">
        <f>IFERROR(__xludf.DUMMYFUNCTION("""COMPUTED_VALUE"""),310.0)</f>
        <v>310</v>
      </c>
      <c r="G1841" s="20">
        <f>IFERROR(__xludf.DUMMYFUNCTION("""COMPUTED_VALUE"""),11.0)</f>
        <v>11</v>
      </c>
      <c r="H1841" s="20" t="str">
        <f>IFERROR(__xludf.DUMMYFUNCTION("""COMPUTED_VALUE"""),"Algorithms")</f>
        <v>Algorithms</v>
      </c>
      <c r="I1841" s="20">
        <f>IFERROR(__xludf.DUMMYFUNCTION("""COMPUTED_VALUE"""),0.354)</f>
        <v>0.354</v>
      </c>
      <c r="J1841" s="20">
        <f>IFERROR(__xludf.DUMMYFUNCTION("""COMPUTED_VALUE"""),1840.0)</f>
        <v>1840</v>
      </c>
      <c r="K1841" s="20" t="b">
        <f>IFERROR(__xludf.DUMMYFUNCTION("""COMPUTED_VALUE"""),FALSE)</f>
        <v>0</v>
      </c>
      <c r="L1841" s="20" t="str">
        <f>IFERROR(__xludf.DUMMYFUNCTION("""COMPUTED_VALUE"""),"Array;Math;")</f>
        <v>Array;Math;</v>
      </c>
      <c r="M1841" s="20" t="b">
        <f>IFERROR(__xludf.DUMMYFUNCTION("""COMPUTED_VALUE"""),FALSE)</f>
        <v>0</v>
      </c>
      <c r="N1841" s="20" t="b">
        <f>IFERROR(__xludf.DUMMYFUNCTION("""COMPUTED_VALUE"""),FALSE)</f>
        <v>0</v>
      </c>
      <c r="O1841" s="20">
        <f>IFERROR(__xludf.DUMMYFUNCTION("""COMPUTED_VALUE"""),35.3539042054652)</f>
        <v>35.35390421</v>
      </c>
      <c r="P1841" s="20">
        <f>IFERROR(__xludf.DUMMYFUNCTION("""COMPUTED_VALUE"""),5809.0)</f>
        <v>5809</v>
      </c>
      <c r="Q1841" s="20">
        <f>IFERROR(__xludf.DUMMYFUNCTION("""COMPUTED_VALUE"""),16431.0)</f>
        <v>16431</v>
      </c>
    </row>
    <row r="1842">
      <c r="A1842" s="20">
        <f>IFERROR(__xludf.DUMMYFUNCTION("""COMPUTED_VALUE"""),1991.0)</f>
        <v>1991</v>
      </c>
      <c r="B1842" s="20" t="str">
        <f>IFERROR(__xludf.DUMMYFUNCTION("""COMPUTED_VALUE"""),"League Statistics")</f>
        <v>League Statistics</v>
      </c>
      <c r="C1842" s="20" t="str">
        <f>IFERROR(__xludf.DUMMYFUNCTION("""COMPUTED_VALUE"""),"league-statistics")</f>
        <v>league-statistics</v>
      </c>
      <c r="D1842" s="20" t="b">
        <f>IFERROR(__xludf.DUMMYFUNCTION("""COMPUTED_VALUE"""),TRUE)</f>
        <v>1</v>
      </c>
      <c r="E1842" s="20" t="str">
        <f>IFERROR(__xludf.DUMMYFUNCTION("""COMPUTED_VALUE"""),"Medium")</f>
        <v>Medium</v>
      </c>
      <c r="F1842" s="20">
        <f>IFERROR(__xludf.DUMMYFUNCTION("""COMPUTED_VALUE"""),86.0)</f>
        <v>86</v>
      </c>
      <c r="G1842" s="20">
        <f>IFERROR(__xludf.DUMMYFUNCTION("""COMPUTED_VALUE"""),76.0)</f>
        <v>76</v>
      </c>
      <c r="H1842" s="20" t="str">
        <f>IFERROR(__xludf.DUMMYFUNCTION("""COMPUTED_VALUE"""),"Database")</f>
        <v>Database</v>
      </c>
      <c r="I1842" s="20">
        <f>IFERROR(__xludf.DUMMYFUNCTION("""COMPUTED_VALUE"""),0.567)</f>
        <v>0.567</v>
      </c>
      <c r="J1842" s="20">
        <f>IFERROR(__xludf.DUMMYFUNCTION("""COMPUTED_VALUE"""),1841.0)</f>
        <v>1841</v>
      </c>
      <c r="K1842" s="20" t="b">
        <f>IFERROR(__xludf.DUMMYFUNCTION("""COMPUTED_VALUE"""),TRUE)</f>
        <v>1</v>
      </c>
      <c r="L1842" s="20" t="str">
        <f>IFERROR(__xludf.DUMMYFUNCTION("""COMPUTED_VALUE"""),"Database;")</f>
        <v>Database;</v>
      </c>
      <c r="M1842" s="20" t="b">
        <f>IFERROR(__xludf.DUMMYFUNCTION("""COMPUTED_VALUE"""),FALSE)</f>
        <v>0</v>
      </c>
      <c r="N1842" s="20" t="b">
        <f>IFERROR(__xludf.DUMMYFUNCTION("""COMPUTED_VALUE"""),FALSE)</f>
        <v>0</v>
      </c>
      <c r="O1842" s="20">
        <f>IFERROR(__xludf.DUMMYFUNCTION("""COMPUTED_VALUE"""),56.7434961204929)</f>
        <v>56.74349612</v>
      </c>
      <c r="P1842" s="20">
        <f>IFERROR(__xludf.DUMMYFUNCTION("""COMPUTED_VALUE"""),9946.0)</f>
        <v>9946</v>
      </c>
      <c r="Q1842" s="20">
        <f>IFERROR(__xludf.DUMMYFUNCTION("""COMPUTED_VALUE"""),17528.0)</f>
        <v>17528</v>
      </c>
    </row>
    <row r="1843">
      <c r="A1843" s="20">
        <f>IFERROR(__xludf.DUMMYFUNCTION("""COMPUTED_VALUE"""),1997.0)</f>
        <v>1997</v>
      </c>
      <c r="B1843" s="20" t="str">
        <f>IFERROR(__xludf.DUMMYFUNCTION("""COMPUTED_VALUE"""),"Next Palindrome Using Same Digits")</f>
        <v>Next Palindrome Using Same Digits</v>
      </c>
      <c r="C1843" s="20" t="str">
        <f>IFERROR(__xludf.DUMMYFUNCTION("""COMPUTED_VALUE"""),"next-palindrome-using-same-digits")</f>
        <v>next-palindrome-using-same-digits</v>
      </c>
      <c r="D1843" s="20" t="b">
        <f>IFERROR(__xludf.DUMMYFUNCTION("""COMPUTED_VALUE"""),TRUE)</f>
        <v>1</v>
      </c>
      <c r="E1843" s="20" t="str">
        <f>IFERROR(__xludf.DUMMYFUNCTION("""COMPUTED_VALUE"""),"Hard")</f>
        <v>Hard</v>
      </c>
      <c r="F1843" s="20">
        <f>IFERROR(__xludf.DUMMYFUNCTION("""COMPUTED_VALUE"""),100.0)</f>
        <v>100</v>
      </c>
      <c r="G1843" s="20">
        <f>IFERROR(__xludf.DUMMYFUNCTION("""COMPUTED_VALUE"""),14.0)</f>
        <v>14</v>
      </c>
      <c r="H1843" s="20" t="str">
        <f>IFERROR(__xludf.DUMMYFUNCTION("""COMPUTED_VALUE"""),"Algorithms")</f>
        <v>Algorithms</v>
      </c>
      <c r="I1843" s="20">
        <f>IFERROR(__xludf.DUMMYFUNCTION("""COMPUTED_VALUE"""),0.532)</f>
        <v>0.532</v>
      </c>
      <c r="J1843" s="20">
        <f>IFERROR(__xludf.DUMMYFUNCTION("""COMPUTED_VALUE"""),1842.0)</f>
        <v>1842</v>
      </c>
      <c r="K1843" s="20" t="b">
        <f>IFERROR(__xludf.DUMMYFUNCTION("""COMPUTED_VALUE"""),TRUE)</f>
        <v>1</v>
      </c>
      <c r="L1843" s="20" t="str">
        <f>IFERROR(__xludf.DUMMYFUNCTION("""COMPUTED_VALUE"""),"Two Pointers;String;")</f>
        <v>Two Pointers;String;</v>
      </c>
      <c r="M1843" s="20" t="b">
        <f>IFERROR(__xludf.DUMMYFUNCTION("""COMPUTED_VALUE"""),FALSE)</f>
        <v>0</v>
      </c>
      <c r="N1843" s="20" t="b">
        <f>IFERROR(__xludf.DUMMYFUNCTION("""COMPUTED_VALUE"""),FALSE)</f>
        <v>0</v>
      </c>
      <c r="O1843" s="20">
        <f>IFERROR(__xludf.DUMMYFUNCTION("""COMPUTED_VALUE"""),53.2486388384755)</f>
        <v>53.24863884</v>
      </c>
      <c r="P1843" s="20">
        <f>IFERROR(__xludf.DUMMYFUNCTION("""COMPUTED_VALUE"""),4401.0)</f>
        <v>4401</v>
      </c>
      <c r="Q1843" s="20">
        <f>IFERROR(__xludf.DUMMYFUNCTION("""COMPUTED_VALUE"""),8265.0)</f>
        <v>8265</v>
      </c>
    </row>
    <row r="1844">
      <c r="A1844" s="20">
        <f>IFERROR(__xludf.DUMMYFUNCTION("""COMPUTED_VALUE"""),1998.0)</f>
        <v>1998</v>
      </c>
      <c r="B1844" s="20" t="str">
        <f>IFERROR(__xludf.DUMMYFUNCTION("""COMPUTED_VALUE"""),"Suspicious Bank Accounts")</f>
        <v>Suspicious Bank Accounts</v>
      </c>
      <c r="C1844" s="20" t="str">
        <f>IFERROR(__xludf.DUMMYFUNCTION("""COMPUTED_VALUE"""),"suspicious-bank-accounts")</f>
        <v>suspicious-bank-accounts</v>
      </c>
      <c r="D1844" s="20" t="b">
        <f>IFERROR(__xludf.DUMMYFUNCTION("""COMPUTED_VALUE"""),TRUE)</f>
        <v>1</v>
      </c>
      <c r="E1844" s="20" t="str">
        <f>IFERROR(__xludf.DUMMYFUNCTION("""COMPUTED_VALUE"""),"Medium")</f>
        <v>Medium</v>
      </c>
      <c r="F1844" s="20">
        <f>IFERROR(__xludf.DUMMYFUNCTION("""COMPUTED_VALUE"""),67.0)</f>
        <v>67</v>
      </c>
      <c r="G1844" s="20">
        <f>IFERROR(__xludf.DUMMYFUNCTION("""COMPUTED_VALUE"""),52.0)</f>
        <v>52</v>
      </c>
      <c r="H1844" s="20" t="str">
        <f>IFERROR(__xludf.DUMMYFUNCTION("""COMPUTED_VALUE"""),"Database")</f>
        <v>Database</v>
      </c>
      <c r="I1844" s="20">
        <f>IFERROR(__xludf.DUMMYFUNCTION("""COMPUTED_VALUE"""),0.477)</f>
        <v>0.477</v>
      </c>
      <c r="J1844" s="20">
        <f>IFERROR(__xludf.DUMMYFUNCTION("""COMPUTED_VALUE"""),1843.0)</f>
        <v>1843</v>
      </c>
      <c r="K1844" s="20" t="b">
        <f>IFERROR(__xludf.DUMMYFUNCTION("""COMPUTED_VALUE"""),TRUE)</f>
        <v>1</v>
      </c>
      <c r="L1844" s="20" t="str">
        <f>IFERROR(__xludf.DUMMYFUNCTION("""COMPUTED_VALUE"""),"Database;")</f>
        <v>Database;</v>
      </c>
      <c r="M1844" s="20" t="b">
        <f>IFERROR(__xludf.DUMMYFUNCTION("""COMPUTED_VALUE"""),FALSE)</f>
        <v>0</v>
      </c>
      <c r="N1844" s="20" t="b">
        <f>IFERROR(__xludf.DUMMYFUNCTION("""COMPUTED_VALUE"""),FALSE)</f>
        <v>0</v>
      </c>
      <c r="O1844" s="20">
        <f>IFERROR(__xludf.DUMMYFUNCTION("""COMPUTED_VALUE"""),47.68857959488)</f>
        <v>47.68857959</v>
      </c>
      <c r="P1844" s="20">
        <f>IFERROR(__xludf.DUMMYFUNCTION("""COMPUTED_VALUE"""),7675.0)</f>
        <v>7675</v>
      </c>
      <c r="Q1844" s="20">
        <f>IFERROR(__xludf.DUMMYFUNCTION("""COMPUTED_VALUE"""),16094.0)</f>
        <v>16094</v>
      </c>
    </row>
    <row r="1845">
      <c r="A1845" s="20">
        <f>IFERROR(__xludf.DUMMYFUNCTION("""COMPUTED_VALUE"""),1954.0)</f>
        <v>1954</v>
      </c>
      <c r="B1845" s="20" t="str">
        <f>IFERROR(__xludf.DUMMYFUNCTION("""COMPUTED_VALUE"""),"Replace All Digits with Characters")</f>
        <v>Replace All Digits with Characters</v>
      </c>
      <c r="C1845" s="20" t="str">
        <f>IFERROR(__xludf.DUMMYFUNCTION("""COMPUTED_VALUE"""),"replace-all-digits-with-characters")</f>
        <v>replace-all-digits-with-characters</v>
      </c>
      <c r="D1845" s="20" t="b">
        <f>IFERROR(__xludf.DUMMYFUNCTION("""COMPUTED_VALUE"""),FALSE)</f>
        <v>0</v>
      </c>
      <c r="E1845" s="20" t="str">
        <f>IFERROR(__xludf.DUMMYFUNCTION("""COMPUTED_VALUE"""),"Easy")</f>
        <v>Easy</v>
      </c>
      <c r="F1845" s="20">
        <f>IFERROR(__xludf.DUMMYFUNCTION("""COMPUTED_VALUE"""),570.0)</f>
        <v>570</v>
      </c>
      <c r="G1845" s="20">
        <f>IFERROR(__xludf.DUMMYFUNCTION("""COMPUTED_VALUE"""),52.0)</f>
        <v>52</v>
      </c>
      <c r="H1845" s="20" t="str">
        <f>IFERROR(__xludf.DUMMYFUNCTION("""COMPUTED_VALUE"""),"Algorithms")</f>
        <v>Algorithms</v>
      </c>
      <c r="I1845" s="20">
        <f>IFERROR(__xludf.DUMMYFUNCTION("""COMPUTED_VALUE"""),0.798)</f>
        <v>0.798</v>
      </c>
      <c r="J1845" s="20">
        <f>IFERROR(__xludf.DUMMYFUNCTION("""COMPUTED_VALUE"""),1844.0)</f>
        <v>1844</v>
      </c>
      <c r="K1845" s="20" t="b">
        <f>IFERROR(__xludf.DUMMYFUNCTION("""COMPUTED_VALUE"""),FALSE)</f>
        <v>0</v>
      </c>
      <c r="L1845" s="20" t="str">
        <f>IFERROR(__xludf.DUMMYFUNCTION("""COMPUTED_VALUE"""),"String;")</f>
        <v>String;</v>
      </c>
      <c r="M1845" s="20" t="b">
        <f>IFERROR(__xludf.DUMMYFUNCTION("""COMPUTED_VALUE"""),FALSE)</f>
        <v>0</v>
      </c>
      <c r="N1845" s="20" t="b">
        <f>IFERROR(__xludf.DUMMYFUNCTION("""COMPUTED_VALUE"""),FALSE)</f>
        <v>0</v>
      </c>
      <c r="O1845" s="20">
        <f>IFERROR(__xludf.DUMMYFUNCTION("""COMPUTED_VALUE"""),79.8469350209728)</f>
        <v>79.84693502</v>
      </c>
      <c r="P1845" s="20">
        <f>IFERROR(__xludf.DUMMYFUNCTION("""COMPUTED_VALUE"""),54250.0)</f>
        <v>54250</v>
      </c>
      <c r="Q1845" s="20">
        <f>IFERROR(__xludf.DUMMYFUNCTION("""COMPUTED_VALUE"""),67943.0)</f>
        <v>67943</v>
      </c>
    </row>
    <row r="1846">
      <c r="A1846" s="20">
        <f>IFERROR(__xludf.DUMMYFUNCTION("""COMPUTED_VALUE"""),1955.0)</f>
        <v>1955</v>
      </c>
      <c r="B1846" s="20" t="str">
        <f>IFERROR(__xludf.DUMMYFUNCTION("""COMPUTED_VALUE"""),"Seat Reservation Manager")</f>
        <v>Seat Reservation Manager</v>
      </c>
      <c r="C1846" s="20" t="str">
        <f>IFERROR(__xludf.DUMMYFUNCTION("""COMPUTED_VALUE"""),"seat-reservation-manager")</f>
        <v>seat-reservation-manager</v>
      </c>
      <c r="D1846" s="20" t="b">
        <f>IFERROR(__xludf.DUMMYFUNCTION("""COMPUTED_VALUE"""),FALSE)</f>
        <v>0</v>
      </c>
      <c r="E1846" s="20" t="str">
        <f>IFERROR(__xludf.DUMMYFUNCTION("""COMPUTED_VALUE"""),"Medium")</f>
        <v>Medium</v>
      </c>
      <c r="F1846" s="20">
        <f>IFERROR(__xludf.DUMMYFUNCTION("""COMPUTED_VALUE"""),486.0)</f>
        <v>486</v>
      </c>
      <c r="G1846" s="20">
        <f>IFERROR(__xludf.DUMMYFUNCTION("""COMPUTED_VALUE"""),34.0)</f>
        <v>34</v>
      </c>
      <c r="H1846" s="20" t="str">
        <f>IFERROR(__xludf.DUMMYFUNCTION("""COMPUTED_VALUE"""),"Algorithms")</f>
        <v>Algorithms</v>
      </c>
      <c r="I1846" s="20">
        <f>IFERROR(__xludf.DUMMYFUNCTION("""COMPUTED_VALUE"""),0.651)</f>
        <v>0.651</v>
      </c>
      <c r="J1846" s="20">
        <f>IFERROR(__xludf.DUMMYFUNCTION("""COMPUTED_VALUE"""),1845.0)</f>
        <v>1845</v>
      </c>
      <c r="K1846" s="20" t="b">
        <f>IFERROR(__xludf.DUMMYFUNCTION("""COMPUTED_VALUE"""),FALSE)</f>
        <v>0</v>
      </c>
      <c r="L1846" s="20" t="str">
        <f>IFERROR(__xludf.DUMMYFUNCTION("""COMPUTED_VALUE"""),"Design;Heap (Priority Queue);")</f>
        <v>Design;Heap (Priority Queue);</v>
      </c>
      <c r="M1846" s="20" t="b">
        <f>IFERROR(__xludf.DUMMYFUNCTION("""COMPUTED_VALUE"""),FALSE)</f>
        <v>0</v>
      </c>
      <c r="N1846" s="20" t="b">
        <f>IFERROR(__xludf.DUMMYFUNCTION("""COMPUTED_VALUE"""),FALSE)</f>
        <v>0</v>
      </c>
      <c r="O1846" s="20">
        <f>IFERROR(__xludf.DUMMYFUNCTION("""COMPUTED_VALUE"""),65.1379602599114)</f>
        <v>65.13796026</v>
      </c>
      <c r="P1846" s="20">
        <f>IFERROR(__xludf.DUMMYFUNCTION("""COMPUTED_VALUE"""),27665.0)</f>
        <v>27665</v>
      </c>
      <c r="Q1846" s="20">
        <f>IFERROR(__xludf.DUMMYFUNCTION("""COMPUTED_VALUE"""),42473.0)</f>
        <v>42473</v>
      </c>
    </row>
    <row r="1847">
      <c r="A1847" s="20">
        <f>IFERROR(__xludf.DUMMYFUNCTION("""COMPUTED_VALUE"""),1956.0)</f>
        <v>1956</v>
      </c>
      <c r="B1847" s="20" t="str">
        <f>IFERROR(__xludf.DUMMYFUNCTION("""COMPUTED_VALUE"""),"Maximum Element After Decreasing and Rearranging")</f>
        <v>Maximum Element After Decreasing and Rearranging</v>
      </c>
      <c r="C1847" s="20" t="str">
        <f>IFERROR(__xludf.DUMMYFUNCTION("""COMPUTED_VALUE"""),"maximum-element-after-decreasing-and-rearranging")</f>
        <v>maximum-element-after-decreasing-and-rearranging</v>
      </c>
      <c r="D1847" s="20" t="b">
        <f>IFERROR(__xludf.DUMMYFUNCTION("""COMPUTED_VALUE"""),FALSE)</f>
        <v>0</v>
      </c>
      <c r="E1847" s="20" t="str">
        <f>IFERROR(__xludf.DUMMYFUNCTION("""COMPUTED_VALUE"""),"Medium")</f>
        <v>Medium</v>
      </c>
      <c r="F1847" s="20">
        <f>IFERROR(__xludf.DUMMYFUNCTION("""COMPUTED_VALUE"""),289.0)</f>
        <v>289</v>
      </c>
      <c r="G1847" s="20">
        <f>IFERROR(__xludf.DUMMYFUNCTION("""COMPUTED_VALUE"""),64.0)</f>
        <v>64</v>
      </c>
      <c r="H1847" s="20" t="str">
        <f>IFERROR(__xludf.DUMMYFUNCTION("""COMPUTED_VALUE"""),"Algorithms")</f>
        <v>Algorithms</v>
      </c>
      <c r="I1847" s="20">
        <f>IFERROR(__xludf.DUMMYFUNCTION("""COMPUTED_VALUE"""),0.591)</f>
        <v>0.591</v>
      </c>
      <c r="J1847" s="20">
        <f>IFERROR(__xludf.DUMMYFUNCTION("""COMPUTED_VALUE"""),1846.0)</f>
        <v>1846</v>
      </c>
      <c r="K1847" s="20" t="b">
        <f>IFERROR(__xludf.DUMMYFUNCTION("""COMPUTED_VALUE"""),FALSE)</f>
        <v>0</v>
      </c>
      <c r="L1847" s="20" t="str">
        <f>IFERROR(__xludf.DUMMYFUNCTION("""COMPUTED_VALUE"""),"Array;Greedy;Sorting;")</f>
        <v>Array;Greedy;Sorting;</v>
      </c>
      <c r="M1847" s="20" t="b">
        <f>IFERROR(__xludf.DUMMYFUNCTION("""COMPUTED_VALUE"""),FALSE)</f>
        <v>0</v>
      </c>
      <c r="N1847" s="20" t="b">
        <f>IFERROR(__xludf.DUMMYFUNCTION("""COMPUTED_VALUE"""),FALSE)</f>
        <v>0</v>
      </c>
      <c r="O1847" s="20">
        <f>IFERROR(__xludf.DUMMYFUNCTION("""COMPUTED_VALUE"""),59.080092577501)</f>
        <v>59.08009258</v>
      </c>
      <c r="P1847" s="20">
        <f>IFERROR(__xludf.DUMMYFUNCTION("""COMPUTED_VALUE"""),18122.0)</f>
        <v>18122</v>
      </c>
      <c r="Q1847" s="20">
        <f>IFERROR(__xludf.DUMMYFUNCTION("""COMPUTED_VALUE"""),30675.0)</f>
        <v>30675</v>
      </c>
    </row>
    <row r="1848">
      <c r="A1848" s="20">
        <f>IFERROR(__xludf.DUMMYFUNCTION("""COMPUTED_VALUE"""),1957.0)</f>
        <v>1957</v>
      </c>
      <c r="B1848" s="20" t="str">
        <f>IFERROR(__xludf.DUMMYFUNCTION("""COMPUTED_VALUE"""),"Closest Room")</f>
        <v>Closest Room</v>
      </c>
      <c r="C1848" s="20" t="str">
        <f>IFERROR(__xludf.DUMMYFUNCTION("""COMPUTED_VALUE"""),"closest-room")</f>
        <v>closest-room</v>
      </c>
      <c r="D1848" s="20" t="b">
        <f>IFERROR(__xludf.DUMMYFUNCTION("""COMPUTED_VALUE"""),FALSE)</f>
        <v>0</v>
      </c>
      <c r="E1848" s="20" t="str">
        <f>IFERROR(__xludf.DUMMYFUNCTION("""COMPUTED_VALUE"""),"Hard")</f>
        <v>Hard</v>
      </c>
      <c r="F1848" s="20">
        <f>IFERROR(__xludf.DUMMYFUNCTION("""COMPUTED_VALUE"""),399.0)</f>
        <v>399</v>
      </c>
      <c r="G1848" s="20">
        <f>IFERROR(__xludf.DUMMYFUNCTION("""COMPUTED_VALUE"""),17.0)</f>
        <v>17</v>
      </c>
      <c r="H1848" s="20" t="str">
        <f>IFERROR(__xludf.DUMMYFUNCTION("""COMPUTED_VALUE"""),"Algorithms")</f>
        <v>Algorithms</v>
      </c>
      <c r="I1848" s="20">
        <f>IFERROR(__xludf.DUMMYFUNCTION("""COMPUTED_VALUE"""),0.354)</f>
        <v>0.354</v>
      </c>
      <c r="J1848" s="20">
        <f>IFERROR(__xludf.DUMMYFUNCTION("""COMPUTED_VALUE"""),1847.0)</f>
        <v>1847</v>
      </c>
      <c r="K1848" s="20" t="b">
        <f>IFERROR(__xludf.DUMMYFUNCTION("""COMPUTED_VALUE"""),FALSE)</f>
        <v>0</v>
      </c>
      <c r="L1848" s="20" t="str">
        <f>IFERROR(__xludf.DUMMYFUNCTION("""COMPUTED_VALUE"""),"Array;Binary Search;Sorting;")</f>
        <v>Array;Binary Search;Sorting;</v>
      </c>
      <c r="M1848" s="20" t="b">
        <f>IFERROR(__xludf.DUMMYFUNCTION("""COMPUTED_VALUE"""),FALSE)</f>
        <v>0</v>
      </c>
      <c r="N1848" s="20" t="b">
        <f>IFERROR(__xludf.DUMMYFUNCTION("""COMPUTED_VALUE"""),FALSE)</f>
        <v>0</v>
      </c>
      <c r="O1848" s="20">
        <f>IFERROR(__xludf.DUMMYFUNCTION("""COMPUTED_VALUE"""),35.3902092006112)</f>
        <v>35.3902092</v>
      </c>
      <c r="P1848" s="20">
        <f>IFERROR(__xludf.DUMMYFUNCTION("""COMPUTED_VALUE"""),6716.0)</f>
        <v>6716</v>
      </c>
      <c r="Q1848" s="20">
        <f>IFERROR(__xludf.DUMMYFUNCTION("""COMPUTED_VALUE"""),18977.0)</f>
        <v>18977</v>
      </c>
    </row>
    <row r="1849">
      <c r="A1849" s="20">
        <f>IFERROR(__xludf.DUMMYFUNCTION("""COMPUTED_VALUE"""),1975.0)</f>
        <v>1975</v>
      </c>
      <c r="B1849" s="20" t="str">
        <f>IFERROR(__xludf.DUMMYFUNCTION("""COMPUTED_VALUE"""),"Minimum Distance to the Target Element")</f>
        <v>Minimum Distance to the Target Element</v>
      </c>
      <c r="C1849" s="20" t="str">
        <f>IFERROR(__xludf.DUMMYFUNCTION("""COMPUTED_VALUE"""),"minimum-distance-to-the-target-element")</f>
        <v>minimum-distance-to-the-target-element</v>
      </c>
      <c r="D1849" s="20" t="b">
        <f>IFERROR(__xludf.DUMMYFUNCTION("""COMPUTED_VALUE"""),FALSE)</f>
        <v>0</v>
      </c>
      <c r="E1849" s="20" t="str">
        <f>IFERROR(__xludf.DUMMYFUNCTION("""COMPUTED_VALUE"""),"Easy")</f>
        <v>Easy</v>
      </c>
      <c r="F1849" s="20">
        <f>IFERROR(__xludf.DUMMYFUNCTION("""COMPUTED_VALUE"""),257.0)</f>
        <v>257</v>
      </c>
      <c r="G1849" s="20">
        <f>IFERROR(__xludf.DUMMYFUNCTION("""COMPUTED_VALUE"""),50.0)</f>
        <v>50</v>
      </c>
      <c r="H1849" s="20" t="str">
        <f>IFERROR(__xludf.DUMMYFUNCTION("""COMPUTED_VALUE"""),"Algorithms")</f>
        <v>Algorithms</v>
      </c>
      <c r="I1849" s="20">
        <f>IFERROR(__xludf.DUMMYFUNCTION("""COMPUTED_VALUE"""),0.584)</f>
        <v>0.584</v>
      </c>
      <c r="J1849" s="20">
        <f>IFERROR(__xludf.DUMMYFUNCTION("""COMPUTED_VALUE"""),1848.0)</f>
        <v>1848</v>
      </c>
      <c r="K1849" s="20" t="b">
        <f>IFERROR(__xludf.DUMMYFUNCTION("""COMPUTED_VALUE"""),FALSE)</f>
        <v>0</v>
      </c>
      <c r="L1849" s="20" t="str">
        <f>IFERROR(__xludf.DUMMYFUNCTION("""COMPUTED_VALUE"""),"Array;")</f>
        <v>Array;</v>
      </c>
      <c r="M1849" s="20" t="b">
        <f>IFERROR(__xludf.DUMMYFUNCTION("""COMPUTED_VALUE"""),FALSE)</f>
        <v>0</v>
      </c>
      <c r="N1849" s="20" t="b">
        <f>IFERROR(__xludf.DUMMYFUNCTION("""COMPUTED_VALUE"""),FALSE)</f>
        <v>0</v>
      </c>
      <c r="O1849" s="20">
        <f>IFERROR(__xludf.DUMMYFUNCTION("""COMPUTED_VALUE"""),58.3930036548071)</f>
        <v>58.39300365</v>
      </c>
      <c r="P1849" s="20">
        <f>IFERROR(__xludf.DUMMYFUNCTION("""COMPUTED_VALUE"""),31314.0)</f>
        <v>31314</v>
      </c>
      <c r="Q1849" s="20">
        <f>IFERROR(__xludf.DUMMYFUNCTION("""COMPUTED_VALUE"""),53627.0)</f>
        <v>53627</v>
      </c>
    </row>
    <row r="1850">
      <c r="A1850" s="20">
        <f>IFERROR(__xludf.DUMMYFUNCTION("""COMPUTED_VALUE"""),1976.0)</f>
        <v>1976</v>
      </c>
      <c r="B1850" s="20" t="str">
        <f>IFERROR(__xludf.DUMMYFUNCTION("""COMPUTED_VALUE"""),"Splitting a String Into Descending Consecutive Values")</f>
        <v>Splitting a String Into Descending Consecutive Values</v>
      </c>
      <c r="C1850" s="20" t="str">
        <f>IFERROR(__xludf.DUMMYFUNCTION("""COMPUTED_VALUE"""),"splitting-a-string-into-descending-consecutive-values")</f>
        <v>splitting-a-string-into-descending-consecutive-values</v>
      </c>
      <c r="D1850" s="20" t="b">
        <f>IFERROR(__xludf.DUMMYFUNCTION("""COMPUTED_VALUE"""),FALSE)</f>
        <v>0</v>
      </c>
      <c r="E1850" s="20" t="str">
        <f>IFERROR(__xludf.DUMMYFUNCTION("""COMPUTED_VALUE"""),"Medium")</f>
        <v>Medium</v>
      </c>
      <c r="F1850" s="20">
        <f>IFERROR(__xludf.DUMMYFUNCTION("""COMPUTED_VALUE"""),392.0)</f>
        <v>392</v>
      </c>
      <c r="G1850" s="20">
        <f>IFERROR(__xludf.DUMMYFUNCTION("""COMPUTED_VALUE"""),92.0)</f>
        <v>92</v>
      </c>
      <c r="H1850" s="20" t="str">
        <f>IFERROR(__xludf.DUMMYFUNCTION("""COMPUTED_VALUE"""),"Algorithms")</f>
        <v>Algorithms</v>
      </c>
      <c r="I1850" s="20">
        <f>IFERROR(__xludf.DUMMYFUNCTION("""COMPUTED_VALUE"""),0.325)</f>
        <v>0.325</v>
      </c>
      <c r="J1850" s="20">
        <f>IFERROR(__xludf.DUMMYFUNCTION("""COMPUTED_VALUE"""),1849.0)</f>
        <v>1849</v>
      </c>
      <c r="K1850" s="20" t="b">
        <f>IFERROR(__xludf.DUMMYFUNCTION("""COMPUTED_VALUE"""),FALSE)</f>
        <v>0</v>
      </c>
      <c r="L1850" s="20" t="str">
        <f>IFERROR(__xludf.DUMMYFUNCTION("""COMPUTED_VALUE"""),"String;Backtracking;")</f>
        <v>String;Backtracking;</v>
      </c>
      <c r="M1850" s="20" t="b">
        <f>IFERROR(__xludf.DUMMYFUNCTION("""COMPUTED_VALUE"""),FALSE)</f>
        <v>0</v>
      </c>
      <c r="N1850" s="20" t="b">
        <f>IFERROR(__xludf.DUMMYFUNCTION("""COMPUTED_VALUE"""),FALSE)</f>
        <v>0</v>
      </c>
      <c r="O1850" s="20">
        <f>IFERROR(__xludf.DUMMYFUNCTION("""COMPUTED_VALUE"""),32.4943512242101)</f>
        <v>32.49435122</v>
      </c>
      <c r="P1850" s="20">
        <f>IFERROR(__xludf.DUMMYFUNCTION("""COMPUTED_VALUE"""),17545.0)</f>
        <v>17545</v>
      </c>
      <c r="Q1850" s="20">
        <f>IFERROR(__xludf.DUMMYFUNCTION("""COMPUTED_VALUE"""),53994.0)</f>
        <v>53994</v>
      </c>
    </row>
    <row r="1851">
      <c r="A1851" s="20">
        <f>IFERROR(__xludf.DUMMYFUNCTION("""COMPUTED_VALUE"""),1978.0)</f>
        <v>1978</v>
      </c>
      <c r="B1851" s="20" t="str">
        <f>IFERROR(__xludf.DUMMYFUNCTION("""COMPUTED_VALUE"""),"Minimum Adjacent Swaps to Reach the Kth Smallest Number")</f>
        <v>Minimum Adjacent Swaps to Reach the Kth Smallest Number</v>
      </c>
      <c r="C1851" s="20" t="str">
        <f>IFERROR(__xludf.DUMMYFUNCTION("""COMPUTED_VALUE"""),"minimum-adjacent-swaps-to-reach-the-kth-smallest-number")</f>
        <v>minimum-adjacent-swaps-to-reach-the-kth-smallest-number</v>
      </c>
      <c r="D1851" s="20" t="b">
        <f>IFERROR(__xludf.DUMMYFUNCTION("""COMPUTED_VALUE"""),FALSE)</f>
        <v>0</v>
      </c>
      <c r="E1851" s="20" t="str">
        <f>IFERROR(__xludf.DUMMYFUNCTION("""COMPUTED_VALUE"""),"Medium")</f>
        <v>Medium</v>
      </c>
      <c r="F1851" s="20">
        <f>IFERROR(__xludf.DUMMYFUNCTION("""COMPUTED_VALUE"""),605.0)</f>
        <v>605</v>
      </c>
      <c r="G1851" s="20">
        <f>IFERROR(__xludf.DUMMYFUNCTION("""COMPUTED_VALUE"""),72.0)</f>
        <v>72</v>
      </c>
      <c r="H1851" s="20" t="str">
        <f>IFERROR(__xludf.DUMMYFUNCTION("""COMPUTED_VALUE"""),"Algorithms")</f>
        <v>Algorithms</v>
      </c>
      <c r="I1851" s="20">
        <f>IFERROR(__xludf.DUMMYFUNCTION("""COMPUTED_VALUE"""),0.718)</f>
        <v>0.718</v>
      </c>
      <c r="J1851" s="20">
        <f>IFERROR(__xludf.DUMMYFUNCTION("""COMPUTED_VALUE"""),1850.0)</f>
        <v>1850</v>
      </c>
      <c r="K1851" s="20" t="b">
        <f>IFERROR(__xludf.DUMMYFUNCTION("""COMPUTED_VALUE"""),FALSE)</f>
        <v>0</v>
      </c>
      <c r="L1851" s="20" t="str">
        <f>IFERROR(__xludf.DUMMYFUNCTION("""COMPUTED_VALUE"""),"Two Pointers;String;Greedy;")</f>
        <v>Two Pointers;String;Greedy;</v>
      </c>
      <c r="M1851" s="20" t="b">
        <f>IFERROR(__xludf.DUMMYFUNCTION("""COMPUTED_VALUE"""),FALSE)</f>
        <v>0</v>
      </c>
      <c r="N1851" s="20" t="b">
        <f>IFERROR(__xludf.DUMMYFUNCTION("""COMPUTED_VALUE"""),FALSE)</f>
        <v>0</v>
      </c>
      <c r="O1851" s="20">
        <f>IFERROR(__xludf.DUMMYFUNCTION("""COMPUTED_VALUE"""),71.8183765260227)</f>
        <v>71.81837653</v>
      </c>
      <c r="P1851" s="20">
        <f>IFERROR(__xludf.DUMMYFUNCTION("""COMPUTED_VALUE"""),16766.0)</f>
        <v>16766</v>
      </c>
      <c r="Q1851" s="20">
        <f>IFERROR(__xludf.DUMMYFUNCTION("""COMPUTED_VALUE"""),23345.0)</f>
        <v>23345</v>
      </c>
    </row>
    <row r="1852">
      <c r="A1852" s="20">
        <f>IFERROR(__xludf.DUMMYFUNCTION("""COMPUTED_VALUE"""),1977.0)</f>
        <v>1977</v>
      </c>
      <c r="B1852" s="20" t="str">
        <f>IFERROR(__xludf.DUMMYFUNCTION("""COMPUTED_VALUE"""),"Minimum Interval to Include Each Query")</f>
        <v>Minimum Interval to Include Each Query</v>
      </c>
      <c r="C1852" s="20" t="str">
        <f>IFERROR(__xludf.DUMMYFUNCTION("""COMPUTED_VALUE"""),"minimum-interval-to-include-each-query")</f>
        <v>minimum-interval-to-include-each-query</v>
      </c>
      <c r="D1852" s="20" t="b">
        <f>IFERROR(__xludf.DUMMYFUNCTION("""COMPUTED_VALUE"""),FALSE)</f>
        <v>0</v>
      </c>
      <c r="E1852" s="20" t="str">
        <f>IFERROR(__xludf.DUMMYFUNCTION("""COMPUTED_VALUE"""),"Hard")</f>
        <v>Hard</v>
      </c>
      <c r="F1852" s="20">
        <f>IFERROR(__xludf.DUMMYFUNCTION("""COMPUTED_VALUE"""),582.0)</f>
        <v>582</v>
      </c>
      <c r="G1852" s="20">
        <f>IFERROR(__xludf.DUMMYFUNCTION("""COMPUTED_VALUE"""),14.0)</f>
        <v>14</v>
      </c>
      <c r="H1852" s="20" t="str">
        <f>IFERROR(__xludf.DUMMYFUNCTION("""COMPUTED_VALUE"""),"Algorithms")</f>
        <v>Algorithms</v>
      </c>
      <c r="I1852" s="20">
        <f>IFERROR(__xludf.DUMMYFUNCTION("""COMPUTED_VALUE"""),0.479)</f>
        <v>0.479</v>
      </c>
      <c r="J1852" s="20">
        <f>IFERROR(__xludf.DUMMYFUNCTION("""COMPUTED_VALUE"""),1851.0)</f>
        <v>1851</v>
      </c>
      <c r="K1852" s="20" t="b">
        <f>IFERROR(__xludf.DUMMYFUNCTION("""COMPUTED_VALUE"""),FALSE)</f>
        <v>0</v>
      </c>
      <c r="L1852" s="20" t="str">
        <f>IFERROR(__xludf.DUMMYFUNCTION("""COMPUTED_VALUE"""),"Array;Binary Search;Line Sweep;Sorting;Heap (Priority Queue);")</f>
        <v>Array;Binary Search;Line Sweep;Sorting;Heap (Priority Queue);</v>
      </c>
      <c r="M1852" s="20" t="b">
        <f>IFERROR(__xludf.DUMMYFUNCTION("""COMPUTED_VALUE"""),FALSE)</f>
        <v>0</v>
      </c>
      <c r="N1852" s="20" t="b">
        <f>IFERROR(__xludf.DUMMYFUNCTION("""COMPUTED_VALUE"""),FALSE)</f>
        <v>0</v>
      </c>
      <c r="O1852" s="20">
        <f>IFERROR(__xludf.DUMMYFUNCTION("""COMPUTED_VALUE"""),47.921651739933)</f>
        <v>47.92165174</v>
      </c>
      <c r="P1852" s="20">
        <f>IFERROR(__xludf.DUMMYFUNCTION("""COMPUTED_VALUE"""),14019.0)</f>
        <v>14019</v>
      </c>
      <c r="Q1852" s="20">
        <f>IFERROR(__xludf.DUMMYFUNCTION("""COMPUTED_VALUE"""),29254.0)</f>
        <v>29254</v>
      </c>
    </row>
    <row r="1853">
      <c r="A1853" s="20">
        <f>IFERROR(__xludf.DUMMYFUNCTION("""COMPUTED_VALUE"""),2003.0)</f>
        <v>2003</v>
      </c>
      <c r="B1853" s="20" t="str">
        <f>IFERROR(__xludf.DUMMYFUNCTION("""COMPUTED_VALUE"""),"Distinct Numbers in Each Subarray")</f>
        <v>Distinct Numbers in Each Subarray</v>
      </c>
      <c r="C1853" s="20" t="str">
        <f>IFERROR(__xludf.DUMMYFUNCTION("""COMPUTED_VALUE"""),"distinct-numbers-in-each-subarray")</f>
        <v>distinct-numbers-in-each-subarray</v>
      </c>
      <c r="D1853" s="20" t="b">
        <f>IFERROR(__xludf.DUMMYFUNCTION("""COMPUTED_VALUE"""),TRUE)</f>
        <v>1</v>
      </c>
      <c r="E1853" s="20" t="str">
        <f>IFERROR(__xludf.DUMMYFUNCTION("""COMPUTED_VALUE"""),"Medium")</f>
        <v>Medium</v>
      </c>
      <c r="F1853" s="20">
        <f>IFERROR(__xludf.DUMMYFUNCTION("""COMPUTED_VALUE"""),95.0)</f>
        <v>95</v>
      </c>
      <c r="G1853" s="20">
        <f>IFERROR(__xludf.DUMMYFUNCTION("""COMPUTED_VALUE"""),7.0)</f>
        <v>7</v>
      </c>
      <c r="H1853" s="20" t="str">
        <f>IFERROR(__xludf.DUMMYFUNCTION("""COMPUTED_VALUE"""),"Algorithms")</f>
        <v>Algorithms</v>
      </c>
      <c r="I1853" s="20">
        <f>IFERROR(__xludf.DUMMYFUNCTION("""COMPUTED_VALUE"""),0.71)</f>
        <v>0.71</v>
      </c>
      <c r="J1853" s="20">
        <f>IFERROR(__xludf.DUMMYFUNCTION("""COMPUTED_VALUE"""),1852.0)</f>
        <v>1852</v>
      </c>
      <c r="K1853" s="20" t="b">
        <f>IFERROR(__xludf.DUMMYFUNCTION("""COMPUTED_VALUE"""),TRUE)</f>
        <v>1</v>
      </c>
      <c r="L1853" s="20" t="str">
        <f>IFERROR(__xludf.DUMMYFUNCTION("""COMPUTED_VALUE"""),"Array;Hash Table;Sliding Window;")</f>
        <v>Array;Hash Table;Sliding Window;</v>
      </c>
      <c r="M1853" s="20" t="b">
        <f>IFERROR(__xludf.DUMMYFUNCTION("""COMPUTED_VALUE"""),FALSE)</f>
        <v>0</v>
      </c>
      <c r="N1853" s="20" t="b">
        <f>IFERROR(__xludf.DUMMYFUNCTION("""COMPUTED_VALUE"""),FALSE)</f>
        <v>0</v>
      </c>
      <c r="O1853" s="20">
        <f>IFERROR(__xludf.DUMMYFUNCTION("""COMPUTED_VALUE"""),71.0469508904479)</f>
        <v>71.04695089</v>
      </c>
      <c r="P1853" s="20">
        <f>IFERROR(__xludf.DUMMYFUNCTION("""COMPUTED_VALUE"""),5266.0)</f>
        <v>5266</v>
      </c>
      <c r="Q1853" s="20">
        <f>IFERROR(__xludf.DUMMYFUNCTION("""COMPUTED_VALUE"""),7412.0)</f>
        <v>7412</v>
      </c>
    </row>
    <row r="1854">
      <c r="A1854" s="20">
        <f>IFERROR(__xludf.DUMMYFUNCTION("""COMPUTED_VALUE"""),2004.0)</f>
        <v>2004</v>
      </c>
      <c r="B1854" s="20" t="str">
        <f>IFERROR(__xludf.DUMMYFUNCTION("""COMPUTED_VALUE"""),"Convert Date Format")</f>
        <v>Convert Date Format</v>
      </c>
      <c r="C1854" s="20" t="str">
        <f>IFERROR(__xludf.DUMMYFUNCTION("""COMPUTED_VALUE"""),"convert-date-format")</f>
        <v>convert-date-format</v>
      </c>
      <c r="D1854" s="20" t="b">
        <f>IFERROR(__xludf.DUMMYFUNCTION("""COMPUTED_VALUE"""),TRUE)</f>
        <v>1</v>
      </c>
      <c r="E1854" s="20" t="str">
        <f>IFERROR(__xludf.DUMMYFUNCTION("""COMPUTED_VALUE"""),"Easy")</f>
        <v>Easy</v>
      </c>
      <c r="F1854" s="20">
        <f>IFERROR(__xludf.DUMMYFUNCTION("""COMPUTED_VALUE"""),43.0)</f>
        <v>43</v>
      </c>
      <c r="G1854" s="20">
        <f>IFERROR(__xludf.DUMMYFUNCTION("""COMPUTED_VALUE"""),34.0)</f>
        <v>34</v>
      </c>
      <c r="H1854" s="20" t="str">
        <f>IFERROR(__xludf.DUMMYFUNCTION("""COMPUTED_VALUE"""),"Database")</f>
        <v>Database</v>
      </c>
      <c r="I1854" s="20">
        <f>IFERROR(__xludf.DUMMYFUNCTION("""COMPUTED_VALUE"""),0.874)</f>
        <v>0.874</v>
      </c>
      <c r="J1854" s="20">
        <f>IFERROR(__xludf.DUMMYFUNCTION("""COMPUTED_VALUE"""),1853.0)</f>
        <v>1853</v>
      </c>
      <c r="K1854" s="20" t="b">
        <f>IFERROR(__xludf.DUMMYFUNCTION("""COMPUTED_VALUE"""),TRUE)</f>
        <v>1</v>
      </c>
      <c r="L1854" s="20" t="str">
        <f>IFERROR(__xludf.DUMMYFUNCTION("""COMPUTED_VALUE"""),"Database;")</f>
        <v>Database;</v>
      </c>
      <c r="M1854" s="20" t="b">
        <f>IFERROR(__xludf.DUMMYFUNCTION("""COMPUTED_VALUE"""),FALSE)</f>
        <v>0</v>
      </c>
      <c r="N1854" s="20" t="b">
        <f>IFERROR(__xludf.DUMMYFUNCTION("""COMPUTED_VALUE"""),FALSE)</f>
        <v>0</v>
      </c>
      <c r="O1854" s="20">
        <f>IFERROR(__xludf.DUMMYFUNCTION("""COMPUTED_VALUE"""),87.4497710494346)</f>
        <v>87.44977105</v>
      </c>
      <c r="P1854" s="20">
        <f>IFERROR(__xludf.DUMMYFUNCTION("""COMPUTED_VALUE"""),9358.0)</f>
        <v>9358</v>
      </c>
      <c r="Q1854" s="20">
        <f>IFERROR(__xludf.DUMMYFUNCTION("""COMPUTED_VALUE"""),10701.0)</f>
        <v>10701</v>
      </c>
    </row>
    <row r="1855">
      <c r="A1855" s="20">
        <f>IFERROR(__xludf.DUMMYFUNCTION("""COMPUTED_VALUE"""),1983.0)</f>
        <v>1983</v>
      </c>
      <c r="B1855" s="20" t="str">
        <f>IFERROR(__xludf.DUMMYFUNCTION("""COMPUTED_VALUE"""),"Maximum Population Year")</f>
        <v>Maximum Population Year</v>
      </c>
      <c r="C1855" s="20" t="str">
        <f>IFERROR(__xludf.DUMMYFUNCTION("""COMPUTED_VALUE"""),"maximum-population-year")</f>
        <v>maximum-population-year</v>
      </c>
      <c r="D1855" s="20" t="b">
        <f>IFERROR(__xludf.DUMMYFUNCTION("""COMPUTED_VALUE"""),FALSE)</f>
        <v>0</v>
      </c>
      <c r="E1855" s="20" t="str">
        <f>IFERROR(__xludf.DUMMYFUNCTION("""COMPUTED_VALUE"""),"Easy")</f>
        <v>Easy</v>
      </c>
      <c r="F1855" s="20">
        <f>IFERROR(__xludf.DUMMYFUNCTION("""COMPUTED_VALUE"""),866.0)</f>
        <v>866</v>
      </c>
      <c r="G1855" s="20">
        <f>IFERROR(__xludf.DUMMYFUNCTION("""COMPUTED_VALUE"""),138.0)</f>
        <v>138</v>
      </c>
      <c r="H1855" s="20" t="str">
        <f>IFERROR(__xludf.DUMMYFUNCTION("""COMPUTED_VALUE"""),"Algorithms")</f>
        <v>Algorithms</v>
      </c>
      <c r="I1855" s="20">
        <f>IFERROR(__xludf.DUMMYFUNCTION("""COMPUTED_VALUE"""),0.6)</f>
        <v>0.6</v>
      </c>
      <c r="J1855" s="20">
        <f>IFERROR(__xludf.DUMMYFUNCTION("""COMPUTED_VALUE"""),1854.0)</f>
        <v>1854</v>
      </c>
      <c r="K1855" s="20" t="b">
        <f>IFERROR(__xludf.DUMMYFUNCTION("""COMPUTED_VALUE"""),FALSE)</f>
        <v>0</v>
      </c>
      <c r="L1855" s="20" t="str">
        <f>IFERROR(__xludf.DUMMYFUNCTION("""COMPUTED_VALUE"""),"Array;Counting;")</f>
        <v>Array;Counting;</v>
      </c>
      <c r="M1855" s="20" t="b">
        <f>IFERROR(__xludf.DUMMYFUNCTION("""COMPUTED_VALUE"""),FALSE)</f>
        <v>0</v>
      </c>
      <c r="N1855" s="20" t="b">
        <f>IFERROR(__xludf.DUMMYFUNCTION("""COMPUTED_VALUE"""),FALSE)</f>
        <v>0</v>
      </c>
      <c r="O1855" s="20">
        <f>IFERROR(__xludf.DUMMYFUNCTION("""COMPUTED_VALUE"""),59.9895920351679)</f>
        <v>59.98959204</v>
      </c>
      <c r="P1855" s="20">
        <f>IFERROR(__xludf.DUMMYFUNCTION("""COMPUTED_VALUE"""),43805.0)</f>
        <v>43805</v>
      </c>
      <c r="Q1855" s="20">
        <f>IFERROR(__xludf.DUMMYFUNCTION("""COMPUTED_VALUE"""),73021.0)</f>
        <v>73021</v>
      </c>
    </row>
    <row r="1856">
      <c r="A1856" s="20">
        <f>IFERROR(__xludf.DUMMYFUNCTION("""COMPUTED_VALUE"""),1984.0)</f>
        <v>1984</v>
      </c>
      <c r="B1856" s="20" t="str">
        <f>IFERROR(__xludf.DUMMYFUNCTION("""COMPUTED_VALUE"""),"Maximum Distance Between a Pair of Values")</f>
        <v>Maximum Distance Between a Pair of Values</v>
      </c>
      <c r="C1856" s="20" t="str">
        <f>IFERROR(__xludf.DUMMYFUNCTION("""COMPUTED_VALUE"""),"maximum-distance-between-a-pair-of-values")</f>
        <v>maximum-distance-between-a-pair-of-values</v>
      </c>
      <c r="D1856" s="20" t="b">
        <f>IFERROR(__xludf.DUMMYFUNCTION("""COMPUTED_VALUE"""),FALSE)</f>
        <v>0</v>
      </c>
      <c r="E1856" s="20" t="str">
        <f>IFERROR(__xludf.DUMMYFUNCTION("""COMPUTED_VALUE"""),"Medium")</f>
        <v>Medium</v>
      </c>
      <c r="F1856" s="20">
        <f>IFERROR(__xludf.DUMMYFUNCTION("""COMPUTED_VALUE"""),937.0)</f>
        <v>937</v>
      </c>
      <c r="G1856" s="20">
        <f>IFERROR(__xludf.DUMMYFUNCTION("""COMPUTED_VALUE"""),21.0)</f>
        <v>21</v>
      </c>
      <c r="H1856" s="20" t="str">
        <f>IFERROR(__xludf.DUMMYFUNCTION("""COMPUTED_VALUE"""),"Algorithms")</f>
        <v>Algorithms</v>
      </c>
      <c r="I1856" s="20">
        <f>IFERROR(__xludf.DUMMYFUNCTION("""COMPUTED_VALUE"""),0.529)</f>
        <v>0.529</v>
      </c>
      <c r="J1856" s="20">
        <f>IFERROR(__xludf.DUMMYFUNCTION("""COMPUTED_VALUE"""),1855.0)</f>
        <v>1855</v>
      </c>
      <c r="K1856" s="20" t="b">
        <f>IFERROR(__xludf.DUMMYFUNCTION("""COMPUTED_VALUE"""),FALSE)</f>
        <v>0</v>
      </c>
      <c r="L1856" s="20" t="str">
        <f>IFERROR(__xludf.DUMMYFUNCTION("""COMPUTED_VALUE"""),"Array;Two Pointers;Binary Search;Greedy;")</f>
        <v>Array;Two Pointers;Binary Search;Greedy;</v>
      </c>
      <c r="M1856" s="20" t="b">
        <f>IFERROR(__xludf.DUMMYFUNCTION("""COMPUTED_VALUE"""),TRUE)</f>
        <v>1</v>
      </c>
      <c r="N1856" s="20" t="b">
        <f>IFERROR(__xludf.DUMMYFUNCTION("""COMPUTED_VALUE"""),FALSE)</f>
        <v>0</v>
      </c>
      <c r="O1856" s="20">
        <f>IFERROR(__xludf.DUMMYFUNCTION("""COMPUTED_VALUE"""),52.8713410093372)</f>
        <v>52.87134101</v>
      </c>
      <c r="P1856" s="20">
        <f>IFERROR(__xludf.DUMMYFUNCTION("""COMPUTED_VALUE"""),36918.0)</f>
        <v>36918</v>
      </c>
      <c r="Q1856" s="20">
        <f>IFERROR(__xludf.DUMMYFUNCTION("""COMPUTED_VALUE"""),69826.0)</f>
        <v>69826</v>
      </c>
    </row>
    <row r="1857">
      <c r="A1857" s="20">
        <f>IFERROR(__xludf.DUMMYFUNCTION("""COMPUTED_VALUE"""),1985.0)</f>
        <v>1985</v>
      </c>
      <c r="B1857" s="20" t="str">
        <f>IFERROR(__xludf.DUMMYFUNCTION("""COMPUTED_VALUE"""),"Maximum Subarray Min-Product")</f>
        <v>Maximum Subarray Min-Product</v>
      </c>
      <c r="C1857" s="20" t="str">
        <f>IFERROR(__xludf.DUMMYFUNCTION("""COMPUTED_VALUE"""),"maximum-subarray-min-product")</f>
        <v>maximum-subarray-min-product</v>
      </c>
      <c r="D1857" s="20" t="b">
        <f>IFERROR(__xludf.DUMMYFUNCTION("""COMPUTED_VALUE"""),FALSE)</f>
        <v>0</v>
      </c>
      <c r="E1857" s="20" t="str">
        <f>IFERROR(__xludf.DUMMYFUNCTION("""COMPUTED_VALUE"""),"Medium")</f>
        <v>Medium</v>
      </c>
      <c r="F1857" s="20">
        <f>IFERROR(__xludf.DUMMYFUNCTION("""COMPUTED_VALUE"""),1078.0)</f>
        <v>1078</v>
      </c>
      <c r="G1857" s="20">
        <f>IFERROR(__xludf.DUMMYFUNCTION("""COMPUTED_VALUE"""),79.0)</f>
        <v>79</v>
      </c>
      <c r="H1857" s="20" t="str">
        <f>IFERROR(__xludf.DUMMYFUNCTION("""COMPUTED_VALUE"""),"Algorithms")</f>
        <v>Algorithms</v>
      </c>
      <c r="I1857" s="20">
        <f>IFERROR(__xludf.DUMMYFUNCTION("""COMPUTED_VALUE"""),0.378)</f>
        <v>0.378</v>
      </c>
      <c r="J1857" s="20">
        <f>IFERROR(__xludf.DUMMYFUNCTION("""COMPUTED_VALUE"""),1856.0)</f>
        <v>1856</v>
      </c>
      <c r="K1857" s="20" t="b">
        <f>IFERROR(__xludf.DUMMYFUNCTION("""COMPUTED_VALUE"""),FALSE)</f>
        <v>0</v>
      </c>
      <c r="L1857" s="20" t="str">
        <f>IFERROR(__xludf.DUMMYFUNCTION("""COMPUTED_VALUE"""),"Array;Stack;Monotonic Stack;Prefix Sum;")</f>
        <v>Array;Stack;Monotonic Stack;Prefix Sum;</v>
      </c>
      <c r="M1857" s="20" t="b">
        <f>IFERROR(__xludf.DUMMYFUNCTION("""COMPUTED_VALUE"""),FALSE)</f>
        <v>0</v>
      </c>
      <c r="N1857" s="20" t="b">
        <f>IFERROR(__xludf.DUMMYFUNCTION("""COMPUTED_VALUE"""),FALSE)</f>
        <v>0</v>
      </c>
      <c r="O1857" s="20">
        <f>IFERROR(__xludf.DUMMYFUNCTION("""COMPUTED_VALUE"""),37.7696361748398)</f>
        <v>37.76963617</v>
      </c>
      <c r="P1857" s="20">
        <f>IFERROR(__xludf.DUMMYFUNCTION("""COMPUTED_VALUE"""),19278.0)</f>
        <v>19278</v>
      </c>
      <c r="Q1857" s="20">
        <f>IFERROR(__xludf.DUMMYFUNCTION("""COMPUTED_VALUE"""),51041.0)</f>
        <v>51041</v>
      </c>
    </row>
    <row r="1858">
      <c r="A1858" s="20">
        <f>IFERROR(__xludf.DUMMYFUNCTION("""COMPUTED_VALUE"""),1986.0)</f>
        <v>1986</v>
      </c>
      <c r="B1858" s="20" t="str">
        <f>IFERROR(__xludf.DUMMYFUNCTION("""COMPUTED_VALUE"""),"Largest Color Value in a Directed Graph")</f>
        <v>Largest Color Value in a Directed Graph</v>
      </c>
      <c r="C1858" s="20" t="str">
        <f>IFERROR(__xludf.DUMMYFUNCTION("""COMPUTED_VALUE"""),"largest-color-value-in-a-directed-graph")</f>
        <v>largest-color-value-in-a-directed-graph</v>
      </c>
      <c r="D1858" s="20" t="b">
        <f>IFERROR(__xludf.DUMMYFUNCTION("""COMPUTED_VALUE"""),FALSE)</f>
        <v>0</v>
      </c>
      <c r="E1858" s="20" t="str">
        <f>IFERROR(__xludf.DUMMYFUNCTION("""COMPUTED_VALUE"""),"Hard")</f>
        <v>Hard</v>
      </c>
      <c r="F1858" s="20">
        <f>IFERROR(__xludf.DUMMYFUNCTION("""COMPUTED_VALUE"""),619.0)</f>
        <v>619</v>
      </c>
      <c r="G1858" s="20">
        <f>IFERROR(__xludf.DUMMYFUNCTION("""COMPUTED_VALUE"""),18.0)</f>
        <v>18</v>
      </c>
      <c r="H1858" s="20" t="str">
        <f>IFERROR(__xludf.DUMMYFUNCTION("""COMPUTED_VALUE"""),"Algorithms")</f>
        <v>Algorithms</v>
      </c>
      <c r="I1858" s="20">
        <f>IFERROR(__xludf.DUMMYFUNCTION("""COMPUTED_VALUE"""),0.407)</f>
        <v>0.407</v>
      </c>
      <c r="J1858" s="20">
        <f>IFERROR(__xludf.DUMMYFUNCTION("""COMPUTED_VALUE"""),1857.0)</f>
        <v>1857</v>
      </c>
      <c r="K1858" s="20" t="b">
        <f>IFERROR(__xludf.DUMMYFUNCTION("""COMPUTED_VALUE"""),FALSE)</f>
        <v>0</v>
      </c>
      <c r="L1858" s="20" t="str">
        <f>IFERROR(__xludf.DUMMYFUNCTION("""COMPUTED_VALUE"""),"Hash Table;Dynamic Programming;Graph;Topological Sort;Memoization;Counting;")</f>
        <v>Hash Table;Dynamic Programming;Graph;Topological Sort;Memoization;Counting;</v>
      </c>
      <c r="M1858" s="20" t="b">
        <f>IFERROR(__xludf.DUMMYFUNCTION("""COMPUTED_VALUE"""),FALSE)</f>
        <v>0</v>
      </c>
      <c r="N1858" s="20" t="b">
        <f>IFERROR(__xludf.DUMMYFUNCTION("""COMPUTED_VALUE"""),FALSE)</f>
        <v>0</v>
      </c>
      <c r="O1858" s="20">
        <f>IFERROR(__xludf.DUMMYFUNCTION("""COMPUTED_VALUE"""),40.6562990440861)</f>
        <v>40.65629904</v>
      </c>
      <c r="P1858" s="20">
        <f>IFERROR(__xludf.DUMMYFUNCTION("""COMPUTED_VALUE"""),14248.0)</f>
        <v>14248</v>
      </c>
      <c r="Q1858" s="20">
        <f>IFERROR(__xludf.DUMMYFUNCTION("""COMPUTED_VALUE"""),35045.0)</f>
        <v>35045</v>
      </c>
    </row>
    <row r="1859">
      <c r="A1859" s="20">
        <f>IFERROR(__xludf.DUMMYFUNCTION("""COMPUTED_VALUE"""),2009.0)</f>
        <v>2009</v>
      </c>
      <c r="B1859" s="20" t="str">
        <f>IFERROR(__xludf.DUMMYFUNCTION("""COMPUTED_VALUE"""),"Longest Word With All Prefixes")</f>
        <v>Longest Word With All Prefixes</v>
      </c>
      <c r="C1859" s="20" t="str">
        <f>IFERROR(__xludf.DUMMYFUNCTION("""COMPUTED_VALUE"""),"longest-word-with-all-prefixes")</f>
        <v>longest-word-with-all-prefixes</v>
      </c>
      <c r="D1859" s="20" t="b">
        <f>IFERROR(__xludf.DUMMYFUNCTION("""COMPUTED_VALUE"""),TRUE)</f>
        <v>1</v>
      </c>
      <c r="E1859" s="20" t="str">
        <f>IFERROR(__xludf.DUMMYFUNCTION("""COMPUTED_VALUE"""),"Medium")</f>
        <v>Medium</v>
      </c>
      <c r="F1859" s="20">
        <f>IFERROR(__xludf.DUMMYFUNCTION("""COMPUTED_VALUE"""),139.0)</f>
        <v>139</v>
      </c>
      <c r="G1859" s="20">
        <f>IFERROR(__xludf.DUMMYFUNCTION("""COMPUTED_VALUE"""),4.0)</f>
        <v>4</v>
      </c>
      <c r="H1859" s="20" t="str">
        <f>IFERROR(__xludf.DUMMYFUNCTION("""COMPUTED_VALUE"""),"Algorithms")</f>
        <v>Algorithms</v>
      </c>
      <c r="I1859" s="20">
        <f>IFERROR(__xludf.DUMMYFUNCTION("""COMPUTED_VALUE"""),0.668)</f>
        <v>0.668</v>
      </c>
      <c r="J1859" s="20">
        <f>IFERROR(__xludf.DUMMYFUNCTION("""COMPUTED_VALUE"""),1858.0)</f>
        <v>1858</v>
      </c>
      <c r="K1859" s="20" t="b">
        <f>IFERROR(__xludf.DUMMYFUNCTION("""COMPUTED_VALUE"""),TRUE)</f>
        <v>1</v>
      </c>
      <c r="L1859" s="20" t="str">
        <f>IFERROR(__xludf.DUMMYFUNCTION("""COMPUTED_VALUE"""),"Depth-First Search;Trie;")</f>
        <v>Depth-First Search;Trie;</v>
      </c>
      <c r="M1859" s="20" t="b">
        <f>IFERROR(__xludf.DUMMYFUNCTION("""COMPUTED_VALUE"""),FALSE)</f>
        <v>0</v>
      </c>
      <c r="N1859" s="20" t="b">
        <f>IFERROR(__xludf.DUMMYFUNCTION("""COMPUTED_VALUE"""),FALSE)</f>
        <v>0</v>
      </c>
      <c r="O1859" s="20">
        <f>IFERROR(__xludf.DUMMYFUNCTION("""COMPUTED_VALUE"""),66.8009768009768)</f>
        <v>66.8009768</v>
      </c>
      <c r="P1859" s="20">
        <f>IFERROR(__xludf.DUMMYFUNCTION("""COMPUTED_VALUE"""),5471.0)</f>
        <v>5471</v>
      </c>
      <c r="Q1859" s="20">
        <f>IFERROR(__xludf.DUMMYFUNCTION("""COMPUTED_VALUE"""),8190.0)</f>
        <v>8190</v>
      </c>
    </row>
    <row r="1860">
      <c r="A1860" s="20">
        <f>IFERROR(__xludf.DUMMYFUNCTION("""COMPUTED_VALUE"""),1970.0)</f>
        <v>1970</v>
      </c>
      <c r="B1860" s="20" t="str">
        <f>IFERROR(__xludf.DUMMYFUNCTION("""COMPUTED_VALUE"""),"Sorting the Sentence")</f>
        <v>Sorting the Sentence</v>
      </c>
      <c r="C1860" s="20" t="str">
        <f>IFERROR(__xludf.DUMMYFUNCTION("""COMPUTED_VALUE"""),"sorting-the-sentence")</f>
        <v>sorting-the-sentence</v>
      </c>
      <c r="D1860" s="20" t="b">
        <f>IFERROR(__xludf.DUMMYFUNCTION("""COMPUTED_VALUE"""),FALSE)</f>
        <v>0</v>
      </c>
      <c r="E1860" s="20" t="str">
        <f>IFERROR(__xludf.DUMMYFUNCTION("""COMPUTED_VALUE"""),"Easy")</f>
        <v>Easy</v>
      </c>
      <c r="F1860" s="20">
        <f>IFERROR(__xludf.DUMMYFUNCTION("""COMPUTED_VALUE"""),1528.0)</f>
        <v>1528</v>
      </c>
      <c r="G1860" s="20">
        <f>IFERROR(__xludf.DUMMYFUNCTION("""COMPUTED_VALUE"""),48.0)</f>
        <v>48</v>
      </c>
      <c r="H1860" s="20" t="str">
        <f>IFERROR(__xludf.DUMMYFUNCTION("""COMPUTED_VALUE"""),"Algorithms")</f>
        <v>Algorithms</v>
      </c>
      <c r="I1860" s="20">
        <f>IFERROR(__xludf.DUMMYFUNCTION("""COMPUTED_VALUE"""),0.843)</f>
        <v>0.843</v>
      </c>
      <c r="J1860" s="20">
        <f>IFERROR(__xludf.DUMMYFUNCTION("""COMPUTED_VALUE"""),1859.0)</f>
        <v>1859</v>
      </c>
      <c r="K1860" s="20" t="b">
        <f>IFERROR(__xludf.DUMMYFUNCTION("""COMPUTED_VALUE"""),FALSE)</f>
        <v>0</v>
      </c>
      <c r="L1860" s="20" t="str">
        <f>IFERROR(__xludf.DUMMYFUNCTION("""COMPUTED_VALUE"""),"String;Sorting;")</f>
        <v>String;Sorting;</v>
      </c>
      <c r="M1860" s="20" t="b">
        <f>IFERROR(__xludf.DUMMYFUNCTION("""COMPUTED_VALUE"""),FALSE)</f>
        <v>0</v>
      </c>
      <c r="N1860" s="20" t="b">
        <f>IFERROR(__xludf.DUMMYFUNCTION("""COMPUTED_VALUE"""),FALSE)</f>
        <v>0</v>
      </c>
      <c r="O1860" s="20">
        <f>IFERROR(__xludf.DUMMYFUNCTION("""COMPUTED_VALUE"""),84.3241118876339)</f>
        <v>84.32411189</v>
      </c>
      <c r="P1860" s="20">
        <f>IFERROR(__xludf.DUMMYFUNCTION("""COMPUTED_VALUE"""),98696.0)</f>
        <v>98696</v>
      </c>
      <c r="Q1860" s="20">
        <f>IFERROR(__xludf.DUMMYFUNCTION("""COMPUTED_VALUE"""),117043.0)</f>
        <v>117043</v>
      </c>
    </row>
    <row r="1861">
      <c r="A1861" s="20">
        <f>IFERROR(__xludf.DUMMYFUNCTION("""COMPUTED_VALUE"""),1971.0)</f>
        <v>1971</v>
      </c>
      <c r="B1861" s="20" t="str">
        <f>IFERROR(__xludf.DUMMYFUNCTION("""COMPUTED_VALUE"""),"Incremental Memory Leak")</f>
        <v>Incremental Memory Leak</v>
      </c>
      <c r="C1861" s="20" t="str">
        <f>IFERROR(__xludf.DUMMYFUNCTION("""COMPUTED_VALUE"""),"incremental-memory-leak")</f>
        <v>incremental-memory-leak</v>
      </c>
      <c r="D1861" s="20" t="b">
        <f>IFERROR(__xludf.DUMMYFUNCTION("""COMPUTED_VALUE"""),FALSE)</f>
        <v>0</v>
      </c>
      <c r="E1861" s="20" t="str">
        <f>IFERROR(__xludf.DUMMYFUNCTION("""COMPUTED_VALUE"""),"Medium")</f>
        <v>Medium</v>
      </c>
      <c r="F1861" s="20">
        <f>IFERROR(__xludf.DUMMYFUNCTION("""COMPUTED_VALUE"""),166.0)</f>
        <v>166</v>
      </c>
      <c r="G1861" s="20">
        <f>IFERROR(__xludf.DUMMYFUNCTION("""COMPUTED_VALUE"""),69.0)</f>
        <v>69</v>
      </c>
      <c r="H1861" s="20" t="str">
        <f>IFERROR(__xludf.DUMMYFUNCTION("""COMPUTED_VALUE"""),"Algorithms")</f>
        <v>Algorithms</v>
      </c>
      <c r="I1861" s="20">
        <f>IFERROR(__xludf.DUMMYFUNCTION("""COMPUTED_VALUE"""),0.719)</f>
        <v>0.719</v>
      </c>
      <c r="J1861" s="20">
        <f>IFERROR(__xludf.DUMMYFUNCTION("""COMPUTED_VALUE"""),1860.0)</f>
        <v>1860</v>
      </c>
      <c r="K1861" s="20" t="b">
        <f>IFERROR(__xludf.DUMMYFUNCTION("""COMPUTED_VALUE"""),FALSE)</f>
        <v>0</v>
      </c>
      <c r="L1861" s="20" t="str">
        <f>IFERROR(__xludf.DUMMYFUNCTION("""COMPUTED_VALUE"""),"Simulation;")</f>
        <v>Simulation;</v>
      </c>
      <c r="M1861" s="20" t="b">
        <f>IFERROR(__xludf.DUMMYFUNCTION("""COMPUTED_VALUE"""),FALSE)</f>
        <v>0</v>
      </c>
      <c r="N1861" s="20" t="b">
        <f>IFERROR(__xludf.DUMMYFUNCTION("""COMPUTED_VALUE"""),FALSE)</f>
        <v>0</v>
      </c>
      <c r="O1861" s="20">
        <f>IFERROR(__xludf.DUMMYFUNCTION("""COMPUTED_VALUE"""),71.9180432331748)</f>
        <v>71.91804323</v>
      </c>
      <c r="P1861" s="20">
        <f>IFERROR(__xludf.DUMMYFUNCTION("""COMPUTED_VALUE"""),14672.0)</f>
        <v>14672</v>
      </c>
      <c r="Q1861" s="20">
        <f>IFERROR(__xludf.DUMMYFUNCTION("""COMPUTED_VALUE"""),20401.0)</f>
        <v>20401</v>
      </c>
    </row>
    <row r="1862">
      <c r="A1862" s="20">
        <f>IFERROR(__xludf.DUMMYFUNCTION("""COMPUTED_VALUE"""),1972.0)</f>
        <v>1972</v>
      </c>
      <c r="B1862" s="20" t="str">
        <f>IFERROR(__xludf.DUMMYFUNCTION("""COMPUTED_VALUE"""),"Rotating the Box")</f>
        <v>Rotating the Box</v>
      </c>
      <c r="C1862" s="20" t="str">
        <f>IFERROR(__xludf.DUMMYFUNCTION("""COMPUTED_VALUE"""),"rotating-the-box")</f>
        <v>rotating-the-box</v>
      </c>
      <c r="D1862" s="20" t="b">
        <f>IFERROR(__xludf.DUMMYFUNCTION("""COMPUTED_VALUE"""),FALSE)</f>
        <v>0</v>
      </c>
      <c r="E1862" s="20" t="str">
        <f>IFERROR(__xludf.DUMMYFUNCTION("""COMPUTED_VALUE"""),"Medium")</f>
        <v>Medium</v>
      </c>
      <c r="F1862" s="20">
        <f>IFERROR(__xludf.DUMMYFUNCTION("""COMPUTED_VALUE"""),766.0)</f>
        <v>766</v>
      </c>
      <c r="G1862" s="20">
        <f>IFERROR(__xludf.DUMMYFUNCTION("""COMPUTED_VALUE"""),47.0)</f>
        <v>47</v>
      </c>
      <c r="H1862" s="20" t="str">
        <f>IFERROR(__xludf.DUMMYFUNCTION("""COMPUTED_VALUE"""),"Algorithms")</f>
        <v>Algorithms</v>
      </c>
      <c r="I1862" s="20">
        <f>IFERROR(__xludf.DUMMYFUNCTION("""COMPUTED_VALUE"""),0.648)</f>
        <v>0.648</v>
      </c>
      <c r="J1862" s="20">
        <f>IFERROR(__xludf.DUMMYFUNCTION("""COMPUTED_VALUE"""),1861.0)</f>
        <v>1861</v>
      </c>
      <c r="K1862" s="20" t="b">
        <f>IFERROR(__xludf.DUMMYFUNCTION("""COMPUTED_VALUE"""),FALSE)</f>
        <v>0</v>
      </c>
      <c r="L1862" s="20" t="str">
        <f>IFERROR(__xludf.DUMMYFUNCTION("""COMPUTED_VALUE"""),"Array;Two Pointers;Matrix;")</f>
        <v>Array;Two Pointers;Matrix;</v>
      </c>
      <c r="M1862" s="20" t="b">
        <f>IFERROR(__xludf.DUMMYFUNCTION("""COMPUTED_VALUE"""),FALSE)</f>
        <v>0</v>
      </c>
      <c r="N1862" s="20" t="b">
        <f>IFERROR(__xludf.DUMMYFUNCTION("""COMPUTED_VALUE"""),FALSE)</f>
        <v>0</v>
      </c>
      <c r="O1862" s="20">
        <f>IFERROR(__xludf.DUMMYFUNCTION("""COMPUTED_VALUE"""),64.8110545154185)</f>
        <v>64.81105452</v>
      </c>
      <c r="P1862" s="20">
        <f>IFERROR(__xludf.DUMMYFUNCTION("""COMPUTED_VALUE"""),37663.0)</f>
        <v>37663</v>
      </c>
      <c r="Q1862" s="20">
        <f>IFERROR(__xludf.DUMMYFUNCTION("""COMPUTED_VALUE"""),58112.0)</f>
        <v>58112</v>
      </c>
    </row>
    <row r="1863">
      <c r="A1863" s="20">
        <f>IFERROR(__xludf.DUMMYFUNCTION("""COMPUTED_VALUE"""),1326.0)</f>
        <v>1326</v>
      </c>
      <c r="B1863" s="20" t="str">
        <f>IFERROR(__xludf.DUMMYFUNCTION("""COMPUTED_VALUE"""),"Sum of Floored Pairs")</f>
        <v>Sum of Floored Pairs</v>
      </c>
      <c r="C1863" s="20" t="str">
        <f>IFERROR(__xludf.DUMMYFUNCTION("""COMPUTED_VALUE"""),"sum-of-floored-pairs")</f>
        <v>sum-of-floored-pairs</v>
      </c>
      <c r="D1863" s="20" t="b">
        <f>IFERROR(__xludf.DUMMYFUNCTION("""COMPUTED_VALUE"""),FALSE)</f>
        <v>0</v>
      </c>
      <c r="E1863" s="20" t="str">
        <f>IFERROR(__xludf.DUMMYFUNCTION("""COMPUTED_VALUE"""),"Hard")</f>
        <v>Hard</v>
      </c>
      <c r="F1863" s="20">
        <f>IFERROR(__xludf.DUMMYFUNCTION("""COMPUTED_VALUE"""),362.0)</f>
        <v>362</v>
      </c>
      <c r="G1863" s="20">
        <f>IFERROR(__xludf.DUMMYFUNCTION("""COMPUTED_VALUE"""),33.0)</f>
        <v>33</v>
      </c>
      <c r="H1863" s="20" t="str">
        <f>IFERROR(__xludf.DUMMYFUNCTION("""COMPUTED_VALUE"""),"Algorithms")</f>
        <v>Algorithms</v>
      </c>
      <c r="I1863" s="20">
        <f>IFERROR(__xludf.DUMMYFUNCTION("""COMPUTED_VALUE"""),0.281)</f>
        <v>0.281</v>
      </c>
      <c r="J1863" s="20">
        <f>IFERROR(__xludf.DUMMYFUNCTION("""COMPUTED_VALUE"""),1862.0)</f>
        <v>1862</v>
      </c>
      <c r="K1863" s="20" t="b">
        <f>IFERROR(__xludf.DUMMYFUNCTION("""COMPUTED_VALUE"""),FALSE)</f>
        <v>0</v>
      </c>
      <c r="L1863" s="20" t="str">
        <f>IFERROR(__xludf.DUMMYFUNCTION("""COMPUTED_VALUE"""),"Array;Math;Binary Search;Prefix Sum;")</f>
        <v>Array;Math;Binary Search;Prefix Sum;</v>
      </c>
      <c r="M1863" s="20" t="b">
        <f>IFERROR(__xludf.DUMMYFUNCTION("""COMPUTED_VALUE"""),FALSE)</f>
        <v>0</v>
      </c>
      <c r="N1863" s="20" t="b">
        <f>IFERROR(__xludf.DUMMYFUNCTION("""COMPUTED_VALUE"""),FALSE)</f>
        <v>0</v>
      </c>
      <c r="O1863" s="20">
        <f>IFERROR(__xludf.DUMMYFUNCTION("""COMPUTED_VALUE"""),28.1161584407419)</f>
        <v>28.11615844</v>
      </c>
      <c r="P1863" s="20">
        <f>IFERROR(__xludf.DUMMYFUNCTION("""COMPUTED_VALUE"""),7155.0)</f>
        <v>7155</v>
      </c>
      <c r="Q1863" s="20">
        <f>IFERROR(__xludf.DUMMYFUNCTION("""COMPUTED_VALUE"""),25448.0)</f>
        <v>25448</v>
      </c>
    </row>
    <row r="1864">
      <c r="A1864" s="20">
        <f>IFERROR(__xludf.DUMMYFUNCTION("""COMPUTED_VALUE"""),1993.0)</f>
        <v>1993</v>
      </c>
      <c r="B1864" s="20" t="str">
        <f>IFERROR(__xludf.DUMMYFUNCTION("""COMPUTED_VALUE"""),"Sum of All Subset XOR Totals")</f>
        <v>Sum of All Subset XOR Totals</v>
      </c>
      <c r="C1864" s="20" t="str">
        <f>IFERROR(__xludf.DUMMYFUNCTION("""COMPUTED_VALUE"""),"sum-of-all-subset-xor-totals")</f>
        <v>sum-of-all-subset-xor-totals</v>
      </c>
      <c r="D1864" s="20" t="b">
        <f>IFERROR(__xludf.DUMMYFUNCTION("""COMPUTED_VALUE"""),FALSE)</f>
        <v>0</v>
      </c>
      <c r="E1864" s="20" t="str">
        <f>IFERROR(__xludf.DUMMYFUNCTION("""COMPUTED_VALUE"""),"Easy")</f>
        <v>Easy</v>
      </c>
      <c r="F1864" s="20">
        <f>IFERROR(__xludf.DUMMYFUNCTION("""COMPUTED_VALUE"""),1136.0)</f>
        <v>1136</v>
      </c>
      <c r="G1864" s="20">
        <f>IFERROR(__xludf.DUMMYFUNCTION("""COMPUTED_VALUE"""),100.0)</f>
        <v>100</v>
      </c>
      <c r="H1864" s="20" t="str">
        <f>IFERROR(__xludf.DUMMYFUNCTION("""COMPUTED_VALUE"""),"Algorithms")</f>
        <v>Algorithms</v>
      </c>
      <c r="I1864" s="20">
        <f>IFERROR(__xludf.DUMMYFUNCTION("""COMPUTED_VALUE"""),0.793)</f>
        <v>0.793</v>
      </c>
      <c r="J1864" s="20">
        <f>IFERROR(__xludf.DUMMYFUNCTION("""COMPUTED_VALUE"""),1863.0)</f>
        <v>1863</v>
      </c>
      <c r="K1864" s="20" t="b">
        <f>IFERROR(__xludf.DUMMYFUNCTION("""COMPUTED_VALUE"""),FALSE)</f>
        <v>0</v>
      </c>
      <c r="L1864" s="20" t="str">
        <f>IFERROR(__xludf.DUMMYFUNCTION("""COMPUTED_VALUE"""),"Array;Math;Backtracking;Bit Manipulation;Combinatorics;")</f>
        <v>Array;Math;Backtracking;Bit Manipulation;Combinatorics;</v>
      </c>
      <c r="M1864" s="20" t="b">
        <f>IFERROR(__xludf.DUMMYFUNCTION("""COMPUTED_VALUE"""),FALSE)</f>
        <v>0</v>
      </c>
      <c r="N1864" s="20" t="b">
        <f>IFERROR(__xludf.DUMMYFUNCTION("""COMPUTED_VALUE"""),FALSE)</f>
        <v>0</v>
      </c>
      <c r="O1864" s="20">
        <f>IFERROR(__xludf.DUMMYFUNCTION("""COMPUTED_VALUE"""),79.2573024126803)</f>
        <v>79.25730241</v>
      </c>
      <c r="P1864" s="20">
        <f>IFERROR(__xludf.DUMMYFUNCTION("""COMPUTED_VALUE"""),47403.0)</f>
        <v>47403</v>
      </c>
      <c r="Q1864" s="20">
        <f>IFERROR(__xludf.DUMMYFUNCTION("""COMPUTED_VALUE"""),59809.0)</f>
        <v>59809</v>
      </c>
    </row>
    <row r="1865">
      <c r="A1865" s="20">
        <f>IFERROR(__xludf.DUMMYFUNCTION("""COMPUTED_VALUE"""),1994.0)</f>
        <v>1994</v>
      </c>
      <c r="B1865" s="20" t="str">
        <f>IFERROR(__xludf.DUMMYFUNCTION("""COMPUTED_VALUE"""),"Minimum Number of Swaps to Make the Binary String Alternating")</f>
        <v>Minimum Number of Swaps to Make the Binary String Alternating</v>
      </c>
      <c r="C1865" s="20" t="str">
        <f>IFERROR(__xludf.DUMMYFUNCTION("""COMPUTED_VALUE"""),"minimum-number-of-swaps-to-make-the-binary-string-alternating")</f>
        <v>minimum-number-of-swaps-to-make-the-binary-string-alternating</v>
      </c>
      <c r="D1865" s="20" t="b">
        <f>IFERROR(__xludf.DUMMYFUNCTION("""COMPUTED_VALUE"""),FALSE)</f>
        <v>0</v>
      </c>
      <c r="E1865" s="20" t="str">
        <f>IFERROR(__xludf.DUMMYFUNCTION("""COMPUTED_VALUE"""),"Medium")</f>
        <v>Medium</v>
      </c>
      <c r="F1865" s="20">
        <f>IFERROR(__xludf.DUMMYFUNCTION("""COMPUTED_VALUE"""),468.0)</f>
        <v>468</v>
      </c>
      <c r="G1865" s="20">
        <f>IFERROR(__xludf.DUMMYFUNCTION("""COMPUTED_VALUE"""),31.0)</f>
        <v>31</v>
      </c>
      <c r="H1865" s="20" t="str">
        <f>IFERROR(__xludf.DUMMYFUNCTION("""COMPUTED_VALUE"""),"Algorithms")</f>
        <v>Algorithms</v>
      </c>
      <c r="I1865" s="20">
        <f>IFERROR(__xludf.DUMMYFUNCTION("""COMPUTED_VALUE"""),0.427)</f>
        <v>0.427</v>
      </c>
      <c r="J1865" s="20">
        <f>IFERROR(__xludf.DUMMYFUNCTION("""COMPUTED_VALUE"""),1864.0)</f>
        <v>1864</v>
      </c>
      <c r="K1865" s="20" t="b">
        <f>IFERROR(__xludf.DUMMYFUNCTION("""COMPUTED_VALUE"""),FALSE)</f>
        <v>0</v>
      </c>
      <c r="L1865" s="20" t="str">
        <f>IFERROR(__xludf.DUMMYFUNCTION("""COMPUTED_VALUE"""),"String;Greedy;")</f>
        <v>String;Greedy;</v>
      </c>
      <c r="M1865" s="20" t="b">
        <f>IFERROR(__xludf.DUMMYFUNCTION("""COMPUTED_VALUE"""),FALSE)</f>
        <v>0</v>
      </c>
      <c r="N1865" s="20" t="b">
        <f>IFERROR(__xludf.DUMMYFUNCTION("""COMPUTED_VALUE"""),FALSE)</f>
        <v>0</v>
      </c>
      <c r="O1865" s="20">
        <f>IFERROR(__xludf.DUMMYFUNCTION("""COMPUTED_VALUE"""),42.6563159905878)</f>
        <v>42.65631599</v>
      </c>
      <c r="P1865" s="20">
        <f>IFERROR(__xludf.DUMMYFUNCTION("""COMPUTED_VALUE"""),21210.0)</f>
        <v>21210</v>
      </c>
      <c r="Q1865" s="20">
        <f>IFERROR(__xludf.DUMMYFUNCTION("""COMPUTED_VALUE"""),49723.0)</f>
        <v>49723</v>
      </c>
    </row>
    <row r="1866">
      <c r="A1866" s="20">
        <f>IFERROR(__xludf.DUMMYFUNCTION("""COMPUTED_VALUE"""),1995.0)</f>
        <v>1995</v>
      </c>
      <c r="B1866" s="20" t="str">
        <f>IFERROR(__xludf.DUMMYFUNCTION("""COMPUTED_VALUE"""),"Finding Pairs With a Certain Sum")</f>
        <v>Finding Pairs With a Certain Sum</v>
      </c>
      <c r="C1866" s="20" t="str">
        <f>IFERROR(__xludf.DUMMYFUNCTION("""COMPUTED_VALUE"""),"finding-pairs-with-a-certain-sum")</f>
        <v>finding-pairs-with-a-certain-sum</v>
      </c>
      <c r="D1866" s="20" t="b">
        <f>IFERROR(__xludf.DUMMYFUNCTION("""COMPUTED_VALUE"""),FALSE)</f>
        <v>0</v>
      </c>
      <c r="E1866" s="20" t="str">
        <f>IFERROR(__xludf.DUMMYFUNCTION("""COMPUTED_VALUE"""),"Medium")</f>
        <v>Medium</v>
      </c>
      <c r="F1866" s="20">
        <f>IFERROR(__xludf.DUMMYFUNCTION("""COMPUTED_VALUE"""),448.0)</f>
        <v>448</v>
      </c>
      <c r="G1866" s="20">
        <f>IFERROR(__xludf.DUMMYFUNCTION("""COMPUTED_VALUE"""),88.0)</f>
        <v>88</v>
      </c>
      <c r="H1866" s="20" t="str">
        <f>IFERROR(__xludf.DUMMYFUNCTION("""COMPUTED_VALUE"""),"Algorithms")</f>
        <v>Algorithms</v>
      </c>
      <c r="I1866" s="20">
        <f>IFERROR(__xludf.DUMMYFUNCTION("""COMPUTED_VALUE"""),0.503)</f>
        <v>0.503</v>
      </c>
      <c r="J1866" s="20">
        <f>IFERROR(__xludf.DUMMYFUNCTION("""COMPUTED_VALUE"""),1865.0)</f>
        <v>1865</v>
      </c>
      <c r="K1866" s="20" t="b">
        <f>IFERROR(__xludf.DUMMYFUNCTION("""COMPUTED_VALUE"""),FALSE)</f>
        <v>0</v>
      </c>
      <c r="L1866" s="20" t="str">
        <f>IFERROR(__xludf.DUMMYFUNCTION("""COMPUTED_VALUE"""),"Array;Hash Table;Design;")</f>
        <v>Array;Hash Table;Design;</v>
      </c>
      <c r="M1866" s="20" t="b">
        <f>IFERROR(__xludf.DUMMYFUNCTION("""COMPUTED_VALUE"""),FALSE)</f>
        <v>0</v>
      </c>
      <c r="N1866" s="20" t="b">
        <f>IFERROR(__xludf.DUMMYFUNCTION("""COMPUTED_VALUE"""),FALSE)</f>
        <v>0</v>
      </c>
      <c r="O1866" s="20">
        <f>IFERROR(__xludf.DUMMYFUNCTION("""COMPUTED_VALUE"""),50.3125492462047)</f>
        <v>50.31254925</v>
      </c>
      <c r="P1866" s="20">
        <f>IFERROR(__xludf.DUMMYFUNCTION("""COMPUTED_VALUE"""),19156.0)</f>
        <v>19156</v>
      </c>
      <c r="Q1866" s="20">
        <f>IFERROR(__xludf.DUMMYFUNCTION("""COMPUTED_VALUE"""),38074.0)</f>
        <v>38074</v>
      </c>
    </row>
    <row r="1867">
      <c r="A1867" s="20">
        <f>IFERROR(__xludf.DUMMYFUNCTION("""COMPUTED_VALUE"""),1996.0)</f>
        <v>1996</v>
      </c>
      <c r="B1867" s="20" t="str">
        <f>IFERROR(__xludf.DUMMYFUNCTION("""COMPUTED_VALUE"""),"Number of Ways to Rearrange Sticks With K Sticks Visible")</f>
        <v>Number of Ways to Rearrange Sticks With K Sticks Visible</v>
      </c>
      <c r="C1867" s="20" t="str">
        <f>IFERROR(__xludf.DUMMYFUNCTION("""COMPUTED_VALUE"""),"number-of-ways-to-rearrange-sticks-with-k-sticks-visible")</f>
        <v>number-of-ways-to-rearrange-sticks-with-k-sticks-visible</v>
      </c>
      <c r="D1867" s="20" t="b">
        <f>IFERROR(__xludf.DUMMYFUNCTION("""COMPUTED_VALUE"""),FALSE)</f>
        <v>0</v>
      </c>
      <c r="E1867" s="20" t="str">
        <f>IFERROR(__xludf.DUMMYFUNCTION("""COMPUTED_VALUE"""),"Hard")</f>
        <v>Hard</v>
      </c>
      <c r="F1867" s="20">
        <f>IFERROR(__xludf.DUMMYFUNCTION("""COMPUTED_VALUE"""),561.0)</f>
        <v>561</v>
      </c>
      <c r="G1867" s="20">
        <f>IFERROR(__xludf.DUMMYFUNCTION("""COMPUTED_VALUE"""),12.0)</f>
        <v>12</v>
      </c>
      <c r="H1867" s="20" t="str">
        <f>IFERROR(__xludf.DUMMYFUNCTION("""COMPUTED_VALUE"""),"Algorithms")</f>
        <v>Algorithms</v>
      </c>
      <c r="I1867" s="20">
        <f>IFERROR(__xludf.DUMMYFUNCTION("""COMPUTED_VALUE"""),0.556)</f>
        <v>0.556</v>
      </c>
      <c r="J1867" s="20">
        <f>IFERROR(__xludf.DUMMYFUNCTION("""COMPUTED_VALUE"""),1866.0)</f>
        <v>1866</v>
      </c>
      <c r="K1867" s="20" t="b">
        <f>IFERROR(__xludf.DUMMYFUNCTION("""COMPUTED_VALUE"""),FALSE)</f>
        <v>0</v>
      </c>
      <c r="L1867" s="20" t="str">
        <f>IFERROR(__xludf.DUMMYFUNCTION("""COMPUTED_VALUE"""),"Math;Dynamic Programming;Combinatorics;")</f>
        <v>Math;Dynamic Programming;Combinatorics;</v>
      </c>
      <c r="M1867" s="20" t="b">
        <f>IFERROR(__xludf.DUMMYFUNCTION("""COMPUTED_VALUE"""),FALSE)</f>
        <v>0</v>
      </c>
      <c r="N1867" s="20" t="b">
        <f>IFERROR(__xludf.DUMMYFUNCTION("""COMPUTED_VALUE"""),FALSE)</f>
        <v>0</v>
      </c>
      <c r="O1867" s="20">
        <f>IFERROR(__xludf.DUMMYFUNCTION("""COMPUTED_VALUE"""),55.6447648697361)</f>
        <v>55.64476487</v>
      </c>
      <c r="P1867" s="20">
        <f>IFERROR(__xludf.DUMMYFUNCTION("""COMPUTED_VALUE"""),10188.0)</f>
        <v>10188</v>
      </c>
      <c r="Q1867" s="20">
        <f>IFERROR(__xludf.DUMMYFUNCTION("""COMPUTED_VALUE"""),18309.0)</f>
        <v>18309</v>
      </c>
    </row>
    <row r="1868">
      <c r="A1868" s="20">
        <f>IFERROR(__xludf.DUMMYFUNCTION("""COMPUTED_VALUE"""),2014.0)</f>
        <v>2014</v>
      </c>
      <c r="B1868" s="20" t="str">
        <f>IFERROR(__xludf.DUMMYFUNCTION("""COMPUTED_VALUE"""),"Orders With Maximum Quantity Above Average")</f>
        <v>Orders With Maximum Quantity Above Average</v>
      </c>
      <c r="C1868" s="20" t="str">
        <f>IFERROR(__xludf.DUMMYFUNCTION("""COMPUTED_VALUE"""),"orders-with-maximum-quantity-above-average")</f>
        <v>orders-with-maximum-quantity-above-average</v>
      </c>
      <c r="D1868" s="20" t="b">
        <f>IFERROR(__xludf.DUMMYFUNCTION("""COMPUTED_VALUE"""),TRUE)</f>
        <v>1</v>
      </c>
      <c r="E1868" s="20" t="str">
        <f>IFERROR(__xludf.DUMMYFUNCTION("""COMPUTED_VALUE"""),"Medium")</f>
        <v>Medium</v>
      </c>
      <c r="F1868" s="20">
        <f>IFERROR(__xludf.DUMMYFUNCTION("""COMPUTED_VALUE"""),57.0)</f>
        <v>57</v>
      </c>
      <c r="G1868" s="20">
        <f>IFERROR(__xludf.DUMMYFUNCTION("""COMPUTED_VALUE"""),211.0)</f>
        <v>211</v>
      </c>
      <c r="H1868" s="20" t="str">
        <f>IFERROR(__xludf.DUMMYFUNCTION("""COMPUTED_VALUE"""),"Database")</f>
        <v>Database</v>
      </c>
      <c r="I1868" s="20">
        <f>IFERROR(__xludf.DUMMYFUNCTION("""COMPUTED_VALUE"""),0.753)</f>
        <v>0.753</v>
      </c>
      <c r="J1868" s="20">
        <f>IFERROR(__xludf.DUMMYFUNCTION("""COMPUTED_VALUE"""),1867.0)</f>
        <v>1867</v>
      </c>
      <c r="K1868" s="20" t="b">
        <f>IFERROR(__xludf.DUMMYFUNCTION("""COMPUTED_VALUE"""),TRUE)</f>
        <v>1</v>
      </c>
      <c r="L1868" s="20" t="str">
        <f>IFERROR(__xludf.DUMMYFUNCTION("""COMPUTED_VALUE"""),"Database;")</f>
        <v>Database;</v>
      </c>
      <c r="M1868" s="20" t="b">
        <f>IFERROR(__xludf.DUMMYFUNCTION("""COMPUTED_VALUE"""),FALSE)</f>
        <v>0</v>
      </c>
      <c r="N1868" s="20" t="b">
        <f>IFERROR(__xludf.DUMMYFUNCTION("""COMPUTED_VALUE"""),FALSE)</f>
        <v>0</v>
      </c>
      <c r="O1868" s="20">
        <f>IFERROR(__xludf.DUMMYFUNCTION("""COMPUTED_VALUE"""),75.285891655231)</f>
        <v>75.28589166</v>
      </c>
      <c r="P1868" s="20">
        <f>IFERROR(__xludf.DUMMYFUNCTION("""COMPUTED_VALUE"""),11521.0)</f>
        <v>11521</v>
      </c>
      <c r="Q1868" s="20">
        <f>IFERROR(__xludf.DUMMYFUNCTION("""COMPUTED_VALUE"""),15303.0)</f>
        <v>15303</v>
      </c>
    </row>
    <row r="1869">
      <c r="A1869" s="20">
        <f>IFERROR(__xludf.DUMMYFUNCTION("""COMPUTED_VALUE"""),2019.0)</f>
        <v>2019</v>
      </c>
      <c r="B1869" s="20" t="str">
        <f>IFERROR(__xludf.DUMMYFUNCTION("""COMPUTED_VALUE"""),"Product of Two Run-Length Encoded Arrays")</f>
        <v>Product of Two Run-Length Encoded Arrays</v>
      </c>
      <c r="C1869" s="20" t="str">
        <f>IFERROR(__xludf.DUMMYFUNCTION("""COMPUTED_VALUE"""),"product-of-two-run-length-encoded-arrays")</f>
        <v>product-of-two-run-length-encoded-arrays</v>
      </c>
      <c r="D1869" s="20" t="b">
        <f>IFERROR(__xludf.DUMMYFUNCTION("""COMPUTED_VALUE"""),TRUE)</f>
        <v>1</v>
      </c>
      <c r="E1869" s="20" t="str">
        <f>IFERROR(__xludf.DUMMYFUNCTION("""COMPUTED_VALUE"""),"Medium")</f>
        <v>Medium</v>
      </c>
      <c r="F1869" s="20">
        <f>IFERROR(__xludf.DUMMYFUNCTION("""COMPUTED_VALUE"""),274.0)</f>
        <v>274</v>
      </c>
      <c r="G1869" s="20">
        <f>IFERROR(__xludf.DUMMYFUNCTION("""COMPUTED_VALUE"""),45.0)</f>
        <v>45</v>
      </c>
      <c r="H1869" s="20" t="str">
        <f>IFERROR(__xludf.DUMMYFUNCTION("""COMPUTED_VALUE"""),"Algorithms")</f>
        <v>Algorithms</v>
      </c>
      <c r="I1869" s="20">
        <f>IFERROR(__xludf.DUMMYFUNCTION("""COMPUTED_VALUE"""),0.578)</f>
        <v>0.578</v>
      </c>
      <c r="J1869" s="20">
        <f>IFERROR(__xludf.DUMMYFUNCTION("""COMPUTED_VALUE"""),1868.0)</f>
        <v>1868</v>
      </c>
      <c r="K1869" s="20" t="b">
        <f>IFERROR(__xludf.DUMMYFUNCTION("""COMPUTED_VALUE"""),TRUE)</f>
        <v>1</v>
      </c>
      <c r="L1869" s="20" t="str">
        <f>IFERROR(__xludf.DUMMYFUNCTION("""COMPUTED_VALUE"""),"Array;Two Pointers;")</f>
        <v>Array;Two Pointers;</v>
      </c>
      <c r="M1869" s="20" t="b">
        <f>IFERROR(__xludf.DUMMYFUNCTION("""COMPUTED_VALUE"""),FALSE)</f>
        <v>0</v>
      </c>
      <c r="N1869" s="20" t="b">
        <f>IFERROR(__xludf.DUMMYFUNCTION("""COMPUTED_VALUE"""),FALSE)</f>
        <v>0</v>
      </c>
      <c r="O1869" s="20">
        <f>IFERROR(__xludf.DUMMYFUNCTION("""COMPUTED_VALUE"""),57.7758310664392)</f>
        <v>57.77583107</v>
      </c>
      <c r="P1869" s="20">
        <f>IFERROR(__xludf.DUMMYFUNCTION("""COMPUTED_VALUE"""),25062.0)</f>
        <v>25062</v>
      </c>
      <c r="Q1869" s="20">
        <f>IFERROR(__xludf.DUMMYFUNCTION("""COMPUTED_VALUE"""),43378.0)</f>
        <v>43378</v>
      </c>
    </row>
    <row r="1870">
      <c r="A1870" s="20">
        <f>IFERROR(__xludf.DUMMYFUNCTION("""COMPUTED_VALUE"""),1999.0)</f>
        <v>1999</v>
      </c>
      <c r="B1870" s="20" t="str">
        <f>IFERROR(__xludf.DUMMYFUNCTION("""COMPUTED_VALUE"""),"Longer Contiguous Segments of Ones than Zeros")</f>
        <v>Longer Contiguous Segments of Ones than Zeros</v>
      </c>
      <c r="C1870" s="20" t="str">
        <f>IFERROR(__xludf.DUMMYFUNCTION("""COMPUTED_VALUE"""),"longer-contiguous-segments-of-ones-than-zeros")</f>
        <v>longer-contiguous-segments-of-ones-than-zeros</v>
      </c>
      <c r="D1870" s="20" t="b">
        <f>IFERROR(__xludf.DUMMYFUNCTION("""COMPUTED_VALUE"""),FALSE)</f>
        <v>0</v>
      </c>
      <c r="E1870" s="20" t="str">
        <f>IFERROR(__xludf.DUMMYFUNCTION("""COMPUTED_VALUE"""),"Easy")</f>
        <v>Easy</v>
      </c>
      <c r="F1870" s="20">
        <f>IFERROR(__xludf.DUMMYFUNCTION("""COMPUTED_VALUE"""),392.0)</f>
        <v>392</v>
      </c>
      <c r="G1870" s="20">
        <f>IFERROR(__xludf.DUMMYFUNCTION("""COMPUTED_VALUE"""),8.0)</f>
        <v>8</v>
      </c>
      <c r="H1870" s="20" t="str">
        <f>IFERROR(__xludf.DUMMYFUNCTION("""COMPUTED_VALUE"""),"Algorithms")</f>
        <v>Algorithms</v>
      </c>
      <c r="I1870" s="20">
        <f>IFERROR(__xludf.DUMMYFUNCTION("""COMPUTED_VALUE"""),0.603)</f>
        <v>0.603</v>
      </c>
      <c r="J1870" s="20">
        <f>IFERROR(__xludf.DUMMYFUNCTION("""COMPUTED_VALUE"""),1869.0)</f>
        <v>1869</v>
      </c>
      <c r="K1870" s="20" t="b">
        <f>IFERROR(__xludf.DUMMYFUNCTION("""COMPUTED_VALUE"""),FALSE)</f>
        <v>0</v>
      </c>
      <c r="L1870" s="20" t="str">
        <f>IFERROR(__xludf.DUMMYFUNCTION("""COMPUTED_VALUE"""),"String;")</f>
        <v>String;</v>
      </c>
      <c r="M1870" s="20" t="b">
        <f>IFERROR(__xludf.DUMMYFUNCTION("""COMPUTED_VALUE"""),FALSE)</f>
        <v>0</v>
      </c>
      <c r="N1870" s="20" t="b">
        <f>IFERROR(__xludf.DUMMYFUNCTION("""COMPUTED_VALUE"""),FALSE)</f>
        <v>0</v>
      </c>
      <c r="O1870" s="20">
        <f>IFERROR(__xludf.DUMMYFUNCTION("""COMPUTED_VALUE"""),60.328129761945)</f>
        <v>60.32812976</v>
      </c>
      <c r="P1870" s="20">
        <f>IFERROR(__xludf.DUMMYFUNCTION("""COMPUTED_VALUE"""),35631.0)</f>
        <v>35631</v>
      </c>
      <c r="Q1870" s="20">
        <f>IFERROR(__xludf.DUMMYFUNCTION("""COMPUTED_VALUE"""),59062.0)</f>
        <v>59062</v>
      </c>
    </row>
    <row r="1871">
      <c r="A1871" s="20">
        <f>IFERROR(__xludf.DUMMYFUNCTION("""COMPUTED_VALUE"""),2000.0)</f>
        <v>2000</v>
      </c>
      <c r="B1871" s="20" t="str">
        <f>IFERROR(__xludf.DUMMYFUNCTION("""COMPUTED_VALUE"""),"Minimum Speed to Arrive on Time")</f>
        <v>Minimum Speed to Arrive on Time</v>
      </c>
      <c r="C1871" s="20" t="str">
        <f>IFERROR(__xludf.DUMMYFUNCTION("""COMPUTED_VALUE"""),"minimum-speed-to-arrive-on-time")</f>
        <v>minimum-speed-to-arrive-on-time</v>
      </c>
      <c r="D1871" s="20" t="b">
        <f>IFERROR(__xludf.DUMMYFUNCTION("""COMPUTED_VALUE"""),FALSE)</f>
        <v>0</v>
      </c>
      <c r="E1871" s="20" t="str">
        <f>IFERROR(__xludf.DUMMYFUNCTION("""COMPUTED_VALUE"""),"Medium")</f>
        <v>Medium</v>
      </c>
      <c r="F1871" s="20">
        <f>IFERROR(__xludf.DUMMYFUNCTION("""COMPUTED_VALUE"""),669.0)</f>
        <v>669</v>
      </c>
      <c r="G1871" s="20">
        <f>IFERROR(__xludf.DUMMYFUNCTION("""COMPUTED_VALUE"""),94.0)</f>
        <v>94</v>
      </c>
      <c r="H1871" s="20" t="str">
        <f>IFERROR(__xludf.DUMMYFUNCTION("""COMPUTED_VALUE"""),"Algorithms")</f>
        <v>Algorithms</v>
      </c>
      <c r="I1871" s="20">
        <f>IFERROR(__xludf.DUMMYFUNCTION("""COMPUTED_VALUE"""),0.376)</f>
        <v>0.376</v>
      </c>
      <c r="J1871" s="20">
        <f>IFERROR(__xludf.DUMMYFUNCTION("""COMPUTED_VALUE"""),1870.0)</f>
        <v>1870</v>
      </c>
      <c r="K1871" s="20" t="b">
        <f>IFERROR(__xludf.DUMMYFUNCTION("""COMPUTED_VALUE"""),FALSE)</f>
        <v>0</v>
      </c>
      <c r="L1871" s="20" t="str">
        <f>IFERROR(__xludf.DUMMYFUNCTION("""COMPUTED_VALUE"""),"Array;Binary Search;")</f>
        <v>Array;Binary Search;</v>
      </c>
      <c r="M1871" s="20" t="b">
        <f>IFERROR(__xludf.DUMMYFUNCTION("""COMPUTED_VALUE"""),FALSE)</f>
        <v>0</v>
      </c>
      <c r="N1871" s="20" t="b">
        <f>IFERROR(__xludf.DUMMYFUNCTION("""COMPUTED_VALUE"""),FALSE)</f>
        <v>0</v>
      </c>
      <c r="O1871" s="20">
        <f>IFERROR(__xludf.DUMMYFUNCTION("""COMPUTED_VALUE"""),37.6097061138419)</f>
        <v>37.60970611</v>
      </c>
      <c r="P1871" s="20">
        <f>IFERROR(__xludf.DUMMYFUNCTION("""COMPUTED_VALUE"""),25326.0)</f>
        <v>25326</v>
      </c>
      <c r="Q1871" s="20">
        <f>IFERROR(__xludf.DUMMYFUNCTION("""COMPUTED_VALUE"""),67338.0)</f>
        <v>67338</v>
      </c>
    </row>
    <row r="1872">
      <c r="A1872" s="20">
        <f>IFERROR(__xludf.DUMMYFUNCTION("""COMPUTED_VALUE"""),2001.0)</f>
        <v>2001</v>
      </c>
      <c r="B1872" s="20" t="str">
        <f>IFERROR(__xludf.DUMMYFUNCTION("""COMPUTED_VALUE"""),"Jump Game VII")</f>
        <v>Jump Game VII</v>
      </c>
      <c r="C1872" s="20" t="str">
        <f>IFERROR(__xludf.DUMMYFUNCTION("""COMPUTED_VALUE"""),"jump-game-vii")</f>
        <v>jump-game-vii</v>
      </c>
      <c r="D1872" s="20" t="b">
        <f>IFERROR(__xludf.DUMMYFUNCTION("""COMPUTED_VALUE"""),FALSE)</f>
        <v>0</v>
      </c>
      <c r="E1872" s="20" t="str">
        <f>IFERROR(__xludf.DUMMYFUNCTION("""COMPUTED_VALUE"""),"Medium")</f>
        <v>Medium</v>
      </c>
      <c r="F1872" s="20">
        <f>IFERROR(__xludf.DUMMYFUNCTION("""COMPUTED_VALUE"""),1229.0)</f>
        <v>1229</v>
      </c>
      <c r="G1872" s="20">
        <f>IFERROR(__xludf.DUMMYFUNCTION("""COMPUTED_VALUE"""),70.0)</f>
        <v>70</v>
      </c>
      <c r="H1872" s="20" t="str">
        <f>IFERROR(__xludf.DUMMYFUNCTION("""COMPUTED_VALUE"""),"Algorithms")</f>
        <v>Algorithms</v>
      </c>
      <c r="I1872" s="20">
        <f>IFERROR(__xludf.DUMMYFUNCTION("""COMPUTED_VALUE"""),0.251)</f>
        <v>0.251</v>
      </c>
      <c r="J1872" s="20">
        <f>IFERROR(__xludf.DUMMYFUNCTION("""COMPUTED_VALUE"""),1871.0)</f>
        <v>1871</v>
      </c>
      <c r="K1872" s="20" t="b">
        <f>IFERROR(__xludf.DUMMYFUNCTION("""COMPUTED_VALUE"""),FALSE)</f>
        <v>0</v>
      </c>
      <c r="L1872" s="20" t="str">
        <f>IFERROR(__xludf.DUMMYFUNCTION("""COMPUTED_VALUE"""),"Two Pointers;String;Prefix Sum;")</f>
        <v>Two Pointers;String;Prefix Sum;</v>
      </c>
      <c r="M1872" s="20" t="b">
        <f>IFERROR(__xludf.DUMMYFUNCTION("""COMPUTED_VALUE"""),FALSE)</f>
        <v>0</v>
      </c>
      <c r="N1872" s="20" t="b">
        <f>IFERROR(__xludf.DUMMYFUNCTION("""COMPUTED_VALUE"""),FALSE)</f>
        <v>0</v>
      </c>
      <c r="O1872" s="20">
        <f>IFERROR(__xludf.DUMMYFUNCTION("""COMPUTED_VALUE"""),25.1186552671657)</f>
        <v>25.11865527</v>
      </c>
      <c r="P1872" s="20">
        <f>IFERROR(__xludf.DUMMYFUNCTION("""COMPUTED_VALUE"""),31172.0)</f>
        <v>31172</v>
      </c>
      <c r="Q1872" s="20">
        <f>IFERROR(__xludf.DUMMYFUNCTION("""COMPUTED_VALUE"""),124089.0)</f>
        <v>124089</v>
      </c>
    </row>
    <row r="1873">
      <c r="A1873" s="20">
        <f>IFERROR(__xludf.DUMMYFUNCTION("""COMPUTED_VALUE"""),2002.0)</f>
        <v>2002</v>
      </c>
      <c r="B1873" s="20" t="str">
        <f>IFERROR(__xludf.DUMMYFUNCTION("""COMPUTED_VALUE"""),"Stone Game VIII")</f>
        <v>Stone Game VIII</v>
      </c>
      <c r="C1873" s="20" t="str">
        <f>IFERROR(__xludf.DUMMYFUNCTION("""COMPUTED_VALUE"""),"stone-game-viii")</f>
        <v>stone-game-viii</v>
      </c>
      <c r="D1873" s="20" t="b">
        <f>IFERROR(__xludf.DUMMYFUNCTION("""COMPUTED_VALUE"""),FALSE)</f>
        <v>0</v>
      </c>
      <c r="E1873" s="20" t="str">
        <f>IFERROR(__xludf.DUMMYFUNCTION("""COMPUTED_VALUE"""),"Hard")</f>
        <v>Hard</v>
      </c>
      <c r="F1873" s="20">
        <f>IFERROR(__xludf.DUMMYFUNCTION("""COMPUTED_VALUE"""),351.0)</f>
        <v>351</v>
      </c>
      <c r="G1873" s="20">
        <f>IFERROR(__xludf.DUMMYFUNCTION("""COMPUTED_VALUE"""),17.0)</f>
        <v>17</v>
      </c>
      <c r="H1873" s="20" t="str">
        <f>IFERROR(__xludf.DUMMYFUNCTION("""COMPUTED_VALUE"""),"Algorithms")</f>
        <v>Algorithms</v>
      </c>
      <c r="I1873" s="20">
        <f>IFERROR(__xludf.DUMMYFUNCTION("""COMPUTED_VALUE"""),0.525)</f>
        <v>0.525</v>
      </c>
      <c r="J1873" s="20">
        <f>IFERROR(__xludf.DUMMYFUNCTION("""COMPUTED_VALUE"""),1872.0)</f>
        <v>1872</v>
      </c>
      <c r="K1873" s="20" t="b">
        <f>IFERROR(__xludf.DUMMYFUNCTION("""COMPUTED_VALUE"""),FALSE)</f>
        <v>0</v>
      </c>
      <c r="L1873" s="20" t="str">
        <f>IFERROR(__xludf.DUMMYFUNCTION("""COMPUTED_VALUE"""),"Array;Math;Dynamic Programming;Prefix Sum;Game Theory;")</f>
        <v>Array;Math;Dynamic Programming;Prefix Sum;Game Theory;</v>
      </c>
      <c r="M1873" s="20" t="b">
        <f>IFERROR(__xludf.DUMMYFUNCTION("""COMPUTED_VALUE"""),FALSE)</f>
        <v>0</v>
      </c>
      <c r="N1873" s="20" t="b">
        <f>IFERROR(__xludf.DUMMYFUNCTION("""COMPUTED_VALUE"""),FALSE)</f>
        <v>0</v>
      </c>
      <c r="O1873" s="20">
        <f>IFERROR(__xludf.DUMMYFUNCTION("""COMPUTED_VALUE"""),52.5174931548524)</f>
        <v>52.51749315</v>
      </c>
      <c r="P1873" s="20">
        <f>IFERROR(__xludf.DUMMYFUNCTION("""COMPUTED_VALUE"""),6905.0)</f>
        <v>6905</v>
      </c>
      <c r="Q1873" s="20">
        <f>IFERROR(__xludf.DUMMYFUNCTION("""COMPUTED_VALUE"""),13148.0)</f>
        <v>13148</v>
      </c>
    </row>
    <row r="1874">
      <c r="A1874" s="20">
        <f>IFERROR(__xludf.DUMMYFUNCTION("""COMPUTED_VALUE"""),2024.0)</f>
        <v>2024</v>
      </c>
      <c r="B1874" s="20" t="str">
        <f>IFERROR(__xludf.DUMMYFUNCTION("""COMPUTED_VALUE"""),"Calculate Special Bonus")</f>
        <v>Calculate Special Bonus</v>
      </c>
      <c r="C1874" s="20" t="str">
        <f>IFERROR(__xludf.DUMMYFUNCTION("""COMPUTED_VALUE"""),"calculate-special-bonus")</f>
        <v>calculate-special-bonus</v>
      </c>
      <c r="D1874" s="20" t="b">
        <f>IFERROR(__xludf.DUMMYFUNCTION("""COMPUTED_VALUE"""),FALSE)</f>
        <v>0</v>
      </c>
      <c r="E1874" s="20" t="str">
        <f>IFERROR(__xludf.DUMMYFUNCTION("""COMPUTED_VALUE"""),"Easy")</f>
        <v>Easy</v>
      </c>
      <c r="F1874" s="20">
        <f>IFERROR(__xludf.DUMMYFUNCTION("""COMPUTED_VALUE"""),663.0)</f>
        <v>663</v>
      </c>
      <c r="G1874" s="20">
        <f>IFERROR(__xludf.DUMMYFUNCTION("""COMPUTED_VALUE"""),49.0)</f>
        <v>49</v>
      </c>
      <c r="H1874" s="20" t="str">
        <f>IFERROR(__xludf.DUMMYFUNCTION("""COMPUTED_VALUE"""),"Database")</f>
        <v>Database</v>
      </c>
      <c r="I1874" s="20">
        <f>IFERROR(__xludf.DUMMYFUNCTION("""COMPUTED_VALUE"""),0.62)</f>
        <v>0.62</v>
      </c>
      <c r="J1874" s="20">
        <f>IFERROR(__xludf.DUMMYFUNCTION("""COMPUTED_VALUE"""),1873.0)</f>
        <v>1873</v>
      </c>
      <c r="K1874" s="20" t="b">
        <f>IFERROR(__xludf.DUMMYFUNCTION("""COMPUTED_VALUE"""),FALSE)</f>
        <v>0</v>
      </c>
      <c r="L1874" s="20" t="str">
        <f>IFERROR(__xludf.DUMMYFUNCTION("""COMPUTED_VALUE"""),"Database;")</f>
        <v>Database;</v>
      </c>
      <c r="M1874" s="20" t="b">
        <f>IFERROR(__xludf.DUMMYFUNCTION("""COMPUTED_VALUE"""),FALSE)</f>
        <v>0</v>
      </c>
      <c r="N1874" s="20" t="b">
        <f>IFERROR(__xludf.DUMMYFUNCTION("""COMPUTED_VALUE"""),FALSE)</f>
        <v>0</v>
      </c>
      <c r="O1874" s="20">
        <f>IFERROR(__xludf.DUMMYFUNCTION("""COMPUTED_VALUE"""),62.0188036909047)</f>
        <v>62.01880369</v>
      </c>
      <c r="P1874" s="20">
        <f>IFERROR(__xludf.DUMMYFUNCTION("""COMPUTED_VALUE"""),120775.0)</f>
        <v>120775</v>
      </c>
      <c r="Q1874" s="20">
        <f>IFERROR(__xludf.DUMMYFUNCTION("""COMPUTED_VALUE"""),194739.0)</f>
        <v>194739</v>
      </c>
    </row>
    <row r="1875">
      <c r="A1875" s="20">
        <f>IFERROR(__xludf.DUMMYFUNCTION("""COMPUTED_VALUE"""),2029.0)</f>
        <v>2029</v>
      </c>
      <c r="B1875" s="20" t="str">
        <f>IFERROR(__xludf.DUMMYFUNCTION("""COMPUTED_VALUE"""),"Minimize Product Sum of Two Arrays")</f>
        <v>Minimize Product Sum of Two Arrays</v>
      </c>
      <c r="C1875" s="20" t="str">
        <f>IFERROR(__xludf.DUMMYFUNCTION("""COMPUTED_VALUE"""),"minimize-product-sum-of-two-arrays")</f>
        <v>minimize-product-sum-of-two-arrays</v>
      </c>
      <c r="D1875" s="20" t="b">
        <f>IFERROR(__xludf.DUMMYFUNCTION("""COMPUTED_VALUE"""),TRUE)</f>
        <v>1</v>
      </c>
      <c r="E1875" s="20" t="str">
        <f>IFERROR(__xludf.DUMMYFUNCTION("""COMPUTED_VALUE"""),"Medium")</f>
        <v>Medium</v>
      </c>
      <c r="F1875" s="20">
        <f>IFERROR(__xludf.DUMMYFUNCTION("""COMPUTED_VALUE"""),200.0)</f>
        <v>200</v>
      </c>
      <c r="G1875" s="20">
        <f>IFERROR(__xludf.DUMMYFUNCTION("""COMPUTED_VALUE"""),23.0)</f>
        <v>23</v>
      </c>
      <c r="H1875" s="20" t="str">
        <f>IFERROR(__xludf.DUMMYFUNCTION("""COMPUTED_VALUE"""),"Algorithms")</f>
        <v>Algorithms</v>
      </c>
      <c r="I1875" s="20">
        <f>IFERROR(__xludf.DUMMYFUNCTION("""COMPUTED_VALUE"""),0.903)</f>
        <v>0.903</v>
      </c>
      <c r="J1875" s="20">
        <f>IFERROR(__xludf.DUMMYFUNCTION("""COMPUTED_VALUE"""),1874.0)</f>
        <v>1874</v>
      </c>
      <c r="K1875" s="20" t="b">
        <f>IFERROR(__xludf.DUMMYFUNCTION("""COMPUTED_VALUE"""),TRUE)</f>
        <v>1</v>
      </c>
      <c r="L1875" s="20" t="str">
        <f>IFERROR(__xludf.DUMMYFUNCTION("""COMPUTED_VALUE"""),"Array;Greedy;Sorting;")</f>
        <v>Array;Greedy;Sorting;</v>
      </c>
      <c r="M1875" s="20" t="b">
        <f>IFERROR(__xludf.DUMMYFUNCTION("""COMPUTED_VALUE"""),TRUE)</f>
        <v>1</v>
      </c>
      <c r="N1875" s="20" t="b">
        <f>IFERROR(__xludf.DUMMYFUNCTION("""COMPUTED_VALUE"""),FALSE)</f>
        <v>0</v>
      </c>
      <c r="O1875" s="20">
        <f>IFERROR(__xludf.DUMMYFUNCTION("""COMPUTED_VALUE"""),90.3350362361886)</f>
        <v>90.33503624</v>
      </c>
      <c r="P1875" s="20">
        <f>IFERROR(__xludf.DUMMYFUNCTION("""COMPUTED_VALUE"""),15207.0)</f>
        <v>15207</v>
      </c>
      <c r="Q1875" s="20">
        <f>IFERROR(__xludf.DUMMYFUNCTION("""COMPUTED_VALUE"""),16834.0)</f>
        <v>16834</v>
      </c>
    </row>
    <row r="1876">
      <c r="A1876" s="20">
        <f>IFERROR(__xludf.DUMMYFUNCTION("""COMPUTED_VALUE"""),2030.0)</f>
        <v>2030</v>
      </c>
      <c r="B1876" s="20" t="str">
        <f>IFERROR(__xludf.DUMMYFUNCTION("""COMPUTED_VALUE"""),"Group Employees of the Same Salary")</f>
        <v>Group Employees of the Same Salary</v>
      </c>
      <c r="C1876" s="20" t="str">
        <f>IFERROR(__xludf.DUMMYFUNCTION("""COMPUTED_VALUE"""),"group-employees-of-the-same-salary")</f>
        <v>group-employees-of-the-same-salary</v>
      </c>
      <c r="D1876" s="20" t="b">
        <f>IFERROR(__xludf.DUMMYFUNCTION("""COMPUTED_VALUE"""),TRUE)</f>
        <v>1</v>
      </c>
      <c r="E1876" s="20" t="str">
        <f>IFERROR(__xludf.DUMMYFUNCTION("""COMPUTED_VALUE"""),"Medium")</f>
        <v>Medium</v>
      </c>
      <c r="F1876" s="20">
        <f>IFERROR(__xludf.DUMMYFUNCTION("""COMPUTED_VALUE"""),53.0)</f>
        <v>53</v>
      </c>
      <c r="G1876" s="20">
        <f>IFERROR(__xludf.DUMMYFUNCTION("""COMPUTED_VALUE"""),5.0)</f>
        <v>5</v>
      </c>
      <c r="H1876" s="20" t="str">
        <f>IFERROR(__xludf.DUMMYFUNCTION("""COMPUTED_VALUE"""),"Database")</f>
        <v>Database</v>
      </c>
      <c r="I1876" s="20">
        <f>IFERROR(__xludf.DUMMYFUNCTION("""COMPUTED_VALUE"""),0.752)</f>
        <v>0.752</v>
      </c>
      <c r="J1876" s="20">
        <f>IFERROR(__xludf.DUMMYFUNCTION("""COMPUTED_VALUE"""),1875.0)</f>
        <v>1875</v>
      </c>
      <c r="K1876" s="20" t="b">
        <f>IFERROR(__xludf.DUMMYFUNCTION("""COMPUTED_VALUE"""),TRUE)</f>
        <v>1</v>
      </c>
      <c r="L1876" s="20" t="str">
        <f>IFERROR(__xludf.DUMMYFUNCTION("""COMPUTED_VALUE"""),"Database;")</f>
        <v>Database;</v>
      </c>
      <c r="M1876" s="20" t="b">
        <f>IFERROR(__xludf.DUMMYFUNCTION("""COMPUTED_VALUE"""),FALSE)</f>
        <v>0</v>
      </c>
      <c r="N1876" s="20" t="b">
        <f>IFERROR(__xludf.DUMMYFUNCTION("""COMPUTED_VALUE"""),FALSE)</f>
        <v>0</v>
      </c>
      <c r="O1876" s="20">
        <f>IFERROR(__xludf.DUMMYFUNCTION("""COMPUTED_VALUE"""),75.2400874774175)</f>
        <v>75.24008748</v>
      </c>
      <c r="P1876" s="20">
        <f>IFERROR(__xludf.DUMMYFUNCTION("""COMPUTED_VALUE"""),7913.0)</f>
        <v>7913</v>
      </c>
      <c r="Q1876" s="20">
        <f>IFERROR(__xludf.DUMMYFUNCTION("""COMPUTED_VALUE"""),10517.0)</f>
        <v>10517</v>
      </c>
    </row>
    <row r="1877">
      <c r="A1877" s="20">
        <f>IFERROR(__xludf.DUMMYFUNCTION("""COMPUTED_VALUE"""),1987.0)</f>
        <v>1987</v>
      </c>
      <c r="B1877" s="20" t="str">
        <f>IFERROR(__xludf.DUMMYFUNCTION("""COMPUTED_VALUE"""),"Substrings of Size Three with Distinct Characters")</f>
        <v>Substrings of Size Three with Distinct Characters</v>
      </c>
      <c r="C1877" s="20" t="str">
        <f>IFERROR(__xludf.DUMMYFUNCTION("""COMPUTED_VALUE"""),"substrings-of-size-three-with-distinct-characters")</f>
        <v>substrings-of-size-three-with-distinct-characters</v>
      </c>
      <c r="D1877" s="20" t="b">
        <f>IFERROR(__xludf.DUMMYFUNCTION("""COMPUTED_VALUE"""),FALSE)</f>
        <v>0</v>
      </c>
      <c r="E1877" s="20" t="str">
        <f>IFERROR(__xludf.DUMMYFUNCTION("""COMPUTED_VALUE"""),"Easy")</f>
        <v>Easy</v>
      </c>
      <c r="F1877" s="20">
        <f>IFERROR(__xludf.DUMMYFUNCTION("""COMPUTED_VALUE"""),954.0)</f>
        <v>954</v>
      </c>
      <c r="G1877" s="20">
        <f>IFERROR(__xludf.DUMMYFUNCTION("""COMPUTED_VALUE"""),27.0)</f>
        <v>27</v>
      </c>
      <c r="H1877" s="20" t="str">
        <f>IFERROR(__xludf.DUMMYFUNCTION("""COMPUTED_VALUE"""),"Algorithms")</f>
        <v>Algorithms</v>
      </c>
      <c r="I1877" s="20">
        <f>IFERROR(__xludf.DUMMYFUNCTION("""COMPUTED_VALUE"""),0.705)</f>
        <v>0.705</v>
      </c>
      <c r="J1877" s="20">
        <f>IFERROR(__xludf.DUMMYFUNCTION("""COMPUTED_VALUE"""),1876.0)</f>
        <v>1876</v>
      </c>
      <c r="K1877" s="20" t="b">
        <f>IFERROR(__xludf.DUMMYFUNCTION("""COMPUTED_VALUE"""),FALSE)</f>
        <v>0</v>
      </c>
      <c r="L1877" s="20" t="str">
        <f>IFERROR(__xludf.DUMMYFUNCTION("""COMPUTED_VALUE"""),"Hash Table;String;Sliding Window;Counting;")</f>
        <v>Hash Table;String;Sliding Window;Counting;</v>
      </c>
      <c r="M1877" s="20" t="b">
        <f>IFERROR(__xludf.DUMMYFUNCTION("""COMPUTED_VALUE"""),FALSE)</f>
        <v>0</v>
      </c>
      <c r="N1877" s="20" t="b">
        <f>IFERROR(__xludf.DUMMYFUNCTION("""COMPUTED_VALUE"""),FALSE)</f>
        <v>0</v>
      </c>
      <c r="O1877" s="20">
        <f>IFERROR(__xludf.DUMMYFUNCTION("""COMPUTED_VALUE"""),70.4998237424289)</f>
        <v>70.49982374</v>
      </c>
      <c r="P1877" s="20">
        <f>IFERROR(__xludf.DUMMYFUNCTION("""COMPUTED_VALUE"""),65993.0)</f>
        <v>65993</v>
      </c>
      <c r="Q1877" s="20">
        <f>IFERROR(__xludf.DUMMYFUNCTION("""COMPUTED_VALUE"""),93609.0)</f>
        <v>93609</v>
      </c>
    </row>
    <row r="1878">
      <c r="A1878" s="20">
        <f>IFERROR(__xludf.DUMMYFUNCTION("""COMPUTED_VALUE"""),1988.0)</f>
        <v>1988</v>
      </c>
      <c r="B1878" s="20" t="str">
        <f>IFERROR(__xludf.DUMMYFUNCTION("""COMPUTED_VALUE"""),"Minimize Maximum Pair Sum in Array")</f>
        <v>Minimize Maximum Pair Sum in Array</v>
      </c>
      <c r="C1878" s="20" t="str">
        <f>IFERROR(__xludf.DUMMYFUNCTION("""COMPUTED_VALUE"""),"minimize-maximum-pair-sum-in-array")</f>
        <v>minimize-maximum-pair-sum-in-array</v>
      </c>
      <c r="D1878" s="20" t="b">
        <f>IFERROR(__xludf.DUMMYFUNCTION("""COMPUTED_VALUE"""),FALSE)</f>
        <v>0</v>
      </c>
      <c r="E1878" s="20" t="str">
        <f>IFERROR(__xludf.DUMMYFUNCTION("""COMPUTED_VALUE"""),"Medium")</f>
        <v>Medium</v>
      </c>
      <c r="F1878" s="20">
        <f>IFERROR(__xludf.DUMMYFUNCTION("""COMPUTED_VALUE"""),944.0)</f>
        <v>944</v>
      </c>
      <c r="G1878" s="20">
        <f>IFERROR(__xludf.DUMMYFUNCTION("""COMPUTED_VALUE"""),234.0)</f>
        <v>234</v>
      </c>
      <c r="H1878" s="20" t="str">
        <f>IFERROR(__xludf.DUMMYFUNCTION("""COMPUTED_VALUE"""),"Algorithms")</f>
        <v>Algorithms</v>
      </c>
      <c r="I1878" s="20">
        <f>IFERROR(__xludf.DUMMYFUNCTION("""COMPUTED_VALUE"""),0.802)</f>
        <v>0.802</v>
      </c>
      <c r="J1878" s="20">
        <f>IFERROR(__xludf.DUMMYFUNCTION("""COMPUTED_VALUE"""),1877.0)</f>
        <v>1877</v>
      </c>
      <c r="K1878" s="20" t="b">
        <f>IFERROR(__xludf.DUMMYFUNCTION("""COMPUTED_VALUE"""),FALSE)</f>
        <v>0</v>
      </c>
      <c r="L1878" s="20" t="str">
        <f>IFERROR(__xludf.DUMMYFUNCTION("""COMPUTED_VALUE"""),"Array;Two Pointers;Greedy;Sorting;")</f>
        <v>Array;Two Pointers;Greedy;Sorting;</v>
      </c>
      <c r="M1878" s="20" t="b">
        <f>IFERROR(__xludf.DUMMYFUNCTION("""COMPUTED_VALUE"""),FALSE)</f>
        <v>0</v>
      </c>
      <c r="N1878" s="20" t="b">
        <f>IFERROR(__xludf.DUMMYFUNCTION("""COMPUTED_VALUE"""),FALSE)</f>
        <v>0</v>
      </c>
      <c r="O1878" s="20">
        <f>IFERROR(__xludf.DUMMYFUNCTION("""COMPUTED_VALUE"""),80.174095386716)</f>
        <v>80.17409539</v>
      </c>
      <c r="P1878" s="20">
        <f>IFERROR(__xludf.DUMMYFUNCTION("""COMPUTED_VALUE"""),65761.0)</f>
        <v>65761</v>
      </c>
      <c r="Q1878" s="20">
        <f>IFERROR(__xludf.DUMMYFUNCTION("""COMPUTED_VALUE"""),82023.0)</f>
        <v>82023</v>
      </c>
    </row>
    <row r="1879">
      <c r="A1879" s="20">
        <f>IFERROR(__xludf.DUMMYFUNCTION("""COMPUTED_VALUE"""),1990.0)</f>
        <v>1990</v>
      </c>
      <c r="B1879" s="20" t="str">
        <f>IFERROR(__xludf.DUMMYFUNCTION("""COMPUTED_VALUE"""),"Get Biggest Three Rhombus Sums in a Grid")</f>
        <v>Get Biggest Three Rhombus Sums in a Grid</v>
      </c>
      <c r="C1879" s="20" t="str">
        <f>IFERROR(__xludf.DUMMYFUNCTION("""COMPUTED_VALUE"""),"get-biggest-three-rhombus-sums-in-a-grid")</f>
        <v>get-biggest-three-rhombus-sums-in-a-grid</v>
      </c>
      <c r="D1879" s="20" t="b">
        <f>IFERROR(__xludf.DUMMYFUNCTION("""COMPUTED_VALUE"""),FALSE)</f>
        <v>0</v>
      </c>
      <c r="E1879" s="20" t="str">
        <f>IFERROR(__xludf.DUMMYFUNCTION("""COMPUTED_VALUE"""),"Medium")</f>
        <v>Medium</v>
      </c>
      <c r="F1879" s="20">
        <f>IFERROR(__xludf.DUMMYFUNCTION("""COMPUTED_VALUE"""),148.0)</f>
        <v>148</v>
      </c>
      <c r="G1879" s="20">
        <f>IFERROR(__xludf.DUMMYFUNCTION("""COMPUTED_VALUE"""),438.0)</f>
        <v>438</v>
      </c>
      <c r="H1879" s="20" t="str">
        <f>IFERROR(__xludf.DUMMYFUNCTION("""COMPUTED_VALUE"""),"Algorithms")</f>
        <v>Algorithms</v>
      </c>
      <c r="I1879" s="20">
        <f>IFERROR(__xludf.DUMMYFUNCTION("""COMPUTED_VALUE"""),0.464)</f>
        <v>0.464</v>
      </c>
      <c r="J1879" s="20">
        <f>IFERROR(__xludf.DUMMYFUNCTION("""COMPUTED_VALUE"""),1878.0)</f>
        <v>1878</v>
      </c>
      <c r="K1879" s="20" t="b">
        <f>IFERROR(__xludf.DUMMYFUNCTION("""COMPUTED_VALUE"""),FALSE)</f>
        <v>0</v>
      </c>
      <c r="L1879" s="20" t="str">
        <f>IFERROR(__xludf.DUMMYFUNCTION("""COMPUTED_VALUE"""),"Array;Math;Sorting;Heap (Priority Queue);Matrix;Prefix Sum;")</f>
        <v>Array;Math;Sorting;Heap (Priority Queue);Matrix;Prefix Sum;</v>
      </c>
      <c r="M1879" s="20" t="b">
        <f>IFERROR(__xludf.DUMMYFUNCTION("""COMPUTED_VALUE"""),FALSE)</f>
        <v>0</v>
      </c>
      <c r="N1879" s="20" t="b">
        <f>IFERROR(__xludf.DUMMYFUNCTION("""COMPUTED_VALUE"""),FALSE)</f>
        <v>0</v>
      </c>
      <c r="O1879" s="20">
        <f>IFERROR(__xludf.DUMMYFUNCTION("""COMPUTED_VALUE"""),46.4282879593618)</f>
        <v>46.42828796</v>
      </c>
      <c r="P1879" s="20">
        <f>IFERROR(__xludf.DUMMYFUNCTION("""COMPUTED_VALUE"""),11698.0)</f>
        <v>11698</v>
      </c>
      <c r="Q1879" s="20">
        <f>IFERROR(__xludf.DUMMYFUNCTION("""COMPUTED_VALUE"""),25197.0)</f>
        <v>25197</v>
      </c>
    </row>
    <row r="1880">
      <c r="A1880" s="20">
        <f>IFERROR(__xludf.DUMMYFUNCTION("""COMPUTED_VALUE"""),1989.0)</f>
        <v>1989</v>
      </c>
      <c r="B1880" s="20" t="str">
        <f>IFERROR(__xludf.DUMMYFUNCTION("""COMPUTED_VALUE"""),"Minimum XOR Sum of Two Arrays")</f>
        <v>Minimum XOR Sum of Two Arrays</v>
      </c>
      <c r="C1880" s="20" t="str">
        <f>IFERROR(__xludf.DUMMYFUNCTION("""COMPUTED_VALUE"""),"minimum-xor-sum-of-two-arrays")</f>
        <v>minimum-xor-sum-of-two-arrays</v>
      </c>
      <c r="D1880" s="20" t="b">
        <f>IFERROR(__xludf.DUMMYFUNCTION("""COMPUTED_VALUE"""),FALSE)</f>
        <v>0</v>
      </c>
      <c r="E1880" s="20" t="str">
        <f>IFERROR(__xludf.DUMMYFUNCTION("""COMPUTED_VALUE"""),"Hard")</f>
        <v>Hard</v>
      </c>
      <c r="F1880" s="20">
        <f>IFERROR(__xludf.DUMMYFUNCTION("""COMPUTED_VALUE"""),525.0)</f>
        <v>525</v>
      </c>
      <c r="G1880" s="20">
        <f>IFERROR(__xludf.DUMMYFUNCTION("""COMPUTED_VALUE"""),10.0)</f>
        <v>10</v>
      </c>
      <c r="H1880" s="20" t="str">
        <f>IFERROR(__xludf.DUMMYFUNCTION("""COMPUTED_VALUE"""),"Algorithms")</f>
        <v>Algorithms</v>
      </c>
      <c r="I1880" s="20">
        <f>IFERROR(__xludf.DUMMYFUNCTION("""COMPUTED_VALUE"""),0.449)</f>
        <v>0.449</v>
      </c>
      <c r="J1880" s="20">
        <f>IFERROR(__xludf.DUMMYFUNCTION("""COMPUTED_VALUE"""),1879.0)</f>
        <v>1879</v>
      </c>
      <c r="K1880" s="20" t="b">
        <f>IFERROR(__xludf.DUMMYFUNCTION("""COMPUTED_VALUE"""),FALSE)</f>
        <v>0</v>
      </c>
      <c r="L1880" s="20" t="str">
        <f>IFERROR(__xludf.DUMMYFUNCTION("""COMPUTED_VALUE"""),"Array;Dynamic Programming;Bit Manipulation;Bitmask;")</f>
        <v>Array;Dynamic Programming;Bit Manipulation;Bitmask;</v>
      </c>
      <c r="M1880" s="20" t="b">
        <f>IFERROR(__xludf.DUMMYFUNCTION("""COMPUTED_VALUE"""),FALSE)</f>
        <v>0</v>
      </c>
      <c r="N1880" s="20" t="b">
        <f>IFERROR(__xludf.DUMMYFUNCTION("""COMPUTED_VALUE"""),FALSE)</f>
        <v>0</v>
      </c>
      <c r="O1880" s="20">
        <f>IFERROR(__xludf.DUMMYFUNCTION("""COMPUTED_VALUE"""),44.9454349485786)</f>
        <v>44.94543495</v>
      </c>
      <c r="P1880" s="20">
        <f>IFERROR(__xludf.DUMMYFUNCTION("""COMPUTED_VALUE"""),10007.0)</f>
        <v>10007</v>
      </c>
      <c r="Q1880" s="20">
        <f>IFERROR(__xludf.DUMMYFUNCTION("""COMPUTED_VALUE"""),22266.0)</f>
        <v>22266</v>
      </c>
    </row>
    <row r="1881">
      <c r="A1881" s="20">
        <f>IFERROR(__xludf.DUMMYFUNCTION("""COMPUTED_VALUE"""),2010.0)</f>
        <v>2010</v>
      </c>
      <c r="B1881" s="20" t="str">
        <f>IFERROR(__xludf.DUMMYFUNCTION("""COMPUTED_VALUE"""),"Check if Word Equals Summation of Two Words")</f>
        <v>Check if Word Equals Summation of Two Words</v>
      </c>
      <c r="C1881" s="20" t="str">
        <f>IFERROR(__xludf.DUMMYFUNCTION("""COMPUTED_VALUE"""),"check-if-word-equals-summation-of-two-words")</f>
        <v>check-if-word-equals-summation-of-two-words</v>
      </c>
      <c r="D1881" s="20" t="b">
        <f>IFERROR(__xludf.DUMMYFUNCTION("""COMPUTED_VALUE"""),FALSE)</f>
        <v>0</v>
      </c>
      <c r="E1881" s="20" t="str">
        <f>IFERROR(__xludf.DUMMYFUNCTION("""COMPUTED_VALUE"""),"Easy")</f>
        <v>Easy</v>
      </c>
      <c r="F1881" s="20">
        <f>IFERROR(__xludf.DUMMYFUNCTION("""COMPUTED_VALUE"""),428.0)</f>
        <v>428</v>
      </c>
      <c r="G1881" s="20">
        <f>IFERROR(__xludf.DUMMYFUNCTION("""COMPUTED_VALUE"""),24.0)</f>
        <v>24</v>
      </c>
      <c r="H1881" s="20" t="str">
        <f>IFERROR(__xludf.DUMMYFUNCTION("""COMPUTED_VALUE"""),"Algorithms")</f>
        <v>Algorithms</v>
      </c>
      <c r="I1881" s="20">
        <f>IFERROR(__xludf.DUMMYFUNCTION("""COMPUTED_VALUE"""),0.739)</f>
        <v>0.739</v>
      </c>
      <c r="J1881" s="20">
        <f>IFERROR(__xludf.DUMMYFUNCTION("""COMPUTED_VALUE"""),1880.0)</f>
        <v>1880</v>
      </c>
      <c r="K1881" s="20" t="b">
        <f>IFERROR(__xludf.DUMMYFUNCTION("""COMPUTED_VALUE"""),FALSE)</f>
        <v>0</v>
      </c>
      <c r="L1881" s="20" t="str">
        <f>IFERROR(__xludf.DUMMYFUNCTION("""COMPUTED_VALUE"""),"String;")</f>
        <v>String;</v>
      </c>
      <c r="M1881" s="20" t="b">
        <f>IFERROR(__xludf.DUMMYFUNCTION("""COMPUTED_VALUE"""),FALSE)</f>
        <v>0</v>
      </c>
      <c r="N1881" s="20" t="b">
        <f>IFERROR(__xludf.DUMMYFUNCTION("""COMPUTED_VALUE"""),FALSE)</f>
        <v>0</v>
      </c>
      <c r="O1881" s="20">
        <f>IFERROR(__xludf.DUMMYFUNCTION("""COMPUTED_VALUE"""),73.9013260649863)</f>
        <v>73.90132606</v>
      </c>
      <c r="P1881" s="20">
        <f>IFERROR(__xludf.DUMMYFUNCTION("""COMPUTED_VALUE"""),48262.0)</f>
        <v>48262</v>
      </c>
      <c r="Q1881" s="20">
        <f>IFERROR(__xludf.DUMMYFUNCTION("""COMPUTED_VALUE"""),65306.0)</f>
        <v>65306</v>
      </c>
    </row>
    <row r="1882">
      <c r="A1882" s="20">
        <f>IFERROR(__xludf.DUMMYFUNCTION("""COMPUTED_VALUE"""),2011.0)</f>
        <v>2011</v>
      </c>
      <c r="B1882" s="20" t="str">
        <f>IFERROR(__xludf.DUMMYFUNCTION("""COMPUTED_VALUE"""),"Maximum Value after Insertion")</f>
        <v>Maximum Value after Insertion</v>
      </c>
      <c r="C1882" s="20" t="str">
        <f>IFERROR(__xludf.DUMMYFUNCTION("""COMPUTED_VALUE"""),"maximum-value-after-insertion")</f>
        <v>maximum-value-after-insertion</v>
      </c>
      <c r="D1882" s="20" t="b">
        <f>IFERROR(__xludf.DUMMYFUNCTION("""COMPUTED_VALUE"""),FALSE)</f>
        <v>0</v>
      </c>
      <c r="E1882" s="20" t="str">
        <f>IFERROR(__xludf.DUMMYFUNCTION("""COMPUTED_VALUE"""),"Medium")</f>
        <v>Medium</v>
      </c>
      <c r="F1882" s="20">
        <f>IFERROR(__xludf.DUMMYFUNCTION("""COMPUTED_VALUE"""),296.0)</f>
        <v>296</v>
      </c>
      <c r="G1882" s="20">
        <f>IFERROR(__xludf.DUMMYFUNCTION("""COMPUTED_VALUE"""),50.0)</f>
        <v>50</v>
      </c>
      <c r="H1882" s="20" t="str">
        <f>IFERROR(__xludf.DUMMYFUNCTION("""COMPUTED_VALUE"""),"Algorithms")</f>
        <v>Algorithms</v>
      </c>
      <c r="I1882" s="20">
        <f>IFERROR(__xludf.DUMMYFUNCTION("""COMPUTED_VALUE"""),0.368)</f>
        <v>0.368</v>
      </c>
      <c r="J1882" s="20">
        <f>IFERROR(__xludf.DUMMYFUNCTION("""COMPUTED_VALUE"""),1881.0)</f>
        <v>1881</v>
      </c>
      <c r="K1882" s="20" t="b">
        <f>IFERROR(__xludf.DUMMYFUNCTION("""COMPUTED_VALUE"""),FALSE)</f>
        <v>0</v>
      </c>
      <c r="L1882" s="20" t="str">
        <f>IFERROR(__xludf.DUMMYFUNCTION("""COMPUTED_VALUE"""),"String;Greedy;")</f>
        <v>String;Greedy;</v>
      </c>
      <c r="M1882" s="20" t="b">
        <f>IFERROR(__xludf.DUMMYFUNCTION("""COMPUTED_VALUE"""),FALSE)</f>
        <v>0</v>
      </c>
      <c r="N1882" s="20" t="b">
        <f>IFERROR(__xludf.DUMMYFUNCTION("""COMPUTED_VALUE"""),FALSE)</f>
        <v>0</v>
      </c>
      <c r="O1882" s="20">
        <f>IFERROR(__xludf.DUMMYFUNCTION("""COMPUTED_VALUE"""),36.7543134708471)</f>
        <v>36.75431347</v>
      </c>
      <c r="P1882" s="20">
        <f>IFERROR(__xludf.DUMMYFUNCTION("""COMPUTED_VALUE"""),21792.0)</f>
        <v>21792</v>
      </c>
      <c r="Q1882" s="20">
        <f>IFERROR(__xludf.DUMMYFUNCTION("""COMPUTED_VALUE"""),59291.0)</f>
        <v>59291</v>
      </c>
    </row>
    <row r="1883">
      <c r="A1883" s="20">
        <f>IFERROR(__xludf.DUMMYFUNCTION("""COMPUTED_VALUE"""),2012.0)</f>
        <v>2012</v>
      </c>
      <c r="B1883" s="20" t="str">
        <f>IFERROR(__xludf.DUMMYFUNCTION("""COMPUTED_VALUE"""),"Process Tasks Using Servers")</f>
        <v>Process Tasks Using Servers</v>
      </c>
      <c r="C1883" s="20" t="str">
        <f>IFERROR(__xludf.DUMMYFUNCTION("""COMPUTED_VALUE"""),"process-tasks-using-servers")</f>
        <v>process-tasks-using-servers</v>
      </c>
      <c r="D1883" s="20" t="b">
        <f>IFERROR(__xludf.DUMMYFUNCTION("""COMPUTED_VALUE"""),FALSE)</f>
        <v>0</v>
      </c>
      <c r="E1883" s="20" t="str">
        <f>IFERROR(__xludf.DUMMYFUNCTION("""COMPUTED_VALUE"""),"Medium")</f>
        <v>Medium</v>
      </c>
      <c r="F1883" s="20">
        <f>IFERROR(__xludf.DUMMYFUNCTION("""COMPUTED_VALUE"""),731.0)</f>
        <v>731</v>
      </c>
      <c r="G1883" s="20">
        <f>IFERROR(__xludf.DUMMYFUNCTION("""COMPUTED_VALUE"""),208.0)</f>
        <v>208</v>
      </c>
      <c r="H1883" s="20" t="str">
        <f>IFERROR(__xludf.DUMMYFUNCTION("""COMPUTED_VALUE"""),"Algorithms")</f>
        <v>Algorithms</v>
      </c>
      <c r="I1883" s="20">
        <f>IFERROR(__xludf.DUMMYFUNCTION("""COMPUTED_VALUE"""),0.396)</f>
        <v>0.396</v>
      </c>
      <c r="J1883" s="20">
        <f>IFERROR(__xludf.DUMMYFUNCTION("""COMPUTED_VALUE"""),1882.0)</f>
        <v>1882</v>
      </c>
      <c r="K1883" s="20" t="b">
        <f>IFERROR(__xludf.DUMMYFUNCTION("""COMPUTED_VALUE"""),FALSE)</f>
        <v>0</v>
      </c>
      <c r="L1883" s="20" t="str">
        <f>IFERROR(__xludf.DUMMYFUNCTION("""COMPUTED_VALUE"""),"Array;Heap (Priority Queue);")</f>
        <v>Array;Heap (Priority Queue);</v>
      </c>
      <c r="M1883" s="20" t="b">
        <f>IFERROR(__xludf.DUMMYFUNCTION("""COMPUTED_VALUE"""),FALSE)</f>
        <v>0</v>
      </c>
      <c r="N1883" s="20" t="b">
        <f>IFERROR(__xludf.DUMMYFUNCTION("""COMPUTED_VALUE"""),FALSE)</f>
        <v>0</v>
      </c>
      <c r="O1883" s="20">
        <f>IFERROR(__xludf.DUMMYFUNCTION("""COMPUTED_VALUE"""),39.6134621792735)</f>
        <v>39.61346218</v>
      </c>
      <c r="P1883" s="20">
        <f>IFERROR(__xludf.DUMMYFUNCTION("""COMPUTED_VALUE"""),23775.0)</f>
        <v>23775</v>
      </c>
      <c r="Q1883" s="20">
        <f>IFERROR(__xludf.DUMMYFUNCTION("""COMPUTED_VALUE"""),60019.0)</f>
        <v>60019</v>
      </c>
    </row>
    <row r="1884">
      <c r="A1884" s="20">
        <f>IFERROR(__xludf.DUMMYFUNCTION("""COMPUTED_VALUE"""),2013.0)</f>
        <v>2013</v>
      </c>
      <c r="B1884" s="20" t="str">
        <f>IFERROR(__xludf.DUMMYFUNCTION("""COMPUTED_VALUE"""),"Minimum Skips to Arrive at Meeting On Time")</f>
        <v>Minimum Skips to Arrive at Meeting On Time</v>
      </c>
      <c r="C1884" s="20" t="str">
        <f>IFERROR(__xludf.DUMMYFUNCTION("""COMPUTED_VALUE"""),"minimum-skips-to-arrive-at-meeting-on-time")</f>
        <v>minimum-skips-to-arrive-at-meeting-on-time</v>
      </c>
      <c r="D1884" s="20" t="b">
        <f>IFERROR(__xludf.DUMMYFUNCTION("""COMPUTED_VALUE"""),FALSE)</f>
        <v>0</v>
      </c>
      <c r="E1884" s="20" t="str">
        <f>IFERROR(__xludf.DUMMYFUNCTION("""COMPUTED_VALUE"""),"Hard")</f>
        <v>Hard</v>
      </c>
      <c r="F1884" s="20">
        <f>IFERROR(__xludf.DUMMYFUNCTION("""COMPUTED_VALUE"""),265.0)</f>
        <v>265</v>
      </c>
      <c r="G1884" s="20">
        <f>IFERROR(__xludf.DUMMYFUNCTION("""COMPUTED_VALUE"""),44.0)</f>
        <v>44</v>
      </c>
      <c r="H1884" s="20" t="str">
        <f>IFERROR(__xludf.DUMMYFUNCTION("""COMPUTED_VALUE"""),"Algorithms")</f>
        <v>Algorithms</v>
      </c>
      <c r="I1884" s="20">
        <f>IFERROR(__xludf.DUMMYFUNCTION("""COMPUTED_VALUE"""),0.384)</f>
        <v>0.384</v>
      </c>
      <c r="J1884" s="20">
        <f>IFERROR(__xludf.DUMMYFUNCTION("""COMPUTED_VALUE"""),1883.0)</f>
        <v>1883</v>
      </c>
      <c r="K1884" s="20" t="b">
        <f>IFERROR(__xludf.DUMMYFUNCTION("""COMPUTED_VALUE"""),FALSE)</f>
        <v>0</v>
      </c>
      <c r="L1884" s="20" t="str">
        <f>IFERROR(__xludf.DUMMYFUNCTION("""COMPUTED_VALUE"""),"Array;Dynamic Programming;")</f>
        <v>Array;Dynamic Programming;</v>
      </c>
      <c r="M1884" s="20" t="b">
        <f>IFERROR(__xludf.DUMMYFUNCTION("""COMPUTED_VALUE"""),FALSE)</f>
        <v>0</v>
      </c>
      <c r="N1884" s="20" t="b">
        <f>IFERROR(__xludf.DUMMYFUNCTION("""COMPUTED_VALUE"""),FALSE)</f>
        <v>0</v>
      </c>
      <c r="O1884" s="20">
        <f>IFERROR(__xludf.DUMMYFUNCTION("""COMPUTED_VALUE"""),38.4245296567571)</f>
        <v>38.42452966</v>
      </c>
      <c r="P1884" s="20">
        <f>IFERROR(__xludf.DUMMYFUNCTION("""COMPUTED_VALUE"""),5351.0)</f>
        <v>5351</v>
      </c>
      <c r="Q1884" s="20">
        <f>IFERROR(__xludf.DUMMYFUNCTION("""COMPUTED_VALUE"""),13926.0)</f>
        <v>13926</v>
      </c>
    </row>
    <row r="1885">
      <c r="A1885" s="20">
        <f>IFERROR(__xludf.DUMMYFUNCTION("""COMPUTED_VALUE"""),2031.0)</f>
        <v>2031</v>
      </c>
      <c r="B1885" s="20" t="str">
        <f>IFERROR(__xludf.DUMMYFUNCTION("""COMPUTED_VALUE"""),"Egg Drop With 2 Eggs and N Floors")</f>
        <v>Egg Drop With 2 Eggs and N Floors</v>
      </c>
      <c r="C1885" s="20" t="str">
        <f>IFERROR(__xludf.DUMMYFUNCTION("""COMPUTED_VALUE"""),"egg-drop-with-2-eggs-and-n-floors")</f>
        <v>egg-drop-with-2-eggs-and-n-floors</v>
      </c>
      <c r="D1885" s="20" t="b">
        <f>IFERROR(__xludf.DUMMYFUNCTION("""COMPUTED_VALUE"""),FALSE)</f>
        <v>0</v>
      </c>
      <c r="E1885" s="20" t="str">
        <f>IFERROR(__xludf.DUMMYFUNCTION("""COMPUTED_VALUE"""),"Medium")</f>
        <v>Medium</v>
      </c>
      <c r="F1885" s="20">
        <f>IFERROR(__xludf.DUMMYFUNCTION("""COMPUTED_VALUE"""),1061.0)</f>
        <v>1061</v>
      </c>
      <c r="G1885" s="20">
        <f>IFERROR(__xludf.DUMMYFUNCTION("""COMPUTED_VALUE"""),91.0)</f>
        <v>91</v>
      </c>
      <c r="H1885" s="20" t="str">
        <f>IFERROR(__xludf.DUMMYFUNCTION("""COMPUTED_VALUE"""),"Algorithms")</f>
        <v>Algorithms</v>
      </c>
      <c r="I1885" s="20">
        <f>IFERROR(__xludf.DUMMYFUNCTION("""COMPUTED_VALUE"""),0.703)</f>
        <v>0.703</v>
      </c>
      <c r="J1885" s="20">
        <f>IFERROR(__xludf.DUMMYFUNCTION("""COMPUTED_VALUE"""),1884.0)</f>
        <v>1884</v>
      </c>
      <c r="K1885" s="20" t="b">
        <f>IFERROR(__xludf.DUMMYFUNCTION("""COMPUTED_VALUE"""),FALSE)</f>
        <v>0</v>
      </c>
      <c r="L1885" s="20" t="str">
        <f>IFERROR(__xludf.DUMMYFUNCTION("""COMPUTED_VALUE"""),"Math;Dynamic Programming;")</f>
        <v>Math;Dynamic Programming;</v>
      </c>
      <c r="M1885" s="20" t="b">
        <f>IFERROR(__xludf.DUMMYFUNCTION("""COMPUTED_VALUE"""),FALSE)</f>
        <v>0</v>
      </c>
      <c r="N1885" s="20" t="b">
        <f>IFERROR(__xludf.DUMMYFUNCTION("""COMPUTED_VALUE"""),FALSE)</f>
        <v>0</v>
      </c>
      <c r="O1885" s="20">
        <f>IFERROR(__xludf.DUMMYFUNCTION("""COMPUTED_VALUE"""),70.3379794114967)</f>
        <v>70.33797941</v>
      </c>
      <c r="P1885" s="20">
        <f>IFERROR(__xludf.DUMMYFUNCTION("""COMPUTED_VALUE"""),30884.0)</f>
        <v>30884</v>
      </c>
      <c r="Q1885" s="20">
        <f>IFERROR(__xludf.DUMMYFUNCTION("""COMPUTED_VALUE"""),43908.0)</f>
        <v>43908</v>
      </c>
    </row>
    <row r="1886">
      <c r="A1886" s="20">
        <f>IFERROR(__xludf.DUMMYFUNCTION("""COMPUTED_VALUE"""),2036.0)</f>
        <v>2036</v>
      </c>
      <c r="B1886" s="20" t="str">
        <f>IFERROR(__xludf.DUMMYFUNCTION("""COMPUTED_VALUE"""),"Count Pairs in Two Arrays")</f>
        <v>Count Pairs in Two Arrays</v>
      </c>
      <c r="C1886" s="20" t="str">
        <f>IFERROR(__xludf.DUMMYFUNCTION("""COMPUTED_VALUE"""),"count-pairs-in-two-arrays")</f>
        <v>count-pairs-in-two-arrays</v>
      </c>
      <c r="D1886" s="20" t="b">
        <f>IFERROR(__xludf.DUMMYFUNCTION("""COMPUTED_VALUE"""),TRUE)</f>
        <v>1</v>
      </c>
      <c r="E1886" s="20" t="str">
        <f>IFERROR(__xludf.DUMMYFUNCTION("""COMPUTED_VALUE"""),"Medium")</f>
        <v>Medium</v>
      </c>
      <c r="F1886" s="20">
        <f>IFERROR(__xludf.DUMMYFUNCTION("""COMPUTED_VALUE"""),141.0)</f>
        <v>141</v>
      </c>
      <c r="G1886" s="20">
        <f>IFERROR(__xludf.DUMMYFUNCTION("""COMPUTED_VALUE"""),8.0)</f>
        <v>8</v>
      </c>
      <c r="H1886" s="20" t="str">
        <f>IFERROR(__xludf.DUMMYFUNCTION("""COMPUTED_VALUE"""),"Algorithms")</f>
        <v>Algorithms</v>
      </c>
      <c r="I1886" s="20">
        <f>IFERROR(__xludf.DUMMYFUNCTION("""COMPUTED_VALUE"""),0.594)</f>
        <v>0.594</v>
      </c>
      <c r="J1886" s="20">
        <f>IFERROR(__xludf.DUMMYFUNCTION("""COMPUTED_VALUE"""),1885.0)</f>
        <v>1885</v>
      </c>
      <c r="K1886" s="20" t="b">
        <f>IFERROR(__xludf.DUMMYFUNCTION("""COMPUTED_VALUE"""),TRUE)</f>
        <v>1</v>
      </c>
      <c r="L1886" s="20" t="str">
        <f>IFERROR(__xludf.DUMMYFUNCTION("""COMPUTED_VALUE"""),"Array;Binary Search;Sorting;")</f>
        <v>Array;Binary Search;Sorting;</v>
      </c>
      <c r="M1886" s="20" t="b">
        <f>IFERROR(__xludf.DUMMYFUNCTION("""COMPUTED_VALUE"""),FALSE)</f>
        <v>0</v>
      </c>
      <c r="N1886" s="20" t="b">
        <f>IFERROR(__xludf.DUMMYFUNCTION("""COMPUTED_VALUE"""),FALSE)</f>
        <v>0</v>
      </c>
      <c r="O1886" s="20">
        <f>IFERROR(__xludf.DUMMYFUNCTION("""COMPUTED_VALUE"""),59.385370076468)</f>
        <v>59.38537008</v>
      </c>
      <c r="P1886" s="20">
        <f>IFERROR(__xludf.DUMMYFUNCTION("""COMPUTED_VALUE"""),4116.0)</f>
        <v>4116</v>
      </c>
      <c r="Q1886" s="20">
        <f>IFERROR(__xludf.DUMMYFUNCTION("""COMPUTED_VALUE"""),6931.0)</f>
        <v>6931</v>
      </c>
    </row>
    <row r="1887">
      <c r="A1887" s="20">
        <f>IFERROR(__xludf.DUMMYFUNCTION("""COMPUTED_VALUE"""),2015.0)</f>
        <v>2015</v>
      </c>
      <c r="B1887" s="20" t="str">
        <f>IFERROR(__xludf.DUMMYFUNCTION("""COMPUTED_VALUE"""),"Determine Whether Matrix Can Be Obtained By Rotation")</f>
        <v>Determine Whether Matrix Can Be Obtained By Rotation</v>
      </c>
      <c r="C1887" s="20" t="str">
        <f>IFERROR(__xludf.DUMMYFUNCTION("""COMPUTED_VALUE"""),"determine-whether-matrix-can-be-obtained-by-rotation")</f>
        <v>determine-whether-matrix-can-be-obtained-by-rotation</v>
      </c>
      <c r="D1887" s="20" t="b">
        <f>IFERROR(__xludf.DUMMYFUNCTION("""COMPUTED_VALUE"""),FALSE)</f>
        <v>0</v>
      </c>
      <c r="E1887" s="20" t="str">
        <f>IFERROR(__xludf.DUMMYFUNCTION("""COMPUTED_VALUE"""),"Easy")</f>
        <v>Easy</v>
      </c>
      <c r="F1887" s="20">
        <f>IFERROR(__xludf.DUMMYFUNCTION("""COMPUTED_VALUE"""),1047.0)</f>
        <v>1047</v>
      </c>
      <c r="G1887" s="20">
        <f>IFERROR(__xludf.DUMMYFUNCTION("""COMPUTED_VALUE"""),85.0)</f>
        <v>85</v>
      </c>
      <c r="H1887" s="20" t="str">
        <f>IFERROR(__xludf.DUMMYFUNCTION("""COMPUTED_VALUE"""),"Algorithms")</f>
        <v>Algorithms</v>
      </c>
      <c r="I1887" s="20">
        <f>IFERROR(__xludf.DUMMYFUNCTION("""COMPUTED_VALUE"""),0.554)</f>
        <v>0.554</v>
      </c>
      <c r="J1887" s="20">
        <f>IFERROR(__xludf.DUMMYFUNCTION("""COMPUTED_VALUE"""),1886.0)</f>
        <v>1886</v>
      </c>
      <c r="K1887" s="20" t="b">
        <f>IFERROR(__xludf.DUMMYFUNCTION("""COMPUTED_VALUE"""),FALSE)</f>
        <v>0</v>
      </c>
      <c r="L1887" s="20" t="str">
        <f>IFERROR(__xludf.DUMMYFUNCTION("""COMPUTED_VALUE"""),"Array;Matrix;")</f>
        <v>Array;Matrix;</v>
      </c>
      <c r="M1887" s="20" t="b">
        <f>IFERROR(__xludf.DUMMYFUNCTION("""COMPUTED_VALUE"""),FALSE)</f>
        <v>0</v>
      </c>
      <c r="N1887" s="20" t="b">
        <f>IFERROR(__xludf.DUMMYFUNCTION("""COMPUTED_VALUE"""),FALSE)</f>
        <v>0</v>
      </c>
      <c r="O1887" s="20">
        <f>IFERROR(__xludf.DUMMYFUNCTION("""COMPUTED_VALUE"""),55.442534783117)</f>
        <v>55.44253478</v>
      </c>
      <c r="P1887" s="20">
        <f>IFERROR(__xludf.DUMMYFUNCTION("""COMPUTED_VALUE"""),47420.0)</f>
        <v>47420</v>
      </c>
      <c r="Q1887" s="20">
        <f>IFERROR(__xludf.DUMMYFUNCTION("""COMPUTED_VALUE"""),85530.0)</f>
        <v>85530</v>
      </c>
    </row>
    <row r="1888">
      <c r="A1888" s="20">
        <f>IFERROR(__xludf.DUMMYFUNCTION("""COMPUTED_VALUE"""),2016.0)</f>
        <v>2016</v>
      </c>
      <c r="B1888" s="20" t="str">
        <f>IFERROR(__xludf.DUMMYFUNCTION("""COMPUTED_VALUE"""),"Reduction Operations to Make the Array Elements Equal")</f>
        <v>Reduction Operations to Make the Array Elements Equal</v>
      </c>
      <c r="C1888" s="20" t="str">
        <f>IFERROR(__xludf.DUMMYFUNCTION("""COMPUTED_VALUE"""),"reduction-operations-to-make-the-array-elements-equal")</f>
        <v>reduction-operations-to-make-the-array-elements-equal</v>
      </c>
      <c r="D1888" s="20" t="b">
        <f>IFERROR(__xludf.DUMMYFUNCTION("""COMPUTED_VALUE"""),FALSE)</f>
        <v>0</v>
      </c>
      <c r="E1888" s="20" t="str">
        <f>IFERROR(__xludf.DUMMYFUNCTION("""COMPUTED_VALUE"""),"Medium")</f>
        <v>Medium</v>
      </c>
      <c r="F1888" s="20">
        <f>IFERROR(__xludf.DUMMYFUNCTION("""COMPUTED_VALUE"""),421.0)</f>
        <v>421</v>
      </c>
      <c r="G1888" s="20">
        <f>IFERROR(__xludf.DUMMYFUNCTION("""COMPUTED_VALUE"""),19.0)</f>
        <v>19</v>
      </c>
      <c r="H1888" s="20" t="str">
        <f>IFERROR(__xludf.DUMMYFUNCTION("""COMPUTED_VALUE"""),"Algorithms")</f>
        <v>Algorithms</v>
      </c>
      <c r="I1888" s="20">
        <f>IFERROR(__xludf.DUMMYFUNCTION("""COMPUTED_VALUE"""),0.624)</f>
        <v>0.624</v>
      </c>
      <c r="J1888" s="20">
        <f>IFERROR(__xludf.DUMMYFUNCTION("""COMPUTED_VALUE"""),1887.0)</f>
        <v>1887</v>
      </c>
      <c r="K1888" s="20" t="b">
        <f>IFERROR(__xludf.DUMMYFUNCTION("""COMPUTED_VALUE"""),FALSE)</f>
        <v>0</v>
      </c>
      <c r="L1888" s="20" t="str">
        <f>IFERROR(__xludf.DUMMYFUNCTION("""COMPUTED_VALUE"""),"Array;Sorting;")</f>
        <v>Array;Sorting;</v>
      </c>
      <c r="M1888" s="20" t="b">
        <f>IFERROR(__xludf.DUMMYFUNCTION("""COMPUTED_VALUE"""),FALSE)</f>
        <v>0</v>
      </c>
      <c r="N1888" s="20" t="b">
        <f>IFERROR(__xludf.DUMMYFUNCTION("""COMPUTED_VALUE"""),FALSE)</f>
        <v>0</v>
      </c>
      <c r="O1888" s="20">
        <f>IFERROR(__xludf.DUMMYFUNCTION("""COMPUTED_VALUE"""),62.4225933571026)</f>
        <v>62.42259336</v>
      </c>
      <c r="P1888" s="20">
        <f>IFERROR(__xludf.DUMMYFUNCTION("""COMPUTED_VALUE"""),19958.0)</f>
        <v>19958</v>
      </c>
      <c r="Q1888" s="20">
        <f>IFERROR(__xludf.DUMMYFUNCTION("""COMPUTED_VALUE"""),31973.0)</f>
        <v>31973</v>
      </c>
    </row>
    <row r="1889">
      <c r="A1889" s="20">
        <f>IFERROR(__xludf.DUMMYFUNCTION("""COMPUTED_VALUE"""),2017.0)</f>
        <v>2017</v>
      </c>
      <c r="B1889" s="20" t="str">
        <f>IFERROR(__xludf.DUMMYFUNCTION("""COMPUTED_VALUE"""),"Minimum Number of Flips to Make the Binary String Alternating")</f>
        <v>Minimum Number of Flips to Make the Binary String Alternating</v>
      </c>
      <c r="C1889" s="20" t="str">
        <f>IFERROR(__xludf.DUMMYFUNCTION("""COMPUTED_VALUE"""),"minimum-number-of-flips-to-make-the-binary-string-alternating")</f>
        <v>minimum-number-of-flips-to-make-the-binary-string-alternating</v>
      </c>
      <c r="D1889" s="20" t="b">
        <f>IFERROR(__xludf.DUMMYFUNCTION("""COMPUTED_VALUE"""),FALSE)</f>
        <v>0</v>
      </c>
      <c r="E1889" s="20" t="str">
        <f>IFERROR(__xludf.DUMMYFUNCTION("""COMPUTED_VALUE"""),"Medium")</f>
        <v>Medium</v>
      </c>
      <c r="F1889" s="20">
        <f>IFERROR(__xludf.DUMMYFUNCTION("""COMPUTED_VALUE"""),865.0)</f>
        <v>865</v>
      </c>
      <c r="G1889" s="20">
        <f>IFERROR(__xludf.DUMMYFUNCTION("""COMPUTED_VALUE"""),34.0)</f>
        <v>34</v>
      </c>
      <c r="H1889" s="20" t="str">
        <f>IFERROR(__xludf.DUMMYFUNCTION("""COMPUTED_VALUE"""),"Algorithms")</f>
        <v>Algorithms</v>
      </c>
      <c r="I1889" s="20">
        <f>IFERROR(__xludf.DUMMYFUNCTION("""COMPUTED_VALUE"""),0.384)</f>
        <v>0.384</v>
      </c>
      <c r="J1889" s="20">
        <f>IFERROR(__xludf.DUMMYFUNCTION("""COMPUTED_VALUE"""),1888.0)</f>
        <v>1888</v>
      </c>
      <c r="K1889" s="20" t="b">
        <f>IFERROR(__xludf.DUMMYFUNCTION("""COMPUTED_VALUE"""),FALSE)</f>
        <v>0</v>
      </c>
      <c r="L1889" s="20" t="str">
        <f>IFERROR(__xludf.DUMMYFUNCTION("""COMPUTED_VALUE"""),"String;Dynamic Programming;Greedy;Sliding Window;")</f>
        <v>String;Dynamic Programming;Greedy;Sliding Window;</v>
      </c>
      <c r="M1889" s="20" t="b">
        <f>IFERROR(__xludf.DUMMYFUNCTION("""COMPUTED_VALUE"""),FALSE)</f>
        <v>0</v>
      </c>
      <c r="N1889" s="20" t="b">
        <f>IFERROR(__xludf.DUMMYFUNCTION("""COMPUTED_VALUE"""),FALSE)</f>
        <v>0</v>
      </c>
      <c r="O1889" s="20">
        <f>IFERROR(__xludf.DUMMYFUNCTION("""COMPUTED_VALUE"""),38.3818739895498)</f>
        <v>38.38187399</v>
      </c>
      <c r="P1889" s="20">
        <f>IFERROR(__xludf.DUMMYFUNCTION("""COMPUTED_VALUE"""),16379.0)</f>
        <v>16379</v>
      </c>
      <c r="Q1889" s="20">
        <f>IFERROR(__xludf.DUMMYFUNCTION("""COMPUTED_VALUE"""),42676.0)</f>
        <v>42676</v>
      </c>
    </row>
    <row r="1890">
      <c r="A1890" s="20">
        <f>IFERROR(__xludf.DUMMYFUNCTION("""COMPUTED_VALUE"""),2018.0)</f>
        <v>2018</v>
      </c>
      <c r="B1890" s="20" t="str">
        <f>IFERROR(__xludf.DUMMYFUNCTION("""COMPUTED_VALUE"""),"Minimum Space Wasted From Packaging")</f>
        <v>Minimum Space Wasted From Packaging</v>
      </c>
      <c r="C1890" s="20" t="str">
        <f>IFERROR(__xludf.DUMMYFUNCTION("""COMPUTED_VALUE"""),"minimum-space-wasted-from-packaging")</f>
        <v>minimum-space-wasted-from-packaging</v>
      </c>
      <c r="D1890" s="20" t="b">
        <f>IFERROR(__xludf.DUMMYFUNCTION("""COMPUTED_VALUE"""),FALSE)</f>
        <v>0</v>
      </c>
      <c r="E1890" s="20" t="str">
        <f>IFERROR(__xludf.DUMMYFUNCTION("""COMPUTED_VALUE"""),"Hard")</f>
        <v>Hard</v>
      </c>
      <c r="F1890" s="20">
        <f>IFERROR(__xludf.DUMMYFUNCTION("""COMPUTED_VALUE"""),312.0)</f>
        <v>312</v>
      </c>
      <c r="G1890" s="20">
        <f>IFERROR(__xludf.DUMMYFUNCTION("""COMPUTED_VALUE"""),31.0)</f>
        <v>31</v>
      </c>
      <c r="H1890" s="20" t="str">
        <f>IFERROR(__xludf.DUMMYFUNCTION("""COMPUTED_VALUE"""),"Algorithms")</f>
        <v>Algorithms</v>
      </c>
      <c r="I1890" s="20">
        <f>IFERROR(__xludf.DUMMYFUNCTION("""COMPUTED_VALUE"""),0.31)</f>
        <v>0.31</v>
      </c>
      <c r="J1890" s="20">
        <f>IFERROR(__xludf.DUMMYFUNCTION("""COMPUTED_VALUE"""),1889.0)</f>
        <v>1889</v>
      </c>
      <c r="K1890" s="20" t="b">
        <f>IFERROR(__xludf.DUMMYFUNCTION("""COMPUTED_VALUE"""),FALSE)</f>
        <v>0</v>
      </c>
      <c r="L1890" s="20" t="str">
        <f>IFERROR(__xludf.DUMMYFUNCTION("""COMPUTED_VALUE"""),"Array;Binary Search;Sorting;Prefix Sum;")</f>
        <v>Array;Binary Search;Sorting;Prefix Sum;</v>
      </c>
      <c r="M1890" s="20" t="b">
        <f>IFERROR(__xludf.DUMMYFUNCTION("""COMPUTED_VALUE"""),FALSE)</f>
        <v>0</v>
      </c>
      <c r="N1890" s="20" t="b">
        <f>IFERROR(__xludf.DUMMYFUNCTION("""COMPUTED_VALUE"""),FALSE)</f>
        <v>0</v>
      </c>
      <c r="O1890" s="20">
        <f>IFERROR(__xludf.DUMMYFUNCTION("""COMPUTED_VALUE"""),31.002231556839)</f>
        <v>31.00223156</v>
      </c>
      <c r="P1890" s="20">
        <f>IFERROR(__xludf.DUMMYFUNCTION("""COMPUTED_VALUE"""),9447.0)</f>
        <v>9447</v>
      </c>
      <c r="Q1890" s="20">
        <f>IFERROR(__xludf.DUMMYFUNCTION("""COMPUTED_VALUE"""),30472.0)</f>
        <v>30472</v>
      </c>
    </row>
    <row r="1891">
      <c r="A1891" s="20">
        <f>IFERROR(__xludf.DUMMYFUNCTION("""COMPUTED_VALUE"""),2041.0)</f>
        <v>2041</v>
      </c>
      <c r="B1891" s="20" t="str">
        <f>IFERROR(__xludf.DUMMYFUNCTION("""COMPUTED_VALUE"""),"The Latest Login in 2020")</f>
        <v>The Latest Login in 2020</v>
      </c>
      <c r="C1891" s="20" t="str">
        <f>IFERROR(__xludf.DUMMYFUNCTION("""COMPUTED_VALUE"""),"the-latest-login-in-2020")</f>
        <v>the-latest-login-in-2020</v>
      </c>
      <c r="D1891" s="20" t="b">
        <f>IFERROR(__xludf.DUMMYFUNCTION("""COMPUTED_VALUE"""),FALSE)</f>
        <v>0</v>
      </c>
      <c r="E1891" s="20" t="str">
        <f>IFERROR(__xludf.DUMMYFUNCTION("""COMPUTED_VALUE"""),"Easy")</f>
        <v>Easy</v>
      </c>
      <c r="F1891" s="20">
        <f>IFERROR(__xludf.DUMMYFUNCTION("""COMPUTED_VALUE"""),249.0)</f>
        <v>249</v>
      </c>
      <c r="G1891" s="20">
        <f>IFERROR(__xludf.DUMMYFUNCTION("""COMPUTED_VALUE"""),5.0)</f>
        <v>5</v>
      </c>
      <c r="H1891" s="20" t="str">
        <f>IFERROR(__xludf.DUMMYFUNCTION("""COMPUTED_VALUE"""),"Database")</f>
        <v>Database</v>
      </c>
      <c r="I1891" s="20">
        <f>IFERROR(__xludf.DUMMYFUNCTION("""COMPUTED_VALUE"""),0.81)</f>
        <v>0.81</v>
      </c>
      <c r="J1891" s="20">
        <f>IFERROR(__xludf.DUMMYFUNCTION("""COMPUTED_VALUE"""),1890.0)</f>
        <v>1890</v>
      </c>
      <c r="K1891" s="20" t="b">
        <f>IFERROR(__xludf.DUMMYFUNCTION("""COMPUTED_VALUE"""),FALSE)</f>
        <v>0</v>
      </c>
      <c r="L1891" s="20" t="str">
        <f>IFERROR(__xludf.DUMMYFUNCTION("""COMPUTED_VALUE"""),"Database;")</f>
        <v>Database;</v>
      </c>
      <c r="M1891" s="20" t="b">
        <f>IFERROR(__xludf.DUMMYFUNCTION("""COMPUTED_VALUE"""),FALSE)</f>
        <v>0</v>
      </c>
      <c r="N1891" s="20" t="b">
        <f>IFERROR(__xludf.DUMMYFUNCTION("""COMPUTED_VALUE"""),FALSE)</f>
        <v>0</v>
      </c>
      <c r="O1891" s="20">
        <f>IFERROR(__xludf.DUMMYFUNCTION("""COMPUTED_VALUE"""),80.9564617992808)</f>
        <v>80.9564618</v>
      </c>
      <c r="P1891" s="20">
        <f>IFERROR(__xludf.DUMMYFUNCTION("""COMPUTED_VALUE"""),43454.0)</f>
        <v>43454</v>
      </c>
      <c r="Q1891" s="20">
        <f>IFERROR(__xludf.DUMMYFUNCTION("""COMPUTED_VALUE"""),53676.0)</f>
        <v>53676</v>
      </c>
    </row>
    <row r="1892">
      <c r="A1892" s="20">
        <f>IFERROR(__xludf.DUMMYFUNCTION("""COMPUTED_VALUE"""),2045.0)</f>
        <v>2045</v>
      </c>
      <c r="B1892" s="20" t="str">
        <f>IFERROR(__xludf.DUMMYFUNCTION("""COMPUTED_VALUE"""),"Cutting Ribbons")</f>
        <v>Cutting Ribbons</v>
      </c>
      <c r="C1892" s="20" t="str">
        <f>IFERROR(__xludf.DUMMYFUNCTION("""COMPUTED_VALUE"""),"cutting-ribbons")</f>
        <v>cutting-ribbons</v>
      </c>
      <c r="D1892" s="20" t="b">
        <f>IFERROR(__xludf.DUMMYFUNCTION("""COMPUTED_VALUE"""),TRUE)</f>
        <v>1</v>
      </c>
      <c r="E1892" s="20" t="str">
        <f>IFERROR(__xludf.DUMMYFUNCTION("""COMPUTED_VALUE"""),"Medium")</f>
        <v>Medium</v>
      </c>
      <c r="F1892" s="20">
        <f>IFERROR(__xludf.DUMMYFUNCTION("""COMPUTED_VALUE"""),477.0)</f>
        <v>477</v>
      </c>
      <c r="G1892" s="20">
        <f>IFERROR(__xludf.DUMMYFUNCTION("""COMPUTED_VALUE"""),32.0)</f>
        <v>32</v>
      </c>
      <c r="H1892" s="20" t="str">
        <f>IFERROR(__xludf.DUMMYFUNCTION("""COMPUTED_VALUE"""),"Algorithms")</f>
        <v>Algorithms</v>
      </c>
      <c r="I1892" s="20">
        <f>IFERROR(__xludf.DUMMYFUNCTION("""COMPUTED_VALUE"""),0.482)</f>
        <v>0.482</v>
      </c>
      <c r="J1892" s="20">
        <f>IFERROR(__xludf.DUMMYFUNCTION("""COMPUTED_VALUE"""),1891.0)</f>
        <v>1891</v>
      </c>
      <c r="K1892" s="20" t="b">
        <f>IFERROR(__xludf.DUMMYFUNCTION("""COMPUTED_VALUE"""),TRUE)</f>
        <v>1</v>
      </c>
      <c r="L1892" s="20" t="str">
        <f>IFERROR(__xludf.DUMMYFUNCTION("""COMPUTED_VALUE"""),"Array;Binary Search;")</f>
        <v>Array;Binary Search;</v>
      </c>
      <c r="M1892" s="20" t="b">
        <f>IFERROR(__xludf.DUMMYFUNCTION("""COMPUTED_VALUE"""),FALSE)</f>
        <v>0</v>
      </c>
      <c r="N1892" s="20" t="b">
        <f>IFERROR(__xludf.DUMMYFUNCTION("""COMPUTED_VALUE"""),FALSE)</f>
        <v>0</v>
      </c>
      <c r="O1892" s="20">
        <f>IFERROR(__xludf.DUMMYFUNCTION("""COMPUTED_VALUE"""),48.1847127574892)</f>
        <v>48.18471276</v>
      </c>
      <c r="P1892" s="20">
        <f>IFERROR(__xludf.DUMMYFUNCTION("""COMPUTED_VALUE"""),49637.0)</f>
        <v>49637</v>
      </c>
      <c r="Q1892" s="20">
        <f>IFERROR(__xludf.DUMMYFUNCTION("""COMPUTED_VALUE"""),103014.0)</f>
        <v>103014</v>
      </c>
    </row>
    <row r="1893">
      <c r="A1893" s="20">
        <f>IFERROR(__xludf.DUMMYFUNCTION("""COMPUTED_VALUE"""),2046.0)</f>
        <v>2046</v>
      </c>
      <c r="B1893" s="20" t="str">
        <f>IFERROR(__xludf.DUMMYFUNCTION("""COMPUTED_VALUE"""),"Page Recommendations II")</f>
        <v>Page Recommendations II</v>
      </c>
      <c r="C1893" s="20" t="str">
        <f>IFERROR(__xludf.DUMMYFUNCTION("""COMPUTED_VALUE"""),"page-recommendations-ii")</f>
        <v>page-recommendations-ii</v>
      </c>
      <c r="D1893" s="20" t="b">
        <f>IFERROR(__xludf.DUMMYFUNCTION("""COMPUTED_VALUE"""),TRUE)</f>
        <v>1</v>
      </c>
      <c r="E1893" s="20" t="str">
        <f>IFERROR(__xludf.DUMMYFUNCTION("""COMPUTED_VALUE"""),"Hard")</f>
        <v>Hard</v>
      </c>
      <c r="F1893" s="20">
        <f>IFERROR(__xludf.DUMMYFUNCTION("""COMPUTED_VALUE"""),63.0)</f>
        <v>63</v>
      </c>
      <c r="G1893" s="20">
        <f>IFERROR(__xludf.DUMMYFUNCTION("""COMPUTED_VALUE"""),18.0)</f>
        <v>18</v>
      </c>
      <c r="H1893" s="20" t="str">
        <f>IFERROR(__xludf.DUMMYFUNCTION("""COMPUTED_VALUE"""),"Database")</f>
        <v>Database</v>
      </c>
      <c r="I1893" s="20">
        <f>IFERROR(__xludf.DUMMYFUNCTION("""COMPUTED_VALUE"""),0.446)</f>
        <v>0.446</v>
      </c>
      <c r="J1893" s="20">
        <f>IFERROR(__xludf.DUMMYFUNCTION("""COMPUTED_VALUE"""),1892.0)</f>
        <v>1892</v>
      </c>
      <c r="K1893" s="20" t="b">
        <f>IFERROR(__xludf.DUMMYFUNCTION("""COMPUTED_VALUE"""),TRUE)</f>
        <v>1</v>
      </c>
      <c r="L1893" s="20" t="str">
        <f>IFERROR(__xludf.DUMMYFUNCTION("""COMPUTED_VALUE"""),"Database;")</f>
        <v>Database;</v>
      </c>
      <c r="M1893" s="20" t="b">
        <f>IFERROR(__xludf.DUMMYFUNCTION("""COMPUTED_VALUE"""),FALSE)</f>
        <v>0</v>
      </c>
      <c r="N1893" s="20" t="b">
        <f>IFERROR(__xludf.DUMMYFUNCTION("""COMPUTED_VALUE"""),FALSE)</f>
        <v>0</v>
      </c>
      <c r="O1893" s="20">
        <f>IFERROR(__xludf.DUMMYFUNCTION("""COMPUTED_VALUE"""),44.5742904841402)</f>
        <v>44.57429048</v>
      </c>
      <c r="P1893" s="20">
        <f>IFERROR(__xludf.DUMMYFUNCTION("""COMPUTED_VALUE"""),4806.0)</f>
        <v>4806</v>
      </c>
      <c r="Q1893" s="20">
        <f>IFERROR(__xludf.DUMMYFUNCTION("""COMPUTED_VALUE"""),10782.0)</f>
        <v>10782</v>
      </c>
    </row>
    <row r="1894">
      <c r="A1894" s="20">
        <f>IFERROR(__xludf.DUMMYFUNCTION("""COMPUTED_VALUE"""),2005.0)</f>
        <v>2005</v>
      </c>
      <c r="B1894" s="20" t="str">
        <f>IFERROR(__xludf.DUMMYFUNCTION("""COMPUTED_VALUE"""),"Check if All the Integers in a Range Are Covered")</f>
        <v>Check if All the Integers in a Range Are Covered</v>
      </c>
      <c r="C1894" s="20" t="str">
        <f>IFERROR(__xludf.DUMMYFUNCTION("""COMPUTED_VALUE"""),"check-if-all-the-integers-in-a-range-are-covered")</f>
        <v>check-if-all-the-integers-in-a-range-are-covered</v>
      </c>
      <c r="D1894" s="20" t="b">
        <f>IFERROR(__xludf.DUMMYFUNCTION("""COMPUTED_VALUE"""),FALSE)</f>
        <v>0</v>
      </c>
      <c r="E1894" s="20" t="str">
        <f>IFERROR(__xludf.DUMMYFUNCTION("""COMPUTED_VALUE"""),"Easy")</f>
        <v>Easy</v>
      </c>
      <c r="F1894" s="20">
        <f>IFERROR(__xludf.DUMMYFUNCTION("""COMPUTED_VALUE"""),392.0)</f>
        <v>392</v>
      </c>
      <c r="G1894" s="20">
        <f>IFERROR(__xludf.DUMMYFUNCTION("""COMPUTED_VALUE"""),72.0)</f>
        <v>72</v>
      </c>
      <c r="H1894" s="20" t="str">
        <f>IFERROR(__xludf.DUMMYFUNCTION("""COMPUTED_VALUE"""),"Algorithms")</f>
        <v>Algorithms</v>
      </c>
      <c r="I1894" s="20">
        <f>IFERROR(__xludf.DUMMYFUNCTION("""COMPUTED_VALUE"""),0.507)</f>
        <v>0.507</v>
      </c>
      <c r="J1894" s="20">
        <f>IFERROR(__xludf.DUMMYFUNCTION("""COMPUTED_VALUE"""),1893.0)</f>
        <v>1893</v>
      </c>
      <c r="K1894" s="20" t="b">
        <f>IFERROR(__xludf.DUMMYFUNCTION("""COMPUTED_VALUE"""),FALSE)</f>
        <v>0</v>
      </c>
      <c r="L1894" s="20" t="str">
        <f>IFERROR(__xludf.DUMMYFUNCTION("""COMPUTED_VALUE"""),"Array;Hash Table;Prefix Sum;")</f>
        <v>Array;Hash Table;Prefix Sum;</v>
      </c>
      <c r="M1894" s="20" t="b">
        <f>IFERROR(__xludf.DUMMYFUNCTION("""COMPUTED_VALUE"""),FALSE)</f>
        <v>0</v>
      </c>
      <c r="N1894" s="20" t="b">
        <f>IFERROR(__xludf.DUMMYFUNCTION("""COMPUTED_VALUE"""),FALSE)</f>
        <v>0</v>
      </c>
      <c r="O1894" s="20">
        <f>IFERROR(__xludf.DUMMYFUNCTION("""COMPUTED_VALUE"""),50.7364306653637)</f>
        <v>50.73643067</v>
      </c>
      <c r="P1894" s="20">
        <f>IFERROR(__xludf.DUMMYFUNCTION("""COMPUTED_VALUE"""),28556.0)</f>
        <v>28556</v>
      </c>
      <c r="Q1894" s="20">
        <f>IFERROR(__xludf.DUMMYFUNCTION("""COMPUTED_VALUE"""),56284.0)</f>
        <v>56284</v>
      </c>
    </row>
    <row r="1895">
      <c r="A1895" s="20">
        <f>IFERROR(__xludf.DUMMYFUNCTION("""COMPUTED_VALUE"""),2006.0)</f>
        <v>2006</v>
      </c>
      <c r="B1895" s="20" t="str">
        <f>IFERROR(__xludf.DUMMYFUNCTION("""COMPUTED_VALUE"""),"Find the Student that Will Replace the Chalk")</f>
        <v>Find the Student that Will Replace the Chalk</v>
      </c>
      <c r="C1895" s="20" t="str">
        <f>IFERROR(__xludf.DUMMYFUNCTION("""COMPUTED_VALUE"""),"find-the-student-that-will-replace-the-chalk")</f>
        <v>find-the-student-that-will-replace-the-chalk</v>
      </c>
      <c r="D1895" s="20" t="b">
        <f>IFERROR(__xludf.DUMMYFUNCTION("""COMPUTED_VALUE"""),FALSE)</f>
        <v>0</v>
      </c>
      <c r="E1895" s="20" t="str">
        <f>IFERROR(__xludf.DUMMYFUNCTION("""COMPUTED_VALUE"""),"Medium")</f>
        <v>Medium</v>
      </c>
      <c r="F1895" s="20">
        <f>IFERROR(__xludf.DUMMYFUNCTION("""COMPUTED_VALUE"""),429.0)</f>
        <v>429</v>
      </c>
      <c r="G1895" s="20">
        <f>IFERROR(__xludf.DUMMYFUNCTION("""COMPUTED_VALUE"""),52.0)</f>
        <v>52</v>
      </c>
      <c r="H1895" s="20" t="str">
        <f>IFERROR(__xludf.DUMMYFUNCTION("""COMPUTED_VALUE"""),"Algorithms")</f>
        <v>Algorithms</v>
      </c>
      <c r="I1895" s="20">
        <f>IFERROR(__xludf.DUMMYFUNCTION("""COMPUTED_VALUE"""),0.441)</f>
        <v>0.441</v>
      </c>
      <c r="J1895" s="20">
        <f>IFERROR(__xludf.DUMMYFUNCTION("""COMPUTED_VALUE"""),1894.0)</f>
        <v>1894</v>
      </c>
      <c r="K1895" s="20" t="b">
        <f>IFERROR(__xludf.DUMMYFUNCTION("""COMPUTED_VALUE"""),FALSE)</f>
        <v>0</v>
      </c>
      <c r="L1895" s="20" t="str">
        <f>IFERROR(__xludf.DUMMYFUNCTION("""COMPUTED_VALUE"""),"Array;Binary Search;Simulation;Prefix Sum;")</f>
        <v>Array;Binary Search;Simulation;Prefix Sum;</v>
      </c>
      <c r="M1895" s="20" t="b">
        <f>IFERROR(__xludf.DUMMYFUNCTION("""COMPUTED_VALUE"""),FALSE)</f>
        <v>0</v>
      </c>
      <c r="N1895" s="20" t="b">
        <f>IFERROR(__xludf.DUMMYFUNCTION("""COMPUTED_VALUE"""),FALSE)</f>
        <v>0</v>
      </c>
      <c r="O1895" s="20">
        <f>IFERROR(__xludf.DUMMYFUNCTION("""COMPUTED_VALUE"""),44.0737151640713)</f>
        <v>44.07371516</v>
      </c>
      <c r="P1895" s="20">
        <f>IFERROR(__xludf.DUMMYFUNCTION("""COMPUTED_VALUE"""),26379.0)</f>
        <v>26379</v>
      </c>
      <c r="Q1895" s="20">
        <f>IFERROR(__xludf.DUMMYFUNCTION("""COMPUTED_VALUE"""),59852.0)</f>
        <v>59852</v>
      </c>
    </row>
    <row r="1896">
      <c r="A1896" s="20">
        <f>IFERROR(__xludf.DUMMYFUNCTION("""COMPUTED_VALUE"""),1311.0)</f>
        <v>1311</v>
      </c>
      <c r="B1896" s="20" t="str">
        <f>IFERROR(__xludf.DUMMYFUNCTION("""COMPUTED_VALUE"""),"Largest Magic Square")</f>
        <v>Largest Magic Square</v>
      </c>
      <c r="C1896" s="20" t="str">
        <f>IFERROR(__xludf.DUMMYFUNCTION("""COMPUTED_VALUE"""),"largest-magic-square")</f>
        <v>largest-magic-square</v>
      </c>
      <c r="D1896" s="20" t="b">
        <f>IFERROR(__xludf.DUMMYFUNCTION("""COMPUTED_VALUE"""),FALSE)</f>
        <v>0</v>
      </c>
      <c r="E1896" s="20" t="str">
        <f>IFERROR(__xludf.DUMMYFUNCTION("""COMPUTED_VALUE"""),"Medium")</f>
        <v>Medium</v>
      </c>
      <c r="F1896" s="20">
        <f>IFERROR(__xludf.DUMMYFUNCTION("""COMPUTED_VALUE"""),232.0)</f>
        <v>232</v>
      </c>
      <c r="G1896" s="20">
        <f>IFERROR(__xludf.DUMMYFUNCTION("""COMPUTED_VALUE"""),228.0)</f>
        <v>228</v>
      </c>
      <c r="H1896" s="20" t="str">
        <f>IFERROR(__xludf.DUMMYFUNCTION("""COMPUTED_VALUE"""),"Algorithms")</f>
        <v>Algorithms</v>
      </c>
      <c r="I1896" s="20">
        <f>IFERROR(__xludf.DUMMYFUNCTION("""COMPUTED_VALUE"""),0.52)</f>
        <v>0.52</v>
      </c>
      <c r="J1896" s="20">
        <f>IFERROR(__xludf.DUMMYFUNCTION("""COMPUTED_VALUE"""),1895.0)</f>
        <v>1895</v>
      </c>
      <c r="K1896" s="20" t="b">
        <f>IFERROR(__xludf.DUMMYFUNCTION("""COMPUTED_VALUE"""),FALSE)</f>
        <v>0</v>
      </c>
      <c r="L1896" s="20" t="str">
        <f>IFERROR(__xludf.DUMMYFUNCTION("""COMPUTED_VALUE"""),"Array;Matrix;Prefix Sum;")</f>
        <v>Array;Matrix;Prefix Sum;</v>
      </c>
      <c r="M1896" s="20" t="b">
        <f>IFERROR(__xludf.DUMMYFUNCTION("""COMPUTED_VALUE"""),FALSE)</f>
        <v>0</v>
      </c>
      <c r="N1896" s="20" t="b">
        <f>IFERROR(__xludf.DUMMYFUNCTION("""COMPUTED_VALUE"""),FALSE)</f>
        <v>0</v>
      </c>
      <c r="O1896" s="20">
        <f>IFERROR(__xludf.DUMMYFUNCTION("""COMPUTED_VALUE"""),51.9763313609467)</f>
        <v>51.97633136</v>
      </c>
      <c r="P1896" s="20">
        <f>IFERROR(__xludf.DUMMYFUNCTION("""COMPUTED_VALUE"""),8784.0)</f>
        <v>8784</v>
      </c>
      <c r="Q1896" s="20">
        <f>IFERROR(__xludf.DUMMYFUNCTION("""COMPUTED_VALUE"""),16900.0)</f>
        <v>16900</v>
      </c>
    </row>
    <row r="1897">
      <c r="A1897" s="20">
        <f>IFERROR(__xludf.DUMMYFUNCTION("""COMPUTED_VALUE"""),2008.0)</f>
        <v>2008</v>
      </c>
      <c r="B1897" s="20" t="str">
        <f>IFERROR(__xludf.DUMMYFUNCTION("""COMPUTED_VALUE"""),"Minimum Cost to Change the Final Value of Expression")</f>
        <v>Minimum Cost to Change the Final Value of Expression</v>
      </c>
      <c r="C1897" s="20" t="str">
        <f>IFERROR(__xludf.DUMMYFUNCTION("""COMPUTED_VALUE"""),"minimum-cost-to-change-the-final-value-of-expression")</f>
        <v>minimum-cost-to-change-the-final-value-of-expression</v>
      </c>
      <c r="D1897" s="20" t="b">
        <f>IFERROR(__xludf.DUMMYFUNCTION("""COMPUTED_VALUE"""),FALSE)</f>
        <v>0</v>
      </c>
      <c r="E1897" s="20" t="str">
        <f>IFERROR(__xludf.DUMMYFUNCTION("""COMPUTED_VALUE"""),"Hard")</f>
        <v>Hard</v>
      </c>
      <c r="F1897" s="20">
        <f>IFERROR(__xludf.DUMMYFUNCTION("""COMPUTED_VALUE"""),195.0)</f>
        <v>195</v>
      </c>
      <c r="G1897" s="20">
        <f>IFERROR(__xludf.DUMMYFUNCTION("""COMPUTED_VALUE"""),39.0)</f>
        <v>39</v>
      </c>
      <c r="H1897" s="20" t="str">
        <f>IFERROR(__xludf.DUMMYFUNCTION("""COMPUTED_VALUE"""),"Algorithms")</f>
        <v>Algorithms</v>
      </c>
      <c r="I1897" s="20">
        <f>IFERROR(__xludf.DUMMYFUNCTION("""COMPUTED_VALUE"""),0.548)</f>
        <v>0.548</v>
      </c>
      <c r="J1897" s="20">
        <f>IFERROR(__xludf.DUMMYFUNCTION("""COMPUTED_VALUE"""),1896.0)</f>
        <v>1896</v>
      </c>
      <c r="K1897" s="20" t="b">
        <f>IFERROR(__xludf.DUMMYFUNCTION("""COMPUTED_VALUE"""),FALSE)</f>
        <v>0</v>
      </c>
      <c r="L1897" s="20" t="str">
        <f>IFERROR(__xludf.DUMMYFUNCTION("""COMPUTED_VALUE"""),"Math;String;Dynamic Programming;Stack;")</f>
        <v>Math;String;Dynamic Programming;Stack;</v>
      </c>
      <c r="M1897" s="20" t="b">
        <f>IFERROR(__xludf.DUMMYFUNCTION("""COMPUTED_VALUE"""),FALSE)</f>
        <v>0</v>
      </c>
      <c r="N1897" s="20" t="b">
        <f>IFERROR(__xludf.DUMMYFUNCTION("""COMPUTED_VALUE"""),FALSE)</f>
        <v>0</v>
      </c>
      <c r="O1897" s="20">
        <f>IFERROR(__xludf.DUMMYFUNCTION("""COMPUTED_VALUE"""),54.8145568518196)</f>
        <v>54.81455685</v>
      </c>
      <c r="P1897" s="20">
        <f>IFERROR(__xludf.DUMMYFUNCTION("""COMPUTED_VALUE"""),3148.0)</f>
        <v>3148</v>
      </c>
      <c r="Q1897" s="20">
        <f>IFERROR(__xludf.DUMMYFUNCTION("""COMPUTED_VALUE"""),5743.0)</f>
        <v>5743</v>
      </c>
    </row>
    <row r="1898">
      <c r="A1898" s="20">
        <f>IFERROR(__xludf.DUMMYFUNCTION("""COMPUTED_VALUE"""),2025.0)</f>
        <v>2025</v>
      </c>
      <c r="B1898" s="20" t="str">
        <f>IFERROR(__xludf.DUMMYFUNCTION("""COMPUTED_VALUE"""),"Redistribute Characters to Make All Strings Equal")</f>
        <v>Redistribute Characters to Make All Strings Equal</v>
      </c>
      <c r="C1898" s="20" t="str">
        <f>IFERROR(__xludf.DUMMYFUNCTION("""COMPUTED_VALUE"""),"redistribute-characters-to-make-all-strings-equal")</f>
        <v>redistribute-characters-to-make-all-strings-equal</v>
      </c>
      <c r="D1898" s="20" t="b">
        <f>IFERROR(__xludf.DUMMYFUNCTION("""COMPUTED_VALUE"""),FALSE)</f>
        <v>0</v>
      </c>
      <c r="E1898" s="20" t="str">
        <f>IFERROR(__xludf.DUMMYFUNCTION("""COMPUTED_VALUE"""),"Easy")</f>
        <v>Easy</v>
      </c>
      <c r="F1898" s="20">
        <f>IFERROR(__xludf.DUMMYFUNCTION("""COMPUTED_VALUE"""),336.0)</f>
        <v>336</v>
      </c>
      <c r="G1898" s="20">
        <f>IFERROR(__xludf.DUMMYFUNCTION("""COMPUTED_VALUE"""),36.0)</f>
        <v>36</v>
      </c>
      <c r="H1898" s="20" t="str">
        <f>IFERROR(__xludf.DUMMYFUNCTION("""COMPUTED_VALUE"""),"Algorithms")</f>
        <v>Algorithms</v>
      </c>
      <c r="I1898" s="20">
        <f>IFERROR(__xludf.DUMMYFUNCTION("""COMPUTED_VALUE"""),0.598)</f>
        <v>0.598</v>
      </c>
      <c r="J1898" s="20">
        <f>IFERROR(__xludf.DUMMYFUNCTION("""COMPUTED_VALUE"""),1897.0)</f>
        <v>1897</v>
      </c>
      <c r="K1898" s="20" t="b">
        <f>IFERROR(__xludf.DUMMYFUNCTION("""COMPUTED_VALUE"""),FALSE)</f>
        <v>0</v>
      </c>
      <c r="L1898" s="20" t="str">
        <f>IFERROR(__xludf.DUMMYFUNCTION("""COMPUTED_VALUE"""),"Hash Table;String;Counting;")</f>
        <v>Hash Table;String;Counting;</v>
      </c>
      <c r="M1898" s="20" t="b">
        <f>IFERROR(__xludf.DUMMYFUNCTION("""COMPUTED_VALUE"""),FALSE)</f>
        <v>0</v>
      </c>
      <c r="N1898" s="20" t="b">
        <f>IFERROR(__xludf.DUMMYFUNCTION("""COMPUTED_VALUE"""),FALSE)</f>
        <v>0</v>
      </c>
      <c r="O1898" s="20">
        <f>IFERROR(__xludf.DUMMYFUNCTION("""COMPUTED_VALUE"""),59.8094942048936)</f>
        <v>59.8094942</v>
      </c>
      <c r="P1898" s="20">
        <f>IFERROR(__xludf.DUMMYFUNCTION("""COMPUTED_VALUE"""),26937.0)</f>
        <v>26937</v>
      </c>
      <c r="Q1898" s="20">
        <f>IFERROR(__xludf.DUMMYFUNCTION("""COMPUTED_VALUE"""),45038.0)</f>
        <v>45038</v>
      </c>
    </row>
    <row r="1899">
      <c r="A1899" s="20">
        <f>IFERROR(__xludf.DUMMYFUNCTION("""COMPUTED_VALUE"""),2027.0)</f>
        <v>2027</v>
      </c>
      <c r="B1899" s="20" t="str">
        <f>IFERROR(__xludf.DUMMYFUNCTION("""COMPUTED_VALUE"""),"Maximum Number of Removable Characters")</f>
        <v>Maximum Number of Removable Characters</v>
      </c>
      <c r="C1899" s="20" t="str">
        <f>IFERROR(__xludf.DUMMYFUNCTION("""COMPUTED_VALUE"""),"maximum-number-of-removable-characters")</f>
        <v>maximum-number-of-removable-characters</v>
      </c>
      <c r="D1899" s="20" t="b">
        <f>IFERROR(__xludf.DUMMYFUNCTION("""COMPUTED_VALUE"""),FALSE)</f>
        <v>0</v>
      </c>
      <c r="E1899" s="20" t="str">
        <f>IFERROR(__xludf.DUMMYFUNCTION("""COMPUTED_VALUE"""),"Medium")</f>
        <v>Medium</v>
      </c>
      <c r="F1899" s="20">
        <f>IFERROR(__xludf.DUMMYFUNCTION("""COMPUTED_VALUE"""),745.0)</f>
        <v>745</v>
      </c>
      <c r="G1899" s="20">
        <f>IFERROR(__xludf.DUMMYFUNCTION("""COMPUTED_VALUE"""),85.0)</f>
        <v>85</v>
      </c>
      <c r="H1899" s="20" t="str">
        <f>IFERROR(__xludf.DUMMYFUNCTION("""COMPUTED_VALUE"""),"Algorithms")</f>
        <v>Algorithms</v>
      </c>
      <c r="I1899" s="20">
        <f>IFERROR(__xludf.DUMMYFUNCTION("""COMPUTED_VALUE"""),0.397)</f>
        <v>0.397</v>
      </c>
      <c r="J1899" s="20">
        <f>IFERROR(__xludf.DUMMYFUNCTION("""COMPUTED_VALUE"""),1898.0)</f>
        <v>1898</v>
      </c>
      <c r="K1899" s="20" t="b">
        <f>IFERROR(__xludf.DUMMYFUNCTION("""COMPUTED_VALUE"""),FALSE)</f>
        <v>0</v>
      </c>
      <c r="L1899" s="20" t="str">
        <f>IFERROR(__xludf.DUMMYFUNCTION("""COMPUTED_VALUE"""),"Array;String;Binary Search;")</f>
        <v>Array;String;Binary Search;</v>
      </c>
      <c r="M1899" s="20" t="b">
        <f>IFERROR(__xludf.DUMMYFUNCTION("""COMPUTED_VALUE"""),FALSE)</f>
        <v>0</v>
      </c>
      <c r="N1899" s="20" t="b">
        <f>IFERROR(__xludf.DUMMYFUNCTION("""COMPUTED_VALUE"""),FALSE)</f>
        <v>0</v>
      </c>
      <c r="O1899" s="20">
        <f>IFERROR(__xludf.DUMMYFUNCTION("""COMPUTED_VALUE"""),39.6552077988712)</f>
        <v>39.6552078</v>
      </c>
      <c r="P1899" s="20">
        <f>IFERROR(__xludf.DUMMYFUNCTION("""COMPUTED_VALUE"""),19322.0)</f>
        <v>19322</v>
      </c>
      <c r="Q1899" s="20">
        <f>IFERROR(__xludf.DUMMYFUNCTION("""COMPUTED_VALUE"""),48725.0)</f>
        <v>48725</v>
      </c>
    </row>
    <row r="1900">
      <c r="A1900" s="20">
        <f>IFERROR(__xludf.DUMMYFUNCTION("""COMPUTED_VALUE"""),2026.0)</f>
        <v>2026</v>
      </c>
      <c r="B1900" s="20" t="str">
        <f>IFERROR(__xludf.DUMMYFUNCTION("""COMPUTED_VALUE"""),"Merge Triplets to Form Target Triplet")</f>
        <v>Merge Triplets to Form Target Triplet</v>
      </c>
      <c r="C1900" s="20" t="str">
        <f>IFERROR(__xludf.DUMMYFUNCTION("""COMPUTED_VALUE"""),"merge-triplets-to-form-target-triplet")</f>
        <v>merge-triplets-to-form-target-triplet</v>
      </c>
      <c r="D1900" s="20" t="b">
        <f>IFERROR(__xludf.DUMMYFUNCTION("""COMPUTED_VALUE"""),FALSE)</f>
        <v>0</v>
      </c>
      <c r="E1900" s="20" t="str">
        <f>IFERROR(__xludf.DUMMYFUNCTION("""COMPUTED_VALUE"""),"Medium")</f>
        <v>Medium</v>
      </c>
      <c r="F1900" s="20">
        <f>IFERROR(__xludf.DUMMYFUNCTION("""COMPUTED_VALUE"""),497.0)</f>
        <v>497</v>
      </c>
      <c r="G1900" s="20">
        <f>IFERROR(__xludf.DUMMYFUNCTION("""COMPUTED_VALUE"""),38.0)</f>
        <v>38</v>
      </c>
      <c r="H1900" s="20" t="str">
        <f>IFERROR(__xludf.DUMMYFUNCTION("""COMPUTED_VALUE"""),"Algorithms")</f>
        <v>Algorithms</v>
      </c>
      <c r="I1900" s="20">
        <f>IFERROR(__xludf.DUMMYFUNCTION("""COMPUTED_VALUE"""),0.645)</f>
        <v>0.645</v>
      </c>
      <c r="J1900" s="20">
        <f>IFERROR(__xludf.DUMMYFUNCTION("""COMPUTED_VALUE"""),1899.0)</f>
        <v>1899</v>
      </c>
      <c r="K1900" s="20" t="b">
        <f>IFERROR(__xludf.DUMMYFUNCTION("""COMPUTED_VALUE"""),FALSE)</f>
        <v>0</v>
      </c>
      <c r="L1900" s="20" t="str">
        <f>IFERROR(__xludf.DUMMYFUNCTION("""COMPUTED_VALUE"""),"Array;Greedy;")</f>
        <v>Array;Greedy;</v>
      </c>
      <c r="M1900" s="20" t="b">
        <f>IFERROR(__xludf.DUMMYFUNCTION("""COMPUTED_VALUE"""),FALSE)</f>
        <v>0</v>
      </c>
      <c r="N1900" s="20" t="b">
        <f>IFERROR(__xludf.DUMMYFUNCTION("""COMPUTED_VALUE"""),FALSE)</f>
        <v>0</v>
      </c>
      <c r="O1900" s="20">
        <f>IFERROR(__xludf.DUMMYFUNCTION("""COMPUTED_VALUE"""),64.5254931149981)</f>
        <v>64.52549311</v>
      </c>
      <c r="P1900" s="20">
        <f>IFERROR(__xludf.DUMMYFUNCTION("""COMPUTED_VALUE"""),26002.0)</f>
        <v>26002</v>
      </c>
      <c r="Q1900" s="20">
        <f>IFERROR(__xludf.DUMMYFUNCTION("""COMPUTED_VALUE"""),40300.0)</f>
        <v>40300</v>
      </c>
    </row>
    <row r="1901">
      <c r="A1901" s="20">
        <f>IFERROR(__xludf.DUMMYFUNCTION("""COMPUTED_VALUE"""),2028.0)</f>
        <v>2028</v>
      </c>
      <c r="B1901" s="20" t="str">
        <f>IFERROR(__xludf.DUMMYFUNCTION("""COMPUTED_VALUE"""),"The Earliest and Latest Rounds Where Players Compete")</f>
        <v>The Earliest and Latest Rounds Where Players Compete</v>
      </c>
      <c r="C1901" s="20" t="str">
        <f>IFERROR(__xludf.DUMMYFUNCTION("""COMPUTED_VALUE"""),"the-earliest-and-latest-rounds-where-players-compete")</f>
        <v>the-earliest-and-latest-rounds-where-players-compete</v>
      </c>
      <c r="D1901" s="20" t="b">
        <f>IFERROR(__xludf.DUMMYFUNCTION("""COMPUTED_VALUE"""),FALSE)</f>
        <v>0</v>
      </c>
      <c r="E1901" s="20" t="str">
        <f>IFERROR(__xludf.DUMMYFUNCTION("""COMPUTED_VALUE"""),"Hard")</f>
        <v>Hard</v>
      </c>
      <c r="F1901" s="20">
        <f>IFERROR(__xludf.DUMMYFUNCTION("""COMPUTED_VALUE"""),201.0)</f>
        <v>201</v>
      </c>
      <c r="G1901" s="20">
        <f>IFERROR(__xludf.DUMMYFUNCTION("""COMPUTED_VALUE"""),17.0)</f>
        <v>17</v>
      </c>
      <c r="H1901" s="20" t="str">
        <f>IFERROR(__xludf.DUMMYFUNCTION("""COMPUTED_VALUE"""),"Algorithms")</f>
        <v>Algorithms</v>
      </c>
      <c r="I1901" s="20">
        <f>IFERROR(__xludf.DUMMYFUNCTION("""COMPUTED_VALUE"""),0.518)</f>
        <v>0.518</v>
      </c>
      <c r="J1901" s="20">
        <f>IFERROR(__xludf.DUMMYFUNCTION("""COMPUTED_VALUE"""),1900.0)</f>
        <v>1900</v>
      </c>
      <c r="K1901" s="20" t="b">
        <f>IFERROR(__xludf.DUMMYFUNCTION("""COMPUTED_VALUE"""),FALSE)</f>
        <v>0</v>
      </c>
      <c r="L1901" s="20" t="str">
        <f>IFERROR(__xludf.DUMMYFUNCTION("""COMPUTED_VALUE"""),"Dynamic Programming;Memoization;")</f>
        <v>Dynamic Programming;Memoization;</v>
      </c>
      <c r="M1901" s="20" t="b">
        <f>IFERROR(__xludf.DUMMYFUNCTION("""COMPUTED_VALUE"""),FALSE)</f>
        <v>0</v>
      </c>
      <c r="N1901" s="20" t="b">
        <f>IFERROR(__xludf.DUMMYFUNCTION("""COMPUTED_VALUE"""),FALSE)</f>
        <v>0</v>
      </c>
      <c r="O1901" s="20">
        <f>IFERROR(__xludf.DUMMYFUNCTION("""COMPUTED_VALUE"""),51.814189969956)</f>
        <v>51.81418997</v>
      </c>
      <c r="P1901" s="20">
        <f>IFERROR(__xludf.DUMMYFUNCTION("""COMPUTED_VALUE"""),4484.0)</f>
        <v>4484</v>
      </c>
      <c r="Q1901" s="20">
        <f>IFERROR(__xludf.DUMMYFUNCTION("""COMPUTED_VALUE"""),8654.0)</f>
        <v>8654</v>
      </c>
    </row>
    <row r="1902">
      <c r="A1902" s="20">
        <f>IFERROR(__xludf.DUMMYFUNCTION("""COMPUTED_VALUE"""),2047.0)</f>
        <v>2047</v>
      </c>
      <c r="B1902" s="20" t="str">
        <f>IFERROR(__xludf.DUMMYFUNCTION("""COMPUTED_VALUE"""),"Find a Peak Element II")</f>
        <v>Find a Peak Element II</v>
      </c>
      <c r="C1902" s="20" t="str">
        <f>IFERROR(__xludf.DUMMYFUNCTION("""COMPUTED_VALUE"""),"find-a-peak-element-ii")</f>
        <v>find-a-peak-element-ii</v>
      </c>
      <c r="D1902" s="20" t="b">
        <f>IFERROR(__xludf.DUMMYFUNCTION("""COMPUTED_VALUE"""),FALSE)</f>
        <v>0</v>
      </c>
      <c r="E1902" s="20" t="str">
        <f>IFERROR(__xludf.DUMMYFUNCTION("""COMPUTED_VALUE"""),"Medium")</f>
        <v>Medium</v>
      </c>
      <c r="F1902" s="20">
        <f>IFERROR(__xludf.DUMMYFUNCTION("""COMPUTED_VALUE"""),1174.0)</f>
        <v>1174</v>
      </c>
      <c r="G1902" s="20">
        <f>IFERROR(__xludf.DUMMYFUNCTION("""COMPUTED_VALUE"""),87.0)</f>
        <v>87</v>
      </c>
      <c r="H1902" s="20" t="str">
        <f>IFERROR(__xludf.DUMMYFUNCTION("""COMPUTED_VALUE"""),"Algorithms")</f>
        <v>Algorithms</v>
      </c>
      <c r="I1902" s="20">
        <f>IFERROR(__xludf.DUMMYFUNCTION("""COMPUTED_VALUE"""),0.529)</f>
        <v>0.529</v>
      </c>
      <c r="J1902" s="20">
        <f>IFERROR(__xludf.DUMMYFUNCTION("""COMPUTED_VALUE"""),1901.0)</f>
        <v>1901</v>
      </c>
      <c r="K1902" s="20" t="b">
        <f>IFERROR(__xludf.DUMMYFUNCTION("""COMPUTED_VALUE"""),FALSE)</f>
        <v>0</v>
      </c>
      <c r="L1902" s="20" t="str">
        <f>IFERROR(__xludf.DUMMYFUNCTION("""COMPUTED_VALUE"""),"Array;Binary Search;Matrix;")</f>
        <v>Array;Binary Search;Matrix;</v>
      </c>
      <c r="M1902" s="20" t="b">
        <f>IFERROR(__xludf.DUMMYFUNCTION("""COMPUTED_VALUE"""),FALSE)</f>
        <v>0</v>
      </c>
      <c r="N1902" s="20" t="b">
        <f>IFERROR(__xludf.DUMMYFUNCTION("""COMPUTED_VALUE"""),FALSE)</f>
        <v>0</v>
      </c>
      <c r="O1902" s="20">
        <f>IFERROR(__xludf.DUMMYFUNCTION("""COMPUTED_VALUE"""),52.9497210392525)</f>
        <v>52.94972104</v>
      </c>
      <c r="P1902" s="20">
        <f>IFERROR(__xludf.DUMMYFUNCTION("""COMPUTED_VALUE"""),32077.0)</f>
        <v>32077</v>
      </c>
      <c r="Q1902" s="20">
        <f>IFERROR(__xludf.DUMMYFUNCTION("""COMPUTED_VALUE"""),60581.0)</f>
        <v>60581</v>
      </c>
    </row>
    <row r="1903">
      <c r="A1903" s="20">
        <f>IFERROR(__xludf.DUMMYFUNCTION("""COMPUTED_VALUE"""),2052.0)</f>
        <v>2052</v>
      </c>
      <c r="B1903" s="20" t="str">
        <f>IFERROR(__xludf.DUMMYFUNCTION("""COMPUTED_VALUE"""),"Depth of BST Given Insertion Order")</f>
        <v>Depth of BST Given Insertion Order</v>
      </c>
      <c r="C1903" s="20" t="str">
        <f>IFERROR(__xludf.DUMMYFUNCTION("""COMPUTED_VALUE"""),"depth-of-bst-given-insertion-order")</f>
        <v>depth-of-bst-given-insertion-order</v>
      </c>
      <c r="D1903" s="20" t="b">
        <f>IFERROR(__xludf.DUMMYFUNCTION("""COMPUTED_VALUE"""),TRUE)</f>
        <v>1</v>
      </c>
      <c r="E1903" s="20" t="str">
        <f>IFERROR(__xludf.DUMMYFUNCTION("""COMPUTED_VALUE"""),"Medium")</f>
        <v>Medium</v>
      </c>
      <c r="F1903" s="20">
        <f>IFERROR(__xludf.DUMMYFUNCTION("""COMPUTED_VALUE"""),78.0)</f>
        <v>78</v>
      </c>
      <c r="G1903" s="20">
        <f>IFERROR(__xludf.DUMMYFUNCTION("""COMPUTED_VALUE"""),11.0)</f>
        <v>11</v>
      </c>
      <c r="H1903" s="20" t="str">
        <f>IFERROR(__xludf.DUMMYFUNCTION("""COMPUTED_VALUE"""),"Algorithms")</f>
        <v>Algorithms</v>
      </c>
      <c r="I1903" s="20">
        <f>IFERROR(__xludf.DUMMYFUNCTION("""COMPUTED_VALUE"""),0.447)</f>
        <v>0.447</v>
      </c>
      <c r="J1903" s="20">
        <f>IFERROR(__xludf.DUMMYFUNCTION("""COMPUTED_VALUE"""),1902.0)</f>
        <v>1902</v>
      </c>
      <c r="K1903" s="20" t="b">
        <f>IFERROR(__xludf.DUMMYFUNCTION("""COMPUTED_VALUE"""),TRUE)</f>
        <v>1</v>
      </c>
      <c r="L1903" s="20" t="str">
        <f>IFERROR(__xludf.DUMMYFUNCTION("""COMPUTED_VALUE"""),"Tree;Binary Search Tree;Binary Tree;Ordered Set;")</f>
        <v>Tree;Binary Search Tree;Binary Tree;Ordered Set;</v>
      </c>
      <c r="M1903" s="20" t="b">
        <f>IFERROR(__xludf.DUMMYFUNCTION("""COMPUTED_VALUE"""),FALSE)</f>
        <v>0</v>
      </c>
      <c r="N1903" s="20" t="b">
        <f>IFERROR(__xludf.DUMMYFUNCTION("""COMPUTED_VALUE"""),FALSE)</f>
        <v>0</v>
      </c>
      <c r="O1903" s="20">
        <f>IFERROR(__xludf.DUMMYFUNCTION("""COMPUTED_VALUE"""),44.7225806451612)</f>
        <v>44.72258065</v>
      </c>
      <c r="P1903" s="20">
        <f>IFERROR(__xludf.DUMMYFUNCTION("""COMPUTED_VALUE"""),1733.0)</f>
        <v>1733</v>
      </c>
      <c r="Q1903" s="20">
        <f>IFERROR(__xludf.DUMMYFUNCTION("""COMPUTED_VALUE"""),3875.0)</f>
        <v>3875</v>
      </c>
    </row>
    <row r="1904">
      <c r="A1904" s="20">
        <f>IFERROR(__xludf.DUMMYFUNCTION("""COMPUTED_VALUE"""),2032.0)</f>
        <v>2032</v>
      </c>
      <c r="B1904" s="20" t="str">
        <f>IFERROR(__xludf.DUMMYFUNCTION("""COMPUTED_VALUE"""),"Largest Odd Number in String")</f>
        <v>Largest Odd Number in String</v>
      </c>
      <c r="C1904" s="20" t="str">
        <f>IFERROR(__xludf.DUMMYFUNCTION("""COMPUTED_VALUE"""),"largest-odd-number-in-string")</f>
        <v>largest-odd-number-in-string</v>
      </c>
      <c r="D1904" s="20" t="b">
        <f>IFERROR(__xludf.DUMMYFUNCTION("""COMPUTED_VALUE"""),FALSE)</f>
        <v>0</v>
      </c>
      <c r="E1904" s="20" t="str">
        <f>IFERROR(__xludf.DUMMYFUNCTION("""COMPUTED_VALUE"""),"Easy")</f>
        <v>Easy</v>
      </c>
      <c r="F1904" s="20">
        <f>IFERROR(__xludf.DUMMYFUNCTION("""COMPUTED_VALUE"""),656.0)</f>
        <v>656</v>
      </c>
      <c r="G1904" s="20">
        <f>IFERROR(__xludf.DUMMYFUNCTION("""COMPUTED_VALUE"""),55.0)</f>
        <v>55</v>
      </c>
      <c r="H1904" s="20" t="str">
        <f>IFERROR(__xludf.DUMMYFUNCTION("""COMPUTED_VALUE"""),"Algorithms")</f>
        <v>Algorithms</v>
      </c>
      <c r="I1904" s="20">
        <f>IFERROR(__xludf.DUMMYFUNCTION("""COMPUTED_VALUE"""),0.558)</f>
        <v>0.558</v>
      </c>
      <c r="J1904" s="20">
        <f>IFERROR(__xludf.DUMMYFUNCTION("""COMPUTED_VALUE"""),1903.0)</f>
        <v>1903</v>
      </c>
      <c r="K1904" s="20" t="b">
        <f>IFERROR(__xludf.DUMMYFUNCTION("""COMPUTED_VALUE"""),FALSE)</f>
        <v>0</v>
      </c>
      <c r="L1904" s="20" t="str">
        <f>IFERROR(__xludf.DUMMYFUNCTION("""COMPUTED_VALUE"""),"Math;String;Greedy;")</f>
        <v>Math;String;Greedy;</v>
      </c>
      <c r="M1904" s="20" t="b">
        <f>IFERROR(__xludf.DUMMYFUNCTION("""COMPUTED_VALUE"""),FALSE)</f>
        <v>0</v>
      </c>
      <c r="N1904" s="20" t="b">
        <f>IFERROR(__xludf.DUMMYFUNCTION("""COMPUTED_VALUE"""),FALSE)</f>
        <v>0</v>
      </c>
      <c r="O1904" s="20">
        <f>IFERROR(__xludf.DUMMYFUNCTION("""COMPUTED_VALUE"""),55.7544786535777)</f>
        <v>55.75447865</v>
      </c>
      <c r="P1904" s="20">
        <f>IFERROR(__xludf.DUMMYFUNCTION("""COMPUTED_VALUE"""),48329.0)</f>
        <v>48329</v>
      </c>
      <c r="Q1904" s="20">
        <f>IFERROR(__xludf.DUMMYFUNCTION("""COMPUTED_VALUE"""),86679.0)</f>
        <v>86679</v>
      </c>
    </row>
    <row r="1905">
      <c r="A1905" s="20">
        <f>IFERROR(__xludf.DUMMYFUNCTION("""COMPUTED_VALUE"""),2033.0)</f>
        <v>2033</v>
      </c>
      <c r="B1905" s="20" t="str">
        <f>IFERROR(__xludf.DUMMYFUNCTION("""COMPUTED_VALUE"""),"The Number of Full Rounds You Have Played")</f>
        <v>The Number of Full Rounds You Have Played</v>
      </c>
      <c r="C1905" s="20" t="str">
        <f>IFERROR(__xludf.DUMMYFUNCTION("""COMPUTED_VALUE"""),"the-number-of-full-rounds-you-have-played")</f>
        <v>the-number-of-full-rounds-you-have-played</v>
      </c>
      <c r="D1905" s="20" t="b">
        <f>IFERROR(__xludf.DUMMYFUNCTION("""COMPUTED_VALUE"""),FALSE)</f>
        <v>0</v>
      </c>
      <c r="E1905" s="20" t="str">
        <f>IFERROR(__xludf.DUMMYFUNCTION("""COMPUTED_VALUE"""),"Medium")</f>
        <v>Medium</v>
      </c>
      <c r="F1905" s="20">
        <f>IFERROR(__xludf.DUMMYFUNCTION("""COMPUTED_VALUE"""),178.0)</f>
        <v>178</v>
      </c>
      <c r="G1905" s="20">
        <f>IFERROR(__xludf.DUMMYFUNCTION("""COMPUTED_VALUE"""),235.0)</f>
        <v>235</v>
      </c>
      <c r="H1905" s="20" t="str">
        <f>IFERROR(__xludf.DUMMYFUNCTION("""COMPUTED_VALUE"""),"Algorithms")</f>
        <v>Algorithms</v>
      </c>
      <c r="I1905" s="20">
        <f>IFERROR(__xludf.DUMMYFUNCTION("""COMPUTED_VALUE"""),0.453)</f>
        <v>0.453</v>
      </c>
      <c r="J1905" s="20">
        <f>IFERROR(__xludf.DUMMYFUNCTION("""COMPUTED_VALUE"""),1904.0)</f>
        <v>1904</v>
      </c>
      <c r="K1905" s="20" t="b">
        <f>IFERROR(__xludf.DUMMYFUNCTION("""COMPUTED_VALUE"""),FALSE)</f>
        <v>0</v>
      </c>
      <c r="L1905" s="20" t="str">
        <f>IFERROR(__xludf.DUMMYFUNCTION("""COMPUTED_VALUE"""),"Math;String;")</f>
        <v>Math;String;</v>
      </c>
      <c r="M1905" s="20" t="b">
        <f>IFERROR(__xludf.DUMMYFUNCTION("""COMPUTED_VALUE"""),FALSE)</f>
        <v>0</v>
      </c>
      <c r="N1905" s="20" t="b">
        <f>IFERROR(__xludf.DUMMYFUNCTION("""COMPUTED_VALUE"""),FALSE)</f>
        <v>0</v>
      </c>
      <c r="O1905" s="20">
        <f>IFERROR(__xludf.DUMMYFUNCTION("""COMPUTED_VALUE"""),45.2965965941296)</f>
        <v>45.29659659</v>
      </c>
      <c r="P1905" s="20">
        <f>IFERROR(__xludf.DUMMYFUNCTION("""COMPUTED_VALUE"""),18375.0)</f>
        <v>18375</v>
      </c>
      <c r="Q1905" s="20">
        <f>IFERROR(__xludf.DUMMYFUNCTION("""COMPUTED_VALUE"""),40567.0)</f>
        <v>40567</v>
      </c>
    </row>
    <row r="1906">
      <c r="A1906" s="20">
        <f>IFERROR(__xludf.DUMMYFUNCTION("""COMPUTED_VALUE"""),2035.0)</f>
        <v>2035</v>
      </c>
      <c r="B1906" s="20" t="str">
        <f>IFERROR(__xludf.DUMMYFUNCTION("""COMPUTED_VALUE"""),"Count Sub Islands")</f>
        <v>Count Sub Islands</v>
      </c>
      <c r="C1906" s="20" t="str">
        <f>IFERROR(__xludf.DUMMYFUNCTION("""COMPUTED_VALUE"""),"count-sub-islands")</f>
        <v>count-sub-islands</v>
      </c>
      <c r="D1906" s="20" t="b">
        <f>IFERROR(__xludf.DUMMYFUNCTION("""COMPUTED_VALUE"""),FALSE)</f>
        <v>0</v>
      </c>
      <c r="E1906" s="20" t="str">
        <f>IFERROR(__xludf.DUMMYFUNCTION("""COMPUTED_VALUE"""),"Medium")</f>
        <v>Medium</v>
      </c>
      <c r="F1906" s="20">
        <f>IFERROR(__xludf.DUMMYFUNCTION("""COMPUTED_VALUE"""),1552.0)</f>
        <v>1552</v>
      </c>
      <c r="G1906" s="20">
        <f>IFERROR(__xludf.DUMMYFUNCTION("""COMPUTED_VALUE"""),49.0)</f>
        <v>49</v>
      </c>
      <c r="H1906" s="20" t="str">
        <f>IFERROR(__xludf.DUMMYFUNCTION("""COMPUTED_VALUE"""),"Algorithms")</f>
        <v>Algorithms</v>
      </c>
      <c r="I1906" s="20">
        <f>IFERROR(__xludf.DUMMYFUNCTION("""COMPUTED_VALUE"""),0.676)</f>
        <v>0.676</v>
      </c>
      <c r="J1906" s="20">
        <f>IFERROR(__xludf.DUMMYFUNCTION("""COMPUTED_VALUE"""),1905.0)</f>
        <v>1905</v>
      </c>
      <c r="K1906" s="20" t="b">
        <f>IFERROR(__xludf.DUMMYFUNCTION("""COMPUTED_VALUE"""),FALSE)</f>
        <v>0</v>
      </c>
      <c r="L1906" s="20" t="str">
        <f>IFERROR(__xludf.DUMMYFUNCTION("""COMPUTED_VALUE"""),"Array;Depth-First Search;Breadth-First Search;Union Find;Matrix;")</f>
        <v>Array;Depth-First Search;Breadth-First Search;Union Find;Matrix;</v>
      </c>
      <c r="M1906" s="20" t="b">
        <f>IFERROR(__xludf.DUMMYFUNCTION("""COMPUTED_VALUE"""),FALSE)</f>
        <v>0</v>
      </c>
      <c r="N1906" s="20" t="b">
        <f>IFERROR(__xludf.DUMMYFUNCTION("""COMPUTED_VALUE"""),FALSE)</f>
        <v>0</v>
      </c>
      <c r="O1906" s="20">
        <f>IFERROR(__xludf.DUMMYFUNCTION("""COMPUTED_VALUE"""),67.5991542554427)</f>
        <v>67.59915426</v>
      </c>
      <c r="P1906" s="20">
        <f>IFERROR(__xludf.DUMMYFUNCTION("""COMPUTED_VALUE"""),58188.0)</f>
        <v>58188</v>
      </c>
      <c r="Q1906" s="20">
        <f>IFERROR(__xludf.DUMMYFUNCTION("""COMPUTED_VALUE"""),86078.0)</f>
        <v>86078</v>
      </c>
    </row>
    <row r="1907">
      <c r="A1907" s="20">
        <f>IFERROR(__xludf.DUMMYFUNCTION("""COMPUTED_VALUE"""),2034.0)</f>
        <v>2034</v>
      </c>
      <c r="B1907" s="20" t="str">
        <f>IFERROR(__xludf.DUMMYFUNCTION("""COMPUTED_VALUE"""),"Minimum Absolute Difference Queries")</f>
        <v>Minimum Absolute Difference Queries</v>
      </c>
      <c r="C1907" s="20" t="str">
        <f>IFERROR(__xludf.DUMMYFUNCTION("""COMPUTED_VALUE"""),"minimum-absolute-difference-queries")</f>
        <v>minimum-absolute-difference-queries</v>
      </c>
      <c r="D1907" s="20" t="b">
        <f>IFERROR(__xludf.DUMMYFUNCTION("""COMPUTED_VALUE"""),FALSE)</f>
        <v>0</v>
      </c>
      <c r="E1907" s="20" t="str">
        <f>IFERROR(__xludf.DUMMYFUNCTION("""COMPUTED_VALUE"""),"Medium")</f>
        <v>Medium</v>
      </c>
      <c r="F1907" s="20">
        <f>IFERROR(__xludf.DUMMYFUNCTION("""COMPUTED_VALUE"""),450.0)</f>
        <v>450</v>
      </c>
      <c r="G1907" s="20">
        <f>IFERROR(__xludf.DUMMYFUNCTION("""COMPUTED_VALUE"""),30.0)</f>
        <v>30</v>
      </c>
      <c r="H1907" s="20" t="str">
        <f>IFERROR(__xludf.DUMMYFUNCTION("""COMPUTED_VALUE"""),"Algorithms")</f>
        <v>Algorithms</v>
      </c>
      <c r="I1907" s="20">
        <f>IFERROR(__xludf.DUMMYFUNCTION("""COMPUTED_VALUE"""),0.439)</f>
        <v>0.439</v>
      </c>
      <c r="J1907" s="20">
        <f>IFERROR(__xludf.DUMMYFUNCTION("""COMPUTED_VALUE"""),1906.0)</f>
        <v>1906</v>
      </c>
      <c r="K1907" s="20" t="b">
        <f>IFERROR(__xludf.DUMMYFUNCTION("""COMPUTED_VALUE"""),FALSE)</f>
        <v>0</v>
      </c>
      <c r="L1907" s="20" t="str">
        <f>IFERROR(__xludf.DUMMYFUNCTION("""COMPUTED_VALUE"""),"Array;Hash Table;")</f>
        <v>Array;Hash Table;</v>
      </c>
      <c r="M1907" s="20" t="b">
        <f>IFERROR(__xludf.DUMMYFUNCTION("""COMPUTED_VALUE"""),FALSE)</f>
        <v>0</v>
      </c>
      <c r="N1907" s="20" t="b">
        <f>IFERROR(__xludf.DUMMYFUNCTION("""COMPUTED_VALUE"""),FALSE)</f>
        <v>0</v>
      </c>
      <c r="O1907" s="20">
        <f>IFERROR(__xludf.DUMMYFUNCTION("""COMPUTED_VALUE"""),43.8983295624127)</f>
        <v>43.89832956</v>
      </c>
      <c r="P1907" s="20">
        <f>IFERROR(__xludf.DUMMYFUNCTION("""COMPUTED_VALUE"""),9119.0)</f>
        <v>9119</v>
      </c>
      <c r="Q1907" s="20">
        <f>IFERROR(__xludf.DUMMYFUNCTION("""COMPUTED_VALUE"""),20773.0)</f>
        <v>20773</v>
      </c>
    </row>
    <row r="1908">
      <c r="A1908" s="20">
        <f>IFERROR(__xludf.DUMMYFUNCTION("""COMPUTED_VALUE"""),2057.0)</f>
        <v>2057</v>
      </c>
      <c r="B1908" s="20" t="str">
        <f>IFERROR(__xludf.DUMMYFUNCTION("""COMPUTED_VALUE"""),"Count Salary Categories")</f>
        <v>Count Salary Categories</v>
      </c>
      <c r="C1908" s="20" t="str">
        <f>IFERROR(__xludf.DUMMYFUNCTION("""COMPUTED_VALUE"""),"count-salary-categories")</f>
        <v>count-salary-categories</v>
      </c>
      <c r="D1908" s="20" t="b">
        <f>IFERROR(__xludf.DUMMYFUNCTION("""COMPUTED_VALUE"""),TRUE)</f>
        <v>1</v>
      </c>
      <c r="E1908" s="20" t="str">
        <f>IFERROR(__xludf.DUMMYFUNCTION("""COMPUTED_VALUE"""),"Medium")</f>
        <v>Medium</v>
      </c>
      <c r="F1908" s="20">
        <f>IFERROR(__xludf.DUMMYFUNCTION("""COMPUTED_VALUE"""),52.0)</f>
        <v>52</v>
      </c>
      <c r="G1908" s="20">
        <f>IFERROR(__xludf.DUMMYFUNCTION("""COMPUTED_VALUE"""),19.0)</f>
        <v>19</v>
      </c>
      <c r="H1908" s="20" t="str">
        <f>IFERROR(__xludf.DUMMYFUNCTION("""COMPUTED_VALUE"""),"Database")</f>
        <v>Database</v>
      </c>
      <c r="I1908" s="20">
        <f>IFERROR(__xludf.DUMMYFUNCTION("""COMPUTED_VALUE"""),0.643)</f>
        <v>0.643</v>
      </c>
      <c r="J1908" s="20">
        <f>IFERROR(__xludf.DUMMYFUNCTION("""COMPUTED_VALUE"""),1907.0)</f>
        <v>1907</v>
      </c>
      <c r="K1908" s="20" t="b">
        <f>IFERROR(__xludf.DUMMYFUNCTION("""COMPUTED_VALUE"""),TRUE)</f>
        <v>1</v>
      </c>
      <c r="L1908" s="20" t="str">
        <f>IFERROR(__xludf.DUMMYFUNCTION("""COMPUTED_VALUE"""),"Database;")</f>
        <v>Database;</v>
      </c>
      <c r="M1908" s="20" t="b">
        <f>IFERROR(__xludf.DUMMYFUNCTION("""COMPUTED_VALUE"""),FALSE)</f>
        <v>0</v>
      </c>
      <c r="N1908" s="20" t="b">
        <f>IFERROR(__xludf.DUMMYFUNCTION("""COMPUTED_VALUE"""),FALSE)</f>
        <v>0</v>
      </c>
      <c r="O1908" s="20">
        <f>IFERROR(__xludf.DUMMYFUNCTION("""COMPUTED_VALUE"""),64.2899383289684)</f>
        <v>64.28993833</v>
      </c>
      <c r="P1908" s="20">
        <f>IFERROR(__xludf.DUMMYFUNCTION("""COMPUTED_VALUE"""),7610.0)</f>
        <v>7610</v>
      </c>
      <c r="Q1908" s="20">
        <f>IFERROR(__xludf.DUMMYFUNCTION("""COMPUTED_VALUE"""),11837.0)</f>
        <v>11837</v>
      </c>
    </row>
    <row r="1909">
      <c r="A1909" s="20">
        <f>IFERROR(__xludf.DUMMYFUNCTION("""COMPUTED_VALUE"""),2062.0)</f>
        <v>2062</v>
      </c>
      <c r="B1909" s="20" t="str">
        <f>IFERROR(__xludf.DUMMYFUNCTION("""COMPUTED_VALUE"""),"Game of Nim")</f>
        <v>Game of Nim</v>
      </c>
      <c r="C1909" s="20" t="str">
        <f>IFERROR(__xludf.DUMMYFUNCTION("""COMPUTED_VALUE"""),"game-of-nim")</f>
        <v>game-of-nim</v>
      </c>
      <c r="D1909" s="20" t="b">
        <f>IFERROR(__xludf.DUMMYFUNCTION("""COMPUTED_VALUE"""),TRUE)</f>
        <v>1</v>
      </c>
      <c r="E1909" s="20" t="str">
        <f>IFERROR(__xludf.DUMMYFUNCTION("""COMPUTED_VALUE"""),"Medium")</f>
        <v>Medium</v>
      </c>
      <c r="F1909" s="20">
        <f>IFERROR(__xludf.DUMMYFUNCTION("""COMPUTED_VALUE"""),36.0)</f>
        <v>36</v>
      </c>
      <c r="G1909" s="20">
        <f>IFERROR(__xludf.DUMMYFUNCTION("""COMPUTED_VALUE"""),17.0)</f>
        <v>17</v>
      </c>
      <c r="H1909" s="20" t="str">
        <f>IFERROR(__xludf.DUMMYFUNCTION("""COMPUTED_VALUE"""),"Algorithms")</f>
        <v>Algorithms</v>
      </c>
      <c r="I1909" s="20">
        <f>IFERROR(__xludf.DUMMYFUNCTION("""COMPUTED_VALUE"""),0.571)</f>
        <v>0.571</v>
      </c>
      <c r="J1909" s="20">
        <f>IFERROR(__xludf.DUMMYFUNCTION("""COMPUTED_VALUE"""),1908.0)</f>
        <v>1908</v>
      </c>
      <c r="K1909" s="20" t="b">
        <f>IFERROR(__xludf.DUMMYFUNCTION("""COMPUTED_VALUE"""),TRUE)</f>
        <v>1</v>
      </c>
      <c r="L1909" s="20" t="str">
        <f>IFERROR(__xludf.DUMMYFUNCTION("""COMPUTED_VALUE"""),"Array;Math;Dynamic Programming;Bit Manipulation;Brainteaser;Game Theory;")</f>
        <v>Array;Math;Dynamic Programming;Bit Manipulation;Brainteaser;Game Theory;</v>
      </c>
      <c r="M1909" s="20" t="b">
        <f>IFERROR(__xludf.DUMMYFUNCTION("""COMPUTED_VALUE"""),TRUE)</f>
        <v>1</v>
      </c>
      <c r="N1909" s="20" t="b">
        <f>IFERROR(__xludf.DUMMYFUNCTION("""COMPUTED_VALUE"""),FALSE)</f>
        <v>0</v>
      </c>
      <c r="O1909" s="20">
        <f>IFERROR(__xludf.DUMMYFUNCTION("""COMPUTED_VALUE"""),57.1493418066273)</f>
        <v>57.14934181</v>
      </c>
      <c r="P1909" s="20">
        <f>IFERROR(__xludf.DUMMYFUNCTION("""COMPUTED_VALUE"""),1259.0)</f>
        <v>1259</v>
      </c>
      <c r="Q1909" s="20">
        <f>IFERROR(__xludf.DUMMYFUNCTION("""COMPUTED_VALUE"""),2203.0)</f>
        <v>2203</v>
      </c>
    </row>
    <row r="1910">
      <c r="A1910" s="20">
        <f>IFERROR(__xludf.DUMMYFUNCTION("""COMPUTED_VALUE"""),2020.0)</f>
        <v>2020</v>
      </c>
      <c r="B1910" s="20" t="str">
        <f>IFERROR(__xludf.DUMMYFUNCTION("""COMPUTED_VALUE"""),"Remove One Element to Make the Array Strictly Increasing")</f>
        <v>Remove One Element to Make the Array Strictly Increasing</v>
      </c>
      <c r="C1910" s="20" t="str">
        <f>IFERROR(__xludf.DUMMYFUNCTION("""COMPUTED_VALUE"""),"remove-one-element-to-make-the-array-strictly-increasing")</f>
        <v>remove-one-element-to-make-the-array-strictly-increasing</v>
      </c>
      <c r="D1910" s="20" t="b">
        <f>IFERROR(__xludf.DUMMYFUNCTION("""COMPUTED_VALUE"""),FALSE)</f>
        <v>0</v>
      </c>
      <c r="E1910" s="20" t="str">
        <f>IFERROR(__xludf.DUMMYFUNCTION("""COMPUTED_VALUE"""),"Easy")</f>
        <v>Easy</v>
      </c>
      <c r="F1910" s="20">
        <f>IFERROR(__xludf.DUMMYFUNCTION("""COMPUTED_VALUE"""),859.0)</f>
        <v>859</v>
      </c>
      <c r="G1910" s="20">
        <f>IFERROR(__xludf.DUMMYFUNCTION("""COMPUTED_VALUE"""),262.0)</f>
        <v>262</v>
      </c>
      <c r="H1910" s="20" t="str">
        <f>IFERROR(__xludf.DUMMYFUNCTION("""COMPUTED_VALUE"""),"Algorithms")</f>
        <v>Algorithms</v>
      </c>
      <c r="I1910" s="20">
        <f>IFERROR(__xludf.DUMMYFUNCTION("""COMPUTED_VALUE"""),0.26)</f>
        <v>0.26</v>
      </c>
      <c r="J1910" s="20">
        <f>IFERROR(__xludf.DUMMYFUNCTION("""COMPUTED_VALUE"""),1909.0)</f>
        <v>1909</v>
      </c>
      <c r="K1910" s="20" t="b">
        <f>IFERROR(__xludf.DUMMYFUNCTION("""COMPUTED_VALUE"""),FALSE)</f>
        <v>0</v>
      </c>
      <c r="L1910" s="20" t="str">
        <f>IFERROR(__xludf.DUMMYFUNCTION("""COMPUTED_VALUE"""),"Array;")</f>
        <v>Array;</v>
      </c>
      <c r="M1910" s="20" t="b">
        <f>IFERROR(__xludf.DUMMYFUNCTION("""COMPUTED_VALUE"""),FALSE)</f>
        <v>0</v>
      </c>
      <c r="N1910" s="20" t="b">
        <f>IFERROR(__xludf.DUMMYFUNCTION("""COMPUTED_VALUE"""),FALSE)</f>
        <v>0</v>
      </c>
      <c r="O1910" s="20">
        <f>IFERROR(__xludf.DUMMYFUNCTION("""COMPUTED_VALUE"""),26.0197120962909)</f>
        <v>26.0197121</v>
      </c>
      <c r="P1910" s="20">
        <f>IFERROR(__xludf.DUMMYFUNCTION("""COMPUTED_VALUE"""),40813.0)</f>
        <v>40813</v>
      </c>
      <c r="Q1910" s="20">
        <f>IFERROR(__xludf.DUMMYFUNCTION("""COMPUTED_VALUE"""),156852.0)</f>
        <v>156852</v>
      </c>
    </row>
    <row r="1911">
      <c r="A1911" s="20">
        <f>IFERROR(__xludf.DUMMYFUNCTION("""COMPUTED_VALUE"""),2021.0)</f>
        <v>2021</v>
      </c>
      <c r="B1911" s="20" t="str">
        <f>IFERROR(__xludf.DUMMYFUNCTION("""COMPUTED_VALUE"""),"Remove All Occurrences of a Substring")</f>
        <v>Remove All Occurrences of a Substring</v>
      </c>
      <c r="C1911" s="20" t="str">
        <f>IFERROR(__xludf.DUMMYFUNCTION("""COMPUTED_VALUE"""),"remove-all-occurrences-of-a-substring")</f>
        <v>remove-all-occurrences-of-a-substring</v>
      </c>
      <c r="D1911" s="20" t="b">
        <f>IFERROR(__xludf.DUMMYFUNCTION("""COMPUTED_VALUE"""),FALSE)</f>
        <v>0</v>
      </c>
      <c r="E1911" s="20" t="str">
        <f>IFERROR(__xludf.DUMMYFUNCTION("""COMPUTED_VALUE"""),"Medium")</f>
        <v>Medium</v>
      </c>
      <c r="F1911" s="20">
        <f>IFERROR(__xludf.DUMMYFUNCTION("""COMPUTED_VALUE"""),1066.0)</f>
        <v>1066</v>
      </c>
      <c r="G1911" s="20">
        <f>IFERROR(__xludf.DUMMYFUNCTION("""COMPUTED_VALUE"""),44.0)</f>
        <v>44</v>
      </c>
      <c r="H1911" s="20" t="str">
        <f>IFERROR(__xludf.DUMMYFUNCTION("""COMPUTED_VALUE"""),"Algorithms")</f>
        <v>Algorithms</v>
      </c>
      <c r="I1911" s="20">
        <f>IFERROR(__xludf.DUMMYFUNCTION("""COMPUTED_VALUE"""),0.741)</f>
        <v>0.741</v>
      </c>
      <c r="J1911" s="20">
        <f>IFERROR(__xludf.DUMMYFUNCTION("""COMPUTED_VALUE"""),1910.0)</f>
        <v>1910</v>
      </c>
      <c r="K1911" s="20" t="b">
        <f>IFERROR(__xludf.DUMMYFUNCTION("""COMPUTED_VALUE"""),FALSE)</f>
        <v>0</v>
      </c>
      <c r="L1911" s="20" t="str">
        <f>IFERROR(__xludf.DUMMYFUNCTION("""COMPUTED_VALUE"""),"String;")</f>
        <v>String;</v>
      </c>
      <c r="M1911" s="20" t="b">
        <f>IFERROR(__xludf.DUMMYFUNCTION("""COMPUTED_VALUE"""),FALSE)</f>
        <v>0</v>
      </c>
      <c r="N1911" s="20" t="b">
        <f>IFERROR(__xludf.DUMMYFUNCTION("""COMPUTED_VALUE"""),FALSE)</f>
        <v>0</v>
      </c>
      <c r="O1911" s="20">
        <f>IFERROR(__xludf.DUMMYFUNCTION("""COMPUTED_VALUE"""),74.118867147585)</f>
        <v>74.11886715</v>
      </c>
      <c r="P1911" s="20">
        <f>IFERROR(__xludf.DUMMYFUNCTION("""COMPUTED_VALUE"""),48596.0)</f>
        <v>48596</v>
      </c>
      <c r="Q1911" s="20">
        <f>IFERROR(__xludf.DUMMYFUNCTION("""COMPUTED_VALUE"""),65566.0)</f>
        <v>65566</v>
      </c>
    </row>
    <row r="1912">
      <c r="A1912" s="20">
        <f>IFERROR(__xludf.DUMMYFUNCTION("""COMPUTED_VALUE"""),2022.0)</f>
        <v>2022</v>
      </c>
      <c r="B1912" s="20" t="str">
        <f>IFERROR(__xludf.DUMMYFUNCTION("""COMPUTED_VALUE"""),"Maximum Alternating Subsequence Sum")</f>
        <v>Maximum Alternating Subsequence Sum</v>
      </c>
      <c r="C1912" s="20" t="str">
        <f>IFERROR(__xludf.DUMMYFUNCTION("""COMPUTED_VALUE"""),"maximum-alternating-subsequence-sum")</f>
        <v>maximum-alternating-subsequence-sum</v>
      </c>
      <c r="D1912" s="20" t="b">
        <f>IFERROR(__xludf.DUMMYFUNCTION("""COMPUTED_VALUE"""),FALSE)</f>
        <v>0</v>
      </c>
      <c r="E1912" s="20" t="str">
        <f>IFERROR(__xludf.DUMMYFUNCTION("""COMPUTED_VALUE"""),"Medium")</f>
        <v>Medium</v>
      </c>
      <c r="F1912" s="20">
        <f>IFERROR(__xludf.DUMMYFUNCTION("""COMPUTED_VALUE"""),859.0)</f>
        <v>859</v>
      </c>
      <c r="G1912" s="20">
        <f>IFERROR(__xludf.DUMMYFUNCTION("""COMPUTED_VALUE"""),16.0)</f>
        <v>16</v>
      </c>
      <c r="H1912" s="20" t="str">
        <f>IFERROR(__xludf.DUMMYFUNCTION("""COMPUTED_VALUE"""),"Algorithms")</f>
        <v>Algorithms</v>
      </c>
      <c r="I1912" s="20">
        <f>IFERROR(__xludf.DUMMYFUNCTION("""COMPUTED_VALUE"""),0.593)</f>
        <v>0.593</v>
      </c>
      <c r="J1912" s="20">
        <f>IFERROR(__xludf.DUMMYFUNCTION("""COMPUTED_VALUE"""),1911.0)</f>
        <v>1911</v>
      </c>
      <c r="K1912" s="20" t="b">
        <f>IFERROR(__xludf.DUMMYFUNCTION("""COMPUTED_VALUE"""),FALSE)</f>
        <v>0</v>
      </c>
      <c r="L1912" s="20" t="str">
        <f>IFERROR(__xludf.DUMMYFUNCTION("""COMPUTED_VALUE"""),"Array;Dynamic Programming;")</f>
        <v>Array;Dynamic Programming;</v>
      </c>
      <c r="M1912" s="20" t="b">
        <f>IFERROR(__xludf.DUMMYFUNCTION("""COMPUTED_VALUE"""),FALSE)</f>
        <v>0</v>
      </c>
      <c r="N1912" s="20" t="b">
        <f>IFERROR(__xludf.DUMMYFUNCTION("""COMPUTED_VALUE"""),FALSE)</f>
        <v>0</v>
      </c>
      <c r="O1912" s="20">
        <f>IFERROR(__xludf.DUMMYFUNCTION("""COMPUTED_VALUE"""),59.3300544995347)</f>
        <v>59.3300545</v>
      </c>
      <c r="P1912" s="20">
        <f>IFERROR(__xludf.DUMMYFUNCTION("""COMPUTED_VALUE"""),22317.0)</f>
        <v>22317</v>
      </c>
      <c r="Q1912" s="20">
        <f>IFERROR(__xludf.DUMMYFUNCTION("""COMPUTED_VALUE"""),37615.0)</f>
        <v>37615</v>
      </c>
    </row>
    <row r="1913">
      <c r="A1913" s="20">
        <f>IFERROR(__xludf.DUMMYFUNCTION("""COMPUTED_VALUE"""),2023.0)</f>
        <v>2023</v>
      </c>
      <c r="B1913" s="20" t="str">
        <f>IFERROR(__xludf.DUMMYFUNCTION("""COMPUTED_VALUE"""),"Design Movie Rental System")</f>
        <v>Design Movie Rental System</v>
      </c>
      <c r="C1913" s="20" t="str">
        <f>IFERROR(__xludf.DUMMYFUNCTION("""COMPUTED_VALUE"""),"design-movie-rental-system")</f>
        <v>design-movie-rental-system</v>
      </c>
      <c r="D1913" s="20" t="b">
        <f>IFERROR(__xludf.DUMMYFUNCTION("""COMPUTED_VALUE"""),FALSE)</f>
        <v>0</v>
      </c>
      <c r="E1913" s="20" t="str">
        <f>IFERROR(__xludf.DUMMYFUNCTION("""COMPUTED_VALUE"""),"Hard")</f>
        <v>Hard</v>
      </c>
      <c r="F1913" s="20">
        <f>IFERROR(__xludf.DUMMYFUNCTION("""COMPUTED_VALUE"""),192.0)</f>
        <v>192</v>
      </c>
      <c r="G1913" s="20">
        <f>IFERROR(__xludf.DUMMYFUNCTION("""COMPUTED_VALUE"""),34.0)</f>
        <v>34</v>
      </c>
      <c r="H1913" s="20" t="str">
        <f>IFERROR(__xludf.DUMMYFUNCTION("""COMPUTED_VALUE"""),"Algorithms")</f>
        <v>Algorithms</v>
      </c>
      <c r="I1913" s="20">
        <f>IFERROR(__xludf.DUMMYFUNCTION("""COMPUTED_VALUE"""),0.407)</f>
        <v>0.407</v>
      </c>
      <c r="J1913" s="20">
        <f>IFERROR(__xludf.DUMMYFUNCTION("""COMPUTED_VALUE"""),1912.0)</f>
        <v>1912</v>
      </c>
      <c r="K1913" s="20" t="b">
        <f>IFERROR(__xludf.DUMMYFUNCTION("""COMPUTED_VALUE"""),FALSE)</f>
        <v>0</v>
      </c>
      <c r="L1913" s="20" t="str">
        <f>IFERROR(__xludf.DUMMYFUNCTION("""COMPUTED_VALUE"""),"Array;Hash Table;Design;Heap (Priority Queue);Ordered Set;")</f>
        <v>Array;Hash Table;Design;Heap (Priority Queue);Ordered Set;</v>
      </c>
      <c r="M1913" s="20" t="b">
        <f>IFERROR(__xludf.DUMMYFUNCTION("""COMPUTED_VALUE"""),FALSE)</f>
        <v>0</v>
      </c>
      <c r="N1913" s="20" t="b">
        <f>IFERROR(__xludf.DUMMYFUNCTION("""COMPUTED_VALUE"""),FALSE)</f>
        <v>0</v>
      </c>
      <c r="O1913" s="20">
        <f>IFERROR(__xludf.DUMMYFUNCTION("""COMPUTED_VALUE"""),40.6609568301756)</f>
        <v>40.66095683</v>
      </c>
      <c r="P1913" s="20">
        <f>IFERROR(__xludf.DUMMYFUNCTION("""COMPUTED_VALUE"""),4700.0)</f>
        <v>4700</v>
      </c>
      <c r="Q1913" s="20">
        <f>IFERROR(__xludf.DUMMYFUNCTION("""COMPUTED_VALUE"""),11559.0)</f>
        <v>11559</v>
      </c>
    </row>
    <row r="1914">
      <c r="A1914" s="20">
        <f>IFERROR(__xludf.DUMMYFUNCTION("""COMPUTED_VALUE"""),2042.0)</f>
        <v>2042</v>
      </c>
      <c r="B1914" s="20" t="str">
        <f>IFERROR(__xludf.DUMMYFUNCTION("""COMPUTED_VALUE"""),"Maximum Product Difference Between Two Pairs")</f>
        <v>Maximum Product Difference Between Two Pairs</v>
      </c>
      <c r="C1914" s="20" t="str">
        <f>IFERROR(__xludf.DUMMYFUNCTION("""COMPUTED_VALUE"""),"maximum-product-difference-between-two-pairs")</f>
        <v>maximum-product-difference-between-two-pairs</v>
      </c>
      <c r="D1914" s="20" t="b">
        <f>IFERROR(__xludf.DUMMYFUNCTION("""COMPUTED_VALUE"""),FALSE)</f>
        <v>0</v>
      </c>
      <c r="E1914" s="20" t="str">
        <f>IFERROR(__xludf.DUMMYFUNCTION("""COMPUTED_VALUE"""),"Easy")</f>
        <v>Easy</v>
      </c>
      <c r="F1914" s="20">
        <f>IFERROR(__xludf.DUMMYFUNCTION("""COMPUTED_VALUE"""),629.0)</f>
        <v>629</v>
      </c>
      <c r="G1914" s="20">
        <f>IFERROR(__xludf.DUMMYFUNCTION("""COMPUTED_VALUE"""),34.0)</f>
        <v>34</v>
      </c>
      <c r="H1914" s="20" t="str">
        <f>IFERROR(__xludf.DUMMYFUNCTION("""COMPUTED_VALUE"""),"Algorithms")</f>
        <v>Algorithms</v>
      </c>
      <c r="I1914" s="20">
        <f>IFERROR(__xludf.DUMMYFUNCTION("""COMPUTED_VALUE"""),0.814)</f>
        <v>0.814</v>
      </c>
      <c r="J1914" s="20">
        <f>IFERROR(__xludf.DUMMYFUNCTION("""COMPUTED_VALUE"""),1913.0)</f>
        <v>1913</v>
      </c>
      <c r="K1914" s="20" t="b">
        <f>IFERROR(__xludf.DUMMYFUNCTION("""COMPUTED_VALUE"""),FALSE)</f>
        <v>0</v>
      </c>
      <c r="L1914" s="20" t="str">
        <f>IFERROR(__xludf.DUMMYFUNCTION("""COMPUTED_VALUE"""),"Array;Sorting;")</f>
        <v>Array;Sorting;</v>
      </c>
      <c r="M1914" s="20" t="b">
        <f>IFERROR(__xludf.DUMMYFUNCTION("""COMPUTED_VALUE"""),FALSE)</f>
        <v>0</v>
      </c>
      <c r="N1914" s="20" t="b">
        <f>IFERROR(__xludf.DUMMYFUNCTION("""COMPUTED_VALUE"""),FALSE)</f>
        <v>0</v>
      </c>
      <c r="O1914" s="20">
        <f>IFERROR(__xludf.DUMMYFUNCTION("""COMPUTED_VALUE"""),81.3654866573266)</f>
        <v>81.36548666</v>
      </c>
      <c r="P1914" s="20">
        <f>IFERROR(__xludf.DUMMYFUNCTION("""COMPUTED_VALUE"""),73755.0)</f>
        <v>73755</v>
      </c>
      <c r="Q1914" s="20">
        <f>IFERROR(__xludf.DUMMYFUNCTION("""COMPUTED_VALUE"""),90647.0)</f>
        <v>90647</v>
      </c>
    </row>
    <row r="1915">
      <c r="A1915" s="20">
        <f>IFERROR(__xludf.DUMMYFUNCTION("""COMPUTED_VALUE"""),2043.0)</f>
        <v>2043</v>
      </c>
      <c r="B1915" s="20" t="str">
        <f>IFERROR(__xludf.DUMMYFUNCTION("""COMPUTED_VALUE"""),"Cyclically Rotating a Grid")</f>
        <v>Cyclically Rotating a Grid</v>
      </c>
      <c r="C1915" s="20" t="str">
        <f>IFERROR(__xludf.DUMMYFUNCTION("""COMPUTED_VALUE"""),"cyclically-rotating-a-grid")</f>
        <v>cyclically-rotating-a-grid</v>
      </c>
      <c r="D1915" s="20" t="b">
        <f>IFERROR(__xludf.DUMMYFUNCTION("""COMPUTED_VALUE"""),FALSE)</f>
        <v>0</v>
      </c>
      <c r="E1915" s="20" t="str">
        <f>IFERROR(__xludf.DUMMYFUNCTION("""COMPUTED_VALUE"""),"Medium")</f>
        <v>Medium</v>
      </c>
      <c r="F1915" s="20">
        <f>IFERROR(__xludf.DUMMYFUNCTION("""COMPUTED_VALUE"""),197.0)</f>
        <v>197</v>
      </c>
      <c r="G1915" s="20">
        <f>IFERROR(__xludf.DUMMYFUNCTION("""COMPUTED_VALUE"""),251.0)</f>
        <v>251</v>
      </c>
      <c r="H1915" s="20" t="str">
        <f>IFERROR(__xludf.DUMMYFUNCTION("""COMPUTED_VALUE"""),"Algorithms")</f>
        <v>Algorithms</v>
      </c>
      <c r="I1915" s="20">
        <f>IFERROR(__xludf.DUMMYFUNCTION("""COMPUTED_VALUE"""),0.482)</f>
        <v>0.482</v>
      </c>
      <c r="J1915" s="20">
        <f>IFERROR(__xludf.DUMMYFUNCTION("""COMPUTED_VALUE"""),1914.0)</f>
        <v>1914</v>
      </c>
      <c r="K1915" s="20" t="b">
        <f>IFERROR(__xludf.DUMMYFUNCTION("""COMPUTED_VALUE"""),FALSE)</f>
        <v>0</v>
      </c>
      <c r="L1915" s="20" t="str">
        <f>IFERROR(__xludf.DUMMYFUNCTION("""COMPUTED_VALUE"""),"Array;Matrix;Simulation;")</f>
        <v>Array;Matrix;Simulation;</v>
      </c>
      <c r="M1915" s="20" t="b">
        <f>IFERROR(__xludf.DUMMYFUNCTION("""COMPUTED_VALUE"""),FALSE)</f>
        <v>0</v>
      </c>
      <c r="N1915" s="20" t="b">
        <f>IFERROR(__xludf.DUMMYFUNCTION("""COMPUTED_VALUE"""),FALSE)</f>
        <v>0</v>
      </c>
      <c r="O1915" s="20">
        <f>IFERROR(__xludf.DUMMYFUNCTION("""COMPUTED_VALUE"""),48.1657670844387)</f>
        <v>48.16576708</v>
      </c>
      <c r="P1915" s="20">
        <f>IFERROR(__xludf.DUMMYFUNCTION("""COMPUTED_VALUE"""),10530.0)</f>
        <v>10530</v>
      </c>
      <c r="Q1915" s="20">
        <f>IFERROR(__xludf.DUMMYFUNCTION("""COMPUTED_VALUE"""),21862.0)</f>
        <v>21862</v>
      </c>
    </row>
    <row r="1916">
      <c r="A1916" s="20">
        <f>IFERROR(__xludf.DUMMYFUNCTION("""COMPUTED_VALUE"""),2044.0)</f>
        <v>2044</v>
      </c>
      <c r="B1916" s="20" t="str">
        <f>IFERROR(__xludf.DUMMYFUNCTION("""COMPUTED_VALUE"""),"Number of Wonderful Substrings")</f>
        <v>Number of Wonderful Substrings</v>
      </c>
      <c r="C1916" s="20" t="str">
        <f>IFERROR(__xludf.DUMMYFUNCTION("""COMPUTED_VALUE"""),"number-of-wonderful-substrings")</f>
        <v>number-of-wonderful-substrings</v>
      </c>
      <c r="D1916" s="20" t="b">
        <f>IFERROR(__xludf.DUMMYFUNCTION("""COMPUTED_VALUE"""),FALSE)</f>
        <v>0</v>
      </c>
      <c r="E1916" s="20" t="str">
        <f>IFERROR(__xludf.DUMMYFUNCTION("""COMPUTED_VALUE"""),"Medium")</f>
        <v>Medium</v>
      </c>
      <c r="F1916" s="20">
        <f>IFERROR(__xludf.DUMMYFUNCTION("""COMPUTED_VALUE"""),760.0)</f>
        <v>760</v>
      </c>
      <c r="G1916" s="20">
        <f>IFERROR(__xludf.DUMMYFUNCTION("""COMPUTED_VALUE"""),50.0)</f>
        <v>50</v>
      </c>
      <c r="H1916" s="20" t="str">
        <f>IFERROR(__xludf.DUMMYFUNCTION("""COMPUTED_VALUE"""),"Algorithms")</f>
        <v>Algorithms</v>
      </c>
      <c r="I1916" s="20">
        <f>IFERROR(__xludf.DUMMYFUNCTION("""COMPUTED_VALUE"""),0.454)</f>
        <v>0.454</v>
      </c>
      <c r="J1916" s="20">
        <f>IFERROR(__xludf.DUMMYFUNCTION("""COMPUTED_VALUE"""),1915.0)</f>
        <v>1915</v>
      </c>
      <c r="K1916" s="20" t="b">
        <f>IFERROR(__xludf.DUMMYFUNCTION("""COMPUTED_VALUE"""),FALSE)</f>
        <v>0</v>
      </c>
      <c r="L1916" s="20" t="str">
        <f>IFERROR(__xludf.DUMMYFUNCTION("""COMPUTED_VALUE"""),"Hash Table;String;Bit Manipulation;Prefix Sum;")</f>
        <v>Hash Table;String;Bit Manipulation;Prefix Sum;</v>
      </c>
      <c r="M1916" s="20" t="b">
        <f>IFERROR(__xludf.DUMMYFUNCTION("""COMPUTED_VALUE"""),FALSE)</f>
        <v>0</v>
      </c>
      <c r="N1916" s="20" t="b">
        <f>IFERROR(__xludf.DUMMYFUNCTION("""COMPUTED_VALUE"""),FALSE)</f>
        <v>0</v>
      </c>
      <c r="O1916" s="20">
        <f>IFERROR(__xludf.DUMMYFUNCTION("""COMPUTED_VALUE"""),45.3552148564025)</f>
        <v>45.35521486</v>
      </c>
      <c r="P1916" s="20">
        <f>IFERROR(__xludf.DUMMYFUNCTION("""COMPUTED_VALUE"""),10502.0)</f>
        <v>10502</v>
      </c>
      <c r="Q1916" s="20">
        <f>IFERROR(__xludf.DUMMYFUNCTION("""COMPUTED_VALUE"""),23155.0)</f>
        <v>23155</v>
      </c>
    </row>
    <row r="1917">
      <c r="A1917" s="20">
        <f>IFERROR(__xludf.DUMMYFUNCTION("""COMPUTED_VALUE"""),1313.0)</f>
        <v>1313</v>
      </c>
      <c r="B1917" s="20" t="str">
        <f>IFERROR(__xludf.DUMMYFUNCTION("""COMPUTED_VALUE"""),"Count Ways to Build Rooms in an Ant Colony")</f>
        <v>Count Ways to Build Rooms in an Ant Colony</v>
      </c>
      <c r="C1917" s="20" t="str">
        <f>IFERROR(__xludf.DUMMYFUNCTION("""COMPUTED_VALUE"""),"count-ways-to-build-rooms-in-an-ant-colony")</f>
        <v>count-ways-to-build-rooms-in-an-ant-colony</v>
      </c>
      <c r="D1917" s="20" t="b">
        <f>IFERROR(__xludf.DUMMYFUNCTION("""COMPUTED_VALUE"""),FALSE)</f>
        <v>0</v>
      </c>
      <c r="E1917" s="20" t="str">
        <f>IFERROR(__xludf.DUMMYFUNCTION("""COMPUTED_VALUE"""),"Hard")</f>
        <v>Hard</v>
      </c>
      <c r="F1917" s="20">
        <f>IFERROR(__xludf.DUMMYFUNCTION("""COMPUTED_VALUE"""),363.0)</f>
        <v>363</v>
      </c>
      <c r="G1917" s="20">
        <f>IFERROR(__xludf.DUMMYFUNCTION("""COMPUTED_VALUE"""),45.0)</f>
        <v>45</v>
      </c>
      <c r="H1917" s="20" t="str">
        <f>IFERROR(__xludf.DUMMYFUNCTION("""COMPUTED_VALUE"""),"Algorithms")</f>
        <v>Algorithms</v>
      </c>
      <c r="I1917" s="20">
        <f>IFERROR(__xludf.DUMMYFUNCTION("""COMPUTED_VALUE"""),0.495)</f>
        <v>0.495</v>
      </c>
      <c r="J1917" s="20">
        <f>IFERROR(__xludf.DUMMYFUNCTION("""COMPUTED_VALUE"""),1916.0)</f>
        <v>1916</v>
      </c>
      <c r="K1917" s="20" t="b">
        <f>IFERROR(__xludf.DUMMYFUNCTION("""COMPUTED_VALUE"""),FALSE)</f>
        <v>0</v>
      </c>
      <c r="L1917" s="20" t="str">
        <f>IFERROR(__xludf.DUMMYFUNCTION("""COMPUTED_VALUE"""),"Math;Dynamic Programming;Tree;Graph;Topological Sort;Combinatorics;")</f>
        <v>Math;Dynamic Programming;Tree;Graph;Topological Sort;Combinatorics;</v>
      </c>
      <c r="M1917" s="20" t="b">
        <f>IFERROR(__xludf.DUMMYFUNCTION("""COMPUTED_VALUE"""),FALSE)</f>
        <v>0</v>
      </c>
      <c r="N1917" s="20" t="b">
        <f>IFERROR(__xludf.DUMMYFUNCTION("""COMPUTED_VALUE"""),FALSE)</f>
        <v>0</v>
      </c>
      <c r="O1917" s="20">
        <f>IFERROR(__xludf.DUMMYFUNCTION("""COMPUTED_VALUE"""),49.4546526481281)</f>
        <v>49.45465265</v>
      </c>
      <c r="P1917" s="20">
        <f>IFERROR(__xludf.DUMMYFUNCTION("""COMPUTED_VALUE"""),5033.0)</f>
        <v>5033</v>
      </c>
      <c r="Q1917" s="20">
        <f>IFERROR(__xludf.DUMMYFUNCTION("""COMPUTED_VALUE"""),10177.0)</f>
        <v>10177</v>
      </c>
    </row>
    <row r="1918">
      <c r="A1918" s="20">
        <f>IFERROR(__xludf.DUMMYFUNCTION("""COMPUTED_VALUE"""),2063.0)</f>
        <v>2063</v>
      </c>
      <c r="B1918" s="20" t="str">
        <f>IFERROR(__xludf.DUMMYFUNCTION("""COMPUTED_VALUE"""),"Leetcodify Friends Recommendations")</f>
        <v>Leetcodify Friends Recommendations</v>
      </c>
      <c r="C1918" s="20" t="str">
        <f>IFERROR(__xludf.DUMMYFUNCTION("""COMPUTED_VALUE"""),"leetcodify-friends-recommendations")</f>
        <v>leetcodify-friends-recommendations</v>
      </c>
      <c r="D1918" s="20" t="b">
        <f>IFERROR(__xludf.DUMMYFUNCTION("""COMPUTED_VALUE"""),TRUE)</f>
        <v>1</v>
      </c>
      <c r="E1918" s="20" t="str">
        <f>IFERROR(__xludf.DUMMYFUNCTION("""COMPUTED_VALUE"""),"Hard")</f>
        <v>Hard</v>
      </c>
      <c r="F1918" s="20">
        <f>IFERROR(__xludf.DUMMYFUNCTION("""COMPUTED_VALUE"""),50.0)</f>
        <v>50</v>
      </c>
      <c r="G1918" s="20">
        <f>IFERROR(__xludf.DUMMYFUNCTION("""COMPUTED_VALUE"""),26.0)</f>
        <v>26</v>
      </c>
      <c r="H1918" s="20" t="str">
        <f>IFERROR(__xludf.DUMMYFUNCTION("""COMPUTED_VALUE"""),"Database")</f>
        <v>Database</v>
      </c>
      <c r="I1918" s="20">
        <f>IFERROR(__xludf.DUMMYFUNCTION("""COMPUTED_VALUE"""),0.286)</f>
        <v>0.286</v>
      </c>
      <c r="J1918" s="20">
        <f>IFERROR(__xludf.DUMMYFUNCTION("""COMPUTED_VALUE"""),1917.0)</f>
        <v>1917</v>
      </c>
      <c r="K1918" s="20" t="b">
        <f>IFERROR(__xludf.DUMMYFUNCTION("""COMPUTED_VALUE"""),TRUE)</f>
        <v>1</v>
      </c>
      <c r="L1918" s="20" t="str">
        <f>IFERROR(__xludf.DUMMYFUNCTION("""COMPUTED_VALUE"""),"Database;")</f>
        <v>Database;</v>
      </c>
      <c r="M1918" s="20" t="b">
        <f>IFERROR(__xludf.DUMMYFUNCTION("""COMPUTED_VALUE"""),FALSE)</f>
        <v>0</v>
      </c>
      <c r="N1918" s="20" t="b">
        <f>IFERROR(__xludf.DUMMYFUNCTION("""COMPUTED_VALUE"""),FALSE)</f>
        <v>0</v>
      </c>
      <c r="O1918" s="20">
        <f>IFERROR(__xludf.DUMMYFUNCTION("""COMPUTED_VALUE"""),28.6058913153885)</f>
        <v>28.60589132</v>
      </c>
      <c r="P1918" s="20">
        <f>IFERROR(__xludf.DUMMYFUNCTION("""COMPUTED_VALUE"""),4506.0)</f>
        <v>4506</v>
      </c>
      <c r="Q1918" s="20">
        <f>IFERROR(__xludf.DUMMYFUNCTION("""COMPUTED_VALUE"""),15752.0)</f>
        <v>15752</v>
      </c>
    </row>
    <row r="1919">
      <c r="A1919" s="20">
        <f>IFERROR(__xludf.DUMMYFUNCTION("""COMPUTED_VALUE"""),2069.0)</f>
        <v>2069</v>
      </c>
      <c r="B1919" s="20" t="str">
        <f>IFERROR(__xludf.DUMMYFUNCTION("""COMPUTED_VALUE"""),"Kth Smallest Subarray Sum")</f>
        <v>Kth Smallest Subarray Sum</v>
      </c>
      <c r="C1919" s="20" t="str">
        <f>IFERROR(__xludf.DUMMYFUNCTION("""COMPUTED_VALUE"""),"kth-smallest-subarray-sum")</f>
        <v>kth-smallest-subarray-sum</v>
      </c>
      <c r="D1919" s="20" t="b">
        <f>IFERROR(__xludf.DUMMYFUNCTION("""COMPUTED_VALUE"""),TRUE)</f>
        <v>1</v>
      </c>
      <c r="E1919" s="20" t="str">
        <f>IFERROR(__xludf.DUMMYFUNCTION("""COMPUTED_VALUE"""),"Medium")</f>
        <v>Medium</v>
      </c>
      <c r="F1919" s="20">
        <f>IFERROR(__xludf.DUMMYFUNCTION("""COMPUTED_VALUE"""),156.0)</f>
        <v>156</v>
      </c>
      <c r="G1919" s="20">
        <f>IFERROR(__xludf.DUMMYFUNCTION("""COMPUTED_VALUE"""),5.0)</f>
        <v>5</v>
      </c>
      <c r="H1919" s="20" t="str">
        <f>IFERROR(__xludf.DUMMYFUNCTION("""COMPUTED_VALUE"""),"Algorithms")</f>
        <v>Algorithms</v>
      </c>
      <c r="I1919" s="20">
        <f>IFERROR(__xludf.DUMMYFUNCTION("""COMPUTED_VALUE"""),0.529)</f>
        <v>0.529</v>
      </c>
      <c r="J1919" s="20">
        <f>IFERROR(__xludf.DUMMYFUNCTION("""COMPUTED_VALUE"""),1918.0)</f>
        <v>1918</v>
      </c>
      <c r="K1919" s="20" t="b">
        <f>IFERROR(__xludf.DUMMYFUNCTION("""COMPUTED_VALUE"""),TRUE)</f>
        <v>1</v>
      </c>
      <c r="L1919" s="20" t="str">
        <f>IFERROR(__xludf.DUMMYFUNCTION("""COMPUTED_VALUE"""),"Array;Binary Search;Sliding Window;")</f>
        <v>Array;Binary Search;Sliding Window;</v>
      </c>
      <c r="M1919" s="20" t="b">
        <f>IFERROR(__xludf.DUMMYFUNCTION("""COMPUTED_VALUE"""),FALSE)</f>
        <v>0</v>
      </c>
      <c r="N1919" s="20" t="b">
        <f>IFERROR(__xludf.DUMMYFUNCTION("""COMPUTED_VALUE"""),FALSE)</f>
        <v>0</v>
      </c>
      <c r="O1919" s="20">
        <f>IFERROR(__xludf.DUMMYFUNCTION("""COMPUTED_VALUE"""),52.8608923884514)</f>
        <v>52.86089239</v>
      </c>
      <c r="P1919" s="20">
        <f>IFERROR(__xludf.DUMMYFUNCTION("""COMPUTED_VALUE"""),3021.0)</f>
        <v>3021</v>
      </c>
      <c r="Q1919" s="20">
        <f>IFERROR(__xludf.DUMMYFUNCTION("""COMPUTED_VALUE"""),5715.0)</f>
        <v>5715</v>
      </c>
    </row>
    <row r="1920">
      <c r="A1920" s="20">
        <f>IFERROR(__xludf.DUMMYFUNCTION("""COMPUTED_VALUE"""),2064.0)</f>
        <v>2064</v>
      </c>
      <c r="B1920" s="20" t="str">
        <f>IFERROR(__xludf.DUMMYFUNCTION("""COMPUTED_VALUE"""),"Leetcodify Similar Friends")</f>
        <v>Leetcodify Similar Friends</v>
      </c>
      <c r="C1920" s="20" t="str">
        <f>IFERROR(__xludf.DUMMYFUNCTION("""COMPUTED_VALUE"""),"leetcodify-similar-friends")</f>
        <v>leetcodify-similar-friends</v>
      </c>
      <c r="D1920" s="20" t="b">
        <f>IFERROR(__xludf.DUMMYFUNCTION("""COMPUTED_VALUE"""),TRUE)</f>
        <v>1</v>
      </c>
      <c r="E1920" s="20" t="str">
        <f>IFERROR(__xludf.DUMMYFUNCTION("""COMPUTED_VALUE"""),"Hard")</f>
        <v>Hard</v>
      </c>
      <c r="F1920" s="20">
        <f>IFERROR(__xludf.DUMMYFUNCTION("""COMPUTED_VALUE"""),45.0)</f>
        <v>45</v>
      </c>
      <c r="G1920" s="20">
        <f>IFERROR(__xludf.DUMMYFUNCTION("""COMPUTED_VALUE"""),6.0)</f>
        <v>6</v>
      </c>
      <c r="H1920" s="20" t="str">
        <f>IFERROR(__xludf.DUMMYFUNCTION("""COMPUTED_VALUE"""),"Database")</f>
        <v>Database</v>
      </c>
      <c r="I1920" s="20">
        <f>IFERROR(__xludf.DUMMYFUNCTION("""COMPUTED_VALUE"""),0.433)</f>
        <v>0.433</v>
      </c>
      <c r="J1920" s="20">
        <f>IFERROR(__xludf.DUMMYFUNCTION("""COMPUTED_VALUE"""),1919.0)</f>
        <v>1919</v>
      </c>
      <c r="K1920" s="20" t="b">
        <f>IFERROR(__xludf.DUMMYFUNCTION("""COMPUTED_VALUE"""),TRUE)</f>
        <v>1</v>
      </c>
      <c r="L1920" s="20" t="str">
        <f>IFERROR(__xludf.DUMMYFUNCTION("""COMPUTED_VALUE"""),"Database;")</f>
        <v>Database;</v>
      </c>
      <c r="M1920" s="20" t="b">
        <f>IFERROR(__xludf.DUMMYFUNCTION("""COMPUTED_VALUE"""),FALSE)</f>
        <v>0</v>
      </c>
      <c r="N1920" s="20" t="b">
        <f>IFERROR(__xludf.DUMMYFUNCTION("""COMPUTED_VALUE"""),FALSE)</f>
        <v>0</v>
      </c>
      <c r="O1920" s="20">
        <f>IFERROR(__xludf.DUMMYFUNCTION("""COMPUTED_VALUE"""),43.2803135085292)</f>
        <v>43.28031351</v>
      </c>
      <c r="P1920" s="20">
        <f>IFERROR(__xludf.DUMMYFUNCTION("""COMPUTED_VALUE"""),3755.0)</f>
        <v>3755</v>
      </c>
      <c r="Q1920" s="20">
        <f>IFERROR(__xludf.DUMMYFUNCTION("""COMPUTED_VALUE"""),8676.0)</f>
        <v>8676</v>
      </c>
    </row>
    <row r="1921">
      <c r="A1921" s="20">
        <f>IFERROR(__xludf.DUMMYFUNCTION("""COMPUTED_VALUE"""),2048.0)</f>
        <v>2048</v>
      </c>
      <c r="B1921" s="20" t="str">
        <f>IFERROR(__xludf.DUMMYFUNCTION("""COMPUTED_VALUE"""),"Build Array from Permutation")</f>
        <v>Build Array from Permutation</v>
      </c>
      <c r="C1921" s="20" t="str">
        <f>IFERROR(__xludf.DUMMYFUNCTION("""COMPUTED_VALUE"""),"build-array-from-permutation")</f>
        <v>build-array-from-permutation</v>
      </c>
      <c r="D1921" s="20" t="b">
        <f>IFERROR(__xludf.DUMMYFUNCTION("""COMPUTED_VALUE"""),FALSE)</f>
        <v>0</v>
      </c>
      <c r="E1921" s="20" t="str">
        <f>IFERROR(__xludf.DUMMYFUNCTION("""COMPUTED_VALUE"""),"Easy")</f>
        <v>Easy</v>
      </c>
      <c r="F1921" s="20">
        <f>IFERROR(__xludf.DUMMYFUNCTION("""COMPUTED_VALUE"""),2168.0)</f>
        <v>2168</v>
      </c>
      <c r="G1921" s="20">
        <f>IFERROR(__xludf.DUMMYFUNCTION("""COMPUTED_VALUE"""),240.0)</f>
        <v>240</v>
      </c>
      <c r="H1921" s="20" t="str">
        <f>IFERROR(__xludf.DUMMYFUNCTION("""COMPUTED_VALUE"""),"Algorithms")</f>
        <v>Algorithms</v>
      </c>
      <c r="I1921" s="20">
        <f>IFERROR(__xludf.DUMMYFUNCTION("""COMPUTED_VALUE"""),0.91)</f>
        <v>0.91</v>
      </c>
      <c r="J1921" s="20">
        <f>IFERROR(__xludf.DUMMYFUNCTION("""COMPUTED_VALUE"""),1920.0)</f>
        <v>1920</v>
      </c>
      <c r="K1921" s="20" t="b">
        <f>IFERROR(__xludf.DUMMYFUNCTION("""COMPUTED_VALUE"""),FALSE)</f>
        <v>0</v>
      </c>
      <c r="L1921" s="20" t="str">
        <f>IFERROR(__xludf.DUMMYFUNCTION("""COMPUTED_VALUE"""),"Array;Simulation;")</f>
        <v>Array;Simulation;</v>
      </c>
      <c r="M1921" s="20" t="b">
        <f>IFERROR(__xludf.DUMMYFUNCTION("""COMPUTED_VALUE"""),FALSE)</f>
        <v>0</v>
      </c>
      <c r="N1921" s="20" t="b">
        <f>IFERROR(__xludf.DUMMYFUNCTION("""COMPUTED_VALUE"""),FALSE)</f>
        <v>0</v>
      </c>
      <c r="O1921" s="20">
        <f>IFERROR(__xludf.DUMMYFUNCTION("""COMPUTED_VALUE"""),90.9513124076121)</f>
        <v>90.95131241</v>
      </c>
      <c r="P1921" s="20">
        <f>IFERROR(__xludf.DUMMYFUNCTION("""COMPUTED_VALUE"""),273172.0)</f>
        <v>273172</v>
      </c>
      <c r="Q1921" s="20">
        <f>IFERROR(__xludf.DUMMYFUNCTION("""COMPUTED_VALUE"""),300338.0)</f>
        <v>300338</v>
      </c>
    </row>
    <row r="1922">
      <c r="A1922" s="20">
        <f>IFERROR(__xludf.DUMMYFUNCTION("""COMPUTED_VALUE"""),2049.0)</f>
        <v>2049</v>
      </c>
      <c r="B1922" s="20" t="str">
        <f>IFERROR(__xludf.DUMMYFUNCTION("""COMPUTED_VALUE"""),"Eliminate Maximum Number of Monsters")</f>
        <v>Eliminate Maximum Number of Monsters</v>
      </c>
      <c r="C1922" s="20" t="str">
        <f>IFERROR(__xludf.DUMMYFUNCTION("""COMPUTED_VALUE"""),"eliminate-maximum-number-of-monsters")</f>
        <v>eliminate-maximum-number-of-monsters</v>
      </c>
      <c r="D1922" s="20" t="b">
        <f>IFERROR(__xludf.DUMMYFUNCTION("""COMPUTED_VALUE"""),FALSE)</f>
        <v>0</v>
      </c>
      <c r="E1922" s="20" t="str">
        <f>IFERROR(__xludf.DUMMYFUNCTION("""COMPUTED_VALUE"""),"Medium")</f>
        <v>Medium</v>
      </c>
      <c r="F1922" s="20">
        <f>IFERROR(__xludf.DUMMYFUNCTION("""COMPUTED_VALUE"""),400.0)</f>
        <v>400</v>
      </c>
      <c r="G1922" s="20">
        <f>IFERROR(__xludf.DUMMYFUNCTION("""COMPUTED_VALUE"""),61.0)</f>
        <v>61</v>
      </c>
      <c r="H1922" s="20" t="str">
        <f>IFERROR(__xludf.DUMMYFUNCTION("""COMPUTED_VALUE"""),"Algorithms")</f>
        <v>Algorithms</v>
      </c>
      <c r="I1922" s="20">
        <f>IFERROR(__xludf.DUMMYFUNCTION("""COMPUTED_VALUE"""),0.378)</f>
        <v>0.378</v>
      </c>
      <c r="J1922" s="20">
        <f>IFERROR(__xludf.DUMMYFUNCTION("""COMPUTED_VALUE"""),1921.0)</f>
        <v>1921</v>
      </c>
      <c r="K1922" s="20" t="b">
        <f>IFERROR(__xludf.DUMMYFUNCTION("""COMPUTED_VALUE"""),FALSE)</f>
        <v>0</v>
      </c>
      <c r="L1922" s="20" t="str">
        <f>IFERROR(__xludf.DUMMYFUNCTION("""COMPUTED_VALUE"""),"Array;Greedy;Sorting;")</f>
        <v>Array;Greedy;Sorting;</v>
      </c>
      <c r="M1922" s="20" t="b">
        <f>IFERROR(__xludf.DUMMYFUNCTION("""COMPUTED_VALUE"""),FALSE)</f>
        <v>0</v>
      </c>
      <c r="N1922" s="20" t="b">
        <f>IFERROR(__xludf.DUMMYFUNCTION("""COMPUTED_VALUE"""),FALSE)</f>
        <v>0</v>
      </c>
      <c r="O1922" s="20">
        <f>IFERROR(__xludf.DUMMYFUNCTION("""COMPUTED_VALUE"""),37.7659675070451)</f>
        <v>37.76596751</v>
      </c>
      <c r="P1922" s="20">
        <f>IFERROR(__xludf.DUMMYFUNCTION("""COMPUTED_VALUE"""),19968.0)</f>
        <v>19968</v>
      </c>
      <c r="Q1922" s="20">
        <f>IFERROR(__xludf.DUMMYFUNCTION("""COMPUTED_VALUE"""),52866.0)</f>
        <v>52866</v>
      </c>
    </row>
    <row r="1923">
      <c r="A1923" s="20">
        <f>IFERROR(__xludf.DUMMYFUNCTION("""COMPUTED_VALUE"""),2050.0)</f>
        <v>2050</v>
      </c>
      <c r="B1923" s="20" t="str">
        <f>IFERROR(__xludf.DUMMYFUNCTION("""COMPUTED_VALUE"""),"Count Good Numbers")</f>
        <v>Count Good Numbers</v>
      </c>
      <c r="C1923" s="20" t="str">
        <f>IFERROR(__xludf.DUMMYFUNCTION("""COMPUTED_VALUE"""),"count-good-numbers")</f>
        <v>count-good-numbers</v>
      </c>
      <c r="D1923" s="20" t="b">
        <f>IFERROR(__xludf.DUMMYFUNCTION("""COMPUTED_VALUE"""),FALSE)</f>
        <v>0</v>
      </c>
      <c r="E1923" s="20" t="str">
        <f>IFERROR(__xludf.DUMMYFUNCTION("""COMPUTED_VALUE"""),"Medium")</f>
        <v>Medium</v>
      </c>
      <c r="F1923" s="20">
        <f>IFERROR(__xludf.DUMMYFUNCTION("""COMPUTED_VALUE"""),602.0)</f>
        <v>602</v>
      </c>
      <c r="G1923" s="20">
        <f>IFERROR(__xludf.DUMMYFUNCTION("""COMPUTED_VALUE"""),283.0)</f>
        <v>283</v>
      </c>
      <c r="H1923" s="20" t="str">
        <f>IFERROR(__xludf.DUMMYFUNCTION("""COMPUTED_VALUE"""),"Algorithms")</f>
        <v>Algorithms</v>
      </c>
      <c r="I1923" s="20">
        <f>IFERROR(__xludf.DUMMYFUNCTION("""COMPUTED_VALUE"""),0.387)</f>
        <v>0.387</v>
      </c>
      <c r="J1923" s="20">
        <f>IFERROR(__xludf.DUMMYFUNCTION("""COMPUTED_VALUE"""),1922.0)</f>
        <v>1922</v>
      </c>
      <c r="K1923" s="20" t="b">
        <f>IFERROR(__xludf.DUMMYFUNCTION("""COMPUTED_VALUE"""),FALSE)</f>
        <v>0</v>
      </c>
      <c r="L1923" s="20" t="str">
        <f>IFERROR(__xludf.DUMMYFUNCTION("""COMPUTED_VALUE"""),"Math;Recursion;")</f>
        <v>Math;Recursion;</v>
      </c>
      <c r="M1923" s="20" t="b">
        <f>IFERROR(__xludf.DUMMYFUNCTION("""COMPUTED_VALUE"""),FALSE)</f>
        <v>0</v>
      </c>
      <c r="N1923" s="20" t="b">
        <f>IFERROR(__xludf.DUMMYFUNCTION("""COMPUTED_VALUE"""),FALSE)</f>
        <v>0</v>
      </c>
      <c r="O1923" s="20">
        <f>IFERROR(__xludf.DUMMYFUNCTION("""COMPUTED_VALUE"""),38.7372628092031)</f>
        <v>38.73726281</v>
      </c>
      <c r="P1923" s="20">
        <f>IFERROR(__xludf.DUMMYFUNCTION("""COMPUTED_VALUE"""),21517.0)</f>
        <v>21517</v>
      </c>
      <c r="Q1923" s="20">
        <f>IFERROR(__xludf.DUMMYFUNCTION("""COMPUTED_VALUE"""),55546.0)</f>
        <v>55546</v>
      </c>
    </row>
    <row r="1924">
      <c r="A1924" s="20">
        <f>IFERROR(__xludf.DUMMYFUNCTION("""COMPUTED_VALUE"""),2051.0)</f>
        <v>2051</v>
      </c>
      <c r="B1924" s="20" t="str">
        <f>IFERROR(__xludf.DUMMYFUNCTION("""COMPUTED_VALUE"""),"Longest Common Subpath")</f>
        <v>Longest Common Subpath</v>
      </c>
      <c r="C1924" s="20" t="str">
        <f>IFERROR(__xludf.DUMMYFUNCTION("""COMPUTED_VALUE"""),"longest-common-subpath")</f>
        <v>longest-common-subpath</v>
      </c>
      <c r="D1924" s="20" t="b">
        <f>IFERROR(__xludf.DUMMYFUNCTION("""COMPUTED_VALUE"""),FALSE)</f>
        <v>0</v>
      </c>
      <c r="E1924" s="20" t="str">
        <f>IFERROR(__xludf.DUMMYFUNCTION("""COMPUTED_VALUE"""),"Hard")</f>
        <v>Hard</v>
      </c>
      <c r="F1924" s="20">
        <f>IFERROR(__xludf.DUMMYFUNCTION("""COMPUTED_VALUE"""),409.0)</f>
        <v>409</v>
      </c>
      <c r="G1924" s="20">
        <f>IFERROR(__xludf.DUMMYFUNCTION("""COMPUTED_VALUE"""),32.0)</f>
        <v>32</v>
      </c>
      <c r="H1924" s="20" t="str">
        <f>IFERROR(__xludf.DUMMYFUNCTION("""COMPUTED_VALUE"""),"Algorithms")</f>
        <v>Algorithms</v>
      </c>
      <c r="I1924" s="20">
        <f>IFERROR(__xludf.DUMMYFUNCTION("""COMPUTED_VALUE"""),0.278)</f>
        <v>0.278</v>
      </c>
      <c r="J1924" s="20">
        <f>IFERROR(__xludf.DUMMYFUNCTION("""COMPUTED_VALUE"""),1923.0)</f>
        <v>1923</v>
      </c>
      <c r="K1924" s="20" t="b">
        <f>IFERROR(__xludf.DUMMYFUNCTION("""COMPUTED_VALUE"""),FALSE)</f>
        <v>0</v>
      </c>
      <c r="L1924" s="20" t="str">
        <f>IFERROR(__xludf.DUMMYFUNCTION("""COMPUTED_VALUE"""),"Array;Binary Search;Rolling Hash;Suffix Array;Hash Function;")</f>
        <v>Array;Binary Search;Rolling Hash;Suffix Array;Hash Function;</v>
      </c>
      <c r="M1924" s="20" t="b">
        <f>IFERROR(__xludf.DUMMYFUNCTION("""COMPUTED_VALUE"""),FALSE)</f>
        <v>0</v>
      </c>
      <c r="N1924" s="20" t="b">
        <f>IFERROR(__xludf.DUMMYFUNCTION("""COMPUTED_VALUE"""),FALSE)</f>
        <v>0</v>
      </c>
      <c r="O1924" s="20">
        <f>IFERROR(__xludf.DUMMYFUNCTION("""COMPUTED_VALUE"""),27.8256727792331)</f>
        <v>27.82567278</v>
      </c>
      <c r="P1924" s="20">
        <f>IFERROR(__xludf.DUMMYFUNCTION("""COMPUTED_VALUE"""),5842.0)</f>
        <v>5842</v>
      </c>
      <c r="Q1924" s="20">
        <f>IFERROR(__xludf.DUMMYFUNCTION("""COMPUTED_VALUE"""),20993.0)</f>
        <v>20993</v>
      </c>
    </row>
    <row r="1925">
      <c r="A1925" s="20">
        <f>IFERROR(__xludf.DUMMYFUNCTION("""COMPUTED_VALUE"""),2074.0)</f>
        <v>2074</v>
      </c>
      <c r="B1925" s="20" t="str">
        <f>IFERROR(__xludf.DUMMYFUNCTION("""COMPUTED_VALUE"""),"Erect the Fence II")</f>
        <v>Erect the Fence II</v>
      </c>
      <c r="C1925" s="20" t="str">
        <f>IFERROR(__xludf.DUMMYFUNCTION("""COMPUTED_VALUE"""),"erect-the-fence-ii")</f>
        <v>erect-the-fence-ii</v>
      </c>
      <c r="D1925" s="20" t="b">
        <f>IFERROR(__xludf.DUMMYFUNCTION("""COMPUTED_VALUE"""),TRUE)</f>
        <v>1</v>
      </c>
      <c r="E1925" s="20" t="str">
        <f>IFERROR(__xludf.DUMMYFUNCTION("""COMPUTED_VALUE"""),"Hard")</f>
        <v>Hard</v>
      </c>
      <c r="F1925" s="20">
        <f>IFERROR(__xludf.DUMMYFUNCTION("""COMPUTED_VALUE"""),12.0)</f>
        <v>12</v>
      </c>
      <c r="G1925" s="20">
        <f>IFERROR(__xludf.DUMMYFUNCTION("""COMPUTED_VALUE"""),36.0)</f>
        <v>36</v>
      </c>
      <c r="H1925" s="20" t="str">
        <f>IFERROR(__xludf.DUMMYFUNCTION("""COMPUTED_VALUE"""),"Algorithms")</f>
        <v>Algorithms</v>
      </c>
      <c r="I1925" s="20">
        <f>IFERROR(__xludf.DUMMYFUNCTION("""COMPUTED_VALUE"""),0.539)</f>
        <v>0.539</v>
      </c>
      <c r="J1925" s="20">
        <f>IFERROR(__xludf.DUMMYFUNCTION("""COMPUTED_VALUE"""),1924.0)</f>
        <v>1924</v>
      </c>
      <c r="K1925" s="20" t="b">
        <f>IFERROR(__xludf.DUMMYFUNCTION("""COMPUTED_VALUE"""),TRUE)</f>
        <v>1</v>
      </c>
      <c r="L1925" s="20" t="str">
        <f>IFERROR(__xludf.DUMMYFUNCTION("""COMPUTED_VALUE"""),"Array;Math;Geometry;")</f>
        <v>Array;Math;Geometry;</v>
      </c>
      <c r="M1925" s="20" t="b">
        <f>IFERROR(__xludf.DUMMYFUNCTION("""COMPUTED_VALUE"""),FALSE)</f>
        <v>0</v>
      </c>
      <c r="N1925" s="20" t="b">
        <f>IFERROR(__xludf.DUMMYFUNCTION("""COMPUTED_VALUE"""),FALSE)</f>
        <v>0</v>
      </c>
      <c r="O1925" s="20">
        <f>IFERROR(__xludf.DUMMYFUNCTION("""COMPUTED_VALUE"""),53.877139979859)</f>
        <v>53.87713998</v>
      </c>
      <c r="P1925" s="20">
        <f>IFERROR(__xludf.DUMMYFUNCTION("""COMPUTED_VALUE"""),535.0)</f>
        <v>535</v>
      </c>
      <c r="Q1925" s="20">
        <f>IFERROR(__xludf.DUMMYFUNCTION("""COMPUTED_VALUE"""),993.0)</f>
        <v>993</v>
      </c>
    </row>
    <row r="1926">
      <c r="A1926" s="20">
        <f>IFERROR(__xludf.DUMMYFUNCTION("""COMPUTED_VALUE"""),2037.0)</f>
        <v>2037</v>
      </c>
      <c r="B1926" s="20" t="str">
        <f>IFERROR(__xludf.DUMMYFUNCTION("""COMPUTED_VALUE"""),"Count Square Sum Triples")</f>
        <v>Count Square Sum Triples</v>
      </c>
      <c r="C1926" s="20" t="str">
        <f>IFERROR(__xludf.DUMMYFUNCTION("""COMPUTED_VALUE"""),"count-square-sum-triples")</f>
        <v>count-square-sum-triples</v>
      </c>
      <c r="D1926" s="20" t="b">
        <f>IFERROR(__xludf.DUMMYFUNCTION("""COMPUTED_VALUE"""),FALSE)</f>
        <v>0</v>
      </c>
      <c r="E1926" s="20" t="str">
        <f>IFERROR(__xludf.DUMMYFUNCTION("""COMPUTED_VALUE"""),"Easy")</f>
        <v>Easy</v>
      </c>
      <c r="F1926" s="20">
        <f>IFERROR(__xludf.DUMMYFUNCTION("""COMPUTED_VALUE"""),301.0)</f>
        <v>301</v>
      </c>
      <c r="G1926" s="20">
        <f>IFERROR(__xludf.DUMMYFUNCTION("""COMPUTED_VALUE"""),27.0)</f>
        <v>27</v>
      </c>
      <c r="H1926" s="20" t="str">
        <f>IFERROR(__xludf.DUMMYFUNCTION("""COMPUTED_VALUE"""),"Algorithms")</f>
        <v>Algorithms</v>
      </c>
      <c r="I1926" s="20">
        <f>IFERROR(__xludf.DUMMYFUNCTION("""COMPUTED_VALUE"""),0.68)</f>
        <v>0.68</v>
      </c>
      <c r="J1926" s="20">
        <f>IFERROR(__xludf.DUMMYFUNCTION("""COMPUTED_VALUE"""),1925.0)</f>
        <v>1925</v>
      </c>
      <c r="K1926" s="20" t="b">
        <f>IFERROR(__xludf.DUMMYFUNCTION("""COMPUTED_VALUE"""),FALSE)</f>
        <v>0</v>
      </c>
      <c r="L1926" s="20" t="str">
        <f>IFERROR(__xludf.DUMMYFUNCTION("""COMPUTED_VALUE"""),"Math;Enumeration;")</f>
        <v>Math;Enumeration;</v>
      </c>
      <c r="M1926" s="20" t="b">
        <f>IFERROR(__xludf.DUMMYFUNCTION("""COMPUTED_VALUE"""),FALSE)</f>
        <v>0</v>
      </c>
      <c r="N1926" s="20" t="b">
        <f>IFERROR(__xludf.DUMMYFUNCTION("""COMPUTED_VALUE"""),FALSE)</f>
        <v>0</v>
      </c>
      <c r="O1926" s="20">
        <f>IFERROR(__xludf.DUMMYFUNCTION("""COMPUTED_VALUE"""),68.0152796217362)</f>
        <v>68.01527962</v>
      </c>
      <c r="P1926" s="20">
        <f>IFERROR(__xludf.DUMMYFUNCTION("""COMPUTED_VALUE"""),29199.0)</f>
        <v>29199</v>
      </c>
      <c r="Q1926" s="20">
        <f>IFERROR(__xludf.DUMMYFUNCTION("""COMPUTED_VALUE"""),42929.0)</f>
        <v>42929</v>
      </c>
    </row>
    <row r="1927">
      <c r="A1927" s="20">
        <f>IFERROR(__xludf.DUMMYFUNCTION("""COMPUTED_VALUE"""),2038.0)</f>
        <v>2038</v>
      </c>
      <c r="B1927" s="20" t="str">
        <f>IFERROR(__xludf.DUMMYFUNCTION("""COMPUTED_VALUE"""),"Nearest Exit from Entrance in Maze")</f>
        <v>Nearest Exit from Entrance in Maze</v>
      </c>
      <c r="C1927" s="20" t="str">
        <f>IFERROR(__xludf.DUMMYFUNCTION("""COMPUTED_VALUE"""),"nearest-exit-from-entrance-in-maze")</f>
        <v>nearest-exit-from-entrance-in-maze</v>
      </c>
      <c r="D1927" s="20" t="b">
        <f>IFERROR(__xludf.DUMMYFUNCTION("""COMPUTED_VALUE"""),FALSE)</f>
        <v>0</v>
      </c>
      <c r="E1927" s="20" t="str">
        <f>IFERROR(__xludf.DUMMYFUNCTION("""COMPUTED_VALUE"""),"Medium")</f>
        <v>Medium</v>
      </c>
      <c r="F1927" s="20">
        <f>IFERROR(__xludf.DUMMYFUNCTION("""COMPUTED_VALUE"""),1682.0)</f>
        <v>1682</v>
      </c>
      <c r="G1927" s="20">
        <f>IFERROR(__xludf.DUMMYFUNCTION("""COMPUTED_VALUE"""),60.0)</f>
        <v>60</v>
      </c>
      <c r="H1927" s="20" t="str">
        <f>IFERROR(__xludf.DUMMYFUNCTION("""COMPUTED_VALUE"""),"Algorithms")</f>
        <v>Algorithms</v>
      </c>
      <c r="I1927" s="20">
        <f>IFERROR(__xludf.DUMMYFUNCTION("""COMPUTED_VALUE"""),0.489)</f>
        <v>0.489</v>
      </c>
      <c r="J1927" s="20">
        <f>IFERROR(__xludf.DUMMYFUNCTION("""COMPUTED_VALUE"""),1926.0)</f>
        <v>1926</v>
      </c>
      <c r="K1927" s="20" t="b">
        <f>IFERROR(__xludf.DUMMYFUNCTION("""COMPUTED_VALUE"""),FALSE)</f>
        <v>0</v>
      </c>
      <c r="L1927" s="20" t="str">
        <f>IFERROR(__xludf.DUMMYFUNCTION("""COMPUTED_VALUE"""),"Array;Breadth-First Search;Matrix;")</f>
        <v>Array;Breadth-First Search;Matrix;</v>
      </c>
      <c r="M1927" s="20" t="b">
        <f>IFERROR(__xludf.DUMMYFUNCTION("""COMPUTED_VALUE"""),TRUE)</f>
        <v>1</v>
      </c>
      <c r="N1927" s="20" t="b">
        <f>IFERROR(__xludf.DUMMYFUNCTION("""COMPUTED_VALUE"""),FALSE)</f>
        <v>0</v>
      </c>
      <c r="O1927" s="20">
        <f>IFERROR(__xludf.DUMMYFUNCTION("""COMPUTED_VALUE"""),48.9459124941665)</f>
        <v>48.94591249</v>
      </c>
      <c r="P1927" s="20">
        <f>IFERROR(__xludf.DUMMYFUNCTION("""COMPUTED_VALUE"""),72366.0)</f>
        <v>72366</v>
      </c>
      <c r="Q1927" s="20">
        <f>IFERROR(__xludf.DUMMYFUNCTION("""COMPUTED_VALUE"""),147849.0)</f>
        <v>147849</v>
      </c>
    </row>
    <row r="1928">
      <c r="A1928" s="20">
        <f>IFERROR(__xludf.DUMMYFUNCTION("""COMPUTED_VALUE"""),2039.0)</f>
        <v>2039</v>
      </c>
      <c r="B1928" s="20" t="str">
        <f>IFERROR(__xludf.DUMMYFUNCTION("""COMPUTED_VALUE"""),"Sum Game")</f>
        <v>Sum Game</v>
      </c>
      <c r="C1928" s="20" t="str">
        <f>IFERROR(__xludf.DUMMYFUNCTION("""COMPUTED_VALUE"""),"sum-game")</f>
        <v>sum-game</v>
      </c>
      <c r="D1928" s="20" t="b">
        <f>IFERROR(__xludf.DUMMYFUNCTION("""COMPUTED_VALUE"""),FALSE)</f>
        <v>0</v>
      </c>
      <c r="E1928" s="20" t="str">
        <f>IFERROR(__xludf.DUMMYFUNCTION("""COMPUTED_VALUE"""),"Medium")</f>
        <v>Medium</v>
      </c>
      <c r="F1928" s="20">
        <f>IFERROR(__xludf.DUMMYFUNCTION("""COMPUTED_VALUE"""),394.0)</f>
        <v>394</v>
      </c>
      <c r="G1928" s="20">
        <f>IFERROR(__xludf.DUMMYFUNCTION("""COMPUTED_VALUE"""),57.0)</f>
        <v>57</v>
      </c>
      <c r="H1928" s="20" t="str">
        <f>IFERROR(__xludf.DUMMYFUNCTION("""COMPUTED_VALUE"""),"Algorithms")</f>
        <v>Algorithms</v>
      </c>
      <c r="I1928" s="20">
        <f>IFERROR(__xludf.DUMMYFUNCTION("""COMPUTED_VALUE"""),0.468)</f>
        <v>0.468</v>
      </c>
      <c r="J1928" s="20">
        <f>IFERROR(__xludf.DUMMYFUNCTION("""COMPUTED_VALUE"""),1927.0)</f>
        <v>1927</v>
      </c>
      <c r="K1928" s="20" t="b">
        <f>IFERROR(__xludf.DUMMYFUNCTION("""COMPUTED_VALUE"""),FALSE)</f>
        <v>0</v>
      </c>
      <c r="L1928" s="20" t="str">
        <f>IFERROR(__xludf.DUMMYFUNCTION("""COMPUTED_VALUE"""),"Math;Greedy;Game Theory;")</f>
        <v>Math;Greedy;Game Theory;</v>
      </c>
      <c r="M1928" s="20" t="b">
        <f>IFERROR(__xludf.DUMMYFUNCTION("""COMPUTED_VALUE"""),FALSE)</f>
        <v>0</v>
      </c>
      <c r="N1928" s="20" t="b">
        <f>IFERROR(__xludf.DUMMYFUNCTION("""COMPUTED_VALUE"""),FALSE)</f>
        <v>0</v>
      </c>
      <c r="O1928" s="20">
        <f>IFERROR(__xludf.DUMMYFUNCTION("""COMPUTED_VALUE"""),46.7786629719431)</f>
        <v>46.77866297</v>
      </c>
      <c r="P1928" s="20">
        <f>IFERROR(__xludf.DUMMYFUNCTION("""COMPUTED_VALUE"""),8103.0)</f>
        <v>8103</v>
      </c>
      <c r="Q1928" s="20">
        <f>IFERROR(__xludf.DUMMYFUNCTION("""COMPUTED_VALUE"""),17322.0)</f>
        <v>17322</v>
      </c>
    </row>
    <row r="1929">
      <c r="A1929" s="20">
        <f>IFERROR(__xludf.DUMMYFUNCTION("""COMPUTED_VALUE"""),2040.0)</f>
        <v>2040</v>
      </c>
      <c r="B1929" s="20" t="str">
        <f>IFERROR(__xludf.DUMMYFUNCTION("""COMPUTED_VALUE"""),"Minimum Cost to Reach Destination in Time")</f>
        <v>Minimum Cost to Reach Destination in Time</v>
      </c>
      <c r="C1929" s="20" t="str">
        <f>IFERROR(__xludf.DUMMYFUNCTION("""COMPUTED_VALUE"""),"minimum-cost-to-reach-destination-in-time")</f>
        <v>minimum-cost-to-reach-destination-in-time</v>
      </c>
      <c r="D1929" s="20" t="b">
        <f>IFERROR(__xludf.DUMMYFUNCTION("""COMPUTED_VALUE"""),FALSE)</f>
        <v>0</v>
      </c>
      <c r="E1929" s="20" t="str">
        <f>IFERROR(__xludf.DUMMYFUNCTION("""COMPUTED_VALUE"""),"Hard")</f>
        <v>Hard</v>
      </c>
      <c r="F1929" s="20">
        <f>IFERROR(__xludf.DUMMYFUNCTION("""COMPUTED_VALUE"""),616.0)</f>
        <v>616</v>
      </c>
      <c r="G1929" s="20">
        <f>IFERROR(__xludf.DUMMYFUNCTION("""COMPUTED_VALUE"""),12.0)</f>
        <v>12</v>
      </c>
      <c r="H1929" s="20" t="str">
        <f>IFERROR(__xludf.DUMMYFUNCTION("""COMPUTED_VALUE"""),"Algorithms")</f>
        <v>Algorithms</v>
      </c>
      <c r="I1929" s="20">
        <f>IFERROR(__xludf.DUMMYFUNCTION("""COMPUTED_VALUE"""),0.375)</f>
        <v>0.375</v>
      </c>
      <c r="J1929" s="20">
        <f>IFERROR(__xludf.DUMMYFUNCTION("""COMPUTED_VALUE"""),1928.0)</f>
        <v>1928</v>
      </c>
      <c r="K1929" s="20" t="b">
        <f>IFERROR(__xludf.DUMMYFUNCTION("""COMPUTED_VALUE"""),FALSE)</f>
        <v>0</v>
      </c>
      <c r="L1929" s="20" t="str">
        <f>IFERROR(__xludf.DUMMYFUNCTION("""COMPUTED_VALUE"""),"Dynamic Programming;Graph;")</f>
        <v>Dynamic Programming;Graph;</v>
      </c>
      <c r="M1929" s="20" t="b">
        <f>IFERROR(__xludf.DUMMYFUNCTION("""COMPUTED_VALUE"""),FALSE)</f>
        <v>0</v>
      </c>
      <c r="N1929" s="20" t="b">
        <f>IFERROR(__xludf.DUMMYFUNCTION("""COMPUTED_VALUE"""),FALSE)</f>
        <v>0</v>
      </c>
      <c r="O1929" s="20">
        <f>IFERROR(__xludf.DUMMYFUNCTION("""COMPUTED_VALUE"""),37.4881569414256)</f>
        <v>37.48815694</v>
      </c>
      <c r="P1929" s="20">
        <f>IFERROR(__xludf.DUMMYFUNCTION("""COMPUTED_VALUE"""),13453.0)</f>
        <v>13453</v>
      </c>
      <c r="Q1929" s="20">
        <f>IFERROR(__xludf.DUMMYFUNCTION("""COMPUTED_VALUE"""),35886.0)</f>
        <v>35886</v>
      </c>
    </row>
    <row r="1930">
      <c r="A1930" s="20">
        <f>IFERROR(__xludf.DUMMYFUNCTION("""COMPUTED_VALUE"""),2058.0)</f>
        <v>2058</v>
      </c>
      <c r="B1930" s="20" t="str">
        <f>IFERROR(__xludf.DUMMYFUNCTION("""COMPUTED_VALUE"""),"Concatenation of Array")</f>
        <v>Concatenation of Array</v>
      </c>
      <c r="C1930" s="20" t="str">
        <f>IFERROR(__xludf.DUMMYFUNCTION("""COMPUTED_VALUE"""),"concatenation-of-array")</f>
        <v>concatenation-of-array</v>
      </c>
      <c r="D1930" s="20" t="b">
        <f>IFERROR(__xludf.DUMMYFUNCTION("""COMPUTED_VALUE"""),FALSE)</f>
        <v>0</v>
      </c>
      <c r="E1930" s="20" t="str">
        <f>IFERROR(__xludf.DUMMYFUNCTION("""COMPUTED_VALUE"""),"Easy")</f>
        <v>Easy</v>
      </c>
      <c r="F1930" s="20">
        <f>IFERROR(__xludf.DUMMYFUNCTION("""COMPUTED_VALUE"""),1869.0)</f>
        <v>1869</v>
      </c>
      <c r="G1930" s="20">
        <f>IFERROR(__xludf.DUMMYFUNCTION("""COMPUTED_VALUE"""),266.0)</f>
        <v>266</v>
      </c>
      <c r="H1930" s="20" t="str">
        <f>IFERROR(__xludf.DUMMYFUNCTION("""COMPUTED_VALUE"""),"Algorithms")</f>
        <v>Algorithms</v>
      </c>
      <c r="I1930" s="20">
        <f>IFERROR(__xludf.DUMMYFUNCTION("""COMPUTED_VALUE"""),0.909)</f>
        <v>0.909</v>
      </c>
      <c r="J1930" s="20">
        <f>IFERROR(__xludf.DUMMYFUNCTION("""COMPUTED_VALUE"""),1929.0)</f>
        <v>1929</v>
      </c>
      <c r="K1930" s="20" t="b">
        <f>IFERROR(__xludf.DUMMYFUNCTION("""COMPUTED_VALUE"""),FALSE)</f>
        <v>0</v>
      </c>
      <c r="L1930" s="20" t="str">
        <f>IFERROR(__xludf.DUMMYFUNCTION("""COMPUTED_VALUE"""),"Array;")</f>
        <v>Array;</v>
      </c>
      <c r="M1930" s="20" t="b">
        <f>IFERROR(__xludf.DUMMYFUNCTION("""COMPUTED_VALUE"""),FALSE)</f>
        <v>0</v>
      </c>
      <c r="N1930" s="20" t="b">
        <f>IFERROR(__xludf.DUMMYFUNCTION("""COMPUTED_VALUE"""),FALSE)</f>
        <v>0</v>
      </c>
      <c r="O1930" s="20">
        <f>IFERROR(__xludf.DUMMYFUNCTION("""COMPUTED_VALUE"""),90.9490524283665)</f>
        <v>90.94905243</v>
      </c>
      <c r="P1930" s="20">
        <f>IFERROR(__xludf.DUMMYFUNCTION("""COMPUTED_VALUE"""),331650.0)</f>
        <v>331650</v>
      </c>
      <c r="Q1930" s="20">
        <f>IFERROR(__xludf.DUMMYFUNCTION("""COMPUTED_VALUE"""),364655.0)</f>
        <v>364655</v>
      </c>
    </row>
    <row r="1931">
      <c r="A1931" s="20">
        <f>IFERROR(__xludf.DUMMYFUNCTION("""COMPUTED_VALUE"""),2059.0)</f>
        <v>2059</v>
      </c>
      <c r="B1931" s="20" t="str">
        <f>IFERROR(__xludf.DUMMYFUNCTION("""COMPUTED_VALUE"""),"Unique Length-3 Palindromic Subsequences")</f>
        <v>Unique Length-3 Palindromic Subsequences</v>
      </c>
      <c r="C1931" s="20" t="str">
        <f>IFERROR(__xludf.DUMMYFUNCTION("""COMPUTED_VALUE"""),"unique-length-3-palindromic-subsequences")</f>
        <v>unique-length-3-palindromic-subsequences</v>
      </c>
      <c r="D1931" s="20" t="b">
        <f>IFERROR(__xludf.DUMMYFUNCTION("""COMPUTED_VALUE"""),FALSE)</f>
        <v>0</v>
      </c>
      <c r="E1931" s="20" t="str">
        <f>IFERROR(__xludf.DUMMYFUNCTION("""COMPUTED_VALUE"""),"Medium")</f>
        <v>Medium</v>
      </c>
      <c r="F1931" s="20">
        <f>IFERROR(__xludf.DUMMYFUNCTION("""COMPUTED_VALUE"""),578.0)</f>
        <v>578</v>
      </c>
      <c r="G1931" s="20">
        <f>IFERROR(__xludf.DUMMYFUNCTION("""COMPUTED_VALUE"""),17.0)</f>
        <v>17</v>
      </c>
      <c r="H1931" s="20" t="str">
        <f>IFERROR(__xludf.DUMMYFUNCTION("""COMPUTED_VALUE"""),"Algorithms")</f>
        <v>Algorithms</v>
      </c>
      <c r="I1931" s="20">
        <f>IFERROR(__xludf.DUMMYFUNCTION("""COMPUTED_VALUE"""),0.517)</f>
        <v>0.517</v>
      </c>
      <c r="J1931" s="20">
        <f>IFERROR(__xludf.DUMMYFUNCTION("""COMPUTED_VALUE"""),1930.0)</f>
        <v>1930</v>
      </c>
      <c r="K1931" s="20" t="b">
        <f>IFERROR(__xludf.DUMMYFUNCTION("""COMPUTED_VALUE"""),FALSE)</f>
        <v>0</v>
      </c>
      <c r="L1931" s="20" t="str">
        <f>IFERROR(__xludf.DUMMYFUNCTION("""COMPUTED_VALUE"""),"Hash Table;String;Prefix Sum;")</f>
        <v>Hash Table;String;Prefix Sum;</v>
      </c>
      <c r="M1931" s="20" t="b">
        <f>IFERROR(__xludf.DUMMYFUNCTION("""COMPUTED_VALUE"""),FALSE)</f>
        <v>0</v>
      </c>
      <c r="N1931" s="20" t="b">
        <f>IFERROR(__xludf.DUMMYFUNCTION("""COMPUTED_VALUE"""),FALSE)</f>
        <v>0</v>
      </c>
      <c r="O1931" s="20">
        <f>IFERROR(__xludf.DUMMYFUNCTION("""COMPUTED_VALUE"""),51.7094017094017)</f>
        <v>51.70940171</v>
      </c>
      <c r="P1931" s="20">
        <f>IFERROR(__xludf.DUMMYFUNCTION("""COMPUTED_VALUE"""),20811.0)</f>
        <v>20811</v>
      </c>
      <c r="Q1931" s="20">
        <f>IFERROR(__xludf.DUMMYFUNCTION("""COMPUTED_VALUE"""),40247.0)</f>
        <v>40247</v>
      </c>
    </row>
    <row r="1932">
      <c r="A1932" s="20">
        <f>IFERROR(__xludf.DUMMYFUNCTION("""COMPUTED_VALUE"""),2061.0)</f>
        <v>2061</v>
      </c>
      <c r="B1932" s="20" t="str">
        <f>IFERROR(__xludf.DUMMYFUNCTION("""COMPUTED_VALUE"""),"Painting a Grid With Three Different Colors")</f>
        <v>Painting a Grid With Three Different Colors</v>
      </c>
      <c r="C1932" s="20" t="str">
        <f>IFERROR(__xludf.DUMMYFUNCTION("""COMPUTED_VALUE"""),"painting-a-grid-with-three-different-colors")</f>
        <v>painting-a-grid-with-three-different-colors</v>
      </c>
      <c r="D1932" s="20" t="b">
        <f>IFERROR(__xludf.DUMMYFUNCTION("""COMPUTED_VALUE"""),FALSE)</f>
        <v>0</v>
      </c>
      <c r="E1932" s="20" t="str">
        <f>IFERROR(__xludf.DUMMYFUNCTION("""COMPUTED_VALUE"""),"Hard")</f>
        <v>Hard</v>
      </c>
      <c r="F1932" s="20">
        <f>IFERROR(__xludf.DUMMYFUNCTION("""COMPUTED_VALUE"""),386.0)</f>
        <v>386</v>
      </c>
      <c r="G1932" s="20">
        <f>IFERROR(__xludf.DUMMYFUNCTION("""COMPUTED_VALUE"""),20.0)</f>
        <v>20</v>
      </c>
      <c r="H1932" s="20" t="str">
        <f>IFERROR(__xludf.DUMMYFUNCTION("""COMPUTED_VALUE"""),"Algorithms")</f>
        <v>Algorithms</v>
      </c>
      <c r="I1932" s="20">
        <f>IFERROR(__xludf.DUMMYFUNCTION("""COMPUTED_VALUE"""),0.571)</f>
        <v>0.571</v>
      </c>
      <c r="J1932" s="20">
        <f>IFERROR(__xludf.DUMMYFUNCTION("""COMPUTED_VALUE"""),1931.0)</f>
        <v>1931</v>
      </c>
      <c r="K1932" s="20" t="b">
        <f>IFERROR(__xludf.DUMMYFUNCTION("""COMPUTED_VALUE"""),FALSE)</f>
        <v>0</v>
      </c>
      <c r="L1932" s="20" t="str">
        <f>IFERROR(__xludf.DUMMYFUNCTION("""COMPUTED_VALUE"""),"Dynamic Programming;")</f>
        <v>Dynamic Programming;</v>
      </c>
      <c r="M1932" s="20" t="b">
        <f>IFERROR(__xludf.DUMMYFUNCTION("""COMPUTED_VALUE"""),FALSE)</f>
        <v>0</v>
      </c>
      <c r="N1932" s="20" t="b">
        <f>IFERROR(__xludf.DUMMYFUNCTION("""COMPUTED_VALUE"""),FALSE)</f>
        <v>0</v>
      </c>
      <c r="O1932" s="20">
        <f>IFERROR(__xludf.DUMMYFUNCTION("""COMPUTED_VALUE"""),57.1228724644439)</f>
        <v>57.12287246</v>
      </c>
      <c r="P1932" s="20">
        <f>IFERROR(__xludf.DUMMYFUNCTION("""COMPUTED_VALUE"""),7350.0)</f>
        <v>7350</v>
      </c>
      <c r="Q1932" s="20">
        <f>IFERROR(__xludf.DUMMYFUNCTION("""COMPUTED_VALUE"""),12867.0)</f>
        <v>12867</v>
      </c>
    </row>
    <row r="1933">
      <c r="A1933" s="20">
        <f>IFERROR(__xludf.DUMMYFUNCTION("""COMPUTED_VALUE"""),2060.0)</f>
        <v>2060</v>
      </c>
      <c r="B1933" s="20" t="str">
        <f>IFERROR(__xludf.DUMMYFUNCTION("""COMPUTED_VALUE"""),"Merge BSTs to Create Single BST")</f>
        <v>Merge BSTs to Create Single BST</v>
      </c>
      <c r="C1933" s="20" t="str">
        <f>IFERROR(__xludf.DUMMYFUNCTION("""COMPUTED_VALUE"""),"merge-bsts-to-create-single-bst")</f>
        <v>merge-bsts-to-create-single-bst</v>
      </c>
      <c r="D1933" s="20" t="b">
        <f>IFERROR(__xludf.DUMMYFUNCTION("""COMPUTED_VALUE"""),FALSE)</f>
        <v>0</v>
      </c>
      <c r="E1933" s="20" t="str">
        <f>IFERROR(__xludf.DUMMYFUNCTION("""COMPUTED_VALUE"""),"Hard")</f>
        <v>Hard</v>
      </c>
      <c r="F1933" s="20">
        <f>IFERROR(__xludf.DUMMYFUNCTION("""COMPUTED_VALUE"""),399.0)</f>
        <v>399</v>
      </c>
      <c r="G1933" s="20">
        <f>IFERROR(__xludf.DUMMYFUNCTION("""COMPUTED_VALUE"""),32.0)</f>
        <v>32</v>
      </c>
      <c r="H1933" s="20" t="str">
        <f>IFERROR(__xludf.DUMMYFUNCTION("""COMPUTED_VALUE"""),"Algorithms")</f>
        <v>Algorithms</v>
      </c>
      <c r="I1933" s="20">
        <f>IFERROR(__xludf.DUMMYFUNCTION("""COMPUTED_VALUE"""),0.357)</f>
        <v>0.357</v>
      </c>
      <c r="J1933" s="20">
        <f>IFERROR(__xludf.DUMMYFUNCTION("""COMPUTED_VALUE"""),1932.0)</f>
        <v>1932</v>
      </c>
      <c r="K1933" s="20" t="b">
        <f>IFERROR(__xludf.DUMMYFUNCTION("""COMPUTED_VALUE"""),FALSE)</f>
        <v>0</v>
      </c>
      <c r="L1933" s="20" t="str">
        <f>IFERROR(__xludf.DUMMYFUNCTION("""COMPUTED_VALUE"""),"Hash Table;Binary Search;Tree;Depth-First Search;Binary Tree;")</f>
        <v>Hash Table;Binary Search;Tree;Depth-First Search;Binary Tree;</v>
      </c>
      <c r="M1933" s="20" t="b">
        <f>IFERROR(__xludf.DUMMYFUNCTION("""COMPUTED_VALUE"""),FALSE)</f>
        <v>0</v>
      </c>
      <c r="N1933" s="20" t="b">
        <f>IFERROR(__xludf.DUMMYFUNCTION("""COMPUTED_VALUE"""),FALSE)</f>
        <v>0</v>
      </c>
      <c r="O1933" s="20">
        <f>IFERROR(__xludf.DUMMYFUNCTION("""COMPUTED_VALUE"""),35.6668063955925)</f>
        <v>35.6668064</v>
      </c>
      <c r="P1933" s="20">
        <f>IFERROR(__xludf.DUMMYFUNCTION("""COMPUTED_VALUE"""),5956.0)</f>
        <v>5956</v>
      </c>
      <c r="Q1933" s="20">
        <f>IFERROR(__xludf.DUMMYFUNCTION("""COMPUTED_VALUE"""),16697.0)</f>
        <v>16697</v>
      </c>
    </row>
    <row r="1934">
      <c r="A1934" s="20">
        <f>IFERROR(__xludf.DUMMYFUNCTION("""COMPUTED_VALUE"""),2070.0)</f>
        <v>2070</v>
      </c>
      <c r="B1934" s="20" t="str">
        <f>IFERROR(__xludf.DUMMYFUNCTION("""COMPUTED_VALUE"""),"Check if String Is Decomposable Into Value-Equal Substrings")</f>
        <v>Check if String Is Decomposable Into Value-Equal Substrings</v>
      </c>
      <c r="C1934" s="20" t="str">
        <f>IFERROR(__xludf.DUMMYFUNCTION("""COMPUTED_VALUE"""),"check-if-string-is-decomposable-into-value-equal-substrings")</f>
        <v>check-if-string-is-decomposable-into-value-equal-substrings</v>
      </c>
      <c r="D1934" s="20" t="b">
        <f>IFERROR(__xludf.DUMMYFUNCTION("""COMPUTED_VALUE"""),TRUE)</f>
        <v>1</v>
      </c>
      <c r="E1934" s="20" t="str">
        <f>IFERROR(__xludf.DUMMYFUNCTION("""COMPUTED_VALUE"""),"Easy")</f>
        <v>Easy</v>
      </c>
      <c r="F1934" s="20">
        <f>IFERROR(__xludf.DUMMYFUNCTION("""COMPUTED_VALUE"""),43.0)</f>
        <v>43</v>
      </c>
      <c r="G1934" s="20">
        <f>IFERROR(__xludf.DUMMYFUNCTION("""COMPUTED_VALUE"""),11.0)</f>
        <v>11</v>
      </c>
      <c r="H1934" s="20" t="str">
        <f>IFERROR(__xludf.DUMMYFUNCTION("""COMPUTED_VALUE"""),"Algorithms")</f>
        <v>Algorithms</v>
      </c>
      <c r="I1934" s="20">
        <f>IFERROR(__xludf.DUMMYFUNCTION("""COMPUTED_VALUE"""),0.501)</f>
        <v>0.501</v>
      </c>
      <c r="J1934" s="20">
        <f>IFERROR(__xludf.DUMMYFUNCTION("""COMPUTED_VALUE"""),1933.0)</f>
        <v>1933</v>
      </c>
      <c r="K1934" s="20" t="b">
        <f>IFERROR(__xludf.DUMMYFUNCTION("""COMPUTED_VALUE"""),TRUE)</f>
        <v>1</v>
      </c>
      <c r="L1934" s="20" t="str">
        <f>IFERROR(__xludf.DUMMYFUNCTION("""COMPUTED_VALUE"""),"String;")</f>
        <v>String;</v>
      </c>
      <c r="M1934" s="20" t="b">
        <f>IFERROR(__xludf.DUMMYFUNCTION("""COMPUTED_VALUE"""),FALSE)</f>
        <v>0</v>
      </c>
      <c r="N1934" s="20" t="b">
        <f>IFERROR(__xludf.DUMMYFUNCTION("""COMPUTED_VALUE"""),FALSE)</f>
        <v>0</v>
      </c>
      <c r="O1934" s="20">
        <f>IFERROR(__xludf.DUMMYFUNCTION("""COMPUTED_VALUE"""),50.1120657452372)</f>
        <v>50.11206575</v>
      </c>
      <c r="P1934" s="20">
        <f>IFERROR(__xludf.DUMMYFUNCTION("""COMPUTED_VALUE"""),2683.0)</f>
        <v>2683</v>
      </c>
      <c r="Q1934" s="20">
        <f>IFERROR(__xludf.DUMMYFUNCTION("""COMPUTED_VALUE"""),5354.0)</f>
        <v>5354</v>
      </c>
    </row>
    <row r="1935">
      <c r="A1935" s="20">
        <f>IFERROR(__xludf.DUMMYFUNCTION("""COMPUTED_VALUE"""),2087.0)</f>
        <v>2087</v>
      </c>
      <c r="B1935" s="20" t="str">
        <f>IFERROR(__xludf.DUMMYFUNCTION("""COMPUTED_VALUE"""),"Confirmation Rate")</f>
        <v>Confirmation Rate</v>
      </c>
      <c r="C1935" s="20" t="str">
        <f>IFERROR(__xludf.DUMMYFUNCTION("""COMPUTED_VALUE"""),"confirmation-rate")</f>
        <v>confirmation-rate</v>
      </c>
      <c r="D1935" s="20" t="b">
        <f>IFERROR(__xludf.DUMMYFUNCTION("""COMPUTED_VALUE"""),TRUE)</f>
        <v>1</v>
      </c>
      <c r="E1935" s="20" t="str">
        <f>IFERROR(__xludf.DUMMYFUNCTION("""COMPUTED_VALUE"""),"Medium")</f>
        <v>Medium</v>
      </c>
      <c r="F1935" s="20">
        <f>IFERROR(__xludf.DUMMYFUNCTION("""COMPUTED_VALUE"""),48.0)</f>
        <v>48</v>
      </c>
      <c r="G1935" s="20">
        <f>IFERROR(__xludf.DUMMYFUNCTION("""COMPUTED_VALUE"""),14.0)</f>
        <v>14</v>
      </c>
      <c r="H1935" s="20" t="str">
        <f>IFERROR(__xludf.DUMMYFUNCTION("""COMPUTED_VALUE"""),"Database")</f>
        <v>Database</v>
      </c>
      <c r="I1935" s="20">
        <f>IFERROR(__xludf.DUMMYFUNCTION("""COMPUTED_VALUE"""),0.776)</f>
        <v>0.776</v>
      </c>
      <c r="J1935" s="20">
        <f>IFERROR(__xludf.DUMMYFUNCTION("""COMPUTED_VALUE"""),1934.0)</f>
        <v>1934</v>
      </c>
      <c r="K1935" s="20" t="b">
        <f>IFERROR(__xludf.DUMMYFUNCTION("""COMPUTED_VALUE"""),TRUE)</f>
        <v>1</v>
      </c>
      <c r="L1935" s="20" t="str">
        <f>IFERROR(__xludf.DUMMYFUNCTION("""COMPUTED_VALUE"""),"Database;")</f>
        <v>Database;</v>
      </c>
      <c r="M1935" s="20" t="b">
        <f>IFERROR(__xludf.DUMMYFUNCTION("""COMPUTED_VALUE"""),FALSE)</f>
        <v>0</v>
      </c>
      <c r="N1935" s="20" t="b">
        <f>IFERROR(__xludf.DUMMYFUNCTION("""COMPUTED_VALUE"""),FALSE)</f>
        <v>0</v>
      </c>
      <c r="O1935" s="20">
        <f>IFERROR(__xludf.DUMMYFUNCTION("""COMPUTED_VALUE"""),77.5628957727195)</f>
        <v>77.56289577</v>
      </c>
      <c r="P1935" s="20">
        <f>IFERROR(__xludf.DUMMYFUNCTION("""COMPUTED_VALUE"""),9064.0)</f>
        <v>9064</v>
      </c>
      <c r="Q1935" s="20">
        <f>IFERROR(__xludf.DUMMYFUNCTION("""COMPUTED_VALUE"""),11686.0)</f>
        <v>11686</v>
      </c>
    </row>
    <row r="1936">
      <c r="A1936" s="20">
        <f>IFERROR(__xludf.DUMMYFUNCTION("""COMPUTED_VALUE"""),1264.0)</f>
        <v>1264</v>
      </c>
      <c r="B1936" s="20" t="str">
        <f>IFERROR(__xludf.DUMMYFUNCTION("""COMPUTED_VALUE"""),"Maximum Number of Words You Can Type")</f>
        <v>Maximum Number of Words You Can Type</v>
      </c>
      <c r="C1936" s="20" t="str">
        <f>IFERROR(__xludf.DUMMYFUNCTION("""COMPUTED_VALUE"""),"maximum-number-of-words-you-can-type")</f>
        <v>maximum-number-of-words-you-can-type</v>
      </c>
      <c r="D1936" s="20" t="b">
        <f>IFERROR(__xludf.DUMMYFUNCTION("""COMPUTED_VALUE"""),FALSE)</f>
        <v>0</v>
      </c>
      <c r="E1936" s="20" t="str">
        <f>IFERROR(__xludf.DUMMYFUNCTION("""COMPUTED_VALUE"""),"Easy")</f>
        <v>Easy</v>
      </c>
      <c r="F1936" s="20">
        <f>IFERROR(__xludf.DUMMYFUNCTION("""COMPUTED_VALUE"""),417.0)</f>
        <v>417</v>
      </c>
      <c r="G1936" s="20">
        <f>IFERROR(__xludf.DUMMYFUNCTION("""COMPUTED_VALUE"""),19.0)</f>
        <v>19</v>
      </c>
      <c r="H1936" s="20" t="str">
        <f>IFERROR(__xludf.DUMMYFUNCTION("""COMPUTED_VALUE"""),"Algorithms")</f>
        <v>Algorithms</v>
      </c>
      <c r="I1936" s="20">
        <f>IFERROR(__xludf.DUMMYFUNCTION("""COMPUTED_VALUE"""),0.711)</f>
        <v>0.711</v>
      </c>
      <c r="J1936" s="20">
        <f>IFERROR(__xludf.DUMMYFUNCTION("""COMPUTED_VALUE"""),1935.0)</f>
        <v>1935</v>
      </c>
      <c r="K1936" s="20" t="b">
        <f>IFERROR(__xludf.DUMMYFUNCTION("""COMPUTED_VALUE"""),FALSE)</f>
        <v>0</v>
      </c>
      <c r="L1936" s="20" t="str">
        <f>IFERROR(__xludf.DUMMYFUNCTION("""COMPUTED_VALUE"""),"Hash Table;String;")</f>
        <v>Hash Table;String;</v>
      </c>
      <c r="M1936" s="20" t="b">
        <f>IFERROR(__xludf.DUMMYFUNCTION("""COMPUTED_VALUE"""),FALSE)</f>
        <v>0</v>
      </c>
      <c r="N1936" s="20" t="b">
        <f>IFERROR(__xludf.DUMMYFUNCTION("""COMPUTED_VALUE"""),FALSE)</f>
        <v>0</v>
      </c>
      <c r="O1936" s="20">
        <f>IFERROR(__xludf.DUMMYFUNCTION("""COMPUTED_VALUE"""),71.1328443357783)</f>
        <v>71.13284434</v>
      </c>
      <c r="P1936" s="20">
        <f>IFERROR(__xludf.DUMMYFUNCTION("""COMPUTED_VALUE"""),39274.0)</f>
        <v>39274</v>
      </c>
      <c r="Q1936" s="20">
        <f>IFERROR(__xludf.DUMMYFUNCTION("""COMPUTED_VALUE"""),55213.0)</f>
        <v>55213</v>
      </c>
    </row>
    <row r="1937">
      <c r="A1937" s="20">
        <f>IFERROR(__xludf.DUMMYFUNCTION("""COMPUTED_VALUE"""),2066.0)</f>
        <v>2066</v>
      </c>
      <c r="B1937" s="20" t="str">
        <f>IFERROR(__xludf.DUMMYFUNCTION("""COMPUTED_VALUE"""),"Add Minimum Number of Rungs")</f>
        <v>Add Minimum Number of Rungs</v>
      </c>
      <c r="C1937" s="20" t="str">
        <f>IFERROR(__xludf.DUMMYFUNCTION("""COMPUTED_VALUE"""),"add-minimum-number-of-rungs")</f>
        <v>add-minimum-number-of-rungs</v>
      </c>
      <c r="D1937" s="20" t="b">
        <f>IFERROR(__xludf.DUMMYFUNCTION("""COMPUTED_VALUE"""),FALSE)</f>
        <v>0</v>
      </c>
      <c r="E1937" s="20" t="str">
        <f>IFERROR(__xludf.DUMMYFUNCTION("""COMPUTED_VALUE"""),"Medium")</f>
        <v>Medium</v>
      </c>
      <c r="F1937" s="20">
        <f>IFERROR(__xludf.DUMMYFUNCTION("""COMPUTED_VALUE"""),281.0)</f>
        <v>281</v>
      </c>
      <c r="G1937" s="20">
        <f>IFERROR(__xludf.DUMMYFUNCTION("""COMPUTED_VALUE"""),22.0)</f>
        <v>22</v>
      </c>
      <c r="H1937" s="20" t="str">
        <f>IFERROR(__xludf.DUMMYFUNCTION("""COMPUTED_VALUE"""),"Algorithms")</f>
        <v>Algorithms</v>
      </c>
      <c r="I1937" s="20">
        <f>IFERROR(__xludf.DUMMYFUNCTION("""COMPUTED_VALUE"""),0.429)</f>
        <v>0.429</v>
      </c>
      <c r="J1937" s="20">
        <f>IFERROR(__xludf.DUMMYFUNCTION("""COMPUTED_VALUE"""),1936.0)</f>
        <v>1936</v>
      </c>
      <c r="K1937" s="20" t="b">
        <f>IFERROR(__xludf.DUMMYFUNCTION("""COMPUTED_VALUE"""),FALSE)</f>
        <v>0</v>
      </c>
      <c r="L1937" s="20" t="str">
        <f>IFERROR(__xludf.DUMMYFUNCTION("""COMPUTED_VALUE"""),"Array;Greedy;")</f>
        <v>Array;Greedy;</v>
      </c>
      <c r="M1937" s="20" t="b">
        <f>IFERROR(__xludf.DUMMYFUNCTION("""COMPUTED_VALUE"""),FALSE)</f>
        <v>0</v>
      </c>
      <c r="N1937" s="20" t="b">
        <f>IFERROR(__xludf.DUMMYFUNCTION("""COMPUTED_VALUE"""),FALSE)</f>
        <v>0</v>
      </c>
      <c r="O1937" s="20">
        <f>IFERROR(__xludf.DUMMYFUNCTION("""COMPUTED_VALUE"""),42.8629705893779)</f>
        <v>42.86297059</v>
      </c>
      <c r="P1937" s="20">
        <f>IFERROR(__xludf.DUMMYFUNCTION("""COMPUTED_VALUE"""),22065.0)</f>
        <v>22065</v>
      </c>
      <c r="Q1937" s="20">
        <f>IFERROR(__xludf.DUMMYFUNCTION("""COMPUTED_VALUE"""),51478.0)</f>
        <v>51478</v>
      </c>
    </row>
    <row r="1938">
      <c r="A1938" s="20">
        <f>IFERROR(__xludf.DUMMYFUNCTION("""COMPUTED_VALUE"""),2067.0)</f>
        <v>2067</v>
      </c>
      <c r="B1938" s="20" t="str">
        <f>IFERROR(__xludf.DUMMYFUNCTION("""COMPUTED_VALUE"""),"Maximum Number of Points with Cost")</f>
        <v>Maximum Number of Points with Cost</v>
      </c>
      <c r="C1938" s="20" t="str">
        <f>IFERROR(__xludf.DUMMYFUNCTION("""COMPUTED_VALUE"""),"maximum-number-of-points-with-cost")</f>
        <v>maximum-number-of-points-with-cost</v>
      </c>
      <c r="D1938" s="20" t="b">
        <f>IFERROR(__xludf.DUMMYFUNCTION("""COMPUTED_VALUE"""),FALSE)</f>
        <v>0</v>
      </c>
      <c r="E1938" s="20" t="str">
        <f>IFERROR(__xludf.DUMMYFUNCTION("""COMPUTED_VALUE"""),"Medium")</f>
        <v>Medium</v>
      </c>
      <c r="F1938" s="20">
        <f>IFERROR(__xludf.DUMMYFUNCTION("""COMPUTED_VALUE"""),2000.0)</f>
        <v>2000</v>
      </c>
      <c r="G1938" s="20">
        <f>IFERROR(__xludf.DUMMYFUNCTION("""COMPUTED_VALUE"""),125.0)</f>
        <v>125</v>
      </c>
      <c r="H1938" s="20" t="str">
        <f>IFERROR(__xludf.DUMMYFUNCTION("""COMPUTED_VALUE"""),"Algorithms")</f>
        <v>Algorithms</v>
      </c>
      <c r="I1938" s="20">
        <f>IFERROR(__xludf.DUMMYFUNCTION("""COMPUTED_VALUE"""),0.362)</f>
        <v>0.362</v>
      </c>
      <c r="J1938" s="20">
        <f>IFERROR(__xludf.DUMMYFUNCTION("""COMPUTED_VALUE"""),1937.0)</f>
        <v>1937</v>
      </c>
      <c r="K1938" s="20" t="b">
        <f>IFERROR(__xludf.DUMMYFUNCTION("""COMPUTED_VALUE"""),FALSE)</f>
        <v>0</v>
      </c>
      <c r="L1938" s="20" t="str">
        <f>IFERROR(__xludf.DUMMYFUNCTION("""COMPUTED_VALUE"""),"Array;Dynamic Programming;")</f>
        <v>Array;Dynamic Programming;</v>
      </c>
      <c r="M1938" s="20" t="b">
        <f>IFERROR(__xludf.DUMMYFUNCTION("""COMPUTED_VALUE"""),TRUE)</f>
        <v>1</v>
      </c>
      <c r="N1938" s="20" t="b">
        <f>IFERROR(__xludf.DUMMYFUNCTION("""COMPUTED_VALUE"""),FALSE)</f>
        <v>0</v>
      </c>
      <c r="O1938" s="20">
        <f>IFERROR(__xludf.DUMMYFUNCTION("""COMPUTED_VALUE"""),36.1972880753266)</f>
        <v>36.19728808</v>
      </c>
      <c r="P1938" s="20">
        <f>IFERROR(__xludf.DUMMYFUNCTION("""COMPUTED_VALUE"""),52936.0)</f>
        <v>52936</v>
      </c>
      <c r="Q1938" s="20">
        <f>IFERROR(__xludf.DUMMYFUNCTION("""COMPUTED_VALUE"""),146243.0)</f>
        <v>146243</v>
      </c>
    </row>
    <row r="1939">
      <c r="A1939" s="20">
        <f>IFERROR(__xludf.DUMMYFUNCTION("""COMPUTED_VALUE"""),2068.0)</f>
        <v>2068</v>
      </c>
      <c r="B1939" s="20" t="str">
        <f>IFERROR(__xludf.DUMMYFUNCTION("""COMPUTED_VALUE"""),"Maximum Genetic Difference Query")</f>
        <v>Maximum Genetic Difference Query</v>
      </c>
      <c r="C1939" s="20" t="str">
        <f>IFERROR(__xludf.DUMMYFUNCTION("""COMPUTED_VALUE"""),"maximum-genetic-difference-query")</f>
        <v>maximum-genetic-difference-query</v>
      </c>
      <c r="D1939" s="20" t="b">
        <f>IFERROR(__xludf.DUMMYFUNCTION("""COMPUTED_VALUE"""),FALSE)</f>
        <v>0</v>
      </c>
      <c r="E1939" s="20" t="str">
        <f>IFERROR(__xludf.DUMMYFUNCTION("""COMPUTED_VALUE"""),"Hard")</f>
        <v>Hard</v>
      </c>
      <c r="F1939" s="20">
        <f>IFERROR(__xludf.DUMMYFUNCTION("""COMPUTED_VALUE"""),305.0)</f>
        <v>305</v>
      </c>
      <c r="G1939" s="20">
        <f>IFERROR(__xludf.DUMMYFUNCTION("""COMPUTED_VALUE"""),14.0)</f>
        <v>14</v>
      </c>
      <c r="H1939" s="20" t="str">
        <f>IFERROR(__xludf.DUMMYFUNCTION("""COMPUTED_VALUE"""),"Algorithms")</f>
        <v>Algorithms</v>
      </c>
      <c r="I1939" s="20">
        <f>IFERROR(__xludf.DUMMYFUNCTION("""COMPUTED_VALUE"""),0.395)</f>
        <v>0.395</v>
      </c>
      <c r="J1939" s="20">
        <f>IFERROR(__xludf.DUMMYFUNCTION("""COMPUTED_VALUE"""),1938.0)</f>
        <v>1938</v>
      </c>
      <c r="K1939" s="20" t="b">
        <f>IFERROR(__xludf.DUMMYFUNCTION("""COMPUTED_VALUE"""),FALSE)</f>
        <v>0</v>
      </c>
      <c r="L1939" s="20" t="str">
        <f>IFERROR(__xludf.DUMMYFUNCTION("""COMPUTED_VALUE"""),"Array;Bit Manipulation;Trie;")</f>
        <v>Array;Bit Manipulation;Trie;</v>
      </c>
      <c r="M1939" s="20" t="b">
        <f>IFERROR(__xludf.DUMMYFUNCTION("""COMPUTED_VALUE"""),FALSE)</f>
        <v>0</v>
      </c>
      <c r="N1939" s="20" t="b">
        <f>IFERROR(__xludf.DUMMYFUNCTION("""COMPUTED_VALUE"""),FALSE)</f>
        <v>0</v>
      </c>
      <c r="O1939" s="20">
        <f>IFERROR(__xludf.DUMMYFUNCTION("""COMPUTED_VALUE"""),39.5007201152184)</f>
        <v>39.50072012</v>
      </c>
      <c r="P1939" s="20">
        <f>IFERROR(__xludf.DUMMYFUNCTION("""COMPUTED_VALUE"""),4114.0)</f>
        <v>4114</v>
      </c>
      <c r="Q1939" s="20">
        <f>IFERROR(__xludf.DUMMYFUNCTION("""COMPUTED_VALUE"""),10415.0)</f>
        <v>10415</v>
      </c>
    </row>
    <row r="1940">
      <c r="A1940" s="20">
        <f>IFERROR(__xludf.DUMMYFUNCTION("""COMPUTED_VALUE"""),2092.0)</f>
        <v>2092</v>
      </c>
      <c r="B1940" s="20" t="str">
        <f>IFERROR(__xludf.DUMMYFUNCTION("""COMPUTED_VALUE"""),"Users That Actively Request Confirmation Messages")</f>
        <v>Users That Actively Request Confirmation Messages</v>
      </c>
      <c r="C1940" s="20" t="str">
        <f>IFERROR(__xludf.DUMMYFUNCTION("""COMPUTED_VALUE"""),"users-that-actively-request-confirmation-messages")</f>
        <v>users-that-actively-request-confirmation-messages</v>
      </c>
      <c r="D1940" s="20" t="b">
        <f>IFERROR(__xludf.DUMMYFUNCTION("""COMPUTED_VALUE"""),TRUE)</f>
        <v>1</v>
      </c>
      <c r="E1940" s="20" t="str">
        <f>IFERROR(__xludf.DUMMYFUNCTION("""COMPUTED_VALUE"""),"Easy")</f>
        <v>Easy</v>
      </c>
      <c r="F1940" s="20">
        <f>IFERROR(__xludf.DUMMYFUNCTION("""COMPUTED_VALUE"""),41.0)</f>
        <v>41</v>
      </c>
      <c r="G1940" s="20">
        <f>IFERROR(__xludf.DUMMYFUNCTION("""COMPUTED_VALUE"""),34.0)</f>
        <v>34</v>
      </c>
      <c r="H1940" s="20" t="str">
        <f>IFERROR(__xludf.DUMMYFUNCTION("""COMPUTED_VALUE"""),"Database")</f>
        <v>Database</v>
      </c>
      <c r="I1940" s="20">
        <f>IFERROR(__xludf.DUMMYFUNCTION("""COMPUTED_VALUE"""),0.608)</f>
        <v>0.608</v>
      </c>
      <c r="J1940" s="20">
        <f>IFERROR(__xludf.DUMMYFUNCTION("""COMPUTED_VALUE"""),1939.0)</f>
        <v>1939</v>
      </c>
      <c r="K1940" s="20" t="b">
        <f>IFERROR(__xludf.DUMMYFUNCTION("""COMPUTED_VALUE"""),TRUE)</f>
        <v>1</v>
      </c>
      <c r="L1940" s="20" t="str">
        <f>IFERROR(__xludf.DUMMYFUNCTION("""COMPUTED_VALUE"""),"Database;")</f>
        <v>Database;</v>
      </c>
      <c r="M1940" s="20" t="b">
        <f>IFERROR(__xludf.DUMMYFUNCTION("""COMPUTED_VALUE"""),FALSE)</f>
        <v>0</v>
      </c>
      <c r="N1940" s="20" t="b">
        <f>IFERROR(__xludf.DUMMYFUNCTION("""COMPUTED_VALUE"""),FALSE)</f>
        <v>0</v>
      </c>
      <c r="O1940" s="20">
        <f>IFERROR(__xludf.DUMMYFUNCTION("""COMPUTED_VALUE"""),60.8397954132981)</f>
        <v>60.83979541</v>
      </c>
      <c r="P1940" s="20">
        <f>IFERROR(__xludf.DUMMYFUNCTION("""COMPUTED_VALUE"""),7375.0)</f>
        <v>7375</v>
      </c>
      <c r="Q1940" s="20">
        <f>IFERROR(__xludf.DUMMYFUNCTION("""COMPUTED_VALUE"""),12122.0)</f>
        <v>12122</v>
      </c>
    </row>
    <row r="1941">
      <c r="A1941" s="20">
        <f>IFERROR(__xludf.DUMMYFUNCTION("""COMPUTED_VALUE"""),2071.0)</f>
        <v>2071</v>
      </c>
      <c r="B1941" s="20" t="str">
        <f>IFERROR(__xludf.DUMMYFUNCTION("""COMPUTED_VALUE"""),"Longest Common Subsequence Between Sorted Arrays")</f>
        <v>Longest Common Subsequence Between Sorted Arrays</v>
      </c>
      <c r="C1941" s="20" t="str">
        <f>IFERROR(__xludf.DUMMYFUNCTION("""COMPUTED_VALUE"""),"longest-common-subsequence-between-sorted-arrays")</f>
        <v>longest-common-subsequence-between-sorted-arrays</v>
      </c>
      <c r="D1941" s="20" t="b">
        <f>IFERROR(__xludf.DUMMYFUNCTION("""COMPUTED_VALUE"""),TRUE)</f>
        <v>1</v>
      </c>
      <c r="E1941" s="20" t="str">
        <f>IFERROR(__xludf.DUMMYFUNCTION("""COMPUTED_VALUE"""),"Medium")</f>
        <v>Medium</v>
      </c>
      <c r="F1941" s="20">
        <f>IFERROR(__xludf.DUMMYFUNCTION("""COMPUTED_VALUE"""),117.0)</f>
        <v>117</v>
      </c>
      <c r="G1941" s="20">
        <f>IFERROR(__xludf.DUMMYFUNCTION("""COMPUTED_VALUE"""),5.0)</f>
        <v>5</v>
      </c>
      <c r="H1941" s="20" t="str">
        <f>IFERROR(__xludf.DUMMYFUNCTION("""COMPUTED_VALUE"""),"Algorithms")</f>
        <v>Algorithms</v>
      </c>
      <c r="I1941" s="20">
        <f>IFERROR(__xludf.DUMMYFUNCTION("""COMPUTED_VALUE"""),0.793)</f>
        <v>0.793</v>
      </c>
      <c r="J1941" s="20">
        <f>IFERROR(__xludf.DUMMYFUNCTION("""COMPUTED_VALUE"""),1940.0)</f>
        <v>1940</v>
      </c>
      <c r="K1941" s="20" t="b">
        <f>IFERROR(__xludf.DUMMYFUNCTION("""COMPUTED_VALUE"""),TRUE)</f>
        <v>1</v>
      </c>
      <c r="L1941" s="20" t="str">
        <f>IFERROR(__xludf.DUMMYFUNCTION("""COMPUTED_VALUE"""),"Array;Hash Table;Counting;")</f>
        <v>Array;Hash Table;Counting;</v>
      </c>
      <c r="M1941" s="20" t="b">
        <f>IFERROR(__xludf.DUMMYFUNCTION("""COMPUTED_VALUE"""),FALSE)</f>
        <v>0</v>
      </c>
      <c r="N1941" s="20" t="b">
        <f>IFERROR(__xludf.DUMMYFUNCTION("""COMPUTED_VALUE"""),FALSE)</f>
        <v>0</v>
      </c>
      <c r="O1941" s="20">
        <f>IFERROR(__xludf.DUMMYFUNCTION("""COMPUTED_VALUE"""),79.3155258764607)</f>
        <v>79.31552588</v>
      </c>
      <c r="P1941" s="20">
        <f>IFERROR(__xludf.DUMMYFUNCTION("""COMPUTED_VALUE"""),4751.0)</f>
        <v>4751</v>
      </c>
      <c r="Q1941" s="20">
        <f>IFERROR(__xludf.DUMMYFUNCTION("""COMPUTED_VALUE"""),5990.0)</f>
        <v>5990</v>
      </c>
    </row>
    <row r="1942">
      <c r="A1942" s="20">
        <f>IFERROR(__xludf.DUMMYFUNCTION("""COMPUTED_VALUE"""),2053.0)</f>
        <v>2053</v>
      </c>
      <c r="B1942" s="20" t="str">
        <f>IFERROR(__xludf.DUMMYFUNCTION("""COMPUTED_VALUE"""),"Check if All Characters Have Equal Number of Occurrences")</f>
        <v>Check if All Characters Have Equal Number of Occurrences</v>
      </c>
      <c r="C1942" s="20" t="str">
        <f>IFERROR(__xludf.DUMMYFUNCTION("""COMPUTED_VALUE"""),"check-if-all-characters-have-equal-number-of-occurrences")</f>
        <v>check-if-all-characters-have-equal-number-of-occurrences</v>
      </c>
      <c r="D1942" s="20" t="b">
        <f>IFERROR(__xludf.DUMMYFUNCTION("""COMPUTED_VALUE"""),FALSE)</f>
        <v>0</v>
      </c>
      <c r="E1942" s="20" t="str">
        <f>IFERROR(__xludf.DUMMYFUNCTION("""COMPUTED_VALUE"""),"Easy")</f>
        <v>Easy</v>
      </c>
      <c r="F1942" s="20">
        <f>IFERROR(__xludf.DUMMYFUNCTION("""COMPUTED_VALUE"""),558.0)</f>
        <v>558</v>
      </c>
      <c r="G1942" s="20">
        <f>IFERROR(__xludf.DUMMYFUNCTION("""COMPUTED_VALUE"""),14.0)</f>
        <v>14</v>
      </c>
      <c r="H1942" s="20" t="str">
        <f>IFERROR(__xludf.DUMMYFUNCTION("""COMPUTED_VALUE"""),"Algorithms")</f>
        <v>Algorithms</v>
      </c>
      <c r="I1942" s="20">
        <f>IFERROR(__xludf.DUMMYFUNCTION("""COMPUTED_VALUE"""),0.768)</f>
        <v>0.768</v>
      </c>
      <c r="J1942" s="20">
        <f>IFERROR(__xludf.DUMMYFUNCTION("""COMPUTED_VALUE"""),1941.0)</f>
        <v>1941</v>
      </c>
      <c r="K1942" s="20" t="b">
        <f>IFERROR(__xludf.DUMMYFUNCTION("""COMPUTED_VALUE"""),FALSE)</f>
        <v>0</v>
      </c>
      <c r="L1942" s="20" t="str">
        <f>IFERROR(__xludf.DUMMYFUNCTION("""COMPUTED_VALUE"""),"Hash Table;String;Counting;")</f>
        <v>Hash Table;String;Counting;</v>
      </c>
      <c r="M1942" s="20" t="b">
        <f>IFERROR(__xludf.DUMMYFUNCTION("""COMPUTED_VALUE"""),FALSE)</f>
        <v>0</v>
      </c>
      <c r="N1942" s="20" t="b">
        <f>IFERROR(__xludf.DUMMYFUNCTION("""COMPUTED_VALUE"""),FALSE)</f>
        <v>0</v>
      </c>
      <c r="O1942" s="20">
        <f>IFERROR(__xludf.DUMMYFUNCTION("""COMPUTED_VALUE"""),76.8112186132227)</f>
        <v>76.81121861</v>
      </c>
      <c r="P1942" s="20">
        <f>IFERROR(__xludf.DUMMYFUNCTION("""COMPUTED_VALUE"""),53350.0)</f>
        <v>53350</v>
      </c>
      <c r="Q1942" s="20">
        <f>IFERROR(__xludf.DUMMYFUNCTION("""COMPUTED_VALUE"""),69456.0)</f>
        <v>69456</v>
      </c>
    </row>
    <row r="1943">
      <c r="A1943" s="20">
        <f>IFERROR(__xludf.DUMMYFUNCTION("""COMPUTED_VALUE"""),2054.0)</f>
        <v>2054</v>
      </c>
      <c r="B1943" s="20" t="str">
        <f>IFERROR(__xludf.DUMMYFUNCTION("""COMPUTED_VALUE"""),"The Number of the Smallest Unoccupied Chair")</f>
        <v>The Number of the Smallest Unoccupied Chair</v>
      </c>
      <c r="C1943" s="20" t="str">
        <f>IFERROR(__xludf.DUMMYFUNCTION("""COMPUTED_VALUE"""),"the-number-of-the-smallest-unoccupied-chair")</f>
        <v>the-number-of-the-smallest-unoccupied-chair</v>
      </c>
      <c r="D1943" s="20" t="b">
        <f>IFERROR(__xludf.DUMMYFUNCTION("""COMPUTED_VALUE"""),FALSE)</f>
        <v>0</v>
      </c>
      <c r="E1943" s="20" t="str">
        <f>IFERROR(__xludf.DUMMYFUNCTION("""COMPUTED_VALUE"""),"Medium")</f>
        <v>Medium</v>
      </c>
      <c r="F1943" s="20">
        <f>IFERROR(__xludf.DUMMYFUNCTION("""COMPUTED_VALUE"""),465.0)</f>
        <v>465</v>
      </c>
      <c r="G1943" s="20">
        <f>IFERROR(__xludf.DUMMYFUNCTION("""COMPUTED_VALUE"""),20.0)</f>
        <v>20</v>
      </c>
      <c r="H1943" s="20" t="str">
        <f>IFERROR(__xludf.DUMMYFUNCTION("""COMPUTED_VALUE"""),"Algorithms")</f>
        <v>Algorithms</v>
      </c>
      <c r="I1943" s="20">
        <f>IFERROR(__xludf.DUMMYFUNCTION("""COMPUTED_VALUE"""),0.406)</f>
        <v>0.406</v>
      </c>
      <c r="J1943" s="20">
        <f>IFERROR(__xludf.DUMMYFUNCTION("""COMPUTED_VALUE"""),1942.0)</f>
        <v>1942</v>
      </c>
      <c r="K1943" s="20" t="b">
        <f>IFERROR(__xludf.DUMMYFUNCTION("""COMPUTED_VALUE"""),FALSE)</f>
        <v>0</v>
      </c>
      <c r="L1943" s="20" t="str">
        <f>IFERROR(__xludf.DUMMYFUNCTION("""COMPUTED_VALUE"""),"Array;Heap (Priority Queue);Ordered Set;")</f>
        <v>Array;Heap (Priority Queue);Ordered Set;</v>
      </c>
      <c r="M1943" s="20" t="b">
        <f>IFERROR(__xludf.DUMMYFUNCTION("""COMPUTED_VALUE"""),FALSE)</f>
        <v>0</v>
      </c>
      <c r="N1943" s="20" t="b">
        <f>IFERROR(__xludf.DUMMYFUNCTION("""COMPUTED_VALUE"""),FALSE)</f>
        <v>0</v>
      </c>
      <c r="O1943" s="20">
        <f>IFERROR(__xludf.DUMMYFUNCTION("""COMPUTED_VALUE"""),40.5611549986379)</f>
        <v>40.561155</v>
      </c>
      <c r="P1943" s="20">
        <f>IFERROR(__xludf.DUMMYFUNCTION("""COMPUTED_VALUE"""),13401.0)</f>
        <v>13401</v>
      </c>
      <c r="Q1943" s="20">
        <f>IFERROR(__xludf.DUMMYFUNCTION("""COMPUTED_VALUE"""),33039.0)</f>
        <v>33039</v>
      </c>
    </row>
    <row r="1944">
      <c r="A1944" s="20">
        <f>IFERROR(__xludf.DUMMYFUNCTION("""COMPUTED_VALUE"""),2055.0)</f>
        <v>2055</v>
      </c>
      <c r="B1944" s="20" t="str">
        <f>IFERROR(__xludf.DUMMYFUNCTION("""COMPUTED_VALUE"""),"Describe the Painting")</f>
        <v>Describe the Painting</v>
      </c>
      <c r="C1944" s="20" t="str">
        <f>IFERROR(__xludf.DUMMYFUNCTION("""COMPUTED_VALUE"""),"describe-the-painting")</f>
        <v>describe-the-painting</v>
      </c>
      <c r="D1944" s="20" t="b">
        <f>IFERROR(__xludf.DUMMYFUNCTION("""COMPUTED_VALUE"""),FALSE)</f>
        <v>0</v>
      </c>
      <c r="E1944" s="20" t="str">
        <f>IFERROR(__xludf.DUMMYFUNCTION("""COMPUTED_VALUE"""),"Medium")</f>
        <v>Medium</v>
      </c>
      <c r="F1944" s="20">
        <f>IFERROR(__xludf.DUMMYFUNCTION("""COMPUTED_VALUE"""),373.0)</f>
        <v>373</v>
      </c>
      <c r="G1944" s="20">
        <f>IFERROR(__xludf.DUMMYFUNCTION("""COMPUTED_VALUE"""),24.0)</f>
        <v>24</v>
      </c>
      <c r="H1944" s="20" t="str">
        <f>IFERROR(__xludf.DUMMYFUNCTION("""COMPUTED_VALUE"""),"Algorithms")</f>
        <v>Algorithms</v>
      </c>
      <c r="I1944" s="20">
        <f>IFERROR(__xludf.DUMMYFUNCTION("""COMPUTED_VALUE"""),0.482)</f>
        <v>0.482</v>
      </c>
      <c r="J1944" s="20">
        <f>IFERROR(__xludf.DUMMYFUNCTION("""COMPUTED_VALUE"""),1943.0)</f>
        <v>1943</v>
      </c>
      <c r="K1944" s="20" t="b">
        <f>IFERROR(__xludf.DUMMYFUNCTION("""COMPUTED_VALUE"""),FALSE)</f>
        <v>0</v>
      </c>
      <c r="L1944" s="20" t="str">
        <f>IFERROR(__xludf.DUMMYFUNCTION("""COMPUTED_VALUE"""),"Array;Prefix Sum;")</f>
        <v>Array;Prefix Sum;</v>
      </c>
      <c r="M1944" s="20" t="b">
        <f>IFERROR(__xludf.DUMMYFUNCTION("""COMPUTED_VALUE"""),FALSE)</f>
        <v>0</v>
      </c>
      <c r="N1944" s="20" t="b">
        <f>IFERROR(__xludf.DUMMYFUNCTION("""COMPUTED_VALUE"""),FALSE)</f>
        <v>0</v>
      </c>
      <c r="O1944" s="20">
        <f>IFERROR(__xludf.DUMMYFUNCTION("""COMPUTED_VALUE"""),48.1652072683099)</f>
        <v>48.16520727</v>
      </c>
      <c r="P1944" s="20">
        <f>IFERROR(__xludf.DUMMYFUNCTION("""COMPUTED_VALUE"""),9516.0)</f>
        <v>9516</v>
      </c>
      <c r="Q1944" s="20">
        <f>IFERROR(__xludf.DUMMYFUNCTION("""COMPUTED_VALUE"""),19757.0)</f>
        <v>19757</v>
      </c>
    </row>
    <row r="1945">
      <c r="A1945" s="20">
        <f>IFERROR(__xludf.DUMMYFUNCTION("""COMPUTED_VALUE"""),1305.0)</f>
        <v>1305</v>
      </c>
      <c r="B1945" s="20" t="str">
        <f>IFERROR(__xludf.DUMMYFUNCTION("""COMPUTED_VALUE"""),"Number of Visible People in a Queue")</f>
        <v>Number of Visible People in a Queue</v>
      </c>
      <c r="C1945" s="20" t="str">
        <f>IFERROR(__xludf.DUMMYFUNCTION("""COMPUTED_VALUE"""),"number-of-visible-people-in-a-queue")</f>
        <v>number-of-visible-people-in-a-queue</v>
      </c>
      <c r="D1945" s="20" t="b">
        <f>IFERROR(__xludf.DUMMYFUNCTION("""COMPUTED_VALUE"""),FALSE)</f>
        <v>0</v>
      </c>
      <c r="E1945" s="20" t="str">
        <f>IFERROR(__xludf.DUMMYFUNCTION("""COMPUTED_VALUE"""),"Hard")</f>
        <v>Hard</v>
      </c>
      <c r="F1945" s="20">
        <f>IFERROR(__xludf.DUMMYFUNCTION("""COMPUTED_VALUE"""),1206.0)</f>
        <v>1206</v>
      </c>
      <c r="G1945" s="20">
        <f>IFERROR(__xludf.DUMMYFUNCTION("""COMPUTED_VALUE"""),32.0)</f>
        <v>32</v>
      </c>
      <c r="H1945" s="20" t="str">
        <f>IFERROR(__xludf.DUMMYFUNCTION("""COMPUTED_VALUE"""),"Algorithms")</f>
        <v>Algorithms</v>
      </c>
      <c r="I1945" s="20">
        <f>IFERROR(__xludf.DUMMYFUNCTION("""COMPUTED_VALUE"""),0.696)</f>
        <v>0.696</v>
      </c>
      <c r="J1945" s="20">
        <f>IFERROR(__xludf.DUMMYFUNCTION("""COMPUTED_VALUE"""),1944.0)</f>
        <v>1944</v>
      </c>
      <c r="K1945" s="20" t="b">
        <f>IFERROR(__xludf.DUMMYFUNCTION("""COMPUTED_VALUE"""),FALSE)</f>
        <v>0</v>
      </c>
      <c r="L1945" s="20" t="str">
        <f>IFERROR(__xludf.DUMMYFUNCTION("""COMPUTED_VALUE"""),"Array;Stack;Monotonic Stack;")</f>
        <v>Array;Stack;Monotonic Stack;</v>
      </c>
      <c r="M1945" s="20" t="b">
        <f>IFERROR(__xludf.DUMMYFUNCTION("""COMPUTED_VALUE"""),FALSE)</f>
        <v>0</v>
      </c>
      <c r="N1945" s="20" t="b">
        <f>IFERROR(__xludf.DUMMYFUNCTION("""COMPUTED_VALUE"""),FALSE)</f>
        <v>0</v>
      </c>
      <c r="O1945" s="20">
        <f>IFERROR(__xludf.DUMMYFUNCTION("""COMPUTED_VALUE"""),69.5591338654922)</f>
        <v>69.55913387</v>
      </c>
      <c r="P1945" s="20">
        <f>IFERROR(__xludf.DUMMYFUNCTION("""COMPUTED_VALUE"""),30324.0)</f>
        <v>30324</v>
      </c>
      <c r="Q1945" s="20">
        <f>IFERROR(__xludf.DUMMYFUNCTION("""COMPUTED_VALUE"""),43595.0)</f>
        <v>43595</v>
      </c>
    </row>
    <row r="1946">
      <c r="A1946" s="20">
        <f>IFERROR(__xludf.DUMMYFUNCTION("""COMPUTED_VALUE"""),2076.0)</f>
        <v>2076</v>
      </c>
      <c r="B1946" s="20" t="str">
        <f>IFERROR(__xludf.DUMMYFUNCTION("""COMPUTED_VALUE"""),"Sum of Digits of String After Convert")</f>
        <v>Sum of Digits of String After Convert</v>
      </c>
      <c r="C1946" s="20" t="str">
        <f>IFERROR(__xludf.DUMMYFUNCTION("""COMPUTED_VALUE"""),"sum-of-digits-of-string-after-convert")</f>
        <v>sum-of-digits-of-string-after-convert</v>
      </c>
      <c r="D1946" s="20" t="b">
        <f>IFERROR(__xludf.DUMMYFUNCTION("""COMPUTED_VALUE"""),FALSE)</f>
        <v>0</v>
      </c>
      <c r="E1946" s="20" t="str">
        <f>IFERROR(__xludf.DUMMYFUNCTION("""COMPUTED_VALUE"""),"Easy")</f>
        <v>Easy</v>
      </c>
      <c r="F1946" s="20">
        <f>IFERROR(__xludf.DUMMYFUNCTION("""COMPUTED_VALUE"""),429.0)</f>
        <v>429</v>
      </c>
      <c r="G1946" s="20">
        <f>IFERROR(__xludf.DUMMYFUNCTION("""COMPUTED_VALUE"""),43.0)</f>
        <v>43</v>
      </c>
      <c r="H1946" s="20" t="str">
        <f>IFERROR(__xludf.DUMMYFUNCTION("""COMPUTED_VALUE"""),"Algorithms")</f>
        <v>Algorithms</v>
      </c>
      <c r="I1946" s="20">
        <f>IFERROR(__xludf.DUMMYFUNCTION("""COMPUTED_VALUE"""),0.613)</f>
        <v>0.613</v>
      </c>
      <c r="J1946" s="20">
        <f>IFERROR(__xludf.DUMMYFUNCTION("""COMPUTED_VALUE"""),1945.0)</f>
        <v>1945</v>
      </c>
      <c r="K1946" s="20" t="b">
        <f>IFERROR(__xludf.DUMMYFUNCTION("""COMPUTED_VALUE"""),FALSE)</f>
        <v>0</v>
      </c>
      <c r="L1946" s="20" t="str">
        <f>IFERROR(__xludf.DUMMYFUNCTION("""COMPUTED_VALUE"""),"String;Simulation;")</f>
        <v>String;Simulation;</v>
      </c>
      <c r="M1946" s="20" t="b">
        <f>IFERROR(__xludf.DUMMYFUNCTION("""COMPUTED_VALUE"""),FALSE)</f>
        <v>0</v>
      </c>
      <c r="N1946" s="20" t="b">
        <f>IFERROR(__xludf.DUMMYFUNCTION("""COMPUTED_VALUE"""),FALSE)</f>
        <v>0</v>
      </c>
      <c r="O1946" s="20">
        <f>IFERROR(__xludf.DUMMYFUNCTION("""COMPUTED_VALUE"""),61.3199882452592)</f>
        <v>61.31998825</v>
      </c>
      <c r="P1946" s="20">
        <f>IFERROR(__xludf.DUMMYFUNCTION("""COMPUTED_VALUE"""),35473.0)</f>
        <v>35473</v>
      </c>
      <c r="Q1946" s="20">
        <f>IFERROR(__xludf.DUMMYFUNCTION("""COMPUTED_VALUE"""),57849.0)</f>
        <v>57849</v>
      </c>
    </row>
    <row r="1947">
      <c r="A1947" s="20">
        <f>IFERROR(__xludf.DUMMYFUNCTION("""COMPUTED_VALUE"""),2077.0)</f>
        <v>2077</v>
      </c>
      <c r="B1947" s="20" t="str">
        <f>IFERROR(__xludf.DUMMYFUNCTION("""COMPUTED_VALUE"""),"Largest Number After Mutating Substring")</f>
        <v>Largest Number After Mutating Substring</v>
      </c>
      <c r="C1947" s="20" t="str">
        <f>IFERROR(__xludf.DUMMYFUNCTION("""COMPUTED_VALUE"""),"largest-number-after-mutating-substring")</f>
        <v>largest-number-after-mutating-substring</v>
      </c>
      <c r="D1947" s="20" t="b">
        <f>IFERROR(__xludf.DUMMYFUNCTION("""COMPUTED_VALUE"""),FALSE)</f>
        <v>0</v>
      </c>
      <c r="E1947" s="20" t="str">
        <f>IFERROR(__xludf.DUMMYFUNCTION("""COMPUTED_VALUE"""),"Medium")</f>
        <v>Medium</v>
      </c>
      <c r="F1947" s="20">
        <f>IFERROR(__xludf.DUMMYFUNCTION("""COMPUTED_VALUE"""),171.0)</f>
        <v>171</v>
      </c>
      <c r="G1947" s="20">
        <f>IFERROR(__xludf.DUMMYFUNCTION("""COMPUTED_VALUE"""),191.0)</f>
        <v>191</v>
      </c>
      <c r="H1947" s="20" t="str">
        <f>IFERROR(__xludf.DUMMYFUNCTION("""COMPUTED_VALUE"""),"Algorithms")</f>
        <v>Algorithms</v>
      </c>
      <c r="I1947" s="20">
        <f>IFERROR(__xludf.DUMMYFUNCTION("""COMPUTED_VALUE"""),0.347)</f>
        <v>0.347</v>
      </c>
      <c r="J1947" s="20">
        <f>IFERROR(__xludf.DUMMYFUNCTION("""COMPUTED_VALUE"""),1946.0)</f>
        <v>1946</v>
      </c>
      <c r="K1947" s="20" t="b">
        <f>IFERROR(__xludf.DUMMYFUNCTION("""COMPUTED_VALUE"""),FALSE)</f>
        <v>0</v>
      </c>
      <c r="L1947" s="20" t="str">
        <f>IFERROR(__xludf.DUMMYFUNCTION("""COMPUTED_VALUE"""),"Array;String;Greedy;")</f>
        <v>Array;String;Greedy;</v>
      </c>
      <c r="M1947" s="20" t="b">
        <f>IFERROR(__xludf.DUMMYFUNCTION("""COMPUTED_VALUE"""),FALSE)</f>
        <v>0</v>
      </c>
      <c r="N1947" s="20" t="b">
        <f>IFERROR(__xludf.DUMMYFUNCTION("""COMPUTED_VALUE"""),FALSE)</f>
        <v>0</v>
      </c>
      <c r="O1947" s="20">
        <f>IFERROR(__xludf.DUMMYFUNCTION("""COMPUTED_VALUE"""),34.7295674343144)</f>
        <v>34.72956743</v>
      </c>
      <c r="P1947" s="20">
        <f>IFERROR(__xludf.DUMMYFUNCTION("""COMPUTED_VALUE"""),16483.0)</f>
        <v>16483</v>
      </c>
      <c r="Q1947" s="20">
        <f>IFERROR(__xludf.DUMMYFUNCTION("""COMPUTED_VALUE"""),47461.0)</f>
        <v>47461</v>
      </c>
    </row>
    <row r="1948">
      <c r="A1948" s="20">
        <f>IFERROR(__xludf.DUMMYFUNCTION("""COMPUTED_VALUE"""),2078.0)</f>
        <v>2078</v>
      </c>
      <c r="B1948" s="20" t="str">
        <f>IFERROR(__xludf.DUMMYFUNCTION("""COMPUTED_VALUE"""),"Maximum Compatibility Score Sum")</f>
        <v>Maximum Compatibility Score Sum</v>
      </c>
      <c r="C1948" s="20" t="str">
        <f>IFERROR(__xludf.DUMMYFUNCTION("""COMPUTED_VALUE"""),"maximum-compatibility-score-sum")</f>
        <v>maximum-compatibility-score-sum</v>
      </c>
      <c r="D1948" s="20" t="b">
        <f>IFERROR(__xludf.DUMMYFUNCTION("""COMPUTED_VALUE"""),FALSE)</f>
        <v>0</v>
      </c>
      <c r="E1948" s="20" t="str">
        <f>IFERROR(__xludf.DUMMYFUNCTION("""COMPUTED_VALUE"""),"Medium")</f>
        <v>Medium</v>
      </c>
      <c r="F1948" s="20">
        <f>IFERROR(__xludf.DUMMYFUNCTION("""COMPUTED_VALUE"""),614.0)</f>
        <v>614</v>
      </c>
      <c r="G1948" s="20">
        <f>IFERROR(__xludf.DUMMYFUNCTION("""COMPUTED_VALUE"""),13.0)</f>
        <v>13</v>
      </c>
      <c r="H1948" s="20" t="str">
        <f>IFERROR(__xludf.DUMMYFUNCTION("""COMPUTED_VALUE"""),"Algorithms")</f>
        <v>Algorithms</v>
      </c>
      <c r="I1948" s="20">
        <f>IFERROR(__xludf.DUMMYFUNCTION("""COMPUTED_VALUE"""),0.609)</f>
        <v>0.609</v>
      </c>
      <c r="J1948" s="20">
        <f>IFERROR(__xludf.DUMMYFUNCTION("""COMPUTED_VALUE"""),1947.0)</f>
        <v>1947</v>
      </c>
      <c r="K1948" s="20" t="b">
        <f>IFERROR(__xludf.DUMMYFUNCTION("""COMPUTED_VALUE"""),FALSE)</f>
        <v>0</v>
      </c>
      <c r="L1948" s="20" t="str">
        <f>IFERROR(__xludf.DUMMYFUNCTION("""COMPUTED_VALUE"""),"Array;Dynamic Programming;Backtracking;Bit Manipulation;Bitmask;")</f>
        <v>Array;Dynamic Programming;Backtracking;Bit Manipulation;Bitmask;</v>
      </c>
      <c r="M1948" s="20" t="b">
        <f>IFERROR(__xludf.DUMMYFUNCTION("""COMPUTED_VALUE"""),FALSE)</f>
        <v>0</v>
      </c>
      <c r="N1948" s="20" t="b">
        <f>IFERROR(__xludf.DUMMYFUNCTION("""COMPUTED_VALUE"""),FALSE)</f>
        <v>0</v>
      </c>
      <c r="O1948" s="20">
        <f>IFERROR(__xludf.DUMMYFUNCTION("""COMPUTED_VALUE"""),60.9269282814614)</f>
        <v>60.92692828</v>
      </c>
      <c r="P1948" s="20">
        <f>IFERROR(__xludf.DUMMYFUNCTION("""COMPUTED_VALUE"""),18010.0)</f>
        <v>18010</v>
      </c>
      <c r="Q1948" s="20">
        <f>IFERROR(__xludf.DUMMYFUNCTION("""COMPUTED_VALUE"""),29560.0)</f>
        <v>29560</v>
      </c>
    </row>
    <row r="1949">
      <c r="A1949" s="20">
        <f>IFERROR(__xludf.DUMMYFUNCTION("""COMPUTED_VALUE"""),2079.0)</f>
        <v>2079</v>
      </c>
      <c r="B1949" s="20" t="str">
        <f>IFERROR(__xludf.DUMMYFUNCTION("""COMPUTED_VALUE"""),"Delete Duplicate Folders in System")</f>
        <v>Delete Duplicate Folders in System</v>
      </c>
      <c r="C1949" s="20" t="str">
        <f>IFERROR(__xludf.DUMMYFUNCTION("""COMPUTED_VALUE"""),"delete-duplicate-folders-in-system")</f>
        <v>delete-duplicate-folders-in-system</v>
      </c>
      <c r="D1949" s="20" t="b">
        <f>IFERROR(__xludf.DUMMYFUNCTION("""COMPUTED_VALUE"""),FALSE)</f>
        <v>0</v>
      </c>
      <c r="E1949" s="20" t="str">
        <f>IFERROR(__xludf.DUMMYFUNCTION("""COMPUTED_VALUE"""),"Hard")</f>
        <v>Hard</v>
      </c>
      <c r="F1949" s="20">
        <f>IFERROR(__xludf.DUMMYFUNCTION("""COMPUTED_VALUE"""),251.0)</f>
        <v>251</v>
      </c>
      <c r="G1949" s="20">
        <f>IFERROR(__xludf.DUMMYFUNCTION("""COMPUTED_VALUE"""),61.0)</f>
        <v>61</v>
      </c>
      <c r="H1949" s="20" t="str">
        <f>IFERROR(__xludf.DUMMYFUNCTION("""COMPUTED_VALUE"""),"Algorithms")</f>
        <v>Algorithms</v>
      </c>
      <c r="I1949" s="20">
        <f>IFERROR(__xludf.DUMMYFUNCTION("""COMPUTED_VALUE"""),0.569)</f>
        <v>0.569</v>
      </c>
      <c r="J1949" s="20">
        <f>IFERROR(__xludf.DUMMYFUNCTION("""COMPUTED_VALUE"""),1948.0)</f>
        <v>1948</v>
      </c>
      <c r="K1949" s="20" t="b">
        <f>IFERROR(__xludf.DUMMYFUNCTION("""COMPUTED_VALUE"""),FALSE)</f>
        <v>0</v>
      </c>
      <c r="L1949" s="20" t="str">
        <f>IFERROR(__xludf.DUMMYFUNCTION("""COMPUTED_VALUE"""),"Array;Hash Table;String;Trie;Hash Function;")</f>
        <v>Array;Hash Table;String;Trie;Hash Function;</v>
      </c>
      <c r="M1949" s="20" t="b">
        <f>IFERROR(__xludf.DUMMYFUNCTION("""COMPUTED_VALUE"""),FALSE)</f>
        <v>0</v>
      </c>
      <c r="N1949" s="20" t="b">
        <f>IFERROR(__xludf.DUMMYFUNCTION("""COMPUTED_VALUE"""),FALSE)</f>
        <v>0</v>
      </c>
      <c r="O1949" s="20">
        <f>IFERROR(__xludf.DUMMYFUNCTION("""COMPUTED_VALUE"""),56.8554522400676)</f>
        <v>56.85545224</v>
      </c>
      <c r="P1949" s="20">
        <f>IFERROR(__xludf.DUMMYFUNCTION("""COMPUTED_VALUE"""),6726.0)</f>
        <v>6726</v>
      </c>
      <c r="Q1949" s="20">
        <f>IFERROR(__xludf.DUMMYFUNCTION("""COMPUTED_VALUE"""),11830.0)</f>
        <v>11830</v>
      </c>
    </row>
    <row r="1950">
      <c r="A1950" s="20">
        <f>IFERROR(__xludf.DUMMYFUNCTION("""COMPUTED_VALUE"""),2097.0)</f>
        <v>2097</v>
      </c>
      <c r="B1950" s="20" t="str">
        <f>IFERROR(__xludf.DUMMYFUNCTION("""COMPUTED_VALUE"""),"Strong Friendship")</f>
        <v>Strong Friendship</v>
      </c>
      <c r="C1950" s="20" t="str">
        <f>IFERROR(__xludf.DUMMYFUNCTION("""COMPUTED_VALUE"""),"strong-friendship")</f>
        <v>strong-friendship</v>
      </c>
      <c r="D1950" s="20" t="b">
        <f>IFERROR(__xludf.DUMMYFUNCTION("""COMPUTED_VALUE"""),TRUE)</f>
        <v>1</v>
      </c>
      <c r="E1950" s="20" t="str">
        <f>IFERROR(__xludf.DUMMYFUNCTION("""COMPUTED_VALUE"""),"Medium")</f>
        <v>Medium</v>
      </c>
      <c r="F1950" s="20">
        <f>IFERROR(__xludf.DUMMYFUNCTION("""COMPUTED_VALUE"""),115.0)</f>
        <v>115</v>
      </c>
      <c r="G1950" s="20">
        <f>IFERROR(__xludf.DUMMYFUNCTION("""COMPUTED_VALUE"""),62.0)</f>
        <v>62</v>
      </c>
      <c r="H1950" s="20" t="str">
        <f>IFERROR(__xludf.DUMMYFUNCTION("""COMPUTED_VALUE"""),"Database")</f>
        <v>Database</v>
      </c>
      <c r="I1950" s="20">
        <f>IFERROR(__xludf.DUMMYFUNCTION("""COMPUTED_VALUE"""),0.579)</f>
        <v>0.579</v>
      </c>
      <c r="J1950" s="20">
        <f>IFERROR(__xludf.DUMMYFUNCTION("""COMPUTED_VALUE"""),1949.0)</f>
        <v>1949</v>
      </c>
      <c r="K1950" s="20" t="b">
        <f>IFERROR(__xludf.DUMMYFUNCTION("""COMPUTED_VALUE"""),TRUE)</f>
        <v>1</v>
      </c>
      <c r="L1950" s="20" t="str">
        <f>IFERROR(__xludf.DUMMYFUNCTION("""COMPUTED_VALUE"""),"Database;")</f>
        <v>Database;</v>
      </c>
      <c r="M1950" s="20" t="b">
        <f>IFERROR(__xludf.DUMMYFUNCTION("""COMPUTED_VALUE"""),FALSE)</f>
        <v>0</v>
      </c>
      <c r="N1950" s="20" t="b">
        <f>IFERROR(__xludf.DUMMYFUNCTION("""COMPUTED_VALUE"""),FALSE)</f>
        <v>0</v>
      </c>
      <c r="O1950" s="20">
        <f>IFERROR(__xludf.DUMMYFUNCTION("""COMPUTED_VALUE"""),57.8667433335729)</f>
        <v>57.86674333</v>
      </c>
      <c r="P1950" s="20">
        <f>IFERROR(__xludf.DUMMYFUNCTION("""COMPUTED_VALUE"""),8050.0)</f>
        <v>8050</v>
      </c>
      <c r="Q1950" s="20">
        <f>IFERROR(__xludf.DUMMYFUNCTION("""COMPUTED_VALUE"""),13912.0)</f>
        <v>13912</v>
      </c>
    </row>
    <row r="1951">
      <c r="A1951" s="20">
        <f>IFERROR(__xludf.DUMMYFUNCTION("""COMPUTED_VALUE"""),2072.0)</f>
        <v>2072</v>
      </c>
      <c r="B1951" s="20" t="str">
        <f>IFERROR(__xludf.DUMMYFUNCTION("""COMPUTED_VALUE"""),"Maximum of Minimum Values in All Subarrays")</f>
        <v>Maximum of Minimum Values in All Subarrays</v>
      </c>
      <c r="C1951" s="20" t="str">
        <f>IFERROR(__xludf.DUMMYFUNCTION("""COMPUTED_VALUE"""),"maximum-of-minimum-values-in-all-subarrays")</f>
        <v>maximum-of-minimum-values-in-all-subarrays</v>
      </c>
      <c r="D1951" s="20" t="b">
        <f>IFERROR(__xludf.DUMMYFUNCTION("""COMPUTED_VALUE"""),TRUE)</f>
        <v>1</v>
      </c>
      <c r="E1951" s="20" t="str">
        <f>IFERROR(__xludf.DUMMYFUNCTION("""COMPUTED_VALUE"""),"Medium")</f>
        <v>Medium</v>
      </c>
      <c r="F1951" s="20">
        <f>IFERROR(__xludf.DUMMYFUNCTION("""COMPUTED_VALUE"""),116.0)</f>
        <v>116</v>
      </c>
      <c r="G1951" s="20">
        <f>IFERROR(__xludf.DUMMYFUNCTION("""COMPUTED_VALUE"""),43.0)</f>
        <v>43</v>
      </c>
      <c r="H1951" s="20" t="str">
        <f>IFERROR(__xludf.DUMMYFUNCTION("""COMPUTED_VALUE"""),"Algorithms")</f>
        <v>Algorithms</v>
      </c>
      <c r="I1951" s="20">
        <f>IFERROR(__xludf.DUMMYFUNCTION("""COMPUTED_VALUE"""),0.502)</f>
        <v>0.502</v>
      </c>
      <c r="J1951" s="20">
        <f>IFERROR(__xludf.DUMMYFUNCTION("""COMPUTED_VALUE"""),1950.0)</f>
        <v>1950</v>
      </c>
      <c r="K1951" s="20" t="b">
        <f>IFERROR(__xludf.DUMMYFUNCTION("""COMPUTED_VALUE"""),TRUE)</f>
        <v>1</v>
      </c>
      <c r="L1951" s="20" t="str">
        <f>IFERROR(__xludf.DUMMYFUNCTION("""COMPUTED_VALUE"""),"Array;Stack;Monotonic Stack;")</f>
        <v>Array;Stack;Monotonic Stack;</v>
      </c>
      <c r="M1951" s="20" t="b">
        <f>IFERROR(__xludf.DUMMYFUNCTION("""COMPUTED_VALUE"""),FALSE)</f>
        <v>0</v>
      </c>
      <c r="N1951" s="20" t="b">
        <f>IFERROR(__xludf.DUMMYFUNCTION("""COMPUTED_VALUE"""),FALSE)</f>
        <v>0</v>
      </c>
      <c r="O1951" s="20">
        <f>IFERROR(__xludf.DUMMYFUNCTION("""COMPUTED_VALUE"""),50.1931330472103)</f>
        <v>50.19313305</v>
      </c>
      <c r="P1951" s="20">
        <f>IFERROR(__xludf.DUMMYFUNCTION("""COMPUTED_VALUE"""),2339.0)</f>
        <v>2339</v>
      </c>
      <c r="Q1951" s="20">
        <f>IFERROR(__xludf.DUMMYFUNCTION("""COMPUTED_VALUE"""),4660.0)</f>
        <v>4660</v>
      </c>
    </row>
    <row r="1952">
      <c r="A1952" s="20">
        <f>IFERROR(__xludf.DUMMYFUNCTION("""COMPUTED_VALUE"""),2098.0)</f>
        <v>2098</v>
      </c>
      <c r="B1952" s="20" t="str">
        <f>IFERROR(__xludf.DUMMYFUNCTION("""COMPUTED_VALUE"""),"All the Pairs With the Maximum Number of Common Followers")</f>
        <v>All the Pairs With the Maximum Number of Common Followers</v>
      </c>
      <c r="C1952" s="20" t="str">
        <f>IFERROR(__xludf.DUMMYFUNCTION("""COMPUTED_VALUE"""),"all-the-pairs-with-the-maximum-number-of-common-followers")</f>
        <v>all-the-pairs-with-the-maximum-number-of-common-followers</v>
      </c>
      <c r="D1952" s="20" t="b">
        <f>IFERROR(__xludf.DUMMYFUNCTION("""COMPUTED_VALUE"""),TRUE)</f>
        <v>1</v>
      </c>
      <c r="E1952" s="20" t="str">
        <f>IFERROR(__xludf.DUMMYFUNCTION("""COMPUTED_VALUE"""),"Medium")</f>
        <v>Medium</v>
      </c>
      <c r="F1952" s="20">
        <f>IFERROR(__xludf.DUMMYFUNCTION("""COMPUTED_VALUE"""),68.0)</f>
        <v>68</v>
      </c>
      <c r="G1952" s="20">
        <f>IFERROR(__xludf.DUMMYFUNCTION("""COMPUTED_VALUE"""),6.0)</f>
        <v>6</v>
      </c>
      <c r="H1952" s="20" t="str">
        <f>IFERROR(__xludf.DUMMYFUNCTION("""COMPUTED_VALUE"""),"Database")</f>
        <v>Database</v>
      </c>
      <c r="I1952" s="20">
        <f>IFERROR(__xludf.DUMMYFUNCTION("""COMPUTED_VALUE"""),0.728)</f>
        <v>0.728</v>
      </c>
      <c r="J1952" s="20">
        <f>IFERROR(__xludf.DUMMYFUNCTION("""COMPUTED_VALUE"""),1951.0)</f>
        <v>1951</v>
      </c>
      <c r="K1952" s="20" t="b">
        <f>IFERROR(__xludf.DUMMYFUNCTION("""COMPUTED_VALUE"""),TRUE)</f>
        <v>1</v>
      </c>
      <c r="L1952" s="20" t="str">
        <f>IFERROR(__xludf.DUMMYFUNCTION("""COMPUTED_VALUE"""),"Database;")</f>
        <v>Database;</v>
      </c>
      <c r="M1952" s="20" t="b">
        <f>IFERROR(__xludf.DUMMYFUNCTION("""COMPUTED_VALUE"""),FALSE)</f>
        <v>0</v>
      </c>
      <c r="N1952" s="20" t="b">
        <f>IFERROR(__xludf.DUMMYFUNCTION("""COMPUTED_VALUE"""),FALSE)</f>
        <v>0</v>
      </c>
      <c r="O1952" s="20">
        <f>IFERROR(__xludf.DUMMYFUNCTION("""COMPUTED_VALUE"""),72.7601982462828)</f>
        <v>72.76019825</v>
      </c>
      <c r="P1952" s="20">
        <f>IFERROR(__xludf.DUMMYFUNCTION("""COMPUTED_VALUE"""),7634.0)</f>
        <v>7634</v>
      </c>
      <c r="Q1952" s="20">
        <f>IFERROR(__xludf.DUMMYFUNCTION("""COMPUTED_VALUE"""),10492.0)</f>
        <v>10492</v>
      </c>
    </row>
    <row r="1953">
      <c r="A1953" s="20">
        <f>IFERROR(__xludf.DUMMYFUNCTION("""COMPUTED_VALUE"""),2083.0)</f>
        <v>2083</v>
      </c>
      <c r="B1953" s="20" t="str">
        <f>IFERROR(__xludf.DUMMYFUNCTION("""COMPUTED_VALUE"""),"Three Divisors")</f>
        <v>Three Divisors</v>
      </c>
      <c r="C1953" s="20" t="str">
        <f>IFERROR(__xludf.DUMMYFUNCTION("""COMPUTED_VALUE"""),"three-divisors")</f>
        <v>three-divisors</v>
      </c>
      <c r="D1953" s="20" t="b">
        <f>IFERROR(__xludf.DUMMYFUNCTION("""COMPUTED_VALUE"""),FALSE)</f>
        <v>0</v>
      </c>
      <c r="E1953" s="20" t="str">
        <f>IFERROR(__xludf.DUMMYFUNCTION("""COMPUTED_VALUE"""),"Easy")</f>
        <v>Easy</v>
      </c>
      <c r="F1953" s="20">
        <f>IFERROR(__xludf.DUMMYFUNCTION("""COMPUTED_VALUE"""),348.0)</f>
        <v>348</v>
      </c>
      <c r="G1953" s="20">
        <f>IFERROR(__xludf.DUMMYFUNCTION("""COMPUTED_VALUE"""),19.0)</f>
        <v>19</v>
      </c>
      <c r="H1953" s="20" t="str">
        <f>IFERROR(__xludf.DUMMYFUNCTION("""COMPUTED_VALUE"""),"Algorithms")</f>
        <v>Algorithms</v>
      </c>
      <c r="I1953" s="20">
        <f>IFERROR(__xludf.DUMMYFUNCTION("""COMPUTED_VALUE"""),0.573)</f>
        <v>0.573</v>
      </c>
      <c r="J1953" s="20">
        <f>IFERROR(__xludf.DUMMYFUNCTION("""COMPUTED_VALUE"""),1952.0)</f>
        <v>1952</v>
      </c>
      <c r="K1953" s="20" t="b">
        <f>IFERROR(__xludf.DUMMYFUNCTION("""COMPUTED_VALUE"""),FALSE)</f>
        <v>0</v>
      </c>
      <c r="L1953" s="20" t="str">
        <f>IFERROR(__xludf.DUMMYFUNCTION("""COMPUTED_VALUE"""),"Math;")</f>
        <v>Math;</v>
      </c>
      <c r="M1953" s="20" t="b">
        <f>IFERROR(__xludf.DUMMYFUNCTION("""COMPUTED_VALUE"""),FALSE)</f>
        <v>0</v>
      </c>
      <c r="N1953" s="20" t="b">
        <f>IFERROR(__xludf.DUMMYFUNCTION("""COMPUTED_VALUE"""),FALSE)</f>
        <v>0</v>
      </c>
      <c r="O1953" s="20">
        <f>IFERROR(__xludf.DUMMYFUNCTION("""COMPUTED_VALUE"""),57.3267614688729)</f>
        <v>57.32676147</v>
      </c>
      <c r="P1953" s="20">
        <f>IFERROR(__xludf.DUMMYFUNCTION("""COMPUTED_VALUE"""),37451.0)</f>
        <v>37451</v>
      </c>
      <c r="Q1953" s="20">
        <f>IFERROR(__xludf.DUMMYFUNCTION("""COMPUTED_VALUE"""),65329.0)</f>
        <v>65329</v>
      </c>
    </row>
    <row r="1954">
      <c r="A1954" s="20">
        <f>IFERROR(__xludf.DUMMYFUNCTION("""COMPUTED_VALUE"""),2084.0)</f>
        <v>2084</v>
      </c>
      <c r="B1954" s="20" t="str">
        <f>IFERROR(__xludf.DUMMYFUNCTION("""COMPUTED_VALUE"""),"Maximum Number of Weeks for Which You Can Work")</f>
        <v>Maximum Number of Weeks for Which You Can Work</v>
      </c>
      <c r="C1954" s="20" t="str">
        <f>IFERROR(__xludf.DUMMYFUNCTION("""COMPUTED_VALUE"""),"maximum-number-of-weeks-for-which-you-can-work")</f>
        <v>maximum-number-of-weeks-for-which-you-can-work</v>
      </c>
      <c r="D1954" s="20" t="b">
        <f>IFERROR(__xludf.DUMMYFUNCTION("""COMPUTED_VALUE"""),FALSE)</f>
        <v>0</v>
      </c>
      <c r="E1954" s="20" t="str">
        <f>IFERROR(__xludf.DUMMYFUNCTION("""COMPUTED_VALUE"""),"Medium")</f>
        <v>Medium</v>
      </c>
      <c r="F1954" s="20">
        <f>IFERROR(__xludf.DUMMYFUNCTION("""COMPUTED_VALUE"""),517.0)</f>
        <v>517</v>
      </c>
      <c r="G1954" s="20">
        <f>IFERROR(__xludf.DUMMYFUNCTION("""COMPUTED_VALUE"""),115.0)</f>
        <v>115</v>
      </c>
      <c r="H1954" s="20" t="str">
        <f>IFERROR(__xludf.DUMMYFUNCTION("""COMPUTED_VALUE"""),"Algorithms")</f>
        <v>Algorithms</v>
      </c>
      <c r="I1954" s="20">
        <f>IFERROR(__xludf.DUMMYFUNCTION("""COMPUTED_VALUE"""),0.392)</f>
        <v>0.392</v>
      </c>
      <c r="J1954" s="20">
        <f>IFERROR(__xludf.DUMMYFUNCTION("""COMPUTED_VALUE"""),1953.0)</f>
        <v>1953</v>
      </c>
      <c r="K1954" s="20" t="b">
        <f>IFERROR(__xludf.DUMMYFUNCTION("""COMPUTED_VALUE"""),FALSE)</f>
        <v>0</v>
      </c>
      <c r="L1954" s="20" t="str">
        <f>IFERROR(__xludf.DUMMYFUNCTION("""COMPUTED_VALUE"""),"Array;Greedy;")</f>
        <v>Array;Greedy;</v>
      </c>
      <c r="M1954" s="20" t="b">
        <f>IFERROR(__xludf.DUMMYFUNCTION("""COMPUTED_VALUE"""),FALSE)</f>
        <v>0</v>
      </c>
      <c r="N1954" s="20" t="b">
        <f>IFERROR(__xludf.DUMMYFUNCTION("""COMPUTED_VALUE"""),FALSE)</f>
        <v>0</v>
      </c>
      <c r="O1954" s="20">
        <f>IFERROR(__xludf.DUMMYFUNCTION("""COMPUTED_VALUE"""),39.2107742377526)</f>
        <v>39.21077424</v>
      </c>
      <c r="P1954" s="20">
        <f>IFERROR(__xludf.DUMMYFUNCTION("""COMPUTED_VALUE"""),18312.0)</f>
        <v>18312</v>
      </c>
      <c r="Q1954" s="20">
        <f>IFERROR(__xludf.DUMMYFUNCTION("""COMPUTED_VALUE"""),46703.0)</f>
        <v>46703</v>
      </c>
    </row>
    <row r="1955">
      <c r="A1955" s="20">
        <f>IFERROR(__xludf.DUMMYFUNCTION("""COMPUTED_VALUE"""),1295.0)</f>
        <v>1295</v>
      </c>
      <c r="B1955" s="20" t="str">
        <f>IFERROR(__xludf.DUMMYFUNCTION("""COMPUTED_VALUE"""),"Minimum Garden Perimeter to Collect Enough Apples")</f>
        <v>Minimum Garden Perimeter to Collect Enough Apples</v>
      </c>
      <c r="C1955" s="20" t="str">
        <f>IFERROR(__xludf.DUMMYFUNCTION("""COMPUTED_VALUE"""),"minimum-garden-perimeter-to-collect-enough-apples")</f>
        <v>minimum-garden-perimeter-to-collect-enough-apples</v>
      </c>
      <c r="D1955" s="20" t="b">
        <f>IFERROR(__xludf.DUMMYFUNCTION("""COMPUTED_VALUE"""),FALSE)</f>
        <v>0</v>
      </c>
      <c r="E1955" s="20" t="str">
        <f>IFERROR(__xludf.DUMMYFUNCTION("""COMPUTED_VALUE"""),"Medium")</f>
        <v>Medium</v>
      </c>
      <c r="F1955" s="20">
        <f>IFERROR(__xludf.DUMMYFUNCTION("""COMPUTED_VALUE"""),280.0)</f>
        <v>280</v>
      </c>
      <c r="G1955" s="20">
        <f>IFERROR(__xludf.DUMMYFUNCTION("""COMPUTED_VALUE"""),76.0)</f>
        <v>76</v>
      </c>
      <c r="H1955" s="20" t="str">
        <f>IFERROR(__xludf.DUMMYFUNCTION("""COMPUTED_VALUE"""),"Algorithms")</f>
        <v>Algorithms</v>
      </c>
      <c r="I1955" s="20">
        <f>IFERROR(__xludf.DUMMYFUNCTION("""COMPUTED_VALUE"""),0.531)</f>
        <v>0.531</v>
      </c>
      <c r="J1955" s="20">
        <f>IFERROR(__xludf.DUMMYFUNCTION("""COMPUTED_VALUE"""),1954.0)</f>
        <v>1954</v>
      </c>
      <c r="K1955" s="20" t="b">
        <f>IFERROR(__xludf.DUMMYFUNCTION("""COMPUTED_VALUE"""),FALSE)</f>
        <v>0</v>
      </c>
      <c r="L1955" s="20" t="str">
        <f>IFERROR(__xludf.DUMMYFUNCTION("""COMPUTED_VALUE"""),"Math;Binary Search;")</f>
        <v>Math;Binary Search;</v>
      </c>
      <c r="M1955" s="20" t="b">
        <f>IFERROR(__xludf.DUMMYFUNCTION("""COMPUTED_VALUE"""),FALSE)</f>
        <v>0</v>
      </c>
      <c r="N1955" s="20" t="b">
        <f>IFERROR(__xludf.DUMMYFUNCTION("""COMPUTED_VALUE"""),FALSE)</f>
        <v>0</v>
      </c>
      <c r="O1955" s="20">
        <f>IFERROR(__xludf.DUMMYFUNCTION("""COMPUTED_VALUE"""),53.1218305002231)</f>
        <v>53.1218305</v>
      </c>
      <c r="P1955" s="20">
        <f>IFERROR(__xludf.DUMMYFUNCTION("""COMPUTED_VALUE"""),13093.0)</f>
        <v>13093</v>
      </c>
      <c r="Q1955" s="20">
        <f>IFERROR(__xludf.DUMMYFUNCTION("""COMPUTED_VALUE"""),24648.0)</f>
        <v>24648</v>
      </c>
    </row>
    <row r="1956">
      <c r="A1956" s="20">
        <f>IFERROR(__xludf.DUMMYFUNCTION("""COMPUTED_VALUE"""),2086.0)</f>
        <v>2086</v>
      </c>
      <c r="B1956" s="20" t="str">
        <f>IFERROR(__xludf.DUMMYFUNCTION("""COMPUTED_VALUE"""),"Count Number of Special Subsequences")</f>
        <v>Count Number of Special Subsequences</v>
      </c>
      <c r="C1956" s="20" t="str">
        <f>IFERROR(__xludf.DUMMYFUNCTION("""COMPUTED_VALUE"""),"count-number-of-special-subsequences")</f>
        <v>count-number-of-special-subsequences</v>
      </c>
      <c r="D1956" s="20" t="b">
        <f>IFERROR(__xludf.DUMMYFUNCTION("""COMPUTED_VALUE"""),FALSE)</f>
        <v>0</v>
      </c>
      <c r="E1956" s="20" t="str">
        <f>IFERROR(__xludf.DUMMYFUNCTION("""COMPUTED_VALUE"""),"Hard")</f>
        <v>Hard</v>
      </c>
      <c r="F1956" s="20">
        <f>IFERROR(__xludf.DUMMYFUNCTION("""COMPUTED_VALUE"""),430.0)</f>
        <v>430</v>
      </c>
      <c r="G1956" s="20">
        <f>IFERROR(__xludf.DUMMYFUNCTION("""COMPUTED_VALUE"""),7.0)</f>
        <v>7</v>
      </c>
      <c r="H1956" s="20" t="str">
        <f>IFERROR(__xludf.DUMMYFUNCTION("""COMPUTED_VALUE"""),"Algorithms")</f>
        <v>Algorithms</v>
      </c>
      <c r="I1956" s="20">
        <f>IFERROR(__xludf.DUMMYFUNCTION("""COMPUTED_VALUE"""),0.513)</f>
        <v>0.513</v>
      </c>
      <c r="J1956" s="20">
        <f>IFERROR(__xludf.DUMMYFUNCTION("""COMPUTED_VALUE"""),1955.0)</f>
        <v>1955</v>
      </c>
      <c r="K1956" s="20" t="b">
        <f>IFERROR(__xludf.DUMMYFUNCTION("""COMPUTED_VALUE"""),FALSE)</f>
        <v>0</v>
      </c>
      <c r="L1956" s="20" t="str">
        <f>IFERROR(__xludf.DUMMYFUNCTION("""COMPUTED_VALUE"""),"Array;Dynamic Programming;")</f>
        <v>Array;Dynamic Programming;</v>
      </c>
      <c r="M1956" s="20" t="b">
        <f>IFERROR(__xludf.DUMMYFUNCTION("""COMPUTED_VALUE"""),FALSE)</f>
        <v>0</v>
      </c>
      <c r="N1956" s="20" t="b">
        <f>IFERROR(__xludf.DUMMYFUNCTION("""COMPUTED_VALUE"""),FALSE)</f>
        <v>0</v>
      </c>
      <c r="O1956" s="20">
        <f>IFERROR(__xludf.DUMMYFUNCTION("""COMPUTED_VALUE"""),51.3059915225111)</f>
        <v>51.30599152</v>
      </c>
      <c r="P1956" s="20">
        <f>IFERROR(__xludf.DUMMYFUNCTION("""COMPUTED_VALUE"""),8957.0)</f>
        <v>8957</v>
      </c>
      <c r="Q1956" s="20">
        <f>IFERROR(__xludf.DUMMYFUNCTION("""COMPUTED_VALUE"""),17458.0)</f>
        <v>17458</v>
      </c>
    </row>
    <row r="1957">
      <c r="A1957" s="20">
        <f>IFERROR(__xludf.DUMMYFUNCTION("""COMPUTED_VALUE"""),2073.0)</f>
        <v>2073</v>
      </c>
      <c r="B1957" s="20" t="str">
        <f>IFERROR(__xludf.DUMMYFUNCTION("""COMPUTED_VALUE"""),"Minimum Time For K Virus Variants to Spread")</f>
        <v>Minimum Time For K Virus Variants to Spread</v>
      </c>
      <c r="C1957" s="20" t="str">
        <f>IFERROR(__xludf.DUMMYFUNCTION("""COMPUTED_VALUE"""),"minimum-time-for-k-virus-variants-to-spread")</f>
        <v>minimum-time-for-k-virus-variants-to-spread</v>
      </c>
      <c r="D1957" s="20" t="b">
        <f>IFERROR(__xludf.DUMMYFUNCTION("""COMPUTED_VALUE"""),TRUE)</f>
        <v>1</v>
      </c>
      <c r="E1957" s="20" t="str">
        <f>IFERROR(__xludf.DUMMYFUNCTION("""COMPUTED_VALUE"""),"Hard")</f>
        <v>Hard</v>
      </c>
      <c r="F1957" s="20">
        <f>IFERROR(__xludf.DUMMYFUNCTION("""COMPUTED_VALUE"""),24.0)</f>
        <v>24</v>
      </c>
      <c r="G1957" s="20">
        <f>IFERROR(__xludf.DUMMYFUNCTION("""COMPUTED_VALUE"""),6.0)</f>
        <v>6</v>
      </c>
      <c r="H1957" s="20" t="str">
        <f>IFERROR(__xludf.DUMMYFUNCTION("""COMPUTED_VALUE"""),"Algorithms")</f>
        <v>Algorithms</v>
      </c>
      <c r="I1957" s="20">
        <f>IFERROR(__xludf.DUMMYFUNCTION("""COMPUTED_VALUE"""),0.47)</f>
        <v>0.47</v>
      </c>
      <c r="J1957" s="20">
        <f>IFERROR(__xludf.DUMMYFUNCTION("""COMPUTED_VALUE"""),1956.0)</f>
        <v>1956</v>
      </c>
      <c r="K1957" s="20" t="b">
        <f>IFERROR(__xludf.DUMMYFUNCTION("""COMPUTED_VALUE"""),TRUE)</f>
        <v>1</v>
      </c>
      <c r="L1957" s="20" t="str">
        <f>IFERROR(__xludf.DUMMYFUNCTION("""COMPUTED_VALUE"""),"Array;Math;Binary Search;Geometry;Enumeration;")</f>
        <v>Array;Math;Binary Search;Geometry;Enumeration;</v>
      </c>
      <c r="M1957" s="20" t="b">
        <f>IFERROR(__xludf.DUMMYFUNCTION("""COMPUTED_VALUE"""),FALSE)</f>
        <v>0</v>
      </c>
      <c r="N1957" s="20" t="b">
        <f>IFERROR(__xludf.DUMMYFUNCTION("""COMPUTED_VALUE"""),FALSE)</f>
        <v>0</v>
      </c>
      <c r="O1957" s="20">
        <f>IFERROR(__xludf.DUMMYFUNCTION("""COMPUTED_VALUE"""),47.0323065364387)</f>
        <v>47.03230654</v>
      </c>
      <c r="P1957" s="20">
        <f>IFERROR(__xludf.DUMMYFUNCTION("""COMPUTED_VALUE"""),626.0)</f>
        <v>626</v>
      </c>
      <c r="Q1957" s="20">
        <f>IFERROR(__xludf.DUMMYFUNCTION("""COMPUTED_VALUE"""),1331.0)</f>
        <v>1331</v>
      </c>
    </row>
    <row r="1958">
      <c r="A1958" s="20">
        <f>IFERROR(__xludf.DUMMYFUNCTION("""COMPUTED_VALUE"""),1302.0)</f>
        <v>1302</v>
      </c>
      <c r="B1958" s="20" t="str">
        <f>IFERROR(__xludf.DUMMYFUNCTION("""COMPUTED_VALUE"""),"Delete Characters to Make Fancy String")</f>
        <v>Delete Characters to Make Fancy String</v>
      </c>
      <c r="C1958" s="20" t="str">
        <f>IFERROR(__xludf.DUMMYFUNCTION("""COMPUTED_VALUE"""),"delete-characters-to-make-fancy-string")</f>
        <v>delete-characters-to-make-fancy-string</v>
      </c>
      <c r="D1958" s="20" t="b">
        <f>IFERROR(__xludf.DUMMYFUNCTION("""COMPUTED_VALUE"""),FALSE)</f>
        <v>0</v>
      </c>
      <c r="E1958" s="20" t="str">
        <f>IFERROR(__xludf.DUMMYFUNCTION("""COMPUTED_VALUE"""),"Easy")</f>
        <v>Easy</v>
      </c>
      <c r="F1958" s="20">
        <f>IFERROR(__xludf.DUMMYFUNCTION("""COMPUTED_VALUE"""),305.0)</f>
        <v>305</v>
      </c>
      <c r="G1958" s="20">
        <f>IFERROR(__xludf.DUMMYFUNCTION("""COMPUTED_VALUE"""),15.0)</f>
        <v>15</v>
      </c>
      <c r="H1958" s="20" t="str">
        <f>IFERROR(__xludf.DUMMYFUNCTION("""COMPUTED_VALUE"""),"Algorithms")</f>
        <v>Algorithms</v>
      </c>
      <c r="I1958" s="20">
        <f>IFERROR(__xludf.DUMMYFUNCTION("""COMPUTED_VALUE"""),0.568)</f>
        <v>0.568</v>
      </c>
      <c r="J1958" s="20">
        <f>IFERROR(__xludf.DUMMYFUNCTION("""COMPUTED_VALUE"""),1957.0)</f>
        <v>1957</v>
      </c>
      <c r="K1958" s="20" t="b">
        <f>IFERROR(__xludf.DUMMYFUNCTION("""COMPUTED_VALUE"""),FALSE)</f>
        <v>0</v>
      </c>
      <c r="L1958" s="20" t="str">
        <f>IFERROR(__xludf.DUMMYFUNCTION("""COMPUTED_VALUE"""),"String;")</f>
        <v>String;</v>
      </c>
      <c r="M1958" s="20" t="b">
        <f>IFERROR(__xludf.DUMMYFUNCTION("""COMPUTED_VALUE"""),FALSE)</f>
        <v>0</v>
      </c>
      <c r="N1958" s="20" t="b">
        <f>IFERROR(__xludf.DUMMYFUNCTION("""COMPUTED_VALUE"""),FALSE)</f>
        <v>0</v>
      </c>
      <c r="O1958" s="20">
        <f>IFERROR(__xludf.DUMMYFUNCTION("""COMPUTED_VALUE"""),56.7591339648173)</f>
        <v>56.75913396</v>
      </c>
      <c r="P1958" s="20">
        <f>IFERROR(__xludf.DUMMYFUNCTION("""COMPUTED_VALUE"""),25164.0)</f>
        <v>25164</v>
      </c>
      <c r="Q1958" s="20">
        <f>IFERROR(__xludf.DUMMYFUNCTION("""COMPUTED_VALUE"""),44334.0)</f>
        <v>44334</v>
      </c>
    </row>
    <row r="1959">
      <c r="A1959" s="20">
        <f>IFERROR(__xludf.DUMMYFUNCTION("""COMPUTED_VALUE"""),2080.0)</f>
        <v>2080</v>
      </c>
      <c r="B1959" s="20" t="str">
        <f>IFERROR(__xludf.DUMMYFUNCTION("""COMPUTED_VALUE"""),"Check if Move is Legal")</f>
        <v>Check if Move is Legal</v>
      </c>
      <c r="C1959" s="20" t="str">
        <f>IFERROR(__xludf.DUMMYFUNCTION("""COMPUTED_VALUE"""),"check-if-move-is-legal")</f>
        <v>check-if-move-is-legal</v>
      </c>
      <c r="D1959" s="20" t="b">
        <f>IFERROR(__xludf.DUMMYFUNCTION("""COMPUTED_VALUE"""),FALSE)</f>
        <v>0</v>
      </c>
      <c r="E1959" s="20" t="str">
        <f>IFERROR(__xludf.DUMMYFUNCTION("""COMPUTED_VALUE"""),"Medium")</f>
        <v>Medium</v>
      </c>
      <c r="F1959" s="20">
        <f>IFERROR(__xludf.DUMMYFUNCTION("""COMPUTED_VALUE"""),99.0)</f>
        <v>99</v>
      </c>
      <c r="G1959" s="20">
        <f>IFERROR(__xludf.DUMMYFUNCTION("""COMPUTED_VALUE"""),204.0)</f>
        <v>204</v>
      </c>
      <c r="H1959" s="20" t="str">
        <f>IFERROR(__xludf.DUMMYFUNCTION("""COMPUTED_VALUE"""),"Algorithms")</f>
        <v>Algorithms</v>
      </c>
      <c r="I1959" s="20">
        <f>IFERROR(__xludf.DUMMYFUNCTION("""COMPUTED_VALUE"""),0.449)</f>
        <v>0.449</v>
      </c>
      <c r="J1959" s="20">
        <f>IFERROR(__xludf.DUMMYFUNCTION("""COMPUTED_VALUE"""),1958.0)</f>
        <v>1958</v>
      </c>
      <c r="K1959" s="20" t="b">
        <f>IFERROR(__xludf.DUMMYFUNCTION("""COMPUTED_VALUE"""),FALSE)</f>
        <v>0</v>
      </c>
      <c r="L1959" s="20" t="str">
        <f>IFERROR(__xludf.DUMMYFUNCTION("""COMPUTED_VALUE"""),"Array;Matrix;Enumeration;")</f>
        <v>Array;Matrix;Enumeration;</v>
      </c>
      <c r="M1959" s="20" t="b">
        <f>IFERROR(__xludf.DUMMYFUNCTION("""COMPUTED_VALUE"""),FALSE)</f>
        <v>0</v>
      </c>
      <c r="N1959" s="20" t="b">
        <f>IFERROR(__xludf.DUMMYFUNCTION("""COMPUTED_VALUE"""),FALSE)</f>
        <v>0</v>
      </c>
      <c r="O1959" s="20">
        <f>IFERROR(__xludf.DUMMYFUNCTION("""COMPUTED_VALUE"""),44.8919554985023)</f>
        <v>44.8919555</v>
      </c>
      <c r="P1959" s="20">
        <f>IFERROR(__xludf.DUMMYFUNCTION("""COMPUTED_VALUE"""),8392.0)</f>
        <v>8392</v>
      </c>
      <c r="Q1959" s="20">
        <f>IFERROR(__xludf.DUMMYFUNCTION("""COMPUTED_VALUE"""),18695.0)</f>
        <v>18695</v>
      </c>
    </row>
    <row r="1960">
      <c r="A1960" s="20">
        <f>IFERROR(__xludf.DUMMYFUNCTION("""COMPUTED_VALUE"""),2081.0)</f>
        <v>2081</v>
      </c>
      <c r="B1960" s="20" t="str">
        <f>IFERROR(__xludf.DUMMYFUNCTION("""COMPUTED_VALUE"""),"Minimum Total Space Wasted With K Resizing Operations")</f>
        <v>Minimum Total Space Wasted With K Resizing Operations</v>
      </c>
      <c r="C1960" s="20" t="str">
        <f>IFERROR(__xludf.DUMMYFUNCTION("""COMPUTED_VALUE"""),"minimum-total-space-wasted-with-k-resizing-operations")</f>
        <v>minimum-total-space-wasted-with-k-resizing-operations</v>
      </c>
      <c r="D1960" s="20" t="b">
        <f>IFERROR(__xludf.DUMMYFUNCTION("""COMPUTED_VALUE"""),FALSE)</f>
        <v>0</v>
      </c>
      <c r="E1960" s="20" t="str">
        <f>IFERROR(__xludf.DUMMYFUNCTION("""COMPUTED_VALUE"""),"Medium")</f>
        <v>Medium</v>
      </c>
      <c r="F1960" s="20">
        <f>IFERROR(__xludf.DUMMYFUNCTION("""COMPUTED_VALUE"""),471.0)</f>
        <v>471</v>
      </c>
      <c r="G1960" s="20">
        <f>IFERROR(__xludf.DUMMYFUNCTION("""COMPUTED_VALUE"""),39.0)</f>
        <v>39</v>
      </c>
      <c r="H1960" s="20" t="str">
        <f>IFERROR(__xludf.DUMMYFUNCTION("""COMPUTED_VALUE"""),"Algorithms")</f>
        <v>Algorithms</v>
      </c>
      <c r="I1960" s="20">
        <f>IFERROR(__xludf.DUMMYFUNCTION("""COMPUTED_VALUE"""),0.421)</f>
        <v>0.421</v>
      </c>
      <c r="J1960" s="20">
        <f>IFERROR(__xludf.DUMMYFUNCTION("""COMPUTED_VALUE"""),1959.0)</f>
        <v>1959</v>
      </c>
      <c r="K1960" s="20" t="b">
        <f>IFERROR(__xludf.DUMMYFUNCTION("""COMPUTED_VALUE"""),FALSE)</f>
        <v>0</v>
      </c>
      <c r="L1960" s="20" t="str">
        <f>IFERROR(__xludf.DUMMYFUNCTION("""COMPUTED_VALUE"""),"Array;Dynamic Programming;")</f>
        <v>Array;Dynamic Programming;</v>
      </c>
      <c r="M1960" s="20" t="b">
        <f>IFERROR(__xludf.DUMMYFUNCTION("""COMPUTED_VALUE"""),FALSE)</f>
        <v>0</v>
      </c>
      <c r="N1960" s="20" t="b">
        <f>IFERROR(__xludf.DUMMYFUNCTION("""COMPUTED_VALUE"""),FALSE)</f>
        <v>0</v>
      </c>
      <c r="O1960" s="20">
        <f>IFERROR(__xludf.DUMMYFUNCTION("""COMPUTED_VALUE"""),42.0909267786497)</f>
        <v>42.09092678</v>
      </c>
      <c r="P1960" s="20">
        <f>IFERROR(__xludf.DUMMYFUNCTION("""COMPUTED_VALUE"""),6490.0)</f>
        <v>6490</v>
      </c>
      <c r="Q1960" s="20">
        <f>IFERROR(__xludf.DUMMYFUNCTION("""COMPUTED_VALUE"""),15419.0)</f>
        <v>15419</v>
      </c>
    </row>
    <row r="1961">
      <c r="A1961" s="20">
        <f>IFERROR(__xludf.DUMMYFUNCTION("""COMPUTED_VALUE"""),1336.0)</f>
        <v>1336</v>
      </c>
      <c r="B1961" s="20" t="str">
        <f>IFERROR(__xludf.DUMMYFUNCTION("""COMPUTED_VALUE"""),"Maximum Product of the Length of Two Palindromic Substrings")</f>
        <v>Maximum Product of the Length of Two Palindromic Substrings</v>
      </c>
      <c r="C1961" s="20" t="str">
        <f>IFERROR(__xludf.DUMMYFUNCTION("""COMPUTED_VALUE"""),"maximum-product-of-the-length-of-two-palindromic-substrings")</f>
        <v>maximum-product-of-the-length-of-two-palindromic-substrings</v>
      </c>
      <c r="D1961" s="20" t="b">
        <f>IFERROR(__xludf.DUMMYFUNCTION("""COMPUTED_VALUE"""),FALSE)</f>
        <v>0</v>
      </c>
      <c r="E1961" s="20" t="str">
        <f>IFERROR(__xludf.DUMMYFUNCTION("""COMPUTED_VALUE"""),"Hard")</f>
        <v>Hard</v>
      </c>
      <c r="F1961" s="20">
        <f>IFERROR(__xludf.DUMMYFUNCTION("""COMPUTED_VALUE"""),179.0)</f>
        <v>179</v>
      </c>
      <c r="G1961" s="20">
        <f>IFERROR(__xludf.DUMMYFUNCTION("""COMPUTED_VALUE"""),35.0)</f>
        <v>35</v>
      </c>
      <c r="H1961" s="20" t="str">
        <f>IFERROR(__xludf.DUMMYFUNCTION("""COMPUTED_VALUE"""),"Algorithms")</f>
        <v>Algorithms</v>
      </c>
      <c r="I1961" s="20">
        <f>IFERROR(__xludf.DUMMYFUNCTION("""COMPUTED_VALUE"""),0.295)</f>
        <v>0.295</v>
      </c>
      <c r="J1961" s="20">
        <f>IFERROR(__xludf.DUMMYFUNCTION("""COMPUTED_VALUE"""),1960.0)</f>
        <v>1960</v>
      </c>
      <c r="K1961" s="20" t="b">
        <f>IFERROR(__xludf.DUMMYFUNCTION("""COMPUTED_VALUE"""),FALSE)</f>
        <v>0</v>
      </c>
      <c r="L1961" s="20" t="str">
        <f>IFERROR(__xludf.DUMMYFUNCTION("""COMPUTED_VALUE"""),"String;Rolling Hash;Hash Function;")</f>
        <v>String;Rolling Hash;Hash Function;</v>
      </c>
      <c r="M1961" s="20" t="b">
        <f>IFERROR(__xludf.DUMMYFUNCTION("""COMPUTED_VALUE"""),FALSE)</f>
        <v>0</v>
      </c>
      <c r="N1961" s="20" t="b">
        <f>IFERROR(__xludf.DUMMYFUNCTION("""COMPUTED_VALUE"""),FALSE)</f>
        <v>0</v>
      </c>
      <c r="O1961" s="20">
        <f>IFERROR(__xludf.DUMMYFUNCTION("""COMPUTED_VALUE"""),29.5023272466881)</f>
        <v>29.50232725</v>
      </c>
      <c r="P1961" s="20">
        <f>IFERROR(__xludf.DUMMYFUNCTION("""COMPUTED_VALUE"""),2472.0)</f>
        <v>2472</v>
      </c>
      <c r="Q1961" s="20">
        <f>IFERROR(__xludf.DUMMYFUNCTION("""COMPUTED_VALUE"""),8379.0)</f>
        <v>8379</v>
      </c>
    </row>
    <row r="1962">
      <c r="A1962" s="20">
        <f>IFERROR(__xludf.DUMMYFUNCTION("""COMPUTED_VALUE"""),2093.0)</f>
        <v>2093</v>
      </c>
      <c r="B1962" s="20" t="str">
        <f>IFERROR(__xludf.DUMMYFUNCTION("""COMPUTED_VALUE"""),"Check If String Is a Prefix of Array")</f>
        <v>Check If String Is a Prefix of Array</v>
      </c>
      <c r="C1962" s="20" t="str">
        <f>IFERROR(__xludf.DUMMYFUNCTION("""COMPUTED_VALUE"""),"check-if-string-is-a-prefix-of-array")</f>
        <v>check-if-string-is-a-prefix-of-array</v>
      </c>
      <c r="D1962" s="20" t="b">
        <f>IFERROR(__xludf.DUMMYFUNCTION("""COMPUTED_VALUE"""),FALSE)</f>
        <v>0</v>
      </c>
      <c r="E1962" s="20" t="str">
        <f>IFERROR(__xludf.DUMMYFUNCTION("""COMPUTED_VALUE"""),"Easy")</f>
        <v>Easy</v>
      </c>
      <c r="F1962" s="20">
        <f>IFERROR(__xludf.DUMMYFUNCTION("""COMPUTED_VALUE"""),338.0)</f>
        <v>338</v>
      </c>
      <c r="G1962" s="20">
        <f>IFERROR(__xludf.DUMMYFUNCTION("""COMPUTED_VALUE"""),56.0)</f>
        <v>56</v>
      </c>
      <c r="H1962" s="20" t="str">
        <f>IFERROR(__xludf.DUMMYFUNCTION("""COMPUTED_VALUE"""),"Algorithms")</f>
        <v>Algorithms</v>
      </c>
      <c r="I1962" s="20">
        <f>IFERROR(__xludf.DUMMYFUNCTION("""COMPUTED_VALUE"""),0.539)</f>
        <v>0.539</v>
      </c>
      <c r="J1962" s="20">
        <f>IFERROR(__xludf.DUMMYFUNCTION("""COMPUTED_VALUE"""),1961.0)</f>
        <v>1961</v>
      </c>
      <c r="K1962" s="20" t="b">
        <f>IFERROR(__xludf.DUMMYFUNCTION("""COMPUTED_VALUE"""),FALSE)</f>
        <v>0</v>
      </c>
      <c r="L1962" s="20" t="str">
        <f>IFERROR(__xludf.DUMMYFUNCTION("""COMPUTED_VALUE"""),"Array;String;")</f>
        <v>Array;String;</v>
      </c>
      <c r="M1962" s="20" t="b">
        <f>IFERROR(__xludf.DUMMYFUNCTION("""COMPUTED_VALUE"""),FALSE)</f>
        <v>0</v>
      </c>
      <c r="N1962" s="20" t="b">
        <f>IFERROR(__xludf.DUMMYFUNCTION("""COMPUTED_VALUE"""),FALSE)</f>
        <v>0</v>
      </c>
      <c r="O1962" s="20">
        <f>IFERROR(__xludf.DUMMYFUNCTION("""COMPUTED_VALUE"""),53.8652037617554)</f>
        <v>53.86520376</v>
      </c>
      <c r="P1962" s="20">
        <f>IFERROR(__xludf.DUMMYFUNCTION("""COMPUTED_VALUE"""),34366.0)</f>
        <v>34366</v>
      </c>
      <c r="Q1962" s="20">
        <f>IFERROR(__xludf.DUMMYFUNCTION("""COMPUTED_VALUE"""),63797.0)</f>
        <v>63797</v>
      </c>
    </row>
    <row r="1963">
      <c r="A1963" s="20">
        <f>IFERROR(__xludf.DUMMYFUNCTION("""COMPUTED_VALUE"""),2094.0)</f>
        <v>2094</v>
      </c>
      <c r="B1963" s="20" t="str">
        <f>IFERROR(__xludf.DUMMYFUNCTION("""COMPUTED_VALUE"""),"Remove Stones to Minimize the Total")</f>
        <v>Remove Stones to Minimize the Total</v>
      </c>
      <c r="C1963" s="20" t="str">
        <f>IFERROR(__xludf.DUMMYFUNCTION("""COMPUTED_VALUE"""),"remove-stones-to-minimize-the-total")</f>
        <v>remove-stones-to-minimize-the-total</v>
      </c>
      <c r="D1963" s="20" t="b">
        <f>IFERROR(__xludf.DUMMYFUNCTION("""COMPUTED_VALUE"""),FALSE)</f>
        <v>0</v>
      </c>
      <c r="E1963" s="20" t="str">
        <f>IFERROR(__xludf.DUMMYFUNCTION("""COMPUTED_VALUE"""),"Medium")</f>
        <v>Medium</v>
      </c>
      <c r="F1963" s="20">
        <f>IFERROR(__xludf.DUMMYFUNCTION("""COMPUTED_VALUE"""),1502.0)</f>
        <v>1502</v>
      </c>
      <c r="G1963" s="20">
        <f>IFERROR(__xludf.DUMMYFUNCTION("""COMPUTED_VALUE"""),128.0)</f>
        <v>128</v>
      </c>
      <c r="H1963" s="20" t="str">
        <f>IFERROR(__xludf.DUMMYFUNCTION("""COMPUTED_VALUE"""),"Algorithms")</f>
        <v>Algorithms</v>
      </c>
      <c r="I1963" s="20">
        <f>IFERROR(__xludf.DUMMYFUNCTION("""COMPUTED_VALUE"""),0.599)</f>
        <v>0.599</v>
      </c>
      <c r="J1963" s="20">
        <f>IFERROR(__xludf.DUMMYFUNCTION("""COMPUTED_VALUE"""),1962.0)</f>
        <v>1962</v>
      </c>
      <c r="K1963" s="20" t="b">
        <f>IFERROR(__xludf.DUMMYFUNCTION("""COMPUTED_VALUE"""),FALSE)</f>
        <v>0</v>
      </c>
      <c r="L1963" s="20" t="str">
        <f>IFERROR(__xludf.DUMMYFUNCTION("""COMPUTED_VALUE"""),"Array;Heap (Priority Queue);")</f>
        <v>Array;Heap (Priority Queue);</v>
      </c>
      <c r="M1963" s="20" t="b">
        <f>IFERROR(__xludf.DUMMYFUNCTION("""COMPUTED_VALUE"""),TRUE)</f>
        <v>1</v>
      </c>
      <c r="N1963" s="20" t="b">
        <f>IFERROR(__xludf.DUMMYFUNCTION("""COMPUTED_VALUE"""),FALSE)</f>
        <v>0</v>
      </c>
      <c r="O1963" s="20">
        <f>IFERROR(__xludf.DUMMYFUNCTION("""COMPUTED_VALUE"""),59.9259133169596)</f>
        <v>59.92591332</v>
      </c>
      <c r="P1963" s="20">
        <f>IFERROR(__xludf.DUMMYFUNCTION("""COMPUTED_VALUE"""),73929.0)</f>
        <v>73929</v>
      </c>
      <c r="Q1963" s="20">
        <f>IFERROR(__xludf.DUMMYFUNCTION("""COMPUTED_VALUE"""),123366.0)</f>
        <v>123366</v>
      </c>
    </row>
    <row r="1964">
      <c r="A1964" s="20">
        <f>IFERROR(__xludf.DUMMYFUNCTION("""COMPUTED_VALUE"""),2095.0)</f>
        <v>2095</v>
      </c>
      <c r="B1964" s="20" t="str">
        <f>IFERROR(__xludf.DUMMYFUNCTION("""COMPUTED_VALUE"""),"Minimum Number of Swaps to Make the String Balanced")</f>
        <v>Minimum Number of Swaps to Make the String Balanced</v>
      </c>
      <c r="C1964" s="20" t="str">
        <f>IFERROR(__xludf.DUMMYFUNCTION("""COMPUTED_VALUE"""),"minimum-number-of-swaps-to-make-the-string-balanced")</f>
        <v>minimum-number-of-swaps-to-make-the-string-balanced</v>
      </c>
      <c r="D1964" s="20" t="b">
        <f>IFERROR(__xludf.DUMMYFUNCTION("""COMPUTED_VALUE"""),FALSE)</f>
        <v>0</v>
      </c>
      <c r="E1964" s="20" t="str">
        <f>IFERROR(__xludf.DUMMYFUNCTION("""COMPUTED_VALUE"""),"Medium")</f>
        <v>Medium</v>
      </c>
      <c r="F1964" s="20">
        <f>IFERROR(__xludf.DUMMYFUNCTION("""COMPUTED_VALUE"""),1244.0)</f>
        <v>1244</v>
      </c>
      <c r="G1964" s="20">
        <f>IFERROR(__xludf.DUMMYFUNCTION("""COMPUTED_VALUE"""),42.0)</f>
        <v>42</v>
      </c>
      <c r="H1964" s="20" t="str">
        <f>IFERROR(__xludf.DUMMYFUNCTION("""COMPUTED_VALUE"""),"Algorithms")</f>
        <v>Algorithms</v>
      </c>
      <c r="I1964" s="20">
        <f>IFERROR(__xludf.DUMMYFUNCTION("""COMPUTED_VALUE"""),0.687)</f>
        <v>0.687</v>
      </c>
      <c r="J1964" s="20">
        <f>IFERROR(__xludf.DUMMYFUNCTION("""COMPUTED_VALUE"""),1963.0)</f>
        <v>1963</v>
      </c>
      <c r="K1964" s="20" t="b">
        <f>IFERROR(__xludf.DUMMYFUNCTION("""COMPUTED_VALUE"""),FALSE)</f>
        <v>0</v>
      </c>
      <c r="L1964" s="20" t="str">
        <f>IFERROR(__xludf.DUMMYFUNCTION("""COMPUTED_VALUE"""),"Two Pointers;String;Stack;Greedy;")</f>
        <v>Two Pointers;String;Stack;Greedy;</v>
      </c>
      <c r="M1964" s="20" t="b">
        <f>IFERROR(__xludf.DUMMYFUNCTION("""COMPUTED_VALUE"""),FALSE)</f>
        <v>0</v>
      </c>
      <c r="N1964" s="20" t="b">
        <f>IFERROR(__xludf.DUMMYFUNCTION("""COMPUTED_VALUE"""),FALSE)</f>
        <v>0</v>
      </c>
      <c r="O1964" s="20">
        <f>IFERROR(__xludf.DUMMYFUNCTION("""COMPUTED_VALUE"""),68.7068467058943)</f>
        <v>68.70684671</v>
      </c>
      <c r="P1964" s="20">
        <f>IFERROR(__xludf.DUMMYFUNCTION("""COMPUTED_VALUE"""),40399.0)</f>
        <v>40399</v>
      </c>
      <c r="Q1964" s="20">
        <f>IFERROR(__xludf.DUMMYFUNCTION("""COMPUTED_VALUE"""),58800.0)</f>
        <v>58800</v>
      </c>
    </row>
    <row r="1965">
      <c r="A1965" s="20">
        <f>IFERROR(__xludf.DUMMYFUNCTION("""COMPUTED_VALUE"""),2096.0)</f>
        <v>2096</v>
      </c>
      <c r="B1965" s="20" t="str">
        <f>IFERROR(__xludf.DUMMYFUNCTION("""COMPUTED_VALUE"""),"Find the Longest Valid Obstacle Course at Each Position")</f>
        <v>Find the Longest Valid Obstacle Course at Each Position</v>
      </c>
      <c r="C1965" s="20" t="str">
        <f>IFERROR(__xludf.DUMMYFUNCTION("""COMPUTED_VALUE"""),"find-the-longest-valid-obstacle-course-at-each-position")</f>
        <v>find-the-longest-valid-obstacle-course-at-each-position</v>
      </c>
      <c r="D1965" s="20" t="b">
        <f>IFERROR(__xludf.DUMMYFUNCTION("""COMPUTED_VALUE"""),FALSE)</f>
        <v>0</v>
      </c>
      <c r="E1965" s="20" t="str">
        <f>IFERROR(__xludf.DUMMYFUNCTION("""COMPUTED_VALUE"""),"Hard")</f>
        <v>Hard</v>
      </c>
      <c r="F1965" s="20">
        <f>IFERROR(__xludf.DUMMYFUNCTION("""COMPUTED_VALUE"""),446.0)</f>
        <v>446</v>
      </c>
      <c r="G1965" s="20">
        <f>IFERROR(__xludf.DUMMYFUNCTION("""COMPUTED_VALUE"""),7.0)</f>
        <v>7</v>
      </c>
      <c r="H1965" s="20" t="str">
        <f>IFERROR(__xludf.DUMMYFUNCTION("""COMPUTED_VALUE"""),"Algorithms")</f>
        <v>Algorithms</v>
      </c>
      <c r="I1965" s="20">
        <f>IFERROR(__xludf.DUMMYFUNCTION("""COMPUTED_VALUE"""),0.471)</f>
        <v>0.471</v>
      </c>
      <c r="J1965" s="20">
        <f>IFERROR(__xludf.DUMMYFUNCTION("""COMPUTED_VALUE"""),1964.0)</f>
        <v>1964</v>
      </c>
      <c r="K1965" s="20" t="b">
        <f>IFERROR(__xludf.DUMMYFUNCTION("""COMPUTED_VALUE"""),FALSE)</f>
        <v>0</v>
      </c>
      <c r="L1965" s="20" t="str">
        <f>IFERROR(__xludf.DUMMYFUNCTION("""COMPUTED_VALUE"""),"Array;Binary Search;Binary Indexed Tree;")</f>
        <v>Array;Binary Search;Binary Indexed Tree;</v>
      </c>
      <c r="M1965" s="20" t="b">
        <f>IFERROR(__xludf.DUMMYFUNCTION("""COMPUTED_VALUE"""),FALSE)</f>
        <v>0</v>
      </c>
      <c r="N1965" s="20" t="b">
        <f>IFERROR(__xludf.DUMMYFUNCTION("""COMPUTED_VALUE"""),FALSE)</f>
        <v>0</v>
      </c>
      <c r="O1965" s="20">
        <f>IFERROR(__xludf.DUMMYFUNCTION("""COMPUTED_VALUE"""),47.0585419558661)</f>
        <v>47.05854196</v>
      </c>
      <c r="P1965" s="20">
        <f>IFERROR(__xludf.DUMMYFUNCTION("""COMPUTED_VALUE"""),9831.0)</f>
        <v>9831</v>
      </c>
      <c r="Q1965" s="20">
        <f>IFERROR(__xludf.DUMMYFUNCTION("""COMPUTED_VALUE"""),20891.0)</f>
        <v>20891</v>
      </c>
    </row>
    <row r="1966">
      <c r="A1966" s="20">
        <f>IFERROR(__xludf.DUMMYFUNCTION("""COMPUTED_VALUE"""),2110.0)</f>
        <v>2110</v>
      </c>
      <c r="B1966" s="20" t="str">
        <f>IFERROR(__xludf.DUMMYFUNCTION("""COMPUTED_VALUE"""),"Employees With Missing Information")</f>
        <v>Employees With Missing Information</v>
      </c>
      <c r="C1966" s="20" t="str">
        <f>IFERROR(__xludf.DUMMYFUNCTION("""COMPUTED_VALUE"""),"employees-with-missing-information")</f>
        <v>employees-with-missing-information</v>
      </c>
      <c r="D1966" s="20" t="b">
        <f>IFERROR(__xludf.DUMMYFUNCTION("""COMPUTED_VALUE"""),FALSE)</f>
        <v>0</v>
      </c>
      <c r="E1966" s="20" t="str">
        <f>IFERROR(__xludf.DUMMYFUNCTION("""COMPUTED_VALUE"""),"Easy")</f>
        <v>Easy</v>
      </c>
      <c r="F1966" s="20">
        <f>IFERROR(__xludf.DUMMYFUNCTION("""COMPUTED_VALUE"""),446.0)</f>
        <v>446</v>
      </c>
      <c r="G1966" s="20">
        <f>IFERROR(__xludf.DUMMYFUNCTION("""COMPUTED_VALUE"""),26.0)</f>
        <v>26</v>
      </c>
      <c r="H1966" s="20" t="str">
        <f>IFERROR(__xludf.DUMMYFUNCTION("""COMPUTED_VALUE"""),"Database")</f>
        <v>Database</v>
      </c>
      <c r="I1966" s="20">
        <f>IFERROR(__xludf.DUMMYFUNCTION("""COMPUTED_VALUE"""),0.791)</f>
        <v>0.791</v>
      </c>
      <c r="J1966" s="20">
        <f>IFERROR(__xludf.DUMMYFUNCTION("""COMPUTED_VALUE"""),1965.0)</f>
        <v>1965</v>
      </c>
      <c r="K1966" s="20" t="b">
        <f>IFERROR(__xludf.DUMMYFUNCTION("""COMPUTED_VALUE"""),FALSE)</f>
        <v>0</v>
      </c>
      <c r="L1966" s="20" t="str">
        <f>IFERROR(__xludf.DUMMYFUNCTION("""COMPUTED_VALUE"""),"Database;")</f>
        <v>Database;</v>
      </c>
      <c r="M1966" s="20" t="b">
        <f>IFERROR(__xludf.DUMMYFUNCTION("""COMPUTED_VALUE"""),FALSE)</f>
        <v>0</v>
      </c>
      <c r="N1966" s="20" t="b">
        <f>IFERROR(__xludf.DUMMYFUNCTION("""COMPUTED_VALUE"""),FALSE)</f>
        <v>0</v>
      </c>
      <c r="O1966" s="20">
        <f>IFERROR(__xludf.DUMMYFUNCTION("""COMPUTED_VALUE"""),79.0618798484575)</f>
        <v>79.06187985</v>
      </c>
      <c r="P1966" s="20">
        <f>IFERROR(__xludf.DUMMYFUNCTION("""COMPUTED_VALUE"""),65731.0)</f>
        <v>65731</v>
      </c>
      <c r="Q1966" s="20">
        <f>IFERROR(__xludf.DUMMYFUNCTION("""COMPUTED_VALUE"""),83140.0)</f>
        <v>83140</v>
      </c>
    </row>
    <row r="1967">
      <c r="A1967" s="20">
        <f>IFERROR(__xludf.DUMMYFUNCTION("""COMPUTED_VALUE"""),2111.0)</f>
        <v>2111</v>
      </c>
      <c r="B1967" s="20" t="str">
        <f>IFERROR(__xludf.DUMMYFUNCTION("""COMPUTED_VALUE"""),"Binary Searchable Numbers in an Unsorted Array")</f>
        <v>Binary Searchable Numbers in an Unsorted Array</v>
      </c>
      <c r="C1967" s="20" t="str">
        <f>IFERROR(__xludf.DUMMYFUNCTION("""COMPUTED_VALUE"""),"binary-searchable-numbers-in-an-unsorted-array")</f>
        <v>binary-searchable-numbers-in-an-unsorted-array</v>
      </c>
      <c r="D1967" s="20" t="b">
        <f>IFERROR(__xludf.DUMMYFUNCTION("""COMPUTED_VALUE"""),TRUE)</f>
        <v>1</v>
      </c>
      <c r="E1967" s="20" t="str">
        <f>IFERROR(__xludf.DUMMYFUNCTION("""COMPUTED_VALUE"""),"Medium")</f>
        <v>Medium</v>
      </c>
      <c r="F1967" s="20">
        <f>IFERROR(__xludf.DUMMYFUNCTION("""COMPUTED_VALUE"""),53.0)</f>
        <v>53</v>
      </c>
      <c r="G1967" s="20">
        <f>IFERROR(__xludf.DUMMYFUNCTION("""COMPUTED_VALUE"""),6.0)</f>
        <v>6</v>
      </c>
      <c r="H1967" s="20" t="str">
        <f>IFERROR(__xludf.DUMMYFUNCTION("""COMPUTED_VALUE"""),"Algorithms")</f>
        <v>Algorithms</v>
      </c>
      <c r="I1967" s="20">
        <f>IFERROR(__xludf.DUMMYFUNCTION("""COMPUTED_VALUE"""),0.654)</f>
        <v>0.654</v>
      </c>
      <c r="J1967" s="20">
        <f>IFERROR(__xludf.DUMMYFUNCTION("""COMPUTED_VALUE"""),1966.0)</f>
        <v>1966</v>
      </c>
      <c r="K1967" s="20" t="b">
        <f>IFERROR(__xludf.DUMMYFUNCTION("""COMPUTED_VALUE"""),TRUE)</f>
        <v>1</v>
      </c>
      <c r="L1967" s="20" t="str">
        <f>IFERROR(__xludf.DUMMYFUNCTION("""COMPUTED_VALUE"""),"Array;Binary Search;")</f>
        <v>Array;Binary Search;</v>
      </c>
      <c r="M1967" s="20" t="b">
        <f>IFERROR(__xludf.DUMMYFUNCTION("""COMPUTED_VALUE"""),FALSE)</f>
        <v>0</v>
      </c>
      <c r="N1967" s="20" t="b">
        <f>IFERROR(__xludf.DUMMYFUNCTION("""COMPUTED_VALUE"""),FALSE)</f>
        <v>0</v>
      </c>
      <c r="O1967" s="20">
        <f>IFERROR(__xludf.DUMMYFUNCTION("""COMPUTED_VALUE"""),65.3535980148883)</f>
        <v>65.35359801</v>
      </c>
      <c r="P1967" s="20">
        <f>IFERROR(__xludf.DUMMYFUNCTION("""COMPUTED_VALUE"""),2107.0)</f>
        <v>2107</v>
      </c>
      <c r="Q1967" s="20">
        <f>IFERROR(__xludf.DUMMYFUNCTION("""COMPUTED_VALUE"""),3224.0)</f>
        <v>3224</v>
      </c>
    </row>
    <row r="1968">
      <c r="A1968" s="20">
        <f>IFERROR(__xludf.DUMMYFUNCTION("""COMPUTED_VALUE"""),2099.0)</f>
        <v>2099</v>
      </c>
      <c r="B1968" s="20" t="str">
        <f>IFERROR(__xludf.DUMMYFUNCTION("""COMPUTED_VALUE"""),"Number of Strings That Appear as Substrings in Word")</f>
        <v>Number of Strings That Appear as Substrings in Word</v>
      </c>
      <c r="C1968" s="20" t="str">
        <f>IFERROR(__xludf.DUMMYFUNCTION("""COMPUTED_VALUE"""),"number-of-strings-that-appear-as-substrings-in-word")</f>
        <v>number-of-strings-that-appear-as-substrings-in-word</v>
      </c>
      <c r="D1968" s="20" t="b">
        <f>IFERROR(__xludf.DUMMYFUNCTION("""COMPUTED_VALUE"""),FALSE)</f>
        <v>0</v>
      </c>
      <c r="E1968" s="20" t="str">
        <f>IFERROR(__xludf.DUMMYFUNCTION("""COMPUTED_VALUE"""),"Easy")</f>
        <v>Easy</v>
      </c>
      <c r="F1968" s="20">
        <f>IFERROR(__xludf.DUMMYFUNCTION("""COMPUTED_VALUE"""),467.0)</f>
        <v>467</v>
      </c>
      <c r="G1968" s="20">
        <f>IFERROR(__xludf.DUMMYFUNCTION("""COMPUTED_VALUE"""),23.0)</f>
        <v>23</v>
      </c>
      <c r="H1968" s="20" t="str">
        <f>IFERROR(__xludf.DUMMYFUNCTION("""COMPUTED_VALUE"""),"Algorithms")</f>
        <v>Algorithms</v>
      </c>
      <c r="I1968" s="20">
        <f>IFERROR(__xludf.DUMMYFUNCTION("""COMPUTED_VALUE"""),0.8)</f>
        <v>0.8</v>
      </c>
      <c r="J1968" s="20">
        <f>IFERROR(__xludf.DUMMYFUNCTION("""COMPUTED_VALUE"""),1967.0)</f>
        <v>1967</v>
      </c>
      <c r="K1968" s="20" t="b">
        <f>IFERROR(__xludf.DUMMYFUNCTION("""COMPUTED_VALUE"""),FALSE)</f>
        <v>0</v>
      </c>
      <c r="L1968" s="20" t="str">
        <f>IFERROR(__xludf.DUMMYFUNCTION("""COMPUTED_VALUE"""),"String;")</f>
        <v>String;</v>
      </c>
      <c r="M1968" s="20" t="b">
        <f>IFERROR(__xludf.DUMMYFUNCTION("""COMPUTED_VALUE"""),FALSE)</f>
        <v>0</v>
      </c>
      <c r="N1968" s="20" t="b">
        <f>IFERROR(__xludf.DUMMYFUNCTION("""COMPUTED_VALUE"""),FALSE)</f>
        <v>0</v>
      </c>
      <c r="O1968" s="20">
        <f>IFERROR(__xludf.DUMMYFUNCTION("""COMPUTED_VALUE"""),79.9954586739327)</f>
        <v>79.99545867</v>
      </c>
      <c r="P1968" s="20">
        <f>IFERROR(__xludf.DUMMYFUNCTION("""COMPUTED_VALUE"""),42274.0)</f>
        <v>42274</v>
      </c>
      <c r="Q1968" s="20">
        <f>IFERROR(__xludf.DUMMYFUNCTION("""COMPUTED_VALUE"""),52846.0)</f>
        <v>52846</v>
      </c>
    </row>
    <row r="1969">
      <c r="A1969" s="20">
        <f>IFERROR(__xludf.DUMMYFUNCTION("""COMPUTED_VALUE"""),2085.0)</f>
        <v>2085</v>
      </c>
      <c r="B1969" s="20" t="str">
        <f>IFERROR(__xludf.DUMMYFUNCTION("""COMPUTED_VALUE"""),"Array With Elements Not Equal to Average of Neighbors")</f>
        <v>Array With Elements Not Equal to Average of Neighbors</v>
      </c>
      <c r="C1969" s="20" t="str">
        <f>IFERROR(__xludf.DUMMYFUNCTION("""COMPUTED_VALUE"""),"array-with-elements-not-equal-to-average-of-neighbors")</f>
        <v>array-with-elements-not-equal-to-average-of-neighbors</v>
      </c>
      <c r="D1969" s="20" t="b">
        <f>IFERROR(__xludf.DUMMYFUNCTION("""COMPUTED_VALUE"""),FALSE)</f>
        <v>0</v>
      </c>
      <c r="E1969" s="20" t="str">
        <f>IFERROR(__xludf.DUMMYFUNCTION("""COMPUTED_VALUE"""),"Medium")</f>
        <v>Medium</v>
      </c>
      <c r="F1969" s="20">
        <f>IFERROR(__xludf.DUMMYFUNCTION("""COMPUTED_VALUE"""),391.0)</f>
        <v>391</v>
      </c>
      <c r="G1969" s="20">
        <f>IFERROR(__xludf.DUMMYFUNCTION("""COMPUTED_VALUE"""),27.0)</f>
        <v>27</v>
      </c>
      <c r="H1969" s="20" t="str">
        <f>IFERROR(__xludf.DUMMYFUNCTION("""COMPUTED_VALUE"""),"Algorithms")</f>
        <v>Algorithms</v>
      </c>
      <c r="I1969" s="20">
        <f>IFERROR(__xludf.DUMMYFUNCTION("""COMPUTED_VALUE"""),0.494)</f>
        <v>0.494</v>
      </c>
      <c r="J1969" s="20">
        <f>IFERROR(__xludf.DUMMYFUNCTION("""COMPUTED_VALUE"""),1968.0)</f>
        <v>1968</v>
      </c>
      <c r="K1969" s="20" t="b">
        <f>IFERROR(__xludf.DUMMYFUNCTION("""COMPUTED_VALUE"""),FALSE)</f>
        <v>0</v>
      </c>
      <c r="L1969" s="20" t="str">
        <f>IFERROR(__xludf.DUMMYFUNCTION("""COMPUTED_VALUE"""),"Array;Greedy;Sorting;")</f>
        <v>Array;Greedy;Sorting;</v>
      </c>
      <c r="M1969" s="20" t="b">
        <f>IFERROR(__xludf.DUMMYFUNCTION("""COMPUTED_VALUE"""),FALSE)</f>
        <v>0</v>
      </c>
      <c r="N1969" s="20" t="b">
        <f>IFERROR(__xludf.DUMMYFUNCTION("""COMPUTED_VALUE"""),FALSE)</f>
        <v>0</v>
      </c>
      <c r="O1969" s="20">
        <f>IFERROR(__xludf.DUMMYFUNCTION("""COMPUTED_VALUE"""),49.438508751989)</f>
        <v>49.43850875</v>
      </c>
      <c r="P1969" s="20">
        <f>IFERROR(__xludf.DUMMYFUNCTION("""COMPUTED_VALUE"""),21747.0)</f>
        <v>21747</v>
      </c>
      <c r="Q1969" s="20">
        <f>IFERROR(__xludf.DUMMYFUNCTION("""COMPUTED_VALUE"""),43989.0)</f>
        <v>43989</v>
      </c>
    </row>
    <row r="1970">
      <c r="A1970" s="20">
        <f>IFERROR(__xludf.DUMMYFUNCTION("""COMPUTED_VALUE"""),2100.0)</f>
        <v>2100</v>
      </c>
      <c r="B1970" s="20" t="str">
        <f>IFERROR(__xludf.DUMMYFUNCTION("""COMPUTED_VALUE"""),"Minimum Non-Zero Product of the Array Elements")</f>
        <v>Minimum Non-Zero Product of the Array Elements</v>
      </c>
      <c r="C1970" s="20" t="str">
        <f>IFERROR(__xludf.DUMMYFUNCTION("""COMPUTED_VALUE"""),"minimum-non-zero-product-of-the-array-elements")</f>
        <v>minimum-non-zero-product-of-the-array-elements</v>
      </c>
      <c r="D1970" s="20" t="b">
        <f>IFERROR(__xludf.DUMMYFUNCTION("""COMPUTED_VALUE"""),FALSE)</f>
        <v>0</v>
      </c>
      <c r="E1970" s="20" t="str">
        <f>IFERROR(__xludf.DUMMYFUNCTION("""COMPUTED_VALUE"""),"Medium")</f>
        <v>Medium</v>
      </c>
      <c r="F1970" s="20">
        <f>IFERROR(__xludf.DUMMYFUNCTION("""COMPUTED_VALUE"""),168.0)</f>
        <v>168</v>
      </c>
      <c r="G1970" s="20">
        <f>IFERROR(__xludf.DUMMYFUNCTION("""COMPUTED_VALUE"""),323.0)</f>
        <v>323</v>
      </c>
      <c r="H1970" s="20" t="str">
        <f>IFERROR(__xludf.DUMMYFUNCTION("""COMPUTED_VALUE"""),"Algorithms")</f>
        <v>Algorithms</v>
      </c>
      <c r="I1970" s="20">
        <f>IFERROR(__xludf.DUMMYFUNCTION("""COMPUTED_VALUE"""),0.338)</f>
        <v>0.338</v>
      </c>
      <c r="J1970" s="20">
        <f>IFERROR(__xludf.DUMMYFUNCTION("""COMPUTED_VALUE"""),1969.0)</f>
        <v>1969</v>
      </c>
      <c r="K1970" s="20" t="b">
        <f>IFERROR(__xludf.DUMMYFUNCTION("""COMPUTED_VALUE"""),FALSE)</f>
        <v>0</v>
      </c>
      <c r="L1970" s="20" t="str">
        <f>IFERROR(__xludf.DUMMYFUNCTION("""COMPUTED_VALUE"""),"Math;Greedy;Recursion;")</f>
        <v>Math;Greedy;Recursion;</v>
      </c>
      <c r="M1970" s="20" t="b">
        <f>IFERROR(__xludf.DUMMYFUNCTION("""COMPUTED_VALUE"""),FALSE)</f>
        <v>0</v>
      </c>
      <c r="N1970" s="20" t="b">
        <f>IFERROR(__xludf.DUMMYFUNCTION("""COMPUTED_VALUE"""),FALSE)</f>
        <v>0</v>
      </c>
      <c r="O1970" s="20">
        <f>IFERROR(__xludf.DUMMYFUNCTION("""COMPUTED_VALUE"""),33.8478191148171)</f>
        <v>33.84781911</v>
      </c>
      <c r="P1970" s="20">
        <f>IFERROR(__xludf.DUMMYFUNCTION("""COMPUTED_VALUE"""),8443.0)</f>
        <v>8443</v>
      </c>
      <c r="Q1970" s="20">
        <f>IFERROR(__xludf.DUMMYFUNCTION("""COMPUTED_VALUE"""),24944.0)</f>
        <v>24944</v>
      </c>
    </row>
    <row r="1971">
      <c r="A1971" s="20">
        <f>IFERROR(__xludf.DUMMYFUNCTION("""COMPUTED_VALUE"""),2101.0)</f>
        <v>2101</v>
      </c>
      <c r="B1971" s="20" t="str">
        <f>IFERROR(__xludf.DUMMYFUNCTION("""COMPUTED_VALUE"""),"Last Day Where You Can Still Cross")</f>
        <v>Last Day Where You Can Still Cross</v>
      </c>
      <c r="C1971" s="20" t="str">
        <f>IFERROR(__xludf.DUMMYFUNCTION("""COMPUTED_VALUE"""),"last-day-where-you-can-still-cross")</f>
        <v>last-day-where-you-can-still-cross</v>
      </c>
      <c r="D1971" s="20" t="b">
        <f>IFERROR(__xludf.DUMMYFUNCTION("""COMPUTED_VALUE"""),FALSE)</f>
        <v>0</v>
      </c>
      <c r="E1971" s="20" t="str">
        <f>IFERROR(__xludf.DUMMYFUNCTION("""COMPUTED_VALUE"""),"Hard")</f>
        <v>Hard</v>
      </c>
      <c r="F1971" s="20">
        <f>IFERROR(__xludf.DUMMYFUNCTION("""COMPUTED_VALUE"""),559.0)</f>
        <v>559</v>
      </c>
      <c r="G1971" s="20">
        <f>IFERROR(__xludf.DUMMYFUNCTION("""COMPUTED_VALUE"""),13.0)</f>
        <v>13</v>
      </c>
      <c r="H1971" s="20" t="str">
        <f>IFERROR(__xludf.DUMMYFUNCTION("""COMPUTED_VALUE"""),"Algorithms")</f>
        <v>Algorithms</v>
      </c>
      <c r="I1971" s="20">
        <f>IFERROR(__xludf.DUMMYFUNCTION("""COMPUTED_VALUE"""),0.494)</f>
        <v>0.494</v>
      </c>
      <c r="J1971" s="20">
        <f>IFERROR(__xludf.DUMMYFUNCTION("""COMPUTED_VALUE"""),1970.0)</f>
        <v>1970</v>
      </c>
      <c r="K1971" s="20" t="b">
        <f>IFERROR(__xludf.DUMMYFUNCTION("""COMPUTED_VALUE"""),FALSE)</f>
        <v>0</v>
      </c>
      <c r="L1971" s="20" t="str">
        <f>IFERROR(__xludf.DUMMYFUNCTION("""COMPUTED_VALUE"""),"Array;Binary Search;Depth-First Search;Breadth-First Search;Union Find;Matrix;")</f>
        <v>Array;Binary Search;Depth-First Search;Breadth-First Search;Union Find;Matrix;</v>
      </c>
      <c r="M1971" s="20" t="b">
        <f>IFERROR(__xludf.DUMMYFUNCTION("""COMPUTED_VALUE"""),FALSE)</f>
        <v>0</v>
      </c>
      <c r="N1971" s="20" t="b">
        <f>IFERROR(__xludf.DUMMYFUNCTION("""COMPUTED_VALUE"""),FALSE)</f>
        <v>0</v>
      </c>
      <c r="O1971" s="20">
        <f>IFERROR(__xludf.DUMMYFUNCTION("""COMPUTED_VALUE"""),49.4010758034624)</f>
        <v>49.4010758</v>
      </c>
      <c r="P1971" s="20">
        <f>IFERROR(__xludf.DUMMYFUNCTION("""COMPUTED_VALUE"""),10928.0)</f>
        <v>10928</v>
      </c>
      <c r="Q1971" s="20">
        <f>IFERROR(__xludf.DUMMYFUNCTION("""COMPUTED_VALUE"""),22122.0)</f>
        <v>22122</v>
      </c>
    </row>
    <row r="1972">
      <c r="A1972" s="20">
        <f>IFERROR(__xludf.DUMMYFUNCTION("""COMPUTED_VALUE"""),2121.0)</f>
        <v>2121</v>
      </c>
      <c r="B1972" s="20" t="str">
        <f>IFERROR(__xludf.DUMMYFUNCTION("""COMPUTED_VALUE"""),"Find if Path Exists in Graph")</f>
        <v>Find if Path Exists in Graph</v>
      </c>
      <c r="C1972" s="20" t="str">
        <f>IFERROR(__xludf.DUMMYFUNCTION("""COMPUTED_VALUE"""),"find-if-path-exists-in-graph")</f>
        <v>find-if-path-exists-in-graph</v>
      </c>
      <c r="D1972" s="20" t="b">
        <f>IFERROR(__xludf.DUMMYFUNCTION("""COMPUTED_VALUE"""),FALSE)</f>
        <v>0</v>
      </c>
      <c r="E1972" s="20" t="str">
        <f>IFERROR(__xludf.DUMMYFUNCTION("""COMPUTED_VALUE"""),"Easy")</f>
        <v>Easy</v>
      </c>
      <c r="F1972" s="20">
        <f>IFERROR(__xludf.DUMMYFUNCTION("""COMPUTED_VALUE"""),2610.0)</f>
        <v>2610</v>
      </c>
      <c r="G1972" s="20">
        <f>IFERROR(__xludf.DUMMYFUNCTION("""COMPUTED_VALUE"""),137.0)</f>
        <v>137</v>
      </c>
      <c r="H1972" s="20" t="str">
        <f>IFERROR(__xludf.DUMMYFUNCTION("""COMPUTED_VALUE"""),"Algorithms")</f>
        <v>Algorithms</v>
      </c>
      <c r="I1972" s="20">
        <f>IFERROR(__xludf.DUMMYFUNCTION("""COMPUTED_VALUE"""),0.525)</f>
        <v>0.525</v>
      </c>
      <c r="J1972" s="20">
        <f>IFERROR(__xludf.DUMMYFUNCTION("""COMPUTED_VALUE"""),1971.0)</f>
        <v>1971</v>
      </c>
      <c r="K1972" s="20" t="b">
        <f>IFERROR(__xludf.DUMMYFUNCTION("""COMPUTED_VALUE"""),FALSE)</f>
        <v>0</v>
      </c>
      <c r="L1972" s="20" t="str">
        <f>IFERROR(__xludf.DUMMYFUNCTION("""COMPUTED_VALUE"""),"Depth-First Search;Breadth-First Search;Union Find;Graph;")</f>
        <v>Depth-First Search;Breadth-First Search;Union Find;Graph;</v>
      </c>
      <c r="M1972" s="20" t="b">
        <f>IFERROR(__xludf.DUMMYFUNCTION("""COMPUTED_VALUE"""),TRUE)</f>
        <v>1</v>
      </c>
      <c r="N1972" s="20" t="b">
        <f>IFERROR(__xludf.DUMMYFUNCTION("""COMPUTED_VALUE"""),FALSE)</f>
        <v>0</v>
      </c>
      <c r="O1972" s="20">
        <f>IFERROR(__xludf.DUMMYFUNCTION("""COMPUTED_VALUE"""),52.5273636618657)</f>
        <v>52.52736366</v>
      </c>
      <c r="P1972" s="20">
        <f>IFERROR(__xludf.DUMMYFUNCTION("""COMPUTED_VALUE"""),207841.0)</f>
        <v>207841</v>
      </c>
      <c r="Q1972" s="20">
        <f>IFERROR(__xludf.DUMMYFUNCTION("""COMPUTED_VALUE"""),395676.0)</f>
        <v>395676</v>
      </c>
    </row>
    <row r="1973">
      <c r="A1973" s="20">
        <f>IFERROR(__xludf.DUMMYFUNCTION("""COMPUTED_VALUE"""),2120.0)</f>
        <v>2120</v>
      </c>
      <c r="B1973" s="20" t="str">
        <f>IFERROR(__xludf.DUMMYFUNCTION("""COMPUTED_VALUE"""),"First and Last Call On the Same Day")</f>
        <v>First and Last Call On the Same Day</v>
      </c>
      <c r="C1973" s="20" t="str">
        <f>IFERROR(__xludf.DUMMYFUNCTION("""COMPUTED_VALUE"""),"first-and-last-call-on-the-same-day")</f>
        <v>first-and-last-call-on-the-same-day</v>
      </c>
      <c r="D1973" s="20" t="b">
        <f>IFERROR(__xludf.DUMMYFUNCTION("""COMPUTED_VALUE"""),TRUE)</f>
        <v>1</v>
      </c>
      <c r="E1973" s="20" t="str">
        <f>IFERROR(__xludf.DUMMYFUNCTION("""COMPUTED_VALUE"""),"Hard")</f>
        <v>Hard</v>
      </c>
      <c r="F1973" s="20">
        <f>IFERROR(__xludf.DUMMYFUNCTION("""COMPUTED_VALUE"""),105.0)</f>
        <v>105</v>
      </c>
      <c r="G1973" s="20">
        <f>IFERROR(__xludf.DUMMYFUNCTION("""COMPUTED_VALUE"""),34.0)</f>
        <v>34</v>
      </c>
      <c r="H1973" s="20" t="str">
        <f>IFERROR(__xludf.DUMMYFUNCTION("""COMPUTED_VALUE"""),"Database")</f>
        <v>Database</v>
      </c>
      <c r="I1973" s="20">
        <f>IFERROR(__xludf.DUMMYFUNCTION("""COMPUTED_VALUE"""),0.532)</f>
        <v>0.532</v>
      </c>
      <c r="J1973" s="20">
        <f>IFERROR(__xludf.DUMMYFUNCTION("""COMPUTED_VALUE"""),1972.0)</f>
        <v>1972</v>
      </c>
      <c r="K1973" s="20" t="b">
        <f>IFERROR(__xludf.DUMMYFUNCTION("""COMPUTED_VALUE"""),TRUE)</f>
        <v>1</v>
      </c>
      <c r="L1973" s="20" t="str">
        <f>IFERROR(__xludf.DUMMYFUNCTION("""COMPUTED_VALUE"""),"Database;")</f>
        <v>Database;</v>
      </c>
      <c r="M1973" s="20" t="b">
        <f>IFERROR(__xludf.DUMMYFUNCTION("""COMPUTED_VALUE"""),FALSE)</f>
        <v>0</v>
      </c>
      <c r="N1973" s="20" t="b">
        <f>IFERROR(__xludf.DUMMYFUNCTION("""COMPUTED_VALUE"""),FALSE)</f>
        <v>0</v>
      </c>
      <c r="O1973" s="20">
        <f>IFERROR(__xludf.DUMMYFUNCTION("""COMPUTED_VALUE"""),53.216941480763)</f>
        <v>53.21694148</v>
      </c>
      <c r="P1973" s="20">
        <f>IFERROR(__xludf.DUMMYFUNCTION("""COMPUTED_VALUE"""),6584.0)</f>
        <v>6584</v>
      </c>
      <c r="Q1973" s="20">
        <f>IFERROR(__xludf.DUMMYFUNCTION("""COMPUTED_VALUE"""),12372.0)</f>
        <v>12372</v>
      </c>
    </row>
    <row r="1974">
      <c r="A1974" s="20">
        <f>IFERROR(__xludf.DUMMYFUNCTION("""COMPUTED_VALUE"""),2126.0)</f>
        <v>2126</v>
      </c>
      <c r="B1974" s="20" t="str">
        <f>IFERROR(__xludf.DUMMYFUNCTION("""COMPUTED_VALUE"""),"Count Nodes Equal to Sum of Descendants")</f>
        <v>Count Nodes Equal to Sum of Descendants</v>
      </c>
      <c r="C1974" s="20" t="str">
        <f>IFERROR(__xludf.DUMMYFUNCTION("""COMPUTED_VALUE"""),"count-nodes-equal-to-sum-of-descendants")</f>
        <v>count-nodes-equal-to-sum-of-descendants</v>
      </c>
      <c r="D1974" s="20" t="b">
        <f>IFERROR(__xludf.DUMMYFUNCTION("""COMPUTED_VALUE"""),TRUE)</f>
        <v>1</v>
      </c>
      <c r="E1974" s="20" t="str">
        <f>IFERROR(__xludf.DUMMYFUNCTION("""COMPUTED_VALUE"""),"Medium")</f>
        <v>Medium</v>
      </c>
      <c r="F1974" s="20">
        <f>IFERROR(__xludf.DUMMYFUNCTION("""COMPUTED_VALUE"""),125.0)</f>
        <v>125</v>
      </c>
      <c r="G1974" s="20">
        <f>IFERROR(__xludf.DUMMYFUNCTION("""COMPUTED_VALUE"""),3.0)</f>
        <v>3</v>
      </c>
      <c r="H1974" s="20" t="str">
        <f>IFERROR(__xludf.DUMMYFUNCTION("""COMPUTED_VALUE"""),"Algorithms")</f>
        <v>Algorithms</v>
      </c>
      <c r="I1974" s="20">
        <f>IFERROR(__xludf.DUMMYFUNCTION("""COMPUTED_VALUE"""),0.751)</f>
        <v>0.751</v>
      </c>
      <c r="J1974" s="20">
        <f>IFERROR(__xludf.DUMMYFUNCTION("""COMPUTED_VALUE"""),1973.0)</f>
        <v>1973</v>
      </c>
      <c r="K1974" s="20" t="b">
        <f>IFERROR(__xludf.DUMMYFUNCTION("""COMPUTED_VALUE"""),TRUE)</f>
        <v>1</v>
      </c>
      <c r="L1974" s="20" t="str">
        <f>IFERROR(__xludf.DUMMYFUNCTION("""COMPUTED_VALUE"""),"Tree;Depth-First Search;Binary Search Tree;Binary Tree;")</f>
        <v>Tree;Depth-First Search;Binary Search Tree;Binary Tree;</v>
      </c>
      <c r="M1974" s="20" t="b">
        <f>IFERROR(__xludf.DUMMYFUNCTION("""COMPUTED_VALUE"""),FALSE)</f>
        <v>0</v>
      </c>
      <c r="N1974" s="20" t="b">
        <f>IFERROR(__xludf.DUMMYFUNCTION("""COMPUTED_VALUE"""),FALSE)</f>
        <v>0</v>
      </c>
      <c r="O1974" s="20">
        <f>IFERROR(__xludf.DUMMYFUNCTION("""COMPUTED_VALUE"""),75.0847283557564)</f>
        <v>75.08472836</v>
      </c>
      <c r="P1974" s="20">
        <f>IFERROR(__xludf.DUMMYFUNCTION("""COMPUTED_VALUE"""),7311.0)</f>
        <v>7311</v>
      </c>
      <c r="Q1974" s="20">
        <f>IFERROR(__xludf.DUMMYFUNCTION("""COMPUTED_VALUE"""),9737.0)</f>
        <v>9737</v>
      </c>
    </row>
    <row r="1975">
      <c r="A1975" s="20">
        <f>IFERROR(__xludf.DUMMYFUNCTION("""COMPUTED_VALUE"""),2088.0)</f>
        <v>2088</v>
      </c>
      <c r="B1975" s="20" t="str">
        <f>IFERROR(__xludf.DUMMYFUNCTION("""COMPUTED_VALUE"""),"Minimum Time to Type Word Using Special Typewriter")</f>
        <v>Minimum Time to Type Word Using Special Typewriter</v>
      </c>
      <c r="C1975" s="20" t="str">
        <f>IFERROR(__xludf.DUMMYFUNCTION("""COMPUTED_VALUE"""),"minimum-time-to-type-word-using-special-typewriter")</f>
        <v>minimum-time-to-type-word-using-special-typewriter</v>
      </c>
      <c r="D1975" s="20" t="b">
        <f>IFERROR(__xludf.DUMMYFUNCTION("""COMPUTED_VALUE"""),FALSE)</f>
        <v>0</v>
      </c>
      <c r="E1975" s="20" t="str">
        <f>IFERROR(__xludf.DUMMYFUNCTION("""COMPUTED_VALUE"""),"Easy")</f>
        <v>Easy</v>
      </c>
      <c r="F1975" s="20">
        <f>IFERROR(__xludf.DUMMYFUNCTION("""COMPUTED_VALUE"""),493.0)</f>
        <v>493</v>
      </c>
      <c r="G1975" s="20">
        <f>IFERROR(__xludf.DUMMYFUNCTION("""COMPUTED_VALUE"""),18.0)</f>
        <v>18</v>
      </c>
      <c r="H1975" s="20" t="str">
        <f>IFERROR(__xludf.DUMMYFUNCTION("""COMPUTED_VALUE"""),"Algorithms")</f>
        <v>Algorithms</v>
      </c>
      <c r="I1975" s="20">
        <f>IFERROR(__xludf.DUMMYFUNCTION("""COMPUTED_VALUE"""),0.718)</f>
        <v>0.718</v>
      </c>
      <c r="J1975" s="20">
        <f>IFERROR(__xludf.DUMMYFUNCTION("""COMPUTED_VALUE"""),1974.0)</f>
        <v>1974</v>
      </c>
      <c r="K1975" s="20" t="b">
        <f>IFERROR(__xludf.DUMMYFUNCTION("""COMPUTED_VALUE"""),FALSE)</f>
        <v>0</v>
      </c>
      <c r="L1975" s="20" t="str">
        <f>IFERROR(__xludf.DUMMYFUNCTION("""COMPUTED_VALUE"""),"String;Greedy;")</f>
        <v>String;Greedy;</v>
      </c>
      <c r="M1975" s="20" t="b">
        <f>IFERROR(__xludf.DUMMYFUNCTION("""COMPUTED_VALUE"""),FALSE)</f>
        <v>0</v>
      </c>
      <c r="N1975" s="20" t="b">
        <f>IFERROR(__xludf.DUMMYFUNCTION("""COMPUTED_VALUE"""),FALSE)</f>
        <v>0</v>
      </c>
      <c r="O1975" s="20">
        <f>IFERROR(__xludf.DUMMYFUNCTION("""COMPUTED_VALUE"""),71.7527978504161)</f>
        <v>71.75279785</v>
      </c>
      <c r="P1975" s="20">
        <f>IFERROR(__xludf.DUMMYFUNCTION("""COMPUTED_VALUE"""),27504.0)</f>
        <v>27504</v>
      </c>
      <c r="Q1975" s="20">
        <f>IFERROR(__xludf.DUMMYFUNCTION("""COMPUTED_VALUE"""),38332.0)</f>
        <v>38332</v>
      </c>
    </row>
    <row r="1976">
      <c r="A1976" s="20">
        <f>IFERROR(__xludf.DUMMYFUNCTION("""COMPUTED_VALUE"""),2089.0)</f>
        <v>2089</v>
      </c>
      <c r="B1976" s="20" t="str">
        <f>IFERROR(__xludf.DUMMYFUNCTION("""COMPUTED_VALUE"""),"Maximum Matrix Sum")</f>
        <v>Maximum Matrix Sum</v>
      </c>
      <c r="C1976" s="20" t="str">
        <f>IFERROR(__xludf.DUMMYFUNCTION("""COMPUTED_VALUE"""),"maximum-matrix-sum")</f>
        <v>maximum-matrix-sum</v>
      </c>
      <c r="D1976" s="20" t="b">
        <f>IFERROR(__xludf.DUMMYFUNCTION("""COMPUTED_VALUE"""),FALSE)</f>
        <v>0</v>
      </c>
      <c r="E1976" s="20" t="str">
        <f>IFERROR(__xludf.DUMMYFUNCTION("""COMPUTED_VALUE"""),"Medium")</f>
        <v>Medium</v>
      </c>
      <c r="F1976" s="20">
        <f>IFERROR(__xludf.DUMMYFUNCTION("""COMPUTED_VALUE"""),424.0)</f>
        <v>424</v>
      </c>
      <c r="G1976" s="20">
        <f>IFERROR(__xludf.DUMMYFUNCTION("""COMPUTED_VALUE"""),18.0)</f>
        <v>18</v>
      </c>
      <c r="H1976" s="20" t="str">
        <f>IFERROR(__xludf.DUMMYFUNCTION("""COMPUTED_VALUE"""),"Algorithms")</f>
        <v>Algorithms</v>
      </c>
      <c r="I1976" s="20">
        <f>IFERROR(__xludf.DUMMYFUNCTION("""COMPUTED_VALUE"""),0.458)</f>
        <v>0.458</v>
      </c>
      <c r="J1976" s="20">
        <f>IFERROR(__xludf.DUMMYFUNCTION("""COMPUTED_VALUE"""),1975.0)</f>
        <v>1975</v>
      </c>
      <c r="K1976" s="20" t="b">
        <f>IFERROR(__xludf.DUMMYFUNCTION("""COMPUTED_VALUE"""),FALSE)</f>
        <v>0</v>
      </c>
      <c r="L1976" s="20" t="str">
        <f>IFERROR(__xludf.DUMMYFUNCTION("""COMPUTED_VALUE"""),"Array;Greedy;Matrix;")</f>
        <v>Array;Greedy;Matrix;</v>
      </c>
      <c r="M1976" s="20" t="b">
        <f>IFERROR(__xludf.DUMMYFUNCTION("""COMPUTED_VALUE"""),FALSE)</f>
        <v>0</v>
      </c>
      <c r="N1976" s="20" t="b">
        <f>IFERROR(__xludf.DUMMYFUNCTION("""COMPUTED_VALUE"""),FALSE)</f>
        <v>0</v>
      </c>
      <c r="O1976" s="20">
        <f>IFERROR(__xludf.DUMMYFUNCTION("""COMPUTED_VALUE"""),45.8235981308411)</f>
        <v>45.82359813</v>
      </c>
      <c r="P1976" s="20">
        <f>IFERROR(__xludf.DUMMYFUNCTION("""COMPUTED_VALUE"""),12552.0)</f>
        <v>12552</v>
      </c>
      <c r="Q1976" s="20">
        <f>IFERROR(__xludf.DUMMYFUNCTION("""COMPUTED_VALUE"""),27392.0)</f>
        <v>27392</v>
      </c>
    </row>
    <row r="1977">
      <c r="A1977" s="20">
        <f>IFERROR(__xludf.DUMMYFUNCTION("""COMPUTED_VALUE"""),2090.0)</f>
        <v>2090</v>
      </c>
      <c r="B1977" s="20" t="str">
        <f>IFERROR(__xludf.DUMMYFUNCTION("""COMPUTED_VALUE"""),"Number of Ways to Arrive at Destination")</f>
        <v>Number of Ways to Arrive at Destination</v>
      </c>
      <c r="C1977" s="20" t="str">
        <f>IFERROR(__xludf.DUMMYFUNCTION("""COMPUTED_VALUE"""),"number-of-ways-to-arrive-at-destination")</f>
        <v>number-of-ways-to-arrive-at-destination</v>
      </c>
      <c r="D1977" s="20" t="b">
        <f>IFERROR(__xludf.DUMMYFUNCTION("""COMPUTED_VALUE"""),FALSE)</f>
        <v>0</v>
      </c>
      <c r="E1977" s="20" t="str">
        <f>IFERROR(__xludf.DUMMYFUNCTION("""COMPUTED_VALUE"""),"Medium")</f>
        <v>Medium</v>
      </c>
      <c r="F1977" s="20">
        <f>IFERROR(__xludf.DUMMYFUNCTION("""COMPUTED_VALUE"""),1567.0)</f>
        <v>1567</v>
      </c>
      <c r="G1977" s="20">
        <f>IFERROR(__xludf.DUMMYFUNCTION("""COMPUTED_VALUE"""),51.0)</f>
        <v>51</v>
      </c>
      <c r="H1977" s="20" t="str">
        <f>IFERROR(__xludf.DUMMYFUNCTION("""COMPUTED_VALUE"""),"Algorithms")</f>
        <v>Algorithms</v>
      </c>
      <c r="I1977" s="20">
        <f>IFERROR(__xludf.DUMMYFUNCTION("""COMPUTED_VALUE"""),0.318)</f>
        <v>0.318</v>
      </c>
      <c r="J1977" s="20">
        <f>IFERROR(__xludf.DUMMYFUNCTION("""COMPUTED_VALUE"""),1976.0)</f>
        <v>1976</v>
      </c>
      <c r="K1977" s="20" t="b">
        <f>IFERROR(__xludf.DUMMYFUNCTION("""COMPUTED_VALUE"""),FALSE)</f>
        <v>0</v>
      </c>
      <c r="L1977" s="20" t="str">
        <f>IFERROR(__xludf.DUMMYFUNCTION("""COMPUTED_VALUE"""),"Dynamic Programming;Graph;Topological Sort;Shortest Path;")</f>
        <v>Dynamic Programming;Graph;Topological Sort;Shortest Path;</v>
      </c>
      <c r="M1977" s="20" t="b">
        <f>IFERROR(__xludf.DUMMYFUNCTION("""COMPUTED_VALUE"""),FALSE)</f>
        <v>0</v>
      </c>
      <c r="N1977" s="20" t="b">
        <f>IFERROR(__xludf.DUMMYFUNCTION("""COMPUTED_VALUE"""),FALSE)</f>
        <v>0</v>
      </c>
      <c r="O1977" s="20">
        <f>IFERROR(__xludf.DUMMYFUNCTION("""COMPUTED_VALUE"""),31.845238095238)</f>
        <v>31.8452381</v>
      </c>
      <c r="P1977" s="20">
        <f>IFERROR(__xludf.DUMMYFUNCTION("""COMPUTED_VALUE"""),24393.0)</f>
        <v>24393</v>
      </c>
      <c r="Q1977" s="20">
        <f>IFERROR(__xludf.DUMMYFUNCTION("""COMPUTED_VALUE"""),76599.0)</f>
        <v>76599</v>
      </c>
    </row>
    <row r="1978">
      <c r="A1978" s="20">
        <f>IFERROR(__xludf.DUMMYFUNCTION("""COMPUTED_VALUE"""),2091.0)</f>
        <v>2091</v>
      </c>
      <c r="B1978" s="20" t="str">
        <f>IFERROR(__xludf.DUMMYFUNCTION("""COMPUTED_VALUE"""),"Number of Ways to Separate Numbers")</f>
        <v>Number of Ways to Separate Numbers</v>
      </c>
      <c r="C1978" s="20" t="str">
        <f>IFERROR(__xludf.DUMMYFUNCTION("""COMPUTED_VALUE"""),"number-of-ways-to-separate-numbers")</f>
        <v>number-of-ways-to-separate-numbers</v>
      </c>
      <c r="D1978" s="20" t="b">
        <f>IFERROR(__xludf.DUMMYFUNCTION("""COMPUTED_VALUE"""),FALSE)</f>
        <v>0</v>
      </c>
      <c r="E1978" s="20" t="str">
        <f>IFERROR(__xludf.DUMMYFUNCTION("""COMPUTED_VALUE"""),"Hard")</f>
        <v>Hard</v>
      </c>
      <c r="F1978" s="20">
        <f>IFERROR(__xludf.DUMMYFUNCTION("""COMPUTED_VALUE"""),355.0)</f>
        <v>355</v>
      </c>
      <c r="G1978" s="20">
        <f>IFERROR(__xludf.DUMMYFUNCTION("""COMPUTED_VALUE"""),45.0)</f>
        <v>45</v>
      </c>
      <c r="H1978" s="20" t="str">
        <f>IFERROR(__xludf.DUMMYFUNCTION("""COMPUTED_VALUE"""),"Algorithms")</f>
        <v>Algorithms</v>
      </c>
      <c r="I1978" s="20">
        <f>IFERROR(__xludf.DUMMYFUNCTION("""COMPUTED_VALUE"""),0.207)</f>
        <v>0.207</v>
      </c>
      <c r="J1978" s="20">
        <f>IFERROR(__xludf.DUMMYFUNCTION("""COMPUTED_VALUE"""),1977.0)</f>
        <v>1977</v>
      </c>
      <c r="K1978" s="20" t="b">
        <f>IFERROR(__xludf.DUMMYFUNCTION("""COMPUTED_VALUE"""),FALSE)</f>
        <v>0</v>
      </c>
      <c r="L1978" s="20" t="str">
        <f>IFERROR(__xludf.DUMMYFUNCTION("""COMPUTED_VALUE"""),"String;Dynamic Programming;Suffix Array;")</f>
        <v>String;Dynamic Programming;Suffix Array;</v>
      </c>
      <c r="M1978" s="20" t="b">
        <f>IFERROR(__xludf.DUMMYFUNCTION("""COMPUTED_VALUE"""),FALSE)</f>
        <v>0</v>
      </c>
      <c r="N1978" s="20" t="b">
        <f>IFERROR(__xludf.DUMMYFUNCTION("""COMPUTED_VALUE"""),FALSE)</f>
        <v>0</v>
      </c>
      <c r="O1978" s="20">
        <f>IFERROR(__xludf.DUMMYFUNCTION("""COMPUTED_VALUE"""),20.7092796543183)</f>
        <v>20.70927965</v>
      </c>
      <c r="P1978" s="20">
        <f>IFERROR(__xludf.DUMMYFUNCTION("""COMPUTED_VALUE"""),3930.0)</f>
        <v>3930</v>
      </c>
      <c r="Q1978" s="20">
        <f>IFERROR(__xludf.DUMMYFUNCTION("""COMPUTED_VALUE"""),18977.0)</f>
        <v>18977</v>
      </c>
    </row>
    <row r="1979">
      <c r="A1979" s="20">
        <f>IFERROR(__xludf.DUMMYFUNCTION("""COMPUTED_VALUE"""),2127.0)</f>
        <v>2127</v>
      </c>
      <c r="B1979" s="20" t="str">
        <f>IFERROR(__xludf.DUMMYFUNCTION("""COMPUTED_VALUE"""),"Employees Whose Manager Left the Company")</f>
        <v>Employees Whose Manager Left the Company</v>
      </c>
      <c r="C1979" s="20" t="str">
        <f>IFERROR(__xludf.DUMMYFUNCTION("""COMPUTED_VALUE"""),"employees-whose-manager-left-the-company")</f>
        <v>employees-whose-manager-left-the-company</v>
      </c>
      <c r="D1979" s="20" t="b">
        <f>IFERROR(__xludf.DUMMYFUNCTION("""COMPUTED_VALUE"""),TRUE)</f>
        <v>1</v>
      </c>
      <c r="E1979" s="20" t="str">
        <f>IFERROR(__xludf.DUMMYFUNCTION("""COMPUTED_VALUE"""),"Easy")</f>
        <v>Easy</v>
      </c>
      <c r="F1979" s="20">
        <f>IFERROR(__xludf.DUMMYFUNCTION("""COMPUTED_VALUE"""),44.0)</f>
        <v>44</v>
      </c>
      <c r="G1979" s="20">
        <f>IFERROR(__xludf.DUMMYFUNCTION("""COMPUTED_VALUE"""),7.0)</f>
        <v>7</v>
      </c>
      <c r="H1979" s="20" t="str">
        <f>IFERROR(__xludf.DUMMYFUNCTION("""COMPUTED_VALUE"""),"Database")</f>
        <v>Database</v>
      </c>
      <c r="I1979" s="20">
        <f>IFERROR(__xludf.DUMMYFUNCTION("""COMPUTED_VALUE"""),0.504)</f>
        <v>0.504</v>
      </c>
      <c r="J1979" s="20">
        <f>IFERROR(__xludf.DUMMYFUNCTION("""COMPUTED_VALUE"""),1978.0)</f>
        <v>1978</v>
      </c>
      <c r="K1979" s="20" t="b">
        <f>IFERROR(__xludf.DUMMYFUNCTION("""COMPUTED_VALUE"""),TRUE)</f>
        <v>1</v>
      </c>
      <c r="L1979" s="20" t="str">
        <f>IFERROR(__xludf.DUMMYFUNCTION("""COMPUTED_VALUE"""),"Database;")</f>
        <v>Database;</v>
      </c>
      <c r="M1979" s="20" t="b">
        <f>IFERROR(__xludf.DUMMYFUNCTION("""COMPUTED_VALUE"""),FALSE)</f>
        <v>0</v>
      </c>
      <c r="N1979" s="20" t="b">
        <f>IFERROR(__xludf.DUMMYFUNCTION("""COMPUTED_VALUE"""),FALSE)</f>
        <v>0</v>
      </c>
      <c r="O1979" s="20">
        <f>IFERROR(__xludf.DUMMYFUNCTION("""COMPUTED_VALUE"""),50.4380230125523)</f>
        <v>50.43802301</v>
      </c>
      <c r="P1979" s="20">
        <f>IFERROR(__xludf.DUMMYFUNCTION("""COMPUTED_VALUE"""),7715.0)</f>
        <v>7715</v>
      </c>
      <c r="Q1979" s="20">
        <f>IFERROR(__xludf.DUMMYFUNCTION("""COMPUTED_VALUE"""),15296.0)</f>
        <v>15296</v>
      </c>
    </row>
    <row r="1980">
      <c r="A1980" s="20">
        <f>IFERROR(__xludf.DUMMYFUNCTION("""COMPUTED_VALUE"""),2106.0)</f>
        <v>2106</v>
      </c>
      <c r="B1980" s="20" t="str">
        <f>IFERROR(__xludf.DUMMYFUNCTION("""COMPUTED_VALUE"""),"Find Greatest Common Divisor of Array")</f>
        <v>Find Greatest Common Divisor of Array</v>
      </c>
      <c r="C1980" s="20" t="str">
        <f>IFERROR(__xludf.DUMMYFUNCTION("""COMPUTED_VALUE"""),"find-greatest-common-divisor-of-array")</f>
        <v>find-greatest-common-divisor-of-array</v>
      </c>
      <c r="D1980" s="20" t="b">
        <f>IFERROR(__xludf.DUMMYFUNCTION("""COMPUTED_VALUE"""),FALSE)</f>
        <v>0</v>
      </c>
      <c r="E1980" s="20" t="str">
        <f>IFERROR(__xludf.DUMMYFUNCTION("""COMPUTED_VALUE"""),"Easy")</f>
        <v>Easy</v>
      </c>
      <c r="F1980" s="20">
        <f>IFERROR(__xludf.DUMMYFUNCTION("""COMPUTED_VALUE"""),681.0)</f>
        <v>681</v>
      </c>
      <c r="G1980" s="20">
        <f>IFERROR(__xludf.DUMMYFUNCTION("""COMPUTED_VALUE"""),26.0)</f>
        <v>26</v>
      </c>
      <c r="H1980" s="20" t="str">
        <f>IFERROR(__xludf.DUMMYFUNCTION("""COMPUTED_VALUE"""),"Algorithms")</f>
        <v>Algorithms</v>
      </c>
      <c r="I1980" s="20">
        <f>IFERROR(__xludf.DUMMYFUNCTION("""COMPUTED_VALUE"""),0.768)</f>
        <v>0.768</v>
      </c>
      <c r="J1980" s="20">
        <f>IFERROR(__xludf.DUMMYFUNCTION("""COMPUTED_VALUE"""),1979.0)</f>
        <v>1979</v>
      </c>
      <c r="K1980" s="20" t="b">
        <f>IFERROR(__xludf.DUMMYFUNCTION("""COMPUTED_VALUE"""),FALSE)</f>
        <v>0</v>
      </c>
      <c r="L1980" s="20" t="str">
        <f>IFERROR(__xludf.DUMMYFUNCTION("""COMPUTED_VALUE"""),"Array;Math;Number Theory;")</f>
        <v>Array;Math;Number Theory;</v>
      </c>
      <c r="M1980" s="20" t="b">
        <f>IFERROR(__xludf.DUMMYFUNCTION("""COMPUTED_VALUE"""),FALSE)</f>
        <v>0</v>
      </c>
      <c r="N1980" s="20" t="b">
        <f>IFERROR(__xludf.DUMMYFUNCTION("""COMPUTED_VALUE"""),FALSE)</f>
        <v>0</v>
      </c>
      <c r="O1980" s="20">
        <f>IFERROR(__xludf.DUMMYFUNCTION("""COMPUTED_VALUE"""),76.7589022454071)</f>
        <v>76.75890225</v>
      </c>
      <c r="P1980" s="20">
        <f>IFERROR(__xludf.DUMMYFUNCTION("""COMPUTED_VALUE"""),67685.0)</f>
        <v>67685</v>
      </c>
      <c r="Q1980" s="20">
        <f>IFERROR(__xludf.DUMMYFUNCTION("""COMPUTED_VALUE"""),88179.0)</f>
        <v>88179</v>
      </c>
    </row>
    <row r="1981">
      <c r="A1981" s="20">
        <f>IFERROR(__xludf.DUMMYFUNCTION("""COMPUTED_VALUE"""),2107.0)</f>
        <v>2107</v>
      </c>
      <c r="B1981" s="20" t="str">
        <f>IFERROR(__xludf.DUMMYFUNCTION("""COMPUTED_VALUE"""),"Find Unique Binary String")</f>
        <v>Find Unique Binary String</v>
      </c>
      <c r="C1981" s="20" t="str">
        <f>IFERROR(__xludf.DUMMYFUNCTION("""COMPUTED_VALUE"""),"find-unique-binary-string")</f>
        <v>find-unique-binary-string</v>
      </c>
      <c r="D1981" s="20" t="b">
        <f>IFERROR(__xludf.DUMMYFUNCTION("""COMPUTED_VALUE"""),FALSE)</f>
        <v>0</v>
      </c>
      <c r="E1981" s="20" t="str">
        <f>IFERROR(__xludf.DUMMYFUNCTION("""COMPUTED_VALUE"""),"Medium")</f>
        <v>Medium</v>
      </c>
      <c r="F1981" s="20">
        <f>IFERROR(__xludf.DUMMYFUNCTION("""COMPUTED_VALUE"""),797.0)</f>
        <v>797</v>
      </c>
      <c r="G1981" s="20">
        <f>IFERROR(__xludf.DUMMYFUNCTION("""COMPUTED_VALUE"""),34.0)</f>
        <v>34</v>
      </c>
      <c r="H1981" s="20" t="str">
        <f>IFERROR(__xludf.DUMMYFUNCTION("""COMPUTED_VALUE"""),"Algorithms")</f>
        <v>Algorithms</v>
      </c>
      <c r="I1981" s="20">
        <f>IFERROR(__xludf.DUMMYFUNCTION("""COMPUTED_VALUE"""),0.645)</f>
        <v>0.645</v>
      </c>
      <c r="J1981" s="20">
        <f>IFERROR(__xludf.DUMMYFUNCTION("""COMPUTED_VALUE"""),1980.0)</f>
        <v>1980</v>
      </c>
      <c r="K1981" s="20" t="b">
        <f>IFERROR(__xludf.DUMMYFUNCTION("""COMPUTED_VALUE"""),FALSE)</f>
        <v>0</v>
      </c>
      <c r="L1981" s="20" t="str">
        <f>IFERROR(__xludf.DUMMYFUNCTION("""COMPUTED_VALUE"""),"Array;String;Backtracking;")</f>
        <v>Array;String;Backtracking;</v>
      </c>
      <c r="M1981" s="20" t="b">
        <f>IFERROR(__xludf.DUMMYFUNCTION("""COMPUTED_VALUE"""),FALSE)</f>
        <v>0</v>
      </c>
      <c r="N1981" s="20" t="b">
        <f>IFERROR(__xludf.DUMMYFUNCTION("""COMPUTED_VALUE"""),FALSE)</f>
        <v>0</v>
      </c>
      <c r="O1981" s="20">
        <f>IFERROR(__xludf.DUMMYFUNCTION("""COMPUTED_VALUE"""),64.4777128315241)</f>
        <v>64.47771283</v>
      </c>
      <c r="P1981" s="20">
        <f>IFERROR(__xludf.DUMMYFUNCTION("""COMPUTED_VALUE"""),32429.0)</f>
        <v>32429</v>
      </c>
      <c r="Q1981" s="20">
        <f>IFERROR(__xludf.DUMMYFUNCTION("""COMPUTED_VALUE"""),50294.0)</f>
        <v>50294</v>
      </c>
    </row>
    <row r="1982">
      <c r="A1982" s="20">
        <f>IFERROR(__xludf.DUMMYFUNCTION("""COMPUTED_VALUE"""),2108.0)</f>
        <v>2108</v>
      </c>
      <c r="B1982" s="20" t="str">
        <f>IFERROR(__xludf.DUMMYFUNCTION("""COMPUTED_VALUE"""),"Minimize the Difference Between Target and Chosen Elements")</f>
        <v>Minimize the Difference Between Target and Chosen Elements</v>
      </c>
      <c r="C1982" s="20" t="str">
        <f>IFERROR(__xludf.DUMMYFUNCTION("""COMPUTED_VALUE"""),"minimize-the-difference-between-target-and-chosen-elements")</f>
        <v>minimize-the-difference-between-target-and-chosen-elements</v>
      </c>
      <c r="D1982" s="20" t="b">
        <f>IFERROR(__xludf.DUMMYFUNCTION("""COMPUTED_VALUE"""),FALSE)</f>
        <v>0</v>
      </c>
      <c r="E1982" s="20" t="str">
        <f>IFERROR(__xludf.DUMMYFUNCTION("""COMPUTED_VALUE"""),"Medium")</f>
        <v>Medium</v>
      </c>
      <c r="F1982" s="20">
        <f>IFERROR(__xludf.DUMMYFUNCTION("""COMPUTED_VALUE"""),690.0)</f>
        <v>690</v>
      </c>
      <c r="G1982" s="20">
        <f>IFERROR(__xludf.DUMMYFUNCTION("""COMPUTED_VALUE"""),120.0)</f>
        <v>120</v>
      </c>
      <c r="H1982" s="20" t="str">
        <f>IFERROR(__xludf.DUMMYFUNCTION("""COMPUTED_VALUE"""),"Algorithms")</f>
        <v>Algorithms</v>
      </c>
      <c r="I1982" s="20">
        <f>IFERROR(__xludf.DUMMYFUNCTION("""COMPUTED_VALUE"""),0.324)</f>
        <v>0.324</v>
      </c>
      <c r="J1982" s="20">
        <f>IFERROR(__xludf.DUMMYFUNCTION("""COMPUTED_VALUE"""),1981.0)</f>
        <v>1981</v>
      </c>
      <c r="K1982" s="20" t="b">
        <f>IFERROR(__xludf.DUMMYFUNCTION("""COMPUTED_VALUE"""),FALSE)</f>
        <v>0</v>
      </c>
      <c r="L1982" s="20" t="str">
        <f>IFERROR(__xludf.DUMMYFUNCTION("""COMPUTED_VALUE"""),"Array;Dynamic Programming;Matrix;")</f>
        <v>Array;Dynamic Programming;Matrix;</v>
      </c>
      <c r="M1982" s="20" t="b">
        <f>IFERROR(__xludf.DUMMYFUNCTION("""COMPUTED_VALUE"""),FALSE)</f>
        <v>0</v>
      </c>
      <c r="N1982" s="20" t="b">
        <f>IFERROR(__xludf.DUMMYFUNCTION("""COMPUTED_VALUE"""),FALSE)</f>
        <v>0</v>
      </c>
      <c r="O1982" s="20">
        <f>IFERROR(__xludf.DUMMYFUNCTION("""COMPUTED_VALUE"""),32.3956671424972)</f>
        <v>32.39566714</v>
      </c>
      <c r="P1982" s="20">
        <f>IFERROR(__xludf.DUMMYFUNCTION("""COMPUTED_VALUE"""),19290.0)</f>
        <v>19290</v>
      </c>
      <c r="Q1982" s="20">
        <f>IFERROR(__xludf.DUMMYFUNCTION("""COMPUTED_VALUE"""),59545.0)</f>
        <v>59545</v>
      </c>
    </row>
    <row r="1983">
      <c r="A1983" s="20">
        <f>IFERROR(__xludf.DUMMYFUNCTION("""COMPUTED_VALUE"""),2109.0)</f>
        <v>2109</v>
      </c>
      <c r="B1983" s="20" t="str">
        <f>IFERROR(__xludf.DUMMYFUNCTION("""COMPUTED_VALUE"""),"Find Array Given Subset Sums")</f>
        <v>Find Array Given Subset Sums</v>
      </c>
      <c r="C1983" s="20" t="str">
        <f>IFERROR(__xludf.DUMMYFUNCTION("""COMPUTED_VALUE"""),"find-array-given-subset-sums")</f>
        <v>find-array-given-subset-sums</v>
      </c>
      <c r="D1983" s="20" t="b">
        <f>IFERROR(__xludf.DUMMYFUNCTION("""COMPUTED_VALUE"""),FALSE)</f>
        <v>0</v>
      </c>
      <c r="E1983" s="20" t="str">
        <f>IFERROR(__xludf.DUMMYFUNCTION("""COMPUTED_VALUE"""),"Hard")</f>
        <v>Hard</v>
      </c>
      <c r="F1983" s="20">
        <f>IFERROR(__xludf.DUMMYFUNCTION("""COMPUTED_VALUE"""),423.0)</f>
        <v>423</v>
      </c>
      <c r="G1983" s="20">
        <f>IFERROR(__xludf.DUMMYFUNCTION("""COMPUTED_VALUE"""),32.0)</f>
        <v>32</v>
      </c>
      <c r="H1983" s="20" t="str">
        <f>IFERROR(__xludf.DUMMYFUNCTION("""COMPUTED_VALUE"""),"Algorithms")</f>
        <v>Algorithms</v>
      </c>
      <c r="I1983" s="20">
        <f>IFERROR(__xludf.DUMMYFUNCTION("""COMPUTED_VALUE"""),0.487)</f>
        <v>0.487</v>
      </c>
      <c r="J1983" s="20">
        <f>IFERROR(__xludf.DUMMYFUNCTION("""COMPUTED_VALUE"""),1982.0)</f>
        <v>1982</v>
      </c>
      <c r="K1983" s="20" t="b">
        <f>IFERROR(__xludf.DUMMYFUNCTION("""COMPUTED_VALUE"""),FALSE)</f>
        <v>0</v>
      </c>
      <c r="L1983" s="20" t="str">
        <f>IFERROR(__xludf.DUMMYFUNCTION("""COMPUTED_VALUE"""),"Array;Divide and Conquer;")</f>
        <v>Array;Divide and Conquer;</v>
      </c>
      <c r="M1983" s="20" t="b">
        <f>IFERROR(__xludf.DUMMYFUNCTION("""COMPUTED_VALUE"""),FALSE)</f>
        <v>0</v>
      </c>
      <c r="N1983" s="20" t="b">
        <f>IFERROR(__xludf.DUMMYFUNCTION("""COMPUTED_VALUE"""),FALSE)</f>
        <v>0</v>
      </c>
      <c r="O1983" s="20">
        <f>IFERROR(__xludf.DUMMYFUNCTION("""COMPUTED_VALUE"""),48.7031346035648)</f>
        <v>48.7031346</v>
      </c>
      <c r="P1983" s="20">
        <f>IFERROR(__xludf.DUMMYFUNCTION("""COMPUTED_VALUE"""),3962.0)</f>
        <v>3962</v>
      </c>
      <c r="Q1983" s="20">
        <f>IFERROR(__xludf.DUMMYFUNCTION("""COMPUTED_VALUE"""),8135.0)</f>
        <v>8135</v>
      </c>
    </row>
    <row r="1984">
      <c r="A1984" s="20">
        <f>IFERROR(__xludf.DUMMYFUNCTION("""COMPUTED_VALUE"""),519.0)</f>
        <v>519</v>
      </c>
      <c r="B1984" s="20" t="str">
        <f>IFERROR(__xludf.DUMMYFUNCTION("""COMPUTED_VALUE"""),"Widest Pair of Indices With Equal Range Sum")</f>
        <v>Widest Pair of Indices With Equal Range Sum</v>
      </c>
      <c r="C1984" s="20" t="str">
        <f>IFERROR(__xludf.DUMMYFUNCTION("""COMPUTED_VALUE"""),"widest-pair-of-indices-with-equal-range-sum")</f>
        <v>widest-pair-of-indices-with-equal-range-sum</v>
      </c>
      <c r="D1984" s="20" t="b">
        <f>IFERROR(__xludf.DUMMYFUNCTION("""COMPUTED_VALUE"""),TRUE)</f>
        <v>1</v>
      </c>
      <c r="E1984" s="20" t="str">
        <f>IFERROR(__xludf.DUMMYFUNCTION("""COMPUTED_VALUE"""),"Medium")</f>
        <v>Medium</v>
      </c>
      <c r="F1984" s="20">
        <f>IFERROR(__xludf.DUMMYFUNCTION("""COMPUTED_VALUE"""),64.0)</f>
        <v>64</v>
      </c>
      <c r="G1984" s="20">
        <f>IFERROR(__xludf.DUMMYFUNCTION("""COMPUTED_VALUE"""),0.0)</f>
        <v>0</v>
      </c>
      <c r="H1984" s="20" t="str">
        <f>IFERROR(__xludf.DUMMYFUNCTION("""COMPUTED_VALUE"""),"Algorithms")</f>
        <v>Algorithms</v>
      </c>
      <c r="I1984" s="20">
        <f>IFERROR(__xludf.DUMMYFUNCTION("""COMPUTED_VALUE"""),0.542)</f>
        <v>0.542</v>
      </c>
      <c r="J1984" s="20">
        <f>IFERROR(__xludf.DUMMYFUNCTION("""COMPUTED_VALUE"""),1983.0)</f>
        <v>1983</v>
      </c>
      <c r="K1984" s="20" t="b">
        <f>IFERROR(__xludf.DUMMYFUNCTION("""COMPUTED_VALUE"""),TRUE)</f>
        <v>1</v>
      </c>
      <c r="L1984" s="20" t="str">
        <f>IFERROR(__xludf.DUMMYFUNCTION("""COMPUTED_VALUE"""),"Array;Hash Table;Prefix Sum;")</f>
        <v>Array;Hash Table;Prefix Sum;</v>
      </c>
      <c r="M1984" s="20" t="b">
        <f>IFERROR(__xludf.DUMMYFUNCTION("""COMPUTED_VALUE"""),FALSE)</f>
        <v>0</v>
      </c>
      <c r="N1984" s="20" t="b">
        <f>IFERROR(__xludf.DUMMYFUNCTION("""COMPUTED_VALUE"""),FALSE)</f>
        <v>0</v>
      </c>
      <c r="O1984" s="20">
        <f>IFERROR(__xludf.DUMMYFUNCTION("""COMPUTED_VALUE"""),54.1532517707662)</f>
        <v>54.15325177</v>
      </c>
      <c r="P1984" s="20">
        <f>IFERROR(__xludf.DUMMYFUNCTION("""COMPUTED_VALUE"""),1682.0)</f>
        <v>1682</v>
      </c>
      <c r="Q1984" s="20">
        <f>IFERROR(__xludf.DUMMYFUNCTION("""COMPUTED_VALUE"""),3106.0)</f>
        <v>3106</v>
      </c>
    </row>
    <row r="1985">
      <c r="A1985" s="20">
        <f>IFERROR(__xludf.DUMMYFUNCTION("""COMPUTED_VALUE"""),2112.0)</f>
        <v>2112</v>
      </c>
      <c r="B1985" s="20" t="str">
        <f>IFERROR(__xludf.DUMMYFUNCTION("""COMPUTED_VALUE"""),"Minimum Difference Between Highest and Lowest of K Scores")</f>
        <v>Minimum Difference Between Highest and Lowest of K Scores</v>
      </c>
      <c r="C1985" s="20" t="str">
        <f>IFERROR(__xludf.DUMMYFUNCTION("""COMPUTED_VALUE"""),"minimum-difference-between-highest-and-lowest-of-k-scores")</f>
        <v>minimum-difference-between-highest-and-lowest-of-k-scores</v>
      </c>
      <c r="D1985" s="20" t="b">
        <f>IFERROR(__xludf.DUMMYFUNCTION("""COMPUTED_VALUE"""),FALSE)</f>
        <v>0</v>
      </c>
      <c r="E1985" s="20" t="str">
        <f>IFERROR(__xludf.DUMMYFUNCTION("""COMPUTED_VALUE"""),"Easy")</f>
        <v>Easy</v>
      </c>
      <c r="F1985" s="20">
        <f>IFERROR(__xludf.DUMMYFUNCTION("""COMPUTED_VALUE"""),602.0)</f>
        <v>602</v>
      </c>
      <c r="G1985" s="20">
        <f>IFERROR(__xludf.DUMMYFUNCTION("""COMPUTED_VALUE"""),97.0)</f>
        <v>97</v>
      </c>
      <c r="H1985" s="20" t="str">
        <f>IFERROR(__xludf.DUMMYFUNCTION("""COMPUTED_VALUE"""),"Algorithms")</f>
        <v>Algorithms</v>
      </c>
      <c r="I1985" s="20">
        <f>IFERROR(__xludf.DUMMYFUNCTION("""COMPUTED_VALUE"""),0.539)</f>
        <v>0.539</v>
      </c>
      <c r="J1985" s="20">
        <f>IFERROR(__xludf.DUMMYFUNCTION("""COMPUTED_VALUE"""),1984.0)</f>
        <v>1984</v>
      </c>
      <c r="K1985" s="20" t="b">
        <f>IFERROR(__xludf.DUMMYFUNCTION("""COMPUTED_VALUE"""),FALSE)</f>
        <v>0</v>
      </c>
      <c r="L1985" s="20" t="str">
        <f>IFERROR(__xludf.DUMMYFUNCTION("""COMPUTED_VALUE"""),"Array;Sliding Window;Sorting;")</f>
        <v>Array;Sliding Window;Sorting;</v>
      </c>
      <c r="M1985" s="20" t="b">
        <f>IFERROR(__xludf.DUMMYFUNCTION("""COMPUTED_VALUE"""),FALSE)</f>
        <v>0</v>
      </c>
      <c r="N1985" s="20" t="b">
        <f>IFERROR(__xludf.DUMMYFUNCTION("""COMPUTED_VALUE"""),FALSE)</f>
        <v>0</v>
      </c>
      <c r="O1985" s="20">
        <f>IFERROR(__xludf.DUMMYFUNCTION("""COMPUTED_VALUE"""),53.8968118975969)</f>
        <v>53.8968119</v>
      </c>
      <c r="P1985" s="20">
        <f>IFERROR(__xludf.DUMMYFUNCTION("""COMPUTED_VALUE"""),37073.0)</f>
        <v>37073</v>
      </c>
      <c r="Q1985" s="20">
        <f>IFERROR(__xludf.DUMMYFUNCTION("""COMPUTED_VALUE"""),68786.0)</f>
        <v>68786</v>
      </c>
    </row>
    <row r="1986">
      <c r="A1986" s="20">
        <f>IFERROR(__xludf.DUMMYFUNCTION("""COMPUTED_VALUE"""),2113.0)</f>
        <v>2113</v>
      </c>
      <c r="B1986" s="20" t="str">
        <f>IFERROR(__xludf.DUMMYFUNCTION("""COMPUTED_VALUE"""),"Find the Kth Largest Integer in the Array")</f>
        <v>Find the Kth Largest Integer in the Array</v>
      </c>
      <c r="C1986" s="20" t="str">
        <f>IFERROR(__xludf.DUMMYFUNCTION("""COMPUTED_VALUE"""),"find-the-kth-largest-integer-in-the-array")</f>
        <v>find-the-kth-largest-integer-in-the-array</v>
      </c>
      <c r="D1986" s="20" t="b">
        <f>IFERROR(__xludf.DUMMYFUNCTION("""COMPUTED_VALUE"""),FALSE)</f>
        <v>0</v>
      </c>
      <c r="E1986" s="20" t="str">
        <f>IFERROR(__xludf.DUMMYFUNCTION("""COMPUTED_VALUE"""),"Medium")</f>
        <v>Medium</v>
      </c>
      <c r="F1986" s="20">
        <f>IFERROR(__xludf.DUMMYFUNCTION("""COMPUTED_VALUE"""),815.0)</f>
        <v>815</v>
      </c>
      <c r="G1986" s="20">
        <f>IFERROR(__xludf.DUMMYFUNCTION("""COMPUTED_VALUE"""),103.0)</f>
        <v>103</v>
      </c>
      <c r="H1986" s="20" t="str">
        <f>IFERROR(__xludf.DUMMYFUNCTION("""COMPUTED_VALUE"""),"Algorithms")</f>
        <v>Algorithms</v>
      </c>
      <c r="I1986" s="20">
        <f>IFERROR(__xludf.DUMMYFUNCTION("""COMPUTED_VALUE"""),0.447)</f>
        <v>0.447</v>
      </c>
      <c r="J1986" s="20">
        <f>IFERROR(__xludf.DUMMYFUNCTION("""COMPUTED_VALUE"""),1985.0)</f>
        <v>1985</v>
      </c>
      <c r="K1986" s="20" t="b">
        <f>IFERROR(__xludf.DUMMYFUNCTION("""COMPUTED_VALUE"""),FALSE)</f>
        <v>0</v>
      </c>
      <c r="L1986" s="20" t="str">
        <f>IFERROR(__xludf.DUMMYFUNCTION("""COMPUTED_VALUE"""),"Array;String;Divide and Conquer;Sorting;Heap (Priority Queue);Quickselect;")</f>
        <v>Array;String;Divide and Conquer;Sorting;Heap (Priority Queue);Quickselect;</v>
      </c>
      <c r="M1986" s="20" t="b">
        <f>IFERROR(__xludf.DUMMYFUNCTION("""COMPUTED_VALUE"""),FALSE)</f>
        <v>0</v>
      </c>
      <c r="N1986" s="20" t="b">
        <f>IFERROR(__xludf.DUMMYFUNCTION("""COMPUTED_VALUE"""),FALSE)</f>
        <v>0</v>
      </c>
      <c r="O1986" s="20">
        <f>IFERROR(__xludf.DUMMYFUNCTION("""COMPUTED_VALUE"""),44.6832881932921)</f>
        <v>44.68328819</v>
      </c>
      <c r="P1986" s="20">
        <f>IFERROR(__xludf.DUMMYFUNCTION("""COMPUTED_VALUE"""),41740.0)</f>
        <v>41740</v>
      </c>
      <c r="Q1986" s="20">
        <f>IFERROR(__xludf.DUMMYFUNCTION("""COMPUTED_VALUE"""),93413.0)</f>
        <v>93413</v>
      </c>
    </row>
    <row r="1987">
      <c r="A1987" s="20">
        <f>IFERROR(__xludf.DUMMYFUNCTION("""COMPUTED_VALUE"""),2114.0)</f>
        <v>2114</v>
      </c>
      <c r="B1987" s="20" t="str">
        <f>IFERROR(__xludf.DUMMYFUNCTION("""COMPUTED_VALUE"""),"Minimum Number of Work Sessions to Finish the Tasks")</f>
        <v>Minimum Number of Work Sessions to Finish the Tasks</v>
      </c>
      <c r="C1987" s="20" t="str">
        <f>IFERROR(__xludf.DUMMYFUNCTION("""COMPUTED_VALUE"""),"minimum-number-of-work-sessions-to-finish-the-tasks")</f>
        <v>minimum-number-of-work-sessions-to-finish-the-tasks</v>
      </c>
      <c r="D1987" s="20" t="b">
        <f>IFERROR(__xludf.DUMMYFUNCTION("""COMPUTED_VALUE"""),FALSE)</f>
        <v>0</v>
      </c>
      <c r="E1987" s="20" t="str">
        <f>IFERROR(__xludf.DUMMYFUNCTION("""COMPUTED_VALUE"""),"Medium")</f>
        <v>Medium</v>
      </c>
      <c r="F1987" s="20">
        <f>IFERROR(__xludf.DUMMYFUNCTION("""COMPUTED_VALUE"""),810.0)</f>
        <v>810</v>
      </c>
      <c r="G1987" s="20">
        <f>IFERROR(__xludf.DUMMYFUNCTION("""COMPUTED_VALUE"""),54.0)</f>
        <v>54</v>
      </c>
      <c r="H1987" s="20" t="str">
        <f>IFERROR(__xludf.DUMMYFUNCTION("""COMPUTED_VALUE"""),"Algorithms")</f>
        <v>Algorithms</v>
      </c>
      <c r="I1987" s="20">
        <f>IFERROR(__xludf.DUMMYFUNCTION("""COMPUTED_VALUE"""),0.33)</f>
        <v>0.33</v>
      </c>
      <c r="J1987" s="20">
        <f>IFERROR(__xludf.DUMMYFUNCTION("""COMPUTED_VALUE"""),1986.0)</f>
        <v>1986</v>
      </c>
      <c r="K1987" s="20" t="b">
        <f>IFERROR(__xludf.DUMMYFUNCTION("""COMPUTED_VALUE"""),FALSE)</f>
        <v>0</v>
      </c>
      <c r="L1987" s="20" t="str">
        <f>IFERROR(__xludf.DUMMYFUNCTION("""COMPUTED_VALUE"""),"Array;Dynamic Programming;Backtracking;Bit Manipulation;Bitmask;")</f>
        <v>Array;Dynamic Programming;Backtracking;Bit Manipulation;Bitmask;</v>
      </c>
      <c r="M1987" s="20" t="b">
        <f>IFERROR(__xludf.DUMMYFUNCTION("""COMPUTED_VALUE"""),FALSE)</f>
        <v>0</v>
      </c>
      <c r="N1987" s="20" t="b">
        <f>IFERROR(__xludf.DUMMYFUNCTION("""COMPUTED_VALUE"""),FALSE)</f>
        <v>0</v>
      </c>
      <c r="O1987" s="20">
        <f>IFERROR(__xludf.DUMMYFUNCTION("""COMPUTED_VALUE"""),33.0095679907219)</f>
        <v>33.00956799</v>
      </c>
      <c r="P1987" s="20">
        <f>IFERROR(__xludf.DUMMYFUNCTION("""COMPUTED_VALUE"""),18216.0)</f>
        <v>18216</v>
      </c>
      <c r="Q1987" s="20">
        <f>IFERROR(__xludf.DUMMYFUNCTION("""COMPUTED_VALUE"""),55184.0)</f>
        <v>55184</v>
      </c>
    </row>
    <row r="1988">
      <c r="A1988" s="20">
        <f>IFERROR(__xludf.DUMMYFUNCTION("""COMPUTED_VALUE"""),2115.0)</f>
        <v>2115</v>
      </c>
      <c r="B1988" s="20" t="str">
        <f>IFERROR(__xludf.DUMMYFUNCTION("""COMPUTED_VALUE"""),"Number of Unique Good Subsequences")</f>
        <v>Number of Unique Good Subsequences</v>
      </c>
      <c r="C1988" s="20" t="str">
        <f>IFERROR(__xludf.DUMMYFUNCTION("""COMPUTED_VALUE"""),"number-of-unique-good-subsequences")</f>
        <v>number-of-unique-good-subsequences</v>
      </c>
      <c r="D1988" s="20" t="b">
        <f>IFERROR(__xludf.DUMMYFUNCTION("""COMPUTED_VALUE"""),FALSE)</f>
        <v>0</v>
      </c>
      <c r="E1988" s="20" t="str">
        <f>IFERROR(__xludf.DUMMYFUNCTION("""COMPUTED_VALUE"""),"Hard")</f>
        <v>Hard</v>
      </c>
      <c r="F1988" s="20">
        <f>IFERROR(__xludf.DUMMYFUNCTION("""COMPUTED_VALUE"""),532.0)</f>
        <v>532</v>
      </c>
      <c r="G1988" s="20">
        <f>IFERROR(__xludf.DUMMYFUNCTION("""COMPUTED_VALUE"""),11.0)</f>
        <v>11</v>
      </c>
      <c r="H1988" s="20" t="str">
        <f>IFERROR(__xludf.DUMMYFUNCTION("""COMPUTED_VALUE"""),"Algorithms")</f>
        <v>Algorithms</v>
      </c>
      <c r="I1988" s="20">
        <f>IFERROR(__xludf.DUMMYFUNCTION("""COMPUTED_VALUE"""),0.523)</f>
        <v>0.523</v>
      </c>
      <c r="J1988" s="20">
        <f>IFERROR(__xludf.DUMMYFUNCTION("""COMPUTED_VALUE"""),1987.0)</f>
        <v>1987</v>
      </c>
      <c r="K1988" s="20" t="b">
        <f>IFERROR(__xludf.DUMMYFUNCTION("""COMPUTED_VALUE"""),FALSE)</f>
        <v>0</v>
      </c>
      <c r="L1988" s="20" t="str">
        <f>IFERROR(__xludf.DUMMYFUNCTION("""COMPUTED_VALUE"""),"String;Dynamic Programming;")</f>
        <v>String;Dynamic Programming;</v>
      </c>
      <c r="M1988" s="20" t="b">
        <f>IFERROR(__xludf.DUMMYFUNCTION("""COMPUTED_VALUE"""),FALSE)</f>
        <v>0</v>
      </c>
      <c r="N1988" s="20" t="b">
        <f>IFERROR(__xludf.DUMMYFUNCTION("""COMPUTED_VALUE"""),FALSE)</f>
        <v>0</v>
      </c>
      <c r="O1988" s="20">
        <f>IFERROR(__xludf.DUMMYFUNCTION("""COMPUTED_VALUE"""),52.2568829020441)</f>
        <v>52.2568829</v>
      </c>
      <c r="P1988" s="20">
        <f>IFERROR(__xludf.DUMMYFUNCTION("""COMPUTED_VALUE"""),8844.0)</f>
        <v>8844</v>
      </c>
      <c r="Q1988" s="20">
        <f>IFERROR(__xludf.DUMMYFUNCTION("""COMPUTED_VALUE"""),16925.0)</f>
        <v>16925</v>
      </c>
    </row>
    <row r="1989">
      <c r="A1989" s="20">
        <f>IFERROR(__xludf.DUMMYFUNCTION("""COMPUTED_VALUE"""),2136.0)</f>
        <v>2136</v>
      </c>
      <c r="B1989" s="20" t="str">
        <f>IFERROR(__xludf.DUMMYFUNCTION("""COMPUTED_VALUE"""),"Find Cutoff Score for Each School")</f>
        <v>Find Cutoff Score for Each School</v>
      </c>
      <c r="C1989" s="20" t="str">
        <f>IFERROR(__xludf.DUMMYFUNCTION("""COMPUTED_VALUE"""),"find-cutoff-score-for-each-school")</f>
        <v>find-cutoff-score-for-each-school</v>
      </c>
      <c r="D1989" s="20" t="b">
        <f>IFERROR(__xludf.DUMMYFUNCTION("""COMPUTED_VALUE"""),TRUE)</f>
        <v>1</v>
      </c>
      <c r="E1989" s="20" t="str">
        <f>IFERROR(__xludf.DUMMYFUNCTION("""COMPUTED_VALUE"""),"Medium")</f>
        <v>Medium</v>
      </c>
      <c r="F1989" s="20">
        <f>IFERROR(__xludf.DUMMYFUNCTION("""COMPUTED_VALUE"""),63.0)</f>
        <v>63</v>
      </c>
      <c r="G1989" s="20">
        <f>IFERROR(__xludf.DUMMYFUNCTION("""COMPUTED_VALUE"""),113.0)</f>
        <v>113</v>
      </c>
      <c r="H1989" s="20" t="str">
        <f>IFERROR(__xludf.DUMMYFUNCTION("""COMPUTED_VALUE"""),"Database")</f>
        <v>Database</v>
      </c>
      <c r="I1989" s="20">
        <f>IFERROR(__xludf.DUMMYFUNCTION("""COMPUTED_VALUE"""),0.696)</f>
        <v>0.696</v>
      </c>
      <c r="J1989" s="20">
        <f>IFERROR(__xludf.DUMMYFUNCTION("""COMPUTED_VALUE"""),1988.0)</f>
        <v>1988</v>
      </c>
      <c r="K1989" s="20" t="b">
        <f>IFERROR(__xludf.DUMMYFUNCTION("""COMPUTED_VALUE"""),TRUE)</f>
        <v>1</v>
      </c>
      <c r="L1989" s="20" t="str">
        <f>IFERROR(__xludf.DUMMYFUNCTION("""COMPUTED_VALUE"""),"Database;")</f>
        <v>Database;</v>
      </c>
      <c r="M1989" s="20" t="b">
        <f>IFERROR(__xludf.DUMMYFUNCTION("""COMPUTED_VALUE"""),FALSE)</f>
        <v>0</v>
      </c>
      <c r="N1989" s="20" t="b">
        <f>IFERROR(__xludf.DUMMYFUNCTION("""COMPUTED_VALUE"""),FALSE)</f>
        <v>0</v>
      </c>
      <c r="O1989" s="20">
        <f>IFERROR(__xludf.DUMMYFUNCTION("""COMPUTED_VALUE"""),69.5820360411359)</f>
        <v>69.58203604</v>
      </c>
      <c r="P1989" s="20">
        <f>IFERROR(__xludf.DUMMYFUNCTION("""COMPUTED_VALUE"""),7375.0)</f>
        <v>7375</v>
      </c>
      <c r="Q1989" s="20">
        <f>IFERROR(__xludf.DUMMYFUNCTION("""COMPUTED_VALUE"""),10599.0)</f>
        <v>10599</v>
      </c>
    </row>
    <row r="1990">
      <c r="A1990" s="20">
        <f>IFERROR(__xludf.DUMMYFUNCTION("""COMPUTED_VALUE"""),1979.0)</f>
        <v>1979</v>
      </c>
      <c r="B1990" s="20" t="str">
        <f>IFERROR(__xludf.DUMMYFUNCTION("""COMPUTED_VALUE"""),"Maximum Number of People That Can Be Caught in Tag")</f>
        <v>Maximum Number of People That Can Be Caught in Tag</v>
      </c>
      <c r="C1990" s="20" t="str">
        <f>IFERROR(__xludf.DUMMYFUNCTION("""COMPUTED_VALUE"""),"maximum-number-of-people-that-can-be-caught-in-tag")</f>
        <v>maximum-number-of-people-that-can-be-caught-in-tag</v>
      </c>
      <c r="D1990" s="20" t="b">
        <f>IFERROR(__xludf.DUMMYFUNCTION("""COMPUTED_VALUE"""),TRUE)</f>
        <v>1</v>
      </c>
      <c r="E1990" s="20" t="str">
        <f>IFERROR(__xludf.DUMMYFUNCTION("""COMPUTED_VALUE"""),"Medium")</f>
        <v>Medium</v>
      </c>
      <c r="F1990" s="20">
        <f>IFERROR(__xludf.DUMMYFUNCTION("""COMPUTED_VALUE"""),55.0)</f>
        <v>55</v>
      </c>
      <c r="G1990" s="20">
        <f>IFERROR(__xludf.DUMMYFUNCTION("""COMPUTED_VALUE"""),8.0)</f>
        <v>8</v>
      </c>
      <c r="H1990" s="20" t="str">
        <f>IFERROR(__xludf.DUMMYFUNCTION("""COMPUTED_VALUE"""),"Algorithms")</f>
        <v>Algorithms</v>
      </c>
      <c r="I1990" s="20">
        <f>IFERROR(__xludf.DUMMYFUNCTION("""COMPUTED_VALUE"""),0.53)</f>
        <v>0.53</v>
      </c>
      <c r="J1990" s="20">
        <f>IFERROR(__xludf.DUMMYFUNCTION("""COMPUTED_VALUE"""),1989.0)</f>
        <v>1989</v>
      </c>
      <c r="K1990" s="20" t="b">
        <f>IFERROR(__xludf.DUMMYFUNCTION("""COMPUTED_VALUE"""),TRUE)</f>
        <v>1</v>
      </c>
      <c r="L1990" s="20" t="str">
        <f>IFERROR(__xludf.DUMMYFUNCTION("""COMPUTED_VALUE"""),"Array;Greedy;")</f>
        <v>Array;Greedy;</v>
      </c>
      <c r="M1990" s="20" t="b">
        <f>IFERROR(__xludf.DUMMYFUNCTION("""COMPUTED_VALUE"""),FALSE)</f>
        <v>0</v>
      </c>
      <c r="N1990" s="20" t="b">
        <f>IFERROR(__xludf.DUMMYFUNCTION("""COMPUTED_VALUE"""),FALSE)</f>
        <v>0</v>
      </c>
      <c r="O1990" s="20">
        <f>IFERROR(__xludf.DUMMYFUNCTION("""COMPUTED_VALUE"""),52.9902642559109)</f>
        <v>52.99026426</v>
      </c>
      <c r="P1990" s="20">
        <f>IFERROR(__xludf.DUMMYFUNCTION("""COMPUTED_VALUE"""),1524.0)</f>
        <v>1524</v>
      </c>
      <c r="Q1990" s="20">
        <f>IFERROR(__xludf.DUMMYFUNCTION("""COMPUTED_VALUE"""),2876.0)</f>
        <v>2876</v>
      </c>
    </row>
    <row r="1991">
      <c r="A1991" s="20">
        <f>IFERROR(__xludf.DUMMYFUNCTION("""COMPUTED_VALUE"""),2143.0)</f>
        <v>2143</v>
      </c>
      <c r="B1991" s="20" t="str">
        <f>IFERROR(__xludf.DUMMYFUNCTION("""COMPUTED_VALUE"""),"Count the Number of Experiments")</f>
        <v>Count the Number of Experiments</v>
      </c>
      <c r="C1991" s="20" t="str">
        <f>IFERROR(__xludf.DUMMYFUNCTION("""COMPUTED_VALUE"""),"count-the-number-of-experiments")</f>
        <v>count-the-number-of-experiments</v>
      </c>
      <c r="D1991" s="20" t="b">
        <f>IFERROR(__xludf.DUMMYFUNCTION("""COMPUTED_VALUE"""),TRUE)</f>
        <v>1</v>
      </c>
      <c r="E1991" s="20" t="str">
        <f>IFERROR(__xludf.DUMMYFUNCTION("""COMPUTED_VALUE"""),"Medium")</f>
        <v>Medium</v>
      </c>
      <c r="F1991" s="20">
        <f>IFERROR(__xludf.DUMMYFUNCTION("""COMPUTED_VALUE"""),13.0)</f>
        <v>13</v>
      </c>
      <c r="G1991" s="20">
        <f>IFERROR(__xludf.DUMMYFUNCTION("""COMPUTED_VALUE"""),140.0)</f>
        <v>140</v>
      </c>
      <c r="H1991" s="20" t="str">
        <f>IFERROR(__xludf.DUMMYFUNCTION("""COMPUTED_VALUE"""),"Database")</f>
        <v>Database</v>
      </c>
      <c r="I1991" s="20">
        <f>IFERROR(__xludf.DUMMYFUNCTION("""COMPUTED_VALUE"""),0.518)</f>
        <v>0.518</v>
      </c>
      <c r="J1991" s="20">
        <f>IFERROR(__xludf.DUMMYFUNCTION("""COMPUTED_VALUE"""),1990.0)</f>
        <v>1990</v>
      </c>
      <c r="K1991" s="20" t="b">
        <f>IFERROR(__xludf.DUMMYFUNCTION("""COMPUTED_VALUE"""),TRUE)</f>
        <v>1</v>
      </c>
      <c r="L1991" s="20" t="str">
        <f>IFERROR(__xludf.DUMMYFUNCTION("""COMPUTED_VALUE"""),"Database;")</f>
        <v>Database;</v>
      </c>
      <c r="M1991" s="20" t="b">
        <f>IFERROR(__xludf.DUMMYFUNCTION("""COMPUTED_VALUE"""),FALSE)</f>
        <v>0</v>
      </c>
      <c r="N1991" s="20" t="b">
        <f>IFERROR(__xludf.DUMMYFUNCTION("""COMPUTED_VALUE"""),FALSE)</f>
        <v>0</v>
      </c>
      <c r="O1991" s="20">
        <f>IFERROR(__xludf.DUMMYFUNCTION("""COMPUTED_VALUE"""),51.7546969159872)</f>
        <v>51.75469692</v>
      </c>
      <c r="P1991" s="20">
        <f>IFERROR(__xludf.DUMMYFUNCTION("""COMPUTED_VALUE"""),4380.0)</f>
        <v>4380</v>
      </c>
      <c r="Q1991" s="20">
        <f>IFERROR(__xludf.DUMMYFUNCTION("""COMPUTED_VALUE"""),8463.0)</f>
        <v>8463</v>
      </c>
    </row>
    <row r="1992">
      <c r="A1992" s="20">
        <f>IFERROR(__xludf.DUMMYFUNCTION("""COMPUTED_VALUE"""),2102.0)</f>
        <v>2102</v>
      </c>
      <c r="B1992" s="20" t="str">
        <f>IFERROR(__xludf.DUMMYFUNCTION("""COMPUTED_VALUE"""),"Find the Middle Index in Array")</f>
        <v>Find the Middle Index in Array</v>
      </c>
      <c r="C1992" s="20" t="str">
        <f>IFERROR(__xludf.DUMMYFUNCTION("""COMPUTED_VALUE"""),"find-the-middle-index-in-array")</f>
        <v>find-the-middle-index-in-array</v>
      </c>
      <c r="D1992" s="20" t="b">
        <f>IFERROR(__xludf.DUMMYFUNCTION("""COMPUTED_VALUE"""),FALSE)</f>
        <v>0</v>
      </c>
      <c r="E1992" s="20" t="str">
        <f>IFERROR(__xludf.DUMMYFUNCTION("""COMPUTED_VALUE"""),"Easy")</f>
        <v>Easy</v>
      </c>
      <c r="F1992" s="20">
        <f>IFERROR(__xludf.DUMMYFUNCTION("""COMPUTED_VALUE"""),877.0)</f>
        <v>877</v>
      </c>
      <c r="G1992" s="20">
        <f>IFERROR(__xludf.DUMMYFUNCTION("""COMPUTED_VALUE"""),35.0)</f>
        <v>35</v>
      </c>
      <c r="H1992" s="20" t="str">
        <f>IFERROR(__xludf.DUMMYFUNCTION("""COMPUTED_VALUE"""),"Algorithms")</f>
        <v>Algorithms</v>
      </c>
      <c r="I1992" s="20">
        <f>IFERROR(__xludf.DUMMYFUNCTION("""COMPUTED_VALUE"""),0.673)</f>
        <v>0.673</v>
      </c>
      <c r="J1992" s="20">
        <f>IFERROR(__xludf.DUMMYFUNCTION("""COMPUTED_VALUE"""),1991.0)</f>
        <v>1991</v>
      </c>
      <c r="K1992" s="20" t="b">
        <f>IFERROR(__xludf.DUMMYFUNCTION("""COMPUTED_VALUE"""),FALSE)</f>
        <v>0</v>
      </c>
      <c r="L1992" s="20" t="str">
        <f>IFERROR(__xludf.DUMMYFUNCTION("""COMPUTED_VALUE"""),"Array;Prefix Sum;")</f>
        <v>Array;Prefix Sum;</v>
      </c>
      <c r="M1992" s="20" t="b">
        <f>IFERROR(__xludf.DUMMYFUNCTION("""COMPUTED_VALUE"""),FALSE)</f>
        <v>0</v>
      </c>
      <c r="N1992" s="20" t="b">
        <f>IFERROR(__xludf.DUMMYFUNCTION("""COMPUTED_VALUE"""),FALSE)</f>
        <v>0</v>
      </c>
      <c r="O1992" s="20">
        <f>IFERROR(__xludf.DUMMYFUNCTION("""COMPUTED_VALUE"""),67.3332295881315)</f>
        <v>67.33322959</v>
      </c>
      <c r="P1992" s="20">
        <f>IFERROR(__xludf.DUMMYFUNCTION("""COMPUTED_VALUE"""),51915.0)</f>
        <v>51915</v>
      </c>
      <c r="Q1992" s="20">
        <f>IFERROR(__xludf.DUMMYFUNCTION("""COMPUTED_VALUE"""),77103.0)</f>
        <v>77103</v>
      </c>
    </row>
    <row r="1993">
      <c r="A1993" s="20">
        <f>IFERROR(__xludf.DUMMYFUNCTION("""COMPUTED_VALUE"""),2103.0)</f>
        <v>2103</v>
      </c>
      <c r="B1993" s="20" t="str">
        <f>IFERROR(__xludf.DUMMYFUNCTION("""COMPUTED_VALUE"""),"Find All Groups of Farmland")</f>
        <v>Find All Groups of Farmland</v>
      </c>
      <c r="C1993" s="20" t="str">
        <f>IFERROR(__xludf.DUMMYFUNCTION("""COMPUTED_VALUE"""),"find-all-groups-of-farmland")</f>
        <v>find-all-groups-of-farmland</v>
      </c>
      <c r="D1993" s="20" t="b">
        <f>IFERROR(__xludf.DUMMYFUNCTION("""COMPUTED_VALUE"""),FALSE)</f>
        <v>0</v>
      </c>
      <c r="E1993" s="20" t="str">
        <f>IFERROR(__xludf.DUMMYFUNCTION("""COMPUTED_VALUE"""),"Medium")</f>
        <v>Medium</v>
      </c>
      <c r="F1993" s="20">
        <f>IFERROR(__xludf.DUMMYFUNCTION("""COMPUTED_VALUE"""),602.0)</f>
        <v>602</v>
      </c>
      <c r="G1993" s="20">
        <f>IFERROR(__xludf.DUMMYFUNCTION("""COMPUTED_VALUE"""),21.0)</f>
        <v>21</v>
      </c>
      <c r="H1993" s="20" t="str">
        <f>IFERROR(__xludf.DUMMYFUNCTION("""COMPUTED_VALUE"""),"Algorithms")</f>
        <v>Algorithms</v>
      </c>
      <c r="I1993" s="20">
        <f>IFERROR(__xludf.DUMMYFUNCTION("""COMPUTED_VALUE"""),0.687)</f>
        <v>0.687</v>
      </c>
      <c r="J1993" s="20">
        <f>IFERROR(__xludf.DUMMYFUNCTION("""COMPUTED_VALUE"""),1992.0)</f>
        <v>1992</v>
      </c>
      <c r="K1993" s="20" t="b">
        <f>IFERROR(__xludf.DUMMYFUNCTION("""COMPUTED_VALUE"""),FALSE)</f>
        <v>0</v>
      </c>
      <c r="L1993" s="20" t="str">
        <f>IFERROR(__xludf.DUMMYFUNCTION("""COMPUTED_VALUE"""),"Array;Depth-First Search;Breadth-First Search;Matrix;")</f>
        <v>Array;Depth-First Search;Breadth-First Search;Matrix;</v>
      </c>
      <c r="M1993" s="20" t="b">
        <f>IFERROR(__xludf.DUMMYFUNCTION("""COMPUTED_VALUE"""),FALSE)</f>
        <v>0</v>
      </c>
      <c r="N1993" s="20" t="b">
        <f>IFERROR(__xludf.DUMMYFUNCTION("""COMPUTED_VALUE"""),FALSE)</f>
        <v>0</v>
      </c>
      <c r="O1993" s="20">
        <f>IFERROR(__xludf.DUMMYFUNCTION("""COMPUTED_VALUE"""),68.6661595906513)</f>
        <v>68.66615959</v>
      </c>
      <c r="P1993" s="20">
        <f>IFERROR(__xludf.DUMMYFUNCTION("""COMPUTED_VALUE"""),19861.0)</f>
        <v>19861</v>
      </c>
      <c r="Q1993" s="20">
        <f>IFERROR(__xludf.DUMMYFUNCTION("""COMPUTED_VALUE"""),28924.0)</f>
        <v>28924</v>
      </c>
    </row>
    <row r="1994">
      <c r="A1994" s="20">
        <f>IFERROR(__xludf.DUMMYFUNCTION("""COMPUTED_VALUE"""),2104.0)</f>
        <v>2104</v>
      </c>
      <c r="B1994" s="20" t="str">
        <f>IFERROR(__xludf.DUMMYFUNCTION("""COMPUTED_VALUE"""),"Operations on Tree")</f>
        <v>Operations on Tree</v>
      </c>
      <c r="C1994" s="20" t="str">
        <f>IFERROR(__xludf.DUMMYFUNCTION("""COMPUTED_VALUE"""),"operations-on-tree")</f>
        <v>operations-on-tree</v>
      </c>
      <c r="D1994" s="20" t="b">
        <f>IFERROR(__xludf.DUMMYFUNCTION("""COMPUTED_VALUE"""),FALSE)</f>
        <v>0</v>
      </c>
      <c r="E1994" s="20" t="str">
        <f>IFERROR(__xludf.DUMMYFUNCTION("""COMPUTED_VALUE"""),"Medium")</f>
        <v>Medium</v>
      </c>
      <c r="F1994" s="20">
        <f>IFERROR(__xludf.DUMMYFUNCTION("""COMPUTED_VALUE"""),310.0)</f>
        <v>310</v>
      </c>
      <c r="G1994" s="20">
        <f>IFERROR(__xludf.DUMMYFUNCTION("""COMPUTED_VALUE"""),53.0)</f>
        <v>53</v>
      </c>
      <c r="H1994" s="20" t="str">
        <f>IFERROR(__xludf.DUMMYFUNCTION("""COMPUTED_VALUE"""),"Algorithms")</f>
        <v>Algorithms</v>
      </c>
      <c r="I1994" s="20">
        <f>IFERROR(__xludf.DUMMYFUNCTION("""COMPUTED_VALUE"""),0.436)</f>
        <v>0.436</v>
      </c>
      <c r="J1994" s="20">
        <f>IFERROR(__xludf.DUMMYFUNCTION("""COMPUTED_VALUE"""),1993.0)</f>
        <v>1993</v>
      </c>
      <c r="K1994" s="20" t="b">
        <f>IFERROR(__xludf.DUMMYFUNCTION("""COMPUTED_VALUE"""),FALSE)</f>
        <v>0</v>
      </c>
      <c r="L1994" s="20" t="str">
        <f>IFERROR(__xludf.DUMMYFUNCTION("""COMPUTED_VALUE"""),"Hash Table;Tree;Depth-First Search;Breadth-First Search;Design;")</f>
        <v>Hash Table;Tree;Depth-First Search;Breadth-First Search;Design;</v>
      </c>
      <c r="M1994" s="20" t="b">
        <f>IFERROR(__xludf.DUMMYFUNCTION("""COMPUTED_VALUE"""),FALSE)</f>
        <v>0</v>
      </c>
      <c r="N1994" s="20" t="b">
        <f>IFERROR(__xludf.DUMMYFUNCTION("""COMPUTED_VALUE"""),FALSE)</f>
        <v>0</v>
      </c>
      <c r="O1994" s="20">
        <f>IFERROR(__xludf.DUMMYFUNCTION("""COMPUTED_VALUE"""),43.6263379824845)</f>
        <v>43.62633798</v>
      </c>
      <c r="P1994" s="20">
        <f>IFERROR(__xludf.DUMMYFUNCTION("""COMPUTED_VALUE"""),9415.0)</f>
        <v>9415</v>
      </c>
      <c r="Q1994" s="20">
        <f>IFERROR(__xludf.DUMMYFUNCTION("""COMPUTED_VALUE"""),21581.0)</f>
        <v>21581</v>
      </c>
    </row>
    <row r="1995">
      <c r="A1995" s="20">
        <f>IFERROR(__xludf.DUMMYFUNCTION("""COMPUTED_VALUE"""),2105.0)</f>
        <v>2105</v>
      </c>
      <c r="B1995" s="20" t="str">
        <f>IFERROR(__xludf.DUMMYFUNCTION("""COMPUTED_VALUE"""),"The Number of Good Subsets")</f>
        <v>The Number of Good Subsets</v>
      </c>
      <c r="C1995" s="20" t="str">
        <f>IFERROR(__xludf.DUMMYFUNCTION("""COMPUTED_VALUE"""),"the-number-of-good-subsets")</f>
        <v>the-number-of-good-subsets</v>
      </c>
      <c r="D1995" s="20" t="b">
        <f>IFERROR(__xludf.DUMMYFUNCTION("""COMPUTED_VALUE"""),FALSE)</f>
        <v>0</v>
      </c>
      <c r="E1995" s="20" t="str">
        <f>IFERROR(__xludf.DUMMYFUNCTION("""COMPUTED_VALUE"""),"Hard")</f>
        <v>Hard</v>
      </c>
      <c r="F1995" s="20">
        <f>IFERROR(__xludf.DUMMYFUNCTION("""COMPUTED_VALUE"""),324.0)</f>
        <v>324</v>
      </c>
      <c r="G1995" s="20">
        <f>IFERROR(__xludf.DUMMYFUNCTION("""COMPUTED_VALUE"""),9.0)</f>
        <v>9</v>
      </c>
      <c r="H1995" s="20" t="str">
        <f>IFERROR(__xludf.DUMMYFUNCTION("""COMPUTED_VALUE"""),"Algorithms")</f>
        <v>Algorithms</v>
      </c>
      <c r="I1995" s="20">
        <f>IFERROR(__xludf.DUMMYFUNCTION("""COMPUTED_VALUE"""),0.345)</f>
        <v>0.345</v>
      </c>
      <c r="J1995" s="20">
        <f>IFERROR(__xludf.DUMMYFUNCTION("""COMPUTED_VALUE"""),1994.0)</f>
        <v>1994</v>
      </c>
      <c r="K1995" s="20" t="b">
        <f>IFERROR(__xludf.DUMMYFUNCTION("""COMPUTED_VALUE"""),FALSE)</f>
        <v>0</v>
      </c>
      <c r="L1995" s="20" t="str">
        <f>IFERROR(__xludf.DUMMYFUNCTION("""COMPUTED_VALUE"""),"Array;Math;Dynamic Programming;Bit Manipulation;Bitmask;")</f>
        <v>Array;Math;Dynamic Programming;Bit Manipulation;Bitmask;</v>
      </c>
      <c r="M1995" s="20" t="b">
        <f>IFERROR(__xludf.DUMMYFUNCTION("""COMPUTED_VALUE"""),FALSE)</f>
        <v>0</v>
      </c>
      <c r="N1995" s="20" t="b">
        <f>IFERROR(__xludf.DUMMYFUNCTION("""COMPUTED_VALUE"""),FALSE)</f>
        <v>0</v>
      </c>
      <c r="O1995" s="20">
        <f>IFERROR(__xludf.DUMMYFUNCTION("""COMPUTED_VALUE"""),34.4782983615981)</f>
        <v>34.47829836</v>
      </c>
      <c r="P1995" s="20">
        <f>IFERROR(__xludf.DUMMYFUNCTION("""COMPUTED_VALUE"""),4798.0)</f>
        <v>4798</v>
      </c>
      <c r="Q1995" s="20">
        <f>IFERROR(__xludf.DUMMYFUNCTION("""COMPUTED_VALUE"""),13916.0)</f>
        <v>13916</v>
      </c>
    </row>
    <row r="1996">
      <c r="A1996" s="20">
        <f>IFERROR(__xludf.DUMMYFUNCTION("""COMPUTED_VALUE"""),2122.0)</f>
        <v>2122</v>
      </c>
      <c r="B1996" s="20" t="str">
        <f>IFERROR(__xludf.DUMMYFUNCTION("""COMPUTED_VALUE"""),"Count Special Quadruplets")</f>
        <v>Count Special Quadruplets</v>
      </c>
      <c r="C1996" s="20" t="str">
        <f>IFERROR(__xludf.DUMMYFUNCTION("""COMPUTED_VALUE"""),"count-special-quadruplets")</f>
        <v>count-special-quadruplets</v>
      </c>
      <c r="D1996" s="20" t="b">
        <f>IFERROR(__xludf.DUMMYFUNCTION("""COMPUTED_VALUE"""),FALSE)</f>
        <v>0</v>
      </c>
      <c r="E1996" s="20" t="str">
        <f>IFERROR(__xludf.DUMMYFUNCTION("""COMPUTED_VALUE"""),"Easy")</f>
        <v>Easy</v>
      </c>
      <c r="F1996" s="20">
        <f>IFERROR(__xludf.DUMMYFUNCTION("""COMPUTED_VALUE"""),454.0)</f>
        <v>454</v>
      </c>
      <c r="G1996" s="20">
        <f>IFERROR(__xludf.DUMMYFUNCTION("""COMPUTED_VALUE"""),177.0)</f>
        <v>177</v>
      </c>
      <c r="H1996" s="20" t="str">
        <f>IFERROR(__xludf.DUMMYFUNCTION("""COMPUTED_VALUE"""),"Algorithms")</f>
        <v>Algorithms</v>
      </c>
      <c r="I1996" s="20">
        <f>IFERROR(__xludf.DUMMYFUNCTION("""COMPUTED_VALUE"""),0.595)</f>
        <v>0.595</v>
      </c>
      <c r="J1996" s="20">
        <f>IFERROR(__xludf.DUMMYFUNCTION("""COMPUTED_VALUE"""),1995.0)</f>
        <v>1995</v>
      </c>
      <c r="K1996" s="20" t="b">
        <f>IFERROR(__xludf.DUMMYFUNCTION("""COMPUTED_VALUE"""),FALSE)</f>
        <v>0</v>
      </c>
      <c r="L1996" s="20" t="str">
        <f>IFERROR(__xludf.DUMMYFUNCTION("""COMPUTED_VALUE"""),"Array;Enumeration;")</f>
        <v>Array;Enumeration;</v>
      </c>
      <c r="M1996" s="20" t="b">
        <f>IFERROR(__xludf.DUMMYFUNCTION("""COMPUTED_VALUE"""),FALSE)</f>
        <v>0</v>
      </c>
      <c r="N1996" s="20" t="b">
        <f>IFERROR(__xludf.DUMMYFUNCTION("""COMPUTED_VALUE"""),FALSE)</f>
        <v>0</v>
      </c>
      <c r="O1996" s="20">
        <f>IFERROR(__xludf.DUMMYFUNCTION("""COMPUTED_VALUE"""),59.5326213386909)</f>
        <v>59.53262134</v>
      </c>
      <c r="P1996" s="20">
        <f>IFERROR(__xludf.DUMMYFUNCTION("""COMPUTED_VALUE"""),28150.0)</f>
        <v>28150</v>
      </c>
      <c r="Q1996" s="20">
        <f>IFERROR(__xludf.DUMMYFUNCTION("""COMPUTED_VALUE"""),47285.0)</f>
        <v>47285</v>
      </c>
    </row>
    <row r="1997">
      <c r="A1997" s="20">
        <f>IFERROR(__xludf.DUMMYFUNCTION("""COMPUTED_VALUE"""),2123.0)</f>
        <v>2123</v>
      </c>
      <c r="B1997" s="20" t="str">
        <f>IFERROR(__xludf.DUMMYFUNCTION("""COMPUTED_VALUE"""),"The Number of Weak Characters in the Game")</f>
        <v>The Number of Weak Characters in the Game</v>
      </c>
      <c r="C1997" s="20" t="str">
        <f>IFERROR(__xludf.DUMMYFUNCTION("""COMPUTED_VALUE"""),"the-number-of-weak-characters-in-the-game")</f>
        <v>the-number-of-weak-characters-in-the-game</v>
      </c>
      <c r="D1997" s="20" t="b">
        <f>IFERROR(__xludf.DUMMYFUNCTION("""COMPUTED_VALUE"""),FALSE)</f>
        <v>0</v>
      </c>
      <c r="E1997" s="20" t="str">
        <f>IFERROR(__xludf.DUMMYFUNCTION("""COMPUTED_VALUE"""),"Medium")</f>
        <v>Medium</v>
      </c>
      <c r="F1997" s="20">
        <f>IFERROR(__xludf.DUMMYFUNCTION("""COMPUTED_VALUE"""),2728.0)</f>
        <v>2728</v>
      </c>
      <c r="G1997" s="20">
        <f>IFERROR(__xludf.DUMMYFUNCTION("""COMPUTED_VALUE"""),87.0)</f>
        <v>87</v>
      </c>
      <c r="H1997" s="20" t="str">
        <f>IFERROR(__xludf.DUMMYFUNCTION("""COMPUTED_VALUE"""),"Algorithms")</f>
        <v>Algorithms</v>
      </c>
      <c r="I1997" s="20">
        <f>IFERROR(__xludf.DUMMYFUNCTION("""COMPUTED_VALUE"""),0.44)</f>
        <v>0.44</v>
      </c>
      <c r="J1997" s="20">
        <f>IFERROR(__xludf.DUMMYFUNCTION("""COMPUTED_VALUE"""),1996.0)</f>
        <v>1996</v>
      </c>
      <c r="K1997" s="20" t="b">
        <f>IFERROR(__xludf.DUMMYFUNCTION("""COMPUTED_VALUE"""),FALSE)</f>
        <v>0</v>
      </c>
      <c r="L1997" s="20" t="str">
        <f>IFERROR(__xludf.DUMMYFUNCTION("""COMPUTED_VALUE"""),"Array;Stack;Greedy;Sorting;Monotonic Stack;")</f>
        <v>Array;Stack;Greedy;Sorting;Monotonic Stack;</v>
      </c>
      <c r="M1997" s="20" t="b">
        <f>IFERROR(__xludf.DUMMYFUNCTION("""COMPUTED_VALUE"""),TRUE)</f>
        <v>1</v>
      </c>
      <c r="N1997" s="20" t="b">
        <f>IFERROR(__xludf.DUMMYFUNCTION("""COMPUTED_VALUE"""),FALSE)</f>
        <v>0</v>
      </c>
      <c r="O1997" s="20">
        <f>IFERROR(__xludf.DUMMYFUNCTION("""COMPUTED_VALUE"""),43.9972378892065)</f>
        <v>43.99723789</v>
      </c>
      <c r="P1997" s="20">
        <f>IFERROR(__xludf.DUMMYFUNCTION("""COMPUTED_VALUE"""),91113.0)</f>
        <v>91113</v>
      </c>
      <c r="Q1997" s="20">
        <f>IFERROR(__xludf.DUMMYFUNCTION("""COMPUTED_VALUE"""),207088.0)</f>
        <v>207088</v>
      </c>
    </row>
    <row r="1998">
      <c r="A1998" s="20">
        <f>IFERROR(__xludf.DUMMYFUNCTION("""COMPUTED_VALUE"""),2124.0)</f>
        <v>2124</v>
      </c>
      <c r="B1998" s="20" t="str">
        <f>IFERROR(__xludf.DUMMYFUNCTION("""COMPUTED_VALUE"""),"First Day Where You Have Been in All the Rooms")</f>
        <v>First Day Where You Have Been in All the Rooms</v>
      </c>
      <c r="C1998" s="20" t="str">
        <f>IFERROR(__xludf.DUMMYFUNCTION("""COMPUTED_VALUE"""),"first-day-where-you-have-been-in-all-the-rooms")</f>
        <v>first-day-where-you-have-been-in-all-the-rooms</v>
      </c>
      <c r="D1998" s="20" t="b">
        <f>IFERROR(__xludf.DUMMYFUNCTION("""COMPUTED_VALUE"""),FALSE)</f>
        <v>0</v>
      </c>
      <c r="E1998" s="20" t="str">
        <f>IFERROR(__xludf.DUMMYFUNCTION("""COMPUTED_VALUE"""),"Medium")</f>
        <v>Medium</v>
      </c>
      <c r="F1998" s="20">
        <f>IFERROR(__xludf.DUMMYFUNCTION("""COMPUTED_VALUE"""),410.0)</f>
        <v>410</v>
      </c>
      <c r="G1998" s="20">
        <f>IFERROR(__xludf.DUMMYFUNCTION("""COMPUTED_VALUE"""),70.0)</f>
        <v>70</v>
      </c>
      <c r="H1998" s="20" t="str">
        <f>IFERROR(__xludf.DUMMYFUNCTION("""COMPUTED_VALUE"""),"Algorithms")</f>
        <v>Algorithms</v>
      </c>
      <c r="I1998" s="20">
        <f>IFERROR(__xludf.DUMMYFUNCTION("""COMPUTED_VALUE"""),0.368)</f>
        <v>0.368</v>
      </c>
      <c r="J1998" s="20">
        <f>IFERROR(__xludf.DUMMYFUNCTION("""COMPUTED_VALUE"""),1997.0)</f>
        <v>1997</v>
      </c>
      <c r="K1998" s="20" t="b">
        <f>IFERROR(__xludf.DUMMYFUNCTION("""COMPUTED_VALUE"""),FALSE)</f>
        <v>0</v>
      </c>
      <c r="L1998" s="20" t="str">
        <f>IFERROR(__xludf.DUMMYFUNCTION("""COMPUTED_VALUE"""),"Array;Dynamic Programming;")</f>
        <v>Array;Dynamic Programming;</v>
      </c>
      <c r="M1998" s="20" t="b">
        <f>IFERROR(__xludf.DUMMYFUNCTION("""COMPUTED_VALUE"""),FALSE)</f>
        <v>0</v>
      </c>
      <c r="N1998" s="20" t="b">
        <f>IFERROR(__xludf.DUMMYFUNCTION("""COMPUTED_VALUE"""),FALSE)</f>
        <v>0</v>
      </c>
      <c r="O1998" s="20">
        <f>IFERROR(__xludf.DUMMYFUNCTION("""COMPUTED_VALUE"""),36.8241523266469)</f>
        <v>36.82415233</v>
      </c>
      <c r="P1998" s="20">
        <f>IFERROR(__xludf.DUMMYFUNCTION("""COMPUTED_VALUE"""),7233.0)</f>
        <v>7233</v>
      </c>
      <c r="Q1998" s="20">
        <f>IFERROR(__xludf.DUMMYFUNCTION("""COMPUTED_VALUE"""),19642.0)</f>
        <v>19642</v>
      </c>
    </row>
    <row r="1999">
      <c r="A1999" s="20">
        <f>IFERROR(__xludf.DUMMYFUNCTION("""COMPUTED_VALUE"""),2125.0)</f>
        <v>2125</v>
      </c>
      <c r="B1999" s="20" t="str">
        <f>IFERROR(__xludf.DUMMYFUNCTION("""COMPUTED_VALUE"""),"GCD Sort of an Array")</f>
        <v>GCD Sort of an Array</v>
      </c>
      <c r="C1999" s="20" t="str">
        <f>IFERROR(__xludf.DUMMYFUNCTION("""COMPUTED_VALUE"""),"gcd-sort-of-an-array")</f>
        <v>gcd-sort-of-an-array</v>
      </c>
      <c r="D1999" s="20" t="b">
        <f>IFERROR(__xludf.DUMMYFUNCTION("""COMPUTED_VALUE"""),FALSE)</f>
        <v>0</v>
      </c>
      <c r="E1999" s="20" t="str">
        <f>IFERROR(__xludf.DUMMYFUNCTION("""COMPUTED_VALUE"""),"Hard")</f>
        <v>Hard</v>
      </c>
      <c r="F1999" s="20">
        <f>IFERROR(__xludf.DUMMYFUNCTION("""COMPUTED_VALUE"""),372.0)</f>
        <v>372</v>
      </c>
      <c r="G1999" s="20">
        <f>IFERROR(__xludf.DUMMYFUNCTION("""COMPUTED_VALUE"""),8.0)</f>
        <v>8</v>
      </c>
      <c r="H1999" s="20" t="str">
        <f>IFERROR(__xludf.DUMMYFUNCTION("""COMPUTED_VALUE"""),"Algorithms")</f>
        <v>Algorithms</v>
      </c>
      <c r="I1999" s="20">
        <f>IFERROR(__xludf.DUMMYFUNCTION("""COMPUTED_VALUE"""),0.456)</f>
        <v>0.456</v>
      </c>
      <c r="J1999" s="20">
        <f>IFERROR(__xludf.DUMMYFUNCTION("""COMPUTED_VALUE"""),1998.0)</f>
        <v>1998</v>
      </c>
      <c r="K1999" s="20" t="b">
        <f>IFERROR(__xludf.DUMMYFUNCTION("""COMPUTED_VALUE"""),FALSE)</f>
        <v>0</v>
      </c>
      <c r="L1999" s="20" t="str">
        <f>IFERROR(__xludf.DUMMYFUNCTION("""COMPUTED_VALUE"""),"Array;Math;Union Find;Sorting;")</f>
        <v>Array;Math;Union Find;Sorting;</v>
      </c>
      <c r="M1999" s="20" t="b">
        <f>IFERROR(__xludf.DUMMYFUNCTION("""COMPUTED_VALUE"""),FALSE)</f>
        <v>0</v>
      </c>
      <c r="N1999" s="20" t="b">
        <f>IFERROR(__xludf.DUMMYFUNCTION("""COMPUTED_VALUE"""),FALSE)</f>
        <v>0</v>
      </c>
      <c r="O1999" s="20">
        <f>IFERROR(__xludf.DUMMYFUNCTION("""COMPUTED_VALUE"""),45.5854682298451)</f>
        <v>45.58546823</v>
      </c>
      <c r="P1999" s="20">
        <f>IFERROR(__xludf.DUMMYFUNCTION("""COMPUTED_VALUE"""),6299.0)</f>
        <v>6299</v>
      </c>
      <c r="Q1999" s="20">
        <f>IFERROR(__xludf.DUMMYFUNCTION("""COMPUTED_VALUE"""),13818.0)</f>
        <v>13818</v>
      </c>
    </row>
    <row r="2000">
      <c r="A2000" s="20">
        <f>IFERROR(__xludf.DUMMYFUNCTION("""COMPUTED_VALUE"""),2141.0)</f>
        <v>2141</v>
      </c>
      <c r="B2000" s="20" t="str">
        <f>IFERROR(__xludf.DUMMYFUNCTION("""COMPUTED_VALUE"""),"Smallest Greater Multiple Made of Two Digits")</f>
        <v>Smallest Greater Multiple Made of Two Digits</v>
      </c>
      <c r="C2000" s="20" t="str">
        <f>IFERROR(__xludf.DUMMYFUNCTION("""COMPUTED_VALUE"""),"smallest-greater-multiple-made-of-two-digits")</f>
        <v>smallest-greater-multiple-made-of-two-digits</v>
      </c>
      <c r="D2000" s="20" t="b">
        <f>IFERROR(__xludf.DUMMYFUNCTION("""COMPUTED_VALUE"""),TRUE)</f>
        <v>1</v>
      </c>
      <c r="E2000" s="20" t="str">
        <f>IFERROR(__xludf.DUMMYFUNCTION("""COMPUTED_VALUE"""),"Medium")</f>
        <v>Medium</v>
      </c>
      <c r="F2000" s="20">
        <f>IFERROR(__xludf.DUMMYFUNCTION("""COMPUTED_VALUE"""),23.0)</f>
        <v>23</v>
      </c>
      <c r="G2000" s="20">
        <f>IFERROR(__xludf.DUMMYFUNCTION("""COMPUTED_VALUE"""),4.0)</f>
        <v>4</v>
      </c>
      <c r="H2000" s="20" t="str">
        <f>IFERROR(__xludf.DUMMYFUNCTION("""COMPUTED_VALUE"""),"Algorithms")</f>
        <v>Algorithms</v>
      </c>
      <c r="I2000" s="20">
        <f>IFERROR(__xludf.DUMMYFUNCTION("""COMPUTED_VALUE"""),0.493)</f>
        <v>0.493</v>
      </c>
      <c r="J2000" s="20">
        <f>IFERROR(__xludf.DUMMYFUNCTION("""COMPUTED_VALUE"""),1999.0)</f>
        <v>1999</v>
      </c>
      <c r="K2000" s="20" t="b">
        <f>IFERROR(__xludf.DUMMYFUNCTION("""COMPUTED_VALUE"""),TRUE)</f>
        <v>1</v>
      </c>
      <c r="L2000" s="20" t="str">
        <f>IFERROR(__xludf.DUMMYFUNCTION("""COMPUTED_VALUE"""),"Math;Enumeration;")</f>
        <v>Math;Enumeration;</v>
      </c>
      <c r="M2000" s="20" t="b">
        <f>IFERROR(__xludf.DUMMYFUNCTION("""COMPUTED_VALUE"""),FALSE)</f>
        <v>0</v>
      </c>
      <c r="N2000" s="20" t="b">
        <f>IFERROR(__xludf.DUMMYFUNCTION("""COMPUTED_VALUE"""),FALSE)</f>
        <v>0</v>
      </c>
      <c r="O2000" s="20">
        <f>IFERROR(__xludf.DUMMYFUNCTION("""COMPUTED_VALUE"""),49.3418259023354)</f>
        <v>49.3418259</v>
      </c>
      <c r="P2000" s="20">
        <f>IFERROR(__xludf.DUMMYFUNCTION("""COMPUTED_VALUE"""),1162.0)</f>
        <v>1162</v>
      </c>
      <c r="Q2000" s="20">
        <f>IFERROR(__xludf.DUMMYFUNCTION("""COMPUTED_VALUE"""),2355.0)</f>
        <v>2355</v>
      </c>
    </row>
    <row r="2001">
      <c r="A2001" s="20">
        <f>IFERROR(__xludf.DUMMYFUNCTION("""COMPUTED_VALUE"""),2128.0)</f>
        <v>2128</v>
      </c>
      <c r="B2001" s="20" t="str">
        <f>IFERROR(__xludf.DUMMYFUNCTION("""COMPUTED_VALUE"""),"Reverse Prefix of Word")</f>
        <v>Reverse Prefix of Word</v>
      </c>
      <c r="C2001" s="20" t="str">
        <f>IFERROR(__xludf.DUMMYFUNCTION("""COMPUTED_VALUE"""),"reverse-prefix-of-word")</f>
        <v>reverse-prefix-of-word</v>
      </c>
      <c r="D2001" s="20" t="b">
        <f>IFERROR(__xludf.DUMMYFUNCTION("""COMPUTED_VALUE"""),FALSE)</f>
        <v>0</v>
      </c>
      <c r="E2001" s="20" t="str">
        <f>IFERROR(__xludf.DUMMYFUNCTION("""COMPUTED_VALUE"""),"Easy")</f>
        <v>Easy</v>
      </c>
      <c r="F2001" s="20">
        <f>IFERROR(__xludf.DUMMYFUNCTION("""COMPUTED_VALUE"""),545.0)</f>
        <v>545</v>
      </c>
      <c r="G2001" s="20">
        <f>IFERROR(__xludf.DUMMYFUNCTION("""COMPUTED_VALUE"""),14.0)</f>
        <v>14</v>
      </c>
      <c r="H2001" s="20" t="str">
        <f>IFERROR(__xludf.DUMMYFUNCTION("""COMPUTED_VALUE"""),"Algorithms")</f>
        <v>Algorithms</v>
      </c>
      <c r="I2001" s="20">
        <f>IFERROR(__xludf.DUMMYFUNCTION("""COMPUTED_VALUE"""),0.779)</f>
        <v>0.779</v>
      </c>
      <c r="J2001" s="20">
        <f>IFERROR(__xludf.DUMMYFUNCTION("""COMPUTED_VALUE"""),2000.0)</f>
        <v>2000</v>
      </c>
      <c r="K2001" s="20" t="b">
        <f>IFERROR(__xludf.DUMMYFUNCTION("""COMPUTED_VALUE"""),FALSE)</f>
        <v>0</v>
      </c>
      <c r="L2001" s="20" t="str">
        <f>IFERROR(__xludf.DUMMYFUNCTION("""COMPUTED_VALUE"""),"Two Pointers;String;")</f>
        <v>Two Pointers;String;</v>
      </c>
      <c r="M2001" s="20" t="b">
        <f>IFERROR(__xludf.DUMMYFUNCTION("""COMPUTED_VALUE"""),FALSE)</f>
        <v>0</v>
      </c>
      <c r="N2001" s="20" t="b">
        <f>IFERROR(__xludf.DUMMYFUNCTION("""COMPUTED_VALUE"""),FALSE)</f>
        <v>0</v>
      </c>
      <c r="O2001" s="20">
        <f>IFERROR(__xludf.DUMMYFUNCTION("""COMPUTED_VALUE"""),77.9177864916068)</f>
        <v>77.91778649</v>
      </c>
      <c r="P2001" s="20">
        <f>IFERROR(__xludf.DUMMYFUNCTION("""COMPUTED_VALUE"""),53053.0)</f>
        <v>53053</v>
      </c>
      <c r="Q2001" s="20">
        <f>IFERROR(__xludf.DUMMYFUNCTION("""COMPUTED_VALUE"""),68089.0)</f>
        <v>68089</v>
      </c>
    </row>
    <row r="2002">
      <c r="A2002" s="20">
        <f>IFERROR(__xludf.DUMMYFUNCTION("""COMPUTED_VALUE"""),2129.0)</f>
        <v>2129</v>
      </c>
      <c r="B2002" s="20" t="str">
        <f>IFERROR(__xludf.DUMMYFUNCTION("""COMPUTED_VALUE"""),"Number of Pairs of Interchangeable Rectangles")</f>
        <v>Number of Pairs of Interchangeable Rectangles</v>
      </c>
      <c r="C2002" s="20" t="str">
        <f>IFERROR(__xludf.DUMMYFUNCTION("""COMPUTED_VALUE"""),"number-of-pairs-of-interchangeable-rectangles")</f>
        <v>number-of-pairs-of-interchangeable-rectangles</v>
      </c>
      <c r="D2002" s="20" t="b">
        <f>IFERROR(__xludf.DUMMYFUNCTION("""COMPUTED_VALUE"""),FALSE)</f>
        <v>0</v>
      </c>
      <c r="E2002" s="20" t="str">
        <f>IFERROR(__xludf.DUMMYFUNCTION("""COMPUTED_VALUE"""),"Medium")</f>
        <v>Medium</v>
      </c>
      <c r="F2002" s="20">
        <f>IFERROR(__xludf.DUMMYFUNCTION("""COMPUTED_VALUE"""),316.0)</f>
        <v>316</v>
      </c>
      <c r="G2002" s="20">
        <f>IFERROR(__xludf.DUMMYFUNCTION("""COMPUTED_VALUE"""),27.0)</f>
        <v>27</v>
      </c>
      <c r="H2002" s="20" t="str">
        <f>IFERROR(__xludf.DUMMYFUNCTION("""COMPUTED_VALUE"""),"Algorithms")</f>
        <v>Algorithms</v>
      </c>
      <c r="I2002" s="20">
        <f>IFERROR(__xludf.DUMMYFUNCTION("""COMPUTED_VALUE"""),0.454)</f>
        <v>0.454</v>
      </c>
      <c r="J2002" s="20">
        <f>IFERROR(__xludf.DUMMYFUNCTION("""COMPUTED_VALUE"""),2001.0)</f>
        <v>2001</v>
      </c>
      <c r="K2002" s="20" t="b">
        <f>IFERROR(__xludf.DUMMYFUNCTION("""COMPUTED_VALUE"""),FALSE)</f>
        <v>0</v>
      </c>
      <c r="L2002" s="20" t="str">
        <f>IFERROR(__xludf.DUMMYFUNCTION("""COMPUTED_VALUE"""),"Array;Hash Table;Math;Counting;Number Theory;")</f>
        <v>Array;Hash Table;Math;Counting;Number Theory;</v>
      </c>
      <c r="M2002" s="20" t="b">
        <f>IFERROR(__xludf.DUMMYFUNCTION("""COMPUTED_VALUE"""),FALSE)</f>
        <v>0</v>
      </c>
      <c r="N2002" s="20" t="b">
        <f>IFERROR(__xludf.DUMMYFUNCTION("""COMPUTED_VALUE"""),FALSE)</f>
        <v>0</v>
      </c>
      <c r="O2002" s="20">
        <f>IFERROR(__xludf.DUMMYFUNCTION("""COMPUTED_VALUE"""),45.419254658385)</f>
        <v>45.41925466</v>
      </c>
      <c r="P2002" s="20">
        <f>IFERROR(__xludf.DUMMYFUNCTION("""COMPUTED_VALUE"""),21645.0)</f>
        <v>21645</v>
      </c>
      <c r="Q2002" s="20">
        <f>IFERROR(__xludf.DUMMYFUNCTION("""COMPUTED_VALUE"""),47656.0)</f>
        <v>47656</v>
      </c>
    </row>
    <row r="2003">
      <c r="A2003" s="20">
        <f>IFERROR(__xludf.DUMMYFUNCTION("""COMPUTED_VALUE"""),2130.0)</f>
        <v>2130</v>
      </c>
      <c r="B2003" s="20" t="str">
        <f>IFERROR(__xludf.DUMMYFUNCTION("""COMPUTED_VALUE"""),"Maximum Product of the Length of Two Palindromic Subsequences")</f>
        <v>Maximum Product of the Length of Two Palindromic Subsequences</v>
      </c>
      <c r="C2003" s="20" t="str">
        <f>IFERROR(__xludf.DUMMYFUNCTION("""COMPUTED_VALUE"""),"maximum-product-of-the-length-of-two-palindromic-subsequences")</f>
        <v>maximum-product-of-the-length-of-two-palindromic-subsequences</v>
      </c>
      <c r="D2003" s="20" t="b">
        <f>IFERROR(__xludf.DUMMYFUNCTION("""COMPUTED_VALUE"""),FALSE)</f>
        <v>0</v>
      </c>
      <c r="E2003" s="20" t="str">
        <f>IFERROR(__xludf.DUMMYFUNCTION("""COMPUTED_VALUE"""),"Medium")</f>
        <v>Medium</v>
      </c>
      <c r="F2003" s="20">
        <f>IFERROR(__xludf.DUMMYFUNCTION("""COMPUTED_VALUE"""),625.0)</f>
        <v>625</v>
      </c>
      <c r="G2003" s="20">
        <f>IFERROR(__xludf.DUMMYFUNCTION("""COMPUTED_VALUE"""),41.0)</f>
        <v>41</v>
      </c>
      <c r="H2003" s="20" t="str">
        <f>IFERROR(__xludf.DUMMYFUNCTION("""COMPUTED_VALUE"""),"Algorithms")</f>
        <v>Algorithms</v>
      </c>
      <c r="I2003" s="20">
        <f>IFERROR(__xludf.DUMMYFUNCTION("""COMPUTED_VALUE"""),0.536)</f>
        <v>0.536</v>
      </c>
      <c r="J2003" s="20">
        <f>IFERROR(__xludf.DUMMYFUNCTION("""COMPUTED_VALUE"""),2002.0)</f>
        <v>2002</v>
      </c>
      <c r="K2003" s="20" t="b">
        <f>IFERROR(__xludf.DUMMYFUNCTION("""COMPUTED_VALUE"""),FALSE)</f>
        <v>0</v>
      </c>
      <c r="L2003" s="20" t="str">
        <f>IFERROR(__xludf.DUMMYFUNCTION("""COMPUTED_VALUE"""),"String;Dynamic Programming;Backtracking;Bit Manipulation;Bitmask;")</f>
        <v>String;Dynamic Programming;Backtracking;Bit Manipulation;Bitmask;</v>
      </c>
      <c r="M2003" s="20" t="b">
        <f>IFERROR(__xludf.DUMMYFUNCTION("""COMPUTED_VALUE"""),FALSE)</f>
        <v>0</v>
      </c>
      <c r="N2003" s="20" t="b">
        <f>IFERROR(__xludf.DUMMYFUNCTION("""COMPUTED_VALUE"""),FALSE)</f>
        <v>0</v>
      </c>
      <c r="O2003" s="20">
        <f>IFERROR(__xludf.DUMMYFUNCTION("""COMPUTED_VALUE"""),53.5749331709132)</f>
        <v>53.57493317</v>
      </c>
      <c r="P2003" s="20">
        <f>IFERROR(__xludf.DUMMYFUNCTION("""COMPUTED_VALUE"""),15833.0)</f>
        <v>15833</v>
      </c>
      <c r="Q2003" s="20">
        <f>IFERROR(__xludf.DUMMYFUNCTION("""COMPUTED_VALUE"""),29553.0)</f>
        <v>29553</v>
      </c>
    </row>
    <row r="2004">
      <c r="A2004" s="20">
        <f>IFERROR(__xludf.DUMMYFUNCTION("""COMPUTED_VALUE"""),2131.0)</f>
        <v>2131</v>
      </c>
      <c r="B2004" s="20" t="str">
        <f>IFERROR(__xludf.DUMMYFUNCTION("""COMPUTED_VALUE"""),"Smallest Missing Genetic Value in Each Subtree")</f>
        <v>Smallest Missing Genetic Value in Each Subtree</v>
      </c>
      <c r="C2004" s="20" t="str">
        <f>IFERROR(__xludf.DUMMYFUNCTION("""COMPUTED_VALUE"""),"smallest-missing-genetic-value-in-each-subtree")</f>
        <v>smallest-missing-genetic-value-in-each-subtree</v>
      </c>
      <c r="D2004" s="20" t="b">
        <f>IFERROR(__xludf.DUMMYFUNCTION("""COMPUTED_VALUE"""),FALSE)</f>
        <v>0</v>
      </c>
      <c r="E2004" s="20" t="str">
        <f>IFERROR(__xludf.DUMMYFUNCTION("""COMPUTED_VALUE"""),"Hard")</f>
        <v>Hard</v>
      </c>
      <c r="F2004" s="20">
        <f>IFERROR(__xludf.DUMMYFUNCTION("""COMPUTED_VALUE"""),352.0)</f>
        <v>352</v>
      </c>
      <c r="G2004" s="20">
        <f>IFERROR(__xludf.DUMMYFUNCTION("""COMPUTED_VALUE"""),19.0)</f>
        <v>19</v>
      </c>
      <c r="H2004" s="20" t="str">
        <f>IFERROR(__xludf.DUMMYFUNCTION("""COMPUTED_VALUE"""),"Algorithms")</f>
        <v>Algorithms</v>
      </c>
      <c r="I2004" s="20">
        <f>IFERROR(__xludf.DUMMYFUNCTION("""COMPUTED_VALUE"""),0.444)</f>
        <v>0.444</v>
      </c>
      <c r="J2004" s="20">
        <f>IFERROR(__xludf.DUMMYFUNCTION("""COMPUTED_VALUE"""),2003.0)</f>
        <v>2003</v>
      </c>
      <c r="K2004" s="20" t="b">
        <f>IFERROR(__xludf.DUMMYFUNCTION("""COMPUTED_VALUE"""),FALSE)</f>
        <v>0</v>
      </c>
      <c r="L2004" s="20" t="str">
        <f>IFERROR(__xludf.DUMMYFUNCTION("""COMPUTED_VALUE"""),"Dynamic Programming;Tree;Depth-First Search;Union Find;")</f>
        <v>Dynamic Programming;Tree;Depth-First Search;Union Find;</v>
      </c>
      <c r="M2004" s="20" t="b">
        <f>IFERROR(__xludf.DUMMYFUNCTION("""COMPUTED_VALUE"""),FALSE)</f>
        <v>0</v>
      </c>
      <c r="N2004" s="20" t="b">
        <f>IFERROR(__xludf.DUMMYFUNCTION("""COMPUTED_VALUE"""),FALSE)</f>
        <v>0</v>
      </c>
      <c r="O2004" s="20">
        <f>IFERROR(__xludf.DUMMYFUNCTION("""COMPUTED_VALUE"""),44.4011824933304)</f>
        <v>44.40118249</v>
      </c>
      <c r="P2004" s="20">
        <f>IFERROR(__xludf.DUMMYFUNCTION("""COMPUTED_VALUE"""),6158.0)</f>
        <v>6158</v>
      </c>
      <c r="Q2004" s="20">
        <f>IFERROR(__xludf.DUMMYFUNCTION("""COMPUTED_VALUE"""),13869.0)</f>
        <v>13869</v>
      </c>
    </row>
    <row r="2005">
      <c r="A2005" s="20">
        <f>IFERROR(__xludf.DUMMYFUNCTION("""COMPUTED_VALUE"""),2152.0)</f>
        <v>2152</v>
      </c>
      <c r="B2005" s="20" t="str">
        <f>IFERROR(__xludf.DUMMYFUNCTION("""COMPUTED_VALUE"""),"The Number of Seniors and Juniors to Join the Company")</f>
        <v>The Number of Seniors and Juniors to Join the Company</v>
      </c>
      <c r="C2005" s="20" t="str">
        <f>IFERROR(__xludf.DUMMYFUNCTION("""COMPUTED_VALUE"""),"the-number-of-seniors-and-juniors-to-join-the-company")</f>
        <v>the-number-of-seniors-and-juniors-to-join-the-company</v>
      </c>
      <c r="D2005" s="20" t="b">
        <f>IFERROR(__xludf.DUMMYFUNCTION("""COMPUTED_VALUE"""),TRUE)</f>
        <v>1</v>
      </c>
      <c r="E2005" s="20" t="str">
        <f>IFERROR(__xludf.DUMMYFUNCTION("""COMPUTED_VALUE"""),"Hard")</f>
        <v>Hard</v>
      </c>
      <c r="F2005" s="20">
        <f>IFERROR(__xludf.DUMMYFUNCTION("""COMPUTED_VALUE"""),84.0)</f>
        <v>84</v>
      </c>
      <c r="G2005" s="20">
        <f>IFERROR(__xludf.DUMMYFUNCTION("""COMPUTED_VALUE"""),11.0)</f>
        <v>11</v>
      </c>
      <c r="H2005" s="20" t="str">
        <f>IFERROR(__xludf.DUMMYFUNCTION("""COMPUTED_VALUE"""),"Database")</f>
        <v>Database</v>
      </c>
      <c r="I2005" s="20">
        <f>IFERROR(__xludf.DUMMYFUNCTION("""COMPUTED_VALUE"""),0.397)</f>
        <v>0.397</v>
      </c>
      <c r="J2005" s="20">
        <f>IFERROR(__xludf.DUMMYFUNCTION("""COMPUTED_VALUE"""),2004.0)</f>
        <v>2004</v>
      </c>
      <c r="K2005" s="20" t="b">
        <f>IFERROR(__xludf.DUMMYFUNCTION("""COMPUTED_VALUE"""),TRUE)</f>
        <v>1</v>
      </c>
      <c r="L2005" s="20" t="str">
        <f>IFERROR(__xludf.DUMMYFUNCTION("""COMPUTED_VALUE"""),"Database;")</f>
        <v>Database;</v>
      </c>
      <c r="M2005" s="20" t="b">
        <f>IFERROR(__xludf.DUMMYFUNCTION("""COMPUTED_VALUE"""),FALSE)</f>
        <v>0</v>
      </c>
      <c r="N2005" s="20" t="b">
        <f>IFERROR(__xludf.DUMMYFUNCTION("""COMPUTED_VALUE"""),FALSE)</f>
        <v>0</v>
      </c>
      <c r="O2005" s="20">
        <f>IFERROR(__xludf.DUMMYFUNCTION("""COMPUTED_VALUE"""),39.7147314464007)</f>
        <v>39.71473145</v>
      </c>
      <c r="P2005" s="20">
        <f>IFERROR(__xludf.DUMMYFUNCTION("""COMPUTED_VALUE"""),5346.0)</f>
        <v>5346</v>
      </c>
      <c r="Q2005" s="20">
        <f>IFERROR(__xludf.DUMMYFUNCTION("""COMPUTED_VALUE"""),13461.0)</f>
        <v>13461</v>
      </c>
    </row>
    <row r="2006">
      <c r="A2006" s="20">
        <f>IFERROR(__xludf.DUMMYFUNCTION("""COMPUTED_VALUE"""),2153.0)</f>
        <v>2153</v>
      </c>
      <c r="B2006" s="20" t="str">
        <f>IFERROR(__xludf.DUMMYFUNCTION("""COMPUTED_VALUE"""),"Subtree Removal Game with Fibonacci Tree")</f>
        <v>Subtree Removal Game with Fibonacci Tree</v>
      </c>
      <c r="C2006" s="20" t="str">
        <f>IFERROR(__xludf.DUMMYFUNCTION("""COMPUTED_VALUE"""),"subtree-removal-game-with-fibonacci-tree")</f>
        <v>subtree-removal-game-with-fibonacci-tree</v>
      </c>
      <c r="D2006" s="20" t="b">
        <f>IFERROR(__xludf.DUMMYFUNCTION("""COMPUTED_VALUE"""),TRUE)</f>
        <v>1</v>
      </c>
      <c r="E2006" s="20" t="str">
        <f>IFERROR(__xludf.DUMMYFUNCTION("""COMPUTED_VALUE"""),"Hard")</f>
        <v>Hard</v>
      </c>
      <c r="F2006" s="20">
        <f>IFERROR(__xludf.DUMMYFUNCTION("""COMPUTED_VALUE"""),11.0)</f>
        <v>11</v>
      </c>
      <c r="G2006" s="20">
        <f>IFERROR(__xludf.DUMMYFUNCTION("""COMPUTED_VALUE"""),35.0)</f>
        <v>35</v>
      </c>
      <c r="H2006" s="20" t="str">
        <f>IFERROR(__xludf.DUMMYFUNCTION("""COMPUTED_VALUE"""),"Algorithms")</f>
        <v>Algorithms</v>
      </c>
      <c r="I2006" s="20">
        <f>IFERROR(__xludf.DUMMYFUNCTION("""COMPUTED_VALUE"""),0.621)</f>
        <v>0.621</v>
      </c>
      <c r="J2006" s="20">
        <f>IFERROR(__xludf.DUMMYFUNCTION("""COMPUTED_VALUE"""),2005.0)</f>
        <v>2005</v>
      </c>
      <c r="K2006" s="20" t="b">
        <f>IFERROR(__xludf.DUMMYFUNCTION("""COMPUTED_VALUE"""),TRUE)</f>
        <v>1</v>
      </c>
      <c r="L2006" s="20" t="str">
        <f>IFERROR(__xludf.DUMMYFUNCTION("""COMPUTED_VALUE"""),"Math;Dynamic Programming;Tree;Binary Tree;Game Theory;")</f>
        <v>Math;Dynamic Programming;Tree;Binary Tree;Game Theory;</v>
      </c>
      <c r="M2006" s="20" t="b">
        <f>IFERROR(__xludf.DUMMYFUNCTION("""COMPUTED_VALUE"""),FALSE)</f>
        <v>0</v>
      </c>
      <c r="N2006" s="20" t="b">
        <f>IFERROR(__xludf.DUMMYFUNCTION("""COMPUTED_VALUE"""),FALSE)</f>
        <v>0</v>
      </c>
      <c r="O2006" s="20">
        <f>IFERROR(__xludf.DUMMYFUNCTION("""COMPUTED_VALUE"""),62.0528771384136)</f>
        <v>62.05287714</v>
      </c>
      <c r="P2006" s="20">
        <f>IFERROR(__xludf.DUMMYFUNCTION("""COMPUTED_VALUE"""),399.0)</f>
        <v>399</v>
      </c>
      <c r="Q2006" s="20">
        <f>IFERROR(__xludf.DUMMYFUNCTION("""COMPUTED_VALUE"""),643.0)</f>
        <v>643</v>
      </c>
    </row>
    <row r="2007">
      <c r="A2007" s="20">
        <f>IFERROR(__xludf.DUMMYFUNCTION("""COMPUTED_VALUE"""),2116.0)</f>
        <v>2116</v>
      </c>
      <c r="B2007" s="20" t="str">
        <f>IFERROR(__xludf.DUMMYFUNCTION("""COMPUTED_VALUE"""),"Count Number of Pairs With Absolute Difference K")</f>
        <v>Count Number of Pairs With Absolute Difference K</v>
      </c>
      <c r="C2007" s="20" t="str">
        <f>IFERROR(__xludf.DUMMYFUNCTION("""COMPUTED_VALUE"""),"count-number-of-pairs-with-absolute-difference-k")</f>
        <v>count-number-of-pairs-with-absolute-difference-k</v>
      </c>
      <c r="D2007" s="20" t="b">
        <f>IFERROR(__xludf.DUMMYFUNCTION("""COMPUTED_VALUE"""),FALSE)</f>
        <v>0</v>
      </c>
      <c r="E2007" s="20" t="str">
        <f>IFERROR(__xludf.DUMMYFUNCTION("""COMPUTED_VALUE"""),"Easy")</f>
        <v>Easy</v>
      </c>
      <c r="F2007" s="20">
        <f>IFERROR(__xludf.DUMMYFUNCTION("""COMPUTED_VALUE"""),1068.0)</f>
        <v>1068</v>
      </c>
      <c r="G2007" s="20">
        <f>IFERROR(__xludf.DUMMYFUNCTION("""COMPUTED_VALUE"""),23.0)</f>
        <v>23</v>
      </c>
      <c r="H2007" s="20" t="str">
        <f>IFERROR(__xludf.DUMMYFUNCTION("""COMPUTED_VALUE"""),"Algorithms")</f>
        <v>Algorithms</v>
      </c>
      <c r="I2007" s="20">
        <f>IFERROR(__xludf.DUMMYFUNCTION("""COMPUTED_VALUE"""),0.825)</f>
        <v>0.825</v>
      </c>
      <c r="J2007" s="20">
        <f>IFERROR(__xludf.DUMMYFUNCTION("""COMPUTED_VALUE"""),2006.0)</f>
        <v>2006</v>
      </c>
      <c r="K2007" s="20" t="b">
        <f>IFERROR(__xludf.DUMMYFUNCTION("""COMPUTED_VALUE"""),FALSE)</f>
        <v>0</v>
      </c>
      <c r="L2007" s="20" t="str">
        <f>IFERROR(__xludf.DUMMYFUNCTION("""COMPUTED_VALUE"""),"Array;Hash Table;Counting;")</f>
        <v>Array;Hash Table;Counting;</v>
      </c>
      <c r="M2007" s="20" t="b">
        <f>IFERROR(__xludf.DUMMYFUNCTION("""COMPUTED_VALUE"""),FALSE)</f>
        <v>0</v>
      </c>
      <c r="N2007" s="20" t="b">
        <f>IFERROR(__xludf.DUMMYFUNCTION("""COMPUTED_VALUE"""),FALSE)</f>
        <v>0</v>
      </c>
      <c r="O2007" s="20">
        <f>IFERROR(__xludf.DUMMYFUNCTION("""COMPUTED_VALUE"""),82.4566567867148)</f>
        <v>82.45665679</v>
      </c>
      <c r="P2007" s="20">
        <f>IFERROR(__xludf.DUMMYFUNCTION("""COMPUTED_VALUE"""),81232.0)</f>
        <v>81232</v>
      </c>
      <c r="Q2007" s="20">
        <f>IFERROR(__xludf.DUMMYFUNCTION("""COMPUTED_VALUE"""),98515.0)</f>
        <v>98515</v>
      </c>
    </row>
    <row r="2008">
      <c r="A2008" s="20">
        <f>IFERROR(__xludf.DUMMYFUNCTION("""COMPUTED_VALUE"""),2117.0)</f>
        <v>2117</v>
      </c>
      <c r="B2008" s="20" t="str">
        <f>IFERROR(__xludf.DUMMYFUNCTION("""COMPUTED_VALUE"""),"Find Original Array From Doubled Array")</f>
        <v>Find Original Array From Doubled Array</v>
      </c>
      <c r="C2008" s="20" t="str">
        <f>IFERROR(__xludf.DUMMYFUNCTION("""COMPUTED_VALUE"""),"find-original-array-from-doubled-array")</f>
        <v>find-original-array-from-doubled-array</v>
      </c>
      <c r="D2008" s="20" t="b">
        <f>IFERROR(__xludf.DUMMYFUNCTION("""COMPUTED_VALUE"""),FALSE)</f>
        <v>0</v>
      </c>
      <c r="E2008" s="20" t="str">
        <f>IFERROR(__xludf.DUMMYFUNCTION("""COMPUTED_VALUE"""),"Medium")</f>
        <v>Medium</v>
      </c>
      <c r="F2008" s="20">
        <f>IFERROR(__xludf.DUMMYFUNCTION("""COMPUTED_VALUE"""),2115.0)</f>
        <v>2115</v>
      </c>
      <c r="G2008" s="20">
        <f>IFERROR(__xludf.DUMMYFUNCTION("""COMPUTED_VALUE"""),107.0)</f>
        <v>107</v>
      </c>
      <c r="H2008" s="20" t="str">
        <f>IFERROR(__xludf.DUMMYFUNCTION("""COMPUTED_VALUE"""),"Algorithms")</f>
        <v>Algorithms</v>
      </c>
      <c r="I2008" s="20">
        <f>IFERROR(__xludf.DUMMYFUNCTION("""COMPUTED_VALUE"""),0.408)</f>
        <v>0.408</v>
      </c>
      <c r="J2008" s="20">
        <f>IFERROR(__xludf.DUMMYFUNCTION("""COMPUTED_VALUE"""),2007.0)</f>
        <v>2007</v>
      </c>
      <c r="K2008" s="20" t="b">
        <f>IFERROR(__xludf.DUMMYFUNCTION("""COMPUTED_VALUE"""),FALSE)</f>
        <v>0</v>
      </c>
      <c r="L2008" s="20" t="str">
        <f>IFERROR(__xludf.DUMMYFUNCTION("""COMPUTED_VALUE"""),"Array;Hash Table;Greedy;Sorting;")</f>
        <v>Array;Hash Table;Greedy;Sorting;</v>
      </c>
      <c r="M2008" s="20" t="b">
        <f>IFERROR(__xludf.DUMMYFUNCTION("""COMPUTED_VALUE"""),TRUE)</f>
        <v>1</v>
      </c>
      <c r="N2008" s="20" t="b">
        <f>IFERROR(__xludf.DUMMYFUNCTION("""COMPUTED_VALUE"""),FALSE)</f>
        <v>0</v>
      </c>
      <c r="O2008" s="20">
        <f>IFERROR(__xludf.DUMMYFUNCTION("""COMPUTED_VALUE"""),40.8455851048732)</f>
        <v>40.8455851</v>
      </c>
      <c r="P2008" s="20">
        <f>IFERROR(__xludf.DUMMYFUNCTION("""COMPUTED_VALUE"""),115129.0)</f>
        <v>115129</v>
      </c>
      <c r="Q2008" s="20">
        <f>IFERROR(__xludf.DUMMYFUNCTION("""COMPUTED_VALUE"""),281864.0)</f>
        <v>281864</v>
      </c>
    </row>
    <row r="2009">
      <c r="A2009" s="20">
        <f>IFERROR(__xludf.DUMMYFUNCTION("""COMPUTED_VALUE"""),2118.0)</f>
        <v>2118</v>
      </c>
      <c r="B2009" s="20" t="str">
        <f>IFERROR(__xludf.DUMMYFUNCTION("""COMPUTED_VALUE"""),"Maximum Earnings From Taxi")</f>
        <v>Maximum Earnings From Taxi</v>
      </c>
      <c r="C2009" s="20" t="str">
        <f>IFERROR(__xludf.DUMMYFUNCTION("""COMPUTED_VALUE"""),"maximum-earnings-from-taxi")</f>
        <v>maximum-earnings-from-taxi</v>
      </c>
      <c r="D2009" s="20" t="b">
        <f>IFERROR(__xludf.DUMMYFUNCTION("""COMPUTED_VALUE"""),FALSE)</f>
        <v>0</v>
      </c>
      <c r="E2009" s="20" t="str">
        <f>IFERROR(__xludf.DUMMYFUNCTION("""COMPUTED_VALUE"""),"Medium")</f>
        <v>Medium</v>
      </c>
      <c r="F2009" s="20">
        <f>IFERROR(__xludf.DUMMYFUNCTION("""COMPUTED_VALUE"""),894.0)</f>
        <v>894</v>
      </c>
      <c r="G2009" s="20">
        <f>IFERROR(__xludf.DUMMYFUNCTION("""COMPUTED_VALUE"""),17.0)</f>
        <v>17</v>
      </c>
      <c r="H2009" s="20" t="str">
        <f>IFERROR(__xludf.DUMMYFUNCTION("""COMPUTED_VALUE"""),"Algorithms")</f>
        <v>Algorithms</v>
      </c>
      <c r="I2009" s="20">
        <f>IFERROR(__xludf.DUMMYFUNCTION("""COMPUTED_VALUE"""),0.435)</f>
        <v>0.435</v>
      </c>
      <c r="J2009" s="20">
        <f>IFERROR(__xludf.DUMMYFUNCTION("""COMPUTED_VALUE"""),2008.0)</f>
        <v>2008</v>
      </c>
      <c r="K2009" s="20" t="b">
        <f>IFERROR(__xludf.DUMMYFUNCTION("""COMPUTED_VALUE"""),FALSE)</f>
        <v>0</v>
      </c>
      <c r="L2009" s="20" t="str">
        <f>IFERROR(__xludf.DUMMYFUNCTION("""COMPUTED_VALUE"""),"Array;Binary Search;Dynamic Programming;Sorting;")</f>
        <v>Array;Binary Search;Dynamic Programming;Sorting;</v>
      </c>
      <c r="M2009" s="20" t="b">
        <f>IFERROR(__xludf.DUMMYFUNCTION("""COMPUTED_VALUE"""),FALSE)</f>
        <v>0</v>
      </c>
      <c r="N2009" s="20" t="b">
        <f>IFERROR(__xludf.DUMMYFUNCTION("""COMPUTED_VALUE"""),FALSE)</f>
        <v>0</v>
      </c>
      <c r="O2009" s="20">
        <f>IFERROR(__xludf.DUMMYFUNCTION("""COMPUTED_VALUE"""),43.5093689330977)</f>
        <v>43.50936893</v>
      </c>
      <c r="P2009" s="20">
        <f>IFERROR(__xludf.DUMMYFUNCTION("""COMPUTED_VALUE"""),19946.0)</f>
        <v>19946</v>
      </c>
      <c r="Q2009" s="20">
        <f>IFERROR(__xludf.DUMMYFUNCTION("""COMPUTED_VALUE"""),45843.0)</f>
        <v>45843</v>
      </c>
    </row>
    <row r="2010">
      <c r="A2010" s="20">
        <f>IFERROR(__xludf.DUMMYFUNCTION("""COMPUTED_VALUE"""),2119.0)</f>
        <v>2119</v>
      </c>
      <c r="B2010" s="20" t="str">
        <f>IFERROR(__xludf.DUMMYFUNCTION("""COMPUTED_VALUE"""),"Minimum Number of Operations to Make Array Continuous")</f>
        <v>Minimum Number of Operations to Make Array Continuous</v>
      </c>
      <c r="C2010" s="20" t="str">
        <f>IFERROR(__xludf.DUMMYFUNCTION("""COMPUTED_VALUE"""),"minimum-number-of-operations-to-make-array-continuous")</f>
        <v>minimum-number-of-operations-to-make-array-continuous</v>
      </c>
      <c r="D2010" s="20" t="b">
        <f>IFERROR(__xludf.DUMMYFUNCTION("""COMPUTED_VALUE"""),FALSE)</f>
        <v>0</v>
      </c>
      <c r="E2010" s="20" t="str">
        <f>IFERROR(__xludf.DUMMYFUNCTION("""COMPUTED_VALUE"""),"Hard")</f>
        <v>Hard</v>
      </c>
      <c r="F2010" s="20">
        <f>IFERROR(__xludf.DUMMYFUNCTION("""COMPUTED_VALUE"""),643.0)</f>
        <v>643</v>
      </c>
      <c r="G2010" s="20">
        <f>IFERROR(__xludf.DUMMYFUNCTION("""COMPUTED_VALUE"""),7.0)</f>
        <v>7</v>
      </c>
      <c r="H2010" s="20" t="str">
        <f>IFERROR(__xludf.DUMMYFUNCTION("""COMPUTED_VALUE"""),"Algorithms")</f>
        <v>Algorithms</v>
      </c>
      <c r="I2010" s="20">
        <f>IFERROR(__xludf.DUMMYFUNCTION("""COMPUTED_VALUE"""),0.457)</f>
        <v>0.457</v>
      </c>
      <c r="J2010" s="20">
        <f>IFERROR(__xludf.DUMMYFUNCTION("""COMPUTED_VALUE"""),2009.0)</f>
        <v>2009</v>
      </c>
      <c r="K2010" s="20" t="b">
        <f>IFERROR(__xludf.DUMMYFUNCTION("""COMPUTED_VALUE"""),FALSE)</f>
        <v>0</v>
      </c>
      <c r="L2010" s="20" t="str">
        <f>IFERROR(__xludf.DUMMYFUNCTION("""COMPUTED_VALUE"""),"Array;Binary Search;")</f>
        <v>Array;Binary Search;</v>
      </c>
      <c r="M2010" s="20" t="b">
        <f>IFERROR(__xludf.DUMMYFUNCTION("""COMPUTED_VALUE"""),FALSE)</f>
        <v>0</v>
      </c>
      <c r="N2010" s="20" t="b">
        <f>IFERROR(__xludf.DUMMYFUNCTION("""COMPUTED_VALUE"""),FALSE)</f>
        <v>0</v>
      </c>
      <c r="O2010" s="20">
        <f>IFERROR(__xludf.DUMMYFUNCTION("""COMPUTED_VALUE"""),45.7054235278018)</f>
        <v>45.70542353</v>
      </c>
      <c r="P2010" s="20">
        <f>IFERROR(__xludf.DUMMYFUNCTION("""COMPUTED_VALUE"""),10020.0)</f>
        <v>10020</v>
      </c>
      <c r="Q2010" s="20">
        <f>IFERROR(__xludf.DUMMYFUNCTION("""COMPUTED_VALUE"""),21923.0)</f>
        <v>21923</v>
      </c>
    </row>
    <row r="2011">
      <c r="A2011" s="20">
        <f>IFERROR(__xludf.DUMMYFUNCTION("""COMPUTED_VALUE"""),2158.0)</f>
        <v>2158</v>
      </c>
      <c r="B2011" s="20" t="str">
        <f>IFERROR(__xludf.DUMMYFUNCTION("""COMPUTED_VALUE"""),"The Number of Seniors and Juniors to Join the Company II")</f>
        <v>The Number of Seniors and Juniors to Join the Company II</v>
      </c>
      <c r="C2011" s="20" t="str">
        <f>IFERROR(__xludf.DUMMYFUNCTION("""COMPUTED_VALUE"""),"the-number-of-seniors-and-juniors-to-join-the-company-ii")</f>
        <v>the-number-of-seniors-and-juniors-to-join-the-company-ii</v>
      </c>
      <c r="D2011" s="20" t="b">
        <f>IFERROR(__xludf.DUMMYFUNCTION("""COMPUTED_VALUE"""),TRUE)</f>
        <v>1</v>
      </c>
      <c r="E2011" s="20" t="str">
        <f>IFERROR(__xludf.DUMMYFUNCTION("""COMPUTED_VALUE"""),"Hard")</f>
        <v>Hard</v>
      </c>
      <c r="F2011" s="20">
        <f>IFERROR(__xludf.DUMMYFUNCTION("""COMPUTED_VALUE"""),24.0)</f>
        <v>24</v>
      </c>
      <c r="G2011" s="20">
        <f>IFERROR(__xludf.DUMMYFUNCTION("""COMPUTED_VALUE"""),9.0)</f>
        <v>9</v>
      </c>
      <c r="H2011" s="20" t="str">
        <f>IFERROR(__xludf.DUMMYFUNCTION("""COMPUTED_VALUE"""),"Database")</f>
        <v>Database</v>
      </c>
      <c r="I2011" s="20">
        <f>IFERROR(__xludf.DUMMYFUNCTION("""COMPUTED_VALUE"""),0.584)</f>
        <v>0.584</v>
      </c>
      <c r="J2011" s="20">
        <f>IFERROR(__xludf.DUMMYFUNCTION("""COMPUTED_VALUE"""),2010.0)</f>
        <v>2010</v>
      </c>
      <c r="K2011" s="20" t="b">
        <f>IFERROR(__xludf.DUMMYFUNCTION("""COMPUTED_VALUE"""),TRUE)</f>
        <v>1</v>
      </c>
      <c r="L2011" s="20" t="str">
        <f>IFERROR(__xludf.DUMMYFUNCTION("""COMPUTED_VALUE"""),"Database;")</f>
        <v>Database;</v>
      </c>
      <c r="M2011" s="20" t="b">
        <f>IFERROR(__xludf.DUMMYFUNCTION("""COMPUTED_VALUE"""),FALSE)</f>
        <v>0</v>
      </c>
      <c r="N2011" s="20" t="b">
        <f>IFERROR(__xludf.DUMMYFUNCTION("""COMPUTED_VALUE"""),FALSE)</f>
        <v>0</v>
      </c>
      <c r="O2011" s="20">
        <f>IFERROR(__xludf.DUMMYFUNCTION("""COMPUTED_VALUE"""),58.3531006438495)</f>
        <v>58.35310064</v>
      </c>
      <c r="P2011" s="20">
        <f>IFERROR(__xludf.DUMMYFUNCTION("""COMPUTED_VALUE"""),3444.0)</f>
        <v>3444</v>
      </c>
      <c r="Q2011" s="20">
        <f>IFERROR(__xludf.DUMMYFUNCTION("""COMPUTED_VALUE"""),5902.0)</f>
        <v>5902</v>
      </c>
    </row>
    <row r="2012">
      <c r="A2012" s="20">
        <f>IFERROR(__xludf.DUMMYFUNCTION("""COMPUTED_VALUE"""),2137.0)</f>
        <v>2137</v>
      </c>
      <c r="B2012" s="20" t="str">
        <f>IFERROR(__xludf.DUMMYFUNCTION("""COMPUTED_VALUE"""),"Final Value of Variable After Performing Operations")</f>
        <v>Final Value of Variable After Performing Operations</v>
      </c>
      <c r="C2012" s="20" t="str">
        <f>IFERROR(__xludf.DUMMYFUNCTION("""COMPUTED_VALUE"""),"final-value-of-variable-after-performing-operations")</f>
        <v>final-value-of-variable-after-performing-operations</v>
      </c>
      <c r="D2012" s="20" t="b">
        <f>IFERROR(__xludf.DUMMYFUNCTION("""COMPUTED_VALUE"""),FALSE)</f>
        <v>0</v>
      </c>
      <c r="E2012" s="20" t="str">
        <f>IFERROR(__xludf.DUMMYFUNCTION("""COMPUTED_VALUE"""),"Easy")</f>
        <v>Easy</v>
      </c>
      <c r="F2012" s="20">
        <f>IFERROR(__xludf.DUMMYFUNCTION("""COMPUTED_VALUE"""),966.0)</f>
        <v>966</v>
      </c>
      <c r="G2012" s="20">
        <f>IFERROR(__xludf.DUMMYFUNCTION("""COMPUTED_VALUE"""),136.0)</f>
        <v>136</v>
      </c>
      <c r="H2012" s="20" t="str">
        <f>IFERROR(__xludf.DUMMYFUNCTION("""COMPUTED_VALUE"""),"Algorithms")</f>
        <v>Algorithms</v>
      </c>
      <c r="I2012" s="20">
        <f>IFERROR(__xludf.DUMMYFUNCTION("""COMPUTED_VALUE"""),0.888)</f>
        <v>0.888</v>
      </c>
      <c r="J2012" s="20">
        <f>IFERROR(__xludf.DUMMYFUNCTION("""COMPUTED_VALUE"""),2011.0)</f>
        <v>2011</v>
      </c>
      <c r="K2012" s="20" t="b">
        <f>IFERROR(__xludf.DUMMYFUNCTION("""COMPUTED_VALUE"""),FALSE)</f>
        <v>0</v>
      </c>
      <c r="L2012" s="20" t="str">
        <f>IFERROR(__xludf.DUMMYFUNCTION("""COMPUTED_VALUE"""),"Array;String;Simulation;")</f>
        <v>Array;String;Simulation;</v>
      </c>
      <c r="M2012" s="20" t="b">
        <f>IFERROR(__xludf.DUMMYFUNCTION("""COMPUTED_VALUE"""),FALSE)</f>
        <v>0</v>
      </c>
      <c r="N2012" s="20" t="b">
        <f>IFERROR(__xludf.DUMMYFUNCTION("""COMPUTED_VALUE"""),FALSE)</f>
        <v>0</v>
      </c>
      <c r="O2012" s="20">
        <f>IFERROR(__xludf.DUMMYFUNCTION("""COMPUTED_VALUE"""),88.7665251085678)</f>
        <v>88.76652511</v>
      </c>
      <c r="P2012" s="20">
        <f>IFERROR(__xludf.DUMMYFUNCTION("""COMPUTED_VALUE"""),184979.0)</f>
        <v>184979</v>
      </c>
      <c r="Q2012" s="20">
        <f>IFERROR(__xludf.DUMMYFUNCTION("""COMPUTED_VALUE"""),208389.0)</f>
        <v>208389</v>
      </c>
    </row>
    <row r="2013">
      <c r="A2013" s="20">
        <f>IFERROR(__xludf.DUMMYFUNCTION("""COMPUTED_VALUE"""),2138.0)</f>
        <v>2138</v>
      </c>
      <c r="B2013" s="20" t="str">
        <f>IFERROR(__xludf.DUMMYFUNCTION("""COMPUTED_VALUE"""),"Sum of Beauty in the Array")</f>
        <v>Sum of Beauty in the Array</v>
      </c>
      <c r="C2013" s="20" t="str">
        <f>IFERROR(__xludf.DUMMYFUNCTION("""COMPUTED_VALUE"""),"sum-of-beauty-in-the-array")</f>
        <v>sum-of-beauty-in-the-array</v>
      </c>
      <c r="D2013" s="20" t="b">
        <f>IFERROR(__xludf.DUMMYFUNCTION("""COMPUTED_VALUE"""),FALSE)</f>
        <v>0</v>
      </c>
      <c r="E2013" s="20" t="str">
        <f>IFERROR(__xludf.DUMMYFUNCTION("""COMPUTED_VALUE"""),"Medium")</f>
        <v>Medium</v>
      </c>
      <c r="F2013" s="20">
        <f>IFERROR(__xludf.DUMMYFUNCTION("""COMPUTED_VALUE"""),426.0)</f>
        <v>426</v>
      </c>
      <c r="G2013" s="20">
        <f>IFERROR(__xludf.DUMMYFUNCTION("""COMPUTED_VALUE"""),42.0)</f>
        <v>42</v>
      </c>
      <c r="H2013" s="20" t="str">
        <f>IFERROR(__xludf.DUMMYFUNCTION("""COMPUTED_VALUE"""),"Algorithms")</f>
        <v>Algorithms</v>
      </c>
      <c r="I2013" s="20">
        <f>IFERROR(__xludf.DUMMYFUNCTION("""COMPUTED_VALUE"""),0.468)</f>
        <v>0.468</v>
      </c>
      <c r="J2013" s="20">
        <f>IFERROR(__xludf.DUMMYFUNCTION("""COMPUTED_VALUE"""),2012.0)</f>
        <v>2012</v>
      </c>
      <c r="K2013" s="20" t="b">
        <f>IFERROR(__xludf.DUMMYFUNCTION("""COMPUTED_VALUE"""),FALSE)</f>
        <v>0</v>
      </c>
      <c r="L2013" s="20" t="str">
        <f>IFERROR(__xludf.DUMMYFUNCTION("""COMPUTED_VALUE"""),"Array;")</f>
        <v>Array;</v>
      </c>
      <c r="M2013" s="20" t="b">
        <f>IFERROR(__xludf.DUMMYFUNCTION("""COMPUTED_VALUE"""),FALSE)</f>
        <v>0</v>
      </c>
      <c r="N2013" s="20" t="b">
        <f>IFERROR(__xludf.DUMMYFUNCTION("""COMPUTED_VALUE"""),FALSE)</f>
        <v>0</v>
      </c>
      <c r="O2013" s="20">
        <f>IFERROR(__xludf.DUMMYFUNCTION("""COMPUTED_VALUE"""),46.7653288291911)</f>
        <v>46.76532883</v>
      </c>
      <c r="P2013" s="20">
        <f>IFERROR(__xludf.DUMMYFUNCTION("""COMPUTED_VALUE"""),17443.0)</f>
        <v>17443</v>
      </c>
      <c r="Q2013" s="20">
        <f>IFERROR(__xludf.DUMMYFUNCTION("""COMPUTED_VALUE"""),37299.0)</f>
        <v>37299</v>
      </c>
    </row>
    <row r="2014">
      <c r="A2014" s="20">
        <f>IFERROR(__xludf.DUMMYFUNCTION("""COMPUTED_VALUE"""),2139.0)</f>
        <v>2139</v>
      </c>
      <c r="B2014" s="20" t="str">
        <f>IFERROR(__xludf.DUMMYFUNCTION("""COMPUTED_VALUE"""),"Detect Squares")</f>
        <v>Detect Squares</v>
      </c>
      <c r="C2014" s="20" t="str">
        <f>IFERROR(__xludf.DUMMYFUNCTION("""COMPUTED_VALUE"""),"detect-squares")</f>
        <v>detect-squares</v>
      </c>
      <c r="D2014" s="20" t="b">
        <f>IFERROR(__xludf.DUMMYFUNCTION("""COMPUTED_VALUE"""),FALSE)</f>
        <v>0</v>
      </c>
      <c r="E2014" s="20" t="str">
        <f>IFERROR(__xludf.DUMMYFUNCTION("""COMPUTED_VALUE"""),"Medium")</f>
        <v>Medium</v>
      </c>
      <c r="F2014" s="20">
        <f>IFERROR(__xludf.DUMMYFUNCTION("""COMPUTED_VALUE"""),588.0)</f>
        <v>588</v>
      </c>
      <c r="G2014" s="20">
        <f>IFERROR(__xludf.DUMMYFUNCTION("""COMPUTED_VALUE"""),162.0)</f>
        <v>162</v>
      </c>
      <c r="H2014" s="20" t="str">
        <f>IFERROR(__xludf.DUMMYFUNCTION("""COMPUTED_VALUE"""),"Algorithms")</f>
        <v>Algorithms</v>
      </c>
      <c r="I2014" s="20">
        <f>IFERROR(__xludf.DUMMYFUNCTION("""COMPUTED_VALUE"""),0.502)</f>
        <v>0.502</v>
      </c>
      <c r="J2014" s="20">
        <f>IFERROR(__xludf.DUMMYFUNCTION("""COMPUTED_VALUE"""),2013.0)</f>
        <v>2013</v>
      </c>
      <c r="K2014" s="20" t="b">
        <f>IFERROR(__xludf.DUMMYFUNCTION("""COMPUTED_VALUE"""),FALSE)</f>
        <v>0</v>
      </c>
      <c r="L2014" s="20" t="str">
        <f>IFERROR(__xludf.DUMMYFUNCTION("""COMPUTED_VALUE"""),"Array;Hash Table;Design;Counting;")</f>
        <v>Array;Hash Table;Design;Counting;</v>
      </c>
      <c r="M2014" s="20" t="b">
        <f>IFERROR(__xludf.DUMMYFUNCTION("""COMPUTED_VALUE"""),FALSE)</f>
        <v>0</v>
      </c>
      <c r="N2014" s="20" t="b">
        <f>IFERROR(__xludf.DUMMYFUNCTION("""COMPUTED_VALUE"""),FALSE)</f>
        <v>0</v>
      </c>
      <c r="O2014" s="20">
        <f>IFERROR(__xludf.DUMMYFUNCTION("""COMPUTED_VALUE"""),50.1987637862077)</f>
        <v>50.19876379</v>
      </c>
      <c r="P2014" s="20">
        <f>IFERROR(__xludf.DUMMYFUNCTION("""COMPUTED_VALUE"""),41419.0)</f>
        <v>41419</v>
      </c>
      <c r="Q2014" s="20">
        <f>IFERROR(__xludf.DUMMYFUNCTION("""COMPUTED_VALUE"""),82510.0)</f>
        <v>82510</v>
      </c>
    </row>
    <row r="2015">
      <c r="A2015" s="20">
        <f>IFERROR(__xludf.DUMMYFUNCTION("""COMPUTED_VALUE"""),2140.0)</f>
        <v>2140</v>
      </c>
      <c r="B2015" s="20" t="str">
        <f>IFERROR(__xludf.DUMMYFUNCTION("""COMPUTED_VALUE"""),"Longest Subsequence Repeated k Times")</f>
        <v>Longest Subsequence Repeated k Times</v>
      </c>
      <c r="C2015" s="20" t="str">
        <f>IFERROR(__xludf.DUMMYFUNCTION("""COMPUTED_VALUE"""),"longest-subsequence-repeated-k-times")</f>
        <v>longest-subsequence-repeated-k-times</v>
      </c>
      <c r="D2015" s="20" t="b">
        <f>IFERROR(__xludf.DUMMYFUNCTION("""COMPUTED_VALUE"""),FALSE)</f>
        <v>0</v>
      </c>
      <c r="E2015" s="20" t="str">
        <f>IFERROR(__xludf.DUMMYFUNCTION("""COMPUTED_VALUE"""),"Hard")</f>
        <v>Hard</v>
      </c>
      <c r="F2015" s="20">
        <f>IFERROR(__xludf.DUMMYFUNCTION("""COMPUTED_VALUE"""),325.0)</f>
        <v>325</v>
      </c>
      <c r="G2015" s="20">
        <f>IFERROR(__xludf.DUMMYFUNCTION("""COMPUTED_VALUE"""),63.0)</f>
        <v>63</v>
      </c>
      <c r="H2015" s="20" t="str">
        <f>IFERROR(__xludf.DUMMYFUNCTION("""COMPUTED_VALUE"""),"Algorithms")</f>
        <v>Algorithms</v>
      </c>
      <c r="I2015" s="20">
        <f>IFERROR(__xludf.DUMMYFUNCTION("""COMPUTED_VALUE"""),0.556)</f>
        <v>0.556</v>
      </c>
      <c r="J2015" s="20">
        <f>IFERROR(__xludf.DUMMYFUNCTION("""COMPUTED_VALUE"""),2014.0)</f>
        <v>2014</v>
      </c>
      <c r="K2015" s="20" t="b">
        <f>IFERROR(__xludf.DUMMYFUNCTION("""COMPUTED_VALUE"""),FALSE)</f>
        <v>0</v>
      </c>
      <c r="L2015" s="20" t="str">
        <f>IFERROR(__xludf.DUMMYFUNCTION("""COMPUTED_VALUE"""),"String;Backtracking;Greedy;Counting;Enumeration;")</f>
        <v>String;Backtracking;Greedy;Counting;Enumeration;</v>
      </c>
      <c r="M2015" s="20" t="b">
        <f>IFERROR(__xludf.DUMMYFUNCTION("""COMPUTED_VALUE"""),FALSE)</f>
        <v>0</v>
      </c>
      <c r="N2015" s="20" t="b">
        <f>IFERROR(__xludf.DUMMYFUNCTION("""COMPUTED_VALUE"""),FALSE)</f>
        <v>0</v>
      </c>
      <c r="O2015" s="20">
        <f>IFERROR(__xludf.DUMMYFUNCTION("""COMPUTED_VALUE"""),55.5726443145698)</f>
        <v>55.57264431</v>
      </c>
      <c r="P2015" s="20">
        <f>IFERROR(__xludf.DUMMYFUNCTION("""COMPUTED_VALUE"""),5420.0)</f>
        <v>5420</v>
      </c>
      <c r="Q2015" s="20">
        <f>IFERROR(__xludf.DUMMYFUNCTION("""COMPUTED_VALUE"""),9752.0)</f>
        <v>9752</v>
      </c>
    </row>
    <row r="2016">
      <c r="A2016" s="20">
        <f>IFERROR(__xludf.DUMMYFUNCTION("""COMPUTED_VALUE"""),2142.0)</f>
        <v>2142</v>
      </c>
      <c r="B2016" s="20" t="str">
        <f>IFERROR(__xludf.DUMMYFUNCTION("""COMPUTED_VALUE"""),"Average Height of Buildings in Each Segment")</f>
        <v>Average Height of Buildings in Each Segment</v>
      </c>
      <c r="C2016" s="20" t="str">
        <f>IFERROR(__xludf.DUMMYFUNCTION("""COMPUTED_VALUE"""),"average-height-of-buildings-in-each-segment")</f>
        <v>average-height-of-buildings-in-each-segment</v>
      </c>
      <c r="D2016" s="20" t="b">
        <f>IFERROR(__xludf.DUMMYFUNCTION("""COMPUTED_VALUE"""),TRUE)</f>
        <v>1</v>
      </c>
      <c r="E2016" s="20" t="str">
        <f>IFERROR(__xludf.DUMMYFUNCTION("""COMPUTED_VALUE"""),"Medium")</f>
        <v>Medium</v>
      </c>
      <c r="F2016" s="20">
        <f>IFERROR(__xludf.DUMMYFUNCTION("""COMPUTED_VALUE"""),37.0)</f>
        <v>37</v>
      </c>
      <c r="G2016" s="20">
        <f>IFERROR(__xludf.DUMMYFUNCTION("""COMPUTED_VALUE"""),22.0)</f>
        <v>22</v>
      </c>
      <c r="H2016" s="20" t="str">
        <f>IFERROR(__xludf.DUMMYFUNCTION("""COMPUTED_VALUE"""),"Algorithms")</f>
        <v>Algorithms</v>
      </c>
      <c r="I2016" s="20">
        <f>IFERROR(__xludf.DUMMYFUNCTION("""COMPUTED_VALUE"""),0.584)</f>
        <v>0.584</v>
      </c>
      <c r="J2016" s="20">
        <f>IFERROR(__xludf.DUMMYFUNCTION("""COMPUTED_VALUE"""),2015.0)</f>
        <v>2015</v>
      </c>
      <c r="K2016" s="20" t="b">
        <f>IFERROR(__xludf.DUMMYFUNCTION("""COMPUTED_VALUE"""),TRUE)</f>
        <v>1</v>
      </c>
      <c r="L2016" s="20" t="str">
        <f>IFERROR(__xludf.DUMMYFUNCTION("""COMPUTED_VALUE"""),"Array;Greedy;Sorting;Heap (Priority Queue);")</f>
        <v>Array;Greedy;Sorting;Heap (Priority Queue);</v>
      </c>
      <c r="M2016" s="20" t="b">
        <f>IFERROR(__xludf.DUMMYFUNCTION("""COMPUTED_VALUE"""),FALSE)</f>
        <v>0</v>
      </c>
      <c r="N2016" s="20" t="b">
        <f>IFERROR(__xludf.DUMMYFUNCTION("""COMPUTED_VALUE"""),FALSE)</f>
        <v>0</v>
      </c>
      <c r="O2016" s="20">
        <f>IFERROR(__xludf.DUMMYFUNCTION("""COMPUTED_VALUE"""),58.4081632653061)</f>
        <v>58.40816327</v>
      </c>
      <c r="P2016" s="20">
        <f>IFERROR(__xludf.DUMMYFUNCTION("""COMPUTED_VALUE"""),1431.0)</f>
        <v>1431</v>
      </c>
      <c r="Q2016" s="20">
        <f>IFERROR(__xludf.DUMMYFUNCTION("""COMPUTED_VALUE"""),2450.0)</f>
        <v>2450</v>
      </c>
    </row>
    <row r="2017">
      <c r="A2017" s="20">
        <f>IFERROR(__xludf.DUMMYFUNCTION("""COMPUTED_VALUE"""),2144.0)</f>
        <v>2144</v>
      </c>
      <c r="B2017" s="20" t="str">
        <f>IFERROR(__xludf.DUMMYFUNCTION("""COMPUTED_VALUE"""),"Maximum Difference Between Increasing Elements")</f>
        <v>Maximum Difference Between Increasing Elements</v>
      </c>
      <c r="C2017" s="20" t="str">
        <f>IFERROR(__xludf.DUMMYFUNCTION("""COMPUTED_VALUE"""),"maximum-difference-between-increasing-elements")</f>
        <v>maximum-difference-between-increasing-elements</v>
      </c>
      <c r="D2017" s="20" t="b">
        <f>IFERROR(__xludf.DUMMYFUNCTION("""COMPUTED_VALUE"""),FALSE)</f>
        <v>0</v>
      </c>
      <c r="E2017" s="20" t="str">
        <f>IFERROR(__xludf.DUMMYFUNCTION("""COMPUTED_VALUE"""),"Easy")</f>
        <v>Easy</v>
      </c>
      <c r="F2017" s="20">
        <f>IFERROR(__xludf.DUMMYFUNCTION("""COMPUTED_VALUE"""),701.0)</f>
        <v>701</v>
      </c>
      <c r="G2017" s="20">
        <f>IFERROR(__xludf.DUMMYFUNCTION("""COMPUTED_VALUE"""),24.0)</f>
        <v>24</v>
      </c>
      <c r="H2017" s="20" t="str">
        <f>IFERROR(__xludf.DUMMYFUNCTION("""COMPUTED_VALUE"""),"Algorithms")</f>
        <v>Algorithms</v>
      </c>
      <c r="I2017" s="20">
        <f>IFERROR(__xludf.DUMMYFUNCTION("""COMPUTED_VALUE"""),0.537)</f>
        <v>0.537</v>
      </c>
      <c r="J2017" s="20">
        <f>IFERROR(__xludf.DUMMYFUNCTION("""COMPUTED_VALUE"""),2016.0)</f>
        <v>2016</v>
      </c>
      <c r="K2017" s="20" t="b">
        <f>IFERROR(__xludf.DUMMYFUNCTION("""COMPUTED_VALUE"""),FALSE)</f>
        <v>0</v>
      </c>
      <c r="L2017" s="20" t="str">
        <f>IFERROR(__xludf.DUMMYFUNCTION("""COMPUTED_VALUE"""),"Array;")</f>
        <v>Array;</v>
      </c>
      <c r="M2017" s="20" t="b">
        <f>IFERROR(__xludf.DUMMYFUNCTION("""COMPUTED_VALUE"""),FALSE)</f>
        <v>0</v>
      </c>
      <c r="N2017" s="20" t="b">
        <f>IFERROR(__xludf.DUMMYFUNCTION("""COMPUTED_VALUE"""),FALSE)</f>
        <v>0</v>
      </c>
      <c r="O2017" s="20">
        <f>IFERROR(__xludf.DUMMYFUNCTION("""COMPUTED_VALUE"""),53.6744367782998)</f>
        <v>53.67443678</v>
      </c>
      <c r="P2017" s="20">
        <f>IFERROR(__xludf.DUMMYFUNCTION("""COMPUTED_VALUE"""),52200.0)</f>
        <v>52200</v>
      </c>
      <c r="Q2017" s="20">
        <f>IFERROR(__xludf.DUMMYFUNCTION("""COMPUTED_VALUE"""),97253.0)</f>
        <v>97253</v>
      </c>
    </row>
    <row r="2018">
      <c r="A2018" s="20">
        <f>IFERROR(__xludf.DUMMYFUNCTION("""COMPUTED_VALUE"""),2145.0)</f>
        <v>2145</v>
      </c>
      <c r="B2018" s="20" t="str">
        <f>IFERROR(__xludf.DUMMYFUNCTION("""COMPUTED_VALUE"""),"Grid Game")</f>
        <v>Grid Game</v>
      </c>
      <c r="C2018" s="20" t="str">
        <f>IFERROR(__xludf.DUMMYFUNCTION("""COMPUTED_VALUE"""),"grid-game")</f>
        <v>grid-game</v>
      </c>
      <c r="D2018" s="20" t="b">
        <f>IFERROR(__xludf.DUMMYFUNCTION("""COMPUTED_VALUE"""),FALSE)</f>
        <v>0</v>
      </c>
      <c r="E2018" s="20" t="str">
        <f>IFERROR(__xludf.DUMMYFUNCTION("""COMPUTED_VALUE"""),"Medium")</f>
        <v>Medium</v>
      </c>
      <c r="F2018" s="20">
        <f>IFERROR(__xludf.DUMMYFUNCTION("""COMPUTED_VALUE"""),580.0)</f>
        <v>580</v>
      </c>
      <c r="G2018" s="20">
        <f>IFERROR(__xludf.DUMMYFUNCTION("""COMPUTED_VALUE"""),17.0)</f>
        <v>17</v>
      </c>
      <c r="H2018" s="20" t="str">
        <f>IFERROR(__xludf.DUMMYFUNCTION("""COMPUTED_VALUE"""),"Algorithms")</f>
        <v>Algorithms</v>
      </c>
      <c r="I2018" s="20">
        <f>IFERROR(__xludf.DUMMYFUNCTION("""COMPUTED_VALUE"""),0.432)</f>
        <v>0.432</v>
      </c>
      <c r="J2018" s="20">
        <f>IFERROR(__xludf.DUMMYFUNCTION("""COMPUTED_VALUE"""),2017.0)</f>
        <v>2017</v>
      </c>
      <c r="K2018" s="20" t="b">
        <f>IFERROR(__xludf.DUMMYFUNCTION("""COMPUTED_VALUE"""),FALSE)</f>
        <v>0</v>
      </c>
      <c r="L2018" s="20" t="str">
        <f>IFERROR(__xludf.DUMMYFUNCTION("""COMPUTED_VALUE"""),"Array;Matrix;Prefix Sum;")</f>
        <v>Array;Matrix;Prefix Sum;</v>
      </c>
      <c r="M2018" s="20" t="b">
        <f>IFERROR(__xludf.DUMMYFUNCTION("""COMPUTED_VALUE"""),FALSE)</f>
        <v>0</v>
      </c>
      <c r="N2018" s="20" t="b">
        <f>IFERROR(__xludf.DUMMYFUNCTION("""COMPUTED_VALUE"""),FALSE)</f>
        <v>0</v>
      </c>
      <c r="O2018" s="20">
        <f>IFERROR(__xludf.DUMMYFUNCTION("""COMPUTED_VALUE"""),43.1572610032003)</f>
        <v>43.157261</v>
      </c>
      <c r="P2018" s="20">
        <f>IFERROR(__xludf.DUMMYFUNCTION("""COMPUTED_VALUE"""),13620.0)</f>
        <v>13620</v>
      </c>
      <c r="Q2018" s="20">
        <f>IFERROR(__xludf.DUMMYFUNCTION("""COMPUTED_VALUE"""),31558.0)</f>
        <v>31558</v>
      </c>
    </row>
    <row r="2019">
      <c r="A2019" s="20">
        <f>IFERROR(__xludf.DUMMYFUNCTION("""COMPUTED_VALUE"""),2146.0)</f>
        <v>2146</v>
      </c>
      <c r="B2019" s="20" t="str">
        <f>IFERROR(__xludf.DUMMYFUNCTION("""COMPUTED_VALUE"""),"Check if Word Can Be Placed In Crossword")</f>
        <v>Check if Word Can Be Placed In Crossword</v>
      </c>
      <c r="C2019" s="20" t="str">
        <f>IFERROR(__xludf.DUMMYFUNCTION("""COMPUTED_VALUE"""),"check-if-word-can-be-placed-in-crossword")</f>
        <v>check-if-word-can-be-placed-in-crossword</v>
      </c>
      <c r="D2019" s="20" t="b">
        <f>IFERROR(__xludf.DUMMYFUNCTION("""COMPUTED_VALUE"""),FALSE)</f>
        <v>0</v>
      </c>
      <c r="E2019" s="20" t="str">
        <f>IFERROR(__xludf.DUMMYFUNCTION("""COMPUTED_VALUE"""),"Medium")</f>
        <v>Medium</v>
      </c>
      <c r="F2019" s="20">
        <f>IFERROR(__xludf.DUMMYFUNCTION("""COMPUTED_VALUE"""),232.0)</f>
        <v>232</v>
      </c>
      <c r="G2019" s="20">
        <f>IFERROR(__xludf.DUMMYFUNCTION("""COMPUTED_VALUE"""),270.0)</f>
        <v>270</v>
      </c>
      <c r="H2019" s="20" t="str">
        <f>IFERROR(__xludf.DUMMYFUNCTION("""COMPUTED_VALUE"""),"Algorithms")</f>
        <v>Algorithms</v>
      </c>
      <c r="I2019" s="20">
        <f>IFERROR(__xludf.DUMMYFUNCTION("""COMPUTED_VALUE"""),0.495)</f>
        <v>0.495</v>
      </c>
      <c r="J2019" s="20">
        <f>IFERROR(__xludf.DUMMYFUNCTION("""COMPUTED_VALUE"""),2018.0)</f>
        <v>2018</v>
      </c>
      <c r="K2019" s="20" t="b">
        <f>IFERROR(__xludf.DUMMYFUNCTION("""COMPUTED_VALUE"""),FALSE)</f>
        <v>0</v>
      </c>
      <c r="L2019" s="20" t="str">
        <f>IFERROR(__xludf.DUMMYFUNCTION("""COMPUTED_VALUE"""),"Array;Matrix;Enumeration;")</f>
        <v>Array;Matrix;Enumeration;</v>
      </c>
      <c r="M2019" s="20" t="b">
        <f>IFERROR(__xludf.DUMMYFUNCTION("""COMPUTED_VALUE"""),FALSE)</f>
        <v>0</v>
      </c>
      <c r="N2019" s="20" t="b">
        <f>IFERROR(__xludf.DUMMYFUNCTION("""COMPUTED_VALUE"""),FALSE)</f>
        <v>0</v>
      </c>
      <c r="O2019" s="20">
        <f>IFERROR(__xludf.DUMMYFUNCTION("""COMPUTED_VALUE"""),49.5186068270304)</f>
        <v>49.51860683</v>
      </c>
      <c r="P2019" s="20">
        <f>IFERROR(__xludf.DUMMYFUNCTION("""COMPUTED_VALUE"""),16407.0)</f>
        <v>16407</v>
      </c>
      <c r="Q2019" s="20">
        <f>IFERROR(__xludf.DUMMYFUNCTION("""COMPUTED_VALUE"""),33132.0)</f>
        <v>33132</v>
      </c>
    </row>
    <row r="2020">
      <c r="A2020" s="20">
        <f>IFERROR(__xludf.DUMMYFUNCTION("""COMPUTED_VALUE"""),2147.0)</f>
        <v>2147</v>
      </c>
      <c r="B2020" s="20" t="str">
        <f>IFERROR(__xludf.DUMMYFUNCTION("""COMPUTED_VALUE"""),"The Score of Students Solving Math Expression")</f>
        <v>The Score of Students Solving Math Expression</v>
      </c>
      <c r="C2020" s="20" t="str">
        <f>IFERROR(__xludf.DUMMYFUNCTION("""COMPUTED_VALUE"""),"the-score-of-students-solving-math-expression")</f>
        <v>the-score-of-students-solving-math-expression</v>
      </c>
      <c r="D2020" s="20" t="b">
        <f>IFERROR(__xludf.DUMMYFUNCTION("""COMPUTED_VALUE"""),FALSE)</f>
        <v>0</v>
      </c>
      <c r="E2020" s="20" t="str">
        <f>IFERROR(__xludf.DUMMYFUNCTION("""COMPUTED_VALUE"""),"Hard")</f>
        <v>Hard</v>
      </c>
      <c r="F2020" s="20">
        <f>IFERROR(__xludf.DUMMYFUNCTION("""COMPUTED_VALUE"""),198.0)</f>
        <v>198</v>
      </c>
      <c r="G2020" s="20">
        <f>IFERROR(__xludf.DUMMYFUNCTION("""COMPUTED_VALUE"""),71.0)</f>
        <v>71</v>
      </c>
      <c r="H2020" s="20" t="str">
        <f>IFERROR(__xludf.DUMMYFUNCTION("""COMPUTED_VALUE"""),"Algorithms")</f>
        <v>Algorithms</v>
      </c>
      <c r="I2020" s="20">
        <f>IFERROR(__xludf.DUMMYFUNCTION("""COMPUTED_VALUE"""),0.338)</f>
        <v>0.338</v>
      </c>
      <c r="J2020" s="20">
        <f>IFERROR(__xludf.DUMMYFUNCTION("""COMPUTED_VALUE"""),2019.0)</f>
        <v>2019</v>
      </c>
      <c r="K2020" s="20" t="b">
        <f>IFERROR(__xludf.DUMMYFUNCTION("""COMPUTED_VALUE"""),FALSE)</f>
        <v>0</v>
      </c>
      <c r="L2020" s="20" t="str">
        <f>IFERROR(__xludf.DUMMYFUNCTION("""COMPUTED_VALUE"""),"Array;Math;String;Dynamic Programming;Stack;Memoization;")</f>
        <v>Array;Math;String;Dynamic Programming;Stack;Memoization;</v>
      </c>
      <c r="M2020" s="20" t="b">
        <f>IFERROR(__xludf.DUMMYFUNCTION("""COMPUTED_VALUE"""),FALSE)</f>
        <v>0</v>
      </c>
      <c r="N2020" s="20" t="b">
        <f>IFERROR(__xludf.DUMMYFUNCTION("""COMPUTED_VALUE"""),FALSE)</f>
        <v>0</v>
      </c>
      <c r="O2020" s="20">
        <f>IFERROR(__xludf.DUMMYFUNCTION("""COMPUTED_VALUE"""),33.7770073670525)</f>
        <v>33.77700737</v>
      </c>
      <c r="P2020" s="20">
        <f>IFERROR(__xludf.DUMMYFUNCTION("""COMPUTED_VALUE"""),5456.0)</f>
        <v>5456</v>
      </c>
      <c r="Q2020" s="20">
        <f>IFERROR(__xludf.DUMMYFUNCTION("""COMPUTED_VALUE"""),16153.0)</f>
        <v>16153</v>
      </c>
    </row>
    <row r="2021">
      <c r="A2021" s="20">
        <f>IFERROR(__xludf.DUMMYFUNCTION("""COMPUTED_VALUE"""),2167.0)</f>
        <v>2167</v>
      </c>
      <c r="B2021" s="20" t="str">
        <f>IFERROR(__xludf.DUMMYFUNCTION("""COMPUTED_VALUE"""),"Number of Accounts That Did Not Stream")</f>
        <v>Number of Accounts That Did Not Stream</v>
      </c>
      <c r="C2021" s="20" t="str">
        <f>IFERROR(__xludf.DUMMYFUNCTION("""COMPUTED_VALUE"""),"number-of-accounts-that-did-not-stream")</f>
        <v>number-of-accounts-that-did-not-stream</v>
      </c>
      <c r="D2021" s="20" t="b">
        <f>IFERROR(__xludf.DUMMYFUNCTION("""COMPUTED_VALUE"""),TRUE)</f>
        <v>1</v>
      </c>
      <c r="E2021" s="20" t="str">
        <f>IFERROR(__xludf.DUMMYFUNCTION("""COMPUTED_VALUE"""),"Medium")</f>
        <v>Medium</v>
      </c>
      <c r="F2021" s="20">
        <f>IFERROR(__xludf.DUMMYFUNCTION("""COMPUTED_VALUE"""),19.0)</f>
        <v>19</v>
      </c>
      <c r="G2021" s="20">
        <f>IFERROR(__xludf.DUMMYFUNCTION("""COMPUTED_VALUE"""),163.0)</f>
        <v>163</v>
      </c>
      <c r="H2021" s="20" t="str">
        <f>IFERROR(__xludf.DUMMYFUNCTION("""COMPUTED_VALUE"""),"Database")</f>
        <v>Database</v>
      </c>
      <c r="I2021" s="20">
        <f>IFERROR(__xludf.DUMMYFUNCTION("""COMPUTED_VALUE"""),0.735)</f>
        <v>0.735</v>
      </c>
      <c r="J2021" s="20">
        <f>IFERROR(__xludf.DUMMYFUNCTION("""COMPUTED_VALUE"""),2020.0)</f>
        <v>2020</v>
      </c>
      <c r="K2021" s="20" t="b">
        <f>IFERROR(__xludf.DUMMYFUNCTION("""COMPUTED_VALUE"""),TRUE)</f>
        <v>1</v>
      </c>
      <c r="L2021" s="20" t="str">
        <f>IFERROR(__xludf.DUMMYFUNCTION("""COMPUTED_VALUE"""),"Database;")</f>
        <v>Database;</v>
      </c>
      <c r="M2021" s="20" t="b">
        <f>IFERROR(__xludf.DUMMYFUNCTION("""COMPUTED_VALUE"""),FALSE)</f>
        <v>0</v>
      </c>
      <c r="N2021" s="20" t="b">
        <f>IFERROR(__xludf.DUMMYFUNCTION("""COMPUTED_VALUE"""),FALSE)</f>
        <v>0</v>
      </c>
      <c r="O2021" s="20">
        <f>IFERROR(__xludf.DUMMYFUNCTION("""COMPUTED_VALUE"""),73.5271943995692)</f>
        <v>73.5271944</v>
      </c>
      <c r="P2021" s="20">
        <f>IFERROR(__xludf.DUMMYFUNCTION("""COMPUTED_VALUE"""),6827.0)</f>
        <v>6827</v>
      </c>
      <c r="Q2021" s="20">
        <f>IFERROR(__xludf.DUMMYFUNCTION("""COMPUTED_VALUE"""),9285.0)</f>
        <v>9285</v>
      </c>
    </row>
    <row r="2022">
      <c r="A2022" s="20">
        <f>IFERROR(__xludf.DUMMYFUNCTION("""COMPUTED_VALUE"""),2075.0)</f>
        <v>2075</v>
      </c>
      <c r="B2022" s="20" t="str">
        <f>IFERROR(__xludf.DUMMYFUNCTION("""COMPUTED_VALUE"""),"Brightest Position on Street")</f>
        <v>Brightest Position on Street</v>
      </c>
      <c r="C2022" s="20" t="str">
        <f>IFERROR(__xludf.DUMMYFUNCTION("""COMPUTED_VALUE"""),"brightest-position-on-street")</f>
        <v>brightest-position-on-street</v>
      </c>
      <c r="D2022" s="20" t="b">
        <f>IFERROR(__xludf.DUMMYFUNCTION("""COMPUTED_VALUE"""),TRUE)</f>
        <v>1</v>
      </c>
      <c r="E2022" s="20" t="str">
        <f>IFERROR(__xludf.DUMMYFUNCTION("""COMPUTED_VALUE"""),"Medium")</f>
        <v>Medium</v>
      </c>
      <c r="F2022" s="20">
        <f>IFERROR(__xludf.DUMMYFUNCTION("""COMPUTED_VALUE"""),110.0)</f>
        <v>110</v>
      </c>
      <c r="G2022" s="20">
        <f>IFERROR(__xludf.DUMMYFUNCTION("""COMPUTED_VALUE"""),2.0)</f>
        <v>2</v>
      </c>
      <c r="H2022" s="20" t="str">
        <f>IFERROR(__xludf.DUMMYFUNCTION("""COMPUTED_VALUE"""),"Algorithms")</f>
        <v>Algorithms</v>
      </c>
      <c r="I2022" s="20">
        <f>IFERROR(__xludf.DUMMYFUNCTION("""COMPUTED_VALUE"""),0.625)</f>
        <v>0.625</v>
      </c>
      <c r="J2022" s="20">
        <f>IFERROR(__xludf.DUMMYFUNCTION("""COMPUTED_VALUE"""),2021.0)</f>
        <v>2021</v>
      </c>
      <c r="K2022" s="20" t="b">
        <f>IFERROR(__xludf.DUMMYFUNCTION("""COMPUTED_VALUE"""),TRUE)</f>
        <v>1</v>
      </c>
      <c r="L2022" s="20" t="str">
        <f>IFERROR(__xludf.DUMMYFUNCTION("""COMPUTED_VALUE"""),"Array;Prefix Sum;Ordered Set;")</f>
        <v>Array;Prefix Sum;Ordered Set;</v>
      </c>
      <c r="M2022" s="20" t="b">
        <f>IFERROR(__xludf.DUMMYFUNCTION("""COMPUTED_VALUE"""),FALSE)</f>
        <v>0</v>
      </c>
      <c r="N2022" s="20" t="b">
        <f>IFERROR(__xludf.DUMMYFUNCTION("""COMPUTED_VALUE"""),FALSE)</f>
        <v>0</v>
      </c>
      <c r="O2022" s="20">
        <f>IFERROR(__xludf.DUMMYFUNCTION("""COMPUTED_VALUE"""),62.4810126582278)</f>
        <v>62.48101266</v>
      </c>
      <c r="P2022" s="20">
        <f>IFERROR(__xludf.DUMMYFUNCTION("""COMPUTED_VALUE"""),3702.0)</f>
        <v>3702</v>
      </c>
      <c r="Q2022" s="20">
        <f>IFERROR(__xludf.DUMMYFUNCTION("""COMPUTED_VALUE"""),5925.0)</f>
        <v>5925</v>
      </c>
    </row>
    <row r="2023">
      <c r="A2023" s="20">
        <f>IFERROR(__xludf.DUMMYFUNCTION("""COMPUTED_VALUE"""),2132.0)</f>
        <v>2132</v>
      </c>
      <c r="B2023" s="20" t="str">
        <f>IFERROR(__xludf.DUMMYFUNCTION("""COMPUTED_VALUE"""),"Convert 1D Array Into 2D Array")</f>
        <v>Convert 1D Array Into 2D Array</v>
      </c>
      <c r="C2023" s="20" t="str">
        <f>IFERROR(__xludf.DUMMYFUNCTION("""COMPUTED_VALUE"""),"convert-1d-array-into-2d-array")</f>
        <v>convert-1d-array-into-2d-array</v>
      </c>
      <c r="D2023" s="20" t="b">
        <f>IFERROR(__xludf.DUMMYFUNCTION("""COMPUTED_VALUE"""),FALSE)</f>
        <v>0</v>
      </c>
      <c r="E2023" s="20" t="str">
        <f>IFERROR(__xludf.DUMMYFUNCTION("""COMPUTED_VALUE"""),"Easy")</f>
        <v>Easy</v>
      </c>
      <c r="F2023" s="20">
        <f>IFERROR(__xludf.DUMMYFUNCTION("""COMPUTED_VALUE"""),531.0)</f>
        <v>531</v>
      </c>
      <c r="G2023" s="20">
        <f>IFERROR(__xludf.DUMMYFUNCTION("""COMPUTED_VALUE"""),37.0)</f>
        <v>37</v>
      </c>
      <c r="H2023" s="20" t="str">
        <f>IFERROR(__xludf.DUMMYFUNCTION("""COMPUTED_VALUE"""),"Algorithms")</f>
        <v>Algorithms</v>
      </c>
      <c r="I2023" s="20">
        <f>IFERROR(__xludf.DUMMYFUNCTION("""COMPUTED_VALUE"""),0.586)</f>
        <v>0.586</v>
      </c>
      <c r="J2023" s="20">
        <f>IFERROR(__xludf.DUMMYFUNCTION("""COMPUTED_VALUE"""),2022.0)</f>
        <v>2022</v>
      </c>
      <c r="K2023" s="20" t="b">
        <f>IFERROR(__xludf.DUMMYFUNCTION("""COMPUTED_VALUE"""),FALSE)</f>
        <v>0</v>
      </c>
      <c r="L2023" s="20" t="str">
        <f>IFERROR(__xludf.DUMMYFUNCTION("""COMPUTED_VALUE"""),"Array;Matrix;Simulation;")</f>
        <v>Array;Matrix;Simulation;</v>
      </c>
      <c r="M2023" s="20" t="b">
        <f>IFERROR(__xludf.DUMMYFUNCTION("""COMPUTED_VALUE"""),FALSE)</f>
        <v>0</v>
      </c>
      <c r="N2023" s="20" t="b">
        <f>IFERROR(__xludf.DUMMYFUNCTION("""COMPUTED_VALUE"""),FALSE)</f>
        <v>0</v>
      </c>
      <c r="O2023" s="20">
        <f>IFERROR(__xludf.DUMMYFUNCTION("""COMPUTED_VALUE"""),58.6008767411782)</f>
        <v>58.60087674</v>
      </c>
      <c r="P2023" s="20">
        <f>IFERROR(__xludf.DUMMYFUNCTION("""COMPUTED_VALUE"""),51196.0)</f>
        <v>51196</v>
      </c>
      <c r="Q2023" s="20">
        <f>IFERROR(__xludf.DUMMYFUNCTION("""COMPUTED_VALUE"""),87365.0)</f>
        <v>87365</v>
      </c>
    </row>
    <row r="2024">
      <c r="A2024" s="20">
        <f>IFERROR(__xludf.DUMMYFUNCTION("""COMPUTED_VALUE"""),2133.0)</f>
        <v>2133</v>
      </c>
      <c r="B2024" s="20" t="str">
        <f>IFERROR(__xludf.DUMMYFUNCTION("""COMPUTED_VALUE"""),"Number of Pairs of Strings With Concatenation Equal to Target")</f>
        <v>Number of Pairs of Strings With Concatenation Equal to Target</v>
      </c>
      <c r="C2024" s="20" t="str">
        <f>IFERROR(__xludf.DUMMYFUNCTION("""COMPUTED_VALUE"""),"number-of-pairs-of-strings-with-concatenation-equal-to-target")</f>
        <v>number-of-pairs-of-strings-with-concatenation-equal-to-target</v>
      </c>
      <c r="D2024" s="20" t="b">
        <f>IFERROR(__xludf.DUMMYFUNCTION("""COMPUTED_VALUE"""),FALSE)</f>
        <v>0</v>
      </c>
      <c r="E2024" s="20" t="str">
        <f>IFERROR(__xludf.DUMMYFUNCTION("""COMPUTED_VALUE"""),"Medium")</f>
        <v>Medium</v>
      </c>
      <c r="F2024" s="20">
        <f>IFERROR(__xludf.DUMMYFUNCTION("""COMPUTED_VALUE"""),466.0)</f>
        <v>466</v>
      </c>
      <c r="G2024" s="20">
        <f>IFERROR(__xludf.DUMMYFUNCTION("""COMPUTED_VALUE"""),43.0)</f>
        <v>43</v>
      </c>
      <c r="H2024" s="20" t="str">
        <f>IFERROR(__xludf.DUMMYFUNCTION("""COMPUTED_VALUE"""),"Algorithms")</f>
        <v>Algorithms</v>
      </c>
      <c r="I2024" s="20">
        <f>IFERROR(__xludf.DUMMYFUNCTION("""COMPUTED_VALUE"""),0.731)</f>
        <v>0.731</v>
      </c>
      <c r="J2024" s="20">
        <f>IFERROR(__xludf.DUMMYFUNCTION("""COMPUTED_VALUE"""),2023.0)</f>
        <v>2023</v>
      </c>
      <c r="K2024" s="20" t="b">
        <f>IFERROR(__xludf.DUMMYFUNCTION("""COMPUTED_VALUE"""),FALSE)</f>
        <v>0</v>
      </c>
      <c r="L2024" s="20" t="str">
        <f>IFERROR(__xludf.DUMMYFUNCTION("""COMPUTED_VALUE"""),"Array;String;")</f>
        <v>Array;String;</v>
      </c>
      <c r="M2024" s="20" t="b">
        <f>IFERROR(__xludf.DUMMYFUNCTION("""COMPUTED_VALUE"""),FALSE)</f>
        <v>0</v>
      </c>
      <c r="N2024" s="20" t="b">
        <f>IFERROR(__xludf.DUMMYFUNCTION("""COMPUTED_VALUE"""),FALSE)</f>
        <v>0</v>
      </c>
      <c r="O2024" s="20">
        <f>IFERROR(__xludf.DUMMYFUNCTION("""COMPUTED_VALUE"""),73.0988816183946)</f>
        <v>73.09888162</v>
      </c>
      <c r="P2024" s="20">
        <f>IFERROR(__xludf.DUMMYFUNCTION("""COMPUTED_VALUE"""),28039.0)</f>
        <v>28039</v>
      </c>
      <c r="Q2024" s="20">
        <f>IFERROR(__xludf.DUMMYFUNCTION("""COMPUTED_VALUE"""),38358.0)</f>
        <v>38358</v>
      </c>
    </row>
    <row r="2025">
      <c r="A2025" s="20">
        <f>IFERROR(__xludf.DUMMYFUNCTION("""COMPUTED_VALUE"""),2134.0)</f>
        <v>2134</v>
      </c>
      <c r="B2025" s="20" t="str">
        <f>IFERROR(__xludf.DUMMYFUNCTION("""COMPUTED_VALUE"""),"Maximize the Confusion of an Exam")</f>
        <v>Maximize the Confusion of an Exam</v>
      </c>
      <c r="C2025" s="20" t="str">
        <f>IFERROR(__xludf.DUMMYFUNCTION("""COMPUTED_VALUE"""),"maximize-the-confusion-of-an-exam")</f>
        <v>maximize-the-confusion-of-an-exam</v>
      </c>
      <c r="D2025" s="20" t="b">
        <f>IFERROR(__xludf.DUMMYFUNCTION("""COMPUTED_VALUE"""),FALSE)</f>
        <v>0</v>
      </c>
      <c r="E2025" s="20" t="str">
        <f>IFERROR(__xludf.DUMMYFUNCTION("""COMPUTED_VALUE"""),"Medium")</f>
        <v>Medium</v>
      </c>
      <c r="F2025" s="20">
        <f>IFERROR(__xludf.DUMMYFUNCTION("""COMPUTED_VALUE"""),798.0)</f>
        <v>798</v>
      </c>
      <c r="G2025" s="20">
        <f>IFERROR(__xludf.DUMMYFUNCTION("""COMPUTED_VALUE"""),18.0)</f>
        <v>18</v>
      </c>
      <c r="H2025" s="20" t="str">
        <f>IFERROR(__xludf.DUMMYFUNCTION("""COMPUTED_VALUE"""),"Algorithms")</f>
        <v>Algorithms</v>
      </c>
      <c r="I2025" s="20">
        <f>IFERROR(__xludf.DUMMYFUNCTION("""COMPUTED_VALUE"""),0.598)</f>
        <v>0.598</v>
      </c>
      <c r="J2025" s="20">
        <f>IFERROR(__xludf.DUMMYFUNCTION("""COMPUTED_VALUE"""),2024.0)</f>
        <v>2024</v>
      </c>
      <c r="K2025" s="20" t="b">
        <f>IFERROR(__xludf.DUMMYFUNCTION("""COMPUTED_VALUE"""),FALSE)</f>
        <v>0</v>
      </c>
      <c r="L2025" s="20" t="str">
        <f>IFERROR(__xludf.DUMMYFUNCTION("""COMPUTED_VALUE"""),"String;Binary Search;Sliding Window;Prefix Sum;")</f>
        <v>String;Binary Search;Sliding Window;Prefix Sum;</v>
      </c>
      <c r="M2025" s="20" t="b">
        <f>IFERROR(__xludf.DUMMYFUNCTION("""COMPUTED_VALUE"""),FALSE)</f>
        <v>0</v>
      </c>
      <c r="N2025" s="20" t="b">
        <f>IFERROR(__xludf.DUMMYFUNCTION("""COMPUTED_VALUE"""),FALSE)</f>
        <v>0</v>
      </c>
      <c r="O2025" s="20">
        <f>IFERROR(__xludf.DUMMYFUNCTION("""COMPUTED_VALUE"""),59.8409489149481)</f>
        <v>59.84094891</v>
      </c>
      <c r="P2025" s="20">
        <f>IFERROR(__xludf.DUMMYFUNCTION("""COMPUTED_VALUE"""),22197.0)</f>
        <v>22197</v>
      </c>
      <c r="Q2025" s="20">
        <f>IFERROR(__xludf.DUMMYFUNCTION("""COMPUTED_VALUE"""),37094.0)</f>
        <v>37094</v>
      </c>
    </row>
    <row r="2026">
      <c r="A2026" s="20">
        <f>IFERROR(__xludf.DUMMYFUNCTION("""COMPUTED_VALUE"""),2135.0)</f>
        <v>2135</v>
      </c>
      <c r="B2026" s="20" t="str">
        <f>IFERROR(__xludf.DUMMYFUNCTION("""COMPUTED_VALUE"""),"Maximum Number of Ways to Partition an Array")</f>
        <v>Maximum Number of Ways to Partition an Array</v>
      </c>
      <c r="C2026" s="20" t="str">
        <f>IFERROR(__xludf.DUMMYFUNCTION("""COMPUTED_VALUE"""),"maximum-number-of-ways-to-partition-an-array")</f>
        <v>maximum-number-of-ways-to-partition-an-array</v>
      </c>
      <c r="D2026" s="20" t="b">
        <f>IFERROR(__xludf.DUMMYFUNCTION("""COMPUTED_VALUE"""),FALSE)</f>
        <v>0</v>
      </c>
      <c r="E2026" s="20" t="str">
        <f>IFERROR(__xludf.DUMMYFUNCTION("""COMPUTED_VALUE"""),"Hard")</f>
        <v>Hard</v>
      </c>
      <c r="F2026" s="20">
        <f>IFERROR(__xludf.DUMMYFUNCTION("""COMPUTED_VALUE"""),369.0)</f>
        <v>369</v>
      </c>
      <c r="G2026" s="20">
        <f>IFERROR(__xludf.DUMMYFUNCTION("""COMPUTED_VALUE"""),38.0)</f>
        <v>38</v>
      </c>
      <c r="H2026" s="20" t="str">
        <f>IFERROR(__xludf.DUMMYFUNCTION("""COMPUTED_VALUE"""),"Algorithms")</f>
        <v>Algorithms</v>
      </c>
      <c r="I2026" s="20">
        <f>IFERROR(__xludf.DUMMYFUNCTION("""COMPUTED_VALUE"""),0.326)</f>
        <v>0.326</v>
      </c>
      <c r="J2026" s="20">
        <f>IFERROR(__xludf.DUMMYFUNCTION("""COMPUTED_VALUE"""),2025.0)</f>
        <v>2025</v>
      </c>
      <c r="K2026" s="20" t="b">
        <f>IFERROR(__xludf.DUMMYFUNCTION("""COMPUTED_VALUE"""),FALSE)</f>
        <v>0</v>
      </c>
      <c r="L2026" s="20" t="str">
        <f>IFERROR(__xludf.DUMMYFUNCTION("""COMPUTED_VALUE"""),"Array;Hash Table;Counting;Enumeration;Prefix Sum;")</f>
        <v>Array;Hash Table;Counting;Enumeration;Prefix Sum;</v>
      </c>
      <c r="M2026" s="20" t="b">
        <f>IFERROR(__xludf.DUMMYFUNCTION("""COMPUTED_VALUE"""),FALSE)</f>
        <v>0</v>
      </c>
      <c r="N2026" s="20" t="b">
        <f>IFERROR(__xludf.DUMMYFUNCTION("""COMPUTED_VALUE"""),FALSE)</f>
        <v>0</v>
      </c>
      <c r="O2026" s="20">
        <f>IFERROR(__xludf.DUMMYFUNCTION("""COMPUTED_VALUE"""),32.6232350755511)</f>
        <v>32.62323508</v>
      </c>
      <c r="P2026" s="20">
        <f>IFERROR(__xludf.DUMMYFUNCTION("""COMPUTED_VALUE"""),6585.0)</f>
        <v>6585</v>
      </c>
      <c r="Q2026" s="20">
        <f>IFERROR(__xludf.DUMMYFUNCTION("""COMPUTED_VALUE"""),20184.0)</f>
        <v>20184</v>
      </c>
    </row>
    <row r="2027">
      <c r="A2027" s="20">
        <f>IFERROR(__xludf.DUMMYFUNCTION("""COMPUTED_VALUE"""),2172.0)</f>
        <v>2172</v>
      </c>
      <c r="B2027" s="20" t="str">
        <f>IFERROR(__xludf.DUMMYFUNCTION("""COMPUTED_VALUE"""),"Low-Quality Problems")</f>
        <v>Low-Quality Problems</v>
      </c>
      <c r="C2027" s="20" t="str">
        <f>IFERROR(__xludf.DUMMYFUNCTION("""COMPUTED_VALUE"""),"low-quality-problems")</f>
        <v>low-quality-problems</v>
      </c>
      <c r="D2027" s="20" t="b">
        <f>IFERROR(__xludf.DUMMYFUNCTION("""COMPUTED_VALUE"""),TRUE)</f>
        <v>1</v>
      </c>
      <c r="E2027" s="20" t="str">
        <f>IFERROR(__xludf.DUMMYFUNCTION("""COMPUTED_VALUE"""),"Easy")</f>
        <v>Easy</v>
      </c>
      <c r="F2027" s="20">
        <f>IFERROR(__xludf.DUMMYFUNCTION("""COMPUTED_VALUE"""),28.0)</f>
        <v>28</v>
      </c>
      <c r="G2027" s="20">
        <f>IFERROR(__xludf.DUMMYFUNCTION("""COMPUTED_VALUE"""),9.0)</f>
        <v>9</v>
      </c>
      <c r="H2027" s="20" t="str">
        <f>IFERROR(__xludf.DUMMYFUNCTION("""COMPUTED_VALUE"""),"Database")</f>
        <v>Database</v>
      </c>
      <c r="I2027" s="20">
        <f>IFERROR(__xludf.DUMMYFUNCTION("""COMPUTED_VALUE"""),0.853)</f>
        <v>0.853</v>
      </c>
      <c r="J2027" s="20">
        <f>IFERROR(__xludf.DUMMYFUNCTION("""COMPUTED_VALUE"""),2026.0)</f>
        <v>2026</v>
      </c>
      <c r="K2027" s="20" t="b">
        <f>IFERROR(__xludf.DUMMYFUNCTION("""COMPUTED_VALUE"""),TRUE)</f>
        <v>1</v>
      </c>
      <c r="L2027" s="20" t="str">
        <f>IFERROR(__xludf.DUMMYFUNCTION("""COMPUTED_VALUE"""),"Database;")</f>
        <v>Database;</v>
      </c>
      <c r="M2027" s="20" t="b">
        <f>IFERROR(__xludf.DUMMYFUNCTION("""COMPUTED_VALUE"""),FALSE)</f>
        <v>0</v>
      </c>
      <c r="N2027" s="20" t="b">
        <f>IFERROR(__xludf.DUMMYFUNCTION("""COMPUTED_VALUE"""),FALSE)</f>
        <v>0</v>
      </c>
      <c r="O2027" s="20">
        <f>IFERROR(__xludf.DUMMYFUNCTION("""COMPUTED_VALUE"""),85.3337717855968)</f>
        <v>85.33377179</v>
      </c>
      <c r="P2027" s="20">
        <f>IFERROR(__xludf.DUMMYFUNCTION("""COMPUTED_VALUE"""),7785.0)</f>
        <v>7785</v>
      </c>
      <c r="Q2027" s="20">
        <f>IFERROR(__xludf.DUMMYFUNCTION("""COMPUTED_VALUE"""),9123.0)</f>
        <v>9123</v>
      </c>
    </row>
    <row r="2028">
      <c r="A2028" s="20">
        <f>IFERROR(__xludf.DUMMYFUNCTION("""COMPUTED_VALUE"""),2154.0)</f>
        <v>2154</v>
      </c>
      <c r="B2028" s="20" t="str">
        <f>IFERROR(__xludf.DUMMYFUNCTION("""COMPUTED_VALUE"""),"Minimum Moves to Convert String")</f>
        <v>Minimum Moves to Convert String</v>
      </c>
      <c r="C2028" s="20" t="str">
        <f>IFERROR(__xludf.DUMMYFUNCTION("""COMPUTED_VALUE"""),"minimum-moves-to-convert-string")</f>
        <v>minimum-moves-to-convert-string</v>
      </c>
      <c r="D2028" s="20" t="b">
        <f>IFERROR(__xludf.DUMMYFUNCTION("""COMPUTED_VALUE"""),FALSE)</f>
        <v>0</v>
      </c>
      <c r="E2028" s="20" t="str">
        <f>IFERROR(__xludf.DUMMYFUNCTION("""COMPUTED_VALUE"""),"Easy")</f>
        <v>Easy</v>
      </c>
      <c r="F2028" s="20">
        <f>IFERROR(__xludf.DUMMYFUNCTION("""COMPUTED_VALUE"""),339.0)</f>
        <v>339</v>
      </c>
      <c r="G2028" s="20">
        <f>IFERROR(__xludf.DUMMYFUNCTION("""COMPUTED_VALUE"""),58.0)</f>
        <v>58</v>
      </c>
      <c r="H2028" s="20" t="str">
        <f>IFERROR(__xludf.DUMMYFUNCTION("""COMPUTED_VALUE"""),"Algorithms")</f>
        <v>Algorithms</v>
      </c>
      <c r="I2028" s="20">
        <f>IFERROR(__xludf.DUMMYFUNCTION("""COMPUTED_VALUE"""),0.539)</f>
        <v>0.539</v>
      </c>
      <c r="J2028" s="20">
        <f>IFERROR(__xludf.DUMMYFUNCTION("""COMPUTED_VALUE"""),2027.0)</f>
        <v>2027</v>
      </c>
      <c r="K2028" s="20" t="b">
        <f>IFERROR(__xludf.DUMMYFUNCTION("""COMPUTED_VALUE"""),FALSE)</f>
        <v>0</v>
      </c>
      <c r="L2028" s="20" t="str">
        <f>IFERROR(__xludf.DUMMYFUNCTION("""COMPUTED_VALUE"""),"String;Greedy;")</f>
        <v>String;Greedy;</v>
      </c>
      <c r="M2028" s="20" t="b">
        <f>IFERROR(__xludf.DUMMYFUNCTION("""COMPUTED_VALUE"""),FALSE)</f>
        <v>0</v>
      </c>
      <c r="N2028" s="20" t="b">
        <f>IFERROR(__xludf.DUMMYFUNCTION("""COMPUTED_VALUE"""),FALSE)</f>
        <v>0</v>
      </c>
      <c r="O2028" s="20">
        <f>IFERROR(__xludf.DUMMYFUNCTION("""COMPUTED_VALUE"""),53.8722723242284)</f>
        <v>53.87227232</v>
      </c>
      <c r="P2028" s="20">
        <f>IFERROR(__xludf.DUMMYFUNCTION("""COMPUTED_VALUE"""),24910.0)</f>
        <v>24910</v>
      </c>
      <c r="Q2028" s="20">
        <f>IFERROR(__xludf.DUMMYFUNCTION("""COMPUTED_VALUE"""),46239.0)</f>
        <v>46239</v>
      </c>
    </row>
    <row r="2029">
      <c r="A2029" s="20">
        <f>IFERROR(__xludf.DUMMYFUNCTION("""COMPUTED_VALUE"""),2155.0)</f>
        <v>2155</v>
      </c>
      <c r="B2029" s="20" t="str">
        <f>IFERROR(__xludf.DUMMYFUNCTION("""COMPUTED_VALUE"""),"Find Missing Observations")</f>
        <v>Find Missing Observations</v>
      </c>
      <c r="C2029" s="20" t="str">
        <f>IFERROR(__xludf.DUMMYFUNCTION("""COMPUTED_VALUE"""),"find-missing-observations")</f>
        <v>find-missing-observations</v>
      </c>
      <c r="D2029" s="20" t="b">
        <f>IFERROR(__xludf.DUMMYFUNCTION("""COMPUTED_VALUE"""),FALSE)</f>
        <v>0</v>
      </c>
      <c r="E2029" s="20" t="str">
        <f>IFERROR(__xludf.DUMMYFUNCTION("""COMPUTED_VALUE"""),"Medium")</f>
        <v>Medium</v>
      </c>
      <c r="F2029" s="20">
        <f>IFERROR(__xludf.DUMMYFUNCTION("""COMPUTED_VALUE"""),338.0)</f>
        <v>338</v>
      </c>
      <c r="G2029" s="20">
        <f>IFERROR(__xludf.DUMMYFUNCTION("""COMPUTED_VALUE"""),19.0)</f>
        <v>19</v>
      </c>
      <c r="H2029" s="20" t="str">
        <f>IFERROR(__xludf.DUMMYFUNCTION("""COMPUTED_VALUE"""),"Algorithms")</f>
        <v>Algorithms</v>
      </c>
      <c r="I2029" s="20">
        <f>IFERROR(__xludf.DUMMYFUNCTION("""COMPUTED_VALUE"""),0.441)</f>
        <v>0.441</v>
      </c>
      <c r="J2029" s="20">
        <f>IFERROR(__xludf.DUMMYFUNCTION("""COMPUTED_VALUE"""),2028.0)</f>
        <v>2028</v>
      </c>
      <c r="K2029" s="20" t="b">
        <f>IFERROR(__xludf.DUMMYFUNCTION("""COMPUTED_VALUE"""),FALSE)</f>
        <v>0</v>
      </c>
      <c r="L2029" s="20" t="str">
        <f>IFERROR(__xludf.DUMMYFUNCTION("""COMPUTED_VALUE"""),"Array;Math;Simulation;")</f>
        <v>Array;Math;Simulation;</v>
      </c>
      <c r="M2029" s="20" t="b">
        <f>IFERROR(__xludf.DUMMYFUNCTION("""COMPUTED_VALUE"""),FALSE)</f>
        <v>0</v>
      </c>
      <c r="N2029" s="20" t="b">
        <f>IFERROR(__xludf.DUMMYFUNCTION("""COMPUTED_VALUE"""),FALSE)</f>
        <v>0</v>
      </c>
      <c r="O2029" s="20">
        <f>IFERROR(__xludf.DUMMYFUNCTION("""COMPUTED_VALUE"""),44.1315909801939)</f>
        <v>44.13159098</v>
      </c>
      <c r="P2029" s="20">
        <f>IFERROR(__xludf.DUMMYFUNCTION("""COMPUTED_VALUE"""),18338.0)</f>
        <v>18338</v>
      </c>
      <c r="Q2029" s="20">
        <f>IFERROR(__xludf.DUMMYFUNCTION("""COMPUTED_VALUE"""),41553.0)</f>
        <v>41553</v>
      </c>
    </row>
    <row r="2030">
      <c r="A2030" s="20">
        <f>IFERROR(__xludf.DUMMYFUNCTION("""COMPUTED_VALUE"""),2156.0)</f>
        <v>2156</v>
      </c>
      <c r="B2030" s="20" t="str">
        <f>IFERROR(__xludf.DUMMYFUNCTION("""COMPUTED_VALUE"""),"Stone Game IX")</f>
        <v>Stone Game IX</v>
      </c>
      <c r="C2030" s="20" t="str">
        <f>IFERROR(__xludf.DUMMYFUNCTION("""COMPUTED_VALUE"""),"stone-game-ix")</f>
        <v>stone-game-ix</v>
      </c>
      <c r="D2030" s="20" t="b">
        <f>IFERROR(__xludf.DUMMYFUNCTION("""COMPUTED_VALUE"""),FALSE)</f>
        <v>0</v>
      </c>
      <c r="E2030" s="20" t="str">
        <f>IFERROR(__xludf.DUMMYFUNCTION("""COMPUTED_VALUE"""),"Medium")</f>
        <v>Medium</v>
      </c>
      <c r="F2030" s="20">
        <f>IFERROR(__xludf.DUMMYFUNCTION("""COMPUTED_VALUE"""),187.0)</f>
        <v>187</v>
      </c>
      <c r="G2030" s="20">
        <f>IFERROR(__xludf.DUMMYFUNCTION("""COMPUTED_VALUE"""),240.0)</f>
        <v>240</v>
      </c>
      <c r="H2030" s="20" t="str">
        <f>IFERROR(__xludf.DUMMYFUNCTION("""COMPUTED_VALUE"""),"Algorithms")</f>
        <v>Algorithms</v>
      </c>
      <c r="I2030" s="20">
        <f>IFERROR(__xludf.DUMMYFUNCTION("""COMPUTED_VALUE"""),0.265)</f>
        <v>0.265</v>
      </c>
      <c r="J2030" s="20">
        <f>IFERROR(__xludf.DUMMYFUNCTION("""COMPUTED_VALUE"""),2029.0)</f>
        <v>2029</v>
      </c>
      <c r="K2030" s="20" t="b">
        <f>IFERROR(__xludf.DUMMYFUNCTION("""COMPUTED_VALUE"""),FALSE)</f>
        <v>0</v>
      </c>
      <c r="L2030" s="20" t="str">
        <f>IFERROR(__xludf.DUMMYFUNCTION("""COMPUTED_VALUE"""),"Array;Math;Greedy;Counting;Game Theory;")</f>
        <v>Array;Math;Greedy;Counting;Game Theory;</v>
      </c>
      <c r="M2030" s="20" t="b">
        <f>IFERROR(__xludf.DUMMYFUNCTION("""COMPUTED_VALUE"""),FALSE)</f>
        <v>0</v>
      </c>
      <c r="N2030" s="20" t="b">
        <f>IFERROR(__xludf.DUMMYFUNCTION("""COMPUTED_VALUE"""),FALSE)</f>
        <v>0</v>
      </c>
      <c r="O2030" s="20">
        <f>IFERROR(__xludf.DUMMYFUNCTION("""COMPUTED_VALUE"""),26.4561097800043)</f>
        <v>26.45610978</v>
      </c>
      <c r="P2030" s="20">
        <f>IFERROR(__xludf.DUMMYFUNCTION("""COMPUTED_VALUE"""),6073.0)</f>
        <v>6073</v>
      </c>
      <c r="Q2030" s="20">
        <f>IFERROR(__xludf.DUMMYFUNCTION("""COMPUTED_VALUE"""),22955.0)</f>
        <v>22955</v>
      </c>
    </row>
    <row r="2031">
      <c r="A2031" s="20">
        <f>IFERROR(__xludf.DUMMYFUNCTION("""COMPUTED_VALUE"""),2157.0)</f>
        <v>2157</v>
      </c>
      <c r="B2031" s="20" t="str">
        <f>IFERROR(__xludf.DUMMYFUNCTION("""COMPUTED_VALUE"""),"Smallest K-Length Subsequence With Occurrences of a Letter")</f>
        <v>Smallest K-Length Subsequence With Occurrences of a Letter</v>
      </c>
      <c r="C2031" s="20" t="str">
        <f>IFERROR(__xludf.DUMMYFUNCTION("""COMPUTED_VALUE"""),"smallest-k-length-subsequence-with-occurrences-of-a-letter")</f>
        <v>smallest-k-length-subsequence-with-occurrences-of-a-letter</v>
      </c>
      <c r="D2031" s="20" t="b">
        <f>IFERROR(__xludf.DUMMYFUNCTION("""COMPUTED_VALUE"""),FALSE)</f>
        <v>0</v>
      </c>
      <c r="E2031" s="20" t="str">
        <f>IFERROR(__xludf.DUMMYFUNCTION("""COMPUTED_VALUE"""),"Hard")</f>
        <v>Hard</v>
      </c>
      <c r="F2031" s="20">
        <f>IFERROR(__xludf.DUMMYFUNCTION("""COMPUTED_VALUE"""),360.0)</f>
        <v>360</v>
      </c>
      <c r="G2031" s="20">
        <f>IFERROR(__xludf.DUMMYFUNCTION("""COMPUTED_VALUE"""),10.0)</f>
        <v>10</v>
      </c>
      <c r="H2031" s="20" t="str">
        <f>IFERROR(__xludf.DUMMYFUNCTION("""COMPUTED_VALUE"""),"Algorithms")</f>
        <v>Algorithms</v>
      </c>
      <c r="I2031" s="20">
        <f>IFERROR(__xludf.DUMMYFUNCTION("""COMPUTED_VALUE"""),0.389)</f>
        <v>0.389</v>
      </c>
      <c r="J2031" s="20">
        <f>IFERROR(__xludf.DUMMYFUNCTION("""COMPUTED_VALUE"""),2030.0)</f>
        <v>2030</v>
      </c>
      <c r="K2031" s="20" t="b">
        <f>IFERROR(__xludf.DUMMYFUNCTION("""COMPUTED_VALUE"""),FALSE)</f>
        <v>0</v>
      </c>
      <c r="L2031" s="20" t="str">
        <f>IFERROR(__xludf.DUMMYFUNCTION("""COMPUTED_VALUE"""),"String;Stack;Greedy;Monotonic Stack;")</f>
        <v>String;Stack;Greedy;Monotonic Stack;</v>
      </c>
      <c r="M2031" s="20" t="b">
        <f>IFERROR(__xludf.DUMMYFUNCTION("""COMPUTED_VALUE"""),FALSE)</f>
        <v>0</v>
      </c>
      <c r="N2031" s="20" t="b">
        <f>IFERROR(__xludf.DUMMYFUNCTION("""COMPUTED_VALUE"""),FALSE)</f>
        <v>0</v>
      </c>
      <c r="O2031" s="20">
        <f>IFERROR(__xludf.DUMMYFUNCTION("""COMPUTED_VALUE"""),38.8611388611388)</f>
        <v>38.86113886</v>
      </c>
      <c r="P2031" s="20">
        <f>IFERROR(__xludf.DUMMYFUNCTION("""COMPUTED_VALUE"""),5834.0)</f>
        <v>5834</v>
      </c>
      <c r="Q2031" s="20">
        <f>IFERROR(__xludf.DUMMYFUNCTION("""COMPUTED_VALUE"""),15014.0)</f>
        <v>15014</v>
      </c>
    </row>
    <row r="2032">
      <c r="A2032" s="20">
        <f>IFERROR(__xludf.DUMMYFUNCTION("""COMPUTED_VALUE"""),510.0)</f>
        <v>510</v>
      </c>
      <c r="B2032" s="20" t="str">
        <f>IFERROR(__xludf.DUMMYFUNCTION("""COMPUTED_VALUE"""),"Count Subarrays With More Ones Than Zeros")</f>
        <v>Count Subarrays With More Ones Than Zeros</v>
      </c>
      <c r="C2032" s="20" t="str">
        <f>IFERROR(__xludf.DUMMYFUNCTION("""COMPUTED_VALUE"""),"count-subarrays-with-more-ones-than-zeros")</f>
        <v>count-subarrays-with-more-ones-than-zeros</v>
      </c>
      <c r="D2032" s="20" t="b">
        <f>IFERROR(__xludf.DUMMYFUNCTION("""COMPUTED_VALUE"""),TRUE)</f>
        <v>1</v>
      </c>
      <c r="E2032" s="20" t="str">
        <f>IFERROR(__xludf.DUMMYFUNCTION("""COMPUTED_VALUE"""),"Medium")</f>
        <v>Medium</v>
      </c>
      <c r="F2032" s="20">
        <f>IFERROR(__xludf.DUMMYFUNCTION("""COMPUTED_VALUE"""),129.0)</f>
        <v>129</v>
      </c>
      <c r="G2032" s="20">
        <f>IFERROR(__xludf.DUMMYFUNCTION("""COMPUTED_VALUE"""),13.0)</f>
        <v>13</v>
      </c>
      <c r="H2032" s="20" t="str">
        <f>IFERROR(__xludf.DUMMYFUNCTION("""COMPUTED_VALUE"""),"Algorithms")</f>
        <v>Algorithms</v>
      </c>
      <c r="I2032" s="20">
        <f>IFERROR(__xludf.DUMMYFUNCTION("""COMPUTED_VALUE"""),0.521)</f>
        <v>0.521</v>
      </c>
      <c r="J2032" s="20">
        <f>IFERROR(__xludf.DUMMYFUNCTION("""COMPUTED_VALUE"""),2031.0)</f>
        <v>2031</v>
      </c>
      <c r="K2032" s="20" t="b">
        <f>IFERROR(__xludf.DUMMYFUNCTION("""COMPUTED_VALUE"""),TRUE)</f>
        <v>1</v>
      </c>
      <c r="L2032" s="20" t="str">
        <f>IFERROR(__xludf.DUMMYFUNCTION("""COMPUTED_VALUE"""),"Array;Binary Search;Divide and Conquer;Binary Indexed Tree;Segment Tree;Merge Sort;Ordered Set;")</f>
        <v>Array;Binary Search;Divide and Conquer;Binary Indexed Tree;Segment Tree;Merge Sort;Ordered Set;</v>
      </c>
      <c r="M2032" s="20" t="b">
        <f>IFERROR(__xludf.DUMMYFUNCTION("""COMPUTED_VALUE"""),FALSE)</f>
        <v>0</v>
      </c>
      <c r="N2032" s="20" t="b">
        <f>IFERROR(__xludf.DUMMYFUNCTION("""COMPUTED_VALUE"""),FALSE)</f>
        <v>0</v>
      </c>
      <c r="O2032" s="20">
        <f>IFERROR(__xludf.DUMMYFUNCTION("""COMPUTED_VALUE"""),52.1158129175946)</f>
        <v>52.11581292</v>
      </c>
      <c r="P2032" s="20">
        <f>IFERROR(__xludf.DUMMYFUNCTION("""COMPUTED_VALUE"""),2574.0)</f>
        <v>2574</v>
      </c>
      <c r="Q2032" s="20">
        <f>IFERROR(__xludf.DUMMYFUNCTION("""COMPUTED_VALUE"""),4939.0)</f>
        <v>4939</v>
      </c>
    </row>
    <row r="2033">
      <c r="A2033" s="20">
        <f>IFERROR(__xludf.DUMMYFUNCTION("""COMPUTED_VALUE"""),2159.0)</f>
        <v>2159</v>
      </c>
      <c r="B2033" s="20" t="str">
        <f>IFERROR(__xludf.DUMMYFUNCTION("""COMPUTED_VALUE"""),"Two Out of Three")</f>
        <v>Two Out of Three</v>
      </c>
      <c r="C2033" s="20" t="str">
        <f>IFERROR(__xludf.DUMMYFUNCTION("""COMPUTED_VALUE"""),"two-out-of-three")</f>
        <v>two-out-of-three</v>
      </c>
      <c r="D2033" s="20" t="b">
        <f>IFERROR(__xludf.DUMMYFUNCTION("""COMPUTED_VALUE"""),FALSE)</f>
        <v>0</v>
      </c>
      <c r="E2033" s="20" t="str">
        <f>IFERROR(__xludf.DUMMYFUNCTION("""COMPUTED_VALUE"""),"Easy")</f>
        <v>Easy</v>
      </c>
      <c r="F2033" s="20">
        <f>IFERROR(__xludf.DUMMYFUNCTION("""COMPUTED_VALUE"""),501.0)</f>
        <v>501</v>
      </c>
      <c r="G2033" s="20">
        <f>IFERROR(__xludf.DUMMYFUNCTION("""COMPUTED_VALUE"""),34.0)</f>
        <v>34</v>
      </c>
      <c r="H2033" s="20" t="str">
        <f>IFERROR(__xludf.DUMMYFUNCTION("""COMPUTED_VALUE"""),"Algorithms")</f>
        <v>Algorithms</v>
      </c>
      <c r="I2033" s="20">
        <f>IFERROR(__xludf.DUMMYFUNCTION("""COMPUTED_VALUE"""),0.729)</f>
        <v>0.729</v>
      </c>
      <c r="J2033" s="20">
        <f>IFERROR(__xludf.DUMMYFUNCTION("""COMPUTED_VALUE"""),2032.0)</f>
        <v>2032</v>
      </c>
      <c r="K2033" s="20" t="b">
        <f>IFERROR(__xludf.DUMMYFUNCTION("""COMPUTED_VALUE"""),FALSE)</f>
        <v>0</v>
      </c>
      <c r="L2033" s="20" t="str">
        <f>IFERROR(__xludf.DUMMYFUNCTION("""COMPUTED_VALUE"""),"Array;Hash Table;")</f>
        <v>Array;Hash Table;</v>
      </c>
      <c r="M2033" s="20" t="b">
        <f>IFERROR(__xludf.DUMMYFUNCTION("""COMPUTED_VALUE"""),FALSE)</f>
        <v>0</v>
      </c>
      <c r="N2033" s="20" t="b">
        <f>IFERROR(__xludf.DUMMYFUNCTION("""COMPUTED_VALUE"""),FALSE)</f>
        <v>0</v>
      </c>
      <c r="O2033" s="20">
        <f>IFERROR(__xludf.DUMMYFUNCTION("""COMPUTED_VALUE"""),72.8871111111111)</f>
        <v>72.88711111</v>
      </c>
      <c r="P2033" s="20">
        <f>IFERROR(__xludf.DUMMYFUNCTION("""COMPUTED_VALUE"""),40998.0)</f>
        <v>40998</v>
      </c>
      <c r="Q2033" s="20">
        <f>IFERROR(__xludf.DUMMYFUNCTION("""COMPUTED_VALUE"""),56249.0)</f>
        <v>56249</v>
      </c>
    </row>
    <row r="2034">
      <c r="A2034" s="20">
        <f>IFERROR(__xludf.DUMMYFUNCTION("""COMPUTED_VALUE"""),2160.0)</f>
        <v>2160</v>
      </c>
      <c r="B2034" s="20" t="str">
        <f>IFERROR(__xludf.DUMMYFUNCTION("""COMPUTED_VALUE"""),"Minimum Operations to Make a Uni-Value Grid")</f>
        <v>Minimum Operations to Make a Uni-Value Grid</v>
      </c>
      <c r="C2034" s="20" t="str">
        <f>IFERROR(__xludf.DUMMYFUNCTION("""COMPUTED_VALUE"""),"minimum-operations-to-make-a-uni-value-grid")</f>
        <v>minimum-operations-to-make-a-uni-value-grid</v>
      </c>
      <c r="D2034" s="20" t="b">
        <f>IFERROR(__xludf.DUMMYFUNCTION("""COMPUTED_VALUE"""),FALSE)</f>
        <v>0</v>
      </c>
      <c r="E2034" s="20" t="str">
        <f>IFERROR(__xludf.DUMMYFUNCTION("""COMPUTED_VALUE"""),"Medium")</f>
        <v>Medium</v>
      </c>
      <c r="F2034" s="20">
        <f>IFERROR(__xludf.DUMMYFUNCTION("""COMPUTED_VALUE"""),439.0)</f>
        <v>439</v>
      </c>
      <c r="G2034" s="20">
        <f>IFERROR(__xludf.DUMMYFUNCTION("""COMPUTED_VALUE"""),34.0)</f>
        <v>34</v>
      </c>
      <c r="H2034" s="20" t="str">
        <f>IFERROR(__xludf.DUMMYFUNCTION("""COMPUTED_VALUE"""),"Algorithms")</f>
        <v>Algorithms</v>
      </c>
      <c r="I2034" s="20">
        <f>IFERROR(__xludf.DUMMYFUNCTION("""COMPUTED_VALUE"""),0.524)</f>
        <v>0.524</v>
      </c>
      <c r="J2034" s="20">
        <f>IFERROR(__xludf.DUMMYFUNCTION("""COMPUTED_VALUE"""),2033.0)</f>
        <v>2033</v>
      </c>
      <c r="K2034" s="20" t="b">
        <f>IFERROR(__xludf.DUMMYFUNCTION("""COMPUTED_VALUE"""),FALSE)</f>
        <v>0</v>
      </c>
      <c r="L2034" s="20" t="str">
        <f>IFERROR(__xludf.DUMMYFUNCTION("""COMPUTED_VALUE"""),"Array;Math;Sorting;Matrix;")</f>
        <v>Array;Math;Sorting;Matrix;</v>
      </c>
      <c r="M2034" s="20" t="b">
        <f>IFERROR(__xludf.DUMMYFUNCTION("""COMPUTED_VALUE"""),FALSE)</f>
        <v>0</v>
      </c>
      <c r="N2034" s="20" t="b">
        <f>IFERROR(__xludf.DUMMYFUNCTION("""COMPUTED_VALUE"""),FALSE)</f>
        <v>0</v>
      </c>
      <c r="O2034" s="20">
        <f>IFERROR(__xludf.DUMMYFUNCTION("""COMPUTED_VALUE"""),52.3920517452362)</f>
        <v>52.39205175</v>
      </c>
      <c r="P2034" s="20">
        <f>IFERROR(__xludf.DUMMYFUNCTION("""COMPUTED_VALUE"""),17982.0)</f>
        <v>17982</v>
      </c>
      <c r="Q2034" s="20">
        <f>IFERROR(__xludf.DUMMYFUNCTION("""COMPUTED_VALUE"""),34322.0)</f>
        <v>34322</v>
      </c>
    </row>
    <row r="2035">
      <c r="A2035" s="20">
        <f>IFERROR(__xludf.DUMMYFUNCTION("""COMPUTED_VALUE"""),2161.0)</f>
        <v>2161</v>
      </c>
      <c r="B2035" s="20" t="str">
        <f>IFERROR(__xludf.DUMMYFUNCTION("""COMPUTED_VALUE"""),"Stock Price Fluctuation ")</f>
        <v>Stock Price Fluctuation </v>
      </c>
      <c r="C2035" s="20" t="str">
        <f>IFERROR(__xludf.DUMMYFUNCTION("""COMPUTED_VALUE"""),"stock-price-fluctuation")</f>
        <v>stock-price-fluctuation</v>
      </c>
      <c r="D2035" s="20" t="b">
        <f>IFERROR(__xludf.DUMMYFUNCTION("""COMPUTED_VALUE"""),FALSE)</f>
        <v>0</v>
      </c>
      <c r="E2035" s="20" t="str">
        <f>IFERROR(__xludf.DUMMYFUNCTION("""COMPUTED_VALUE"""),"Medium")</f>
        <v>Medium</v>
      </c>
      <c r="F2035" s="20">
        <f>IFERROR(__xludf.DUMMYFUNCTION("""COMPUTED_VALUE"""),893.0)</f>
        <v>893</v>
      </c>
      <c r="G2035" s="20">
        <f>IFERROR(__xludf.DUMMYFUNCTION("""COMPUTED_VALUE"""),50.0)</f>
        <v>50</v>
      </c>
      <c r="H2035" s="20" t="str">
        <f>IFERROR(__xludf.DUMMYFUNCTION("""COMPUTED_VALUE"""),"Algorithms")</f>
        <v>Algorithms</v>
      </c>
      <c r="I2035" s="20">
        <f>IFERROR(__xludf.DUMMYFUNCTION("""COMPUTED_VALUE"""),0.491)</f>
        <v>0.491</v>
      </c>
      <c r="J2035" s="20">
        <f>IFERROR(__xludf.DUMMYFUNCTION("""COMPUTED_VALUE"""),2034.0)</f>
        <v>2034</v>
      </c>
      <c r="K2035" s="20" t="b">
        <f>IFERROR(__xludf.DUMMYFUNCTION("""COMPUTED_VALUE"""),FALSE)</f>
        <v>0</v>
      </c>
      <c r="L2035" s="20" t="str">
        <f>IFERROR(__xludf.DUMMYFUNCTION("""COMPUTED_VALUE"""),"Hash Table;Design;Heap (Priority Queue);Data Stream;Ordered Set;")</f>
        <v>Hash Table;Design;Heap (Priority Queue);Data Stream;Ordered Set;</v>
      </c>
      <c r="M2035" s="20" t="b">
        <f>IFERROR(__xludf.DUMMYFUNCTION("""COMPUTED_VALUE"""),TRUE)</f>
        <v>1</v>
      </c>
      <c r="N2035" s="20" t="b">
        <f>IFERROR(__xludf.DUMMYFUNCTION("""COMPUTED_VALUE"""),FALSE)</f>
        <v>0</v>
      </c>
      <c r="O2035" s="20">
        <f>IFERROR(__xludf.DUMMYFUNCTION("""COMPUTED_VALUE"""),49.0763615946097)</f>
        <v>49.07636159</v>
      </c>
      <c r="P2035" s="20">
        <f>IFERROR(__xludf.DUMMYFUNCTION("""COMPUTED_VALUE"""),52443.0)</f>
        <v>52443</v>
      </c>
      <c r="Q2035" s="20">
        <f>IFERROR(__xludf.DUMMYFUNCTION("""COMPUTED_VALUE"""),106860.0)</f>
        <v>106860</v>
      </c>
    </row>
    <row r="2036">
      <c r="A2036" s="20">
        <f>IFERROR(__xludf.DUMMYFUNCTION("""COMPUTED_VALUE"""),2162.0)</f>
        <v>2162</v>
      </c>
      <c r="B2036" s="20" t="str">
        <f>IFERROR(__xludf.DUMMYFUNCTION("""COMPUTED_VALUE"""),"Partition Array Into Two Arrays to Minimize Sum Difference")</f>
        <v>Partition Array Into Two Arrays to Minimize Sum Difference</v>
      </c>
      <c r="C2036" s="20" t="str">
        <f>IFERROR(__xludf.DUMMYFUNCTION("""COMPUTED_VALUE"""),"partition-array-into-two-arrays-to-minimize-sum-difference")</f>
        <v>partition-array-into-two-arrays-to-minimize-sum-difference</v>
      </c>
      <c r="D2036" s="20" t="b">
        <f>IFERROR(__xludf.DUMMYFUNCTION("""COMPUTED_VALUE"""),FALSE)</f>
        <v>0</v>
      </c>
      <c r="E2036" s="20" t="str">
        <f>IFERROR(__xludf.DUMMYFUNCTION("""COMPUTED_VALUE"""),"Hard")</f>
        <v>Hard</v>
      </c>
      <c r="F2036" s="20">
        <f>IFERROR(__xludf.DUMMYFUNCTION("""COMPUTED_VALUE"""),1670.0)</f>
        <v>1670</v>
      </c>
      <c r="G2036" s="20">
        <f>IFERROR(__xludf.DUMMYFUNCTION("""COMPUTED_VALUE"""),94.0)</f>
        <v>94</v>
      </c>
      <c r="H2036" s="20" t="str">
        <f>IFERROR(__xludf.DUMMYFUNCTION("""COMPUTED_VALUE"""),"Algorithms")</f>
        <v>Algorithms</v>
      </c>
      <c r="I2036" s="20">
        <f>IFERROR(__xludf.DUMMYFUNCTION("""COMPUTED_VALUE"""),0.185)</f>
        <v>0.185</v>
      </c>
      <c r="J2036" s="20">
        <f>IFERROR(__xludf.DUMMYFUNCTION("""COMPUTED_VALUE"""),2035.0)</f>
        <v>2035</v>
      </c>
      <c r="K2036" s="20" t="b">
        <f>IFERROR(__xludf.DUMMYFUNCTION("""COMPUTED_VALUE"""),FALSE)</f>
        <v>0</v>
      </c>
      <c r="L2036" s="20" t="str">
        <f>IFERROR(__xludf.DUMMYFUNCTION("""COMPUTED_VALUE"""),"Array;Two Pointers;Binary Search;Dynamic Programming;Bit Manipulation;Ordered Set;Bitmask;")</f>
        <v>Array;Two Pointers;Binary Search;Dynamic Programming;Bit Manipulation;Ordered Set;Bitmask;</v>
      </c>
      <c r="M2036" s="20" t="b">
        <f>IFERROR(__xludf.DUMMYFUNCTION("""COMPUTED_VALUE"""),FALSE)</f>
        <v>0</v>
      </c>
      <c r="N2036" s="20" t="b">
        <f>IFERROR(__xludf.DUMMYFUNCTION("""COMPUTED_VALUE"""),FALSE)</f>
        <v>0</v>
      </c>
      <c r="O2036" s="20">
        <f>IFERROR(__xludf.DUMMYFUNCTION("""COMPUTED_VALUE"""),18.5454313669248)</f>
        <v>18.54543137</v>
      </c>
      <c r="P2036" s="20">
        <f>IFERROR(__xludf.DUMMYFUNCTION("""COMPUTED_VALUE"""),11636.0)</f>
        <v>11636</v>
      </c>
      <c r="Q2036" s="20">
        <f>IFERROR(__xludf.DUMMYFUNCTION("""COMPUTED_VALUE"""),62750.0)</f>
        <v>62750</v>
      </c>
    </row>
    <row r="2037">
      <c r="A2037" s="20">
        <f>IFERROR(__xludf.DUMMYFUNCTION("""COMPUTED_VALUE"""),512.0)</f>
        <v>512</v>
      </c>
      <c r="B2037" s="20" t="str">
        <f>IFERROR(__xludf.DUMMYFUNCTION("""COMPUTED_VALUE"""),"Maximum Alternating Subarray Sum")</f>
        <v>Maximum Alternating Subarray Sum</v>
      </c>
      <c r="C2037" s="20" t="str">
        <f>IFERROR(__xludf.DUMMYFUNCTION("""COMPUTED_VALUE"""),"maximum-alternating-subarray-sum")</f>
        <v>maximum-alternating-subarray-sum</v>
      </c>
      <c r="D2037" s="20" t="b">
        <f>IFERROR(__xludf.DUMMYFUNCTION("""COMPUTED_VALUE"""),TRUE)</f>
        <v>1</v>
      </c>
      <c r="E2037" s="20" t="str">
        <f>IFERROR(__xludf.DUMMYFUNCTION("""COMPUTED_VALUE"""),"Medium")</f>
        <v>Medium</v>
      </c>
      <c r="F2037" s="20">
        <f>IFERROR(__xludf.DUMMYFUNCTION("""COMPUTED_VALUE"""),70.0)</f>
        <v>70</v>
      </c>
      <c r="G2037" s="20">
        <f>IFERROR(__xludf.DUMMYFUNCTION("""COMPUTED_VALUE"""),4.0)</f>
        <v>4</v>
      </c>
      <c r="H2037" s="20" t="str">
        <f>IFERROR(__xludf.DUMMYFUNCTION("""COMPUTED_VALUE"""),"Algorithms")</f>
        <v>Algorithms</v>
      </c>
      <c r="I2037" s="20">
        <f>IFERROR(__xludf.DUMMYFUNCTION("""COMPUTED_VALUE"""),0.41)</f>
        <v>0.41</v>
      </c>
      <c r="J2037" s="20">
        <f>IFERROR(__xludf.DUMMYFUNCTION("""COMPUTED_VALUE"""),2036.0)</f>
        <v>2036</v>
      </c>
      <c r="K2037" s="20" t="b">
        <f>IFERROR(__xludf.DUMMYFUNCTION("""COMPUTED_VALUE"""),TRUE)</f>
        <v>1</v>
      </c>
      <c r="L2037" s="20" t="str">
        <f>IFERROR(__xludf.DUMMYFUNCTION("""COMPUTED_VALUE"""),"Array;Dynamic Programming;")</f>
        <v>Array;Dynamic Programming;</v>
      </c>
      <c r="M2037" s="20" t="b">
        <f>IFERROR(__xludf.DUMMYFUNCTION("""COMPUTED_VALUE"""),FALSE)</f>
        <v>0</v>
      </c>
      <c r="N2037" s="20" t="b">
        <f>IFERROR(__xludf.DUMMYFUNCTION("""COMPUTED_VALUE"""),FALSE)</f>
        <v>0</v>
      </c>
      <c r="O2037" s="20">
        <f>IFERROR(__xludf.DUMMYFUNCTION("""COMPUTED_VALUE"""),41.0213478442863)</f>
        <v>41.02134784</v>
      </c>
      <c r="P2037" s="20">
        <f>IFERROR(__xludf.DUMMYFUNCTION("""COMPUTED_VALUE"""),1960.0)</f>
        <v>1960</v>
      </c>
      <c r="Q2037" s="20">
        <f>IFERROR(__xludf.DUMMYFUNCTION("""COMPUTED_VALUE"""),4778.0)</f>
        <v>4778</v>
      </c>
    </row>
    <row r="2038">
      <c r="A2038" s="20">
        <f>IFERROR(__xludf.DUMMYFUNCTION("""COMPUTED_VALUE"""),2148.0)</f>
        <v>2148</v>
      </c>
      <c r="B2038" s="20" t="str">
        <f>IFERROR(__xludf.DUMMYFUNCTION("""COMPUTED_VALUE"""),"Minimum Number of Moves to Seat Everyone")</f>
        <v>Minimum Number of Moves to Seat Everyone</v>
      </c>
      <c r="C2038" s="20" t="str">
        <f>IFERROR(__xludf.DUMMYFUNCTION("""COMPUTED_VALUE"""),"minimum-number-of-moves-to-seat-everyone")</f>
        <v>minimum-number-of-moves-to-seat-everyone</v>
      </c>
      <c r="D2038" s="20" t="b">
        <f>IFERROR(__xludf.DUMMYFUNCTION("""COMPUTED_VALUE"""),FALSE)</f>
        <v>0</v>
      </c>
      <c r="E2038" s="20" t="str">
        <f>IFERROR(__xludf.DUMMYFUNCTION("""COMPUTED_VALUE"""),"Easy")</f>
        <v>Easy</v>
      </c>
      <c r="F2038" s="20">
        <f>IFERROR(__xludf.DUMMYFUNCTION("""COMPUTED_VALUE"""),536.0)</f>
        <v>536</v>
      </c>
      <c r="G2038" s="20">
        <f>IFERROR(__xludf.DUMMYFUNCTION("""COMPUTED_VALUE"""),96.0)</f>
        <v>96</v>
      </c>
      <c r="H2038" s="20" t="str">
        <f>IFERROR(__xludf.DUMMYFUNCTION("""COMPUTED_VALUE"""),"Algorithms")</f>
        <v>Algorithms</v>
      </c>
      <c r="I2038" s="20">
        <f>IFERROR(__xludf.DUMMYFUNCTION("""COMPUTED_VALUE"""),0.821)</f>
        <v>0.821</v>
      </c>
      <c r="J2038" s="20">
        <f>IFERROR(__xludf.DUMMYFUNCTION("""COMPUTED_VALUE"""),2037.0)</f>
        <v>2037</v>
      </c>
      <c r="K2038" s="20" t="b">
        <f>IFERROR(__xludf.DUMMYFUNCTION("""COMPUTED_VALUE"""),FALSE)</f>
        <v>0</v>
      </c>
      <c r="L2038" s="20" t="str">
        <f>IFERROR(__xludf.DUMMYFUNCTION("""COMPUTED_VALUE"""),"Array;Sorting;")</f>
        <v>Array;Sorting;</v>
      </c>
      <c r="M2038" s="20" t="b">
        <f>IFERROR(__xludf.DUMMYFUNCTION("""COMPUTED_VALUE"""),FALSE)</f>
        <v>0</v>
      </c>
      <c r="N2038" s="20" t="b">
        <f>IFERROR(__xludf.DUMMYFUNCTION("""COMPUTED_VALUE"""),FALSE)</f>
        <v>0</v>
      </c>
      <c r="O2038" s="20">
        <f>IFERROR(__xludf.DUMMYFUNCTION("""COMPUTED_VALUE"""),82.0663897099944)</f>
        <v>82.06638971</v>
      </c>
      <c r="P2038" s="20">
        <f>IFERROR(__xludf.DUMMYFUNCTION("""COMPUTED_VALUE"""),41088.0)</f>
        <v>41088</v>
      </c>
      <c r="Q2038" s="20">
        <f>IFERROR(__xludf.DUMMYFUNCTION("""COMPUTED_VALUE"""),50067.0)</f>
        <v>50067</v>
      </c>
    </row>
    <row r="2039">
      <c r="A2039" s="20">
        <f>IFERROR(__xludf.DUMMYFUNCTION("""COMPUTED_VALUE"""),2149.0)</f>
        <v>2149</v>
      </c>
      <c r="B2039" s="20" t="str">
        <f>IFERROR(__xludf.DUMMYFUNCTION("""COMPUTED_VALUE"""),"Remove Colored Pieces if Both Neighbors are the Same Color")</f>
        <v>Remove Colored Pieces if Both Neighbors are the Same Color</v>
      </c>
      <c r="C2039" s="20" t="str">
        <f>IFERROR(__xludf.DUMMYFUNCTION("""COMPUTED_VALUE"""),"remove-colored-pieces-if-both-neighbors-are-the-same-color")</f>
        <v>remove-colored-pieces-if-both-neighbors-are-the-same-color</v>
      </c>
      <c r="D2039" s="20" t="b">
        <f>IFERROR(__xludf.DUMMYFUNCTION("""COMPUTED_VALUE"""),FALSE)</f>
        <v>0</v>
      </c>
      <c r="E2039" s="20" t="str">
        <f>IFERROR(__xludf.DUMMYFUNCTION("""COMPUTED_VALUE"""),"Medium")</f>
        <v>Medium</v>
      </c>
      <c r="F2039" s="20">
        <f>IFERROR(__xludf.DUMMYFUNCTION("""COMPUTED_VALUE"""),354.0)</f>
        <v>354</v>
      </c>
      <c r="G2039" s="20">
        <f>IFERROR(__xludf.DUMMYFUNCTION("""COMPUTED_VALUE"""),33.0)</f>
        <v>33</v>
      </c>
      <c r="H2039" s="20" t="str">
        <f>IFERROR(__xludf.DUMMYFUNCTION("""COMPUTED_VALUE"""),"Algorithms")</f>
        <v>Algorithms</v>
      </c>
      <c r="I2039" s="20">
        <f>IFERROR(__xludf.DUMMYFUNCTION("""COMPUTED_VALUE"""),0.581)</f>
        <v>0.581</v>
      </c>
      <c r="J2039" s="20">
        <f>IFERROR(__xludf.DUMMYFUNCTION("""COMPUTED_VALUE"""),2038.0)</f>
        <v>2038</v>
      </c>
      <c r="K2039" s="20" t="b">
        <f>IFERROR(__xludf.DUMMYFUNCTION("""COMPUTED_VALUE"""),FALSE)</f>
        <v>0</v>
      </c>
      <c r="L2039" s="20" t="str">
        <f>IFERROR(__xludf.DUMMYFUNCTION("""COMPUTED_VALUE"""),"Math;String;Greedy;Game Theory;")</f>
        <v>Math;String;Greedy;Game Theory;</v>
      </c>
      <c r="M2039" s="20" t="b">
        <f>IFERROR(__xludf.DUMMYFUNCTION("""COMPUTED_VALUE"""),FALSE)</f>
        <v>0</v>
      </c>
      <c r="N2039" s="20" t="b">
        <f>IFERROR(__xludf.DUMMYFUNCTION("""COMPUTED_VALUE"""),FALSE)</f>
        <v>0</v>
      </c>
      <c r="O2039" s="20">
        <f>IFERROR(__xludf.DUMMYFUNCTION("""COMPUTED_VALUE"""),58.1004963471083)</f>
        <v>58.10049635</v>
      </c>
      <c r="P2039" s="20">
        <f>IFERROR(__xludf.DUMMYFUNCTION("""COMPUTED_VALUE"""),20836.0)</f>
        <v>20836</v>
      </c>
      <c r="Q2039" s="20">
        <f>IFERROR(__xludf.DUMMYFUNCTION("""COMPUTED_VALUE"""),35862.0)</f>
        <v>35862</v>
      </c>
    </row>
    <row r="2040">
      <c r="A2040" s="20">
        <f>IFERROR(__xludf.DUMMYFUNCTION("""COMPUTED_VALUE"""),2151.0)</f>
        <v>2151</v>
      </c>
      <c r="B2040" s="20" t="str">
        <f>IFERROR(__xludf.DUMMYFUNCTION("""COMPUTED_VALUE"""),"The Time When the Network Becomes Idle")</f>
        <v>The Time When the Network Becomes Idle</v>
      </c>
      <c r="C2040" s="20" t="str">
        <f>IFERROR(__xludf.DUMMYFUNCTION("""COMPUTED_VALUE"""),"the-time-when-the-network-becomes-idle")</f>
        <v>the-time-when-the-network-becomes-idle</v>
      </c>
      <c r="D2040" s="20" t="b">
        <f>IFERROR(__xludf.DUMMYFUNCTION("""COMPUTED_VALUE"""),FALSE)</f>
        <v>0</v>
      </c>
      <c r="E2040" s="20" t="str">
        <f>IFERROR(__xludf.DUMMYFUNCTION("""COMPUTED_VALUE"""),"Medium")</f>
        <v>Medium</v>
      </c>
      <c r="F2040" s="20">
        <f>IFERROR(__xludf.DUMMYFUNCTION("""COMPUTED_VALUE"""),475.0)</f>
        <v>475</v>
      </c>
      <c r="G2040" s="20">
        <f>IFERROR(__xludf.DUMMYFUNCTION("""COMPUTED_VALUE"""),32.0)</f>
        <v>32</v>
      </c>
      <c r="H2040" s="20" t="str">
        <f>IFERROR(__xludf.DUMMYFUNCTION("""COMPUTED_VALUE"""),"Algorithms")</f>
        <v>Algorithms</v>
      </c>
      <c r="I2040" s="20">
        <f>IFERROR(__xludf.DUMMYFUNCTION("""COMPUTED_VALUE"""),0.508)</f>
        <v>0.508</v>
      </c>
      <c r="J2040" s="20">
        <f>IFERROR(__xludf.DUMMYFUNCTION("""COMPUTED_VALUE"""),2039.0)</f>
        <v>2039</v>
      </c>
      <c r="K2040" s="20" t="b">
        <f>IFERROR(__xludf.DUMMYFUNCTION("""COMPUTED_VALUE"""),FALSE)</f>
        <v>0</v>
      </c>
      <c r="L2040" s="20" t="str">
        <f>IFERROR(__xludf.DUMMYFUNCTION("""COMPUTED_VALUE"""),"Array;Breadth-First Search;Graph;")</f>
        <v>Array;Breadth-First Search;Graph;</v>
      </c>
      <c r="M2040" s="20" t="b">
        <f>IFERROR(__xludf.DUMMYFUNCTION("""COMPUTED_VALUE"""),FALSE)</f>
        <v>0</v>
      </c>
      <c r="N2040" s="20" t="b">
        <f>IFERROR(__xludf.DUMMYFUNCTION("""COMPUTED_VALUE"""),FALSE)</f>
        <v>0</v>
      </c>
      <c r="O2040" s="20">
        <f>IFERROR(__xludf.DUMMYFUNCTION("""COMPUTED_VALUE"""),50.797912761538)</f>
        <v>50.79791276</v>
      </c>
      <c r="P2040" s="20">
        <f>IFERROR(__xludf.DUMMYFUNCTION("""COMPUTED_VALUE"""),10027.0)</f>
        <v>10027</v>
      </c>
      <c r="Q2040" s="20">
        <f>IFERROR(__xludf.DUMMYFUNCTION("""COMPUTED_VALUE"""),19739.0)</f>
        <v>19739</v>
      </c>
    </row>
    <row r="2041">
      <c r="A2041" s="20">
        <f>IFERROR(__xludf.DUMMYFUNCTION("""COMPUTED_VALUE"""),2150.0)</f>
        <v>2150</v>
      </c>
      <c r="B2041" s="20" t="str">
        <f>IFERROR(__xludf.DUMMYFUNCTION("""COMPUTED_VALUE"""),"Kth Smallest Product of Two Sorted Arrays")</f>
        <v>Kth Smallest Product of Two Sorted Arrays</v>
      </c>
      <c r="C2041" s="20" t="str">
        <f>IFERROR(__xludf.DUMMYFUNCTION("""COMPUTED_VALUE"""),"kth-smallest-product-of-two-sorted-arrays")</f>
        <v>kth-smallest-product-of-two-sorted-arrays</v>
      </c>
      <c r="D2041" s="20" t="b">
        <f>IFERROR(__xludf.DUMMYFUNCTION("""COMPUTED_VALUE"""),FALSE)</f>
        <v>0</v>
      </c>
      <c r="E2041" s="20" t="str">
        <f>IFERROR(__xludf.DUMMYFUNCTION("""COMPUTED_VALUE"""),"Hard")</f>
        <v>Hard</v>
      </c>
      <c r="F2041" s="20">
        <f>IFERROR(__xludf.DUMMYFUNCTION("""COMPUTED_VALUE"""),496.0)</f>
        <v>496</v>
      </c>
      <c r="G2041" s="20">
        <f>IFERROR(__xludf.DUMMYFUNCTION("""COMPUTED_VALUE"""),30.0)</f>
        <v>30</v>
      </c>
      <c r="H2041" s="20" t="str">
        <f>IFERROR(__xludf.DUMMYFUNCTION("""COMPUTED_VALUE"""),"Algorithms")</f>
        <v>Algorithms</v>
      </c>
      <c r="I2041" s="20">
        <f>IFERROR(__xludf.DUMMYFUNCTION("""COMPUTED_VALUE"""),0.29)</f>
        <v>0.29</v>
      </c>
      <c r="J2041" s="20">
        <f>IFERROR(__xludf.DUMMYFUNCTION("""COMPUTED_VALUE"""),2040.0)</f>
        <v>2040</v>
      </c>
      <c r="K2041" s="20" t="b">
        <f>IFERROR(__xludf.DUMMYFUNCTION("""COMPUTED_VALUE"""),FALSE)</f>
        <v>0</v>
      </c>
      <c r="L2041" s="20" t="str">
        <f>IFERROR(__xludf.DUMMYFUNCTION("""COMPUTED_VALUE"""),"Array;Binary Search;")</f>
        <v>Array;Binary Search;</v>
      </c>
      <c r="M2041" s="20" t="b">
        <f>IFERROR(__xludf.DUMMYFUNCTION("""COMPUTED_VALUE"""),FALSE)</f>
        <v>0</v>
      </c>
      <c r="N2041" s="20" t="b">
        <f>IFERROR(__xludf.DUMMYFUNCTION("""COMPUTED_VALUE"""),FALSE)</f>
        <v>0</v>
      </c>
      <c r="O2041" s="20">
        <f>IFERROR(__xludf.DUMMYFUNCTION("""COMPUTED_VALUE"""),28.9962451387957)</f>
        <v>28.99624514</v>
      </c>
      <c r="P2041" s="20">
        <f>IFERROR(__xludf.DUMMYFUNCTION("""COMPUTED_VALUE"""),8649.0)</f>
        <v>8649</v>
      </c>
      <c r="Q2041" s="20">
        <f>IFERROR(__xludf.DUMMYFUNCTION("""COMPUTED_VALUE"""),29828.0)</f>
        <v>29828</v>
      </c>
    </row>
    <row r="2042">
      <c r="A2042" s="20">
        <f>IFERROR(__xludf.DUMMYFUNCTION("""COMPUTED_VALUE"""),2185.0)</f>
        <v>2185</v>
      </c>
      <c r="B2042" s="20" t="str">
        <f>IFERROR(__xludf.DUMMYFUNCTION("""COMPUTED_VALUE"""),"Accepted Candidates From the Interviews")</f>
        <v>Accepted Candidates From the Interviews</v>
      </c>
      <c r="C2042" s="20" t="str">
        <f>IFERROR(__xludf.DUMMYFUNCTION("""COMPUTED_VALUE"""),"accepted-candidates-from-the-interviews")</f>
        <v>accepted-candidates-from-the-interviews</v>
      </c>
      <c r="D2042" s="20" t="b">
        <f>IFERROR(__xludf.DUMMYFUNCTION("""COMPUTED_VALUE"""),TRUE)</f>
        <v>1</v>
      </c>
      <c r="E2042" s="20" t="str">
        <f>IFERROR(__xludf.DUMMYFUNCTION("""COMPUTED_VALUE"""),"Medium")</f>
        <v>Medium</v>
      </c>
      <c r="F2042" s="20">
        <f>IFERROR(__xludf.DUMMYFUNCTION("""COMPUTED_VALUE"""),31.0)</f>
        <v>31</v>
      </c>
      <c r="G2042" s="20">
        <f>IFERROR(__xludf.DUMMYFUNCTION("""COMPUTED_VALUE"""),24.0)</f>
        <v>24</v>
      </c>
      <c r="H2042" s="20" t="str">
        <f>IFERROR(__xludf.DUMMYFUNCTION("""COMPUTED_VALUE"""),"Database")</f>
        <v>Database</v>
      </c>
      <c r="I2042" s="20">
        <f>IFERROR(__xludf.DUMMYFUNCTION("""COMPUTED_VALUE"""),0.795)</f>
        <v>0.795</v>
      </c>
      <c r="J2042" s="20">
        <f>IFERROR(__xludf.DUMMYFUNCTION("""COMPUTED_VALUE"""),2041.0)</f>
        <v>2041</v>
      </c>
      <c r="K2042" s="20" t="b">
        <f>IFERROR(__xludf.DUMMYFUNCTION("""COMPUTED_VALUE"""),TRUE)</f>
        <v>1</v>
      </c>
      <c r="L2042" s="20" t="str">
        <f>IFERROR(__xludf.DUMMYFUNCTION("""COMPUTED_VALUE"""),"Database;")</f>
        <v>Database;</v>
      </c>
      <c r="M2042" s="20" t="b">
        <f>IFERROR(__xludf.DUMMYFUNCTION("""COMPUTED_VALUE"""),FALSE)</f>
        <v>0</v>
      </c>
      <c r="N2042" s="20" t="b">
        <f>IFERROR(__xludf.DUMMYFUNCTION("""COMPUTED_VALUE"""),FALSE)</f>
        <v>0</v>
      </c>
      <c r="O2042" s="20">
        <f>IFERROR(__xludf.DUMMYFUNCTION("""COMPUTED_VALUE"""),79.5497458242556)</f>
        <v>79.54974582</v>
      </c>
      <c r="P2042" s="20">
        <f>IFERROR(__xludf.DUMMYFUNCTION("""COMPUTED_VALUE"""),5477.0)</f>
        <v>5477</v>
      </c>
      <c r="Q2042" s="20">
        <f>IFERROR(__xludf.DUMMYFUNCTION("""COMPUTED_VALUE"""),6885.0)</f>
        <v>6885</v>
      </c>
    </row>
    <row r="2043">
      <c r="A2043" s="20">
        <f>IFERROR(__xludf.DUMMYFUNCTION("""COMPUTED_VALUE"""),2168.0)</f>
        <v>2168</v>
      </c>
      <c r="B2043" s="20" t="str">
        <f>IFERROR(__xludf.DUMMYFUNCTION("""COMPUTED_VALUE"""),"Check if Numbers Are Ascending in a Sentence")</f>
        <v>Check if Numbers Are Ascending in a Sentence</v>
      </c>
      <c r="C2043" s="20" t="str">
        <f>IFERROR(__xludf.DUMMYFUNCTION("""COMPUTED_VALUE"""),"check-if-numbers-are-ascending-in-a-sentence")</f>
        <v>check-if-numbers-are-ascending-in-a-sentence</v>
      </c>
      <c r="D2043" s="20" t="b">
        <f>IFERROR(__xludf.DUMMYFUNCTION("""COMPUTED_VALUE"""),FALSE)</f>
        <v>0</v>
      </c>
      <c r="E2043" s="20" t="str">
        <f>IFERROR(__xludf.DUMMYFUNCTION("""COMPUTED_VALUE"""),"Easy")</f>
        <v>Easy</v>
      </c>
      <c r="F2043" s="20">
        <f>IFERROR(__xludf.DUMMYFUNCTION("""COMPUTED_VALUE"""),412.0)</f>
        <v>412</v>
      </c>
      <c r="G2043" s="20">
        <f>IFERROR(__xludf.DUMMYFUNCTION("""COMPUTED_VALUE"""),15.0)</f>
        <v>15</v>
      </c>
      <c r="H2043" s="20" t="str">
        <f>IFERROR(__xludf.DUMMYFUNCTION("""COMPUTED_VALUE"""),"Algorithms")</f>
        <v>Algorithms</v>
      </c>
      <c r="I2043" s="20">
        <f>IFERROR(__xludf.DUMMYFUNCTION("""COMPUTED_VALUE"""),0.663)</f>
        <v>0.663</v>
      </c>
      <c r="J2043" s="20">
        <f>IFERROR(__xludf.DUMMYFUNCTION("""COMPUTED_VALUE"""),2042.0)</f>
        <v>2042</v>
      </c>
      <c r="K2043" s="20" t="b">
        <f>IFERROR(__xludf.DUMMYFUNCTION("""COMPUTED_VALUE"""),FALSE)</f>
        <v>0</v>
      </c>
      <c r="L2043" s="20" t="str">
        <f>IFERROR(__xludf.DUMMYFUNCTION("""COMPUTED_VALUE"""),"String;")</f>
        <v>String;</v>
      </c>
      <c r="M2043" s="20" t="b">
        <f>IFERROR(__xludf.DUMMYFUNCTION("""COMPUTED_VALUE"""),FALSE)</f>
        <v>0</v>
      </c>
      <c r="N2043" s="20" t="b">
        <f>IFERROR(__xludf.DUMMYFUNCTION("""COMPUTED_VALUE"""),FALSE)</f>
        <v>0</v>
      </c>
      <c r="O2043" s="20">
        <f>IFERROR(__xludf.DUMMYFUNCTION("""COMPUTED_VALUE"""),66.3226694186446)</f>
        <v>66.32266942</v>
      </c>
      <c r="P2043" s="20">
        <f>IFERROR(__xludf.DUMMYFUNCTION("""COMPUTED_VALUE"""),36630.0)</f>
        <v>36630</v>
      </c>
      <c r="Q2043" s="20">
        <f>IFERROR(__xludf.DUMMYFUNCTION("""COMPUTED_VALUE"""),55231.0)</f>
        <v>55231</v>
      </c>
    </row>
    <row r="2044">
      <c r="A2044" s="20">
        <f>IFERROR(__xludf.DUMMYFUNCTION("""COMPUTED_VALUE"""),2169.0)</f>
        <v>2169</v>
      </c>
      <c r="B2044" s="20" t="str">
        <f>IFERROR(__xludf.DUMMYFUNCTION("""COMPUTED_VALUE"""),"Simple Bank System")</f>
        <v>Simple Bank System</v>
      </c>
      <c r="C2044" s="20" t="str">
        <f>IFERROR(__xludf.DUMMYFUNCTION("""COMPUTED_VALUE"""),"simple-bank-system")</f>
        <v>simple-bank-system</v>
      </c>
      <c r="D2044" s="20" t="b">
        <f>IFERROR(__xludf.DUMMYFUNCTION("""COMPUTED_VALUE"""),FALSE)</f>
        <v>0</v>
      </c>
      <c r="E2044" s="20" t="str">
        <f>IFERROR(__xludf.DUMMYFUNCTION("""COMPUTED_VALUE"""),"Medium")</f>
        <v>Medium</v>
      </c>
      <c r="F2044" s="20">
        <f>IFERROR(__xludf.DUMMYFUNCTION("""COMPUTED_VALUE"""),154.0)</f>
        <v>154</v>
      </c>
      <c r="G2044" s="20">
        <f>IFERROR(__xludf.DUMMYFUNCTION("""COMPUTED_VALUE"""),161.0)</f>
        <v>161</v>
      </c>
      <c r="H2044" s="20" t="str">
        <f>IFERROR(__xludf.DUMMYFUNCTION("""COMPUTED_VALUE"""),"Algorithms")</f>
        <v>Algorithms</v>
      </c>
      <c r="I2044" s="20">
        <f>IFERROR(__xludf.DUMMYFUNCTION("""COMPUTED_VALUE"""),0.656)</f>
        <v>0.656</v>
      </c>
      <c r="J2044" s="20">
        <f>IFERROR(__xludf.DUMMYFUNCTION("""COMPUTED_VALUE"""),2043.0)</f>
        <v>2043</v>
      </c>
      <c r="K2044" s="20" t="b">
        <f>IFERROR(__xludf.DUMMYFUNCTION("""COMPUTED_VALUE"""),FALSE)</f>
        <v>0</v>
      </c>
      <c r="L2044" s="20" t="str">
        <f>IFERROR(__xludf.DUMMYFUNCTION("""COMPUTED_VALUE"""),"Array;Hash Table;Design;Simulation;")</f>
        <v>Array;Hash Table;Design;Simulation;</v>
      </c>
      <c r="M2044" s="20" t="b">
        <f>IFERROR(__xludf.DUMMYFUNCTION("""COMPUTED_VALUE"""),FALSE)</f>
        <v>0</v>
      </c>
      <c r="N2044" s="20" t="b">
        <f>IFERROR(__xludf.DUMMYFUNCTION("""COMPUTED_VALUE"""),FALSE)</f>
        <v>0</v>
      </c>
      <c r="O2044" s="20">
        <f>IFERROR(__xludf.DUMMYFUNCTION("""COMPUTED_VALUE"""),65.6392959603008)</f>
        <v>65.63929596</v>
      </c>
      <c r="P2044" s="20">
        <f>IFERROR(__xludf.DUMMYFUNCTION("""COMPUTED_VALUE"""),16931.0)</f>
        <v>16931</v>
      </c>
      <c r="Q2044" s="20">
        <f>IFERROR(__xludf.DUMMYFUNCTION("""COMPUTED_VALUE"""),25792.0)</f>
        <v>25792</v>
      </c>
    </row>
    <row r="2045">
      <c r="A2045" s="20">
        <f>IFERROR(__xludf.DUMMYFUNCTION("""COMPUTED_VALUE"""),2170.0)</f>
        <v>2170</v>
      </c>
      <c r="B2045" s="20" t="str">
        <f>IFERROR(__xludf.DUMMYFUNCTION("""COMPUTED_VALUE"""),"Count Number of Maximum Bitwise-OR Subsets")</f>
        <v>Count Number of Maximum Bitwise-OR Subsets</v>
      </c>
      <c r="C2045" s="20" t="str">
        <f>IFERROR(__xludf.DUMMYFUNCTION("""COMPUTED_VALUE"""),"count-number-of-maximum-bitwise-or-subsets")</f>
        <v>count-number-of-maximum-bitwise-or-subsets</v>
      </c>
      <c r="D2045" s="20" t="b">
        <f>IFERROR(__xludf.DUMMYFUNCTION("""COMPUTED_VALUE"""),FALSE)</f>
        <v>0</v>
      </c>
      <c r="E2045" s="20" t="str">
        <f>IFERROR(__xludf.DUMMYFUNCTION("""COMPUTED_VALUE"""),"Medium")</f>
        <v>Medium</v>
      </c>
      <c r="F2045" s="20">
        <f>IFERROR(__xludf.DUMMYFUNCTION("""COMPUTED_VALUE"""),426.0)</f>
        <v>426</v>
      </c>
      <c r="G2045" s="20">
        <f>IFERROR(__xludf.DUMMYFUNCTION("""COMPUTED_VALUE"""),16.0)</f>
        <v>16</v>
      </c>
      <c r="H2045" s="20" t="str">
        <f>IFERROR(__xludf.DUMMYFUNCTION("""COMPUTED_VALUE"""),"Algorithms")</f>
        <v>Algorithms</v>
      </c>
      <c r="I2045" s="20">
        <f>IFERROR(__xludf.DUMMYFUNCTION("""COMPUTED_VALUE"""),0.751)</f>
        <v>0.751</v>
      </c>
      <c r="J2045" s="20">
        <f>IFERROR(__xludf.DUMMYFUNCTION("""COMPUTED_VALUE"""),2044.0)</f>
        <v>2044</v>
      </c>
      <c r="K2045" s="20" t="b">
        <f>IFERROR(__xludf.DUMMYFUNCTION("""COMPUTED_VALUE"""),FALSE)</f>
        <v>0</v>
      </c>
      <c r="L2045" s="20" t="str">
        <f>IFERROR(__xludf.DUMMYFUNCTION("""COMPUTED_VALUE"""),"Array;Backtracking;Bit Manipulation;")</f>
        <v>Array;Backtracking;Bit Manipulation;</v>
      </c>
      <c r="M2045" s="20" t="b">
        <f>IFERROR(__xludf.DUMMYFUNCTION("""COMPUTED_VALUE"""),FALSE)</f>
        <v>0</v>
      </c>
      <c r="N2045" s="20" t="b">
        <f>IFERROR(__xludf.DUMMYFUNCTION("""COMPUTED_VALUE"""),FALSE)</f>
        <v>0</v>
      </c>
      <c r="O2045" s="20">
        <f>IFERROR(__xludf.DUMMYFUNCTION("""COMPUTED_VALUE"""),75.0837187051506)</f>
        <v>75.08371871</v>
      </c>
      <c r="P2045" s="20">
        <f>IFERROR(__xludf.DUMMYFUNCTION("""COMPUTED_VALUE"""),18834.0)</f>
        <v>18834</v>
      </c>
      <c r="Q2045" s="20">
        <f>IFERROR(__xludf.DUMMYFUNCTION("""COMPUTED_VALUE"""),25084.0)</f>
        <v>25084</v>
      </c>
    </row>
    <row r="2046">
      <c r="A2046" s="20">
        <f>IFERROR(__xludf.DUMMYFUNCTION("""COMPUTED_VALUE"""),2171.0)</f>
        <v>2171</v>
      </c>
      <c r="B2046" s="20" t="str">
        <f>IFERROR(__xludf.DUMMYFUNCTION("""COMPUTED_VALUE"""),"Second Minimum Time to Reach Destination")</f>
        <v>Second Minimum Time to Reach Destination</v>
      </c>
      <c r="C2046" s="20" t="str">
        <f>IFERROR(__xludf.DUMMYFUNCTION("""COMPUTED_VALUE"""),"second-minimum-time-to-reach-destination")</f>
        <v>second-minimum-time-to-reach-destination</v>
      </c>
      <c r="D2046" s="20" t="b">
        <f>IFERROR(__xludf.DUMMYFUNCTION("""COMPUTED_VALUE"""),FALSE)</f>
        <v>0</v>
      </c>
      <c r="E2046" s="20" t="str">
        <f>IFERROR(__xludf.DUMMYFUNCTION("""COMPUTED_VALUE"""),"Hard")</f>
        <v>Hard</v>
      </c>
      <c r="F2046" s="20">
        <f>IFERROR(__xludf.DUMMYFUNCTION("""COMPUTED_VALUE"""),520.0)</f>
        <v>520</v>
      </c>
      <c r="G2046" s="20">
        <f>IFERROR(__xludf.DUMMYFUNCTION("""COMPUTED_VALUE"""),7.0)</f>
        <v>7</v>
      </c>
      <c r="H2046" s="20" t="str">
        <f>IFERROR(__xludf.DUMMYFUNCTION("""COMPUTED_VALUE"""),"Algorithms")</f>
        <v>Algorithms</v>
      </c>
      <c r="I2046" s="20">
        <f>IFERROR(__xludf.DUMMYFUNCTION("""COMPUTED_VALUE"""),0.391)</f>
        <v>0.391</v>
      </c>
      <c r="J2046" s="20">
        <f>IFERROR(__xludf.DUMMYFUNCTION("""COMPUTED_VALUE"""),2045.0)</f>
        <v>2045</v>
      </c>
      <c r="K2046" s="20" t="b">
        <f>IFERROR(__xludf.DUMMYFUNCTION("""COMPUTED_VALUE"""),FALSE)</f>
        <v>0</v>
      </c>
      <c r="L2046" s="20" t="str">
        <f>IFERROR(__xludf.DUMMYFUNCTION("""COMPUTED_VALUE"""),"Breadth-First Search;Graph;Shortest Path;")</f>
        <v>Breadth-First Search;Graph;Shortest Path;</v>
      </c>
      <c r="M2046" s="20" t="b">
        <f>IFERROR(__xludf.DUMMYFUNCTION("""COMPUTED_VALUE"""),TRUE)</f>
        <v>1</v>
      </c>
      <c r="N2046" s="20" t="b">
        <f>IFERROR(__xludf.DUMMYFUNCTION("""COMPUTED_VALUE"""),FALSE)</f>
        <v>0</v>
      </c>
      <c r="O2046" s="20">
        <f>IFERROR(__xludf.DUMMYFUNCTION("""COMPUTED_VALUE"""),39.1179245283018)</f>
        <v>39.11792453</v>
      </c>
      <c r="P2046" s="20">
        <f>IFERROR(__xludf.DUMMYFUNCTION("""COMPUTED_VALUE"""),8293.0)</f>
        <v>8293</v>
      </c>
      <c r="Q2046" s="20">
        <f>IFERROR(__xludf.DUMMYFUNCTION("""COMPUTED_VALUE"""),21200.0)</f>
        <v>21200</v>
      </c>
    </row>
    <row r="2047">
      <c r="A2047" s="20">
        <f>IFERROR(__xludf.DUMMYFUNCTION("""COMPUTED_VALUE"""),1992.0)</f>
        <v>1992</v>
      </c>
      <c r="B2047" s="20" t="str">
        <f>IFERROR(__xludf.DUMMYFUNCTION("""COMPUTED_VALUE"""),"Sort Linked List Already Sorted Using Absolute Values")</f>
        <v>Sort Linked List Already Sorted Using Absolute Values</v>
      </c>
      <c r="C2047" s="20" t="str">
        <f>IFERROR(__xludf.DUMMYFUNCTION("""COMPUTED_VALUE"""),"sort-linked-list-already-sorted-using-absolute-values")</f>
        <v>sort-linked-list-already-sorted-using-absolute-values</v>
      </c>
      <c r="D2047" s="20" t="b">
        <f>IFERROR(__xludf.DUMMYFUNCTION("""COMPUTED_VALUE"""),TRUE)</f>
        <v>1</v>
      </c>
      <c r="E2047" s="20" t="str">
        <f>IFERROR(__xludf.DUMMYFUNCTION("""COMPUTED_VALUE"""),"Medium")</f>
        <v>Medium</v>
      </c>
      <c r="F2047" s="20">
        <f>IFERROR(__xludf.DUMMYFUNCTION("""COMPUTED_VALUE"""),113.0)</f>
        <v>113</v>
      </c>
      <c r="G2047" s="20">
        <f>IFERROR(__xludf.DUMMYFUNCTION("""COMPUTED_VALUE"""),1.0)</f>
        <v>1</v>
      </c>
      <c r="H2047" s="20" t="str">
        <f>IFERROR(__xludf.DUMMYFUNCTION("""COMPUTED_VALUE"""),"Algorithms")</f>
        <v>Algorithms</v>
      </c>
      <c r="I2047" s="20">
        <f>IFERROR(__xludf.DUMMYFUNCTION("""COMPUTED_VALUE"""),0.692)</f>
        <v>0.692</v>
      </c>
      <c r="J2047" s="20">
        <f>IFERROR(__xludf.DUMMYFUNCTION("""COMPUTED_VALUE"""),2046.0)</f>
        <v>2046</v>
      </c>
      <c r="K2047" s="20" t="b">
        <f>IFERROR(__xludf.DUMMYFUNCTION("""COMPUTED_VALUE"""),TRUE)</f>
        <v>1</v>
      </c>
      <c r="L2047" s="20" t="str">
        <f>IFERROR(__xludf.DUMMYFUNCTION("""COMPUTED_VALUE"""),"Linked List;Two Pointers;Sorting;")</f>
        <v>Linked List;Two Pointers;Sorting;</v>
      </c>
      <c r="M2047" s="20" t="b">
        <f>IFERROR(__xludf.DUMMYFUNCTION("""COMPUTED_VALUE"""),FALSE)</f>
        <v>0</v>
      </c>
      <c r="N2047" s="20" t="b">
        <f>IFERROR(__xludf.DUMMYFUNCTION("""COMPUTED_VALUE"""),FALSE)</f>
        <v>0</v>
      </c>
      <c r="O2047" s="20">
        <f>IFERROR(__xludf.DUMMYFUNCTION("""COMPUTED_VALUE"""),69.1518358185024)</f>
        <v>69.15183582</v>
      </c>
      <c r="P2047" s="20">
        <f>IFERROR(__xludf.DUMMYFUNCTION("""COMPUTED_VALUE"""),4313.0)</f>
        <v>4313</v>
      </c>
      <c r="Q2047" s="20">
        <f>IFERROR(__xludf.DUMMYFUNCTION("""COMPUTED_VALUE"""),6237.0)</f>
        <v>6237</v>
      </c>
    </row>
    <row r="2048">
      <c r="A2048" s="20">
        <f>IFERROR(__xludf.DUMMYFUNCTION("""COMPUTED_VALUE"""),2173.0)</f>
        <v>2173</v>
      </c>
      <c r="B2048" s="20" t="str">
        <f>IFERROR(__xludf.DUMMYFUNCTION("""COMPUTED_VALUE"""),"Number of Valid Words in a Sentence")</f>
        <v>Number of Valid Words in a Sentence</v>
      </c>
      <c r="C2048" s="20" t="str">
        <f>IFERROR(__xludf.DUMMYFUNCTION("""COMPUTED_VALUE"""),"number-of-valid-words-in-a-sentence")</f>
        <v>number-of-valid-words-in-a-sentence</v>
      </c>
      <c r="D2048" s="20" t="b">
        <f>IFERROR(__xludf.DUMMYFUNCTION("""COMPUTED_VALUE"""),FALSE)</f>
        <v>0</v>
      </c>
      <c r="E2048" s="20" t="str">
        <f>IFERROR(__xludf.DUMMYFUNCTION("""COMPUTED_VALUE"""),"Easy")</f>
        <v>Easy</v>
      </c>
      <c r="F2048" s="20">
        <f>IFERROR(__xludf.DUMMYFUNCTION("""COMPUTED_VALUE"""),201.0)</f>
        <v>201</v>
      </c>
      <c r="G2048" s="20">
        <f>IFERROR(__xludf.DUMMYFUNCTION("""COMPUTED_VALUE"""),639.0)</f>
        <v>639</v>
      </c>
      <c r="H2048" s="20" t="str">
        <f>IFERROR(__xludf.DUMMYFUNCTION("""COMPUTED_VALUE"""),"Algorithms")</f>
        <v>Algorithms</v>
      </c>
      <c r="I2048" s="20">
        <f>IFERROR(__xludf.DUMMYFUNCTION("""COMPUTED_VALUE"""),0.295)</f>
        <v>0.295</v>
      </c>
      <c r="J2048" s="20">
        <f>IFERROR(__xludf.DUMMYFUNCTION("""COMPUTED_VALUE"""),2047.0)</f>
        <v>2047</v>
      </c>
      <c r="K2048" s="20" t="b">
        <f>IFERROR(__xludf.DUMMYFUNCTION("""COMPUTED_VALUE"""),FALSE)</f>
        <v>0</v>
      </c>
      <c r="L2048" s="20" t="str">
        <f>IFERROR(__xludf.DUMMYFUNCTION("""COMPUTED_VALUE"""),"String;")</f>
        <v>String;</v>
      </c>
      <c r="M2048" s="20" t="b">
        <f>IFERROR(__xludf.DUMMYFUNCTION("""COMPUTED_VALUE"""),FALSE)</f>
        <v>0</v>
      </c>
      <c r="N2048" s="20" t="b">
        <f>IFERROR(__xludf.DUMMYFUNCTION("""COMPUTED_VALUE"""),FALSE)</f>
        <v>0</v>
      </c>
      <c r="O2048" s="20">
        <f>IFERROR(__xludf.DUMMYFUNCTION("""COMPUTED_VALUE"""),29.480486831014)</f>
        <v>29.48048683</v>
      </c>
      <c r="P2048" s="20">
        <f>IFERROR(__xludf.DUMMYFUNCTION("""COMPUTED_VALUE"""),19935.0)</f>
        <v>19935</v>
      </c>
      <c r="Q2048" s="20">
        <f>IFERROR(__xludf.DUMMYFUNCTION("""COMPUTED_VALUE"""),67621.0)</f>
        <v>67621</v>
      </c>
    </row>
    <row r="2049">
      <c r="A2049" s="20">
        <f>IFERROR(__xludf.DUMMYFUNCTION("""COMPUTED_VALUE"""),2174.0)</f>
        <v>2174</v>
      </c>
      <c r="B2049" s="20" t="str">
        <f>IFERROR(__xludf.DUMMYFUNCTION("""COMPUTED_VALUE"""),"Next Greater Numerically Balanced Number")</f>
        <v>Next Greater Numerically Balanced Number</v>
      </c>
      <c r="C2049" s="20" t="str">
        <f>IFERROR(__xludf.DUMMYFUNCTION("""COMPUTED_VALUE"""),"next-greater-numerically-balanced-number")</f>
        <v>next-greater-numerically-balanced-number</v>
      </c>
      <c r="D2049" s="20" t="b">
        <f>IFERROR(__xludf.DUMMYFUNCTION("""COMPUTED_VALUE"""),FALSE)</f>
        <v>0</v>
      </c>
      <c r="E2049" s="20" t="str">
        <f>IFERROR(__xludf.DUMMYFUNCTION("""COMPUTED_VALUE"""),"Medium")</f>
        <v>Medium</v>
      </c>
      <c r="F2049" s="20">
        <f>IFERROR(__xludf.DUMMYFUNCTION("""COMPUTED_VALUE"""),149.0)</f>
        <v>149</v>
      </c>
      <c r="G2049" s="20">
        <f>IFERROR(__xludf.DUMMYFUNCTION("""COMPUTED_VALUE"""),254.0)</f>
        <v>254</v>
      </c>
      <c r="H2049" s="20" t="str">
        <f>IFERROR(__xludf.DUMMYFUNCTION("""COMPUTED_VALUE"""),"Algorithms")</f>
        <v>Algorithms</v>
      </c>
      <c r="I2049" s="20">
        <f>IFERROR(__xludf.DUMMYFUNCTION("""COMPUTED_VALUE"""),0.472)</f>
        <v>0.472</v>
      </c>
      <c r="J2049" s="20">
        <f>IFERROR(__xludf.DUMMYFUNCTION("""COMPUTED_VALUE"""),2048.0)</f>
        <v>2048</v>
      </c>
      <c r="K2049" s="20" t="b">
        <f>IFERROR(__xludf.DUMMYFUNCTION("""COMPUTED_VALUE"""),FALSE)</f>
        <v>0</v>
      </c>
      <c r="L2049" s="20" t="str">
        <f>IFERROR(__xludf.DUMMYFUNCTION("""COMPUTED_VALUE"""),"Math;Backtracking;Enumeration;")</f>
        <v>Math;Backtracking;Enumeration;</v>
      </c>
      <c r="M2049" s="20" t="b">
        <f>IFERROR(__xludf.DUMMYFUNCTION("""COMPUTED_VALUE"""),FALSE)</f>
        <v>0</v>
      </c>
      <c r="N2049" s="20" t="b">
        <f>IFERROR(__xludf.DUMMYFUNCTION("""COMPUTED_VALUE"""),FALSE)</f>
        <v>0</v>
      </c>
      <c r="O2049" s="20">
        <f>IFERROR(__xludf.DUMMYFUNCTION("""COMPUTED_VALUE"""),47.2045454545454)</f>
        <v>47.20454545</v>
      </c>
      <c r="P2049" s="20">
        <f>IFERROR(__xludf.DUMMYFUNCTION("""COMPUTED_VALUE"""),10385.0)</f>
        <v>10385</v>
      </c>
      <c r="Q2049" s="20">
        <f>IFERROR(__xludf.DUMMYFUNCTION("""COMPUTED_VALUE"""),22000.0)</f>
        <v>22000</v>
      </c>
    </row>
    <row r="2050">
      <c r="A2050" s="20">
        <f>IFERROR(__xludf.DUMMYFUNCTION("""COMPUTED_VALUE"""),2175.0)</f>
        <v>2175</v>
      </c>
      <c r="B2050" s="20" t="str">
        <f>IFERROR(__xludf.DUMMYFUNCTION("""COMPUTED_VALUE"""),"Count Nodes With the Highest Score")</f>
        <v>Count Nodes With the Highest Score</v>
      </c>
      <c r="C2050" s="20" t="str">
        <f>IFERROR(__xludf.DUMMYFUNCTION("""COMPUTED_VALUE"""),"count-nodes-with-the-highest-score")</f>
        <v>count-nodes-with-the-highest-score</v>
      </c>
      <c r="D2050" s="20" t="b">
        <f>IFERROR(__xludf.DUMMYFUNCTION("""COMPUTED_VALUE"""),FALSE)</f>
        <v>0</v>
      </c>
      <c r="E2050" s="20" t="str">
        <f>IFERROR(__xludf.DUMMYFUNCTION("""COMPUTED_VALUE"""),"Medium")</f>
        <v>Medium</v>
      </c>
      <c r="F2050" s="20">
        <f>IFERROR(__xludf.DUMMYFUNCTION("""COMPUTED_VALUE"""),737.0)</f>
        <v>737</v>
      </c>
      <c r="G2050" s="20">
        <f>IFERROR(__xludf.DUMMYFUNCTION("""COMPUTED_VALUE"""),43.0)</f>
        <v>43</v>
      </c>
      <c r="H2050" s="20" t="str">
        <f>IFERROR(__xludf.DUMMYFUNCTION("""COMPUTED_VALUE"""),"Algorithms")</f>
        <v>Algorithms</v>
      </c>
      <c r="I2050" s="20">
        <f>IFERROR(__xludf.DUMMYFUNCTION("""COMPUTED_VALUE"""),0.474)</f>
        <v>0.474</v>
      </c>
      <c r="J2050" s="20">
        <f>IFERROR(__xludf.DUMMYFUNCTION("""COMPUTED_VALUE"""),2049.0)</f>
        <v>2049</v>
      </c>
      <c r="K2050" s="20" t="b">
        <f>IFERROR(__xludf.DUMMYFUNCTION("""COMPUTED_VALUE"""),FALSE)</f>
        <v>0</v>
      </c>
      <c r="L2050" s="20" t="str">
        <f>IFERROR(__xludf.DUMMYFUNCTION("""COMPUTED_VALUE"""),"Array;Tree;Depth-First Search;Binary Tree;")</f>
        <v>Array;Tree;Depth-First Search;Binary Tree;</v>
      </c>
      <c r="M2050" s="20" t="b">
        <f>IFERROR(__xludf.DUMMYFUNCTION("""COMPUTED_VALUE"""),FALSE)</f>
        <v>0</v>
      </c>
      <c r="N2050" s="20" t="b">
        <f>IFERROR(__xludf.DUMMYFUNCTION("""COMPUTED_VALUE"""),FALSE)</f>
        <v>0</v>
      </c>
      <c r="O2050" s="20">
        <f>IFERROR(__xludf.DUMMYFUNCTION("""COMPUTED_VALUE"""),47.3517414496391)</f>
        <v>47.35174145</v>
      </c>
      <c r="P2050" s="20">
        <f>IFERROR(__xludf.DUMMYFUNCTION("""COMPUTED_VALUE"""),15091.0)</f>
        <v>15091</v>
      </c>
      <c r="Q2050" s="20">
        <f>IFERROR(__xludf.DUMMYFUNCTION("""COMPUTED_VALUE"""),31870.0)</f>
        <v>31870</v>
      </c>
    </row>
    <row r="2051">
      <c r="A2051" s="20">
        <f>IFERROR(__xludf.DUMMYFUNCTION("""COMPUTED_VALUE"""),2176.0)</f>
        <v>2176</v>
      </c>
      <c r="B2051" s="20" t="str">
        <f>IFERROR(__xludf.DUMMYFUNCTION("""COMPUTED_VALUE"""),"Parallel Courses III")</f>
        <v>Parallel Courses III</v>
      </c>
      <c r="C2051" s="20" t="str">
        <f>IFERROR(__xludf.DUMMYFUNCTION("""COMPUTED_VALUE"""),"parallel-courses-iii")</f>
        <v>parallel-courses-iii</v>
      </c>
      <c r="D2051" s="20" t="b">
        <f>IFERROR(__xludf.DUMMYFUNCTION("""COMPUTED_VALUE"""),FALSE)</f>
        <v>0</v>
      </c>
      <c r="E2051" s="20" t="str">
        <f>IFERROR(__xludf.DUMMYFUNCTION("""COMPUTED_VALUE"""),"Hard")</f>
        <v>Hard</v>
      </c>
      <c r="F2051" s="20">
        <f>IFERROR(__xludf.DUMMYFUNCTION("""COMPUTED_VALUE"""),589.0)</f>
        <v>589</v>
      </c>
      <c r="G2051" s="20">
        <f>IFERROR(__xludf.DUMMYFUNCTION("""COMPUTED_VALUE"""),19.0)</f>
        <v>19</v>
      </c>
      <c r="H2051" s="20" t="str">
        <f>IFERROR(__xludf.DUMMYFUNCTION("""COMPUTED_VALUE"""),"Algorithms")</f>
        <v>Algorithms</v>
      </c>
      <c r="I2051" s="20">
        <f>IFERROR(__xludf.DUMMYFUNCTION("""COMPUTED_VALUE"""),0.594)</f>
        <v>0.594</v>
      </c>
      <c r="J2051" s="20">
        <f>IFERROR(__xludf.DUMMYFUNCTION("""COMPUTED_VALUE"""),2050.0)</f>
        <v>2050</v>
      </c>
      <c r="K2051" s="20" t="b">
        <f>IFERROR(__xludf.DUMMYFUNCTION("""COMPUTED_VALUE"""),FALSE)</f>
        <v>0</v>
      </c>
      <c r="L2051" s="20" t="str">
        <f>IFERROR(__xludf.DUMMYFUNCTION("""COMPUTED_VALUE"""),"Dynamic Programming;Graph;Topological Sort;")</f>
        <v>Dynamic Programming;Graph;Topological Sort;</v>
      </c>
      <c r="M2051" s="20" t="b">
        <f>IFERROR(__xludf.DUMMYFUNCTION("""COMPUTED_VALUE"""),FALSE)</f>
        <v>0</v>
      </c>
      <c r="N2051" s="20" t="b">
        <f>IFERROR(__xludf.DUMMYFUNCTION("""COMPUTED_VALUE"""),FALSE)</f>
        <v>0</v>
      </c>
      <c r="O2051" s="20">
        <f>IFERROR(__xludf.DUMMYFUNCTION("""COMPUTED_VALUE"""),59.3739916101968)</f>
        <v>59.37399161</v>
      </c>
      <c r="P2051" s="20">
        <f>IFERROR(__xludf.DUMMYFUNCTION("""COMPUTED_VALUE"""),16560.0)</f>
        <v>16560</v>
      </c>
      <c r="Q2051" s="20">
        <f>IFERROR(__xludf.DUMMYFUNCTION("""COMPUTED_VALUE"""),27891.0)</f>
        <v>27891</v>
      </c>
    </row>
    <row r="2052">
      <c r="A2052" s="20">
        <f>IFERROR(__xludf.DUMMYFUNCTION("""COMPUTED_VALUE"""),2194.0)</f>
        <v>2194</v>
      </c>
      <c r="B2052" s="20" t="str">
        <f>IFERROR(__xludf.DUMMYFUNCTION("""COMPUTED_VALUE"""),"The Category of Each Member in the Store")</f>
        <v>The Category of Each Member in the Store</v>
      </c>
      <c r="C2052" s="20" t="str">
        <f>IFERROR(__xludf.DUMMYFUNCTION("""COMPUTED_VALUE"""),"the-category-of-each-member-in-the-store")</f>
        <v>the-category-of-each-member-in-the-store</v>
      </c>
      <c r="D2052" s="20" t="b">
        <f>IFERROR(__xludf.DUMMYFUNCTION("""COMPUTED_VALUE"""),TRUE)</f>
        <v>1</v>
      </c>
      <c r="E2052" s="20" t="str">
        <f>IFERROR(__xludf.DUMMYFUNCTION("""COMPUTED_VALUE"""),"Medium")</f>
        <v>Medium</v>
      </c>
      <c r="F2052" s="20">
        <f>IFERROR(__xludf.DUMMYFUNCTION("""COMPUTED_VALUE"""),40.0)</f>
        <v>40</v>
      </c>
      <c r="G2052" s="20">
        <f>IFERROR(__xludf.DUMMYFUNCTION("""COMPUTED_VALUE"""),6.0)</f>
        <v>6</v>
      </c>
      <c r="H2052" s="20" t="str">
        <f>IFERROR(__xludf.DUMMYFUNCTION("""COMPUTED_VALUE"""),"Database")</f>
        <v>Database</v>
      </c>
      <c r="I2052" s="20">
        <f>IFERROR(__xludf.DUMMYFUNCTION("""COMPUTED_VALUE"""),0.73)</f>
        <v>0.73</v>
      </c>
      <c r="J2052" s="20">
        <f>IFERROR(__xludf.DUMMYFUNCTION("""COMPUTED_VALUE"""),2051.0)</f>
        <v>2051</v>
      </c>
      <c r="K2052" s="20" t="b">
        <f>IFERROR(__xludf.DUMMYFUNCTION("""COMPUTED_VALUE"""),TRUE)</f>
        <v>1</v>
      </c>
      <c r="L2052" s="20" t="str">
        <f>IFERROR(__xludf.DUMMYFUNCTION("""COMPUTED_VALUE"""),"Database;")</f>
        <v>Database;</v>
      </c>
      <c r="M2052" s="20" t="b">
        <f>IFERROR(__xludf.DUMMYFUNCTION("""COMPUTED_VALUE"""),FALSE)</f>
        <v>0</v>
      </c>
      <c r="N2052" s="20" t="b">
        <f>IFERROR(__xludf.DUMMYFUNCTION("""COMPUTED_VALUE"""),FALSE)</f>
        <v>0</v>
      </c>
      <c r="O2052" s="20">
        <f>IFERROR(__xludf.DUMMYFUNCTION("""COMPUTED_VALUE"""),72.9814593301435)</f>
        <v>72.98145933</v>
      </c>
      <c r="P2052" s="20">
        <f>IFERROR(__xludf.DUMMYFUNCTION("""COMPUTED_VALUE"""),4881.0)</f>
        <v>4881</v>
      </c>
      <c r="Q2052" s="20">
        <f>IFERROR(__xludf.DUMMYFUNCTION("""COMPUTED_VALUE"""),6688.0)</f>
        <v>6688</v>
      </c>
    </row>
    <row r="2053">
      <c r="A2053" s="20">
        <f>IFERROR(__xludf.DUMMYFUNCTION("""COMPUTED_VALUE"""),2082.0)</f>
        <v>2082</v>
      </c>
      <c r="B2053" s="20" t="str">
        <f>IFERROR(__xludf.DUMMYFUNCTION("""COMPUTED_VALUE"""),"Minimum Cost to Separate Sentence Into Rows")</f>
        <v>Minimum Cost to Separate Sentence Into Rows</v>
      </c>
      <c r="C2053" s="20" t="str">
        <f>IFERROR(__xludf.DUMMYFUNCTION("""COMPUTED_VALUE"""),"minimum-cost-to-separate-sentence-into-rows")</f>
        <v>minimum-cost-to-separate-sentence-into-rows</v>
      </c>
      <c r="D2053" s="20" t="b">
        <f>IFERROR(__xludf.DUMMYFUNCTION("""COMPUTED_VALUE"""),TRUE)</f>
        <v>1</v>
      </c>
      <c r="E2053" s="20" t="str">
        <f>IFERROR(__xludf.DUMMYFUNCTION("""COMPUTED_VALUE"""),"Medium")</f>
        <v>Medium</v>
      </c>
      <c r="F2053" s="20">
        <f>IFERROR(__xludf.DUMMYFUNCTION("""COMPUTED_VALUE"""),34.0)</f>
        <v>34</v>
      </c>
      <c r="G2053" s="20">
        <f>IFERROR(__xludf.DUMMYFUNCTION("""COMPUTED_VALUE"""),11.0)</f>
        <v>11</v>
      </c>
      <c r="H2053" s="20" t="str">
        <f>IFERROR(__xludf.DUMMYFUNCTION("""COMPUTED_VALUE"""),"Algorithms")</f>
        <v>Algorithms</v>
      </c>
      <c r="I2053" s="20">
        <f>IFERROR(__xludf.DUMMYFUNCTION("""COMPUTED_VALUE"""),0.505)</f>
        <v>0.505</v>
      </c>
      <c r="J2053" s="20">
        <f>IFERROR(__xludf.DUMMYFUNCTION("""COMPUTED_VALUE"""),2052.0)</f>
        <v>2052</v>
      </c>
      <c r="K2053" s="20" t="b">
        <f>IFERROR(__xludf.DUMMYFUNCTION("""COMPUTED_VALUE"""),TRUE)</f>
        <v>1</v>
      </c>
      <c r="L2053" s="20" t="str">
        <f>IFERROR(__xludf.DUMMYFUNCTION("""COMPUTED_VALUE"""),"Array;Dynamic Programming;")</f>
        <v>Array;Dynamic Programming;</v>
      </c>
      <c r="M2053" s="20" t="b">
        <f>IFERROR(__xludf.DUMMYFUNCTION("""COMPUTED_VALUE"""),FALSE)</f>
        <v>0</v>
      </c>
      <c r="N2053" s="20" t="b">
        <f>IFERROR(__xludf.DUMMYFUNCTION("""COMPUTED_VALUE"""),FALSE)</f>
        <v>0</v>
      </c>
      <c r="O2053" s="20">
        <f>IFERROR(__xludf.DUMMYFUNCTION("""COMPUTED_VALUE"""),50.5098039215686)</f>
        <v>50.50980392</v>
      </c>
      <c r="P2053" s="20">
        <f>IFERROR(__xludf.DUMMYFUNCTION("""COMPUTED_VALUE"""),1288.0)</f>
        <v>1288</v>
      </c>
      <c r="Q2053" s="20">
        <f>IFERROR(__xludf.DUMMYFUNCTION("""COMPUTED_VALUE"""),2550.0)</f>
        <v>2550</v>
      </c>
    </row>
    <row r="2054">
      <c r="A2054" s="20">
        <f>IFERROR(__xludf.DUMMYFUNCTION("""COMPUTED_VALUE"""),2163.0)</f>
        <v>2163</v>
      </c>
      <c r="B2054" s="20" t="str">
        <f>IFERROR(__xludf.DUMMYFUNCTION("""COMPUTED_VALUE"""),"Kth Distinct String in an Array")</f>
        <v>Kth Distinct String in an Array</v>
      </c>
      <c r="C2054" s="20" t="str">
        <f>IFERROR(__xludf.DUMMYFUNCTION("""COMPUTED_VALUE"""),"kth-distinct-string-in-an-array")</f>
        <v>kth-distinct-string-in-an-array</v>
      </c>
      <c r="D2054" s="20" t="b">
        <f>IFERROR(__xludf.DUMMYFUNCTION("""COMPUTED_VALUE"""),FALSE)</f>
        <v>0</v>
      </c>
      <c r="E2054" s="20" t="str">
        <f>IFERROR(__xludf.DUMMYFUNCTION("""COMPUTED_VALUE"""),"Easy")</f>
        <v>Easy</v>
      </c>
      <c r="F2054" s="20">
        <f>IFERROR(__xludf.DUMMYFUNCTION("""COMPUTED_VALUE"""),519.0)</f>
        <v>519</v>
      </c>
      <c r="G2054" s="20">
        <f>IFERROR(__xludf.DUMMYFUNCTION("""COMPUTED_VALUE"""),17.0)</f>
        <v>17</v>
      </c>
      <c r="H2054" s="20" t="str">
        <f>IFERROR(__xludf.DUMMYFUNCTION("""COMPUTED_VALUE"""),"Algorithms")</f>
        <v>Algorithms</v>
      </c>
      <c r="I2054" s="20">
        <f>IFERROR(__xludf.DUMMYFUNCTION("""COMPUTED_VALUE"""),0.719)</f>
        <v>0.719</v>
      </c>
      <c r="J2054" s="20">
        <f>IFERROR(__xludf.DUMMYFUNCTION("""COMPUTED_VALUE"""),2053.0)</f>
        <v>2053</v>
      </c>
      <c r="K2054" s="20" t="b">
        <f>IFERROR(__xludf.DUMMYFUNCTION("""COMPUTED_VALUE"""),FALSE)</f>
        <v>0</v>
      </c>
      <c r="L2054" s="20" t="str">
        <f>IFERROR(__xludf.DUMMYFUNCTION("""COMPUTED_VALUE"""),"Array;Hash Table;String;Counting;")</f>
        <v>Array;Hash Table;String;Counting;</v>
      </c>
      <c r="M2054" s="20" t="b">
        <f>IFERROR(__xludf.DUMMYFUNCTION("""COMPUTED_VALUE"""),FALSE)</f>
        <v>0</v>
      </c>
      <c r="N2054" s="20" t="b">
        <f>IFERROR(__xludf.DUMMYFUNCTION("""COMPUTED_VALUE"""),FALSE)</f>
        <v>0</v>
      </c>
      <c r="O2054" s="20">
        <f>IFERROR(__xludf.DUMMYFUNCTION("""COMPUTED_VALUE"""),71.8766473379019)</f>
        <v>71.87664734</v>
      </c>
      <c r="P2054" s="20">
        <f>IFERROR(__xludf.DUMMYFUNCTION("""COMPUTED_VALUE"""),38178.0)</f>
        <v>38178</v>
      </c>
      <c r="Q2054" s="20">
        <f>IFERROR(__xludf.DUMMYFUNCTION("""COMPUTED_VALUE"""),53116.0)</f>
        <v>53116</v>
      </c>
    </row>
    <row r="2055">
      <c r="A2055" s="20">
        <f>IFERROR(__xludf.DUMMYFUNCTION("""COMPUTED_VALUE"""),2164.0)</f>
        <v>2164</v>
      </c>
      <c r="B2055" s="20" t="str">
        <f>IFERROR(__xludf.DUMMYFUNCTION("""COMPUTED_VALUE"""),"Two Best Non-Overlapping Events")</f>
        <v>Two Best Non-Overlapping Events</v>
      </c>
      <c r="C2055" s="20" t="str">
        <f>IFERROR(__xludf.DUMMYFUNCTION("""COMPUTED_VALUE"""),"two-best-non-overlapping-events")</f>
        <v>two-best-non-overlapping-events</v>
      </c>
      <c r="D2055" s="20" t="b">
        <f>IFERROR(__xludf.DUMMYFUNCTION("""COMPUTED_VALUE"""),FALSE)</f>
        <v>0</v>
      </c>
      <c r="E2055" s="20" t="str">
        <f>IFERROR(__xludf.DUMMYFUNCTION("""COMPUTED_VALUE"""),"Medium")</f>
        <v>Medium</v>
      </c>
      <c r="F2055" s="20">
        <f>IFERROR(__xludf.DUMMYFUNCTION("""COMPUTED_VALUE"""),579.0)</f>
        <v>579</v>
      </c>
      <c r="G2055" s="20">
        <f>IFERROR(__xludf.DUMMYFUNCTION("""COMPUTED_VALUE"""),14.0)</f>
        <v>14</v>
      </c>
      <c r="H2055" s="20" t="str">
        <f>IFERROR(__xludf.DUMMYFUNCTION("""COMPUTED_VALUE"""),"Algorithms")</f>
        <v>Algorithms</v>
      </c>
      <c r="I2055" s="20">
        <f>IFERROR(__xludf.DUMMYFUNCTION("""COMPUTED_VALUE"""),0.452)</f>
        <v>0.452</v>
      </c>
      <c r="J2055" s="20">
        <f>IFERROR(__xludf.DUMMYFUNCTION("""COMPUTED_VALUE"""),2054.0)</f>
        <v>2054</v>
      </c>
      <c r="K2055" s="20" t="b">
        <f>IFERROR(__xludf.DUMMYFUNCTION("""COMPUTED_VALUE"""),FALSE)</f>
        <v>0</v>
      </c>
      <c r="L2055" s="20" t="str">
        <f>IFERROR(__xludf.DUMMYFUNCTION("""COMPUTED_VALUE"""),"Array;Binary Search;Dynamic Programming;Sorting;Heap (Priority Queue);")</f>
        <v>Array;Binary Search;Dynamic Programming;Sorting;Heap (Priority Queue);</v>
      </c>
      <c r="M2055" s="20" t="b">
        <f>IFERROR(__xludf.DUMMYFUNCTION("""COMPUTED_VALUE"""),FALSE)</f>
        <v>0</v>
      </c>
      <c r="N2055" s="20" t="b">
        <f>IFERROR(__xludf.DUMMYFUNCTION("""COMPUTED_VALUE"""),FALSE)</f>
        <v>0</v>
      </c>
      <c r="O2055" s="20">
        <f>IFERROR(__xludf.DUMMYFUNCTION("""COMPUTED_VALUE"""),45.193764884174)</f>
        <v>45.19376488</v>
      </c>
      <c r="P2055" s="20">
        <f>IFERROR(__xludf.DUMMYFUNCTION("""COMPUTED_VALUE"""),12525.0)</f>
        <v>12525</v>
      </c>
      <c r="Q2055" s="20">
        <f>IFERROR(__xludf.DUMMYFUNCTION("""COMPUTED_VALUE"""),27714.0)</f>
        <v>27714</v>
      </c>
    </row>
    <row r="2056">
      <c r="A2056" s="20">
        <f>IFERROR(__xludf.DUMMYFUNCTION("""COMPUTED_VALUE"""),2165.0)</f>
        <v>2165</v>
      </c>
      <c r="B2056" s="20" t="str">
        <f>IFERROR(__xludf.DUMMYFUNCTION("""COMPUTED_VALUE"""),"Plates Between Candles")</f>
        <v>Plates Between Candles</v>
      </c>
      <c r="C2056" s="20" t="str">
        <f>IFERROR(__xludf.DUMMYFUNCTION("""COMPUTED_VALUE"""),"plates-between-candles")</f>
        <v>plates-between-candles</v>
      </c>
      <c r="D2056" s="20" t="b">
        <f>IFERROR(__xludf.DUMMYFUNCTION("""COMPUTED_VALUE"""),FALSE)</f>
        <v>0</v>
      </c>
      <c r="E2056" s="20" t="str">
        <f>IFERROR(__xludf.DUMMYFUNCTION("""COMPUTED_VALUE"""),"Medium")</f>
        <v>Medium</v>
      </c>
      <c r="F2056" s="20">
        <f>IFERROR(__xludf.DUMMYFUNCTION("""COMPUTED_VALUE"""),799.0)</f>
        <v>799</v>
      </c>
      <c r="G2056" s="20">
        <f>IFERROR(__xludf.DUMMYFUNCTION("""COMPUTED_VALUE"""),30.0)</f>
        <v>30</v>
      </c>
      <c r="H2056" s="20" t="str">
        <f>IFERROR(__xludf.DUMMYFUNCTION("""COMPUTED_VALUE"""),"Algorithms")</f>
        <v>Algorithms</v>
      </c>
      <c r="I2056" s="20">
        <f>IFERROR(__xludf.DUMMYFUNCTION("""COMPUTED_VALUE"""),0.445)</f>
        <v>0.445</v>
      </c>
      <c r="J2056" s="20">
        <f>IFERROR(__xludf.DUMMYFUNCTION("""COMPUTED_VALUE"""),2055.0)</f>
        <v>2055</v>
      </c>
      <c r="K2056" s="20" t="b">
        <f>IFERROR(__xludf.DUMMYFUNCTION("""COMPUTED_VALUE"""),FALSE)</f>
        <v>0</v>
      </c>
      <c r="L2056" s="20" t="str">
        <f>IFERROR(__xludf.DUMMYFUNCTION("""COMPUTED_VALUE"""),"Array;String;Binary Search;Prefix Sum;")</f>
        <v>Array;String;Binary Search;Prefix Sum;</v>
      </c>
      <c r="M2056" s="20" t="b">
        <f>IFERROR(__xludf.DUMMYFUNCTION("""COMPUTED_VALUE"""),FALSE)</f>
        <v>0</v>
      </c>
      <c r="N2056" s="20" t="b">
        <f>IFERROR(__xludf.DUMMYFUNCTION("""COMPUTED_VALUE"""),FALSE)</f>
        <v>0</v>
      </c>
      <c r="O2056" s="20">
        <f>IFERROR(__xludf.DUMMYFUNCTION("""COMPUTED_VALUE"""),44.4534292692587)</f>
        <v>44.45342927</v>
      </c>
      <c r="P2056" s="20">
        <f>IFERROR(__xludf.DUMMYFUNCTION("""COMPUTED_VALUE"""),26937.0)</f>
        <v>26937</v>
      </c>
      <c r="Q2056" s="20">
        <f>IFERROR(__xludf.DUMMYFUNCTION("""COMPUTED_VALUE"""),60596.0)</f>
        <v>60596</v>
      </c>
    </row>
    <row r="2057">
      <c r="A2057" s="20">
        <f>IFERROR(__xludf.DUMMYFUNCTION("""COMPUTED_VALUE"""),2166.0)</f>
        <v>2166</v>
      </c>
      <c r="B2057" s="20" t="str">
        <f>IFERROR(__xludf.DUMMYFUNCTION("""COMPUTED_VALUE"""),"Number of Valid Move Combinations On Chessboard")</f>
        <v>Number of Valid Move Combinations On Chessboard</v>
      </c>
      <c r="C2057" s="20" t="str">
        <f>IFERROR(__xludf.DUMMYFUNCTION("""COMPUTED_VALUE"""),"number-of-valid-move-combinations-on-chessboard")</f>
        <v>number-of-valid-move-combinations-on-chessboard</v>
      </c>
      <c r="D2057" s="20" t="b">
        <f>IFERROR(__xludf.DUMMYFUNCTION("""COMPUTED_VALUE"""),FALSE)</f>
        <v>0</v>
      </c>
      <c r="E2057" s="20" t="str">
        <f>IFERROR(__xludf.DUMMYFUNCTION("""COMPUTED_VALUE"""),"Hard")</f>
        <v>Hard</v>
      </c>
      <c r="F2057" s="20">
        <f>IFERROR(__xludf.DUMMYFUNCTION("""COMPUTED_VALUE"""),49.0)</f>
        <v>49</v>
      </c>
      <c r="G2057" s="20">
        <f>IFERROR(__xludf.DUMMYFUNCTION("""COMPUTED_VALUE"""),245.0)</f>
        <v>245</v>
      </c>
      <c r="H2057" s="20" t="str">
        <f>IFERROR(__xludf.DUMMYFUNCTION("""COMPUTED_VALUE"""),"Algorithms")</f>
        <v>Algorithms</v>
      </c>
      <c r="I2057" s="20">
        <f>IFERROR(__xludf.DUMMYFUNCTION("""COMPUTED_VALUE"""),0.587)</f>
        <v>0.587</v>
      </c>
      <c r="J2057" s="20">
        <f>IFERROR(__xludf.DUMMYFUNCTION("""COMPUTED_VALUE"""),2056.0)</f>
        <v>2056</v>
      </c>
      <c r="K2057" s="20" t="b">
        <f>IFERROR(__xludf.DUMMYFUNCTION("""COMPUTED_VALUE"""),FALSE)</f>
        <v>0</v>
      </c>
      <c r="L2057" s="20" t="str">
        <f>IFERROR(__xludf.DUMMYFUNCTION("""COMPUTED_VALUE"""),"Array;String;Backtracking;Simulation;")</f>
        <v>Array;String;Backtracking;Simulation;</v>
      </c>
      <c r="M2057" s="20" t="b">
        <f>IFERROR(__xludf.DUMMYFUNCTION("""COMPUTED_VALUE"""),FALSE)</f>
        <v>0</v>
      </c>
      <c r="N2057" s="20" t="b">
        <f>IFERROR(__xludf.DUMMYFUNCTION("""COMPUTED_VALUE"""),FALSE)</f>
        <v>0</v>
      </c>
      <c r="O2057" s="20">
        <f>IFERROR(__xludf.DUMMYFUNCTION("""COMPUTED_VALUE"""),58.7484265419888)</f>
        <v>58.74842654</v>
      </c>
      <c r="P2057" s="20">
        <f>IFERROR(__xludf.DUMMYFUNCTION("""COMPUTED_VALUE"""),3267.0)</f>
        <v>3267</v>
      </c>
      <c r="Q2057" s="20">
        <f>IFERROR(__xludf.DUMMYFUNCTION("""COMPUTED_VALUE"""),5561.0)</f>
        <v>5561</v>
      </c>
    </row>
    <row r="2058">
      <c r="A2058" s="20">
        <f>IFERROR(__xludf.DUMMYFUNCTION("""COMPUTED_VALUE"""),2181.0)</f>
        <v>2181</v>
      </c>
      <c r="B2058" s="20" t="str">
        <f>IFERROR(__xludf.DUMMYFUNCTION("""COMPUTED_VALUE"""),"Smallest Index With Equal Value")</f>
        <v>Smallest Index With Equal Value</v>
      </c>
      <c r="C2058" s="20" t="str">
        <f>IFERROR(__xludf.DUMMYFUNCTION("""COMPUTED_VALUE"""),"smallest-index-with-equal-value")</f>
        <v>smallest-index-with-equal-value</v>
      </c>
      <c r="D2058" s="20" t="b">
        <f>IFERROR(__xludf.DUMMYFUNCTION("""COMPUTED_VALUE"""),FALSE)</f>
        <v>0</v>
      </c>
      <c r="E2058" s="20" t="str">
        <f>IFERROR(__xludf.DUMMYFUNCTION("""COMPUTED_VALUE"""),"Easy")</f>
        <v>Easy</v>
      </c>
      <c r="F2058" s="20">
        <f>IFERROR(__xludf.DUMMYFUNCTION("""COMPUTED_VALUE"""),273.0)</f>
        <v>273</v>
      </c>
      <c r="G2058" s="20">
        <f>IFERROR(__xludf.DUMMYFUNCTION("""COMPUTED_VALUE"""),96.0)</f>
        <v>96</v>
      </c>
      <c r="H2058" s="20" t="str">
        <f>IFERROR(__xludf.DUMMYFUNCTION("""COMPUTED_VALUE"""),"Algorithms")</f>
        <v>Algorithms</v>
      </c>
      <c r="I2058" s="20">
        <f>IFERROR(__xludf.DUMMYFUNCTION("""COMPUTED_VALUE"""),0.714)</f>
        <v>0.714</v>
      </c>
      <c r="J2058" s="20">
        <f>IFERROR(__xludf.DUMMYFUNCTION("""COMPUTED_VALUE"""),2057.0)</f>
        <v>2057</v>
      </c>
      <c r="K2058" s="20" t="b">
        <f>IFERROR(__xludf.DUMMYFUNCTION("""COMPUTED_VALUE"""),FALSE)</f>
        <v>0</v>
      </c>
      <c r="L2058" s="20" t="str">
        <f>IFERROR(__xludf.DUMMYFUNCTION("""COMPUTED_VALUE"""),"Array;")</f>
        <v>Array;</v>
      </c>
      <c r="M2058" s="20" t="b">
        <f>IFERROR(__xludf.DUMMYFUNCTION("""COMPUTED_VALUE"""),FALSE)</f>
        <v>0</v>
      </c>
      <c r="N2058" s="20" t="b">
        <f>IFERROR(__xludf.DUMMYFUNCTION("""COMPUTED_VALUE"""),FALSE)</f>
        <v>0</v>
      </c>
      <c r="O2058" s="20">
        <f>IFERROR(__xludf.DUMMYFUNCTION("""COMPUTED_VALUE"""),71.3783851603065)</f>
        <v>71.37838516</v>
      </c>
      <c r="P2058" s="20">
        <f>IFERROR(__xludf.DUMMYFUNCTION("""COMPUTED_VALUE"""),36979.0)</f>
        <v>36979</v>
      </c>
      <c r="Q2058" s="20">
        <f>IFERROR(__xludf.DUMMYFUNCTION("""COMPUTED_VALUE"""),51807.0)</f>
        <v>51807</v>
      </c>
    </row>
    <row r="2059">
      <c r="A2059" s="20">
        <f>IFERROR(__xludf.DUMMYFUNCTION("""COMPUTED_VALUE"""),2182.0)</f>
        <v>2182</v>
      </c>
      <c r="B2059" s="20" t="str">
        <f>IFERROR(__xludf.DUMMYFUNCTION("""COMPUTED_VALUE"""),"Find the Minimum and Maximum Number of Nodes Between Critical Points")</f>
        <v>Find the Minimum and Maximum Number of Nodes Between Critical Points</v>
      </c>
      <c r="C2059" s="20" t="str">
        <f>IFERROR(__xludf.DUMMYFUNCTION("""COMPUTED_VALUE"""),"find-the-minimum-and-maximum-number-of-nodes-between-critical-points")</f>
        <v>find-the-minimum-and-maximum-number-of-nodes-between-critical-points</v>
      </c>
      <c r="D2059" s="20" t="b">
        <f>IFERROR(__xludf.DUMMYFUNCTION("""COMPUTED_VALUE"""),FALSE)</f>
        <v>0</v>
      </c>
      <c r="E2059" s="20" t="str">
        <f>IFERROR(__xludf.DUMMYFUNCTION("""COMPUTED_VALUE"""),"Medium")</f>
        <v>Medium</v>
      </c>
      <c r="F2059" s="20">
        <f>IFERROR(__xludf.DUMMYFUNCTION("""COMPUTED_VALUE"""),416.0)</f>
        <v>416</v>
      </c>
      <c r="G2059" s="20">
        <f>IFERROR(__xludf.DUMMYFUNCTION("""COMPUTED_VALUE"""),15.0)</f>
        <v>15</v>
      </c>
      <c r="H2059" s="20" t="str">
        <f>IFERROR(__xludf.DUMMYFUNCTION("""COMPUTED_VALUE"""),"Algorithms")</f>
        <v>Algorithms</v>
      </c>
      <c r="I2059" s="20">
        <f>IFERROR(__xludf.DUMMYFUNCTION("""COMPUTED_VALUE"""),0.57)</f>
        <v>0.57</v>
      </c>
      <c r="J2059" s="20">
        <f>IFERROR(__xludf.DUMMYFUNCTION("""COMPUTED_VALUE"""),2058.0)</f>
        <v>2058</v>
      </c>
      <c r="K2059" s="20" t="b">
        <f>IFERROR(__xludf.DUMMYFUNCTION("""COMPUTED_VALUE"""),FALSE)</f>
        <v>0</v>
      </c>
      <c r="L2059" s="20" t="str">
        <f>IFERROR(__xludf.DUMMYFUNCTION("""COMPUTED_VALUE"""),"Linked List;")</f>
        <v>Linked List;</v>
      </c>
      <c r="M2059" s="20" t="b">
        <f>IFERROR(__xludf.DUMMYFUNCTION("""COMPUTED_VALUE"""),FALSE)</f>
        <v>0</v>
      </c>
      <c r="N2059" s="20" t="b">
        <f>IFERROR(__xludf.DUMMYFUNCTION("""COMPUTED_VALUE"""),FALSE)</f>
        <v>0</v>
      </c>
      <c r="O2059" s="20">
        <f>IFERROR(__xludf.DUMMYFUNCTION("""COMPUTED_VALUE"""),57.0265740962413)</f>
        <v>57.0265741</v>
      </c>
      <c r="P2059" s="20">
        <f>IFERROR(__xludf.DUMMYFUNCTION("""COMPUTED_VALUE"""),21438.0)</f>
        <v>21438</v>
      </c>
      <c r="Q2059" s="20">
        <f>IFERROR(__xludf.DUMMYFUNCTION("""COMPUTED_VALUE"""),37593.0)</f>
        <v>37593</v>
      </c>
    </row>
    <row r="2060">
      <c r="A2060" s="20">
        <f>IFERROR(__xludf.DUMMYFUNCTION("""COMPUTED_VALUE"""),2183.0)</f>
        <v>2183</v>
      </c>
      <c r="B2060" s="20" t="str">
        <f>IFERROR(__xludf.DUMMYFUNCTION("""COMPUTED_VALUE"""),"Minimum Operations to Convert Number")</f>
        <v>Minimum Operations to Convert Number</v>
      </c>
      <c r="C2060" s="20" t="str">
        <f>IFERROR(__xludf.DUMMYFUNCTION("""COMPUTED_VALUE"""),"minimum-operations-to-convert-number")</f>
        <v>minimum-operations-to-convert-number</v>
      </c>
      <c r="D2060" s="20" t="b">
        <f>IFERROR(__xludf.DUMMYFUNCTION("""COMPUTED_VALUE"""),FALSE)</f>
        <v>0</v>
      </c>
      <c r="E2060" s="20" t="str">
        <f>IFERROR(__xludf.DUMMYFUNCTION("""COMPUTED_VALUE"""),"Medium")</f>
        <v>Medium</v>
      </c>
      <c r="F2060" s="20">
        <f>IFERROR(__xludf.DUMMYFUNCTION("""COMPUTED_VALUE"""),505.0)</f>
        <v>505</v>
      </c>
      <c r="G2060" s="20">
        <f>IFERROR(__xludf.DUMMYFUNCTION("""COMPUTED_VALUE"""),27.0)</f>
        <v>27</v>
      </c>
      <c r="H2060" s="20" t="str">
        <f>IFERROR(__xludf.DUMMYFUNCTION("""COMPUTED_VALUE"""),"Algorithms")</f>
        <v>Algorithms</v>
      </c>
      <c r="I2060" s="20">
        <f>IFERROR(__xludf.DUMMYFUNCTION("""COMPUTED_VALUE"""),0.474)</f>
        <v>0.474</v>
      </c>
      <c r="J2060" s="20">
        <f>IFERROR(__xludf.DUMMYFUNCTION("""COMPUTED_VALUE"""),2059.0)</f>
        <v>2059</v>
      </c>
      <c r="K2060" s="20" t="b">
        <f>IFERROR(__xludf.DUMMYFUNCTION("""COMPUTED_VALUE"""),FALSE)</f>
        <v>0</v>
      </c>
      <c r="L2060" s="20" t="str">
        <f>IFERROR(__xludf.DUMMYFUNCTION("""COMPUTED_VALUE"""),"Array;Breadth-First Search;")</f>
        <v>Array;Breadth-First Search;</v>
      </c>
      <c r="M2060" s="20" t="b">
        <f>IFERROR(__xludf.DUMMYFUNCTION("""COMPUTED_VALUE"""),FALSE)</f>
        <v>0</v>
      </c>
      <c r="N2060" s="20" t="b">
        <f>IFERROR(__xludf.DUMMYFUNCTION("""COMPUTED_VALUE"""),FALSE)</f>
        <v>0</v>
      </c>
      <c r="O2060" s="20">
        <f>IFERROR(__xludf.DUMMYFUNCTION("""COMPUTED_VALUE"""),47.4076033557554)</f>
        <v>47.40760336</v>
      </c>
      <c r="P2060" s="20">
        <f>IFERROR(__xludf.DUMMYFUNCTION("""COMPUTED_VALUE"""),12545.0)</f>
        <v>12545</v>
      </c>
      <c r="Q2060" s="20">
        <f>IFERROR(__xludf.DUMMYFUNCTION("""COMPUTED_VALUE"""),26462.0)</f>
        <v>26462</v>
      </c>
    </row>
    <row r="2061">
      <c r="A2061" s="20">
        <f>IFERROR(__xludf.DUMMYFUNCTION("""COMPUTED_VALUE"""),2184.0)</f>
        <v>2184</v>
      </c>
      <c r="B2061" s="20" t="str">
        <f>IFERROR(__xludf.DUMMYFUNCTION("""COMPUTED_VALUE"""),"Check if an Original String Exists Given Two Encoded Strings")</f>
        <v>Check if an Original String Exists Given Two Encoded Strings</v>
      </c>
      <c r="C2061" s="20" t="str">
        <f>IFERROR(__xludf.DUMMYFUNCTION("""COMPUTED_VALUE"""),"check-if-an-original-string-exists-given-two-encoded-strings")</f>
        <v>check-if-an-original-string-exists-given-two-encoded-strings</v>
      </c>
      <c r="D2061" s="20" t="b">
        <f>IFERROR(__xludf.DUMMYFUNCTION("""COMPUTED_VALUE"""),FALSE)</f>
        <v>0</v>
      </c>
      <c r="E2061" s="20" t="str">
        <f>IFERROR(__xludf.DUMMYFUNCTION("""COMPUTED_VALUE"""),"Hard")</f>
        <v>Hard</v>
      </c>
      <c r="F2061" s="20">
        <f>IFERROR(__xludf.DUMMYFUNCTION("""COMPUTED_VALUE"""),249.0)</f>
        <v>249</v>
      </c>
      <c r="G2061" s="20">
        <f>IFERROR(__xludf.DUMMYFUNCTION("""COMPUTED_VALUE"""),120.0)</f>
        <v>120</v>
      </c>
      <c r="H2061" s="20" t="str">
        <f>IFERROR(__xludf.DUMMYFUNCTION("""COMPUTED_VALUE"""),"Algorithms")</f>
        <v>Algorithms</v>
      </c>
      <c r="I2061" s="20">
        <f>IFERROR(__xludf.DUMMYFUNCTION("""COMPUTED_VALUE"""),0.408)</f>
        <v>0.408</v>
      </c>
      <c r="J2061" s="20">
        <f>IFERROR(__xludf.DUMMYFUNCTION("""COMPUTED_VALUE"""),2060.0)</f>
        <v>2060</v>
      </c>
      <c r="K2061" s="20" t="b">
        <f>IFERROR(__xludf.DUMMYFUNCTION("""COMPUTED_VALUE"""),FALSE)</f>
        <v>0</v>
      </c>
      <c r="L2061" s="20" t="str">
        <f>IFERROR(__xludf.DUMMYFUNCTION("""COMPUTED_VALUE"""),"String;Dynamic Programming;")</f>
        <v>String;Dynamic Programming;</v>
      </c>
      <c r="M2061" s="20" t="b">
        <f>IFERROR(__xludf.DUMMYFUNCTION("""COMPUTED_VALUE"""),FALSE)</f>
        <v>0</v>
      </c>
      <c r="N2061" s="20" t="b">
        <f>IFERROR(__xludf.DUMMYFUNCTION("""COMPUTED_VALUE"""),FALSE)</f>
        <v>0</v>
      </c>
      <c r="O2061" s="20">
        <f>IFERROR(__xludf.DUMMYFUNCTION("""COMPUTED_VALUE"""),40.7662906684068)</f>
        <v>40.76629067</v>
      </c>
      <c r="P2061" s="20">
        <f>IFERROR(__xludf.DUMMYFUNCTION("""COMPUTED_VALUE"""),8746.0)</f>
        <v>8746</v>
      </c>
      <c r="Q2061" s="20">
        <f>IFERROR(__xludf.DUMMYFUNCTION("""COMPUTED_VALUE"""),21454.0)</f>
        <v>21454</v>
      </c>
    </row>
    <row r="2062">
      <c r="A2062" s="20">
        <f>IFERROR(__xludf.DUMMYFUNCTION("""COMPUTED_VALUE"""),2203.0)</f>
        <v>2203</v>
      </c>
      <c r="B2062" s="20" t="str">
        <f>IFERROR(__xludf.DUMMYFUNCTION("""COMPUTED_VALUE"""),"Number of Spaces Cleaning Robot Cleaned")</f>
        <v>Number of Spaces Cleaning Robot Cleaned</v>
      </c>
      <c r="C2062" s="20" t="str">
        <f>IFERROR(__xludf.DUMMYFUNCTION("""COMPUTED_VALUE"""),"number-of-spaces-cleaning-robot-cleaned")</f>
        <v>number-of-spaces-cleaning-robot-cleaned</v>
      </c>
      <c r="D2062" s="20" t="b">
        <f>IFERROR(__xludf.DUMMYFUNCTION("""COMPUTED_VALUE"""),TRUE)</f>
        <v>1</v>
      </c>
      <c r="E2062" s="20" t="str">
        <f>IFERROR(__xludf.DUMMYFUNCTION("""COMPUTED_VALUE"""),"Medium")</f>
        <v>Medium</v>
      </c>
      <c r="F2062" s="20">
        <f>IFERROR(__xludf.DUMMYFUNCTION("""COMPUTED_VALUE"""),69.0)</f>
        <v>69</v>
      </c>
      <c r="G2062" s="20">
        <f>IFERROR(__xludf.DUMMYFUNCTION("""COMPUTED_VALUE"""),19.0)</f>
        <v>19</v>
      </c>
      <c r="H2062" s="20" t="str">
        <f>IFERROR(__xludf.DUMMYFUNCTION("""COMPUTED_VALUE"""),"Algorithms")</f>
        <v>Algorithms</v>
      </c>
      <c r="I2062" s="20">
        <f>IFERROR(__xludf.DUMMYFUNCTION("""COMPUTED_VALUE"""),0.547)</f>
        <v>0.547</v>
      </c>
      <c r="J2062" s="20">
        <f>IFERROR(__xludf.DUMMYFUNCTION("""COMPUTED_VALUE"""),2061.0)</f>
        <v>2061</v>
      </c>
      <c r="K2062" s="20" t="b">
        <f>IFERROR(__xludf.DUMMYFUNCTION("""COMPUTED_VALUE"""),TRUE)</f>
        <v>1</v>
      </c>
      <c r="L2062" s="20" t="str">
        <f>IFERROR(__xludf.DUMMYFUNCTION("""COMPUTED_VALUE"""),"Array;Matrix;Simulation;")</f>
        <v>Array;Matrix;Simulation;</v>
      </c>
      <c r="M2062" s="20" t="b">
        <f>IFERROR(__xludf.DUMMYFUNCTION("""COMPUTED_VALUE"""),FALSE)</f>
        <v>0</v>
      </c>
      <c r="N2062" s="20" t="b">
        <f>IFERROR(__xludf.DUMMYFUNCTION("""COMPUTED_VALUE"""),FALSE)</f>
        <v>0</v>
      </c>
      <c r="O2062" s="20">
        <f>IFERROR(__xludf.DUMMYFUNCTION("""COMPUTED_VALUE"""),54.697217675941)</f>
        <v>54.69721768</v>
      </c>
      <c r="P2062" s="20">
        <f>IFERROR(__xludf.DUMMYFUNCTION("""COMPUTED_VALUE"""),3342.0)</f>
        <v>3342</v>
      </c>
      <c r="Q2062" s="20">
        <f>IFERROR(__xludf.DUMMYFUNCTION("""COMPUTED_VALUE"""),6110.0)</f>
        <v>6110</v>
      </c>
    </row>
    <row r="2063">
      <c r="A2063" s="20">
        <f>IFERROR(__xludf.DUMMYFUNCTION("""COMPUTED_VALUE"""),2186.0)</f>
        <v>2186</v>
      </c>
      <c r="B2063" s="20" t="str">
        <f>IFERROR(__xludf.DUMMYFUNCTION("""COMPUTED_VALUE"""),"Count Vowel Substrings of a String")</f>
        <v>Count Vowel Substrings of a String</v>
      </c>
      <c r="C2063" s="20" t="str">
        <f>IFERROR(__xludf.DUMMYFUNCTION("""COMPUTED_VALUE"""),"count-vowel-substrings-of-a-string")</f>
        <v>count-vowel-substrings-of-a-string</v>
      </c>
      <c r="D2063" s="20" t="b">
        <f>IFERROR(__xludf.DUMMYFUNCTION("""COMPUTED_VALUE"""),FALSE)</f>
        <v>0</v>
      </c>
      <c r="E2063" s="20" t="str">
        <f>IFERROR(__xludf.DUMMYFUNCTION("""COMPUTED_VALUE"""),"Easy")</f>
        <v>Easy</v>
      </c>
      <c r="F2063" s="20">
        <f>IFERROR(__xludf.DUMMYFUNCTION("""COMPUTED_VALUE"""),648.0)</f>
        <v>648</v>
      </c>
      <c r="G2063" s="20">
        <f>IFERROR(__xludf.DUMMYFUNCTION("""COMPUTED_VALUE"""),158.0)</f>
        <v>158</v>
      </c>
      <c r="H2063" s="20" t="str">
        <f>IFERROR(__xludf.DUMMYFUNCTION("""COMPUTED_VALUE"""),"Algorithms")</f>
        <v>Algorithms</v>
      </c>
      <c r="I2063" s="20">
        <f>IFERROR(__xludf.DUMMYFUNCTION("""COMPUTED_VALUE"""),0.66)</f>
        <v>0.66</v>
      </c>
      <c r="J2063" s="20">
        <f>IFERROR(__xludf.DUMMYFUNCTION("""COMPUTED_VALUE"""),2062.0)</f>
        <v>2062</v>
      </c>
      <c r="K2063" s="20" t="b">
        <f>IFERROR(__xludf.DUMMYFUNCTION("""COMPUTED_VALUE"""),FALSE)</f>
        <v>0</v>
      </c>
      <c r="L2063" s="20" t="str">
        <f>IFERROR(__xludf.DUMMYFUNCTION("""COMPUTED_VALUE"""),"Hash Table;String;")</f>
        <v>Hash Table;String;</v>
      </c>
      <c r="M2063" s="20" t="b">
        <f>IFERROR(__xludf.DUMMYFUNCTION("""COMPUTED_VALUE"""),FALSE)</f>
        <v>0</v>
      </c>
      <c r="N2063" s="20" t="b">
        <f>IFERROR(__xludf.DUMMYFUNCTION("""COMPUTED_VALUE"""),FALSE)</f>
        <v>0</v>
      </c>
      <c r="O2063" s="20">
        <f>IFERROR(__xludf.DUMMYFUNCTION("""COMPUTED_VALUE"""),66.0241091816685)</f>
        <v>66.02410918</v>
      </c>
      <c r="P2063" s="20">
        <f>IFERROR(__xludf.DUMMYFUNCTION("""COMPUTED_VALUE"""),24866.0)</f>
        <v>24866</v>
      </c>
      <c r="Q2063" s="20">
        <f>IFERROR(__xludf.DUMMYFUNCTION("""COMPUTED_VALUE"""),37662.0)</f>
        <v>37662</v>
      </c>
    </row>
    <row r="2064">
      <c r="A2064" s="20">
        <f>IFERROR(__xludf.DUMMYFUNCTION("""COMPUTED_VALUE"""),2187.0)</f>
        <v>2187</v>
      </c>
      <c r="B2064" s="20" t="str">
        <f>IFERROR(__xludf.DUMMYFUNCTION("""COMPUTED_VALUE"""),"Vowels of All Substrings")</f>
        <v>Vowels of All Substrings</v>
      </c>
      <c r="C2064" s="20" t="str">
        <f>IFERROR(__xludf.DUMMYFUNCTION("""COMPUTED_VALUE"""),"vowels-of-all-substrings")</f>
        <v>vowels-of-all-substrings</v>
      </c>
      <c r="D2064" s="20" t="b">
        <f>IFERROR(__xludf.DUMMYFUNCTION("""COMPUTED_VALUE"""),FALSE)</f>
        <v>0</v>
      </c>
      <c r="E2064" s="20" t="str">
        <f>IFERROR(__xludf.DUMMYFUNCTION("""COMPUTED_VALUE"""),"Medium")</f>
        <v>Medium</v>
      </c>
      <c r="F2064" s="20">
        <f>IFERROR(__xludf.DUMMYFUNCTION("""COMPUTED_VALUE"""),595.0)</f>
        <v>595</v>
      </c>
      <c r="G2064" s="20">
        <f>IFERROR(__xludf.DUMMYFUNCTION("""COMPUTED_VALUE"""),21.0)</f>
        <v>21</v>
      </c>
      <c r="H2064" s="20" t="str">
        <f>IFERROR(__xludf.DUMMYFUNCTION("""COMPUTED_VALUE"""),"Algorithms")</f>
        <v>Algorithms</v>
      </c>
      <c r="I2064" s="20">
        <f>IFERROR(__xludf.DUMMYFUNCTION("""COMPUTED_VALUE"""),0.549)</f>
        <v>0.549</v>
      </c>
      <c r="J2064" s="20">
        <f>IFERROR(__xludf.DUMMYFUNCTION("""COMPUTED_VALUE"""),2063.0)</f>
        <v>2063</v>
      </c>
      <c r="K2064" s="20" t="b">
        <f>IFERROR(__xludf.DUMMYFUNCTION("""COMPUTED_VALUE"""),FALSE)</f>
        <v>0</v>
      </c>
      <c r="L2064" s="20" t="str">
        <f>IFERROR(__xludf.DUMMYFUNCTION("""COMPUTED_VALUE"""),"Math;String;Dynamic Programming;Combinatorics;")</f>
        <v>Math;String;Dynamic Programming;Combinatorics;</v>
      </c>
      <c r="M2064" s="20" t="b">
        <f>IFERROR(__xludf.DUMMYFUNCTION("""COMPUTED_VALUE"""),FALSE)</f>
        <v>0</v>
      </c>
      <c r="N2064" s="20" t="b">
        <f>IFERROR(__xludf.DUMMYFUNCTION("""COMPUTED_VALUE"""),FALSE)</f>
        <v>0</v>
      </c>
      <c r="O2064" s="20">
        <f>IFERROR(__xludf.DUMMYFUNCTION("""COMPUTED_VALUE"""),54.8815348249134)</f>
        <v>54.88153482</v>
      </c>
      <c r="P2064" s="20">
        <f>IFERROR(__xludf.DUMMYFUNCTION("""COMPUTED_VALUE"""),19967.0)</f>
        <v>19967</v>
      </c>
      <c r="Q2064" s="20">
        <f>IFERROR(__xludf.DUMMYFUNCTION("""COMPUTED_VALUE"""),36380.0)</f>
        <v>36380</v>
      </c>
    </row>
    <row r="2065">
      <c r="A2065" s="20">
        <f>IFERROR(__xludf.DUMMYFUNCTION("""COMPUTED_VALUE"""),2188.0)</f>
        <v>2188</v>
      </c>
      <c r="B2065" s="20" t="str">
        <f>IFERROR(__xludf.DUMMYFUNCTION("""COMPUTED_VALUE"""),"Minimized Maximum of Products Distributed to Any Store")</f>
        <v>Minimized Maximum of Products Distributed to Any Store</v>
      </c>
      <c r="C2065" s="20" t="str">
        <f>IFERROR(__xludf.DUMMYFUNCTION("""COMPUTED_VALUE"""),"minimized-maximum-of-products-distributed-to-any-store")</f>
        <v>minimized-maximum-of-products-distributed-to-any-store</v>
      </c>
      <c r="D2065" s="20" t="b">
        <f>IFERROR(__xludf.DUMMYFUNCTION("""COMPUTED_VALUE"""),FALSE)</f>
        <v>0</v>
      </c>
      <c r="E2065" s="20" t="str">
        <f>IFERROR(__xludf.DUMMYFUNCTION("""COMPUTED_VALUE"""),"Medium")</f>
        <v>Medium</v>
      </c>
      <c r="F2065" s="20">
        <f>IFERROR(__xludf.DUMMYFUNCTION("""COMPUTED_VALUE"""),654.0)</f>
        <v>654</v>
      </c>
      <c r="G2065" s="20">
        <f>IFERROR(__xludf.DUMMYFUNCTION("""COMPUTED_VALUE"""),25.0)</f>
        <v>25</v>
      </c>
      <c r="H2065" s="20" t="str">
        <f>IFERROR(__xludf.DUMMYFUNCTION("""COMPUTED_VALUE"""),"Algorithms")</f>
        <v>Algorithms</v>
      </c>
      <c r="I2065" s="20">
        <f>IFERROR(__xludf.DUMMYFUNCTION("""COMPUTED_VALUE"""),0.501)</f>
        <v>0.501</v>
      </c>
      <c r="J2065" s="20">
        <f>IFERROR(__xludf.DUMMYFUNCTION("""COMPUTED_VALUE"""),2064.0)</f>
        <v>2064</v>
      </c>
      <c r="K2065" s="20" t="b">
        <f>IFERROR(__xludf.DUMMYFUNCTION("""COMPUTED_VALUE"""),FALSE)</f>
        <v>0</v>
      </c>
      <c r="L2065" s="20" t="str">
        <f>IFERROR(__xludf.DUMMYFUNCTION("""COMPUTED_VALUE"""),"Array;Binary Search;")</f>
        <v>Array;Binary Search;</v>
      </c>
      <c r="M2065" s="20" t="b">
        <f>IFERROR(__xludf.DUMMYFUNCTION("""COMPUTED_VALUE"""),FALSE)</f>
        <v>0</v>
      </c>
      <c r="N2065" s="20" t="b">
        <f>IFERROR(__xludf.DUMMYFUNCTION("""COMPUTED_VALUE"""),FALSE)</f>
        <v>0</v>
      </c>
      <c r="O2065" s="20">
        <f>IFERROR(__xludf.DUMMYFUNCTION("""COMPUTED_VALUE"""),50.108215738897)</f>
        <v>50.10821574</v>
      </c>
      <c r="P2065" s="20">
        <f>IFERROR(__xludf.DUMMYFUNCTION("""COMPUTED_VALUE"""),17364.0)</f>
        <v>17364</v>
      </c>
      <c r="Q2065" s="20">
        <f>IFERROR(__xludf.DUMMYFUNCTION("""COMPUTED_VALUE"""),34653.0)</f>
        <v>34653</v>
      </c>
    </row>
    <row r="2066">
      <c r="A2066" s="20">
        <f>IFERROR(__xludf.DUMMYFUNCTION("""COMPUTED_VALUE"""),2189.0)</f>
        <v>2189</v>
      </c>
      <c r="B2066" s="20" t="str">
        <f>IFERROR(__xludf.DUMMYFUNCTION("""COMPUTED_VALUE"""),"Maximum Path Quality of a Graph")</f>
        <v>Maximum Path Quality of a Graph</v>
      </c>
      <c r="C2066" s="20" t="str">
        <f>IFERROR(__xludf.DUMMYFUNCTION("""COMPUTED_VALUE"""),"maximum-path-quality-of-a-graph")</f>
        <v>maximum-path-quality-of-a-graph</v>
      </c>
      <c r="D2066" s="20" t="b">
        <f>IFERROR(__xludf.DUMMYFUNCTION("""COMPUTED_VALUE"""),FALSE)</f>
        <v>0</v>
      </c>
      <c r="E2066" s="20" t="str">
        <f>IFERROR(__xludf.DUMMYFUNCTION("""COMPUTED_VALUE"""),"Hard")</f>
        <v>Hard</v>
      </c>
      <c r="F2066" s="20">
        <f>IFERROR(__xludf.DUMMYFUNCTION("""COMPUTED_VALUE"""),462.0)</f>
        <v>462</v>
      </c>
      <c r="G2066" s="20">
        <f>IFERROR(__xludf.DUMMYFUNCTION("""COMPUTED_VALUE"""),34.0)</f>
        <v>34</v>
      </c>
      <c r="H2066" s="20" t="str">
        <f>IFERROR(__xludf.DUMMYFUNCTION("""COMPUTED_VALUE"""),"Algorithms")</f>
        <v>Algorithms</v>
      </c>
      <c r="I2066" s="20">
        <f>IFERROR(__xludf.DUMMYFUNCTION("""COMPUTED_VALUE"""),0.575)</f>
        <v>0.575</v>
      </c>
      <c r="J2066" s="20">
        <f>IFERROR(__xludf.DUMMYFUNCTION("""COMPUTED_VALUE"""),2065.0)</f>
        <v>2065</v>
      </c>
      <c r="K2066" s="20" t="b">
        <f>IFERROR(__xludf.DUMMYFUNCTION("""COMPUTED_VALUE"""),FALSE)</f>
        <v>0</v>
      </c>
      <c r="L2066" s="20" t="str">
        <f>IFERROR(__xludf.DUMMYFUNCTION("""COMPUTED_VALUE"""),"Array;Backtracking;Graph;")</f>
        <v>Array;Backtracking;Graph;</v>
      </c>
      <c r="M2066" s="20" t="b">
        <f>IFERROR(__xludf.DUMMYFUNCTION("""COMPUTED_VALUE"""),FALSE)</f>
        <v>0</v>
      </c>
      <c r="N2066" s="20" t="b">
        <f>IFERROR(__xludf.DUMMYFUNCTION("""COMPUTED_VALUE"""),FALSE)</f>
        <v>0</v>
      </c>
      <c r="O2066" s="20">
        <f>IFERROR(__xludf.DUMMYFUNCTION("""COMPUTED_VALUE"""),57.4816191322614)</f>
        <v>57.48161913</v>
      </c>
      <c r="P2066" s="20">
        <f>IFERROR(__xludf.DUMMYFUNCTION("""COMPUTED_VALUE"""),14229.0)</f>
        <v>14229</v>
      </c>
      <c r="Q2066" s="20">
        <f>IFERROR(__xludf.DUMMYFUNCTION("""COMPUTED_VALUE"""),24754.0)</f>
        <v>24754</v>
      </c>
    </row>
    <row r="2067">
      <c r="A2067" s="20">
        <f>IFERROR(__xludf.DUMMYFUNCTION("""COMPUTED_VALUE"""),2208.0)</f>
        <v>2208</v>
      </c>
      <c r="B2067" s="20" t="str">
        <f>IFERROR(__xludf.DUMMYFUNCTION("""COMPUTED_VALUE"""),"Account Balance")</f>
        <v>Account Balance</v>
      </c>
      <c r="C2067" s="20" t="str">
        <f>IFERROR(__xludf.DUMMYFUNCTION("""COMPUTED_VALUE"""),"account-balance")</f>
        <v>account-balance</v>
      </c>
      <c r="D2067" s="20" t="b">
        <f>IFERROR(__xludf.DUMMYFUNCTION("""COMPUTED_VALUE"""),TRUE)</f>
        <v>1</v>
      </c>
      <c r="E2067" s="20" t="str">
        <f>IFERROR(__xludf.DUMMYFUNCTION("""COMPUTED_VALUE"""),"Medium")</f>
        <v>Medium</v>
      </c>
      <c r="F2067" s="20">
        <f>IFERROR(__xludf.DUMMYFUNCTION("""COMPUTED_VALUE"""),53.0)</f>
        <v>53</v>
      </c>
      <c r="G2067" s="20">
        <f>IFERROR(__xludf.DUMMYFUNCTION("""COMPUTED_VALUE"""),2.0)</f>
        <v>2</v>
      </c>
      <c r="H2067" s="20" t="str">
        <f>IFERROR(__xludf.DUMMYFUNCTION("""COMPUTED_VALUE"""),"Database")</f>
        <v>Database</v>
      </c>
      <c r="I2067" s="20">
        <f>IFERROR(__xludf.DUMMYFUNCTION("""COMPUTED_VALUE"""),0.856)</f>
        <v>0.856</v>
      </c>
      <c r="J2067" s="20">
        <f>IFERROR(__xludf.DUMMYFUNCTION("""COMPUTED_VALUE"""),2066.0)</f>
        <v>2066</v>
      </c>
      <c r="K2067" s="20" t="b">
        <f>IFERROR(__xludf.DUMMYFUNCTION("""COMPUTED_VALUE"""),TRUE)</f>
        <v>1</v>
      </c>
      <c r="L2067" s="20" t="str">
        <f>IFERROR(__xludf.DUMMYFUNCTION("""COMPUTED_VALUE"""),"Database;")</f>
        <v>Database;</v>
      </c>
      <c r="M2067" s="20" t="b">
        <f>IFERROR(__xludf.DUMMYFUNCTION("""COMPUTED_VALUE"""),FALSE)</f>
        <v>0</v>
      </c>
      <c r="N2067" s="20" t="b">
        <f>IFERROR(__xludf.DUMMYFUNCTION("""COMPUTED_VALUE"""),FALSE)</f>
        <v>0</v>
      </c>
      <c r="O2067" s="20">
        <f>IFERROR(__xludf.DUMMYFUNCTION("""COMPUTED_VALUE"""),85.619272834762)</f>
        <v>85.61927283</v>
      </c>
      <c r="P2067" s="20">
        <f>IFERROR(__xludf.DUMMYFUNCTION("""COMPUTED_VALUE"""),5793.0)</f>
        <v>5793</v>
      </c>
      <c r="Q2067" s="20">
        <f>IFERROR(__xludf.DUMMYFUNCTION("""COMPUTED_VALUE"""),6766.0)</f>
        <v>6766</v>
      </c>
    </row>
    <row r="2068">
      <c r="A2068" s="20">
        <f>IFERROR(__xludf.DUMMYFUNCTION("""COMPUTED_VALUE"""),2209.0)</f>
        <v>2209</v>
      </c>
      <c r="B2068" s="20" t="str">
        <f>IFERROR(__xludf.DUMMYFUNCTION("""COMPUTED_VALUE"""),"Number of Equal Count Substrings")</f>
        <v>Number of Equal Count Substrings</v>
      </c>
      <c r="C2068" s="20" t="str">
        <f>IFERROR(__xludf.DUMMYFUNCTION("""COMPUTED_VALUE"""),"number-of-equal-count-substrings")</f>
        <v>number-of-equal-count-substrings</v>
      </c>
      <c r="D2068" s="20" t="b">
        <f>IFERROR(__xludf.DUMMYFUNCTION("""COMPUTED_VALUE"""),TRUE)</f>
        <v>1</v>
      </c>
      <c r="E2068" s="20" t="str">
        <f>IFERROR(__xludf.DUMMYFUNCTION("""COMPUTED_VALUE"""),"Medium")</f>
        <v>Medium</v>
      </c>
      <c r="F2068" s="20">
        <f>IFERROR(__xludf.DUMMYFUNCTION("""COMPUTED_VALUE"""),77.0)</f>
        <v>77</v>
      </c>
      <c r="G2068" s="20">
        <f>IFERROR(__xludf.DUMMYFUNCTION("""COMPUTED_VALUE"""),6.0)</f>
        <v>6</v>
      </c>
      <c r="H2068" s="20" t="str">
        <f>IFERROR(__xludf.DUMMYFUNCTION("""COMPUTED_VALUE"""),"Algorithms")</f>
        <v>Algorithms</v>
      </c>
      <c r="I2068" s="20">
        <f>IFERROR(__xludf.DUMMYFUNCTION("""COMPUTED_VALUE"""),0.488)</f>
        <v>0.488</v>
      </c>
      <c r="J2068" s="20">
        <f>IFERROR(__xludf.DUMMYFUNCTION("""COMPUTED_VALUE"""),2067.0)</f>
        <v>2067</v>
      </c>
      <c r="K2068" s="20" t="b">
        <f>IFERROR(__xludf.DUMMYFUNCTION("""COMPUTED_VALUE"""),TRUE)</f>
        <v>1</v>
      </c>
      <c r="L2068" s="20" t="str">
        <f>IFERROR(__xludf.DUMMYFUNCTION("""COMPUTED_VALUE"""),"String;Counting;Prefix Sum;")</f>
        <v>String;Counting;Prefix Sum;</v>
      </c>
      <c r="M2068" s="20" t="b">
        <f>IFERROR(__xludf.DUMMYFUNCTION("""COMPUTED_VALUE"""),FALSE)</f>
        <v>0</v>
      </c>
      <c r="N2068" s="20" t="b">
        <f>IFERROR(__xludf.DUMMYFUNCTION("""COMPUTED_VALUE"""),FALSE)</f>
        <v>0</v>
      </c>
      <c r="O2068" s="20">
        <f>IFERROR(__xludf.DUMMYFUNCTION("""COMPUTED_VALUE"""),48.7818696883852)</f>
        <v>48.78186969</v>
      </c>
      <c r="P2068" s="20">
        <f>IFERROR(__xludf.DUMMYFUNCTION("""COMPUTED_VALUE"""),1722.0)</f>
        <v>1722</v>
      </c>
      <c r="Q2068" s="20">
        <f>IFERROR(__xludf.DUMMYFUNCTION("""COMPUTED_VALUE"""),3530.0)</f>
        <v>3530</v>
      </c>
    </row>
    <row r="2069">
      <c r="A2069" s="20">
        <f>IFERROR(__xludf.DUMMYFUNCTION("""COMPUTED_VALUE"""),2177.0)</f>
        <v>2177</v>
      </c>
      <c r="B2069" s="20" t="str">
        <f>IFERROR(__xludf.DUMMYFUNCTION("""COMPUTED_VALUE"""),"Check Whether Two Strings are Almost Equivalent")</f>
        <v>Check Whether Two Strings are Almost Equivalent</v>
      </c>
      <c r="C2069" s="20" t="str">
        <f>IFERROR(__xludf.DUMMYFUNCTION("""COMPUTED_VALUE"""),"check-whether-two-strings-are-almost-equivalent")</f>
        <v>check-whether-two-strings-are-almost-equivalent</v>
      </c>
      <c r="D2069" s="20" t="b">
        <f>IFERROR(__xludf.DUMMYFUNCTION("""COMPUTED_VALUE"""),FALSE)</f>
        <v>0</v>
      </c>
      <c r="E2069" s="20" t="str">
        <f>IFERROR(__xludf.DUMMYFUNCTION("""COMPUTED_VALUE"""),"Easy")</f>
        <v>Easy</v>
      </c>
      <c r="F2069" s="20">
        <f>IFERROR(__xludf.DUMMYFUNCTION("""COMPUTED_VALUE"""),319.0)</f>
        <v>319</v>
      </c>
      <c r="G2069" s="20">
        <f>IFERROR(__xludf.DUMMYFUNCTION("""COMPUTED_VALUE"""),13.0)</f>
        <v>13</v>
      </c>
      <c r="H2069" s="20" t="str">
        <f>IFERROR(__xludf.DUMMYFUNCTION("""COMPUTED_VALUE"""),"Algorithms")</f>
        <v>Algorithms</v>
      </c>
      <c r="I2069" s="20">
        <f>IFERROR(__xludf.DUMMYFUNCTION("""COMPUTED_VALUE"""),0.646)</f>
        <v>0.646</v>
      </c>
      <c r="J2069" s="20">
        <f>IFERROR(__xludf.DUMMYFUNCTION("""COMPUTED_VALUE"""),2068.0)</f>
        <v>2068</v>
      </c>
      <c r="K2069" s="20" t="b">
        <f>IFERROR(__xludf.DUMMYFUNCTION("""COMPUTED_VALUE"""),FALSE)</f>
        <v>0</v>
      </c>
      <c r="L2069" s="20" t="str">
        <f>IFERROR(__xludf.DUMMYFUNCTION("""COMPUTED_VALUE"""),"Hash Table;String;Counting;")</f>
        <v>Hash Table;String;Counting;</v>
      </c>
      <c r="M2069" s="20" t="b">
        <f>IFERROR(__xludf.DUMMYFUNCTION("""COMPUTED_VALUE"""),FALSE)</f>
        <v>0</v>
      </c>
      <c r="N2069" s="20" t="b">
        <f>IFERROR(__xludf.DUMMYFUNCTION("""COMPUTED_VALUE"""),FALSE)</f>
        <v>0</v>
      </c>
      <c r="O2069" s="20">
        <f>IFERROR(__xludf.DUMMYFUNCTION("""COMPUTED_VALUE"""),64.6200932087458)</f>
        <v>64.62009321</v>
      </c>
      <c r="P2069" s="20">
        <f>IFERROR(__xludf.DUMMYFUNCTION("""COMPUTED_VALUE"""),27869.0)</f>
        <v>27869</v>
      </c>
      <c r="Q2069" s="20">
        <f>IFERROR(__xludf.DUMMYFUNCTION("""COMPUTED_VALUE"""),43128.0)</f>
        <v>43128</v>
      </c>
    </row>
    <row r="2070">
      <c r="A2070" s="20">
        <f>IFERROR(__xludf.DUMMYFUNCTION("""COMPUTED_VALUE"""),2178.0)</f>
        <v>2178</v>
      </c>
      <c r="B2070" s="20" t="str">
        <f>IFERROR(__xludf.DUMMYFUNCTION("""COMPUTED_VALUE"""),"Walking Robot Simulation II")</f>
        <v>Walking Robot Simulation II</v>
      </c>
      <c r="C2070" s="20" t="str">
        <f>IFERROR(__xludf.DUMMYFUNCTION("""COMPUTED_VALUE"""),"walking-robot-simulation-ii")</f>
        <v>walking-robot-simulation-ii</v>
      </c>
      <c r="D2070" s="20" t="b">
        <f>IFERROR(__xludf.DUMMYFUNCTION("""COMPUTED_VALUE"""),FALSE)</f>
        <v>0</v>
      </c>
      <c r="E2070" s="20" t="str">
        <f>IFERROR(__xludf.DUMMYFUNCTION("""COMPUTED_VALUE"""),"Medium")</f>
        <v>Medium</v>
      </c>
      <c r="F2070" s="20">
        <f>IFERROR(__xludf.DUMMYFUNCTION("""COMPUTED_VALUE"""),132.0)</f>
        <v>132</v>
      </c>
      <c r="G2070" s="20">
        <f>IFERROR(__xludf.DUMMYFUNCTION("""COMPUTED_VALUE"""),263.0)</f>
        <v>263</v>
      </c>
      <c r="H2070" s="20" t="str">
        <f>IFERROR(__xludf.DUMMYFUNCTION("""COMPUTED_VALUE"""),"Algorithms")</f>
        <v>Algorithms</v>
      </c>
      <c r="I2070" s="20">
        <f>IFERROR(__xludf.DUMMYFUNCTION("""COMPUTED_VALUE"""),0.231)</f>
        <v>0.231</v>
      </c>
      <c r="J2070" s="20">
        <f>IFERROR(__xludf.DUMMYFUNCTION("""COMPUTED_VALUE"""),2069.0)</f>
        <v>2069</v>
      </c>
      <c r="K2070" s="20" t="b">
        <f>IFERROR(__xludf.DUMMYFUNCTION("""COMPUTED_VALUE"""),FALSE)</f>
        <v>0</v>
      </c>
      <c r="L2070" s="20" t="str">
        <f>IFERROR(__xludf.DUMMYFUNCTION("""COMPUTED_VALUE"""),"Design;Simulation;")</f>
        <v>Design;Simulation;</v>
      </c>
      <c r="M2070" s="20" t="b">
        <f>IFERROR(__xludf.DUMMYFUNCTION("""COMPUTED_VALUE"""),FALSE)</f>
        <v>0</v>
      </c>
      <c r="N2070" s="20" t="b">
        <f>IFERROR(__xludf.DUMMYFUNCTION("""COMPUTED_VALUE"""),FALSE)</f>
        <v>0</v>
      </c>
      <c r="O2070" s="20">
        <f>IFERROR(__xludf.DUMMYFUNCTION("""COMPUTED_VALUE"""),23.0586639538826)</f>
        <v>23.05866395</v>
      </c>
      <c r="P2070" s="20">
        <f>IFERROR(__xludf.DUMMYFUNCTION("""COMPUTED_VALUE"""),7480.0)</f>
        <v>7480</v>
      </c>
      <c r="Q2070" s="20">
        <f>IFERROR(__xludf.DUMMYFUNCTION("""COMPUTED_VALUE"""),32439.0)</f>
        <v>32439</v>
      </c>
    </row>
    <row r="2071">
      <c r="A2071" s="20">
        <f>IFERROR(__xludf.DUMMYFUNCTION("""COMPUTED_VALUE"""),2179.0)</f>
        <v>2179</v>
      </c>
      <c r="B2071" s="20" t="str">
        <f>IFERROR(__xludf.DUMMYFUNCTION("""COMPUTED_VALUE"""),"Most Beautiful Item for Each Query")</f>
        <v>Most Beautiful Item for Each Query</v>
      </c>
      <c r="C2071" s="20" t="str">
        <f>IFERROR(__xludf.DUMMYFUNCTION("""COMPUTED_VALUE"""),"most-beautiful-item-for-each-query")</f>
        <v>most-beautiful-item-for-each-query</v>
      </c>
      <c r="D2071" s="20" t="b">
        <f>IFERROR(__xludf.DUMMYFUNCTION("""COMPUTED_VALUE"""),FALSE)</f>
        <v>0</v>
      </c>
      <c r="E2071" s="20" t="str">
        <f>IFERROR(__xludf.DUMMYFUNCTION("""COMPUTED_VALUE"""),"Medium")</f>
        <v>Medium</v>
      </c>
      <c r="F2071" s="20">
        <f>IFERROR(__xludf.DUMMYFUNCTION("""COMPUTED_VALUE"""),431.0)</f>
        <v>431</v>
      </c>
      <c r="G2071" s="20">
        <f>IFERROR(__xludf.DUMMYFUNCTION("""COMPUTED_VALUE"""),11.0)</f>
        <v>11</v>
      </c>
      <c r="H2071" s="20" t="str">
        <f>IFERROR(__xludf.DUMMYFUNCTION("""COMPUTED_VALUE"""),"Algorithms")</f>
        <v>Algorithms</v>
      </c>
      <c r="I2071" s="20">
        <f>IFERROR(__xludf.DUMMYFUNCTION("""COMPUTED_VALUE"""),0.498)</f>
        <v>0.498</v>
      </c>
      <c r="J2071" s="20">
        <f>IFERROR(__xludf.DUMMYFUNCTION("""COMPUTED_VALUE"""),2070.0)</f>
        <v>2070</v>
      </c>
      <c r="K2071" s="20" t="b">
        <f>IFERROR(__xludf.DUMMYFUNCTION("""COMPUTED_VALUE"""),FALSE)</f>
        <v>0</v>
      </c>
      <c r="L2071" s="20" t="str">
        <f>IFERROR(__xludf.DUMMYFUNCTION("""COMPUTED_VALUE"""),"Array;Binary Search;Sorting;")</f>
        <v>Array;Binary Search;Sorting;</v>
      </c>
      <c r="M2071" s="20" t="b">
        <f>IFERROR(__xludf.DUMMYFUNCTION("""COMPUTED_VALUE"""),FALSE)</f>
        <v>0</v>
      </c>
      <c r="N2071" s="20" t="b">
        <f>IFERROR(__xludf.DUMMYFUNCTION("""COMPUTED_VALUE"""),FALSE)</f>
        <v>0</v>
      </c>
      <c r="O2071" s="20">
        <f>IFERROR(__xludf.DUMMYFUNCTION("""COMPUTED_VALUE"""),49.8335377606448)</f>
        <v>49.83353776</v>
      </c>
      <c r="P2071" s="20">
        <f>IFERROR(__xludf.DUMMYFUNCTION("""COMPUTED_VALUE"""),11376.0)</f>
        <v>11376</v>
      </c>
      <c r="Q2071" s="20">
        <f>IFERROR(__xludf.DUMMYFUNCTION("""COMPUTED_VALUE"""),22828.0)</f>
        <v>22828</v>
      </c>
    </row>
    <row r="2072">
      <c r="A2072" s="20">
        <f>IFERROR(__xludf.DUMMYFUNCTION("""COMPUTED_VALUE"""),2180.0)</f>
        <v>2180</v>
      </c>
      <c r="B2072" s="20" t="str">
        <f>IFERROR(__xludf.DUMMYFUNCTION("""COMPUTED_VALUE"""),"Maximum Number of Tasks You Can Assign")</f>
        <v>Maximum Number of Tasks You Can Assign</v>
      </c>
      <c r="C2072" s="20" t="str">
        <f>IFERROR(__xludf.DUMMYFUNCTION("""COMPUTED_VALUE"""),"maximum-number-of-tasks-you-can-assign")</f>
        <v>maximum-number-of-tasks-you-can-assign</v>
      </c>
      <c r="D2072" s="20" t="b">
        <f>IFERROR(__xludf.DUMMYFUNCTION("""COMPUTED_VALUE"""),FALSE)</f>
        <v>0</v>
      </c>
      <c r="E2072" s="20" t="str">
        <f>IFERROR(__xludf.DUMMYFUNCTION("""COMPUTED_VALUE"""),"Hard")</f>
        <v>Hard</v>
      </c>
      <c r="F2072" s="20">
        <f>IFERROR(__xludf.DUMMYFUNCTION("""COMPUTED_VALUE"""),364.0)</f>
        <v>364</v>
      </c>
      <c r="G2072" s="20">
        <f>IFERROR(__xludf.DUMMYFUNCTION("""COMPUTED_VALUE"""),15.0)</f>
        <v>15</v>
      </c>
      <c r="H2072" s="20" t="str">
        <f>IFERROR(__xludf.DUMMYFUNCTION("""COMPUTED_VALUE"""),"Algorithms")</f>
        <v>Algorithms</v>
      </c>
      <c r="I2072" s="20">
        <f>IFERROR(__xludf.DUMMYFUNCTION("""COMPUTED_VALUE"""),0.346)</f>
        <v>0.346</v>
      </c>
      <c r="J2072" s="20">
        <f>IFERROR(__xludf.DUMMYFUNCTION("""COMPUTED_VALUE"""),2071.0)</f>
        <v>2071</v>
      </c>
      <c r="K2072" s="20" t="b">
        <f>IFERROR(__xludf.DUMMYFUNCTION("""COMPUTED_VALUE"""),FALSE)</f>
        <v>0</v>
      </c>
      <c r="L2072" s="20" t="str">
        <f>IFERROR(__xludf.DUMMYFUNCTION("""COMPUTED_VALUE"""),"Array;Binary Search;Greedy;Queue;Sorting;Monotonic Queue;")</f>
        <v>Array;Binary Search;Greedy;Queue;Sorting;Monotonic Queue;</v>
      </c>
      <c r="M2072" s="20" t="b">
        <f>IFERROR(__xludf.DUMMYFUNCTION("""COMPUTED_VALUE"""),FALSE)</f>
        <v>0</v>
      </c>
      <c r="N2072" s="20" t="b">
        <f>IFERROR(__xludf.DUMMYFUNCTION("""COMPUTED_VALUE"""),FALSE)</f>
        <v>0</v>
      </c>
      <c r="O2072" s="20">
        <f>IFERROR(__xludf.DUMMYFUNCTION("""COMPUTED_VALUE"""),34.6421471172962)</f>
        <v>34.64214712</v>
      </c>
      <c r="P2072" s="20">
        <f>IFERROR(__xludf.DUMMYFUNCTION("""COMPUTED_VALUE"""),6273.0)</f>
        <v>6273</v>
      </c>
      <c r="Q2072" s="20">
        <f>IFERROR(__xludf.DUMMYFUNCTION("""COMPUTED_VALUE"""),18108.0)</f>
        <v>18108</v>
      </c>
    </row>
    <row r="2073">
      <c r="A2073" s="20">
        <f>IFERROR(__xludf.DUMMYFUNCTION("""COMPUTED_VALUE"""),2214.0)</f>
        <v>2214</v>
      </c>
      <c r="B2073" s="20" t="str">
        <f>IFERROR(__xludf.DUMMYFUNCTION("""COMPUTED_VALUE"""),"The Winner University")</f>
        <v>The Winner University</v>
      </c>
      <c r="C2073" s="20" t="str">
        <f>IFERROR(__xludf.DUMMYFUNCTION("""COMPUTED_VALUE"""),"the-winner-university")</f>
        <v>the-winner-university</v>
      </c>
      <c r="D2073" s="20" t="b">
        <f>IFERROR(__xludf.DUMMYFUNCTION("""COMPUTED_VALUE"""),TRUE)</f>
        <v>1</v>
      </c>
      <c r="E2073" s="20" t="str">
        <f>IFERROR(__xludf.DUMMYFUNCTION("""COMPUTED_VALUE"""),"Easy")</f>
        <v>Easy</v>
      </c>
      <c r="F2073" s="20">
        <f>IFERROR(__xludf.DUMMYFUNCTION("""COMPUTED_VALUE"""),45.0)</f>
        <v>45</v>
      </c>
      <c r="G2073" s="20">
        <f>IFERROR(__xludf.DUMMYFUNCTION("""COMPUTED_VALUE"""),2.0)</f>
        <v>2</v>
      </c>
      <c r="H2073" s="20" t="str">
        <f>IFERROR(__xludf.DUMMYFUNCTION("""COMPUTED_VALUE"""),"Database")</f>
        <v>Database</v>
      </c>
      <c r="I2073" s="20">
        <f>IFERROR(__xludf.DUMMYFUNCTION("""COMPUTED_VALUE"""),0.726)</f>
        <v>0.726</v>
      </c>
      <c r="J2073" s="20">
        <f>IFERROR(__xludf.DUMMYFUNCTION("""COMPUTED_VALUE"""),2072.0)</f>
        <v>2072</v>
      </c>
      <c r="K2073" s="20" t="b">
        <f>IFERROR(__xludf.DUMMYFUNCTION("""COMPUTED_VALUE"""),TRUE)</f>
        <v>1</v>
      </c>
      <c r="L2073" s="20" t="str">
        <f>IFERROR(__xludf.DUMMYFUNCTION("""COMPUTED_VALUE"""),"Database;")</f>
        <v>Database;</v>
      </c>
      <c r="M2073" s="20" t="b">
        <f>IFERROR(__xludf.DUMMYFUNCTION("""COMPUTED_VALUE"""),FALSE)</f>
        <v>0</v>
      </c>
      <c r="N2073" s="20" t="b">
        <f>IFERROR(__xludf.DUMMYFUNCTION("""COMPUTED_VALUE"""),FALSE)</f>
        <v>0</v>
      </c>
      <c r="O2073" s="20">
        <f>IFERROR(__xludf.DUMMYFUNCTION("""COMPUTED_VALUE"""),72.5638599810785)</f>
        <v>72.56385998</v>
      </c>
      <c r="P2073" s="20">
        <f>IFERROR(__xludf.DUMMYFUNCTION("""COMPUTED_VALUE"""),6903.0)</f>
        <v>6903</v>
      </c>
      <c r="Q2073" s="20">
        <f>IFERROR(__xludf.DUMMYFUNCTION("""COMPUTED_VALUE"""),9513.0)</f>
        <v>9513</v>
      </c>
    </row>
    <row r="2074">
      <c r="A2074" s="20">
        <f>IFERROR(__xludf.DUMMYFUNCTION("""COMPUTED_VALUE"""),2195.0)</f>
        <v>2195</v>
      </c>
      <c r="B2074" s="20" t="str">
        <f>IFERROR(__xludf.DUMMYFUNCTION("""COMPUTED_VALUE"""),"Time Needed to Buy Tickets")</f>
        <v>Time Needed to Buy Tickets</v>
      </c>
      <c r="C2074" s="20" t="str">
        <f>IFERROR(__xludf.DUMMYFUNCTION("""COMPUTED_VALUE"""),"time-needed-to-buy-tickets")</f>
        <v>time-needed-to-buy-tickets</v>
      </c>
      <c r="D2074" s="20" t="b">
        <f>IFERROR(__xludf.DUMMYFUNCTION("""COMPUTED_VALUE"""),FALSE)</f>
        <v>0</v>
      </c>
      <c r="E2074" s="20" t="str">
        <f>IFERROR(__xludf.DUMMYFUNCTION("""COMPUTED_VALUE"""),"Easy")</f>
        <v>Easy</v>
      </c>
      <c r="F2074" s="20">
        <f>IFERROR(__xludf.DUMMYFUNCTION("""COMPUTED_VALUE"""),587.0)</f>
        <v>587</v>
      </c>
      <c r="G2074" s="20">
        <f>IFERROR(__xludf.DUMMYFUNCTION("""COMPUTED_VALUE"""),36.0)</f>
        <v>36</v>
      </c>
      <c r="H2074" s="20" t="str">
        <f>IFERROR(__xludf.DUMMYFUNCTION("""COMPUTED_VALUE"""),"Algorithms")</f>
        <v>Algorithms</v>
      </c>
      <c r="I2074" s="20">
        <f>IFERROR(__xludf.DUMMYFUNCTION("""COMPUTED_VALUE"""),0.62)</f>
        <v>0.62</v>
      </c>
      <c r="J2074" s="20">
        <f>IFERROR(__xludf.DUMMYFUNCTION("""COMPUTED_VALUE"""),2073.0)</f>
        <v>2073</v>
      </c>
      <c r="K2074" s="20" t="b">
        <f>IFERROR(__xludf.DUMMYFUNCTION("""COMPUTED_VALUE"""),FALSE)</f>
        <v>0</v>
      </c>
      <c r="L2074" s="20" t="str">
        <f>IFERROR(__xludf.DUMMYFUNCTION("""COMPUTED_VALUE"""),"Array;Queue;Simulation;")</f>
        <v>Array;Queue;Simulation;</v>
      </c>
      <c r="M2074" s="20" t="b">
        <f>IFERROR(__xludf.DUMMYFUNCTION("""COMPUTED_VALUE"""),FALSE)</f>
        <v>0</v>
      </c>
      <c r="N2074" s="20" t="b">
        <f>IFERROR(__xludf.DUMMYFUNCTION("""COMPUTED_VALUE"""),FALSE)</f>
        <v>0</v>
      </c>
      <c r="O2074" s="20">
        <f>IFERROR(__xludf.DUMMYFUNCTION("""COMPUTED_VALUE"""),62.0466798967352)</f>
        <v>62.0466799</v>
      </c>
      <c r="P2074" s="20">
        <f>IFERROR(__xludf.DUMMYFUNCTION("""COMPUTED_VALUE"""),35329.0)</f>
        <v>35329</v>
      </c>
      <c r="Q2074" s="20">
        <f>IFERROR(__xludf.DUMMYFUNCTION("""COMPUTED_VALUE"""),56940.0)</f>
        <v>56940</v>
      </c>
    </row>
    <row r="2075">
      <c r="A2075" s="20">
        <f>IFERROR(__xludf.DUMMYFUNCTION("""COMPUTED_VALUE"""),2196.0)</f>
        <v>2196</v>
      </c>
      <c r="B2075" s="20" t="str">
        <f>IFERROR(__xludf.DUMMYFUNCTION("""COMPUTED_VALUE"""),"Reverse Nodes in Even Length Groups")</f>
        <v>Reverse Nodes in Even Length Groups</v>
      </c>
      <c r="C2075" s="20" t="str">
        <f>IFERROR(__xludf.DUMMYFUNCTION("""COMPUTED_VALUE"""),"reverse-nodes-in-even-length-groups")</f>
        <v>reverse-nodes-in-even-length-groups</v>
      </c>
      <c r="D2075" s="20" t="b">
        <f>IFERROR(__xludf.DUMMYFUNCTION("""COMPUTED_VALUE"""),FALSE)</f>
        <v>0</v>
      </c>
      <c r="E2075" s="20" t="str">
        <f>IFERROR(__xludf.DUMMYFUNCTION("""COMPUTED_VALUE"""),"Medium")</f>
        <v>Medium</v>
      </c>
      <c r="F2075" s="20">
        <f>IFERROR(__xludf.DUMMYFUNCTION("""COMPUTED_VALUE"""),389.0)</f>
        <v>389</v>
      </c>
      <c r="G2075" s="20">
        <f>IFERROR(__xludf.DUMMYFUNCTION("""COMPUTED_VALUE"""),262.0)</f>
        <v>262</v>
      </c>
      <c r="H2075" s="20" t="str">
        <f>IFERROR(__xludf.DUMMYFUNCTION("""COMPUTED_VALUE"""),"Algorithms")</f>
        <v>Algorithms</v>
      </c>
      <c r="I2075" s="20">
        <f>IFERROR(__xludf.DUMMYFUNCTION("""COMPUTED_VALUE"""),0.524)</f>
        <v>0.524</v>
      </c>
      <c r="J2075" s="20">
        <f>IFERROR(__xludf.DUMMYFUNCTION("""COMPUTED_VALUE"""),2074.0)</f>
        <v>2074</v>
      </c>
      <c r="K2075" s="20" t="b">
        <f>IFERROR(__xludf.DUMMYFUNCTION("""COMPUTED_VALUE"""),FALSE)</f>
        <v>0</v>
      </c>
      <c r="L2075" s="20" t="str">
        <f>IFERROR(__xludf.DUMMYFUNCTION("""COMPUTED_VALUE"""),"Linked List;")</f>
        <v>Linked List;</v>
      </c>
      <c r="M2075" s="20" t="b">
        <f>IFERROR(__xludf.DUMMYFUNCTION("""COMPUTED_VALUE"""),FALSE)</f>
        <v>0</v>
      </c>
      <c r="N2075" s="20" t="b">
        <f>IFERROR(__xludf.DUMMYFUNCTION("""COMPUTED_VALUE"""),FALSE)</f>
        <v>0</v>
      </c>
      <c r="O2075" s="20">
        <f>IFERROR(__xludf.DUMMYFUNCTION("""COMPUTED_VALUE"""),52.438482063445)</f>
        <v>52.43848206</v>
      </c>
      <c r="P2075" s="20">
        <f>IFERROR(__xludf.DUMMYFUNCTION("""COMPUTED_VALUE"""),14149.0)</f>
        <v>14149</v>
      </c>
      <c r="Q2075" s="20">
        <f>IFERROR(__xludf.DUMMYFUNCTION("""COMPUTED_VALUE"""),26983.0)</f>
        <v>26983</v>
      </c>
    </row>
    <row r="2076">
      <c r="A2076" s="20">
        <f>IFERROR(__xludf.DUMMYFUNCTION("""COMPUTED_VALUE"""),2197.0)</f>
        <v>2197</v>
      </c>
      <c r="B2076" s="20" t="str">
        <f>IFERROR(__xludf.DUMMYFUNCTION("""COMPUTED_VALUE"""),"Decode the Slanted Ciphertext")</f>
        <v>Decode the Slanted Ciphertext</v>
      </c>
      <c r="C2076" s="20" t="str">
        <f>IFERROR(__xludf.DUMMYFUNCTION("""COMPUTED_VALUE"""),"decode-the-slanted-ciphertext")</f>
        <v>decode-the-slanted-ciphertext</v>
      </c>
      <c r="D2076" s="20" t="b">
        <f>IFERROR(__xludf.DUMMYFUNCTION("""COMPUTED_VALUE"""),FALSE)</f>
        <v>0</v>
      </c>
      <c r="E2076" s="20" t="str">
        <f>IFERROR(__xludf.DUMMYFUNCTION("""COMPUTED_VALUE"""),"Medium")</f>
        <v>Medium</v>
      </c>
      <c r="F2076" s="20">
        <f>IFERROR(__xludf.DUMMYFUNCTION("""COMPUTED_VALUE"""),203.0)</f>
        <v>203</v>
      </c>
      <c r="G2076" s="20">
        <f>IFERROR(__xludf.DUMMYFUNCTION("""COMPUTED_VALUE"""),39.0)</f>
        <v>39</v>
      </c>
      <c r="H2076" s="20" t="str">
        <f>IFERROR(__xludf.DUMMYFUNCTION("""COMPUTED_VALUE"""),"Algorithms")</f>
        <v>Algorithms</v>
      </c>
      <c r="I2076" s="20">
        <f>IFERROR(__xludf.DUMMYFUNCTION("""COMPUTED_VALUE"""),0.502)</f>
        <v>0.502</v>
      </c>
      <c r="J2076" s="20">
        <f>IFERROR(__xludf.DUMMYFUNCTION("""COMPUTED_VALUE"""),2075.0)</f>
        <v>2075</v>
      </c>
      <c r="K2076" s="20" t="b">
        <f>IFERROR(__xludf.DUMMYFUNCTION("""COMPUTED_VALUE"""),FALSE)</f>
        <v>0</v>
      </c>
      <c r="L2076" s="20" t="str">
        <f>IFERROR(__xludf.DUMMYFUNCTION("""COMPUTED_VALUE"""),"String;Simulation;")</f>
        <v>String;Simulation;</v>
      </c>
      <c r="M2076" s="20" t="b">
        <f>IFERROR(__xludf.DUMMYFUNCTION("""COMPUTED_VALUE"""),FALSE)</f>
        <v>0</v>
      </c>
      <c r="N2076" s="20" t="b">
        <f>IFERROR(__xludf.DUMMYFUNCTION("""COMPUTED_VALUE"""),FALSE)</f>
        <v>0</v>
      </c>
      <c r="O2076" s="20">
        <f>IFERROR(__xludf.DUMMYFUNCTION("""COMPUTED_VALUE"""),50.2246313116515)</f>
        <v>50.22463131</v>
      </c>
      <c r="P2076" s="20">
        <f>IFERROR(__xludf.DUMMYFUNCTION("""COMPUTED_VALUE"""),10285.0)</f>
        <v>10285</v>
      </c>
      <c r="Q2076" s="20">
        <f>IFERROR(__xludf.DUMMYFUNCTION("""COMPUTED_VALUE"""),20478.0)</f>
        <v>20478</v>
      </c>
    </row>
    <row r="2077">
      <c r="A2077" s="20">
        <f>IFERROR(__xludf.DUMMYFUNCTION("""COMPUTED_VALUE"""),2198.0)</f>
        <v>2198</v>
      </c>
      <c r="B2077" s="20" t="str">
        <f>IFERROR(__xludf.DUMMYFUNCTION("""COMPUTED_VALUE"""),"Process Restricted Friend Requests")</f>
        <v>Process Restricted Friend Requests</v>
      </c>
      <c r="C2077" s="20" t="str">
        <f>IFERROR(__xludf.DUMMYFUNCTION("""COMPUTED_VALUE"""),"process-restricted-friend-requests")</f>
        <v>process-restricted-friend-requests</v>
      </c>
      <c r="D2077" s="20" t="b">
        <f>IFERROR(__xludf.DUMMYFUNCTION("""COMPUTED_VALUE"""),FALSE)</f>
        <v>0</v>
      </c>
      <c r="E2077" s="20" t="str">
        <f>IFERROR(__xludf.DUMMYFUNCTION("""COMPUTED_VALUE"""),"Hard")</f>
        <v>Hard</v>
      </c>
      <c r="F2077" s="20">
        <f>IFERROR(__xludf.DUMMYFUNCTION("""COMPUTED_VALUE"""),485.0)</f>
        <v>485</v>
      </c>
      <c r="G2077" s="20">
        <f>IFERROR(__xludf.DUMMYFUNCTION("""COMPUTED_VALUE"""),13.0)</f>
        <v>13</v>
      </c>
      <c r="H2077" s="20" t="str">
        <f>IFERROR(__xludf.DUMMYFUNCTION("""COMPUTED_VALUE"""),"Algorithms")</f>
        <v>Algorithms</v>
      </c>
      <c r="I2077" s="20">
        <f>IFERROR(__xludf.DUMMYFUNCTION("""COMPUTED_VALUE"""),0.533)</f>
        <v>0.533</v>
      </c>
      <c r="J2077" s="20">
        <f>IFERROR(__xludf.DUMMYFUNCTION("""COMPUTED_VALUE"""),2076.0)</f>
        <v>2076</v>
      </c>
      <c r="K2077" s="20" t="b">
        <f>IFERROR(__xludf.DUMMYFUNCTION("""COMPUTED_VALUE"""),FALSE)</f>
        <v>0</v>
      </c>
      <c r="L2077" s="20" t="str">
        <f>IFERROR(__xludf.DUMMYFUNCTION("""COMPUTED_VALUE"""),"Union Find;Graph;")</f>
        <v>Union Find;Graph;</v>
      </c>
      <c r="M2077" s="20" t="b">
        <f>IFERROR(__xludf.DUMMYFUNCTION("""COMPUTED_VALUE"""),FALSE)</f>
        <v>0</v>
      </c>
      <c r="N2077" s="20" t="b">
        <f>IFERROR(__xludf.DUMMYFUNCTION("""COMPUTED_VALUE"""),FALSE)</f>
        <v>0</v>
      </c>
      <c r="O2077" s="20">
        <f>IFERROR(__xludf.DUMMYFUNCTION("""COMPUTED_VALUE"""),53.3088992299139)</f>
        <v>53.30889923</v>
      </c>
      <c r="P2077" s="20">
        <f>IFERROR(__xludf.DUMMYFUNCTION("""COMPUTED_VALUE"""),12945.0)</f>
        <v>12945</v>
      </c>
      <c r="Q2077" s="20">
        <f>IFERROR(__xludf.DUMMYFUNCTION("""COMPUTED_VALUE"""),24283.0)</f>
        <v>24283</v>
      </c>
    </row>
    <row r="2078">
      <c r="A2078" s="20">
        <f>IFERROR(__xludf.DUMMYFUNCTION("""COMPUTED_VALUE"""),2218.0)</f>
        <v>2218</v>
      </c>
      <c r="B2078" s="20" t="str">
        <f>IFERROR(__xludf.DUMMYFUNCTION("""COMPUTED_VALUE"""),"Paths in Maze That Lead to Same Room")</f>
        <v>Paths in Maze That Lead to Same Room</v>
      </c>
      <c r="C2078" s="20" t="str">
        <f>IFERROR(__xludf.DUMMYFUNCTION("""COMPUTED_VALUE"""),"paths-in-maze-that-lead-to-same-room")</f>
        <v>paths-in-maze-that-lead-to-same-room</v>
      </c>
      <c r="D2078" s="20" t="b">
        <f>IFERROR(__xludf.DUMMYFUNCTION("""COMPUTED_VALUE"""),TRUE)</f>
        <v>1</v>
      </c>
      <c r="E2078" s="20" t="str">
        <f>IFERROR(__xludf.DUMMYFUNCTION("""COMPUTED_VALUE"""),"Medium")</f>
        <v>Medium</v>
      </c>
      <c r="F2078" s="20">
        <f>IFERROR(__xludf.DUMMYFUNCTION("""COMPUTED_VALUE"""),93.0)</f>
        <v>93</v>
      </c>
      <c r="G2078" s="20">
        <f>IFERROR(__xludf.DUMMYFUNCTION("""COMPUTED_VALUE"""),6.0)</f>
        <v>6</v>
      </c>
      <c r="H2078" s="20" t="str">
        <f>IFERROR(__xludf.DUMMYFUNCTION("""COMPUTED_VALUE"""),"Algorithms")</f>
        <v>Algorithms</v>
      </c>
      <c r="I2078" s="20">
        <f>IFERROR(__xludf.DUMMYFUNCTION("""COMPUTED_VALUE"""),0.558)</f>
        <v>0.558</v>
      </c>
      <c r="J2078" s="20">
        <f>IFERROR(__xludf.DUMMYFUNCTION("""COMPUTED_VALUE"""),2077.0)</f>
        <v>2077</v>
      </c>
      <c r="K2078" s="20" t="b">
        <f>IFERROR(__xludf.DUMMYFUNCTION("""COMPUTED_VALUE"""),TRUE)</f>
        <v>1</v>
      </c>
      <c r="L2078" s="20" t="str">
        <f>IFERROR(__xludf.DUMMYFUNCTION("""COMPUTED_VALUE"""),"Graph;")</f>
        <v>Graph;</v>
      </c>
      <c r="M2078" s="20" t="b">
        <f>IFERROR(__xludf.DUMMYFUNCTION("""COMPUTED_VALUE"""),FALSE)</f>
        <v>0</v>
      </c>
      <c r="N2078" s="20" t="b">
        <f>IFERROR(__xludf.DUMMYFUNCTION("""COMPUTED_VALUE"""),FALSE)</f>
        <v>0</v>
      </c>
      <c r="O2078" s="20">
        <f>IFERROR(__xludf.DUMMYFUNCTION("""COMPUTED_VALUE"""),55.7556139995953)</f>
        <v>55.755614</v>
      </c>
      <c r="P2078" s="20">
        <f>IFERROR(__xludf.DUMMYFUNCTION("""COMPUTED_VALUE"""),2756.0)</f>
        <v>2756</v>
      </c>
      <c r="Q2078" s="20">
        <f>IFERROR(__xludf.DUMMYFUNCTION("""COMPUTED_VALUE"""),4943.0)</f>
        <v>4943</v>
      </c>
    </row>
    <row r="2079">
      <c r="A2079" s="20">
        <f>IFERROR(__xludf.DUMMYFUNCTION("""COMPUTED_VALUE"""),2199.0)</f>
        <v>2199</v>
      </c>
      <c r="B2079" s="20" t="str">
        <f>IFERROR(__xludf.DUMMYFUNCTION("""COMPUTED_VALUE"""),"Two Furthest Houses With Different Colors")</f>
        <v>Two Furthest Houses With Different Colors</v>
      </c>
      <c r="C2079" s="20" t="str">
        <f>IFERROR(__xludf.DUMMYFUNCTION("""COMPUTED_VALUE"""),"two-furthest-houses-with-different-colors")</f>
        <v>two-furthest-houses-with-different-colors</v>
      </c>
      <c r="D2079" s="20" t="b">
        <f>IFERROR(__xludf.DUMMYFUNCTION("""COMPUTED_VALUE"""),FALSE)</f>
        <v>0</v>
      </c>
      <c r="E2079" s="20" t="str">
        <f>IFERROR(__xludf.DUMMYFUNCTION("""COMPUTED_VALUE"""),"Easy")</f>
        <v>Easy</v>
      </c>
      <c r="F2079" s="20">
        <f>IFERROR(__xludf.DUMMYFUNCTION("""COMPUTED_VALUE"""),666.0)</f>
        <v>666</v>
      </c>
      <c r="G2079" s="20">
        <f>IFERROR(__xludf.DUMMYFUNCTION("""COMPUTED_VALUE"""),19.0)</f>
        <v>19</v>
      </c>
      <c r="H2079" s="20" t="str">
        <f>IFERROR(__xludf.DUMMYFUNCTION("""COMPUTED_VALUE"""),"Algorithms")</f>
        <v>Algorithms</v>
      </c>
      <c r="I2079" s="20">
        <f>IFERROR(__xludf.DUMMYFUNCTION("""COMPUTED_VALUE"""),0.671)</f>
        <v>0.671</v>
      </c>
      <c r="J2079" s="20">
        <f>IFERROR(__xludf.DUMMYFUNCTION("""COMPUTED_VALUE"""),2078.0)</f>
        <v>2078</v>
      </c>
      <c r="K2079" s="20" t="b">
        <f>IFERROR(__xludf.DUMMYFUNCTION("""COMPUTED_VALUE"""),FALSE)</f>
        <v>0</v>
      </c>
      <c r="L2079" s="20" t="str">
        <f>IFERROR(__xludf.DUMMYFUNCTION("""COMPUTED_VALUE"""),"Array;Greedy;")</f>
        <v>Array;Greedy;</v>
      </c>
      <c r="M2079" s="20" t="b">
        <f>IFERROR(__xludf.DUMMYFUNCTION("""COMPUTED_VALUE"""),FALSE)</f>
        <v>0</v>
      </c>
      <c r="N2079" s="20" t="b">
        <f>IFERROR(__xludf.DUMMYFUNCTION("""COMPUTED_VALUE"""),FALSE)</f>
        <v>0</v>
      </c>
      <c r="O2079" s="20">
        <f>IFERROR(__xludf.DUMMYFUNCTION("""COMPUTED_VALUE"""),67.0815744849731)</f>
        <v>67.08157448</v>
      </c>
      <c r="P2079" s="20">
        <f>IFERROR(__xludf.DUMMYFUNCTION("""COMPUTED_VALUE"""),37186.0)</f>
        <v>37186</v>
      </c>
      <c r="Q2079" s="20">
        <f>IFERROR(__xludf.DUMMYFUNCTION("""COMPUTED_VALUE"""),55433.0)</f>
        <v>55433</v>
      </c>
    </row>
    <row r="2080">
      <c r="A2080" s="20">
        <f>IFERROR(__xludf.DUMMYFUNCTION("""COMPUTED_VALUE"""),1310.0)</f>
        <v>1310</v>
      </c>
      <c r="B2080" s="20" t="str">
        <f>IFERROR(__xludf.DUMMYFUNCTION("""COMPUTED_VALUE"""),"Watering Plants")</f>
        <v>Watering Plants</v>
      </c>
      <c r="C2080" s="20" t="str">
        <f>IFERROR(__xludf.DUMMYFUNCTION("""COMPUTED_VALUE"""),"watering-plants")</f>
        <v>watering-plants</v>
      </c>
      <c r="D2080" s="20" t="b">
        <f>IFERROR(__xludf.DUMMYFUNCTION("""COMPUTED_VALUE"""),FALSE)</f>
        <v>0</v>
      </c>
      <c r="E2080" s="20" t="str">
        <f>IFERROR(__xludf.DUMMYFUNCTION("""COMPUTED_VALUE"""),"Medium")</f>
        <v>Medium</v>
      </c>
      <c r="F2080" s="20">
        <f>IFERROR(__xludf.DUMMYFUNCTION("""COMPUTED_VALUE"""),616.0)</f>
        <v>616</v>
      </c>
      <c r="G2080" s="20">
        <f>IFERROR(__xludf.DUMMYFUNCTION("""COMPUTED_VALUE"""),42.0)</f>
        <v>42</v>
      </c>
      <c r="H2080" s="20" t="str">
        <f>IFERROR(__xludf.DUMMYFUNCTION("""COMPUTED_VALUE"""),"Algorithms")</f>
        <v>Algorithms</v>
      </c>
      <c r="I2080" s="20">
        <f>IFERROR(__xludf.DUMMYFUNCTION("""COMPUTED_VALUE"""),0.799)</f>
        <v>0.799</v>
      </c>
      <c r="J2080" s="20">
        <f>IFERROR(__xludf.DUMMYFUNCTION("""COMPUTED_VALUE"""),2079.0)</f>
        <v>2079</v>
      </c>
      <c r="K2080" s="20" t="b">
        <f>IFERROR(__xludf.DUMMYFUNCTION("""COMPUTED_VALUE"""),FALSE)</f>
        <v>0</v>
      </c>
      <c r="L2080" s="20" t="str">
        <f>IFERROR(__xludf.DUMMYFUNCTION("""COMPUTED_VALUE"""),"Array;")</f>
        <v>Array;</v>
      </c>
      <c r="M2080" s="20" t="b">
        <f>IFERROR(__xludf.DUMMYFUNCTION("""COMPUTED_VALUE"""),FALSE)</f>
        <v>0</v>
      </c>
      <c r="N2080" s="20" t="b">
        <f>IFERROR(__xludf.DUMMYFUNCTION("""COMPUTED_VALUE"""),FALSE)</f>
        <v>0</v>
      </c>
      <c r="O2080" s="20">
        <f>IFERROR(__xludf.DUMMYFUNCTION("""COMPUTED_VALUE"""),79.9143635655897)</f>
        <v>79.91436357</v>
      </c>
      <c r="P2080" s="20">
        <f>IFERROR(__xludf.DUMMYFUNCTION("""COMPUTED_VALUE"""),30795.0)</f>
        <v>30795</v>
      </c>
      <c r="Q2080" s="20">
        <f>IFERROR(__xludf.DUMMYFUNCTION("""COMPUTED_VALUE"""),38535.0)</f>
        <v>38535</v>
      </c>
    </row>
    <row r="2081">
      <c r="A2081" s="20">
        <f>IFERROR(__xludf.DUMMYFUNCTION("""COMPUTED_VALUE"""),1294.0)</f>
        <v>1294</v>
      </c>
      <c r="B2081" s="20" t="str">
        <f>IFERROR(__xludf.DUMMYFUNCTION("""COMPUTED_VALUE"""),"Range Frequency Queries")</f>
        <v>Range Frequency Queries</v>
      </c>
      <c r="C2081" s="20" t="str">
        <f>IFERROR(__xludf.DUMMYFUNCTION("""COMPUTED_VALUE"""),"range-frequency-queries")</f>
        <v>range-frequency-queries</v>
      </c>
      <c r="D2081" s="20" t="b">
        <f>IFERROR(__xludf.DUMMYFUNCTION("""COMPUTED_VALUE"""),FALSE)</f>
        <v>0</v>
      </c>
      <c r="E2081" s="20" t="str">
        <f>IFERROR(__xludf.DUMMYFUNCTION("""COMPUTED_VALUE"""),"Medium")</f>
        <v>Medium</v>
      </c>
      <c r="F2081" s="20">
        <f>IFERROR(__xludf.DUMMYFUNCTION("""COMPUTED_VALUE"""),477.0)</f>
        <v>477</v>
      </c>
      <c r="G2081" s="20">
        <f>IFERROR(__xludf.DUMMYFUNCTION("""COMPUTED_VALUE"""),22.0)</f>
        <v>22</v>
      </c>
      <c r="H2081" s="20" t="str">
        <f>IFERROR(__xludf.DUMMYFUNCTION("""COMPUTED_VALUE"""),"Algorithms")</f>
        <v>Algorithms</v>
      </c>
      <c r="I2081" s="20">
        <f>IFERROR(__xludf.DUMMYFUNCTION("""COMPUTED_VALUE"""),0.384)</f>
        <v>0.384</v>
      </c>
      <c r="J2081" s="20">
        <f>IFERROR(__xludf.DUMMYFUNCTION("""COMPUTED_VALUE"""),2080.0)</f>
        <v>2080</v>
      </c>
      <c r="K2081" s="20" t="b">
        <f>IFERROR(__xludf.DUMMYFUNCTION("""COMPUTED_VALUE"""),FALSE)</f>
        <v>0</v>
      </c>
      <c r="L2081" s="20" t="str">
        <f>IFERROR(__xludf.DUMMYFUNCTION("""COMPUTED_VALUE"""),"Array;Hash Table;Binary Search;Design;Segment Tree;")</f>
        <v>Array;Hash Table;Binary Search;Design;Segment Tree;</v>
      </c>
      <c r="M2081" s="20" t="b">
        <f>IFERROR(__xludf.DUMMYFUNCTION("""COMPUTED_VALUE"""),FALSE)</f>
        <v>0</v>
      </c>
      <c r="N2081" s="20" t="b">
        <f>IFERROR(__xludf.DUMMYFUNCTION("""COMPUTED_VALUE"""),FALSE)</f>
        <v>0</v>
      </c>
      <c r="O2081" s="20">
        <f>IFERROR(__xludf.DUMMYFUNCTION("""COMPUTED_VALUE"""),38.3659830629527)</f>
        <v>38.36598306</v>
      </c>
      <c r="P2081" s="20">
        <f>IFERROR(__xludf.DUMMYFUNCTION("""COMPUTED_VALUE"""),15041.0)</f>
        <v>15041</v>
      </c>
      <c r="Q2081" s="20">
        <f>IFERROR(__xludf.DUMMYFUNCTION("""COMPUTED_VALUE"""),39204.0)</f>
        <v>39204</v>
      </c>
    </row>
    <row r="2082">
      <c r="A2082" s="20">
        <f>IFERROR(__xludf.DUMMYFUNCTION("""COMPUTED_VALUE"""),2202.0)</f>
        <v>2202</v>
      </c>
      <c r="B2082" s="20" t="str">
        <f>IFERROR(__xludf.DUMMYFUNCTION("""COMPUTED_VALUE"""),"Sum of k-Mirror Numbers")</f>
        <v>Sum of k-Mirror Numbers</v>
      </c>
      <c r="C2082" s="20" t="str">
        <f>IFERROR(__xludf.DUMMYFUNCTION("""COMPUTED_VALUE"""),"sum-of-k-mirror-numbers")</f>
        <v>sum-of-k-mirror-numbers</v>
      </c>
      <c r="D2082" s="20" t="b">
        <f>IFERROR(__xludf.DUMMYFUNCTION("""COMPUTED_VALUE"""),FALSE)</f>
        <v>0</v>
      </c>
      <c r="E2082" s="20" t="str">
        <f>IFERROR(__xludf.DUMMYFUNCTION("""COMPUTED_VALUE"""),"Hard")</f>
        <v>Hard</v>
      </c>
      <c r="F2082" s="20">
        <f>IFERROR(__xludf.DUMMYFUNCTION("""COMPUTED_VALUE"""),101.0)</f>
        <v>101</v>
      </c>
      <c r="G2082" s="20">
        <f>IFERROR(__xludf.DUMMYFUNCTION("""COMPUTED_VALUE"""),140.0)</f>
        <v>140</v>
      </c>
      <c r="H2082" s="20" t="str">
        <f>IFERROR(__xludf.DUMMYFUNCTION("""COMPUTED_VALUE"""),"Algorithms")</f>
        <v>Algorithms</v>
      </c>
      <c r="I2082" s="20">
        <f>IFERROR(__xludf.DUMMYFUNCTION("""COMPUTED_VALUE"""),0.419)</f>
        <v>0.419</v>
      </c>
      <c r="J2082" s="20">
        <f>IFERROR(__xludf.DUMMYFUNCTION("""COMPUTED_VALUE"""),2081.0)</f>
        <v>2081</v>
      </c>
      <c r="K2082" s="20" t="b">
        <f>IFERROR(__xludf.DUMMYFUNCTION("""COMPUTED_VALUE"""),FALSE)</f>
        <v>0</v>
      </c>
      <c r="L2082" s="20" t="str">
        <f>IFERROR(__xludf.DUMMYFUNCTION("""COMPUTED_VALUE"""),"Math;Enumeration;")</f>
        <v>Math;Enumeration;</v>
      </c>
      <c r="M2082" s="20" t="b">
        <f>IFERROR(__xludf.DUMMYFUNCTION("""COMPUTED_VALUE"""),FALSE)</f>
        <v>0</v>
      </c>
      <c r="N2082" s="20" t="b">
        <f>IFERROR(__xludf.DUMMYFUNCTION("""COMPUTED_VALUE"""),FALSE)</f>
        <v>0</v>
      </c>
      <c r="O2082" s="20">
        <f>IFERROR(__xludf.DUMMYFUNCTION("""COMPUTED_VALUE"""),41.9381218481668)</f>
        <v>41.93812185</v>
      </c>
      <c r="P2082" s="20">
        <f>IFERROR(__xludf.DUMMYFUNCTION("""COMPUTED_VALUE"""),6154.0)</f>
        <v>6154</v>
      </c>
      <c r="Q2082" s="20">
        <f>IFERROR(__xludf.DUMMYFUNCTION("""COMPUTED_VALUE"""),14674.0)</f>
        <v>14674</v>
      </c>
    </row>
    <row r="2083">
      <c r="A2083" s="20">
        <f>IFERROR(__xludf.DUMMYFUNCTION("""COMPUTED_VALUE"""),2223.0)</f>
        <v>2223</v>
      </c>
      <c r="B2083" s="20" t="str">
        <f>IFERROR(__xludf.DUMMYFUNCTION("""COMPUTED_VALUE"""),"The Number of Rich Customers")</f>
        <v>The Number of Rich Customers</v>
      </c>
      <c r="C2083" s="20" t="str">
        <f>IFERROR(__xludf.DUMMYFUNCTION("""COMPUTED_VALUE"""),"the-number-of-rich-customers")</f>
        <v>the-number-of-rich-customers</v>
      </c>
      <c r="D2083" s="20" t="b">
        <f>IFERROR(__xludf.DUMMYFUNCTION("""COMPUTED_VALUE"""),TRUE)</f>
        <v>1</v>
      </c>
      <c r="E2083" s="20" t="str">
        <f>IFERROR(__xludf.DUMMYFUNCTION("""COMPUTED_VALUE"""),"Easy")</f>
        <v>Easy</v>
      </c>
      <c r="F2083" s="20">
        <f>IFERROR(__xludf.DUMMYFUNCTION("""COMPUTED_VALUE"""),26.0)</f>
        <v>26</v>
      </c>
      <c r="G2083" s="20">
        <f>IFERROR(__xludf.DUMMYFUNCTION("""COMPUTED_VALUE"""),16.0)</f>
        <v>16</v>
      </c>
      <c r="H2083" s="20" t="str">
        <f>IFERROR(__xludf.DUMMYFUNCTION("""COMPUTED_VALUE"""),"Database")</f>
        <v>Database</v>
      </c>
      <c r="I2083" s="20">
        <f>IFERROR(__xludf.DUMMYFUNCTION("""COMPUTED_VALUE"""),0.804)</f>
        <v>0.804</v>
      </c>
      <c r="J2083" s="20">
        <f>IFERROR(__xludf.DUMMYFUNCTION("""COMPUTED_VALUE"""),2082.0)</f>
        <v>2082</v>
      </c>
      <c r="K2083" s="20" t="b">
        <f>IFERROR(__xludf.DUMMYFUNCTION("""COMPUTED_VALUE"""),TRUE)</f>
        <v>1</v>
      </c>
      <c r="L2083" s="20" t="str">
        <f>IFERROR(__xludf.DUMMYFUNCTION("""COMPUTED_VALUE"""),"Database;")</f>
        <v>Database;</v>
      </c>
      <c r="M2083" s="20" t="b">
        <f>IFERROR(__xludf.DUMMYFUNCTION("""COMPUTED_VALUE"""),FALSE)</f>
        <v>0</v>
      </c>
      <c r="N2083" s="20" t="b">
        <f>IFERROR(__xludf.DUMMYFUNCTION("""COMPUTED_VALUE"""),FALSE)</f>
        <v>0</v>
      </c>
      <c r="O2083" s="20">
        <f>IFERROR(__xludf.DUMMYFUNCTION("""COMPUTED_VALUE"""),80.4083454200602)</f>
        <v>80.40834542</v>
      </c>
      <c r="P2083" s="20">
        <f>IFERROR(__xludf.DUMMYFUNCTION("""COMPUTED_VALUE"""),7207.0)</f>
        <v>7207</v>
      </c>
      <c r="Q2083" s="20">
        <f>IFERROR(__xludf.DUMMYFUNCTION("""COMPUTED_VALUE"""),8963.0)</f>
        <v>8963</v>
      </c>
    </row>
    <row r="2084">
      <c r="A2084" s="20">
        <f>IFERROR(__xludf.DUMMYFUNCTION("""COMPUTED_VALUE"""),2225.0)</f>
        <v>2225</v>
      </c>
      <c r="B2084" s="20" t="str">
        <f>IFERROR(__xludf.DUMMYFUNCTION("""COMPUTED_VALUE"""),"Substrings That Begin and End With the Same Letter")</f>
        <v>Substrings That Begin and End With the Same Letter</v>
      </c>
      <c r="C2084" s="20" t="str">
        <f>IFERROR(__xludf.DUMMYFUNCTION("""COMPUTED_VALUE"""),"substrings-that-begin-and-end-with-the-same-letter")</f>
        <v>substrings-that-begin-and-end-with-the-same-letter</v>
      </c>
      <c r="D2084" s="20" t="b">
        <f>IFERROR(__xludf.DUMMYFUNCTION("""COMPUTED_VALUE"""),TRUE)</f>
        <v>1</v>
      </c>
      <c r="E2084" s="20" t="str">
        <f>IFERROR(__xludf.DUMMYFUNCTION("""COMPUTED_VALUE"""),"Medium")</f>
        <v>Medium</v>
      </c>
      <c r="F2084" s="20">
        <f>IFERROR(__xludf.DUMMYFUNCTION("""COMPUTED_VALUE"""),94.0)</f>
        <v>94</v>
      </c>
      <c r="G2084" s="20">
        <f>IFERROR(__xludf.DUMMYFUNCTION("""COMPUTED_VALUE"""),4.0)</f>
        <v>4</v>
      </c>
      <c r="H2084" s="20" t="str">
        <f>IFERROR(__xludf.DUMMYFUNCTION("""COMPUTED_VALUE"""),"Algorithms")</f>
        <v>Algorithms</v>
      </c>
      <c r="I2084" s="20">
        <f>IFERROR(__xludf.DUMMYFUNCTION("""COMPUTED_VALUE"""),0.68)</f>
        <v>0.68</v>
      </c>
      <c r="J2084" s="20">
        <f>IFERROR(__xludf.DUMMYFUNCTION("""COMPUTED_VALUE"""),2083.0)</f>
        <v>2083</v>
      </c>
      <c r="K2084" s="20" t="b">
        <f>IFERROR(__xludf.DUMMYFUNCTION("""COMPUTED_VALUE"""),TRUE)</f>
        <v>1</v>
      </c>
      <c r="L2084" s="20" t="str">
        <f>IFERROR(__xludf.DUMMYFUNCTION("""COMPUTED_VALUE"""),"Hash Table;Math;String;Counting;Prefix Sum;")</f>
        <v>Hash Table;Math;String;Counting;Prefix Sum;</v>
      </c>
      <c r="M2084" s="20" t="b">
        <f>IFERROR(__xludf.DUMMYFUNCTION("""COMPUTED_VALUE"""),FALSE)</f>
        <v>0</v>
      </c>
      <c r="N2084" s="20" t="b">
        <f>IFERROR(__xludf.DUMMYFUNCTION("""COMPUTED_VALUE"""),FALSE)</f>
        <v>0</v>
      </c>
      <c r="O2084" s="20">
        <f>IFERROR(__xludf.DUMMYFUNCTION("""COMPUTED_VALUE"""),68.0265523440741)</f>
        <v>68.02655234</v>
      </c>
      <c r="P2084" s="20">
        <f>IFERROR(__xludf.DUMMYFUNCTION("""COMPUTED_VALUE"""),4919.0)</f>
        <v>4919</v>
      </c>
      <c r="Q2084" s="20">
        <f>IFERROR(__xludf.DUMMYFUNCTION("""COMPUTED_VALUE"""),7231.0)</f>
        <v>7231</v>
      </c>
    </row>
    <row r="2085">
      <c r="A2085" s="20">
        <f>IFERROR(__xludf.DUMMYFUNCTION("""COMPUTED_VALUE"""),2224.0)</f>
        <v>2224</v>
      </c>
      <c r="B2085" s="20" t="str">
        <f>IFERROR(__xludf.DUMMYFUNCTION("""COMPUTED_VALUE"""),"Drop Type 1 Orders for Customers With Type 0 Orders")</f>
        <v>Drop Type 1 Orders for Customers With Type 0 Orders</v>
      </c>
      <c r="C2085" s="20" t="str">
        <f>IFERROR(__xludf.DUMMYFUNCTION("""COMPUTED_VALUE"""),"drop-type-1-orders-for-customers-with-type-0-orders")</f>
        <v>drop-type-1-orders-for-customers-with-type-0-orders</v>
      </c>
      <c r="D2085" s="20" t="b">
        <f>IFERROR(__xludf.DUMMYFUNCTION("""COMPUTED_VALUE"""),TRUE)</f>
        <v>1</v>
      </c>
      <c r="E2085" s="20" t="str">
        <f>IFERROR(__xludf.DUMMYFUNCTION("""COMPUTED_VALUE"""),"Medium")</f>
        <v>Medium</v>
      </c>
      <c r="F2085" s="20">
        <f>IFERROR(__xludf.DUMMYFUNCTION("""COMPUTED_VALUE"""),55.0)</f>
        <v>55</v>
      </c>
      <c r="G2085" s="20">
        <f>IFERROR(__xludf.DUMMYFUNCTION("""COMPUTED_VALUE"""),12.0)</f>
        <v>12</v>
      </c>
      <c r="H2085" s="20" t="str">
        <f>IFERROR(__xludf.DUMMYFUNCTION("""COMPUTED_VALUE"""),"Database")</f>
        <v>Database</v>
      </c>
      <c r="I2085" s="20">
        <f>IFERROR(__xludf.DUMMYFUNCTION("""COMPUTED_VALUE"""),0.903)</f>
        <v>0.903</v>
      </c>
      <c r="J2085" s="20">
        <f>IFERROR(__xludf.DUMMYFUNCTION("""COMPUTED_VALUE"""),2084.0)</f>
        <v>2084</v>
      </c>
      <c r="K2085" s="20" t="b">
        <f>IFERROR(__xludf.DUMMYFUNCTION("""COMPUTED_VALUE"""),TRUE)</f>
        <v>1</v>
      </c>
      <c r="L2085" s="20" t="str">
        <f>IFERROR(__xludf.DUMMYFUNCTION("""COMPUTED_VALUE"""),"Database;")</f>
        <v>Database;</v>
      </c>
      <c r="M2085" s="20" t="b">
        <f>IFERROR(__xludf.DUMMYFUNCTION("""COMPUTED_VALUE"""),FALSE)</f>
        <v>0</v>
      </c>
      <c r="N2085" s="20" t="b">
        <f>IFERROR(__xludf.DUMMYFUNCTION("""COMPUTED_VALUE"""),FALSE)</f>
        <v>0</v>
      </c>
      <c r="O2085" s="20">
        <f>IFERROR(__xludf.DUMMYFUNCTION("""COMPUTED_VALUE"""),90.2999268471104)</f>
        <v>90.29992685</v>
      </c>
      <c r="P2085" s="20">
        <f>IFERROR(__xludf.DUMMYFUNCTION("""COMPUTED_VALUE"""),6172.0)</f>
        <v>6172</v>
      </c>
      <c r="Q2085" s="20">
        <f>IFERROR(__xludf.DUMMYFUNCTION("""COMPUTED_VALUE"""),6835.0)</f>
        <v>6835</v>
      </c>
    </row>
    <row r="2086">
      <c r="A2086" s="20">
        <f>IFERROR(__xludf.DUMMYFUNCTION("""COMPUTED_VALUE"""),2190.0)</f>
        <v>2190</v>
      </c>
      <c r="B2086" s="20" t="str">
        <f>IFERROR(__xludf.DUMMYFUNCTION("""COMPUTED_VALUE"""),"Count Common Words With One Occurrence")</f>
        <v>Count Common Words With One Occurrence</v>
      </c>
      <c r="C2086" s="20" t="str">
        <f>IFERROR(__xludf.DUMMYFUNCTION("""COMPUTED_VALUE"""),"count-common-words-with-one-occurrence")</f>
        <v>count-common-words-with-one-occurrence</v>
      </c>
      <c r="D2086" s="20" t="b">
        <f>IFERROR(__xludf.DUMMYFUNCTION("""COMPUTED_VALUE"""),FALSE)</f>
        <v>0</v>
      </c>
      <c r="E2086" s="20" t="str">
        <f>IFERROR(__xludf.DUMMYFUNCTION("""COMPUTED_VALUE"""),"Easy")</f>
        <v>Easy</v>
      </c>
      <c r="F2086" s="20">
        <f>IFERROR(__xludf.DUMMYFUNCTION("""COMPUTED_VALUE"""),535.0)</f>
        <v>535</v>
      </c>
      <c r="G2086" s="20">
        <f>IFERROR(__xludf.DUMMYFUNCTION("""COMPUTED_VALUE"""),12.0)</f>
        <v>12</v>
      </c>
      <c r="H2086" s="20" t="str">
        <f>IFERROR(__xludf.DUMMYFUNCTION("""COMPUTED_VALUE"""),"Algorithms")</f>
        <v>Algorithms</v>
      </c>
      <c r="I2086" s="20">
        <f>IFERROR(__xludf.DUMMYFUNCTION("""COMPUTED_VALUE"""),0.697)</f>
        <v>0.697</v>
      </c>
      <c r="J2086" s="20">
        <f>IFERROR(__xludf.DUMMYFUNCTION("""COMPUTED_VALUE"""),2085.0)</f>
        <v>2085</v>
      </c>
      <c r="K2086" s="20" t="b">
        <f>IFERROR(__xludf.DUMMYFUNCTION("""COMPUTED_VALUE"""),FALSE)</f>
        <v>0</v>
      </c>
      <c r="L2086" s="20" t="str">
        <f>IFERROR(__xludf.DUMMYFUNCTION("""COMPUTED_VALUE"""),"Array;Hash Table;String;Counting;")</f>
        <v>Array;Hash Table;String;Counting;</v>
      </c>
      <c r="M2086" s="20" t="b">
        <f>IFERROR(__xludf.DUMMYFUNCTION("""COMPUTED_VALUE"""),FALSE)</f>
        <v>0</v>
      </c>
      <c r="N2086" s="20" t="b">
        <f>IFERROR(__xludf.DUMMYFUNCTION("""COMPUTED_VALUE"""),FALSE)</f>
        <v>0</v>
      </c>
      <c r="O2086" s="20">
        <f>IFERROR(__xludf.DUMMYFUNCTION("""COMPUTED_VALUE"""),69.7356702646859)</f>
        <v>69.73567026</v>
      </c>
      <c r="P2086" s="20">
        <f>IFERROR(__xludf.DUMMYFUNCTION("""COMPUTED_VALUE"""),39149.0)</f>
        <v>39149</v>
      </c>
      <c r="Q2086" s="20">
        <f>IFERROR(__xludf.DUMMYFUNCTION("""COMPUTED_VALUE"""),56140.0)</f>
        <v>56140</v>
      </c>
    </row>
    <row r="2087">
      <c r="A2087" s="20">
        <f>IFERROR(__xludf.DUMMYFUNCTION("""COMPUTED_VALUE"""),2191.0)</f>
        <v>2191</v>
      </c>
      <c r="B2087" s="20" t="str">
        <f>IFERROR(__xludf.DUMMYFUNCTION("""COMPUTED_VALUE"""),"Minimum Number of Food Buckets to Feed the Hamsters")</f>
        <v>Minimum Number of Food Buckets to Feed the Hamsters</v>
      </c>
      <c r="C2087" s="20" t="str">
        <f>IFERROR(__xludf.DUMMYFUNCTION("""COMPUTED_VALUE"""),"minimum-number-of-food-buckets-to-feed-the-hamsters")</f>
        <v>minimum-number-of-food-buckets-to-feed-the-hamsters</v>
      </c>
      <c r="D2087" s="20" t="b">
        <f>IFERROR(__xludf.DUMMYFUNCTION("""COMPUTED_VALUE"""),FALSE)</f>
        <v>0</v>
      </c>
      <c r="E2087" s="20" t="str">
        <f>IFERROR(__xludf.DUMMYFUNCTION("""COMPUTED_VALUE"""),"Medium")</f>
        <v>Medium</v>
      </c>
      <c r="F2087" s="20">
        <f>IFERROR(__xludf.DUMMYFUNCTION("""COMPUTED_VALUE"""),412.0)</f>
        <v>412</v>
      </c>
      <c r="G2087" s="20">
        <f>IFERROR(__xludf.DUMMYFUNCTION("""COMPUTED_VALUE"""),18.0)</f>
        <v>18</v>
      </c>
      <c r="H2087" s="20" t="str">
        <f>IFERROR(__xludf.DUMMYFUNCTION("""COMPUTED_VALUE"""),"Algorithms")</f>
        <v>Algorithms</v>
      </c>
      <c r="I2087" s="20">
        <f>IFERROR(__xludf.DUMMYFUNCTION("""COMPUTED_VALUE"""),0.451)</f>
        <v>0.451</v>
      </c>
      <c r="J2087" s="20">
        <f>IFERROR(__xludf.DUMMYFUNCTION("""COMPUTED_VALUE"""),2086.0)</f>
        <v>2086</v>
      </c>
      <c r="K2087" s="20" t="b">
        <f>IFERROR(__xludf.DUMMYFUNCTION("""COMPUTED_VALUE"""),FALSE)</f>
        <v>0</v>
      </c>
      <c r="L2087" s="20" t="str">
        <f>IFERROR(__xludf.DUMMYFUNCTION("""COMPUTED_VALUE"""),"String;Dynamic Programming;Greedy;")</f>
        <v>String;Dynamic Programming;Greedy;</v>
      </c>
      <c r="M2087" s="20" t="b">
        <f>IFERROR(__xludf.DUMMYFUNCTION("""COMPUTED_VALUE"""),FALSE)</f>
        <v>0</v>
      </c>
      <c r="N2087" s="20" t="b">
        <f>IFERROR(__xludf.DUMMYFUNCTION("""COMPUTED_VALUE"""),FALSE)</f>
        <v>0</v>
      </c>
      <c r="O2087" s="20">
        <f>IFERROR(__xludf.DUMMYFUNCTION("""COMPUTED_VALUE"""),45.1226449820968)</f>
        <v>45.12264498</v>
      </c>
      <c r="P2087" s="20">
        <f>IFERROR(__xludf.DUMMYFUNCTION("""COMPUTED_VALUE"""),13484.0)</f>
        <v>13484</v>
      </c>
      <c r="Q2087" s="20">
        <f>IFERROR(__xludf.DUMMYFUNCTION("""COMPUTED_VALUE"""),29883.0)</f>
        <v>29883</v>
      </c>
    </row>
    <row r="2088">
      <c r="A2088" s="20">
        <f>IFERROR(__xludf.DUMMYFUNCTION("""COMPUTED_VALUE"""),2192.0)</f>
        <v>2192</v>
      </c>
      <c r="B2088" s="20" t="str">
        <f>IFERROR(__xludf.DUMMYFUNCTION("""COMPUTED_VALUE"""),"Minimum Cost Homecoming of a Robot in a Grid")</f>
        <v>Minimum Cost Homecoming of a Robot in a Grid</v>
      </c>
      <c r="C2088" s="20" t="str">
        <f>IFERROR(__xludf.DUMMYFUNCTION("""COMPUTED_VALUE"""),"minimum-cost-homecoming-of-a-robot-in-a-grid")</f>
        <v>minimum-cost-homecoming-of-a-robot-in-a-grid</v>
      </c>
      <c r="D2088" s="20" t="b">
        <f>IFERROR(__xludf.DUMMYFUNCTION("""COMPUTED_VALUE"""),FALSE)</f>
        <v>0</v>
      </c>
      <c r="E2088" s="20" t="str">
        <f>IFERROR(__xludf.DUMMYFUNCTION("""COMPUTED_VALUE"""),"Medium")</f>
        <v>Medium</v>
      </c>
      <c r="F2088" s="20">
        <f>IFERROR(__xludf.DUMMYFUNCTION("""COMPUTED_VALUE"""),473.0)</f>
        <v>473</v>
      </c>
      <c r="G2088" s="20">
        <f>IFERROR(__xludf.DUMMYFUNCTION("""COMPUTED_VALUE"""),72.0)</f>
        <v>72</v>
      </c>
      <c r="H2088" s="20" t="str">
        <f>IFERROR(__xludf.DUMMYFUNCTION("""COMPUTED_VALUE"""),"Algorithms")</f>
        <v>Algorithms</v>
      </c>
      <c r="I2088" s="20">
        <f>IFERROR(__xludf.DUMMYFUNCTION("""COMPUTED_VALUE"""),0.514)</f>
        <v>0.514</v>
      </c>
      <c r="J2088" s="20">
        <f>IFERROR(__xludf.DUMMYFUNCTION("""COMPUTED_VALUE"""),2087.0)</f>
        <v>2087</v>
      </c>
      <c r="K2088" s="20" t="b">
        <f>IFERROR(__xludf.DUMMYFUNCTION("""COMPUTED_VALUE"""),FALSE)</f>
        <v>0</v>
      </c>
      <c r="L2088" s="20" t="str">
        <f>IFERROR(__xludf.DUMMYFUNCTION("""COMPUTED_VALUE"""),"Array;Greedy;Matrix;")</f>
        <v>Array;Greedy;Matrix;</v>
      </c>
      <c r="M2088" s="20" t="b">
        <f>IFERROR(__xludf.DUMMYFUNCTION("""COMPUTED_VALUE"""),FALSE)</f>
        <v>0</v>
      </c>
      <c r="N2088" s="20" t="b">
        <f>IFERROR(__xludf.DUMMYFUNCTION("""COMPUTED_VALUE"""),FALSE)</f>
        <v>0</v>
      </c>
      <c r="O2088" s="20">
        <f>IFERROR(__xludf.DUMMYFUNCTION("""COMPUTED_VALUE"""),51.4209664209664)</f>
        <v>51.42096642</v>
      </c>
      <c r="P2088" s="20">
        <f>IFERROR(__xludf.DUMMYFUNCTION("""COMPUTED_VALUE"""),12557.0)</f>
        <v>12557</v>
      </c>
      <c r="Q2088" s="20">
        <f>IFERROR(__xludf.DUMMYFUNCTION("""COMPUTED_VALUE"""),24420.0)</f>
        <v>24420</v>
      </c>
    </row>
    <row r="2089">
      <c r="A2089" s="20">
        <f>IFERROR(__xludf.DUMMYFUNCTION("""COMPUTED_VALUE"""),2193.0)</f>
        <v>2193</v>
      </c>
      <c r="B2089" s="20" t="str">
        <f>IFERROR(__xludf.DUMMYFUNCTION("""COMPUTED_VALUE"""),"Count Fertile Pyramids in a Land")</f>
        <v>Count Fertile Pyramids in a Land</v>
      </c>
      <c r="C2089" s="20" t="str">
        <f>IFERROR(__xludf.DUMMYFUNCTION("""COMPUTED_VALUE"""),"count-fertile-pyramids-in-a-land")</f>
        <v>count-fertile-pyramids-in-a-land</v>
      </c>
      <c r="D2089" s="20" t="b">
        <f>IFERROR(__xludf.DUMMYFUNCTION("""COMPUTED_VALUE"""),FALSE)</f>
        <v>0</v>
      </c>
      <c r="E2089" s="20" t="str">
        <f>IFERROR(__xludf.DUMMYFUNCTION("""COMPUTED_VALUE"""),"Hard")</f>
        <v>Hard</v>
      </c>
      <c r="F2089" s="20">
        <f>IFERROR(__xludf.DUMMYFUNCTION("""COMPUTED_VALUE"""),260.0)</f>
        <v>260</v>
      </c>
      <c r="G2089" s="20">
        <f>IFERROR(__xludf.DUMMYFUNCTION("""COMPUTED_VALUE"""),8.0)</f>
        <v>8</v>
      </c>
      <c r="H2089" s="20" t="str">
        <f>IFERROR(__xludf.DUMMYFUNCTION("""COMPUTED_VALUE"""),"Algorithms")</f>
        <v>Algorithms</v>
      </c>
      <c r="I2089" s="20">
        <f>IFERROR(__xludf.DUMMYFUNCTION("""COMPUTED_VALUE"""),0.636)</f>
        <v>0.636</v>
      </c>
      <c r="J2089" s="20">
        <f>IFERROR(__xludf.DUMMYFUNCTION("""COMPUTED_VALUE"""),2088.0)</f>
        <v>2088</v>
      </c>
      <c r="K2089" s="20" t="b">
        <f>IFERROR(__xludf.DUMMYFUNCTION("""COMPUTED_VALUE"""),FALSE)</f>
        <v>0</v>
      </c>
      <c r="L2089" s="20" t="str">
        <f>IFERROR(__xludf.DUMMYFUNCTION("""COMPUTED_VALUE"""),"Array;Dynamic Programming;Matrix;")</f>
        <v>Array;Dynamic Programming;Matrix;</v>
      </c>
      <c r="M2089" s="20" t="b">
        <f>IFERROR(__xludf.DUMMYFUNCTION("""COMPUTED_VALUE"""),FALSE)</f>
        <v>0</v>
      </c>
      <c r="N2089" s="20" t="b">
        <f>IFERROR(__xludf.DUMMYFUNCTION("""COMPUTED_VALUE"""),FALSE)</f>
        <v>0</v>
      </c>
      <c r="O2089" s="20">
        <f>IFERROR(__xludf.DUMMYFUNCTION("""COMPUTED_VALUE"""),63.578947368421)</f>
        <v>63.57894737</v>
      </c>
      <c r="P2089" s="20">
        <f>IFERROR(__xludf.DUMMYFUNCTION("""COMPUTED_VALUE"""),5436.0)</f>
        <v>5436</v>
      </c>
      <c r="Q2089" s="20">
        <f>IFERROR(__xludf.DUMMYFUNCTION("""COMPUTED_VALUE"""),8550.0)</f>
        <v>8550</v>
      </c>
    </row>
    <row r="2090">
      <c r="A2090" s="20">
        <f>IFERROR(__xludf.DUMMYFUNCTION("""COMPUTED_VALUE"""),2210.0)</f>
        <v>2210</v>
      </c>
      <c r="B2090" s="20" t="str">
        <f>IFERROR(__xludf.DUMMYFUNCTION("""COMPUTED_VALUE"""),"Find Target Indices After Sorting Array")</f>
        <v>Find Target Indices After Sorting Array</v>
      </c>
      <c r="C2090" s="20" t="str">
        <f>IFERROR(__xludf.DUMMYFUNCTION("""COMPUTED_VALUE"""),"find-target-indices-after-sorting-array")</f>
        <v>find-target-indices-after-sorting-array</v>
      </c>
      <c r="D2090" s="20" t="b">
        <f>IFERROR(__xludf.DUMMYFUNCTION("""COMPUTED_VALUE"""),FALSE)</f>
        <v>0</v>
      </c>
      <c r="E2090" s="20" t="str">
        <f>IFERROR(__xludf.DUMMYFUNCTION("""COMPUTED_VALUE"""),"Easy")</f>
        <v>Easy</v>
      </c>
      <c r="F2090" s="20">
        <f>IFERROR(__xludf.DUMMYFUNCTION("""COMPUTED_VALUE"""),1178.0)</f>
        <v>1178</v>
      </c>
      <c r="G2090" s="20">
        <f>IFERROR(__xludf.DUMMYFUNCTION("""COMPUTED_VALUE"""),51.0)</f>
        <v>51</v>
      </c>
      <c r="H2090" s="20" t="str">
        <f>IFERROR(__xludf.DUMMYFUNCTION("""COMPUTED_VALUE"""),"Algorithms")</f>
        <v>Algorithms</v>
      </c>
      <c r="I2090" s="20">
        <f>IFERROR(__xludf.DUMMYFUNCTION("""COMPUTED_VALUE"""),0.766)</f>
        <v>0.766</v>
      </c>
      <c r="J2090" s="20">
        <f>IFERROR(__xludf.DUMMYFUNCTION("""COMPUTED_VALUE"""),2089.0)</f>
        <v>2089</v>
      </c>
      <c r="K2090" s="20" t="b">
        <f>IFERROR(__xludf.DUMMYFUNCTION("""COMPUTED_VALUE"""),FALSE)</f>
        <v>0</v>
      </c>
      <c r="L2090" s="20" t="str">
        <f>IFERROR(__xludf.DUMMYFUNCTION("""COMPUTED_VALUE"""),"Array;Binary Search;Sorting;")</f>
        <v>Array;Binary Search;Sorting;</v>
      </c>
      <c r="M2090" s="20" t="b">
        <f>IFERROR(__xludf.DUMMYFUNCTION("""COMPUTED_VALUE"""),FALSE)</f>
        <v>0</v>
      </c>
      <c r="N2090" s="20" t="b">
        <f>IFERROR(__xludf.DUMMYFUNCTION("""COMPUTED_VALUE"""),FALSE)</f>
        <v>0</v>
      </c>
      <c r="O2090" s="20">
        <f>IFERROR(__xludf.DUMMYFUNCTION("""COMPUTED_VALUE"""),76.5514333237023)</f>
        <v>76.55143332</v>
      </c>
      <c r="P2090" s="20">
        <f>IFERROR(__xludf.DUMMYFUNCTION("""COMPUTED_VALUE"""),98025.0)</f>
        <v>98025</v>
      </c>
      <c r="Q2090" s="20">
        <f>IFERROR(__xludf.DUMMYFUNCTION("""COMPUTED_VALUE"""),128047.0)</f>
        <v>128047</v>
      </c>
    </row>
    <row r="2091">
      <c r="A2091" s="20">
        <f>IFERROR(__xludf.DUMMYFUNCTION("""COMPUTED_VALUE"""),2211.0)</f>
        <v>2211</v>
      </c>
      <c r="B2091" s="20" t="str">
        <f>IFERROR(__xludf.DUMMYFUNCTION("""COMPUTED_VALUE"""),"K Radius Subarray Averages")</f>
        <v>K Radius Subarray Averages</v>
      </c>
      <c r="C2091" s="20" t="str">
        <f>IFERROR(__xludf.DUMMYFUNCTION("""COMPUTED_VALUE"""),"k-radius-subarray-averages")</f>
        <v>k-radius-subarray-averages</v>
      </c>
      <c r="D2091" s="20" t="b">
        <f>IFERROR(__xludf.DUMMYFUNCTION("""COMPUTED_VALUE"""),FALSE)</f>
        <v>0</v>
      </c>
      <c r="E2091" s="20" t="str">
        <f>IFERROR(__xludf.DUMMYFUNCTION("""COMPUTED_VALUE"""),"Medium")</f>
        <v>Medium</v>
      </c>
      <c r="F2091" s="20">
        <f>IFERROR(__xludf.DUMMYFUNCTION("""COMPUTED_VALUE"""),430.0)</f>
        <v>430</v>
      </c>
      <c r="G2091" s="20">
        <f>IFERROR(__xludf.DUMMYFUNCTION("""COMPUTED_VALUE"""),19.0)</f>
        <v>19</v>
      </c>
      <c r="H2091" s="20" t="str">
        <f>IFERROR(__xludf.DUMMYFUNCTION("""COMPUTED_VALUE"""),"Algorithms")</f>
        <v>Algorithms</v>
      </c>
      <c r="I2091" s="20">
        <f>IFERROR(__xludf.DUMMYFUNCTION("""COMPUTED_VALUE"""),0.425)</f>
        <v>0.425</v>
      </c>
      <c r="J2091" s="20">
        <f>IFERROR(__xludf.DUMMYFUNCTION("""COMPUTED_VALUE"""),2090.0)</f>
        <v>2090</v>
      </c>
      <c r="K2091" s="20" t="b">
        <f>IFERROR(__xludf.DUMMYFUNCTION("""COMPUTED_VALUE"""),FALSE)</f>
        <v>0</v>
      </c>
      <c r="L2091" s="20" t="str">
        <f>IFERROR(__xludf.DUMMYFUNCTION("""COMPUTED_VALUE"""),"Array;Sliding Window;")</f>
        <v>Array;Sliding Window;</v>
      </c>
      <c r="M2091" s="20" t="b">
        <f>IFERROR(__xludf.DUMMYFUNCTION("""COMPUTED_VALUE"""),FALSE)</f>
        <v>0</v>
      </c>
      <c r="N2091" s="20" t="b">
        <f>IFERROR(__xludf.DUMMYFUNCTION("""COMPUTED_VALUE"""),FALSE)</f>
        <v>0</v>
      </c>
      <c r="O2091" s="20">
        <f>IFERROR(__xludf.DUMMYFUNCTION("""COMPUTED_VALUE"""),42.5206710128796)</f>
        <v>42.52067101</v>
      </c>
      <c r="P2091" s="20">
        <f>IFERROR(__xludf.DUMMYFUNCTION("""COMPUTED_VALUE"""),21392.0)</f>
        <v>21392</v>
      </c>
      <c r="Q2091" s="20">
        <f>IFERROR(__xludf.DUMMYFUNCTION("""COMPUTED_VALUE"""),50311.0)</f>
        <v>50311</v>
      </c>
    </row>
    <row r="2092">
      <c r="A2092" s="20">
        <f>IFERROR(__xludf.DUMMYFUNCTION("""COMPUTED_VALUE"""),2212.0)</f>
        <v>2212</v>
      </c>
      <c r="B2092" s="20" t="str">
        <f>IFERROR(__xludf.DUMMYFUNCTION("""COMPUTED_VALUE"""),"Removing Minimum and Maximum From Array")</f>
        <v>Removing Minimum and Maximum From Array</v>
      </c>
      <c r="C2092" s="20" t="str">
        <f>IFERROR(__xludf.DUMMYFUNCTION("""COMPUTED_VALUE"""),"removing-minimum-and-maximum-from-array")</f>
        <v>removing-minimum-and-maximum-from-array</v>
      </c>
      <c r="D2092" s="20" t="b">
        <f>IFERROR(__xludf.DUMMYFUNCTION("""COMPUTED_VALUE"""),FALSE)</f>
        <v>0</v>
      </c>
      <c r="E2092" s="20" t="str">
        <f>IFERROR(__xludf.DUMMYFUNCTION("""COMPUTED_VALUE"""),"Medium")</f>
        <v>Medium</v>
      </c>
      <c r="F2092" s="20">
        <f>IFERROR(__xludf.DUMMYFUNCTION("""COMPUTED_VALUE"""),639.0)</f>
        <v>639</v>
      </c>
      <c r="G2092" s="20">
        <f>IFERROR(__xludf.DUMMYFUNCTION("""COMPUTED_VALUE"""),34.0)</f>
        <v>34</v>
      </c>
      <c r="H2092" s="20" t="str">
        <f>IFERROR(__xludf.DUMMYFUNCTION("""COMPUTED_VALUE"""),"Algorithms")</f>
        <v>Algorithms</v>
      </c>
      <c r="I2092" s="20">
        <f>IFERROR(__xludf.DUMMYFUNCTION("""COMPUTED_VALUE"""),0.566)</f>
        <v>0.566</v>
      </c>
      <c r="J2092" s="20">
        <f>IFERROR(__xludf.DUMMYFUNCTION("""COMPUTED_VALUE"""),2091.0)</f>
        <v>2091</v>
      </c>
      <c r="K2092" s="20" t="b">
        <f>IFERROR(__xludf.DUMMYFUNCTION("""COMPUTED_VALUE"""),FALSE)</f>
        <v>0</v>
      </c>
      <c r="L2092" s="20" t="str">
        <f>IFERROR(__xludf.DUMMYFUNCTION("""COMPUTED_VALUE"""),"Array;Greedy;")</f>
        <v>Array;Greedy;</v>
      </c>
      <c r="M2092" s="20" t="b">
        <f>IFERROR(__xludf.DUMMYFUNCTION("""COMPUTED_VALUE"""),FALSE)</f>
        <v>0</v>
      </c>
      <c r="N2092" s="20" t="b">
        <f>IFERROR(__xludf.DUMMYFUNCTION("""COMPUTED_VALUE"""),FALSE)</f>
        <v>0</v>
      </c>
      <c r="O2092" s="20">
        <f>IFERROR(__xludf.DUMMYFUNCTION("""COMPUTED_VALUE"""),56.5601044562378)</f>
        <v>56.56010446</v>
      </c>
      <c r="P2092" s="20">
        <f>IFERROR(__xludf.DUMMYFUNCTION("""COMPUTED_VALUE"""),26856.0)</f>
        <v>26856</v>
      </c>
      <c r="Q2092" s="20">
        <f>IFERROR(__xludf.DUMMYFUNCTION("""COMPUTED_VALUE"""),47482.0)</f>
        <v>47482</v>
      </c>
    </row>
    <row r="2093">
      <c r="A2093" s="20">
        <f>IFERROR(__xludf.DUMMYFUNCTION("""COMPUTED_VALUE"""),2213.0)</f>
        <v>2213</v>
      </c>
      <c r="B2093" s="20" t="str">
        <f>IFERROR(__xludf.DUMMYFUNCTION("""COMPUTED_VALUE"""),"Find All People With Secret")</f>
        <v>Find All People With Secret</v>
      </c>
      <c r="C2093" s="20" t="str">
        <f>IFERROR(__xludf.DUMMYFUNCTION("""COMPUTED_VALUE"""),"find-all-people-with-secret")</f>
        <v>find-all-people-with-secret</v>
      </c>
      <c r="D2093" s="20" t="b">
        <f>IFERROR(__xludf.DUMMYFUNCTION("""COMPUTED_VALUE"""),FALSE)</f>
        <v>0</v>
      </c>
      <c r="E2093" s="20" t="str">
        <f>IFERROR(__xludf.DUMMYFUNCTION("""COMPUTED_VALUE"""),"Hard")</f>
        <v>Hard</v>
      </c>
      <c r="F2093" s="20">
        <f>IFERROR(__xludf.DUMMYFUNCTION("""COMPUTED_VALUE"""),666.0)</f>
        <v>666</v>
      </c>
      <c r="G2093" s="20">
        <f>IFERROR(__xludf.DUMMYFUNCTION("""COMPUTED_VALUE"""),25.0)</f>
        <v>25</v>
      </c>
      <c r="H2093" s="20" t="str">
        <f>IFERROR(__xludf.DUMMYFUNCTION("""COMPUTED_VALUE"""),"Algorithms")</f>
        <v>Algorithms</v>
      </c>
      <c r="I2093" s="20">
        <f>IFERROR(__xludf.DUMMYFUNCTION("""COMPUTED_VALUE"""),0.342)</f>
        <v>0.342</v>
      </c>
      <c r="J2093" s="20">
        <f>IFERROR(__xludf.DUMMYFUNCTION("""COMPUTED_VALUE"""),2092.0)</f>
        <v>2092</v>
      </c>
      <c r="K2093" s="20" t="b">
        <f>IFERROR(__xludf.DUMMYFUNCTION("""COMPUTED_VALUE"""),FALSE)</f>
        <v>0</v>
      </c>
      <c r="L2093" s="20" t="str">
        <f>IFERROR(__xludf.DUMMYFUNCTION("""COMPUTED_VALUE"""),"Depth-First Search;Breadth-First Search;Union Find;Graph;Sorting;")</f>
        <v>Depth-First Search;Breadth-First Search;Union Find;Graph;Sorting;</v>
      </c>
      <c r="M2093" s="20" t="b">
        <f>IFERROR(__xludf.DUMMYFUNCTION("""COMPUTED_VALUE"""),FALSE)</f>
        <v>0</v>
      </c>
      <c r="N2093" s="20" t="b">
        <f>IFERROR(__xludf.DUMMYFUNCTION("""COMPUTED_VALUE"""),FALSE)</f>
        <v>0</v>
      </c>
      <c r="O2093" s="20">
        <f>IFERROR(__xludf.DUMMYFUNCTION("""COMPUTED_VALUE"""),34.1528871959137)</f>
        <v>34.1528872</v>
      </c>
      <c r="P2093" s="20">
        <f>IFERROR(__xludf.DUMMYFUNCTION("""COMPUTED_VALUE"""),19725.0)</f>
        <v>19725</v>
      </c>
      <c r="Q2093" s="20">
        <f>IFERROR(__xludf.DUMMYFUNCTION("""COMPUTED_VALUE"""),57755.0)</f>
        <v>57755</v>
      </c>
    </row>
    <row r="2094">
      <c r="A2094" s="20">
        <f>IFERROR(__xludf.DUMMYFUNCTION("""COMPUTED_VALUE"""),2230.0)</f>
        <v>2230</v>
      </c>
      <c r="B2094" s="20" t="str">
        <f>IFERROR(__xludf.DUMMYFUNCTION("""COMPUTED_VALUE"""),"Minimum Cost to Reach City With Discounts")</f>
        <v>Minimum Cost to Reach City With Discounts</v>
      </c>
      <c r="C2094" s="20" t="str">
        <f>IFERROR(__xludf.DUMMYFUNCTION("""COMPUTED_VALUE"""),"minimum-cost-to-reach-city-with-discounts")</f>
        <v>minimum-cost-to-reach-city-with-discounts</v>
      </c>
      <c r="D2094" s="20" t="b">
        <f>IFERROR(__xludf.DUMMYFUNCTION("""COMPUTED_VALUE"""),TRUE)</f>
        <v>1</v>
      </c>
      <c r="E2094" s="20" t="str">
        <f>IFERROR(__xludf.DUMMYFUNCTION("""COMPUTED_VALUE"""),"Medium")</f>
        <v>Medium</v>
      </c>
      <c r="F2094" s="20">
        <f>IFERROR(__xludf.DUMMYFUNCTION("""COMPUTED_VALUE"""),132.0)</f>
        <v>132</v>
      </c>
      <c r="G2094" s="20">
        <f>IFERROR(__xludf.DUMMYFUNCTION("""COMPUTED_VALUE"""),8.0)</f>
        <v>8</v>
      </c>
      <c r="H2094" s="20" t="str">
        <f>IFERROR(__xludf.DUMMYFUNCTION("""COMPUTED_VALUE"""),"Algorithms")</f>
        <v>Algorithms</v>
      </c>
      <c r="I2094" s="20">
        <f>IFERROR(__xludf.DUMMYFUNCTION("""COMPUTED_VALUE"""),0.559)</f>
        <v>0.559</v>
      </c>
      <c r="J2094" s="20">
        <f>IFERROR(__xludf.DUMMYFUNCTION("""COMPUTED_VALUE"""),2093.0)</f>
        <v>2093</v>
      </c>
      <c r="K2094" s="20" t="b">
        <f>IFERROR(__xludf.DUMMYFUNCTION("""COMPUTED_VALUE"""),TRUE)</f>
        <v>1</v>
      </c>
      <c r="L2094" s="20" t="str">
        <f>IFERROR(__xludf.DUMMYFUNCTION("""COMPUTED_VALUE"""),"Graph;Shortest Path;")</f>
        <v>Graph;Shortest Path;</v>
      </c>
      <c r="M2094" s="20" t="b">
        <f>IFERROR(__xludf.DUMMYFUNCTION("""COMPUTED_VALUE"""),FALSE)</f>
        <v>0</v>
      </c>
      <c r="N2094" s="20" t="b">
        <f>IFERROR(__xludf.DUMMYFUNCTION("""COMPUTED_VALUE"""),FALSE)</f>
        <v>0</v>
      </c>
      <c r="O2094" s="20">
        <f>IFERROR(__xludf.DUMMYFUNCTION("""COMPUTED_VALUE"""),55.8508004621224)</f>
        <v>55.85080046</v>
      </c>
      <c r="P2094" s="20">
        <f>IFERROR(__xludf.DUMMYFUNCTION("""COMPUTED_VALUE"""),3384.0)</f>
        <v>3384</v>
      </c>
      <c r="Q2094" s="20">
        <f>IFERROR(__xludf.DUMMYFUNCTION("""COMPUTED_VALUE"""),6059.0)</f>
        <v>6059</v>
      </c>
    </row>
    <row r="2095">
      <c r="A2095" s="20">
        <f>IFERROR(__xludf.DUMMYFUNCTION("""COMPUTED_VALUE"""),2215.0)</f>
        <v>2215</v>
      </c>
      <c r="B2095" s="20" t="str">
        <f>IFERROR(__xludf.DUMMYFUNCTION("""COMPUTED_VALUE"""),"Finding 3-Digit Even Numbers")</f>
        <v>Finding 3-Digit Even Numbers</v>
      </c>
      <c r="C2095" s="20" t="str">
        <f>IFERROR(__xludf.DUMMYFUNCTION("""COMPUTED_VALUE"""),"finding-3-digit-even-numbers")</f>
        <v>finding-3-digit-even-numbers</v>
      </c>
      <c r="D2095" s="20" t="b">
        <f>IFERROR(__xludf.DUMMYFUNCTION("""COMPUTED_VALUE"""),FALSE)</f>
        <v>0</v>
      </c>
      <c r="E2095" s="20" t="str">
        <f>IFERROR(__xludf.DUMMYFUNCTION("""COMPUTED_VALUE"""),"Easy")</f>
        <v>Easy</v>
      </c>
      <c r="F2095" s="20">
        <f>IFERROR(__xludf.DUMMYFUNCTION("""COMPUTED_VALUE"""),374.0)</f>
        <v>374</v>
      </c>
      <c r="G2095" s="20">
        <f>IFERROR(__xludf.DUMMYFUNCTION("""COMPUTED_VALUE"""),218.0)</f>
        <v>218</v>
      </c>
      <c r="H2095" s="20" t="str">
        <f>IFERROR(__xludf.DUMMYFUNCTION("""COMPUTED_VALUE"""),"Algorithms")</f>
        <v>Algorithms</v>
      </c>
      <c r="I2095" s="20">
        <f>IFERROR(__xludf.DUMMYFUNCTION("""COMPUTED_VALUE"""),0.576)</f>
        <v>0.576</v>
      </c>
      <c r="J2095" s="20">
        <f>IFERROR(__xludf.DUMMYFUNCTION("""COMPUTED_VALUE"""),2094.0)</f>
        <v>2094</v>
      </c>
      <c r="K2095" s="20" t="b">
        <f>IFERROR(__xludf.DUMMYFUNCTION("""COMPUTED_VALUE"""),FALSE)</f>
        <v>0</v>
      </c>
      <c r="L2095" s="20" t="str">
        <f>IFERROR(__xludf.DUMMYFUNCTION("""COMPUTED_VALUE"""),"Array;Hash Table;Sorting;Enumeration;")</f>
        <v>Array;Hash Table;Sorting;Enumeration;</v>
      </c>
      <c r="M2095" s="20" t="b">
        <f>IFERROR(__xludf.DUMMYFUNCTION("""COMPUTED_VALUE"""),FALSE)</f>
        <v>0</v>
      </c>
      <c r="N2095" s="20" t="b">
        <f>IFERROR(__xludf.DUMMYFUNCTION("""COMPUTED_VALUE"""),FALSE)</f>
        <v>0</v>
      </c>
      <c r="O2095" s="20">
        <f>IFERROR(__xludf.DUMMYFUNCTION("""COMPUTED_VALUE"""),57.5797113267552)</f>
        <v>57.57971133</v>
      </c>
      <c r="P2095" s="20">
        <f>IFERROR(__xludf.DUMMYFUNCTION("""COMPUTED_VALUE"""),21183.0)</f>
        <v>21183</v>
      </c>
      <c r="Q2095" s="20">
        <f>IFERROR(__xludf.DUMMYFUNCTION("""COMPUTED_VALUE"""),36789.0)</f>
        <v>36789</v>
      </c>
    </row>
    <row r="2096">
      <c r="A2096" s="20">
        <f>IFERROR(__xludf.DUMMYFUNCTION("""COMPUTED_VALUE"""),2216.0)</f>
        <v>2216</v>
      </c>
      <c r="B2096" s="20" t="str">
        <f>IFERROR(__xludf.DUMMYFUNCTION("""COMPUTED_VALUE"""),"Delete the Middle Node of a Linked List")</f>
        <v>Delete the Middle Node of a Linked List</v>
      </c>
      <c r="C2096" s="20" t="str">
        <f>IFERROR(__xludf.DUMMYFUNCTION("""COMPUTED_VALUE"""),"delete-the-middle-node-of-a-linked-list")</f>
        <v>delete-the-middle-node-of-a-linked-list</v>
      </c>
      <c r="D2096" s="20" t="b">
        <f>IFERROR(__xludf.DUMMYFUNCTION("""COMPUTED_VALUE"""),FALSE)</f>
        <v>0</v>
      </c>
      <c r="E2096" s="20" t="str">
        <f>IFERROR(__xludf.DUMMYFUNCTION("""COMPUTED_VALUE"""),"Medium")</f>
        <v>Medium</v>
      </c>
      <c r="F2096" s="20">
        <f>IFERROR(__xludf.DUMMYFUNCTION("""COMPUTED_VALUE"""),2618.0)</f>
        <v>2618</v>
      </c>
      <c r="G2096" s="20">
        <f>IFERROR(__xludf.DUMMYFUNCTION("""COMPUTED_VALUE"""),46.0)</f>
        <v>46</v>
      </c>
      <c r="H2096" s="20" t="str">
        <f>IFERROR(__xludf.DUMMYFUNCTION("""COMPUTED_VALUE"""),"Algorithms")</f>
        <v>Algorithms</v>
      </c>
      <c r="I2096" s="20">
        <f>IFERROR(__xludf.DUMMYFUNCTION("""COMPUTED_VALUE"""),0.601)</f>
        <v>0.601</v>
      </c>
      <c r="J2096" s="20">
        <f>IFERROR(__xludf.DUMMYFUNCTION("""COMPUTED_VALUE"""),2095.0)</f>
        <v>2095</v>
      </c>
      <c r="K2096" s="20" t="b">
        <f>IFERROR(__xludf.DUMMYFUNCTION("""COMPUTED_VALUE"""),FALSE)</f>
        <v>0</v>
      </c>
      <c r="L2096" s="20" t="str">
        <f>IFERROR(__xludf.DUMMYFUNCTION("""COMPUTED_VALUE"""),"Linked List;Two Pointers;")</f>
        <v>Linked List;Two Pointers;</v>
      </c>
      <c r="M2096" s="20" t="b">
        <f>IFERROR(__xludf.DUMMYFUNCTION("""COMPUTED_VALUE"""),TRUE)</f>
        <v>1</v>
      </c>
      <c r="N2096" s="20" t="b">
        <f>IFERROR(__xludf.DUMMYFUNCTION("""COMPUTED_VALUE"""),FALSE)</f>
        <v>0</v>
      </c>
      <c r="O2096" s="20">
        <f>IFERROR(__xludf.DUMMYFUNCTION("""COMPUTED_VALUE"""),60.1371757086198)</f>
        <v>60.13717571</v>
      </c>
      <c r="P2096" s="20">
        <f>IFERROR(__xludf.DUMMYFUNCTION("""COMPUTED_VALUE"""),165272.0)</f>
        <v>165272</v>
      </c>
      <c r="Q2096" s="20">
        <f>IFERROR(__xludf.DUMMYFUNCTION("""COMPUTED_VALUE"""),274824.0)</f>
        <v>274824</v>
      </c>
    </row>
    <row r="2097">
      <c r="A2097" s="20">
        <f>IFERROR(__xludf.DUMMYFUNCTION("""COMPUTED_VALUE"""),2217.0)</f>
        <v>2217</v>
      </c>
      <c r="B2097" s="20" t="str">
        <f>IFERROR(__xludf.DUMMYFUNCTION("""COMPUTED_VALUE"""),"Step-By-Step Directions From a Binary Tree Node to Another")</f>
        <v>Step-By-Step Directions From a Binary Tree Node to Another</v>
      </c>
      <c r="C2097" s="20" t="str">
        <f>IFERROR(__xludf.DUMMYFUNCTION("""COMPUTED_VALUE"""),"step-by-step-directions-from-a-binary-tree-node-to-another")</f>
        <v>step-by-step-directions-from-a-binary-tree-node-to-another</v>
      </c>
      <c r="D2097" s="20" t="b">
        <f>IFERROR(__xludf.DUMMYFUNCTION("""COMPUTED_VALUE"""),FALSE)</f>
        <v>0</v>
      </c>
      <c r="E2097" s="20" t="str">
        <f>IFERROR(__xludf.DUMMYFUNCTION("""COMPUTED_VALUE"""),"Medium")</f>
        <v>Medium</v>
      </c>
      <c r="F2097" s="20">
        <f>IFERROR(__xludf.DUMMYFUNCTION("""COMPUTED_VALUE"""),1892.0)</f>
        <v>1892</v>
      </c>
      <c r="G2097" s="20">
        <f>IFERROR(__xludf.DUMMYFUNCTION("""COMPUTED_VALUE"""),95.0)</f>
        <v>95</v>
      </c>
      <c r="H2097" s="20" t="str">
        <f>IFERROR(__xludf.DUMMYFUNCTION("""COMPUTED_VALUE"""),"Algorithms")</f>
        <v>Algorithms</v>
      </c>
      <c r="I2097" s="20">
        <f>IFERROR(__xludf.DUMMYFUNCTION("""COMPUTED_VALUE"""),0.486)</f>
        <v>0.486</v>
      </c>
      <c r="J2097" s="20">
        <f>IFERROR(__xludf.DUMMYFUNCTION("""COMPUTED_VALUE"""),2096.0)</f>
        <v>2096</v>
      </c>
      <c r="K2097" s="20" t="b">
        <f>IFERROR(__xludf.DUMMYFUNCTION("""COMPUTED_VALUE"""),FALSE)</f>
        <v>0</v>
      </c>
      <c r="L2097" s="20" t="str">
        <f>IFERROR(__xludf.DUMMYFUNCTION("""COMPUTED_VALUE"""),"String;Tree;Depth-First Search;Binary Tree;")</f>
        <v>String;Tree;Depth-First Search;Binary Tree;</v>
      </c>
      <c r="M2097" s="20" t="b">
        <f>IFERROR(__xludf.DUMMYFUNCTION("""COMPUTED_VALUE"""),FALSE)</f>
        <v>0</v>
      </c>
      <c r="N2097" s="20" t="b">
        <f>IFERROR(__xludf.DUMMYFUNCTION("""COMPUTED_VALUE"""),FALSE)</f>
        <v>0</v>
      </c>
      <c r="O2097" s="20">
        <f>IFERROR(__xludf.DUMMYFUNCTION("""COMPUTED_VALUE"""),48.5956473691943)</f>
        <v>48.59564737</v>
      </c>
      <c r="P2097" s="20">
        <f>IFERROR(__xludf.DUMMYFUNCTION("""COMPUTED_VALUE"""),76074.0)</f>
        <v>76074</v>
      </c>
      <c r="Q2097" s="20">
        <f>IFERROR(__xludf.DUMMYFUNCTION("""COMPUTED_VALUE"""),156540.0)</f>
        <v>156540</v>
      </c>
    </row>
    <row r="2098">
      <c r="A2098" s="20">
        <f>IFERROR(__xludf.DUMMYFUNCTION("""COMPUTED_VALUE"""),2201.0)</f>
        <v>2201</v>
      </c>
      <c r="B2098" s="20" t="str">
        <f>IFERROR(__xludf.DUMMYFUNCTION("""COMPUTED_VALUE"""),"Valid Arrangement of Pairs")</f>
        <v>Valid Arrangement of Pairs</v>
      </c>
      <c r="C2098" s="20" t="str">
        <f>IFERROR(__xludf.DUMMYFUNCTION("""COMPUTED_VALUE"""),"valid-arrangement-of-pairs")</f>
        <v>valid-arrangement-of-pairs</v>
      </c>
      <c r="D2098" s="20" t="b">
        <f>IFERROR(__xludf.DUMMYFUNCTION("""COMPUTED_VALUE"""),FALSE)</f>
        <v>0</v>
      </c>
      <c r="E2098" s="20" t="str">
        <f>IFERROR(__xludf.DUMMYFUNCTION("""COMPUTED_VALUE"""),"Hard")</f>
        <v>Hard</v>
      </c>
      <c r="F2098" s="20">
        <f>IFERROR(__xludf.DUMMYFUNCTION("""COMPUTED_VALUE"""),373.0)</f>
        <v>373</v>
      </c>
      <c r="G2098" s="20">
        <f>IFERROR(__xludf.DUMMYFUNCTION("""COMPUTED_VALUE"""),19.0)</f>
        <v>19</v>
      </c>
      <c r="H2098" s="20" t="str">
        <f>IFERROR(__xludf.DUMMYFUNCTION("""COMPUTED_VALUE"""),"Algorithms")</f>
        <v>Algorithms</v>
      </c>
      <c r="I2098" s="20">
        <f>IFERROR(__xludf.DUMMYFUNCTION("""COMPUTED_VALUE"""),0.41)</f>
        <v>0.41</v>
      </c>
      <c r="J2098" s="20">
        <f>IFERROR(__xludf.DUMMYFUNCTION("""COMPUTED_VALUE"""),2097.0)</f>
        <v>2097</v>
      </c>
      <c r="K2098" s="20" t="b">
        <f>IFERROR(__xludf.DUMMYFUNCTION("""COMPUTED_VALUE"""),FALSE)</f>
        <v>0</v>
      </c>
      <c r="L2098" s="20" t="str">
        <f>IFERROR(__xludf.DUMMYFUNCTION("""COMPUTED_VALUE"""),"Depth-First Search;Graph;Eulerian Circuit;")</f>
        <v>Depth-First Search;Graph;Eulerian Circuit;</v>
      </c>
      <c r="M2098" s="20" t="b">
        <f>IFERROR(__xludf.DUMMYFUNCTION("""COMPUTED_VALUE"""),FALSE)</f>
        <v>0</v>
      </c>
      <c r="N2098" s="20" t="b">
        <f>IFERROR(__xludf.DUMMYFUNCTION("""COMPUTED_VALUE"""),FALSE)</f>
        <v>0</v>
      </c>
      <c r="O2098" s="20">
        <f>IFERROR(__xludf.DUMMYFUNCTION("""COMPUTED_VALUE"""),40.986427069394)</f>
        <v>40.98642707</v>
      </c>
      <c r="P2098" s="20">
        <f>IFERROR(__xludf.DUMMYFUNCTION("""COMPUTED_VALUE"""),6432.0)</f>
        <v>6432</v>
      </c>
      <c r="Q2098" s="20">
        <f>IFERROR(__xludf.DUMMYFUNCTION("""COMPUTED_VALUE"""),15693.0)</f>
        <v>15693</v>
      </c>
    </row>
    <row r="2099">
      <c r="A2099" s="20">
        <f>IFERROR(__xludf.DUMMYFUNCTION("""COMPUTED_VALUE"""),2242.0)</f>
        <v>2242</v>
      </c>
      <c r="B2099" s="20" t="str">
        <f>IFERROR(__xludf.DUMMYFUNCTION("""COMPUTED_VALUE"""),"Subsequence of Size K With the Largest Even Sum")</f>
        <v>Subsequence of Size K With the Largest Even Sum</v>
      </c>
      <c r="C2099" s="20" t="str">
        <f>IFERROR(__xludf.DUMMYFUNCTION("""COMPUTED_VALUE"""),"subsequence-of-size-k-with-the-largest-even-sum")</f>
        <v>subsequence-of-size-k-with-the-largest-even-sum</v>
      </c>
      <c r="D2099" s="20" t="b">
        <f>IFERROR(__xludf.DUMMYFUNCTION("""COMPUTED_VALUE"""),TRUE)</f>
        <v>1</v>
      </c>
      <c r="E2099" s="20" t="str">
        <f>IFERROR(__xludf.DUMMYFUNCTION("""COMPUTED_VALUE"""),"Medium")</f>
        <v>Medium</v>
      </c>
      <c r="F2099" s="20">
        <f>IFERROR(__xludf.DUMMYFUNCTION("""COMPUTED_VALUE"""),56.0)</f>
        <v>56</v>
      </c>
      <c r="G2099" s="20">
        <f>IFERROR(__xludf.DUMMYFUNCTION("""COMPUTED_VALUE"""),2.0)</f>
        <v>2</v>
      </c>
      <c r="H2099" s="20" t="str">
        <f>IFERROR(__xludf.DUMMYFUNCTION("""COMPUTED_VALUE"""),"Algorithms")</f>
        <v>Algorithms</v>
      </c>
      <c r="I2099" s="20">
        <f>IFERROR(__xludf.DUMMYFUNCTION("""COMPUTED_VALUE"""),0.383)</f>
        <v>0.383</v>
      </c>
      <c r="J2099" s="20">
        <f>IFERROR(__xludf.DUMMYFUNCTION("""COMPUTED_VALUE"""),2098.0)</f>
        <v>2098</v>
      </c>
      <c r="K2099" s="20" t="b">
        <f>IFERROR(__xludf.DUMMYFUNCTION("""COMPUTED_VALUE"""),TRUE)</f>
        <v>1</v>
      </c>
      <c r="L2099" s="20" t="str">
        <f>IFERROR(__xludf.DUMMYFUNCTION("""COMPUTED_VALUE"""),"Array;Greedy;Sorting;")</f>
        <v>Array;Greedy;Sorting;</v>
      </c>
      <c r="M2099" s="20" t="b">
        <f>IFERROR(__xludf.DUMMYFUNCTION("""COMPUTED_VALUE"""),FALSE)</f>
        <v>0</v>
      </c>
      <c r="N2099" s="20" t="b">
        <f>IFERROR(__xludf.DUMMYFUNCTION("""COMPUTED_VALUE"""),FALSE)</f>
        <v>0</v>
      </c>
      <c r="O2099" s="20">
        <f>IFERROR(__xludf.DUMMYFUNCTION("""COMPUTED_VALUE"""),38.2725677519984)</f>
        <v>38.27256775</v>
      </c>
      <c r="P2099" s="20">
        <f>IFERROR(__xludf.DUMMYFUNCTION("""COMPUTED_VALUE"""),1963.0)</f>
        <v>1963</v>
      </c>
      <c r="Q2099" s="20">
        <f>IFERROR(__xludf.DUMMYFUNCTION("""COMPUTED_VALUE"""),5129.0)</f>
        <v>5129</v>
      </c>
    </row>
    <row r="2100">
      <c r="A2100" s="20">
        <f>IFERROR(__xludf.DUMMYFUNCTION("""COMPUTED_VALUE"""),2204.0)</f>
        <v>2204</v>
      </c>
      <c r="B2100" s="20" t="str">
        <f>IFERROR(__xludf.DUMMYFUNCTION("""COMPUTED_VALUE"""),"Find Subsequence of Length K With the Largest Sum")</f>
        <v>Find Subsequence of Length K With the Largest Sum</v>
      </c>
      <c r="C2100" s="20" t="str">
        <f>IFERROR(__xludf.DUMMYFUNCTION("""COMPUTED_VALUE"""),"find-subsequence-of-length-k-with-the-largest-sum")</f>
        <v>find-subsequence-of-length-k-with-the-largest-sum</v>
      </c>
      <c r="D2100" s="20" t="b">
        <f>IFERROR(__xludf.DUMMYFUNCTION("""COMPUTED_VALUE"""),FALSE)</f>
        <v>0</v>
      </c>
      <c r="E2100" s="20" t="str">
        <f>IFERROR(__xludf.DUMMYFUNCTION("""COMPUTED_VALUE"""),"Easy")</f>
        <v>Easy</v>
      </c>
      <c r="F2100" s="20">
        <f>IFERROR(__xludf.DUMMYFUNCTION("""COMPUTED_VALUE"""),823.0)</f>
        <v>823</v>
      </c>
      <c r="G2100" s="20">
        <f>IFERROR(__xludf.DUMMYFUNCTION("""COMPUTED_VALUE"""),79.0)</f>
        <v>79</v>
      </c>
      <c r="H2100" s="20" t="str">
        <f>IFERROR(__xludf.DUMMYFUNCTION("""COMPUTED_VALUE"""),"Algorithms")</f>
        <v>Algorithms</v>
      </c>
      <c r="I2100" s="20">
        <f>IFERROR(__xludf.DUMMYFUNCTION("""COMPUTED_VALUE"""),0.427)</f>
        <v>0.427</v>
      </c>
      <c r="J2100" s="20">
        <f>IFERROR(__xludf.DUMMYFUNCTION("""COMPUTED_VALUE"""),2099.0)</f>
        <v>2099</v>
      </c>
      <c r="K2100" s="20" t="b">
        <f>IFERROR(__xludf.DUMMYFUNCTION("""COMPUTED_VALUE"""),FALSE)</f>
        <v>0</v>
      </c>
      <c r="L2100" s="20" t="str">
        <f>IFERROR(__xludf.DUMMYFUNCTION("""COMPUTED_VALUE"""),"Array;Hash Table;Sorting;Heap (Priority Queue);")</f>
        <v>Array;Hash Table;Sorting;Heap (Priority Queue);</v>
      </c>
      <c r="M2100" s="20" t="b">
        <f>IFERROR(__xludf.DUMMYFUNCTION("""COMPUTED_VALUE"""),FALSE)</f>
        <v>0</v>
      </c>
      <c r="N2100" s="20" t="b">
        <f>IFERROR(__xludf.DUMMYFUNCTION("""COMPUTED_VALUE"""),FALSE)</f>
        <v>0</v>
      </c>
      <c r="O2100" s="20">
        <f>IFERROR(__xludf.DUMMYFUNCTION("""COMPUTED_VALUE"""),42.731380606291)</f>
        <v>42.73138061</v>
      </c>
      <c r="P2100" s="20">
        <f>IFERROR(__xludf.DUMMYFUNCTION("""COMPUTED_VALUE"""),29220.0)</f>
        <v>29220</v>
      </c>
      <c r="Q2100" s="20">
        <f>IFERROR(__xludf.DUMMYFUNCTION("""COMPUTED_VALUE"""),68382.0)</f>
        <v>68382</v>
      </c>
    </row>
    <row r="2101">
      <c r="A2101" s="20">
        <f>IFERROR(__xludf.DUMMYFUNCTION("""COMPUTED_VALUE"""),2205.0)</f>
        <v>2205</v>
      </c>
      <c r="B2101" s="20" t="str">
        <f>IFERROR(__xludf.DUMMYFUNCTION("""COMPUTED_VALUE"""),"Find Good Days to Rob the Bank")</f>
        <v>Find Good Days to Rob the Bank</v>
      </c>
      <c r="C2101" s="20" t="str">
        <f>IFERROR(__xludf.DUMMYFUNCTION("""COMPUTED_VALUE"""),"find-good-days-to-rob-the-bank")</f>
        <v>find-good-days-to-rob-the-bank</v>
      </c>
      <c r="D2101" s="20" t="b">
        <f>IFERROR(__xludf.DUMMYFUNCTION("""COMPUTED_VALUE"""),FALSE)</f>
        <v>0</v>
      </c>
      <c r="E2101" s="20" t="str">
        <f>IFERROR(__xludf.DUMMYFUNCTION("""COMPUTED_VALUE"""),"Medium")</f>
        <v>Medium</v>
      </c>
      <c r="F2101" s="20">
        <f>IFERROR(__xludf.DUMMYFUNCTION("""COMPUTED_VALUE"""),646.0)</f>
        <v>646</v>
      </c>
      <c r="G2101" s="20">
        <f>IFERROR(__xludf.DUMMYFUNCTION("""COMPUTED_VALUE"""),35.0)</f>
        <v>35</v>
      </c>
      <c r="H2101" s="20" t="str">
        <f>IFERROR(__xludf.DUMMYFUNCTION("""COMPUTED_VALUE"""),"Algorithms")</f>
        <v>Algorithms</v>
      </c>
      <c r="I2101" s="20">
        <f>IFERROR(__xludf.DUMMYFUNCTION("""COMPUTED_VALUE"""),0.493)</f>
        <v>0.493</v>
      </c>
      <c r="J2101" s="20">
        <f>IFERROR(__xludf.DUMMYFUNCTION("""COMPUTED_VALUE"""),2100.0)</f>
        <v>2100</v>
      </c>
      <c r="K2101" s="20" t="b">
        <f>IFERROR(__xludf.DUMMYFUNCTION("""COMPUTED_VALUE"""),FALSE)</f>
        <v>0</v>
      </c>
      <c r="L2101" s="20" t="str">
        <f>IFERROR(__xludf.DUMMYFUNCTION("""COMPUTED_VALUE"""),"Array;Dynamic Programming;Prefix Sum;")</f>
        <v>Array;Dynamic Programming;Prefix Sum;</v>
      </c>
      <c r="M2101" s="20" t="b">
        <f>IFERROR(__xludf.DUMMYFUNCTION("""COMPUTED_VALUE"""),FALSE)</f>
        <v>0</v>
      </c>
      <c r="N2101" s="20" t="b">
        <f>IFERROR(__xludf.DUMMYFUNCTION("""COMPUTED_VALUE"""),FALSE)</f>
        <v>0</v>
      </c>
      <c r="O2101" s="20">
        <f>IFERROR(__xludf.DUMMYFUNCTION("""COMPUTED_VALUE"""),49.2592883924591)</f>
        <v>49.25928839</v>
      </c>
      <c r="P2101" s="20">
        <f>IFERROR(__xludf.DUMMYFUNCTION("""COMPUTED_VALUE"""),18787.0)</f>
        <v>18787</v>
      </c>
      <c r="Q2101" s="20">
        <f>IFERROR(__xludf.DUMMYFUNCTION("""COMPUTED_VALUE"""),38139.0)</f>
        <v>38139</v>
      </c>
    </row>
    <row r="2102">
      <c r="A2102" s="20">
        <f>IFERROR(__xludf.DUMMYFUNCTION("""COMPUTED_VALUE"""),2206.0)</f>
        <v>2206</v>
      </c>
      <c r="B2102" s="20" t="str">
        <f>IFERROR(__xludf.DUMMYFUNCTION("""COMPUTED_VALUE"""),"Detonate the Maximum Bombs")</f>
        <v>Detonate the Maximum Bombs</v>
      </c>
      <c r="C2102" s="20" t="str">
        <f>IFERROR(__xludf.DUMMYFUNCTION("""COMPUTED_VALUE"""),"detonate-the-maximum-bombs")</f>
        <v>detonate-the-maximum-bombs</v>
      </c>
      <c r="D2102" s="20" t="b">
        <f>IFERROR(__xludf.DUMMYFUNCTION("""COMPUTED_VALUE"""),FALSE)</f>
        <v>0</v>
      </c>
      <c r="E2102" s="20" t="str">
        <f>IFERROR(__xludf.DUMMYFUNCTION("""COMPUTED_VALUE"""),"Medium")</f>
        <v>Medium</v>
      </c>
      <c r="F2102" s="20">
        <f>IFERROR(__xludf.DUMMYFUNCTION("""COMPUTED_VALUE"""),898.0)</f>
        <v>898</v>
      </c>
      <c r="G2102" s="20">
        <f>IFERROR(__xludf.DUMMYFUNCTION("""COMPUTED_VALUE"""),67.0)</f>
        <v>67</v>
      </c>
      <c r="H2102" s="20" t="str">
        <f>IFERROR(__xludf.DUMMYFUNCTION("""COMPUTED_VALUE"""),"Algorithms")</f>
        <v>Algorithms</v>
      </c>
      <c r="I2102" s="20">
        <f>IFERROR(__xludf.DUMMYFUNCTION("""COMPUTED_VALUE"""),0.417)</f>
        <v>0.417</v>
      </c>
      <c r="J2102" s="20">
        <f>IFERROR(__xludf.DUMMYFUNCTION("""COMPUTED_VALUE"""),2101.0)</f>
        <v>2101</v>
      </c>
      <c r="K2102" s="20" t="b">
        <f>IFERROR(__xludf.DUMMYFUNCTION("""COMPUTED_VALUE"""),FALSE)</f>
        <v>0</v>
      </c>
      <c r="L2102" s="20" t="str">
        <f>IFERROR(__xludf.DUMMYFUNCTION("""COMPUTED_VALUE"""),"Array;Math;Depth-First Search;Breadth-First Search;Graph;Geometry;")</f>
        <v>Array;Math;Depth-First Search;Breadth-First Search;Graph;Geometry;</v>
      </c>
      <c r="M2102" s="20" t="b">
        <f>IFERROR(__xludf.DUMMYFUNCTION("""COMPUTED_VALUE"""),FALSE)</f>
        <v>0</v>
      </c>
      <c r="N2102" s="20" t="b">
        <f>IFERROR(__xludf.DUMMYFUNCTION("""COMPUTED_VALUE"""),FALSE)</f>
        <v>0</v>
      </c>
      <c r="O2102" s="20">
        <f>IFERROR(__xludf.DUMMYFUNCTION("""COMPUTED_VALUE"""),41.6539466096808)</f>
        <v>41.65394661</v>
      </c>
      <c r="P2102" s="20">
        <f>IFERROR(__xludf.DUMMYFUNCTION("""COMPUTED_VALUE"""),24558.0)</f>
        <v>24558</v>
      </c>
      <c r="Q2102" s="20">
        <f>IFERROR(__xludf.DUMMYFUNCTION("""COMPUTED_VALUE"""),58952.0)</f>
        <v>58952</v>
      </c>
    </row>
    <row r="2103">
      <c r="A2103" s="20">
        <f>IFERROR(__xludf.DUMMYFUNCTION("""COMPUTED_VALUE"""),2207.0)</f>
        <v>2207</v>
      </c>
      <c r="B2103" s="20" t="str">
        <f>IFERROR(__xludf.DUMMYFUNCTION("""COMPUTED_VALUE"""),"Sequentially Ordinal Rank Tracker")</f>
        <v>Sequentially Ordinal Rank Tracker</v>
      </c>
      <c r="C2103" s="20" t="str">
        <f>IFERROR(__xludf.DUMMYFUNCTION("""COMPUTED_VALUE"""),"sequentially-ordinal-rank-tracker")</f>
        <v>sequentially-ordinal-rank-tracker</v>
      </c>
      <c r="D2103" s="20" t="b">
        <f>IFERROR(__xludf.DUMMYFUNCTION("""COMPUTED_VALUE"""),FALSE)</f>
        <v>0</v>
      </c>
      <c r="E2103" s="20" t="str">
        <f>IFERROR(__xludf.DUMMYFUNCTION("""COMPUTED_VALUE"""),"Hard")</f>
        <v>Hard</v>
      </c>
      <c r="F2103" s="20">
        <f>IFERROR(__xludf.DUMMYFUNCTION("""COMPUTED_VALUE"""),285.0)</f>
        <v>285</v>
      </c>
      <c r="G2103" s="20">
        <f>IFERROR(__xludf.DUMMYFUNCTION("""COMPUTED_VALUE"""),35.0)</f>
        <v>35</v>
      </c>
      <c r="H2103" s="20" t="str">
        <f>IFERROR(__xludf.DUMMYFUNCTION("""COMPUTED_VALUE"""),"Algorithms")</f>
        <v>Algorithms</v>
      </c>
      <c r="I2103" s="20">
        <f>IFERROR(__xludf.DUMMYFUNCTION("""COMPUTED_VALUE"""),0.661)</f>
        <v>0.661</v>
      </c>
      <c r="J2103" s="20">
        <f>IFERROR(__xludf.DUMMYFUNCTION("""COMPUTED_VALUE"""),2102.0)</f>
        <v>2102</v>
      </c>
      <c r="K2103" s="20" t="b">
        <f>IFERROR(__xludf.DUMMYFUNCTION("""COMPUTED_VALUE"""),FALSE)</f>
        <v>0</v>
      </c>
      <c r="L2103" s="20" t="str">
        <f>IFERROR(__xludf.DUMMYFUNCTION("""COMPUTED_VALUE"""),"Design;Heap (Priority Queue);Data Stream;Ordered Set;")</f>
        <v>Design;Heap (Priority Queue);Data Stream;Ordered Set;</v>
      </c>
      <c r="M2103" s="20" t="b">
        <f>IFERROR(__xludf.DUMMYFUNCTION("""COMPUTED_VALUE"""),FALSE)</f>
        <v>0</v>
      </c>
      <c r="N2103" s="20" t="b">
        <f>IFERROR(__xludf.DUMMYFUNCTION("""COMPUTED_VALUE"""),FALSE)</f>
        <v>0</v>
      </c>
      <c r="O2103" s="20">
        <f>IFERROR(__xludf.DUMMYFUNCTION("""COMPUTED_VALUE"""),66.053204907694)</f>
        <v>66.05320491</v>
      </c>
      <c r="P2103" s="20">
        <f>IFERROR(__xludf.DUMMYFUNCTION("""COMPUTED_VALUE"""),11521.0)</f>
        <v>11521</v>
      </c>
      <c r="Q2103" s="20">
        <f>IFERROR(__xludf.DUMMYFUNCTION("""COMPUTED_VALUE"""),17442.0)</f>
        <v>17442</v>
      </c>
    </row>
    <row r="2104">
      <c r="A2104" s="20">
        <f>IFERROR(__xludf.DUMMYFUNCTION("""COMPUTED_VALUE"""),2226.0)</f>
        <v>2226</v>
      </c>
      <c r="B2104" s="20" t="str">
        <f>IFERROR(__xludf.DUMMYFUNCTION("""COMPUTED_VALUE"""),"Rings and Rods")</f>
        <v>Rings and Rods</v>
      </c>
      <c r="C2104" s="20" t="str">
        <f>IFERROR(__xludf.DUMMYFUNCTION("""COMPUTED_VALUE"""),"rings-and-rods")</f>
        <v>rings-and-rods</v>
      </c>
      <c r="D2104" s="20" t="b">
        <f>IFERROR(__xludf.DUMMYFUNCTION("""COMPUTED_VALUE"""),FALSE)</f>
        <v>0</v>
      </c>
      <c r="E2104" s="20" t="str">
        <f>IFERROR(__xludf.DUMMYFUNCTION("""COMPUTED_VALUE"""),"Easy")</f>
        <v>Easy</v>
      </c>
      <c r="F2104" s="20">
        <f>IFERROR(__xludf.DUMMYFUNCTION("""COMPUTED_VALUE"""),657.0)</f>
        <v>657</v>
      </c>
      <c r="G2104" s="20">
        <f>IFERROR(__xludf.DUMMYFUNCTION("""COMPUTED_VALUE"""),13.0)</f>
        <v>13</v>
      </c>
      <c r="H2104" s="20" t="str">
        <f>IFERROR(__xludf.DUMMYFUNCTION("""COMPUTED_VALUE"""),"Algorithms")</f>
        <v>Algorithms</v>
      </c>
      <c r="I2104" s="20">
        <f>IFERROR(__xludf.DUMMYFUNCTION("""COMPUTED_VALUE"""),0.814)</f>
        <v>0.814</v>
      </c>
      <c r="J2104" s="20">
        <f>IFERROR(__xludf.DUMMYFUNCTION("""COMPUTED_VALUE"""),2103.0)</f>
        <v>2103</v>
      </c>
      <c r="K2104" s="20" t="b">
        <f>IFERROR(__xludf.DUMMYFUNCTION("""COMPUTED_VALUE"""),FALSE)</f>
        <v>0</v>
      </c>
      <c r="L2104" s="20" t="str">
        <f>IFERROR(__xludf.DUMMYFUNCTION("""COMPUTED_VALUE"""),"Hash Table;String;")</f>
        <v>Hash Table;String;</v>
      </c>
      <c r="M2104" s="20" t="b">
        <f>IFERROR(__xludf.DUMMYFUNCTION("""COMPUTED_VALUE"""),FALSE)</f>
        <v>0</v>
      </c>
      <c r="N2104" s="20" t="b">
        <f>IFERROR(__xludf.DUMMYFUNCTION("""COMPUTED_VALUE"""),FALSE)</f>
        <v>0</v>
      </c>
      <c r="O2104" s="20">
        <f>IFERROR(__xludf.DUMMYFUNCTION("""COMPUTED_VALUE"""),81.3981387855833)</f>
        <v>81.39813879</v>
      </c>
      <c r="P2104" s="20">
        <f>IFERROR(__xludf.DUMMYFUNCTION("""COMPUTED_VALUE"""),47495.0)</f>
        <v>47495</v>
      </c>
      <c r="Q2104" s="20">
        <f>IFERROR(__xludf.DUMMYFUNCTION("""COMPUTED_VALUE"""),58349.0)</f>
        <v>58349</v>
      </c>
    </row>
    <row r="2105">
      <c r="A2105" s="20">
        <f>IFERROR(__xludf.DUMMYFUNCTION("""COMPUTED_VALUE"""),2227.0)</f>
        <v>2227</v>
      </c>
      <c r="B2105" s="20" t="str">
        <f>IFERROR(__xludf.DUMMYFUNCTION("""COMPUTED_VALUE"""),"Sum of Subarray Ranges")</f>
        <v>Sum of Subarray Ranges</v>
      </c>
      <c r="C2105" s="20" t="str">
        <f>IFERROR(__xludf.DUMMYFUNCTION("""COMPUTED_VALUE"""),"sum-of-subarray-ranges")</f>
        <v>sum-of-subarray-ranges</v>
      </c>
      <c r="D2105" s="20" t="b">
        <f>IFERROR(__xludf.DUMMYFUNCTION("""COMPUTED_VALUE"""),FALSE)</f>
        <v>0</v>
      </c>
      <c r="E2105" s="20" t="str">
        <f>IFERROR(__xludf.DUMMYFUNCTION("""COMPUTED_VALUE"""),"Medium")</f>
        <v>Medium</v>
      </c>
      <c r="F2105" s="20">
        <f>IFERROR(__xludf.DUMMYFUNCTION("""COMPUTED_VALUE"""),1543.0)</f>
        <v>1543</v>
      </c>
      <c r="G2105" s="20">
        <f>IFERROR(__xludf.DUMMYFUNCTION("""COMPUTED_VALUE"""),83.0)</f>
        <v>83</v>
      </c>
      <c r="H2105" s="20" t="str">
        <f>IFERROR(__xludf.DUMMYFUNCTION("""COMPUTED_VALUE"""),"Algorithms")</f>
        <v>Algorithms</v>
      </c>
      <c r="I2105" s="20">
        <f>IFERROR(__xludf.DUMMYFUNCTION("""COMPUTED_VALUE"""),0.602)</f>
        <v>0.602</v>
      </c>
      <c r="J2105" s="20">
        <f>IFERROR(__xludf.DUMMYFUNCTION("""COMPUTED_VALUE"""),2104.0)</f>
        <v>2104</v>
      </c>
      <c r="K2105" s="20" t="b">
        <f>IFERROR(__xludf.DUMMYFUNCTION("""COMPUTED_VALUE"""),FALSE)</f>
        <v>0</v>
      </c>
      <c r="L2105" s="20" t="str">
        <f>IFERROR(__xludf.DUMMYFUNCTION("""COMPUTED_VALUE"""),"Array;Stack;Monotonic Stack;")</f>
        <v>Array;Stack;Monotonic Stack;</v>
      </c>
      <c r="M2105" s="20" t="b">
        <f>IFERROR(__xludf.DUMMYFUNCTION("""COMPUTED_VALUE"""),TRUE)</f>
        <v>1</v>
      </c>
      <c r="N2105" s="20" t="b">
        <f>IFERROR(__xludf.DUMMYFUNCTION("""COMPUTED_VALUE"""),FALSE)</f>
        <v>0</v>
      </c>
      <c r="O2105" s="20">
        <f>IFERROR(__xludf.DUMMYFUNCTION("""COMPUTED_VALUE"""),60.2282003884661)</f>
        <v>60.22820039</v>
      </c>
      <c r="P2105" s="20">
        <f>IFERROR(__xludf.DUMMYFUNCTION("""COMPUTED_VALUE"""),64183.0)</f>
        <v>64183</v>
      </c>
      <c r="Q2105" s="20">
        <f>IFERROR(__xludf.DUMMYFUNCTION("""COMPUTED_VALUE"""),106567.0)</f>
        <v>106567</v>
      </c>
    </row>
    <row r="2106">
      <c r="A2106" s="20">
        <f>IFERROR(__xludf.DUMMYFUNCTION("""COMPUTED_VALUE"""),2228.0)</f>
        <v>2228</v>
      </c>
      <c r="B2106" s="20" t="str">
        <f>IFERROR(__xludf.DUMMYFUNCTION("""COMPUTED_VALUE"""),"Watering Plants II")</f>
        <v>Watering Plants II</v>
      </c>
      <c r="C2106" s="20" t="str">
        <f>IFERROR(__xludf.DUMMYFUNCTION("""COMPUTED_VALUE"""),"watering-plants-ii")</f>
        <v>watering-plants-ii</v>
      </c>
      <c r="D2106" s="20" t="b">
        <f>IFERROR(__xludf.DUMMYFUNCTION("""COMPUTED_VALUE"""),FALSE)</f>
        <v>0</v>
      </c>
      <c r="E2106" s="20" t="str">
        <f>IFERROR(__xludf.DUMMYFUNCTION("""COMPUTED_VALUE"""),"Medium")</f>
        <v>Medium</v>
      </c>
      <c r="F2106" s="20">
        <f>IFERROR(__xludf.DUMMYFUNCTION("""COMPUTED_VALUE"""),194.0)</f>
        <v>194</v>
      </c>
      <c r="G2106" s="20">
        <f>IFERROR(__xludf.DUMMYFUNCTION("""COMPUTED_VALUE"""),140.0)</f>
        <v>140</v>
      </c>
      <c r="H2106" s="20" t="str">
        <f>IFERROR(__xludf.DUMMYFUNCTION("""COMPUTED_VALUE"""),"Algorithms")</f>
        <v>Algorithms</v>
      </c>
      <c r="I2106" s="20">
        <f>IFERROR(__xludf.DUMMYFUNCTION("""COMPUTED_VALUE"""),0.5)</f>
        <v>0.5</v>
      </c>
      <c r="J2106" s="20">
        <f>IFERROR(__xludf.DUMMYFUNCTION("""COMPUTED_VALUE"""),2105.0)</f>
        <v>2105</v>
      </c>
      <c r="K2106" s="20" t="b">
        <f>IFERROR(__xludf.DUMMYFUNCTION("""COMPUTED_VALUE"""),FALSE)</f>
        <v>0</v>
      </c>
      <c r="L2106" s="20" t="str">
        <f>IFERROR(__xludf.DUMMYFUNCTION("""COMPUTED_VALUE"""),"Array;Two Pointers;Simulation;")</f>
        <v>Array;Two Pointers;Simulation;</v>
      </c>
      <c r="M2106" s="20" t="b">
        <f>IFERROR(__xludf.DUMMYFUNCTION("""COMPUTED_VALUE"""),FALSE)</f>
        <v>0</v>
      </c>
      <c r="N2106" s="20" t="b">
        <f>IFERROR(__xludf.DUMMYFUNCTION("""COMPUTED_VALUE"""),FALSE)</f>
        <v>0</v>
      </c>
      <c r="O2106" s="20">
        <f>IFERROR(__xludf.DUMMYFUNCTION("""COMPUTED_VALUE"""),50.0381123969232)</f>
        <v>50.0381124</v>
      </c>
      <c r="P2106" s="20">
        <f>IFERROR(__xludf.DUMMYFUNCTION("""COMPUTED_VALUE"""),14441.0)</f>
        <v>14441</v>
      </c>
      <c r="Q2106" s="20">
        <f>IFERROR(__xludf.DUMMYFUNCTION("""COMPUTED_VALUE"""),28861.0)</f>
        <v>28861</v>
      </c>
    </row>
    <row r="2107">
      <c r="A2107" s="20">
        <f>IFERROR(__xludf.DUMMYFUNCTION("""COMPUTED_VALUE"""),2229.0)</f>
        <v>2229</v>
      </c>
      <c r="B2107" s="20" t="str">
        <f>IFERROR(__xludf.DUMMYFUNCTION("""COMPUTED_VALUE"""),"Maximum Fruits Harvested After at Most K Steps")</f>
        <v>Maximum Fruits Harvested After at Most K Steps</v>
      </c>
      <c r="C2107" s="20" t="str">
        <f>IFERROR(__xludf.DUMMYFUNCTION("""COMPUTED_VALUE"""),"maximum-fruits-harvested-after-at-most-k-steps")</f>
        <v>maximum-fruits-harvested-after-at-most-k-steps</v>
      </c>
      <c r="D2107" s="20" t="b">
        <f>IFERROR(__xludf.DUMMYFUNCTION("""COMPUTED_VALUE"""),FALSE)</f>
        <v>0</v>
      </c>
      <c r="E2107" s="20" t="str">
        <f>IFERROR(__xludf.DUMMYFUNCTION("""COMPUTED_VALUE"""),"Hard")</f>
        <v>Hard</v>
      </c>
      <c r="F2107" s="20">
        <f>IFERROR(__xludf.DUMMYFUNCTION("""COMPUTED_VALUE"""),413.0)</f>
        <v>413</v>
      </c>
      <c r="G2107" s="20">
        <f>IFERROR(__xludf.DUMMYFUNCTION("""COMPUTED_VALUE"""),15.0)</f>
        <v>15</v>
      </c>
      <c r="H2107" s="20" t="str">
        <f>IFERROR(__xludf.DUMMYFUNCTION("""COMPUTED_VALUE"""),"Algorithms")</f>
        <v>Algorithms</v>
      </c>
      <c r="I2107" s="20">
        <f>IFERROR(__xludf.DUMMYFUNCTION("""COMPUTED_VALUE"""),0.352)</f>
        <v>0.352</v>
      </c>
      <c r="J2107" s="20">
        <f>IFERROR(__xludf.DUMMYFUNCTION("""COMPUTED_VALUE"""),2106.0)</f>
        <v>2106</v>
      </c>
      <c r="K2107" s="20" t="b">
        <f>IFERROR(__xludf.DUMMYFUNCTION("""COMPUTED_VALUE"""),FALSE)</f>
        <v>0</v>
      </c>
      <c r="L2107" s="20" t="str">
        <f>IFERROR(__xludf.DUMMYFUNCTION("""COMPUTED_VALUE"""),"Array;Binary Search;Sliding Window;Prefix Sum;")</f>
        <v>Array;Binary Search;Sliding Window;Prefix Sum;</v>
      </c>
      <c r="M2107" s="20" t="b">
        <f>IFERROR(__xludf.DUMMYFUNCTION("""COMPUTED_VALUE"""),FALSE)</f>
        <v>0</v>
      </c>
      <c r="N2107" s="20" t="b">
        <f>IFERROR(__xludf.DUMMYFUNCTION("""COMPUTED_VALUE"""),FALSE)</f>
        <v>0</v>
      </c>
      <c r="O2107" s="20">
        <f>IFERROR(__xludf.DUMMYFUNCTION("""COMPUTED_VALUE"""),35.2380541659479)</f>
        <v>35.23805417</v>
      </c>
      <c r="P2107" s="20">
        <f>IFERROR(__xludf.DUMMYFUNCTION("""COMPUTED_VALUE"""),8171.0)</f>
        <v>8171</v>
      </c>
      <c r="Q2107" s="20">
        <f>IFERROR(__xludf.DUMMYFUNCTION("""COMPUTED_VALUE"""),23188.0)</f>
        <v>23188</v>
      </c>
    </row>
    <row r="2108">
      <c r="A2108" s="20">
        <f>IFERROR(__xludf.DUMMYFUNCTION("""COMPUTED_VALUE"""),2247.0)</f>
        <v>2247</v>
      </c>
      <c r="B2108" s="20" t="str">
        <f>IFERROR(__xludf.DUMMYFUNCTION("""COMPUTED_VALUE"""),"Number of Unique Flavors After Sharing K Candies")</f>
        <v>Number of Unique Flavors After Sharing K Candies</v>
      </c>
      <c r="C2108" s="20" t="str">
        <f>IFERROR(__xludf.DUMMYFUNCTION("""COMPUTED_VALUE"""),"number-of-unique-flavors-after-sharing-k-candies")</f>
        <v>number-of-unique-flavors-after-sharing-k-candies</v>
      </c>
      <c r="D2108" s="20" t="b">
        <f>IFERROR(__xludf.DUMMYFUNCTION("""COMPUTED_VALUE"""),TRUE)</f>
        <v>1</v>
      </c>
      <c r="E2108" s="20" t="str">
        <f>IFERROR(__xludf.DUMMYFUNCTION("""COMPUTED_VALUE"""),"Medium")</f>
        <v>Medium</v>
      </c>
      <c r="F2108" s="20">
        <f>IFERROR(__xludf.DUMMYFUNCTION("""COMPUTED_VALUE"""),57.0)</f>
        <v>57</v>
      </c>
      <c r="G2108" s="20">
        <f>IFERROR(__xludf.DUMMYFUNCTION("""COMPUTED_VALUE"""),2.0)</f>
        <v>2</v>
      </c>
      <c r="H2108" s="20" t="str">
        <f>IFERROR(__xludf.DUMMYFUNCTION("""COMPUTED_VALUE"""),"Algorithms")</f>
        <v>Algorithms</v>
      </c>
      <c r="I2108" s="20">
        <f>IFERROR(__xludf.DUMMYFUNCTION("""COMPUTED_VALUE"""),0.564)</f>
        <v>0.564</v>
      </c>
      <c r="J2108" s="20">
        <f>IFERROR(__xludf.DUMMYFUNCTION("""COMPUTED_VALUE"""),2107.0)</f>
        <v>2107</v>
      </c>
      <c r="K2108" s="20" t="b">
        <f>IFERROR(__xludf.DUMMYFUNCTION("""COMPUTED_VALUE"""),TRUE)</f>
        <v>1</v>
      </c>
      <c r="L2108" s="20" t="str">
        <f>IFERROR(__xludf.DUMMYFUNCTION("""COMPUTED_VALUE"""),"Array;Hash Table;Sliding Window;")</f>
        <v>Array;Hash Table;Sliding Window;</v>
      </c>
      <c r="M2108" s="20" t="b">
        <f>IFERROR(__xludf.DUMMYFUNCTION("""COMPUTED_VALUE"""),FALSE)</f>
        <v>0</v>
      </c>
      <c r="N2108" s="20" t="b">
        <f>IFERROR(__xludf.DUMMYFUNCTION("""COMPUTED_VALUE"""),FALSE)</f>
        <v>0</v>
      </c>
      <c r="O2108" s="20">
        <f>IFERROR(__xludf.DUMMYFUNCTION("""COMPUTED_VALUE"""),56.4248845422439)</f>
        <v>56.42488454</v>
      </c>
      <c r="P2108" s="20">
        <f>IFERROR(__xludf.DUMMYFUNCTION("""COMPUTED_VALUE"""),2077.0)</f>
        <v>2077</v>
      </c>
      <c r="Q2108" s="20">
        <f>IFERROR(__xludf.DUMMYFUNCTION("""COMPUTED_VALUE"""),3681.0)</f>
        <v>3681</v>
      </c>
    </row>
    <row r="2109">
      <c r="A2109" s="20">
        <f>IFERROR(__xludf.DUMMYFUNCTION("""COMPUTED_VALUE"""),2231.0)</f>
        <v>2231</v>
      </c>
      <c r="B2109" s="20" t="str">
        <f>IFERROR(__xludf.DUMMYFUNCTION("""COMPUTED_VALUE"""),"Find First Palindromic String in the Array")</f>
        <v>Find First Palindromic String in the Array</v>
      </c>
      <c r="C2109" s="20" t="str">
        <f>IFERROR(__xludf.DUMMYFUNCTION("""COMPUTED_VALUE"""),"find-first-palindromic-string-in-the-array")</f>
        <v>find-first-palindromic-string-in-the-array</v>
      </c>
      <c r="D2109" s="20" t="b">
        <f>IFERROR(__xludf.DUMMYFUNCTION("""COMPUTED_VALUE"""),FALSE)</f>
        <v>0</v>
      </c>
      <c r="E2109" s="20" t="str">
        <f>IFERROR(__xludf.DUMMYFUNCTION("""COMPUTED_VALUE"""),"Easy")</f>
        <v>Easy</v>
      </c>
      <c r="F2109" s="20">
        <f>IFERROR(__xludf.DUMMYFUNCTION("""COMPUTED_VALUE"""),674.0)</f>
        <v>674</v>
      </c>
      <c r="G2109" s="20">
        <f>IFERROR(__xludf.DUMMYFUNCTION("""COMPUTED_VALUE"""),24.0)</f>
        <v>24</v>
      </c>
      <c r="H2109" s="20" t="str">
        <f>IFERROR(__xludf.DUMMYFUNCTION("""COMPUTED_VALUE"""),"Algorithms")</f>
        <v>Algorithms</v>
      </c>
      <c r="I2109" s="20">
        <f>IFERROR(__xludf.DUMMYFUNCTION("""COMPUTED_VALUE"""),0.787)</f>
        <v>0.787</v>
      </c>
      <c r="J2109" s="20">
        <f>IFERROR(__xludf.DUMMYFUNCTION("""COMPUTED_VALUE"""),2108.0)</f>
        <v>2108</v>
      </c>
      <c r="K2109" s="20" t="b">
        <f>IFERROR(__xludf.DUMMYFUNCTION("""COMPUTED_VALUE"""),FALSE)</f>
        <v>0</v>
      </c>
      <c r="L2109" s="20" t="str">
        <f>IFERROR(__xludf.DUMMYFUNCTION("""COMPUTED_VALUE"""),"Array;Two Pointers;String;")</f>
        <v>Array;Two Pointers;String;</v>
      </c>
      <c r="M2109" s="20" t="b">
        <f>IFERROR(__xludf.DUMMYFUNCTION("""COMPUTED_VALUE"""),FALSE)</f>
        <v>0</v>
      </c>
      <c r="N2109" s="20" t="b">
        <f>IFERROR(__xludf.DUMMYFUNCTION("""COMPUTED_VALUE"""),FALSE)</f>
        <v>0</v>
      </c>
      <c r="O2109" s="20">
        <f>IFERROR(__xludf.DUMMYFUNCTION("""COMPUTED_VALUE"""),78.6515639523572)</f>
        <v>78.65156395</v>
      </c>
      <c r="P2109" s="20">
        <f>IFERROR(__xludf.DUMMYFUNCTION("""COMPUTED_VALUE"""),72769.0)</f>
        <v>72769</v>
      </c>
      <c r="Q2109" s="20">
        <f>IFERROR(__xludf.DUMMYFUNCTION("""COMPUTED_VALUE"""),92521.0)</f>
        <v>92521</v>
      </c>
    </row>
    <row r="2110">
      <c r="A2110" s="20">
        <f>IFERROR(__xludf.DUMMYFUNCTION("""COMPUTED_VALUE"""),2232.0)</f>
        <v>2232</v>
      </c>
      <c r="B2110" s="20" t="str">
        <f>IFERROR(__xludf.DUMMYFUNCTION("""COMPUTED_VALUE"""),"Adding Spaces to a String")</f>
        <v>Adding Spaces to a String</v>
      </c>
      <c r="C2110" s="20" t="str">
        <f>IFERROR(__xludf.DUMMYFUNCTION("""COMPUTED_VALUE"""),"adding-spaces-to-a-string")</f>
        <v>adding-spaces-to-a-string</v>
      </c>
      <c r="D2110" s="20" t="b">
        <f>IFERROR(__xludf.DUMMYFUNCTION("""COMPUTED_VALUE"""),FALSE)</f>
        <v>0</v>
      </c>
      <c r="E2110" s="20" t="str">
        <f>IFERROR(__xludf.DUMMYFUNCTION("""COMPUTED_VALUE"""),"Medium")</f>
        <v>Medium</v>
      </c>
      <c r="F2110" s="20">
        <f>IFERROR(__xludf.DUMMYFUNCTION("""COMPUTED_VALUE"""),372.0)</f>
        <v>372</v>
      </c>
      <c r="G2110" s="20">
        <f>IFERROR(__xludf.DUMMYFUNCTION("""COMPUTED_VALUE"""),39.0)</f>
        <v>39</v>
      </c>
      <c r="H2110" s="20" t="str">
        <f>IFERROR(__xludf.DUMMYFUNCTION("""COMPUTED_VALUE"""),"Algorithms")</f>
        <v>Algorithms</v>
      </c>
      <c r="I2110" s="20">
        <f>IFERROR(__xludf.DUMMYFUNCTION("""COMPUTED_VALUE"""),0.563)</f>
        <v>0.563</v>
      </c>
      <c r="J2110" s="20">
        <f>IFERROR(__xludf.DUMMYFUNCTION("""COMPUTED_VALUE"""),2109.0)</f>
        <v>2109</v>
      </c>
      <c r="K2110" s="20" t="b">
        <f>IFERROR(__xludf.DUMMYFUNCTION("""COMPUTED_VALUE"""),FALSE)</f>
        <v>0</v>
      </c>
      <c r="L2110" s="20" t="str">
        <f>IFERROR(__xludf.DUMMYFUNCTION("""COMPUTED_VALUE"""),"Array;String;Simulation;")</f>
        <v>Array;String;Simulation;</v>
      </c>
      <c r="M2110" s="20" t="b">
        <f>IFERROR(__xludf.DUMMYFUNCTION("""COMPUTED_VALUE"""),FALSE)</f>
        <v>0</v>
      </c>
      <c r="N2110" s="20" t="b">
        <f>IFERROR(__xludf.DUMMYFUNCTION("""COMPUTED_VALUE"""),FALSE)</f>
        <v>0</v>
      </c>
      <c r="O2110" s="20">
        <f>IFERROR(__xludf.DUMMYFUNCTION("""COMPUTED_VALUE"""),56.3197731312284)</f>
        <v>56.31977313</v>
      </c>
      <c r="P2110" s="20">
        <f>IFERROR(__xludf.DUMMYFUNCTION("""COMPUTED_VALUE"""),28198.0)</f>
        <v>28198</v>
      </c>
      <c r="Q2110" s="20">
        <f>IFERROR(__xludf.DUMMYFUNCTION("""COMPUTED_VALUE"""),50070.0)</f>
        <v>50070</v>
      </c>
    </row>
    <row r="2111">
      <c r="A2111" s="20">
        <f>IFERROR(__xludf.DUMMYFUNCTION("""COMPUTED_VALUE"""),2233.0)</f>
        <v>2233</v>
      </c>
      <c r="B2111" s="20" t="str">
        <f>IFERROR(__xludf.DUMMYFUNCTION("""COMPUTED_VALUE"""),"Number of Smooth Descent Periods of a Stock")</f>
        <v>Number of Smooth Descent Periods of a Stock</v>
      </c>
      <c r="C2111" s="20" t="str">
        <f>IFERROR(__xludf.DUMMYFUNCTION("""COMPUTED_VALUE"""),"number-of-smooth-descent-periods-of-a-stock")</f>
        <v>number-of-smooth-descent-periods-of-a-stock</v>
      </c>
      <c r="D2111" s="20" t="b">
        <f>IFERROR(__xludf.DUMMYFUNCTION("""COMPUTED_VALUE"""),FALSE)</f>
        <v>0</v>
      </c>
      <c r="E2111" s="20" t="str">
        <f>IFERROR(__xludf.DUMMYFUNCTION("""COMPUTED_VALUE"""),"Medium")</f>
        <v>Medium</v>
      </c>
      <c r="F2111" s="20">
        <f>IFERROR(__xludf.DUMMYFUNCTION("""COMPUTED_VALUE"""),491.0)</f>
        <v>491</v>
      </c>
      <c r="G2111" s="20">
        <f>IFERROR(__xludf.DUMMYFUNCTION("""COMPUTED_VALUE"""),20.0)</f>
        <v>20</v>
      </c>
      <c r="H2111" s="20" t="str">
        <f>IFERROR(__xludf.DUMMYFUNCTION("""COMPUTED_VALUE"""),"Algorithms")</f>
        <v>Algorithms</v>
      </c>
      <c r="I2111" s="20">
        <f>IFERROR(__xludf.DUMMYFUNCTION("""COMPUTED_VALUE"""),0.576)</f>
        <v>0.576</v>
      </c>
      <c r="J2111" s="20">
        <f>IFERROR(__xludf.DUMMYFUNCTION("""COMPUTED_VALUE"""),2110.0)</f>
        <v>2110</v>
      </c>
      <c r="K2111" s="20" t="b">
        <f>IFERROR(__xludf.DUMMYFUNCTION("""COMPUTED_VALUE"""),FALSE)</f>
        <v>0</v>
      </c>
      <c r="L2111" s="20" t="str">
        <f>IFERROR(__xludf.DUMMYFUNCTION("""COMPUTED_VALUE"""),"Array;Math;Dynamic Programming;")</f>
        <v>Array;Math;Dynamic Programming;</v>
      </c>
      <c r="M2111" s="20" t="b">
        <f>IFERROR(__xludf.DUMMYFUNCTION("""COMPUTED_VALUE"""),FALSE)</f>
        <v>0</v>
      </c>
      <c r="N2111" s="20" t="b">
        <f>IFERROR(__xludf.DUMMYFUNCTION("""COMPUTED_VALUE"""),FALSE)</f>
        <v>0</v>
      </c>
      <c r="O2111" s="20">
        <f>IFERROR(__xludf.DUMMYFUNCTION("""COMPUTED_VALUE"""),57.594298245614)</f>
        <v>57.59429825</v>
      </c>
      <c r="P2111" s="20">
        <f>IFERROR(__xludf.DUMMYFUNCTION("""COMPUTED_VALUE"""),26262.0)</f>
        <v>26262</v>
      </c>
      <c r="Q2111" s="20">
        <f>IFERROR(__xludf.DUMMYFUNCTION("""COMPUTED_VALUE"""),45598.0)</f>
        <v>45598</v>
      </c>
    </row>
    <row r="2112">
      <c r="A2112" s="20">
        <f>IFERROR(__xludf.DUMMYFUNCTION("""COMPUTED_VALUE"""),2234.0)</f>
        <v>2234</v>
      </c>
      <c r="B2112" s="20" t="str">
        <f>IFERROR(__xludf.DUMMYFUNCTION("""COMPUTED_VALUE"""),"Minimum Operations to Make the Array K-Increasing")</f>
        <v>Minimum Operations to Make the Array K-Increasing</v>
      </c>
      <c r="C2112" s="20" t="str">
        <f>IFERROR(__xludf.DUMMYFUNCTION("""COMPUTED_VALUE"""),"minimum-operations-to-make-the-array-k-increasing")</f>
        <v>minimum-operations-to-make-the-array-k-increasing</v>
      </c>
      <c r="D2112" s="20" t="b">
        <f>IFERROR(__xludf.DUMMYFUNCTION("""COMPUTED_VALUE"""),FALSE)</f>
        <v>0</v>
      </c>
      <c r="E2112" s="20" t="str">
        <f>IFERROR(__xludf.DUMMYFUNCTION("""COMPUTED_VALUE"""),"Hard")</f>
        <v>Hard</v>
      </c>
      <c r="F2112" s="20">
        <f>IFERROR(__xludf.DUMMYFUNCTION("""COMPUTED_VALUE"""),589.0)</f>
        <v>589</v>
      </c>
      <c r="G2112" s="20">
        <f>IFERROR(__xludf.DUMMYFUNCTION("""COMPUTED_VALUE"""),10.0)</f>
        <v>10</v>
      </c>
      <c r="H2112" s="20" t="str">
        <f>IFERROR(__xludf.DUMMYFUNCTION("""COMPUTED_VALUE"""),"Algorithms")</f>
        <v>Algorithms</v>
      </c>
      <c r="I2112" s="20">
        <f>IFERROR(__xludf.DUMMYFUNCTION("""COMPUTED_VALUE"""),0.378)</f>
        <v>0.378</v>
      </c>
      <c r="J2112" s="20">
        <f>IFERROR(__xludf.DUMMYFUNCTION("""COMPUTED_VALUE"""),2111.0)</f>
        <v>2111</v>
      </c>
      <c r="K2112" s="20" t="b">
        <f>IFERROR(__xludf.DUMMYFUNCTION("""COMPUTED_VALUE"""),FALSE)</f>
        <v>0</v>
      </c>
      <c r="L2112" s="20" t="str">
        <f>IFERROR(__xludf.DUMMYFUNCTION("""COMPUTED_VALUE"""),"Array;Binary Search;")</f>
        <v>Array;Binary Search;</v>
      </c>
      <c r="M2112" s="20" t="b">
        <f>IFERROR(__xludf.DUMMYFUNCTION("""COMPUTED_VALUE"""),FALSE)</f>
        <v>0</v>
      </c>
      <c r="N2112" s="20" t="b">
        <f>IFERROR(__xludf.DUMMYFUNCTION("""COMPUTED_VALUE"""),FALSE)</f>
        <v>0</v>
      </c>
      <c r="O2112" s="20">
        <f>IFERROR(__xludf.DUMMYFUNCTION("""COMPUTED_VALUE"""),37.8203272042855)</f>
        <v>37.8203272</v>
      </c>
      <c r="P2112" s="20">
        <f>IFERROR(__xludf.DUMMYFUNCTION("""COMPUTED_VALUE"""),10449.0)</f>
        <v>10449</v>
      </c>
      <c r="Q2112" s="20">
        <f>IFERROR(__xludf.DUMMYFUNCTION("""COMPUTED_VALUE"""),27628.0)</f>
        <v>27628</v>
      </c>
    </row>
    <row r="2113">
      <c r="A2113" s="20">
        <f>IFERROR(__xludf.DUMMYFUNCTION("""COMPUTED_VALUE"""),2252.0)</f>
        <v>2252</v>
      </c>
      <c r="B2113" s="20" t="str">
        <f>IFERROR(__xludf.DUMMYFUNCTION("""COMPUTED_VALUE"""),"The Airport With the Most Traffic")</f>
        <v>The Airport With the Most Traffic</v>
      </c>
      <c r="C2113" s="20" t="str">
        <f>IFERROR(__xludf.DUMMYFUNCTION("""COMPUTED_VALUE"""),"the-airport-with-the-most-traffic")</f>
        <v>the-airport-with-the-most-traffic</v>
      </c>
      <c r="D2113" s="20" t="b">
        <f>IFERROR(__xludf.DUMMYFUNCTION("""COMPUTED_VALUE"""),TRUE)</f>
        <v>1</v>
      </c>
      <c r="E2113" s="20" t="str">
        <f>IFERROR(__xludf.DUMMYFUNCTION("""COMPUTED_VALUE"""),"Medium")</f>
        <v>Medium</v>
      </c>
      <c r="F2113" s="20">
        <f>IFERROR(__xludf.DUMMYFUNCTION("""COMPUTED_VALUE"""),38.0)</f>
        <v>38</v>
      </c>
      <c r="G2113" s="20">
        <f>IFERROR(__xludf.DUMMYFUNCTION("""COMPUTED_VALUE"""),6.0)</f>
        <v>6</v>
      </c>
      <c r="H2113" s="20" t="str">
        <f>IFERROR(__xludf.DUMMYFUNCTION("""COMPUTED_VALUE"""),"Database")</f>
        <v>Database</v>
      </c>
      <c r="I2113" s="20">
        <f>IFERROR(__xludf.DUMMYFUNCTION("""COMPUTED_VALUE"""),0.714)</f>
        <v>0.714</v>
      </c>
      <c r="J2113" s="20">
        <f>IFERROR(__xludf.DUMMYFUNCTION("""COMPUTED_VALUE"""),2112.0)</f>
        <v>2112</v>
      </c>
      <c r="K2113" s="20" t="b">
        <f>IFERROR(__xludf.DUMMYFUNCTION("""COMPUTED_VALUE"""),TRUE)</f>
        <v>1</v>
      </c>
      <c r="L2113" s="20" t="str">
        <f>IFERROR(__xludf.DUMMYFUNCTION("""COMPUTED_VALUE"""),"Database;")</f>
        <v>Database;</v>
      </c>
      <c r="M2113" s="20" t="b">
        <f>IFERROR(__xludf.DUMMYFUNCTION("""COMPUTED_VALUE"""),FALSE)</f>
        <v>0</v>
      </c>
      <c r="N2113" s="20" t="b">
        <f>IFERROR(__xludf.DUMMYFUNCTION("""COMPUTED_VALUE"""),FALSE)</f>
        <v>0</v>
      </c>
      <c r="O2113" s="20">
        <f>IFERROR(__xludf.DUMMYFUNCTION("""COMPUTED_VALUE"""),71.4136904761904)</f>
        <v>71.41369048</v>
      </c>
      <c r="P2113" s="20">
        <f>IFERROR(__xludf.DUMMYFUNCTION("""COMPUTED_VALUE"""),4799.0)</f>
        <v>4799</v>
      </c>
      <c r="Q2113" s="20">
        <f>IFERROR(__xludf.DUMMYFUNCTION("""COMPUTED_VALUE"""),6720.0)</f>
        <v>6720</v>
      </c>
    </row>
    <row r="2114">
      <c r="A2114" s="20">
        <f>IFERROR(__xludf.DUMMYFUNCTION("""COMPUTED_VALUE"""),2258.0)</f>
        <v>2258</v>
      </c>
      <c r="B2114" s="20" t="str">
        <f>IFERROR(__xludf.DUMMYFUNCTION("""COMPUTED_VALUE"""),"Elements in Array After Removing and Replacing Elements")</f>
        <v>Elements in Array After Removing and Replacing Elements</v>
      </c>
      <c r="C2114" s="20" t="str">
        <f>IFERROR(__xludf.DUMMYFUNCTION("""COMPUTED_VALUE"""),"elements-in-array-after-removing-and-replacing-elements")</f>
        <v>elements-in-array-after-removing-and-replacing-elements</v>
      </c>
      <c r="D2114" s="20" t="b">
        <f>IFERROR(__xludf.DUMMYFUNCTION("""COMPUTED_VALUE"""),TRUE)</f>
        <v>1</v>
      </c>
      <c r="E2114" s="20" t="str">
        <f>IFERROR(__xludf.DUMMYFUNCTION("""COMPUTED_VALUE"""),"Medium")</f>
        <v>Medium</v>
      </c>
      <c r="F2114" s="20">
        <f>IFERROR(__xludf.DUMMYFUNCTION("""COMPUTED_VALUE"""),46.0)</f>
        <v>46</v>
      </c>
      <c r="G2114" s="20">
        <f>IFERROR(__xludf.DUMMYFUNCTION("""COMPUTED_VALUE"""),5.0)</f>
        <v>5</v>
      </c>
      <c r="H2114" s="20" t="str">
        <f>IFERROR(__xludf.DUMMYFUNCTION("""COMPUTED_VALUE"""),"Algorithms")</f>
        <v>Algorithms</v>
      </c>
      <c r="I2114" s="20">
        <f>IFERROR(__xludf.DUMMYFUNCTION("""COMPUTED_VALUE"""),0.728)</f>
        <v>0.728</v>
      </c>
      <c r="J2114" s="20">
        <f>IFERROR(__xludf.DUMMYFUNCTION("""COMPUTED_VALUE"""),2113.0)</f>
        <v>2113</v>
      </c>
      <c r="K2114" s="20" t="b">
        <f>IFERROR(__xludf.DUMMYFUNCTION("""COMPUTED_VALUE"""),TRUE)</f>
        <v>1</v>
      </c>
      <c r="L2114" s="20" t="str">
        <f>IFERROR(__xludf.DUMMYFUNCTION("""COMPUTED_VALUE"""),"Array;")</f>
        <v>Array;</v>
      </c>
      <c r="M2114" s="20" t="b">
        <f>IFERROR(__xludf.DUMMYFUNCTION("""COMPUTED_VALUE"""),FALSE)</f>
        <v>0</v>
      </c>
      <c r="N2114" s="20" t="b">
        <f>IFERROR(__xludf.DUMMYFUNCTION("""COMPUTED_VALUE"""),FALSE)</f>
        <v>0</v>
      </c>
      <c r="O2114" s="20">
        <f>IFERROR(__xludf.DUMMYFUNCTION("""COMPUTED_VALUE"""),72.7854855923159)</f>
        <v>72.78548559</v>
      </c>
      <c r="P2114" s="20">
        <f>IFERROR(__xludf.DUMMYFUNCTION("""COMPUTED_VALUE"""),1364.0)</f>
        <v>1364</v>
      </c>
      <c r="Q2114" s="20">
        <f>IFERROR(__xludf.DUMMYFUNCTION("""COMPUTED_VALUE"""),1874.0)</f>
        <v>1874</v>
      </c>
    </row>
    <row r="2115">
      <c r="A2115" s="20">
        <f>IFERROR(__xludf.DUMMYFUNCTION("""COMPUTED_VALUE"""),2219.0)</f>
        <v>2219</v>
      </c>
      <c r="B2115" s="20" t="str">
        <f>IFERROR(__xludf.DUMMYFUNCTION("""COMPUTED_VALUE"""),"Maximum Number of Words Found in Sentences")</f>
        <v>Maximum Number of Words Found in Sentences</v>
      </c>
      <c r="C2115" s="20" t="str">
        <f>IFERROR(__xludf.DUMMYFUNCTION("""COMPUTED_VALUE"""),"maximum-number-of-words-found-in-sentences")</f>
        <v>maximum-number-of-words-found-in-sentences</v>
      </c>
      <c r="D2115" s="20" t="b">
        <f>IFERROR(__xludf.DUMMYFUNCTION("""COMPUTED_VALUE"""),FALSE)</f>
        <v>0</v>
      </c>
      <c r="E2115" s="20" t="str">
        <f>IFERROR(__xludf.DUMMYFUNCTION("""COMPUTED_VALUE"""),"Easy")</f>
        <v>Easy</v>
      </c>
      <c r="F2115" s="20">
        <f>IFERROR(__xludf.DUMMYFUNCTION("""COMPUTED_VALUE"""),1119.0)</f>
        <v>1119</v>
      </c>
      <c r="G2115" s="20">
        <f>IFERROR(__xludf.DUMMYFUNCTION("""COMPUTED_VALUE"""),32.0)</f>
        <v>32</v>
      </c>
      <c r="H2115" s="20" t="str">
        <f>IFERROR(__xludf.DUMMYFUNCTION("""COMPUTED_VALUE"""),"Algorithms")</f>
        <v>Algorithms</v>
      </c>
      <c r="I2115" s="20">
        <f>IFERROR(__xludf.DUMMYFUNCTION("""COMPUTED_VALUE"""),0.878)</f>
        <v>0.878</v>
      </c>
      <c r="J2115" s="20">
        <f>IFERROR(__xludf.DUMMYFUNCTION("""COMPUTED_VALUE"""),2114.0)</f>
        <v>2114</v>
      </c>
      <c r="K2115" s="20" t="b">
        <f>IFERROR(__xludf.DUMMYFUNCTION("""COMPUTED_VALUE"""),FALSE)</f>
        <v>0</v>
      </c>
      <c r="L2115" s="20" t="str">
        <f>IFERROR(__xludf.DUMMYFUNCTION("""COMPUTED_VALUE"""),"Array;String;")</f>
        <v>Array;String;</v>
      </c>
      <c r="M2115" s="20" t="b">
        <f>IFERROR(__xludf.DUMMYFUNCTION("""COMPUTED_VALUE"""),FALSE)</f>
        <v>0</v>
      </c>
      <c r="N2115" s="20" t="b">
        <f>IFERROR(__xludf.DUMMYFUNCTION("""COMPUTED_VALUE"""),FALSE)</f>
        <v>0</v>
      </c>
      <c r="O2115" s="20">
        <f>IFERROR(__xludf.DUMMYFUNCTION("""COMPUTED_VALUE"""),87.8278617594576)</f>
        <v>87.82786176</v>
      </c>
      <c r="P2115" s="20">
        <f>IFERROR(__xludf.DUMMYFUNCTION("""COMPUTED_VALUE"""),147155.0)</f>
        <v>147155</v>
      </c>
      <c r="Q2115" s="20">
        <f>IFERROR(__xludf.DUMMYFUNCTION("""COMPUTED_VALUE"""),167540.0)</f>
        <v>167540</v>
      </c>
    </row>
    <row r="2116">
      <c r="A2116" s="20">
        <f>IFERROR(__xludf.DUMMYFUNCTION("""COMPUTED_VALUE"""),2220.0)</f>
        <v>2220</v>
      </c>
      <c r="B2116" s="20" t="str">
        <f>IFERROR(__xludf.DUMMYFUNCTION("""COMPUTED_VALUE"""),"Find All Possible Recipes from Given Supplies")</f>
        <v>Find All Possible Recipes from Given Supplies</v>
      </c>
      <c r="C2116" s="20" t="str">
        <f>IFERROR(__xludf.DUMMYFUNCTION("""COMPUTED_VALUE"""),"find-all-possible-recipes-from-given-supplies")</f>
        <v>find-all-possible-recipes-from-given-supplies</v>
      </c>
      <c r="D2116" s="20" t="b">
        <f>IFERROR(__xludf.DUMMYFUNCTION("""COMPUTED_VALUE"""),FALSE)</f>
        <v>0</v>
      </c>
      <c r="E2116" s="20" t="str">
        <f>IFERROR(__xludf.DUMMYFUNCTION("""COMPUTED_VALUE"""),"Medium")</f>
        <v>Medium</v>
      </c>
      <c r="F2116" s="20">
        <f>IFERROR(__xludf.DUMMYFUNCTION("""COMPUTED_VALUE"""),1337.0)</f>
        <v>1337</v>
      </c>
      <c r="G2116" s="20">
        <f>IFERROR(__xludf.DUMMYFUNCTION("""COMPUTED_VALUE"""),75.0)</f>
        <v>75</v>
      </c>
      <c r="H2116" s="20" t="str">
        <f>IFERROR(__xludf.DUMMYFUNCTION("""COMPUTED_VALUE"""),"Algorithms")</f>
        <v>Algorithms</v>
      </c>
      <c r="I2116" s="20">
        <f>IFERROR(__xludf.DUMMYFUNCTION("""COMPUTED_VALUE"""),0.486)</f>
        <v>0.486</v>
      </c>
      <c r="J2116" s="20">
        <f>IFERROR(__xludf.DUMMYFUNCTION("""COMPUTED_VALUE"""),2115.0)</f>
        <v>2115</v>
      </c>
      <c r="K2116" s="20" t="b">
        <f>IFERROR(__xludf.DUMMYFUNCTION("""COMPUTED_VALUE"""),FALSE)</f>
        <v>0</v>
      </c>
      <c r="L2116" s="20" t="str">
        <f>IFERROR(__xludf.DUMMYFUNCTION("""COMPUTED_VALUE"""),"Array;Hash Table;String;Graph;Topological Sort;")</f>
        <v>Array;Hash Table;String;Graph;Topological Sort;</v>
      </c>
      <c r="M2116" s="20" t="b">
        <f>IFERROR(__xludf.DUMMYFUNCTION("""COMPUTED_VALUE"""),FALSE)</f>
        <v>0</v>
      </c>
      <c r="N2116" s="20" t="b">
        <f>IFERROR(__xludf.DUMMYFUNCTION("""COMPUTED_VALUE"""),FALSE)</f>
        <v>0</v>
      </c>
      <c r="O2116" s="20">
        <f>IFERROR(__xludf.DUMMYFUNCTION("""COMPUTED_VALUE"""),48.5621308906833)</f>
        <v>48.56213089</v>
      </c>
      <c r="P2116" s="20">
        <f>IFERROR(__xludf.DUMMYFUNCTION("""COMPUTED_VALUE"""),60438.0)</f>
        <v>60438</v>
      </c>
      <c r="Q2116" s="20">
        <f>IFERROR(__xludf.DUMMYFUNCTION("""COMPUTED_VALUE"""),124454.0)</f>
        <v>124454</v>
      </c>
    </row>
    <row r="2117">
      <c r="A2117" s="20">
        <f>IFERROR(__xludf.DUMMYFUNCTION("""COMPUTED_VALUE"""),2221.0)</f>
        <v>2221</v>
      </c>
      <c r="B2117" s="20" t="str">
        <f>IFERROR(__xludf.DUMMYFUNCTION("""COMPUTED_VALUE"""),"Check if a Parentheses String Can Be Valid")</f>
        <v>Check if a Parentheses String Can Be Valid</v>
      </c>
      <c r="C2117" s="20" t="str">
        <f>IFERROR(__xludf.DUMMYFUNCTION("""COMPUTED_VALUE"""),"check-if-a-parentheses-string-can-be-valid")</f>
        <v>check-if-a-parentheses-string-can-be-valid</v>
      </c>
      <c r="D2117" s="20" t="b">
        <f>IFERROR(__xludf.DUMMYFUNCTION("""COMPUTED_VALUE"""),FALSE)</f>
        <v>0</v>
      </c>
      <c r="E2117" s="20" t="str">
        <f>IFERROR(__xludf.DUMMYFUNCTION("""COMPUTED_VALUE"""),"Medium")</f>
        <v>Medium</v>
      </c>
      <c r="F2117" s="20">
        <f>IFERROR(__xludf.DUMMYFUNCTION("""COMPUTED_VALUE"""),791.0)</f>
        <v>791</v>
      </c>
      <c r="G2117" s="20">
        <f>IFERROR(__xludf.DUMMYFUNCTION("""COMPUTED_VALUE"""),26.0)</f>
        <v>26</v>
      </c>
      <c r="H2117" s="20" t="str">
        <f>IFERROR(__xludf.DUMMYFUNCTION("""COMPUTED_VALUE"""),"Algorithms")</f>
        <v>Algorithms</v>
      </c>
      <c r="I2117" s="20">
        <f>IFERROR(__xludf.DUMMYFUNCTION("""COMPUTED_VALUE"""),0.314)</f>
        <v>0.314</v>
      </c>
      <c r="J2117" s="20">
        <f>IFERROR(__xludf.DUMMYFUNCTION("""COMPUTED_VALUE"""),2116.0)</f>
        <v>2116</v>
      </c>
      <c r="K2117" s="20" t="b">
        <f>IFERROR(__xludf.DUMMYFUNCTION("""COMPUTED_VALUE"""),FALSE)</f>
        <v>0</v>
      </c>
      <c r="L2117" s="20" t="str">
        <f>IFERROR(__xludf.DUMMYFUNCTION("""COMPUTED_VALUE"""),"String;Stack;Greedy;")</f>
        <v>String;Stack;Greedy;</v>
      </c>
      <c r="M2117" s="20" t="b">
        <f>IFERROR(__xludf.DUMMYFUNCTION("""COMPUTED_VALUE"""),FALSE)</f>
        <v>0</v>
      </c>
      <c r="N2117" s="20" t="b">
        <f>IFERROR(__xludf.DUMMYFUNCTION("""COMPUTED_VALUE"""),FALSE)</f>
        <v>0</v>
      </c>
      <c r="O2117" s="20">
        <f>IFERROR(__xludf.DUMMYFUNCTION("""COMPUTED_VALUE"""),31.3641222053977)</f>
        <v>31.36412221</v>
      </c>
      <c r="P2117" s="20">
        <f>IFERROR(__xludf.DUMMYFUNCTION("""COMPUTED_VALUE"""),14085.0)</f>
        <v>14085</v>
      </c>
      <c r="Q2117" s="20">
        <f>IFERROR(__xludf.DUMMYFUNCTION("""COMPUTED_VALUE"""),44908.0)</f>
        <v>44908</v>
      </c>
    </row>
    <row r="2118">
      <c r="A2118" s="20">
        <f>IFERROR(__xludf.DUMMYFUNCTION("""COMPUTED_VALUE"""),2222.0)</f>
        <v>2222</v>
      </c>
      <c r="B2118" s="20" t="str">
        <f>IFERROR(__xludf.DUMMYFUNCTION("""COMPUTED_VALUE"""),"Abbreviating the Product of a Range")</f>
        <v>Abbreviating the Product of a Range</v>
      </c>
      <c r="C2118" s="20" t="str">
        <f>IFERROR(__xludf.DUMMYFUNCTION("""COMPUTED_VALUE"""),"abbreviating-the-product-of-a-range")</f>
        <v>abbreviating-the-product-of-a-range</v>
      </c>
      <c r="D2118" s="20" t="b">
        <f>IFERROR(__xludf.DUMMYFUNCTION("""COMPUTED_VALUE"""),FALSE)</f>
        <v>0</v>
      </c>
      <c r="E2118" s="20" t="str">
        <f>IFERROR(__xludf.DUMMYFUNCTION("""COMPUTED_VALUE"""),"Hard")</f>
        <v>Hard</v>
      </c>
      <c r="F2118" s="20">
        <f>IFERROR(__xludf.DUMMYFUNCTION("""COMPUTED_VALUE"""),71.0)</f>
        <v>71</v>
      </c>
      <c r="G2118" s="20">
        <f>IFERROR(__xludf.DUMMYFUNCTION("""COMPUTED_VALUE"""),118.0)</f>
        <v>118</v>
      </c>
      <c r="H2118" s="20" t="str">
        <f>IFERROR(__xludf.DUMMYFUNCTION("""COMPUTED_VALUE"""),"Algorithms")</f>
        <v>Algorithms</v>
      </c>
      <c r="I2118" s="20">
        <f>IFERROR(__xludf.DUMMYFUNCTION("""COMPUTED_VALUE"""),0.279)</f>
        <v>0.279</v>
      </c>
      <c r="J2118" s="20">
        <f>IFERROR(__xludf.DUMMYFUNCTION("""COMPUTED_VALUE"""),2117.0)</f>
        <v>2117</v>
      </c>
      <c r="K2118" s="20" t="b">
        <f>IFERROR(__xludf.DUMMYFUNCTION("""COMPUTED_VALUE"""),FALSE)</f>
        <v>0</v>
      </c>
      <c r="L2118" s="20" t="str">
        <f>IFERROR(__xludf.DUMMYFUNCTION("""COMPUTED_VALUE"""),"Math;")</f>
        <v>Math;</v>
      </c>
      <c r="M2118" s="20" t="b">
        <f>IFERROR(__xludf.DUMMYFUNCTION("""COMPUTED_VALUE"""),FALSE)</f>
        <v>0</v>
      </c>
      <c r="N2118" s="20" t="b">
        <f>IFERROR(__xludf.DUMMYFUNCTION("""COMPUTED_VALUE"""),FALSE)</f>
        <v>0</v>
      </c>
      <c r="O2118" s="20">
        <f>IFERROR(__xludf.DUMMYFUNCTION("""COMPUTED_VALUE"""),27.932518115942)</f>
        <v>27.93251812</v>
      </c>
      <c r="P2118" s="20">
        <f>IFERROR(__xludf.DUMMYFUNCTION("""COMPUTED_VALUE"""),2467.0)</f>
        <v>2467</v>
      </c>
      <c r="Q2118" s="20">
        <f>IFERROR(__xludf.DUMMYFUNCTION("""COMPUTED_VALUE"""),8832.0)</f>
        <v>8832</v>
      </c>
    </row>
    <row r="2119">
      <c r="A2119" s="20">
        <f>IFERROR(__xludf.DUMMYFUNCTION("""COMPUTED_VALUE"""),2253.0)</f>
        <v>2253</v>
      </c>
      <c r="B2119" s="20" t="str">
        <f>IFERROR(__xludf.DUMMYFUNCTION("""COMPUTED_VALUE"""),"Build the Equation")</f>
        <v>Build the Equation</v>
      </c>
      <c r="C2119" s="20" t="str">
        <f>IFERROR(__xludf.DUMMYFUNCTION("""COMPUTED_VALUE"""),"build-the-equation")</f>
        <v>build-the-equation</v>
      </c>
      <c r="D2119" s="20" t="b">
        <f>IFERROR(__xludf.DUMMYFUNCTION("""COMPUTED_VALUE"""),TRUE)</f>
        <v>1</v>
      </c>
      <c r="E2119" s="20" t="str">
        <f>IFERROR(__xludf.DUMMYFUNCTION("""COMPUTED_VALUE"""),"Hard")</f>
        <v>Hard</v>
      </c>
      <c r="F2119" s="20">
        <f>IFERROR(__xludf.DUMMYFUNCTION("""COMPUTED_VALUE"""),15.0)</f>
        <v>15</v>
      </c>
      <c r="G2119" s="20">
        <f>IFERROR(__xludf.DUMMYFUNCTION("""COMPUTED_VALUE"""),26.0)</f>
        <v>26</v>
      </c>
      <c r="H2119" s="20" t="str">
        <f>IFERROR(__xludf.DUMMYFUNCTION("""COMPUTED_VALUE"""),"Database")</f>
        <v>Database</v>
      </c>
      <c r="I2119" s="20">
        <f>IFERROR(__xludf.DUMMYFUNCTION("""COMPUTED_VALUE"""),0.571)</f>
        <v>0.571</v>
      </c>
      <c r="J2119" s="20">
        <f>IFERROR(__xludf.DUMMYFUNCTION("""COMPUTED_VALUE"""),2118.0)</f>
        <v>2118</v>
      </c>
      <c r="K2119" s="20" t="b">
        <f>IFERROR(__xludf.DUMMYFUNCTION("""COMPUTED_VALUE"""),TRUE)</f>
        <v>1</v>
      </c>
      <c r="L2119" s="20" t="str">
        <f>IFERROR(__xludf.DUMMYFUNCTION("""COMPUTED_VALUE"""),"Database;")</f>
        <v>Database;</v>
      </c>
      <c r="M2119" s="20" t="b">
        <f>IFERROR(__xludf.DUMMYFUNCTION("""COMPUTED_VALUE"""),FALSE)</f>
        <v>0</v>
      </c>
      <c r="N2119" s="20" t="b">
        <f>IFERROR(__xludf.DUMMYFUNCTION("""COMPUTED_VALUE"""),FALSE)</f>
        <v>0</v>
      </c>
      <c r="O2119" s="20">
        <f>IFERROR(__xludf.DUMMYFUNCTION("""COMPUTED_VALUE"""),57.0719602977667)</f>
        <v>57.0719603</v>
      </c>
      <c r="P2119" s="20">
        <f>IFERROR(__xludf.DUMMYFUNCTION("""COMPUTED_VALUE"""),1380.0)</f>
        <v>1380</v>
      </c>
      <c r="Q2119" s="20">
        <f>IFERROR(__xludf.DUMMYFUNCTION("""COMPUTED_VALUE"""),2418.0)</f>
        <v>2418</v>
      </c>
    </row>
    <row r="2120">
      <c r="A2120" s="20">
        <f>IFERROR(__xludf.DUMMYFUNCTION("""COMPUTED_VALUE"""),2238.0)</f>
        <v>2238</v>
      </c>
      <c r="B2120" s="20" t="str">
        <f>IFERROR(__xludf.DUMMYFUNCTION("""COMPUTED_VALUE"""),"A Number After a Double Reversal")</f>
        <v>A Number After a Double Reversal</v>
      </c>
      <c r="C2120" s="20" t="str">
        <f>IFERROR(__xludf.DUMMYFUNCTION("""COMPUTED_VALUE"""),"a-number-after-a-double-reversal")</f>
        <v>a-number-after-a-double-reversal</v>
      </c>
      <c r="D2120" s="20" t="b">
        <f>IFERROR(__xludf.DUMMYFUNCTION("""COMPUTED_VALUE"""),FALSE)</f>
        <v>0</v>
      </c>
      <c r="E2120" s="20" t="str">
        <f>IFERROR(__xludf.DUMMYFUNCTION("""COMPUTED_VALUE"""),"Easy")</f>
        <v>Easy</v>
      </c>
      <c r="F2120" s="20">
        <f>IFERROR(__xludf.DUMMYFUNCTION("""COMPUTED_VALUE"""),425.0)</f>
        <v>425</v>
      </c>
      <c r="G2120" s="20">
        <f>IFERROR(__xludf.DUMMYFUNCTION("""COMPUTED_VALUE"""),25.0)</f>
        <v>25</v>
      </c>
      <c r="H2120" s="20" t="str">
        <f>IFERROR(__xludf.DUMMYFUNCTION("""COMPUTED_VALUE"""),"Algorithms")</f>
        <v>Algorithms</v>
      </c>
      <c r="I2120" s="20">
        <f>IFERROR(__xludf.DUMMYFUNCTION("""COMPUTED_VALUE"""),0.761)</f>
        <v>0.761</v>
      </c>
      <c r="J2120" s="20">
        <f>IFERROR(__xludf.DUMMYFUNCTION("""COMPUTED_VALUE"""),2119.0)</f>
        <v>2119</v>
      </c>
      <c r="K2120" s="20" t="b">
        <f>IFERROR(__xludf.DUMMYFUNCTION("""COMPUTED_VALUE"""),FALSE)</f>
        <v>0</v>
      </c>
      <c r="L2120" s="20" t="str">
        <f>IFERROR(__xludf.DUMMYFUNCTION("""COMPUTED_VALUE"""),"Math;")</f>
        <v>Math;</v>
      </c>
      <c r="M2120" s="20" t="b">
        <f>IFERROR(__xludf.DUMMYFUNCTION("""COMPUTED_VALUE"""),FALSE)</f>
        <v>0</v>
      </c>
      <c r="N2120" s="20" t="b">
        <f>IFERROR(__xludf.DUMMYFUNCTION("""COMPUTED_VALUE"""),FALSE)</f>
        <v>0</v>
      </c>
      <c r="O2120" s="20">
        <f>IFERROR(__xludf.DUMMYFUNCTION("""COMPUTED_VALUE"""),76.0941907267137)</f>
        <v>76.09419073</v>
      </c>
      <c r="P2120" s="20">
        <f>IFERROR(__xludf.DUMMYFUNCTION("""COMPUTED_VALUE"""),48020.0)</f>
        <v>48020</v>
      </c>
      <c r="Q2120" s="20">
        <f>IFERROR(__xludf.DUMMYFUNCTION("""COMPUTED_VALUE"""),63106.0)</f>
        <v>63106</v>
      </c>
    </row>
    <row r="2121">
      <c r="A2121" s="20">
        <f>IFERROR(__xludf.DUMMYFUNCTION("""COMPUTED_VALUE"""),2239.0)</f>
        <v>2239</v>
      </c>
      <c r="B2121" s="20" t="str">
        <f>IFERROR(__xludf.DUMMYFUNCTION("""COMPUTED_VALUE"""),"Execution of All Suffix Instructions Staying in a Grid")</f>
        <v>Execution of All Suffix Instructions Staying in a Grid</v>
      </c>
      <c r="C2121" s="20" t="str">
        <f>IFERROR(__xludf.DUMMYFUNCTION("""COMPUTED_VALUE"""),"execution-of-all-suffix-instructions-staying-in-a-grid")</f>
        <v>execution-of-all-suffix-instructions-staying-in-a-grid</v>
      </c>
      <c r="D2121" s="20" t="b">
        <f>IFERROR(__xludf.DUMMYFUNCTION("""COMPUTED_VALUE"""),FALSE)</f>
        <v>0</v>
      </c>
      <c r="E2121" s="20" t="str">
        <f>IFERROR(__xludf.DUMMYFUNCTION("""COMPUTED_VALUE"""),"Medium")</f>
        <v>Medium</v>
      </c>
      <c r="F2121" s="20">
        <f>IFERROR(__xludf.DUMMYFUNCTION("""COMPUTED_VALUE"""),387.0)</f>
        <v>387</v>
      </c>
      <c r="G2121" s="20">
        <f>IFERROR(__xludf.DUMMYFUNCTION("""COMPUTED_VALUE"""),37.0)</f>
        <v>37</v>
      </c>
      <c r="H2121" s="20" t="str">
        <f>IFERROR(__xludf.DUMMYFUNCTION("""COMPUTED_VALUE"""),"Algorithms")</f>
        <v>Algorithms</v>
      </c>
      <c r="I2121" s="20">
        <f>IFERROR(__xludf.DUMMYFUNCTION("""COMPUTED_VALUE"""),0.835)</f>
        <v>0.835</v>
      </c>
      <c r="J2121" s="20">
        <f>IFERROR(__xludf.DUMMYFUNCTION("""COMPUTED_VALUE"""),2120.0)</f>
        <v>2120</v>
      </c>
      <c r="K2121" s="20" t="b">
        <f>IFERROR(__xludf.DUMMYFUNCTION("""COMPUTED_VALUE"""),FALSE)</f>
        <v>0</v>
      </c>
      <c r="L2121" s="20" t="str">
        <f>IFERROR(__xludf.DUMMYFUNCTION("""COMPUTED_VALUE"""),"String;Simulation;")</f>
        <v>String;Simulation;</v>
      </c>
      <c r="M2121" s="20" t="b">
        <f>IFERROR(__xludf.DUMMYFUNCTION("""COMPUTED_VALUE"""),FALSE)</f>
        <v>0</v>
      </c>
      <c r="N2121" s="20" t="b">
        <f>IFERROR(__xludf.DUMMYFUNCTION("""COMPUTED_VALUE"""),FALSE)</f>
        <v>0</v>
      </c>
      <c r="O2121" s="20">
        <f>IFERROR(__xludf.DUMMYFUNCTION("""COMPUTED_VALUE"""),83.5403244585888)</f>
        <v>83.54032446</v>
      </c>
      <c r="P2121" s="20">
        <f>IFERROR(__xludf.DUMMYFUNCTION("""COMPUTED_VALUE"""),21525.0)</f>
        <v>21525</v>
      </c>
      <c r="Q2121" s="20">
        <f>IFERROR(__xludf.DUMMYFUNCTION("""COMPUTED_VALUE"""),25766.0)</f>
        <v>25766</v>
      </c>
    </row>
    <row r="2122">
      <c r="A2122" s="20">
        <f>IFERROR(__xludf.DUMMYFUNCTION("""COMPUTED_VALUE"""),2240.0)</f>
        <v>2240</v>
      </c>
      <c r="B2122" s="20" t="str">
        <f>IFERROR(__xludf.DUMMYFUNCTION("""COMPUTED_VALUE"""),"Intervals Between Identical Elements")</f>
        <v>Intervals Between Identical Elements</v>
      </c>
      <c r="C2122" s="20" t="str">
        <f>IFERROR(__xludf.DUMMYFUNCTION("""COMPUTED_VALUE"""),"intervals-between-identical-elements")</f>
        <v>intervals-between-identical-elements</v>
      </c>
      <c r="D2122" s="20" t="b">
        <f>IFERROR(__xludf.DUMMYFUNCTION("""COMPUTED_VALUE"""),FALSE)</f>
        <v>0</v>
      </c>
      <c r="E2122" s="20" t="str">
        <f>IFERROR(__xludf.DUMMYFUNCTION("""COMPUTED_VALUE"""),"Medium")</f>
        <v>Medium</v>
      </c>
      <c r="F2122" s="20">
        <f>IFERROR(__xludf.DUMMYFUNCTION("""COMPUTED_VALUE"""),676.0)</f>
        <v>676</v>
      </c>
      <c r="G2122" s="20">
        <f>IFERROR(__xludf.DUMMYFUNCTION("""COMPUTED_VALUE"""),27.0)</f>
        <v>27</v>
      </c>
      <c r="H2122" s="20" t="str">
        <f>IFERROR(__xludf.DUMMYFUNCTION("""COMPUTED_VALUE"""),"Algorithms")</f>
        <v>Algorithms</v>
      </c>
      <c r="I2122" s="20">
        <f>IFERROR(__xludf.DUMMYFUNCTION("""COMPUTED_VALUE"""),0.433)</f>
        <v>0.433</v>
      </c>
      <c r="J2122" s="20">
        <f>IFERROR(__xludf.DUMMYFUNCTION("""COMPUTED_VALUE"""),2121.0)</f>
        <v>2121</v>
      </c>
      <c r="K2122" s="20" t="b">
        <f>IFERROR(__xludf.DUMMYFUNCTION("""COMPUTED_VALUE"""),FALSE)</f>
        <v>0</v>
      </c>
      <c r="L2122" s="20" t="str">
        <f>IFERROR(__xludf.DUMMYFUNCTION("""COMPUTED_VALUE"""),"Array;Hash Table;Prefix Sum;")</f>
        <v>Array;Hash Table;Prefix Sum;</v>
      </c>
      <c r="M2122" s="20" t="b">
        <f>IFERROR(__xludf.DUMMYFUNCTION("""COMPUTED_VALUE"""),FALSE)</f>
        <v>0</v>
      </c>
      <c r="N2122" s="20" t="b">
        <f>IFERROR(__xludf.DUMMYFUNCTION("""COMPUTED_VALUE"""),FALSE)</f>
        <v>0</v>
      </c>
      <c r="O2122" s="20">
        <f>IFERROR(__xludf.DUMMYFUNCTION("""COMPUTED_VALUE"""),43.3033461001751)</f>
        <v>43.3033461</v>
      </c>
      <c r="P2122" s="20">
        <f>IFERROR(__xludf.DUMMYFUNCTION("""COMPUTED_VALUE"""),14584.0)</f>
        <v>14584</v>
      </c>
      <c r="Q2122" s="20">
        <f>IFERROR(__xludf.DUMMYFUNCTION("""COMPUTED_VALUE"""),33680.0)</f>
        <v>33680</v>
      </c>
    </row>
    <row r="2123">
      <c r="A2123" s="20">
        <f>IFERROR(__xludf.DUMMYFUNCTION("""COMPUTED_VALUE"""),2241.0)</f>
        <v>2241</v>
      </c>
      <c r="B2123" s="20" t="str">
        <f>IFERROR(__xludf.DUMMYFUNCTION("""COMPUTED_VALUE"""),"Recover the Original Array")</f>
        <v>Recover the Original Array</v>
      </c>
      <c r="C2123" s="20" t="str">
        <f>IFERROR(__xludf.DUMMYFUNCTION("""COMPUTED_VALUE"""),"recover-the-original-array")</f>
        <v>recover-the-original-array</v>
      </c>
      <c r="D2123" s="20" t="b">
        <f>IFERROR(__xludf.DUMMYFUNCTION("""COMPUTED_VALUE"""),FALSE)</f>
        <v>0</v>
      </c>
      <c r="E2123" s="20" t="str">
        <f>IFERROR(__xludf.DUMMYFUNCTION("""COMPUTED_VALUE"""),"Hard")</f>
        <v>Hard</v>
      </c>
      <c r="F2123" s="20">
        <f>IFERROR(__xludf.DUMMYFUNCTION("""COMPUTED_VALUE"""),313.0)</f>
        <v>313</v>
      </c>
      <c r="G2123" s="20">
        <f>IFERROR(__xludf.DUMMYFUNCTION("""COMPUTED_VALUE"""),28.0)</f>
        <v>28</v>
      </c>
      <c r="H2123" s="20" t="str">
        <f>IFERROR(__xludf.DUMMYFUNCTION("""COMPUTED_VALUE"""),"Algorithms")</f>
        <v>Algorithms</v>
      </c>
      <c r="I2123" s="20">
        <f>IFERROR(__xludf.DUMMYFUNCTION("""COMPUTED_VALUE"""),0.383)</f>
        <v>0.383</v>
      </c>
      <c r="J2123" s="20">
        <f>IFERROR(__xludf.DUMMYFUNCTION("""COMPUTED_VALUE"""),2122.0)</f>
        <v>2122</v>
      </c>
      <c r="K2123" s="20" t="b">
        <f>IFERROR(__xludf.DUMMYFUNCTION("""COMPUTED_VALUE"""),FALSE)</f>
        <v>0</v>
      </c>
      <c r="L2123" s="20" t="str">
        <f>IFERROR(__xludf.DUMMYFUNCTION("""COMPUTED_VALUE"""),"Array;Hash Table;Sorting;Enumeration;")</f>
        <v>Array;Hash Table;Sorting;Enumeration;</v>
      </c>
      <c r="M2123" s="20" t="b">
        <f>IFERROR(__xludf.DUMMYFUNCTION("""COMPUTED_VALUE"""),FALSE)</f>
        <v>0</v>
      </c>
      <c r="N2123" s="20" t="b">
        <f>IFERROR(__xludf.DUMMYFUNCTION("""COMPUTED_VALUE"""),FALSE)</f>
        <v>0</v>
      </c>
      <c r="O2123" s="20">
        <f>IFERROR(__xludf.DUMMYFUNCTION("""COMPUTED_VALUE"""),38.2919734569584)</f>
        <v>38.29197346</v>
      </c>
      <c r="P2123" s="20">
        <f>IFERROR(__xludf.DUMMYFUNCTION("""COMPUTED_VALUE"""),8425.0)</f>
        <v>8425</v>
      </c>
      <c r="Q2123" s="20">
        <f>IFERROR(__xludf.DUMMYFUNCTION("""COMPUTED_VALUE"""),22002.0)</f>
        <v>22002</v>
      </c>
    </row>
    <row r="2124">
      <c r="A2124" s="20">
        <f>IFERROR(__xludf.DUMMYFUNCTION("""COMPUTED_VALUE"""),2259.0)</f>
        <v>2259</v>
      </c>
      <c r="B2124" s="20" t="str">
        <f>IFERROR(__xludf.DUMMYFUNCTION("""COMPUTED_VALUE"""),"Minimum Operations to Remove Adjacent Ones in Matrix")</f>
        <v>Minimum Operations to Remove Adjacent Ones in Matrix</v>
      </c>
      <c r="C2124" s="20" t="str">
        <f>IFERROR(__xludf.DUMMYFUNCTION("""COMPUTED_VALUE"""),"minimum-operations-to-remove-adjacent-ones-in-matrix")</f>
        <v>minimum-operations-to-remove-adjacent-ones-in-matrix</v>
      </c>
      <c r="D2124" s="20" t="b">
        <f>IFERROR(__xludf.DUMMYFUNCTION("""COMPUTED_VALUE"""),TRUE)</f>
        <v>1</v>
      </c>
      <c r="E2124" s="20" t="str">
        <f>IFERROR(__xludf.DUMMYFUNCTION("""COMPUTED_VALUE"""),"Hard")</f>
        <v>Hard</v>
      </c>
      <c r="F2124" s="20">
        <f>IFERROR(__xludf.DUMMYFUNCTION("""COMPUTED_VALUE"""),36.0)</f>
        <v>36</v>
      </c>
      <c r="G2124" s="20">
        <f>IFERROR(__xludf.DUMMYFUNCTION("""COMPUTED_VALUE"""),7.0)</f>
        <v>7</v>
      </c>
      <c r="H2124" s="20" t="str">
        <f>IFERROR(__xludf.DUMMYFUNCTION("""COMPUTED_VALUE"""),"Algorithms")</f>
        <v>Algorithms</v>
      </c>
      <c r="I2124" s="20">
        <f>IFERROR(__xludf.DUMMYFUNCTION("""COMPUTED_VALUE"""),0.415)</f>
        <v>0.415</v>
      </c>
      <c r="J2124" s="20">
        <f>IFERROR(__xludf.DUMMYFUNCTION("""COMPUTED_VALUE"""),2123.0)</f>
        <v>2123</v>
      </c>
      <c r="K2124" s="20" t="b">
        <f>IFERROR(__xludf.DUMMYFUNCTION("""COMPUTED_VALUE"""),TRUE)</f>
        <v>1</v>
      </c>
      <c r="L2124" s="20" t="str">
        <f>IFERROR(__xludf.DUMMYFUNCTION("""COMPUTED_VALUE"""),"Array;Graph;Matrix;")</f>
        <v>Array;Graph;Matrix;</v>
      </c>
      <c r="M2124" s="20" t="b">
        <f>IFERROR(__xludf.DUMMYFUNCTION("""COMPUTED_VALUE"""),FALSE)</f>
        <v>0</v>
      </c>
      <c r="N2124" s="20" t="b">
        <f>IFERROR(__xludf.DUMMYFUNCTION("""COMPUTED_VALUE"""),FALSE)</f>
        <v>0</v>
      </c>
      <c r="O2124" s="20">
        <f>IFERROR(__xludf.DUMMYFUNCTION("""COMPUTED_VALUE"""),41.5204678362573)</f>
        <v>41.52046784</v>
      </c>
      <c r="P2124" s="20">
        <f>IFERROR(__xludf.DUMMYFUNCTION("""COMPUTED_VALUE"""),639.0)</f>
        <v>639</v>
      </c>
      <c r="Q2124" s="20">
        <f>IFERROR(__xludf.DUMMYFUNCTION("""COMPUTED_VALUE"""),1539.0)</f>
        <v>1539</v>
      </c>
    </row>
    <row r="2125">
      <c r="A2125" s="20">
        <f>IFERROR(__xludf.DUMMYFUNCTION("""COMPUTED_VALUE"""),2243.0)</f>
        <v>2243</v>
      </c>
      <c r="B2125" s="20" t="str">
        <f>IFERROR(__xludf.DUMMYFUNCTION("""COMPUTED_VALUE"""),"Check if All A's Appears Before All B's")</f>
        <v>Check if All A's Appears Before All B's</v>
      </c>
      <c r="C2125" s="20" t="str">
        <f>IFERROR(__xludf.DUMMYFUNCTION("""COMPUTED_VALUE"""),"check-if-all-as-appears-before-all-bs")</f>
        <v>check-if-all-as-appears-before-all-bs</v>
      </c>
      <c r="D2125" s="20" t="b">
        <f>IFERROR(__xludf.DUMMYFUNCTION("""COMPUTED_VALUE"""),FALSE)</f>
        <v>0</v>
      </c>
      <c r="E2125" s="20" t="str">
        <f>IFERROR(__xludf.DUMMYFUNCTION("""COMPUTED_VALUE"""),"Easy")</f>
        <v>Easy</v>
      </c>
      <c r="F2125" s="20">
        <f>IFERROR(__xludf.DUMMYFUNCTION("""COMPUTED_VALUE"""),514.0)</f>
        <v>514</v>
      </c>
      <c r="G2125" s="20">
        <f>IFERROR(__xludf.DUMMYFUNCTION("""COMPUTED_VALUE"""),12.0)</f>
        <v>12</v>
      </c>
      <c r="H2125" s="20" t="str">
        <f>IFERROR(__xludf.DUMMYFUNCTION("""COMPUTED_VALUE"""),"Algorithms")</f>
        <v>Algorithms</v>
      </c>
      <c r="I2125" s="20">
        <f>IFERROR(__xludf.DUMMYFUNCTION("""COMPUTED_VALUE"""),0.714)</f>
        <v>0.714</v>
      </c>
      <c r="J2125" s="20">
        <f>IFERROR(__xludf.DUMMYFUNCTION("""COMPUTED_VALUE"""),2124.0)</f>
        <v>2124</v>
      </c>
      <c r="K2125" s="20" t="b">
        <f>IFERROR(__xludf.DUMMYFUNCTION("""COMPUTED_VALUE"""),FALSE)</f>
        <v>0</v>
      </c>
      <c r="L2125" s="20" t="str">
        <f>IFERROR(__xludf.DUMMYFUNCTION("""COMPUTED_VALUE"""),"String;")</f>
        <v>String;</v>
      </c>
      <c r="M2125" s="20" t="b">
        <f>IFERROR(__xludf.DUMMYFUNCTION("""COMPUTED_VALUE"""),FALSE)</f>
        <v>0</v>
      </c>
      <c r="N2125" s="20" t="b">
        <f>IFERROR(__xludf.DUMMYFUNCTION("""COMPUTED_VALUE"""),FALSE)</f>
        <v>0</v>
      </c>
      <c r="O2125" s="20">
        <f>IFERROR(__xludf.DUMMYFUNCTION("""COMPUTED_VALUE"""),71.4414510780703)</f>
        <v>71.44145108</v>
      </c>
      <c r="P2125" s="20">
        <f>IFERROR(__xludf.DUMMYFUNCTION("""COMPUTED_VALUE"""),46751.0)</f>
        <v>46751</v>
      </c>
      <c r="Q2125" s="20">
        <f>IFERROR(__xludf.DUMMYFUNCTION("""COMPUTED_VALUE"""),65440.0)</f>
        <v>65440</v>
      </c>
    </row>
    <row r="2126">
      <c r="A2126" s="20">
        <f>IFERROR(__xludf.DUMMYFUNCTION("""COMPUTED_VALUE"""),2244.0)</f>
        <v>2244</v>
      </c>
      <c r="B2126" s="20" t="str">
        <f>IFERROR(__xludf.DUMMYFUNCTION("""COMPUTED_VALUE"""),"Number of Laser Beams in a Bank")</f>
        <v>Number of Laser Beams in a Bank</v>
      </c>
      <c r="C2126" s="20" t="str">
        <f>IFERROR(__xludf.DUMMYFUNCTION("""COMPUTED_VALUE"""),"number-of-laser-beams-in-a-bank")</f>
        <v>number-of-laser-beams-in-a-bank</v>
      </c>
      <c r="D2126" s="20" t="b">
        <f>IFERROR(__xludf.DUMMYFUNCTION("""COMPUTED_VALUE"""),FALSE)</f>
        <v>0</v>
      </c>
      <c r="E2126" s="20" t="str">
        <f>IFERROR(__xludf.DUMMYFUNCTION("""COMPUTED_VALUE"""),"Medium")</f>
        <v>Medium</v>
      </c>
      <c r="F2126" s="20">
        <f>IFERROR(__xludf.DUMMYFUNCTION("""COMPUTED_VALUE"""),591.0)</f>
        <v>591</v>
      </c>
      <c r="G2126" s="20">
        <f>IFERROR(__xludf.DUMMYFUNCTION("""COMPUTED_VALUE"""),54.0)</f>
        <v>54</v>
      </c>
      <c r="H2126" s="20" t="str">
        <f>IFERROR(__xludf.DUMMYFUNCTION("""COMPUTED_VALUE"""),"Algorithms")</f>
        <v>Algorithms</v>
      </c>
      <c r="I2126" s="20">
        <f>IFERROR(__xludf.DUMMYFUNCTION("""COMPUTED_VALUE"""),0.826)</f>
        <v>0.826</v>
      </c>
      <c r="J2126" s="20">
        <f>IFERROR(__xludf.DUMMYFUNCTION("""COMPUTED_VALUE"""),2125.0)</f>
        <v>2125</v>
      </c>
      <c r="K2126" s="20" t="b">
        <f>IFERROR(__xludf.DUMMYFUNCTION("""COMPUTED_VALUE"""),FALSE)</f>
        <v>0</v>
      </c>
      <c r="L2126" s="20" t="str">
        <f>IFERROR(__xludf.DUMMYFUNCTION("""COMPUTED_VALUE"""),"Array;Math;String;Matrix;")</f>
        <v>Array;Math;String;Matrix;</v>
      </c>
      <c r="M2126" s="20" t="b">
        <f>IFERROR(__xludf.DUMMYFUNCTION("""COMPUTED_VALUE"""),FALSE)</f>
        <v>0</v>
      </c>
      <c r="N2126" s="20" t="b">
        <f>IFERROR(__xludf.DUMMYFUNCTION("""COMPUTED_VALUE"""),FALSE)</f>
        <v>0</v>
      </c>
      <c r="O2126" s="20">
        <f>IFERROR(__xludf.DUMMYFUNCTION("""COMPUTED_VALUE"""),82.5887696956178)</f>
        <v>82.5887697</v>
      </c>
      <c r="P2126" s="20">
        <f>IFERROR(__xludf.DUMMYFUNCTION("""COMPUTED_VALUE"""),40727.0)</f>
        <v>40727</v>
      </c>
      <c r="Q2126" s="20">
        <f>IFERROR(__xludf.DUMMYFUNCTION("""COMPUTED_VALUE"""),49313.0)</f>
        <v>49313</v>
      </c>
    </row>
    <row r="2127">
      <c r="A2127" s="20">
        <f>IFERROR(__xludf.DUMMYFUNCTION("""COMPUTED_VALUE"""),2245.0)</f>
        <v>2245</v>
      </c>
      <c r="B2127" s="20" t="str">
        <f>IFERROR(__xludf.DUMMYFUNCTION("""COMPUTED_VALUE"""),"Destroying Asteroids")</f>
        <v>Destroying Asteroids</v>
      </c>
      <c r="C2127" s="20" t="str">
        <f>IFERROR(__xludf.DUMMYFUNCTION("""COMPUTED_VALUE"""),"destroying-asteroids")</f>
        <v>destroying-asteroids</v>
      </c>
      <c r="D2127" s="20" t="b">
        <f>IFERROR(__xludf.DUMMYFUNCTION("""COMPUTED_VALUE"""),FALSE)</f>
        <v>0</v>
      </c>
      <c r="E2127" s="20" t="str">
        <f>IFERROR(__xludf.DUMMYFUNCTION("""COMPUTED_VALUE"""),"Medium")</f>
        <v>Medium</v>
      </c>
      <c r="F2127" s="20">
        <f>IFERROR(__xludf.DUMMYFUNCTION("""COMPUTED_VALUE"""),309.0)</f>
        <v>309</v>
      </c>
      <c r="G2127" s="20">
        <f>IFERROR(__xludf.DUMMYFUNCTION("""COMPUTED_VALUE"""),140.0)</f>
        <v>140</v>
      </c>
      <c r="H2127" s="20" t="str">
        <f>IFERROR(__xludf.DUMMYFUNCTION("""COMPUTED_VALUE"""),"Algorithms")</f>
        <v>Algorithms</v>
      </c>
      <c r="I2127" s="20">
        <f>IFERROR(__xludf.DUMMYFUNCTION("""COMPUTED_VALUE"""),0.497)</f>
        <v>0.497</v>
      </c>
      <c r="J2127" s="20">
        <f>IFERROR(__xludf.DUMMYFUNCTION("""COMPUTED_VALUE"""),2126.0)</f>
        <v>2126</v>
      </c>
      <c r="K2127" s="20" t="b">
        <f>IFERROR(__xludf.DUMMYFUNCTION("""COMPUTED_VALUE"""),FALSE)</f>
        <v>0</v>
      </c>
      <c r="L2127" s="20" t="str">
        <f>IFERROR(__xludf.DUMMYFUNCTION("""COMPUTED_VALUE"""),"Array;Greedy;Sorting;")</f>
        <v>Array;Greedy;Sorting;</v>
      </c>
      <c r="M2127" s="20" t="b">
        <f>IFERROR(__xludf.DUMMYFUNCTION("""COMPUTED_VALUE"""),FALSE)</f>
        <v>0</v>
      </c>
      <c r="N2127" s="20" t="b">
        <f>IFERROR(__xludf.DUMMYFUNCTION("""COMPUTED_VALUE"""),FALSE)</f>
        <v>0</v>
      </c>
      <c r="O2127" s="20">
        <f>IFERROR(__xludf.DUMMYFUNCTION("""COMPUTED_VALUE"""),49.7081050821704)</f>
        <v>49.70810508</v>
      </c>
      <c r="P2127" s="20">
        <f>IFERROR(__xludf.DUMMYFUNCTION("""COMPUTED_VALUE"""),24863.0)</f>
        <v>24863</v>
      </c>
      <c r="Q2127" s="20">
        <f>IFERROR(__xludf.DUMMYFUNCTION("""COMPUTED_VALUE"""),50018.0)</f>
        <v>50018</v>
      </c>
    </row>
    <row r="2128">
      <c r="A2128" s="20">
        <f>IFERROR(__xludf.DUMMYFUNCTION("""COMPUTED_VALUE"""),2246.0)</f>
        <v>2246</v>
      </c>
      <c r="B2128" s="20" t="str">
        <f>IFERROR(__xludf.DUMMYFUNCTION("""COMPUTED_VALUE"""),"Maximum Employees to Be Invited to a Meeting")</f>
        <v>Maximum Employees to Be Invited to a Meeting</v>
      </c>
      <c r="C2128" s="20" t="str">
        <f>IFERROR(__xludf.DUMMYFUNCTION("""COMPUTED_VALUE"""),"maximum-employees-to-be-invited-to-a-meeting")</f>
        <v>maximum-employees-to-be-invited-to-a-meeting</v>
      </c>
      <c r="D2128" s="20" t="b">
        <f>IFERROR(__xludf.DUMMYFUNCTION("""COMPUTED_VALUE"""),FALSE)</f>
        <v>0</v>
      </c>
      <c r="E2128" s="20" t="str">
        <f>IFERROR(__xludf.DUMMYFUNCTION("""COMPUTED_VALUE"""),"Hard")</f>
        <v>Hard</v>
      </c>
      <c r="F2128" s="20">
        <f>IFERROR(__xludf.DUMMYFUNCTION("""COMPUTED_VALUE"""),730.0)</f>
        <v>730</v>
      </c>
      <c r="G2128" s="20">
        <f>IFERROR(__xludf.DUMMYFUNCTION("""COMPUTED_VALUE"""),13.0)</f>
        <v>13</v>
      </c>
      <c r="H2128" s="20" t="str">
        <f>IFERROR(__xludf.DUMMYFUNCTION("""COMPUTED_VALUE"""),"Algorithms")</f>
        <v>Algorithms</v>
      </c>
      <c r="I2128" s="20">
        <f>IFERROR(__xludf.DUMMYFUNCTION("""COMPUTED_VALUE"""),0.343)</f>
        <v>0.343</v>
      </c>
      <c r="J2128" s="20">
        <f>IFERROR(__xludf.DUMMYFUNCTION("""COMPUTED_VALUE"""),2127.0)</f>
        <v>2127</v>
      </c>
      <c r="K2128" s="20" t="b">
        <f>IFERROR(__xludf.DUMMYFUNCTION("""COMPUTED_VALUE"""),FALSE)</f>
        <v>0</v>
      </c>
      <c r="L2128" s="20" t="str">
        <f>IFERROR(__xludf.DUMMYFUNCTION("""COMPUTED_VALUE"""),"Depth-First Search;Graph;Topological Sort;")</f>
        <v>Depth-First Search;Graph;Topological Sort;</v>
      </c>
      <c r="M2128" s="20" t="b">
        <f>IFERROR(__xludf.DUMMYFUNCTION("""COMPUTED_VALUE"""),FALSE)</f>
        <v>0</v>
      </c>
      <c r="N2128" s="20" t="b">
        <f>IFERROR(__xludf.DUMMYFUNCTION("""COMPUTED_VALUE"""),FALSE)</f>
        <v>0</v>
      </c>
      <c r="O2128" s="20">
        <f>IFERROR(__xludf.DUMMYFUNCTION("""COMPUTED_VALUE"""),34.2627178939879)</f>
        <v>34.26271789</v>
      </c>
      <c r="P2128" s="20">
        <f>IFERROR(__xludf.DUMMYFUNCTION("""COMPUTED_VALUE"""),7705.0)</f>
        <v>7705</v>
      </c>
      <c r="Q2128" s="20">
        <f>IFERROR(__xludf.DUMMYFUNCTION("""COMPUTED_VALUE"""),22488.0)</f>
        <v>22488</v>
      </c>
    </row>
    <row r="2129">
      <c r="A2129" s="20">
        <f>IFERROR(__xludf.DUMMYFUNCTION("""COMPUTED_VALUE"""),2268.0)</f>
        <v>2268</v>
      </c>
      <c r="B2129" s="20" t="str">
        <f>IFERROR(__xludf.DUMMYFUNCTION("""COMPUTED_VALUE"""),"Remove All Ones With Row and Column Flips")</f>
        <v>Remove All Ones With Row and Column Flips</v>
      </c>
      <c r="C2129" s="20" t="str">
        <f>IFERROR(__xludf.DUMMYFUNCTION("""COMPUTED_VALUE"""),"remove-all-ones-with-row-and-column-flips")</f>
        <v>remove-all-ones-with-row-and-column-flips</v>
      </c>
      <c r="D2129" s="20" t="b">
        <f>IFERROR(__xludf.DUMMYFUNCTION("""COMPUTED_VALUE"""),TRUE)</f>
        <v>1</v>
      </c>
      <c r="E2129" s="20" t="str">
        <f>IFERROR(__xludf.DUMMYFUNCTION("""COMPUTED_VALUE"""),"Medium")</f>
        <v>Medium</v>
      </c>
      <c r="F2129" s="20">
        <f>IFERROR(__xludf.DUMMYFUNCTION("""COMPUTED_VALUE"""),425.0)</f>
        <v>425</v>
      </c>
      <c r="G2129" s="20">
        <f>IFERROR(__xludf.DUMMYFUNCTION("""COMPUTED_VALUE"""),169.0)</f>
        <v>169</v>
      </c>
      <c r="H2129" s="20" t="str">
        <f>IFERROR(__xludf.DUMMYFUNCTION("""COMPUTED_VALUE"""),"Algorithms")</f>
        <v>Algorithms</v>
      </c>
      <c r="I2129" s="20">
        <f>IFERROR(__xludf.DUMMYFUNCTION("""COMPUTED_VALUE"""),0.763)</f>
        <v>0.763</v>
      </c>
      <c r="J2129" s="20">
        <f>IFERROR(__xludf.DUMMYFUNCTION("""COMPUTED_VALUE"""),2128.0)</f>
        <v>2128</v>
      </c>
      <c r="K2129" s="20" t="b">
        <f>IFERROR(__xludf.DUMMYFUNCTION("""COMPUTED_VALUE"""),TRUE)</f>
        <v>1</v>
      </c>
      <c r="L2129" s="20" t="str">
        <f>IFERROR(__xludf.DUMMYFUNCTION("""COMPUTED_VALUE"""),"Array;Math;Bit Manipulation;Matrix;")</f>
        <v>Array;Math;Bit Manipulation;Matrix;</v>
      </c>
      <c r="M2129" s="20" t="b">
        <f>IFERROR(__xludf.DUMMYFUNCTION("""COMPUTED_VALUE"""),FALSE)</f>
        <v>0</v>
      </c>
      <c r="N2129" s="20" t="b">
        <f>IFERROR(__xludf.DUMMYFUNCTION("""COMPUTED_VALUE"""),FALSE)</f>
        <v>0</v>
      </c>
      <c r="O2129" s="20">
        <f>IFERROR(__xludf.DUMMYFUNCTION("""COMPUTED_VALUE"""),76.3274109068501)</f>
        <v>76.32741091</v>
      </c>
      <c r="P2129" s="20">
        <f>IFERROR(__xludf.DUMMYFUNCTION("""COMPUTED_VALUE"""),29728.0)</f>
        <v>29728</v>
      </c>
      <c r="Q2129" s="20">
        <f>IFERROR(__xludf.DUMMYFUNCTION("""COMPUTED_VALUE"""),38948.0)</f>
        <v>38948</v>
      </c>
    </row>
    <row r="2130">
      <c r="A2130" s="20">
        <f>IFERROR(__xludf.DUMMYFUNCTION("""COMPUTED_VALUE"""),2235.0)</f>
        <v>2235</v>
      </c>
      <c r="B2130" s="20" t="str">
        <f>IFERROR(__xludf.DUMMYFUNCTION("""COMPUTED_VALUE"""),"Capitalize the Title")</f>
        <v>Capitalize the Title</v>
      </c>
      <c r="C2130" s="20" t="str">
        <f>IFERROR(__xludf.DUMMYFUNCTION("""COMPUTED_VALUE"""),"capitalize-the-title")</f>
        <v>capitalize-the-title</v>
      </c>
      <c r="D2130" s="20" t="b">
        <f>IFERROR(__xludf.DUMMYFUNCTION("""COMPUTED_VALUE"""),FALSE)</f>
        <v>0</v>
      </c>
      <c r="E2130" s="20" t="str">
        <f>IFERROR(__xludf.DUMMYFUNCTION("""COMPUTED_VALUE"""),"Easy")</f>
        <v>Easy</v>
      </c>
      <c r="F2130" s="20">
        <f>IFERROR(__xludf.DUMMYFUNCTION("""COMPUTED_VALUE"""),473.0)</f>
        <v>473</v>
      </c>
      <c r="G2130" s="20">
        <f>IFERROR(__xludf.DUMMYFUNCTION("""COMPUTED_VALUE"""),39.0)</f>
        <v>39</v>
      </c>
      <c r="H2130" s="20" t="str">
        <f>IFERROR(__xludf.DUMMYFUNCTION("""COMPUTED_VALUE"""),"Algorithms")</f>
        <v>Algorithms</v>
      </c>
      <c r="I2130" s="20">
        <f>IFERROR(__xludf.DUMMYFUNCTION("""COMPUTED_VALUE"""),0.611)</f>
        <v>0.611</v>
      </c>
      <c r="J2130" s="20">
        <f>IFERROR(__xludf.DUMMYFUNCTION("""COMPUTED_VALUE"""),2129.0)</f>
        <v>2129</v>
      </c>
      <c r="K2130" s="20" t="b">
        <f>IFERROR(__xludf.DUMMYFUNCTION("""COMPUTED_VALUE"""),FALSE)</f>
        <v>0</v>
      </c>
      <c r="L2130" s="20" t="str">
        <f>IFERROR(__xludf.DUMMYFUNCTION("""COMPUTED_VALUE"""),"String;")</f>
        <v>String;</v>
      </c>
      <c r="M2130" s="20" t="b">
        <f>IFERROR(__xludf.DUMMYFUNCTION("""COMPUTED_VALUE"""),FALSE)</f>
        <v>0</v>
      </c>
      <c r="N2130" s="20" t="b">
        <f>IFERROR(__xludf.DUMMYFUNCTION("""COMPUTED_VALUE"""),FALSE)</f>
        <v>0</v>
      </c>
      <c r="O2130" s="20">
        <f>IFERROR(__xludf.DUMMYFUNCTION("""COMPUTED_VALUE"""),61.1056671566225)</f>
        <v>61.10566716</v>
      </c>
      <c r="P2130" s="20">
        <f>IFERROR(__xludf.DUMMYFUNCTION("""COMPUTED_VALUE"""),37415.0)</f>
        <v>37415</v>
      </c>
      <c r="Q2130" s="20">
        <f>IFERROR(__xludf.DUMMYFUNCTION("""COMPUTED_VALUE"""),61230.0)</f>
        <v>61230</v>
      </c>
    </row>
    <row r="2131">
      <c r="A2131" s="20">
        <f>IFERROR(__xludf.DUMMYFUNCTION("""COMPUTED_VALUE"""),2236.0)</f>
        <v>2236</v>
      </c>
      <c r="B2131" s="20" t="str">
        <f>IFERROR(__xludf.DUMMYFUNCTION("""COMPUTED_VALUE"""),"Maximum Twin Sum of a Linked List")</f>
        <v>Maximum Twin Sum of a Linked List</v>
      </c>
      <c r="C2131" s="20" t="str">
        <f>IFERROR(__xludf.DUMMYFUNCTION("""COMPUTED_VALUE"""),"maximum-twin-sum-of-a-linked-list")</f>
        <v>maximum-twin-sum-of-a-linked-list</v>
      </c>
      <c r="D2131" s="20" t="b">
        <f>IFERROR(__xludf.DUMMYFUNCTION("""COMPUTED_VALUE"""),FALSE)</f>
        <v>0</v>
      </c>
      <c r="E2131" s="20" t="str">
        <f>IFERROR(__xludf.DUMMYFUNCTION("""COMPUTED_VALUE"""),"Medium")</f>
        <v>Medium</v>
      </c>
      <c r="F2131" s="20">
        <f>IFERROR(__xludf.DUMMYFUNCTION("""COMPUTED_VALUE"""),1417.0)</f>
        <v>1417</v>
      </c>
      <c r="G2131" s="20">
        <f>IFERROR(__xludf.DUMMYFUNCTION("""COMPUTED_VALUE"""),39.0)</f>
        <v>39</v>
      </c>
      <c r="H2131" s="20" t="str">
        <f>IFERROR(__xludf.DUMMYFUNCTION("""COMPUTED_VALUE"""),"Algorithms")</f>
        <v>Algorithms</v>
      </c>
      <c r="I2131" s="20">
        <f>IFERROR(__xludf.DUMMYFUNCTION("""COMPUTED_VALUE"""),0.812)</f>
        <v>0.812</v>
      </c>
      <c r="J2131" s="20">
        <f>IFERROR(__xludf.DUMMYFUNCTION("""COMPUTED_VALUE"""),2130.0)</f>
        <v>2130</v>
      </c>
      <c r="K2131" s="20" t="b">
        <f>IFERROR(__xludf.DUMMYFUNCTION("""COMPUTED_VALUE"""),FALSE)</f>
        <v>0</v>
      </c>
      <c r="L2131" s="20" t="str">
        <f>IFERROR(__xludf.DUMMYFUNCTION("""COMPUTED_VALUE"""),"Linked List;Two Pointers;Stack;")</f>
        <v>Linked List;Two Pointers;Stack;</v>
      </c>
      <c r="M2131" s="20" t="b">
        <f>IFERROR(__xludf.DUMMYFUNCTION("""COMPUTED_VALUE"""),FALSE)</f>
        <v>0</v>
      </c>
      <c r="N2131" s="20" t="b">
        <f>IFERROR(__xludf.DUMMYFUNCTION("""COMPUTED_VALUE"""),FALSE)</f>
        <v>0</v>
      </c>
      <c r="O2131" s="20">
        <f>IFERROR(__xludf.DUMMYFUNCTION("""COMPUTED_VALUE"""),81.2010632906155)</f>
        <v>81.20106329</v>
      </c>
      <c r="P2131" s="20">
        <f>IFERROR(__xludf.DUMMYFUNCTION("""COMPUTED_VALUE"""),78499.0)</f>
        <v>78499</v>
      </c>
      <c r="Q2131" s="20">
        <f>IFERROR(__xludf.DUMMYFUNCTION("""COMPUTED_VALUE"""),96674.0)</f>
        <v>96674</v>
      </c>
    </row>
    <row r="2132">
      <c r="A2132" s="20">
        <f>IFERROR(__xludf.DUMMYFUNCTION("""COMPUTED_VALUE"""),2237.0)</f>
        <v>2237</v>
      </c>
      <c r="B2132" s="20" t="str">
        <f>IFERROR(__xludf.DUMMYFUNCTION("""COMPUTED_VALUE"""),"Longest Palindrome by Concatenating Two Letter Words")</f>
        <v>Longest Palindrome by Concatenating Two Letter Words</v>
      </c>
      <c r="C2132" s="20" t="str">
        <f>IFERROR(__xludf.DUMMYFUNCTION("""COMPUTED_VALUE"""),"longest-palindrome-by-concatenating-two-letter-words")</f>
        <v>longest-palindrome-by-concatenating-two-letter-words</v>
      </c>
      <c r="D2132" s="20" t="b">
        <f>IFERROR(__xludf.DUMMYFUNCTION("""COMPUTED_VALUE"""),FALSE)</f>
        <v>0</v>
      </c>
      <c r="E2132" s="20" t="str">
        <f>IFERROR(__xludf.DUMMYFUNCTION("""COMPUTED_VALUE"""),"Medium")</f>
        <v>Medium</v>
      </c>
      <c r="F2132" s="20">
        <f>IFERROR(__xludf.DUMMYFUNCTION("""COMPUTED_VALUE"""),2051.0)</f>
        <v>2051</v>
      </c>
      <c r="G2132" s="20">
        <f>IFERROR(__xludf.DUMMYFUNCTION("""COMPUTED_VALUE"""),39.0)</f>
        <v>39</v>
      </c>
      <c r="H2132" s="20" t="str">
        <f>IFERROR(__xludf.DUMMYFUNCTION("""COMPUTED_VALUE"""),"Algorithms")</f>
        <v>Algorithms</v>
      </c>
      <c r="I2132" s="20">
        <f>IFERROR(__xludf.DUMMYFUNCTION("""COMPUTED_VALUE"""),0.489)</f>
        <v>0.489</v>
      </c>
      <c r="J2132" s="20">
        <f>IFERROR(__xludf.DUMMYFUNCTION("""COMPUTED_VALUE"""),2131.0)</f>
        <v>2131</v>
      </c>
      <c r="K2132" s="20" t="b">
        <f>IFERROR(__xludf.DUMMYFUNCTION("""COMPUTED_VALUE"""),FALSE)</f>
        <v>0</v>
      </c>
      <c r="L2132" s="20" t="str">
        <f>IFERROR(__xludf.DUMMYFUNCTION("""COMPUTED_VALUE"""),"Array;Hash Table;String;Greedy;Counting;")</f>
        <v>Array;Hash Table;String;Greedy;Counting;</v>
      </c>
      <c r="M2132" s="20" t="b">
        <f>IFERROR(__xludf.DUMMYFUNCTION("""COMPUTED_VALUE"""),TRUE)</f>
        <v>1</v>
      </c>
      <c r="N2132" s="20" t="b">
        <f>IFERROR(__xludf.DUMMYFUNCTION("""COMPUTED_VALUE"""),FALSE)</f>
        <v>0</v>
      </c>
      <c r="O2132" s="20">
        <f>IFERROR(__xludf.DUMMYFUNCTION("""COMPUTED_VALUE"""),48.9356583842962)</f>
        <v>48.93565838</v>
      </c>
      <c r="P2132" s="20">
        <f>IFERROR(__xludf.DUMMYFUNCTION("""COMPUTED_VALUE"""),91540.0)</f>
        <v>91540</v>
      </c>
      <c r="Q2132" s="20">
        <f>IFERROR(__xludf.DUMMYFUNCTION("""COMPUTED_VALUE"""),187062.0)</f>
        <v>187062</v>
      </c>
    </row>
    <row r="2133">
      <c r="A2133" s="20">
        <f>IFERROR(__xludf.DUMMYFUNCTION("""COMPUTED_VALUE"""),2200.0)</f>
        <v>2200</v>
      </c>
      <c r="B2133" s="20" t="str">
        <f>IFERROR(__xludf.DUMMYFUNCTION("""COMPUTED_VALUE"""),"Stamping the Grid")</f>
        <v>Stamping the Grid</v>
      </c>
      <c r="C2133" s="20" t="str">
        <f>IFERROR(__xludf.DUMMYFUNCTION("""COMPUTED_VALUE"""),"stamping-the-grid")</f>
        <v>stamping-the-grid</v>
      </c>
      <c r="D2133" s="20" t="b">
        <f>IFERROR(__xludf.DUMMYFUNCTION("""COMPUTED_VALUE"""),FALSE)</f>
        <v>0</v>
      </c>
      <c r="E2133" s="20" t="str">
        <f>IFERROR(__xludf.DUMMYFUNCTION("""COMPUTED_VALUE"""),"Hard")</f>
        <v>Hard</v>
      </c>
      <c r="F2133" s="20">
        <f>IFERROR(__xludf.DUMMYFUNCTION("""COMPUTED_VALUE"""),304.0)</f>
        <v>304</v>
      </c>
      <c r="G2133" s="20">
        <f>IFERROR(__xludf.DUMMYFUNCTION("""COMPUTED_VALUE"""),31.0)</f>
        <v>31</v>
      </c>
      <c r="H2133" s="20" t="str">
        <f>IFERROR(__xludf.DUMMYFUNCTION("""COMPUTED_VALUE"""),"Algorithms")</f>
        <v>Algorithms</v>
      </c>
      <c r="I2133" s="20">
        <f>IFERROR(__xludf.DUMMYFUNCTION("""COMPUTED_VALUE"""),0.311)</f>
        <v>0.311</v>
      </c>
      <c r="J2133" s="20">
        <f>IFERROR(__xludf.DUMMYFUNCTION("""COMPUTED_VALUE"""),2132.0)</f>
        <v>2132</v>
      </c>
      <c r="K2133" s="20" t="b">
        <f>IFERROR(__xludf.DUMMYFUNCTION("""COMPUTED_VALUE"""),FALSE)</f>
        <v>0</v>
      </c>
      <c r="L2133" s="20" t="str">
        <f>IFERROR(__xludf.DUMMYFUNCTION("""COMPUTED_VALUE"""),"Array;Greedy;Matrix;Prefix Sum;")</f>
        <v>Array;Greedy;Matrix;Prefix Sum;</v>
      </c>
      <c r="M2133" s="20" t="b">
        <f>IFERROR(__xludf.DUMMYFUNCTION("""COMPUTED_VALUE"""),FALSE)</f>
        <v>0</v>
      </c>
      <c r="N2133" s="20" t="b">
        <f>IFERROR(__xludf.DUMMYFUNCTION("""COMPUTED_VALUE"""),FALSE)</f>
        <v>0</v>
      </c>
      <c r="O2133" s="20">
        <f>IFERROR(__xludf.DUMMYFUNCTION("""COMPUTED_VALUE"""),31.0713638286301)</f>
        <v>31.07136383</v>
      </c>
      <c r="P2133" s="20">
        <f>IFERROR(__xludf.DUMMYFUNCTION("""COMPUTED_VALUE"""),5142.0)</f>
        <v>5142</v>
      </c>
      <c r="Q2133" s="20">
        <f>IFERROR(__xludf.DUMMYFUNCTION("""COMPUTED_VALUE"""),16549.0)</f>
        <v>16549</v>
      </c>
    </row>
    <row r="2134">
      <c r="A2134" s="20">
        <f>IFERROR(__xludf.DUMMYFUNCTION("""COMPUTED_VALUE"""),2254.0)</f>
        <v>2254</v>
      </c>
      <c r="B2134" s="20" t="str">
        <f>IFERROR(__xludf.DUMMYFUNCTION("""COMPUTED_VALUE"""),"Check if Every Row and Column Contains All Numbers")</f>
        <v>Check if Every Row and Column Contains All Numbers</v>
      </c>
      <c r="C2134" s="20" t="str">
        <f>IFERROR(__xludf.DUMMYFUNCTION("""COMPUTED_VALUE"""),"check-if-every-row-and-column-contains-all-numbers")</f>
        <v>check-if-every-row-and-column-contains-all-numbers</v>
      </c>
      <c r="D2134" s="20" t="b">
        <f>IFERROR(__xludf.DUMMYFUNCTION("""COMPUTED_VALUE"""),FALSE)</f>
        <v>0</v>
      </c>
      <c r="E2134" s="20" t="str">
        <f>IFERROR(__xludf.DUMMYFUNCTION("""COMPUTED_VALUE"""),"Easy")</f>
        <v>Easy</v>
      </c>
      <c r="F2134" s="20">
        <f>IFERROR(__xludf.DUMMYFUNCTION("""COMPUTED_VALUE"""),669.0)</f>
        <v>669</v>
      </c>
      <c r="G2134" s="20">
        <f>IFERROR(__xludf.DUMMYFUNCTION("""COMPUTED_VALUE"""),38.0)</f>
        <v>38</v>
      </c>
      <c r="H2134" s="20" t="str">
        <f>IFERROR(__xludf.DUMMYFUNCTION("""COMPUTED_VALUE"""),"Algorithms")</f>
        <v>Algorithms</v>
      </c>
      <c r="I2134" s="20">
        <f>IFERROR(__xludf.DUMMYFUNCTION("""COMPUTED_VALUE"""),0.529)</f>
        <v>0.529</v>
      </c>
      <c r="J2134" s="20">
        <f>IFERROR(__xludf.DUMMYFUNCTION("""COMPUTED_VALUE"""),2133.0)</f>
        <v>2133</v>
      </c>
      <c r="K2134" s="20" t="b">
        <f>IFERROR(__xludf.DUMMYFUNCTION("""COMPUTED_VALUE"""),FALSE)</f>
        <v>0</v>
      </c>
      <c r="L2134" s="20" t="str">
        <f>IFERROR(__xludf.DUMMYFUNCTION("""COMPUTED_VALUE"""),"Array;Hash Table;Matrix;")</f>
        <v>Array;Hash Table;Matrix;</v>
      </c>
      <c r="M2134" s="20" t="b">
        <f>IFERROR(__xludf.DUMMYFUNCTION("""COMPUTED_VALUE"""),FALSE)</f>
        <v>0</v>
      </c>
      <c r="N2134" s="20" t="b">
        <f>IFERROR(__xludf.DUMMYFUNCTION("""COMPUTED_VALUE"""),FALSE)</f>
        <v>0</v>
      </c>
      <c r="O2134" s="20">
        <f>IFERROR(__xludf.DUMMYFUNCTION("""COMPUTED_VALUE"""),52.8647478119642)</f>
        <v>52.86474781</v>
      </c>
      <c r="P2134" s="20">
        <f>IFERROR(__xludf.DUMMYFUNCTION("""COMPUTED_VALUE"""),46872.0)</f>
        <v>46872</v>
      </c>
      <c r="Q2134" s="20">
        <f>IFERROR(__xludf.DUMMYFUNCTION("""COMPUTED_VALUE"""),88664.0)</f>
        <v>88664</v>
      </c>
    </row>
    <row r="2135">
      <c r="A2135" s="20">
        <f>IFERROR(__xludf.DUMMYFUNCTION("""COMPUTED_VALUE"""),2255.0)</f>
        <v>2255</v>
      </c>
      <c r="B2135" s="20" t="str">
        <f>IFERROR(__xludf.DUMMYFUNCTION("""COMPUTED_VALUE"""),"Minimum Swaps to Group All 1's Together II")</f>
        <v>Minimum Swaps to Group All 1's Together II</v>
      </c>
      <c r="C2135" s="20" t="str">
        <f>IFERROR(__xludf.DUMMYFUNCTION("""COMPUTED_VALUE"""),"minimum-swaps-to-group-all-1s-together-ii")</f>
        <v>minimum-swaps-to-group-all-1s-together-ii</v>
      </c>
      <c r="D2135" s="20" t="b">
        <f>IFERROR(__xludf.DUMMYFUNCTION("""COMPUTED_VALUE"""),FALSE)</f>
        <v>0</v>
      </c>
      <c r="E2135" s="20" t="str">
        <f>IFERROR(__xludf.DUMMYFUNCTION("""COMPUTED_VALUE"""),"Medium")</f>
        <v>Medium</v>
      </c>
      <c r="F2135" s="20">
        <f>IFERROR(__xludf.DUMMYFUNCTION("""COMPUTED_VALUE"""),833.0)</f>
        <v>833</v>
      </c>
      <c r="G2135" s="20">
        <f>IFERROR(__xludf.DUMMYFUNCTION("""COMPUTED_VALUE"""),12.0)</f>
        <v>12</v>
      </c>
      <c r="H2135" s="20" t="str">
        <f>IFERROR(__xludf.DUMMYFUNCTION("""COMPUTED_VALUE"""),"Algorithms")</f>
        <v>Algorithms</v>
      </c>
      <c r="I2135" s="20">
        <f>IFERROR(__xludf.DUMMYFUNCTION("""COMPUTED_VALUE"""),0.509)</f>
        <v>0.509</v>
      </c>
      <c r="J2135" s="20">
        <f>IFERROR(__xludf.DUMMYFUNCTION("""COMPUTED_VALUE"""),2134.0)</f>
        <v>2134</v>
      </c>
      <c r="K2135" s="20" t="b">
        <f>IFERROR(__xludf.DUMMYFUNCTION("""COMPUTED_VALUE"""),FALSE)</f>
        <v>0</v>
      </c>
      <c r="L2135" s="20" t="str">
        <f>IFERROR(__xludf.DUMMYFUNCTION("""COMPUTED_VALUE"""),"Array;Sliding Window;")</f>
        <v>Array;Sliding Window;</v>
      </c>
      <c r="M2135" s="20" t="b">
        <f>IFERROR(__xludf.DUMMYFUNCTION("""COMPUTED_VALUE"""),FALSE)</f>
        <v>0</v>
      </c>
      <c r="N2135" s="20" t="b">
        <f>IFERROR(__xludf.DUMMYFUNCTION("""COMPUTED_VALUE"""),FALSE)</f>
        <v>0</v>
      </c>
      <c r="O2135" s="20">
        <f>IFERROR(__xludf.DUMMYFUNCTION("""COMPUTED_VALUE"""),50.9385146103896)</f>
        <v>50.93851461</v>
      </c>
      <c r="P2135" s="20">
        <f>IFERROR(__xludf.DUMMYFUNCTION("""COMPUTED_VALUE"""),20081.0)</f>
        <v>20081</v>
      </c>
      <c r="Q2135" s="20">
        <f>IFERROR(__xludf.DUMMYFUNCTION("""COMPUTED_VALUE"""),39423.0)</f>
        <v>39423</v>
      </c>
    </row>
    <row r="2136">
      <c r="A2136" s="20">
        <f>IFERROR(__xludf.DUMMYFUNCTION("""COMPUTED_VALUE"""),2256.0)</f>
        <v>2256</v>
      </c>
      <c r="B2136" s="20" t="str">
        <f>IFERROR(__xludf.DUMMYFUNCTION("""COMPUTED_VALUE"""),"Count Words Obtained After Adding a Letter")</f>
        <v>Count Words Obtained After Adding a Letter</v>
      </c>
      <c r="C2136" s="20" t="str">
        <f>IFERROR(__xludf.DUMMYFUNCTION("""COMPUTED_VALUE"""),"count-words-obtained-after-adding-a-letter")</f>
        <v>count-words-obtained-after-adding-a-letter</v>
      </c>
      <c r="D2136" s="20" t="b">
        <f>IFERROR(__xludf.DUMMYFUNCTION("""COMPUTED_VALUE"""),FALSE)</f>
        <v>0</v>
      </c>
      <c r="E2136" s="20" t="str">
        <f>IFERROR(__xludf.DUMMYFUNCTION("""COMPUTED_VALUE"""),"Medium")</f>
        <v>Medium</v>
      </c>
      <c r="F2136" s="20">
        <f>IFERROR(__xludf.DUMMYFUNCTION("""COMPUTED_VALUE"""),561.0)</f>
        <v>561</v>
      </c>
      <c r="G2136" s="20">
        <f>IFERROR(__xludf.DUMMYFUNCTION("""COMPUTED_VALUE"""),131.0)</f>
        <v>131</v>
      </c>
      <c r="H2136" s="20" t="str">
        <f>IFERROR(__xludf.DUMMYFUNCTION("""COMPUTED_VALUE"""),"Algorithms")</f>
        <v>Algorithms</v>
      </c>
      <c r="I2136" s="20">
        <f>IFERROR(__xludf.DUMMYFUNCTION("""COMPUTED_VALUE"""),0.428)</f>
        <v>0.428</v>
      </c>
      <c r="J2136" s="20">
        <f>IFERROR(__xludf.DUMMYFUNCTION("""COMPUTED_VALUE"""),2135.0)</f>
        <v>2135</v>
      </c>
      <c r="K2136" s="20" t="b">
        <f>IFERROR(__xludf.DUMMYFUNCTION("""COMPUTED_VALUE"""),FALSE)</f>
        <v>0</v>
      </c>
      <c r="L2136" s="20" t="str">
        <f>IFERROR(__xludf.DUMMYFUNCTION("""COMPUTED_VALUE"""),"Array;Hash Table;String;Bit Manipulation;Sorting;")</f>
        <v>Array;Hash Table;String;Bit Manipulation;Sorting;</v>
      </c>
      <c r="M2136" s="20" t="b">
        <f>IFERROR(__xludf.DUMMYFUNCTION("""COMPUTED_VALUE"""),FALSE)</f>
        <v>0</v>
      </c>
      <c r="N2136" s="20" t="b">
        <f>IFERROR(__xludf.DUMMYFUNCTION("""COMPUTED_VALUE"""),FALSE)</f>
        <v>0</v>
      </c>
      <c r="O2136" s="20">
        <f>IFERROR(__xludf.DUMMYFUNCTION("""COMPUTED_VALUE"""),42.8053783727128)</f>
        <v>42.80537837</v>
      </c>
      <c r="P2136" s="20">
        <f>IFERROR(__xludf.DUMMYFUNCTION("""COMPUTED_VALUE"""),28588.0)</f>
        <v>28588</v>
      </c>
      <c r="Q2136" s="20">
        <f>IFERROR(__xludf.DUMMYFUNCTION("""COMPUTED_VALUE"""),66786.0)</f>
        <v>66786</v>
      </c>
    </row>
    <row r="2137">
      <c r="A2137" s="20">
        <f>IFERROR(__xludf.DUMMYFUNCTION("""COMPUTED_VALUE"""),2257.0)</f>
        <v>2257</v>
      </c>
      <c r="B2137" s="20" t="str">
        <f>IFERROR(__xludf.DUMMYFUNCTION("""COMPUTED_VALUE"""),"Earliest Possible Day of Full Bloom")</f>
        <v>Earliest Possible Day of Full Bloom</v>
      </c>
      <c r="C2137" s="20" t="str">
        <f>IFERROR(__xludf.DUMMYFUNCTION("""COMPUTED_VALUE"""),"earliest-possible-day-of-full-bloom")</f>
        <v>earliest-possible-day-of-full-bloom</v>
      </c>
      <c r="D2137" s="20" t="b">
        <f>IFERROR(__xludf.DUMMYFUNCTION("""COMPUTED_VALUE"""),FALSE)</f>
        <v>0</v>
      </c>
      <c r="E2137" s="20" t="str">
        <f>IFERROR(__xludf.DUMMYFUNCTION("""COMPUTED_VALUE"""),"Hard")</f>
        <v>Hard</v>
      </c>
      <c r="F2137" s="20">
        <f>IFERROR(__xludf.DUMMYFUNCTION("""COMPUTED_VALUE"""),1339.0)</f>
        <v>1339</v>
      </c>
      <c r="G2137" s="20">
        <f>IFERROR(__xludf.DUMMYFUNCTION("""COMPUTED_VALUE"""),74.0)</f>
        <v>74</v>
      </c>
      <c r="H2137" s="20" t="str">
        <f>IFERROR(__xludf.DUMMYFUNCTION("""COMPUTED_VALUE"""),"Algorithms")</f>
        <v>Algorithms</v>
      </c>
      <c r="I2137" s="20">
        <f>IFERROR(__xludf.DUMMYFUNCTION("""COMPUTED_VALUE"""),0.745)</f>
        <v>0.745</v>
      </c>
      <c r="J2137" s="20">
        <f>IFERROR(__xludf.DUMMYFUNCTION("""COMPUTED_VALUE"""),2136.0)</f>
        <v>2136</v>
      </c>
      <c r="K2137" s="20" t="b">
        <f>IFERROR(__xludf.DUMMYFUNCTION("""COMPUTED_VALUE"""),FALSE)</f>
        <v>0</v>
      </c>
      <c r="L2137" s="20" t="str">
        <f>IFERROR(__xludf.DUMMYFUNCTION("""COMPUTED_VALUE"""),"Array;Greedy;Sorting;")</f>
        <v>Array;Greedy;Sorting;</v>
      </c>
      <c r="M2137" s="20" t="b">
        <f>IFERROR(__xludf.DUMMYFUNCTION("""COMPUTED_VALUE"""),TRUE)</f>
        <v>1</v>
      </c>
      <c r="N2137" s="20" t="b">
        <f>IFERROR(__xludf.DUMMYFUNCTION("""COMPUTED_VALUE"""),FALSE)</f>
        <v>0</v>
      </c>
      <c r="O2137" s="20">
        <f>IFERROR(__xludf.DUMMYFUNCTION("""COMPUTED_VALUE"""),74.4708644751637)</f>
        <v>74.47086448</v>
      </c>
      <c r="P2137" s="20">
        <f>IFERROR(__xludf.DUMMYFUNCTION("""COMPUTED_VALUE"""),45037.0)</f>
        <v>45037</v>
      </c>
      <c r="Q2137" s="20">
        <f>IFERROR(__xludf.DUMMYFUNCTION("""COMPUTED_VALUE"""),60475.0)</f>
        <v>60475</v>
      </c>
    </row>
    <row r="2138">
      <c r="A2138" s="20">
        <f>IFERROR(__xludf.DUMMYFUNCTION("""COMPUTED_VALUE"""),2273.0)</f>
        <v>2273</v>
      </c>
      <c r="B2138" s="20" t="str">
        <f>IFERROR(__xludf.DUMMYFUNCTION("""COMPUTED_VALUE"""),"Pour Water Between Buckets to Make Water Levels Equal")</f>
        <v>Pour Water Between Buckets to Make Water Levels Equal</v>
      </c>
      <c r="C2138" s="20" t="str">
        <f>IFERROR(__xludf.DUMMYFUNCTION("""COMPUTED_VALUE"""),"pour-water-between-buckets-to-make-water-levels-equal")</f>
        <v>pour-water-between-buckets-to-make-water-levels-equal</v>
      </c>
      <c r="D2138" s="20" t="b">
        <f>IFERROR(__xludf.DUMMYFUNCTION("""COMPUTED_VALUE"""),TRUE)</f>
        <v>1</v>
      </c>
      <c r="E2138" s="20" t="str">
        <f>IFERROR(__xludf.DUMMYFUNCTION("""COMPUTED_VALUE"""),"Medium")</f>
        <v>Medium</v>
      </c>
      <c r="F2138" s="20">
        <f>IFERROR(__xludf.DUMMYFUNCTION("""COMPUTED_VALUE"""),73.0)</f>
        <v>73</v>
      </c>
      <c r="G2138" s="20">
        <f>IFERROR(__xludf.DUMMYFUNCTION("""COMPUTED_VALUE"""),5.0)</f>
        <v>5</v>
      </c>
      <c r="H2138" s="20" t="str">
        <f>IFERROR(__xludf.DUMMYFUNCTION("""COMPUTED_VALUE"""),"Algorithms")</f>
        <v>Algorithms</v>
      </c>
      <c r="I2138" s="20">
        <f>IFERROR(__xludf.DUMMYFUNCTION("""COMPUTED_VALUE"""),0.672)</f>
        <v>0.672</v>
      </c>
      <c r="J2138" s="20">
        <f>IFERROR(__xludf.DUMMYFUNCTION("""COMPUTED_VALUE"""),2137.0)</f>
        <v>2137</v>
      </c>
      <c r="K2138" s="20" t="b">
        <f>IFERROR(__xludf.DUMMYFUNCTION("""COMPUTED_VALUE"""),TRUE)</f>
        <v>1</v>
      </c>
      <c r="L2138" s="20" t="str">
        <f>IFERROR(__xludf.DUMMYFUNCTION("""COMPUTED_VALUE"""),"Array;Binary Search;")</f>
        <v>Array;Binary Search;</v>
      </c>
      <c r="M2138" s="20" t="b">
        <f>IFERROR(__xludf.DUMMYFUNCTION("""COMPUTED_VALUE"""),FALSE)</f>
        <v>0</v>
      </c>
      <c r="N2138" s="20" t="b">
        <f>IFERROR(__xludf.DUMMYFUNCTION("""COMPUTED_VALUE"""),FALSE)</f>
        <v>0</v>
      </c>
      <c r="O2138" s="20">
        <f>IFERROR(__xludf.DUMMYFUNCTION("""COMPUTED_VALUE"""),67.208904109589)</f>
        <v>67.20890411</v>
      </c>
      <c r="P2138" s="20">
        <f>IFERROR(__xludf.DUMMYFUNCTION("""COMPUTED_VALUE"""),1570.0)</f>
        <v>1570</v>
      </c>
      <c r="Q2138" s="20">
        <f>IFERROR(__xludf.DUMMYFUNCTION("""COMPUTED_VALUE"""),2336.0)</f>
        <v>2336</v>
      </c>
    </row>
    <row r="2139">
      <c r="A2139" s="20">
        <f>IFERROR(__xludf.DUMMYFUNCTION("""COMPUTED_VALUE"""),2260.0)</f>
        <v>2260</v>
      </c>
      <c r="B2139" s="20" t="str">
        <f>IFERROR(__xludf.DUMMYFUNCTION("""COMPUTED_VALUE"""),"Divide a String Into Groups of Size k")</f>
        <v>Divide a String Into Groups of Size k</v>
      </c>
      <c r="C2139" s="20" t="str">
        <f>IFERROR(__xludf.DUMMYFUNCTION("""COMPUTED_VALUE"""),"divide-a-string-into-groups-of-size-k")</f>
        <v>divide-a-string-into-groups-of-size-k</v>
      </c>
      <c r="D2139" s="20" t="b">
        <f>IFERROR(__xludf.DUMMYFUNCTION("""COMPUTED_VALUE"""),FALSE)</f>
        <v>0</v>
      </c>
      <c r="E2139" s="20" t="str">
        <f>IFERROR(__xludf.DUMMYFUNCTION("""COMPUTED_VALUE"""),"Easy")</f>
        <v>Easy</v>
      </c>
      <c r="F2139" s="20">
        <f>IFERROR(__xludf.DUMMYFUNCTION("""COMPUTED_VALUE"""),339.0)</f>
        <v>339</v>
      </c>
      <c r="G2139" s="20">
        <f>IFERROR(__xludf.DUMMYFUNCTION("""COMPUTED_VALUE"""),14.0)</f>
        <v>14</v>
      </c>
      <c r="H2139" s="20" t="str">
        <f>IFERROR(__xludf.DUMMYFUNCTION("""COMPUTED_VALUE"""),"Algorithms")</f>
        <v>Algorithms</v>
      </c>
      <c r="I2139" s="20">
        <f>IFERROR(__xludf.DUMMYFUNCTION("""COMPUTED_VALUE"""),0.652)</f>
        <v>0.652</v>
      </c>
      <c r="J2139" s="20">
        <f>IFERROR(__xludf.DUMMYFUNCTION("""COMPUTED_VALUE"""),2138.0)</f>
        <v>2138</v>
      </c>
      <c r="K2139" s="20" t="b">
        <f>IFERROR(__xludf.DUMMYFUNCTION("""COMPUTED_VALUE"""),FALSE)</f>
        <v>0</v>
      </c>
      <c r="L2139" s="20" t="str">
        <f>IFERROR(__xludf.DUMMYFUNCTION("""COMPUTED_VALUE"""),"String;Simulation;")</f>
        <v>String;Simulation;</v>
      </c>
      <c r="M2139" s="20" t="b">
        <f>IFERROR(__xludf.DUMMYFUNCTION("""COMPUTED_VALUE"""),FALSE)</f>
        <v>0</v>
      </c>
      <c r="N2139" s="20" t="b">
        <f>IFERROR(__xludf.DUMMYFUNCTION("""COMPUTED_VALUE"""),FALSE)</f>
        <v>0</v>
      </c>
      <c r="O2139" s="20">
        <f>IFERROR(__xludf.DUMMYFUNCTION("""COMPUTED_VALUE"""),65.2489337106868)</f>
        <v>65.24893371</v>
      </c>
      <c r="P2139" s="20">
        <f>IFERROR(__xludf.DUMMYFUNCTION("""COMPUTED_VALUE"""),32738.0)</f>
        <v>32738</v>
      </c>
      <c r="Q2139" s="20">
        <f>IFERROR(__xludf.DUMMYFUNCTION("""COMPUTED_VALUE"""),50174.0)</f>
        <v>50174</v>
      </c>
    </row>
    <row r="2140">
      <c r="A2140" s="20">
        <f>IFERROR(__xludf.DUMMYFUNCTION("""COMPUTED_VALUE"""),1303.0)</f>
        <v>1303</v>
      </c>
      <c r="B2140" s="20" t="str">
        <f>IFERROR(__xludf.DUMMYFUNCTION("""COMPUTED_VALUE"""),"Minimum Moves to Reach Target Score")</f>
        <v>Minimum Moves to Reach Target Score</v>
      </c>
      <c r="C2140" s="20" t="str">
        <f>IFERROR(__xludf.DUMMYFUNCTION("""COMPUTED_VALUE"""),"minimum-moves-to-reach-target-score")</f>
        <v>minimum-moves-to-reach-target-score</v>
      </c>
      <c r="D2140" s="20" t="b">
        <f>IFERROR(__xludf.DUMMYFUNCTION("""COMPUTED_VALUE"""),FALSE)</f>
        <v>0</v>
      </c>
      <c r="E2140" s="20" t="str">
        <f>IFERROR(__xludf.DUMMYFUNCTION("""COMPUTED_VALUE"""),"Medium")</f>
        <v>Medium</v>
      </c>
      <c r="F2140" s="20">
        <f>IFERROR(__xludf.DUMMYFUNCTION("""COMPUTED_VALUE"""),730.0)</f>
        <v>730</v>
      </c>
      <c r="G2140" s="20">
        <f>IFERROR(__xludf.DUMMYFUNCTION("""COMPUTED_VALUE"""),14.0)</f>
        <v>14</v>
      </c>
      <c r="H2140" s="20" t="str">
        <f>IFERROR(__xludf.DUMMYFUNCTION("""COMPUTED_VALUE"""),"Algorithms")</f>
        <v>Algorithms</v>
      </c>
      <c r="I2140" s="20">
        <f>IFERROR(__xludf.DUMMYFUNCTION("""COMPUTED_VALUE"""),0.484)</f>
        <v>0.484</v>
      </c>
      <c r="J2140" s="20">
        <f>IFERROR(__xludf.DUMMYFUNCTION("""COMPUTED_VALUE"""),2139.0)</f>
        <v>2139</v>
      </c>
      <c r="K2140" s="20" t="b">
        <f>IFERROR(__xludf.DUMMYFUNCTION("""COMPUTED_VALUE"""),FALSE)</f>
        <v>0</v>
      </c>
      <c r="L2140" s="20" t="str">
        <f>IFERROR(__xludf.DUMMYFUNCTION("""COMPUTED_VALUE"""),"Math;Greedy;")</f>
        <v>Math;Greedy;</v>
      </c>
      <c r="M2140" s="20" t="b">
        <f>IFERROR(__xludf.DUMMYFUNCTION("""COMPUTED_VALUE"""),FALSE)</f>
        <v>0</v>
      </c>
      <c r="N2140" s="20" t="b">
        <f>IFERROR(__xludf.DUMMYFUNCTION("""COMPUTED_VALUE"""),FALSE)</f>
        <v>0</v>
      </c>
      <c r="O2140" s="20">
        <f>IFERROR(__xludf.DUMMYFUNCTION("""COMPUTED_VALUE"""),48.4221064005593)</f>
        <v>48.4221064</v>
      </c>
      <c r="P2140" s="20">
        <f>IFERROR(__xludf.DUMMYFUNCTION("""COMPUTED_VALUE"""),30472.0)</f>
        <v>30472</v>
      </c>
      <c r="Q2140" s="20">
        <f>IFERROR(__xludf.DUMMYFUNCTION("""COMPUTED_VALUE"""),62926.0)</f>
        <v>62926</v>
      </c>
    </row>
    <row r="2141">
      <c r="A2141" s="20">
        <f>IFERROR(__xludf.DUMMYFUNCTION("""COMPUTED_VALUE"""),2262.0)</f>
        <v>2262</v>
      </c>
      <c r="B2141" s="20" t="str">
        <f>IFERROR(__xludf.DUMMYFUNCTION("""COMPUTED_VALUE"""),"Solving Questions With Brainpower")</f>
        <v>Solving Questions With Brainpower</v>
      </c>
      <c r="C2141" s="20" t="str">
        <f>IFERROR(__xludf.DUMMYFUNCTION("""COMPUTED_VALUE"""),"solving-questions-with-brainpower")</f>
        <v>solving-questions-with-brainpower</v>
      </c>
      <c r="D2141" s="20" t="b">
        <f>IFERROR(__xludf.DUMMYFUNCTION("""COMPUTED_VALUE"""),FALSE)</f>
        <v>0</v>
      </c>
      <c r="E2141" s="20" t="str">
        <f>IFERROR(__xludf.DUMMYFUNCTION("""COMPUTED_VALUE"""),"Medium")</f>
        <v>Medium</v>
      </c>
      <c r="F2141" s="20">
        <f>IFERROR(__xludf.DUMMYFUNCTION("""COMPUTED_VALUE"""),717.0)</f>
        <v>717</v>
      </c>
      <c r="G2141" s="20">
        <f>IFERROR(__xludf.DUMMYFUNCTION("""COMPUTED_VALUE"""),14.0)</f>
        <v>14</v>
      </c>
      <c r="H2141" s="20" t="str">
        <f>IFERROR(__xludf.DUMMYFUNCTION("""COMPUTED_VALUE"""),"Algorithms")</f>
        <v>Algorithms</v>
      </c>
      <c r="I2141" s="20">
        <f>IFERROR(__xludf.DUMMYFUNCTION("""COMPUTED_VALUE"""),0.461)</f>
        <v>0.461</v>
      </c>
      <c r="J2141" s="20">
        <f>IFERROR(__xludf.DUMMYFUNCTION("""COMPUTED_VALUE"""),2140.0)</f>
        <v>2140</v>
      </c>
      <c r="K2141" s="20" t="b">
        <f>IFERROR(__xludf.DUMMYFUNCTION("""COMPUTED_VALUE"""),FALSE)</f>
        <v>0</v>
      </c>
      <c r="L2141" s="20" t="str">
        <f>IFERROR(__xludf.DUMMYFUNCTION("""COMPUTED_VALUE"""),"Array;Dynamic Programming;")</f>
        <v>Array;Dynamic Programming;</v>
      </c>
      <c r="M2141" s="20" t="b">
        <f>IFERROR(__xludf.DUMMYFUNCTION("""COMPUTED_VALUE"""),FALSE)</f>
        <v>0</v>
      </c>
      <c r="N2141" s="20" t="b">
        <f>IFERROR(__xludf.DUMMYFUNCTION("""COMPUTED_VALUE"""),FALSE)</f>
        <v>0</v>
      </c>
      <c r="O2141" s="20">
        <f>IFERROR(__xludf.DUMMYFUNCTION("""COMPUTED_VALUE"""),46.1493593607217)</f>
        <v>46.14935936</v>
      </c>
      <c r="P2141" s="20">
        <f>IFERROR(__xludf.DUMMYFUNCTION("""COMPUTED_VALUE"""),23736.0)</f>
        <v>23736</v>
      </c>
      <c r="Q2141" s="20">
        <f>IFERROR(__xludf.DUMMYFUNCTION("""COMPUTED_VALUE"""),51433.0)</f>
        <v>51433</v>
      </c>
    </row>
    <row r="2142">
      <c r="A2142" s="20">
        <f>IFERROR(__xludf.DUMMYFUNCTION("""COMPUTED_VALUE"""),2263.0)</f>
        <v>2263</v>
      </c>
      <c r="B2142" s="20" t="str">
        <f>IFERROR(__xludf.DUMMYFUNCTION("""COMPUTED_VALUE"""),"Maximum Running Time of N Computers")</f>
        <v>Maximum Running Time of N Computers</v>
      </c>
      <c r="C2142" s="20" t="str">
        <f>IFERROR(__xludf.DUMMYFUNCTION("""COMPUTED_VALUE"""),"maximum-running-time-of-n-computers")</f>
        <v>maximum-running-time-of-n-computers</v>
      </c>
      <c r="D2142" s="20" t="b">
        <f>IFERROR(__xludf.DUMMYFUNCTION("""COMPUTED_VALUE"""),FALSE)</f>
        <v>0</v>
      </c>
      <c r="E2142" s="20" t="str">
        <f>IFERROR(__xludf.DUMMYFUNCTION("""COMPUTED_VALUE"""),"Hard")</f>
        <v>Hard</v>
      </c>
      <c r="F2142" s="20">
        <f>IFERROR(__xludf.DUMMYFUNCTION("""COMPUTED_VALUE"""),584.0)</f>
        <v>584</v>
      </c>
      <c r="G2142" s="20">
        <f>IFERROR(__xludf.DUMMYFUNCTION("""COMPUTED_VALUE"""),15.0)</f>
        <v>15</v>
      </c>
      <c r="H2142" s="20" t="str">
        <f>IFERROR(__xludf.DUMMYFUNCTION("""COMPUTED_VALUE"""),"Algorithms")</f>
        <v>Algorithms</v>
      </c>
      <c r="I2142" s="20">
        <f>IFERROR(__xludf.DUMMYFUNCTION("""COMPUTED_VALUE"""),0.392)</f>
        <v>0.392</v>
      </c>
      <c r="J2142" s="20">
        <f>IFERROR(__xludf.DUMMYFUNCTION("""COMPUTED_VALUE"""),2141.0)</f>
        <v>2141</v>
      </c>
      <c r="K2142" s="20" t="b">
        <f>IFERROR(__xludf.DUMMYFUNCTION("""COMPUTED_VALUE"""),FALSE)</f>
        <v>0</v>
      </c>
      <c r="L2142" s="20" t="str">
        <f>IFERROR(__xludf.DUMMYFUNCTION("""COMPUTED_VALUE"""),"Array;Binary Search;Greedy;Sorting;")</f>
        <v>Array;Binary Search;Greedy;Sorting;</v>
      </c>
      <c r="M2142" s="20" t="b">
        <f>IFERROR(__xludf.DUMMYFUNCTION("""COMPUTED_VALUE"""),FALSE)</f>
        <v>0</v>
      </c>
      <c r="N2142" s="20" t="b">
        <f>IFERROR(__xludf.DUMMYFUNCTION("""COMPUTED_VALUE"""),FALSE)</f>
        <v>0</v>
      </c>
      <c r="O2142" s="20">
        <f>IFERROR(__xludf.DUMMYFUNCTION("""COMPUTED_VALUE"""),39.1784681545191)</f>
        <v>39.17846815</v>
      </c>
      <c r="P2142" s="20">
        <f>IFERROR(__xludf.DUMMYFUNCTION("""COMPUTED_VALUE"""),10568.0)</f>
        <v>10568</v>
      </c>
      <c r="Q2142" s="20">
        <f>IFERROR(__xludf.DUMMYFUNCTION("""COMPUTED_VALUE"""),26974.0)</f>
        <v>26974</v>
      </c>
    </row>
    <row r="2143">
      <c r="A2143" s="20">
        <f>IFERROR(__xludf.DUMMYFUNCTION("""COMPUTED_VALUE"""),2281.0)</f>
        <v>2281</v>
      </c>
      <c r="B2143" s="20" t="str">
        <f>IFERROR(__xludf.DUMMYFUNCTION("""COMPUTED_VALUE"""),"The Number of Passengers in Each Bus I")</f>
        <v>The Number of Passengers in Each Bus I</v>
      </c>
      <c r="C2143" s="20" t="str">
        <f>IFERROR(__xludf.DUMMYFUNCTION("""COMPUTED_VALUE"""),"the-number-of-passengers-in-each-bus-i")</f>
        <v>the-number-of-passengers-in-each-bus-i</v>
      </c>
      <c r="D2143" s="20" t="b">
        <f>IFERROR(__xludf.DUMMYFUNCTION("""COMPUTED_VALUE"""),TRUE)</f>
        <v>1</v>
      </c>
      <c r="E2143" s="20" t="str">
        <f>IFERROR(__xludf.DUMMYFUNCTION("""COMPUTED_VALUE"""),"Medium")</f>
        <v>Medium</v>
      </c>
      <c r="F2143" s="20">
        <f>IFERROR(__xludf.DUMMYFUNCTION("""COMPUTED_VALUE"""),68.0)</f>
        <v>68</v>
      </c>
      <c r="G2143" s="20">
        <f>IFERROR(__xludf.DUMMYFUNCTION("""COMPUTED_VALUE"""),8.0)</f>
        <v>8</v>
      </c>
      <c r="H2143" s="20" t="str">
        <f>IFERROR(__xludf.DUMMYFUNCTION("""COMPUTED_VALUE"""),"Database")</f>
        <v>Database</v>
      </c>
      <c r="I2143" s="20">
        <f>IFERROR(__xludf.DUMMYFUNCTION("""COMPUTED_VALUE"""),0.509)</f>
        <v>0.509</v>
      </c>
      <c r="J2143" s="20">
        <f>IFERROR(__xludf.DUMMYFUNCTION("""COMPUTED_VALUE"""),2142.0)</f>
        <v>2142</v>
      </c>
      <c r="K2143" s="20" t="b">
        <f>IFERROR(__xludf.DUMMYFUNCTION("""COMPUTED_VALUE"""),TRUE)</f>
        <v>1</v>
      </c>
      <c r="L2143" s="20" t="str">
        <f>IFERROR(__xludf.DUMMYFUNCTION("""COMPUTED_VALUE"""),"Database;")</f>
        <v>Database;</v>
      </c>
      <c r="M2143" s="20" t="b">
        <f>IFERROR(__xludf.DUMMYFUNCTION("""COMPUTED_VALUE"""),FALSE)</f>
        <v>0</v>
      </c>
      <c r="N2143" s="20" t="b">
        <f>IFERROR(__xludf.DUMMYFUNCTION("""COMPUTED_VALUE"""),FALSE)</f>
        <v>0</v>
      </c>
      <c r="O2143" s="20">
        <f>IFERROR(__xludf.DUMMYFUNCTION("""COMPUTED_VALUE"""),50.9241053873377)</f>
        <v>50.92410539</v>
      </c>
      <c r="P2143" s="20">
        <f>IFERROR(__xludf.DUMMYFUNCTION("""COMPUTED_VALUE"""),5180.0)</f>
        <v>5180</v>
      </c>
      <c r="Q2143" s="20">
        <f>IFERROR(__xludf.DUMMYFUNCTION("""COMPUTED_VALUE"""),10172.0)</f>
        <v>10172</v>
      </c>
    </row>
    <row r="2144">
      <c r="A2144" s="20">
        <f>IFERROR(__xludf.DUMMYFUNCTION("""COMPUTED_VALUE"""),2282.0)</f>
        <v>2282</v>
      </c>
      <c r="B2144" s="20" t="str">
        <f>IFERROR(__xludf.DUMMYFUNCTION("""COMPUTED_VALUE"""),"Choose Numbers From Two Arrays in Range")</f>
        <v>Choose Numbers From Two Arrays in Range</v>
      </c>
      <c r="C2144" s="20" t="str">
        <f>IFERROR(__xludf.DUMMYFUNCTION("""COMPUTED_VALUE"""),"choose-numbers-from-two-arrays-in-range")</f>
        <v>choose-numbers-from-two-arrays-in-range</v>
      </c>
      <c r="D2144" s="20" t="b">
        <f>IFERROR(__xludf.DUMMYFUNCTION("""COMPUTED_VALUE"""),TRUE)</f>
        <v>1</v>
      </c>
      <c r="E2144" s="20" t="str">
        <f>IFERROR(__xludf.DUMMYFUNCTION("""COMPUTED_VALUE"""),"Hard")</f>
        <v>Hard</v>
      </c>
      <c r="F2144" s="20">
        <f>IFERROR(__xludf.DUMMYFUNCTION("""COMPUTED_VALUE"""),25.0)</f>
        <v>25</v>
      </c>
      <c r="G2144" s="20">
        <f>IFERROR(__xludf.DUMMYFUNCTION("""COMPUTED_VALUE"""),4.0)</f>
        <v>4</v>
      </c>
      <c r="H2144" s="20" t="str">
        <f>IFERROR(__xludf.DUMMYFUNCTION("""COMPUTED_VALUE"""),"Algorithms")</f>
        <v>Algorithms</v>
      </c>
      <c r="I2144" s="20">
        <f>IFERROR(__xludf.DUMMYFUNCTION("""COMPUTED_VALUE"""),0.526)</f>
        <v>0.526</v>
      </c>
      <c r="J2144" s="20">
        <f>IFERROR(__xludf.DUMMYFUNCTION("""COMPUTED_VALUE"""),2143.0)</f>
        <v>2143</v>
      </c>
      <c r="K2144" s="20" t="b">
        <f>IFERROR(__xludf.DUMMYFUNCTION("""COMPUTED_VALUE"""),TRUE)</f>
        <v>1</v>
      </c>
      <c r="L2144" s="20" t="str">
        <f>IFERROR(__xludf.DUMMYFUNCTION("""COMPUTED_VALUE"""),"Array;Dynamic Programming;")</f>
        <v>Array;Dynamic Programming;</v>
      </c>
      <c r="M2144" s="20" t="b">
        <f>IFERROR(__xludf.DUMMYFUNCTION("""COMPUTED_VALUE"""),FALSE)</f>
        <v>0</v>
      </c>
      <c r="N2144" s="20" t="b">
        <f>IFERROR(__xludf.DUMMYFUNCTION("""COMPUTED_VALUE"""),FALSE)</f>
        <v>0</v>
      </c>
      <c r="O2144" s="20">
        <f>IFERROR(__xludf.DUMMYFUNCTION("""COMPUTED_VALUE"""),52.6122148638704)</f>
        <v>52.61221486</v>
      </c>
      <c r="P2144" s="20">
        <f>IFERROR(__xludf.DUMMYFUNCTION("""COMPUTED_VALUE"""),715.0)</f>
        <v>715</v>
      </c>
      <c r="Q2144" s="20">
        <f>IFERROR(__xludf.DUMMYFUNCTION("""COMPUTED_VALUE"""),1359.0)</f>
        <v>1359</v>
      </c>
    </row>
    <row r="2145">
      <c r="A2145" s="20">
        <f>IFERROR(__xludf.DUMMYFUNCTION("""COMPUTED_VALUE"""),2248.0)</f>
        <v>2248</v>
      </c>
      <c r="B2145" s="20" t="str">
        <f>IFERROR(__xludf.DUMMYFUNCTION("""COMPUTED_VALUE"""),"Minimum Cost of Buying Candies With Discount")</f>
        <v>Minimum Cost of Buying Candies With Discount</v>
      </c>
      <c r="C2145" s="20" t="str">
        <f>IFERROR(__xludf.DUMMYFUNCTION("""COMPUTED_VALUE"""),"minimum-cost-of-buying-candies-with-discount")</f>
        <v>minimum-cost-of-buying-candies-with-discount</v>
      </c>
      <c r="D2145" s="20" t="b">
        <f>IFERROR(__xludf.DUMMYFUNCTION("""COMPUTED_VALUE"""),FALSE)</f>
        <v>0</v>
      </c>
      <c r="E2145" s="20" t="str">
        <f>IFERROR(__xludf.DUMMYFUNCTION("""COMPUTED_VALUE"""),"Easy")</f>
        <v>Easy</v>
      </c>
      <c r="F2145" s="20">
        <f>IFERROR(__xludf.DUMMYFUNCTION("""COMPUTED_VALUE"""),396.0)</f>
        <v>396</v>
      </c>
      <c r="G2145" s="20">
        <f>IFERROR(__xludf.DUMMYFUNCTION("""COMPUTED_VALUE"""),12.0)</f>
        <v>12</v>
      </c>
      <c r="H2145" s="20" t="str">
        <f>IFERROR(__xludf.DUMMYFUNCTION("""COMPUTED_VALUE"""),"Algorithms")</f>
        <v>Algorithms</v>
      </c>
      <c r="I2145" s="20">
        <f>IFERROR(__xludf.DUMMYFUNCTION("""COMPUTED_VALUE"""),0.61)</f>
        <v>0.61</v>
      </c>
      <c r="J2145" s="20">
        <f>IFERROR(__xludf.DUMMYFUNCTION("""COMPUTED_VALUE"""),2144.0)</f>
        <v>2144</v>
      </c>
      <c r="K2145" s="20" t="b">
        <f>IFERROR(__xludf.DUMMYFUNCTION("""COMPUTED_VALUE"""),FALSE)</f>
        <v>0</v>
      </c>
      <c r="L2145" s="20" t="str">
        <f>IFERROR(__xludf.DUMMYFUNCTION("""COMPUTED_VALUE"""),"Array;Greedy;Sorting;")</f>
        <v>Array;Greedy;Sorting;</v>
      </c>
      <c r="M2145" s="20" t="b">
        <f>IFERROR(__xludf.DUMMYFUNCTION("""COMPUTED_VALUE"""),FALSE)</f>
        <v>0</v>
      </c>
      <c r="N2145" s="20" t="b">
        <f>IFERROR(__xludf.DUMMYFUNCTION("""COMPUTED_VALUE"""),FALSE)</f>
        <v>0</v>
      </c>
      <c r="O2145" s="20">
        <f>IFERROR(__xludf.DUMMYFUNCTION("""COMPUTED_VALUE"""),60.9959766188415)</f>
        <v>60.99597662</v>
      </c>
      <c r="P2145" s="20">
        <f>IFERROR(__xludf.DUMMYFUNCTION("""COMPUTED_VALUE"""),32139.0)</f>
        <v>32139</v>
      </c>
      <c r="Q2145" s="20">
        <f>IFERROR(__xludf.DUMMYFUNCTION("""COMPUTED_VALUE"""),52691.0)</f>
        <v>52691</v>
      </c>
    </row>
    <row r="2146">
      <c r="A2146" s="20">
        <f>IFERROR(__xludf.DUMMYFUNCTION("""COMPUTED_VALUE"""),2249.0)</f>
        <v>2249</v>
      </c>
      <c r="B2146" s="20" t="str">
        <f>IFERROR(__xludf.DUMMYFUNCTION("""COMPUTED_VALUE"""),"Count the Hidden Sequences")</f>
        <v>Count the Hidden Sequences</v>
      </c>
      <c r="C2146" s="20" t="str">
        <f>IFERROR(__xludf.DUMMYFUNCTION("""COMPUTED_VALUE"""),"count-the-hidden-sequences")</f>
        <v>count-the-hidden-sequences</v>
      </c>
      <c r="D2146" s="20" t="b">
        <f>IFERROR(__xludf.DUMMYFUNCTION("""COMPUTED_VALUE"""),FALSE)</f>
        <v>0</v>
      </c>
      <c r="E2146" s="20" t="str">
        <f>IFERROR(__xludf.DUMMYFUNCTION("""COMPUTED_VALUE"""),"Medium")</f>
        <v>Medium</v>
      </c>
      <c r="F2146" s="20">
        <f>IFERROR(__xludf.DUMMYFUNCTION("""COMPUTED_VALUE"""),419.0)</f>
        <v>419</v>
      </c>
      <c r="G2146" s="20">
        <f>IFERROR(__xludf.DUMMYFUNCTION("""COMPUTED_VALUE"""),43.0)</f>
        <v>43</v>
      </c>
      <c r="H2146" s="20" t="str">
        <f>IFERROR(__xludf.DUMMYFUNCTION("""COMPUTED_VALUE"""),"Algorithms")</f>
        <v>Algorithms</v>
      </c>
      <c r="I2146" s="20">
        <f>IFERROR(__xludf.DUMMYFUNCTION("""COMPUTED_VALUE"""),0.367)</f>
        <v>0.367</v>
      </c>
      <c r="J2146" s="20">
        <f>IFERROR(__xludf.DUMMYFUNCTION("""COMPUTED_VALUE"""),2145.0)</f>
        <v>2145</v>
      </c>
      <c r="K2146" s="20" t="b">
        <f>IFERROR(__xludf.DUMMYFUNCTION("""COMPUTED_VALUE"""),FALSE)</f>
        <v>0</v>
      </c>
      <c r="L2146" s="20" t="str">
        <f>IFERROR(__xludf.DUMMYFUNCTION("""COMPUTED_VALUE"""),"Array;Prefix Sum;")</f>
        <v>Array;Prefix Sum;</v>
      </c>
      <c r="M2146" s="20" t="b">
        <f>IFERROR(__xludf.DUMMYFUNCTION("""COMPUTED_VALUE"""),FALSE)</f>
        <v>0</v>
      </c>
      <c r="N2146" s="20" t="b">
        <f>IFERROR(__xludf.DUMMYFUNCTION("""COMPUTED_VALUE"""),FALSE)</f>
        <v>0</v>
      </c>
      <c r="O2146" s="20">
        <f>IFERROR(__xludf.DUMMYFUNCTION("""COMPUTED_VALUE"""),36.6908150064683)</f>
        <v>36.69081501</v>
      </c>
      <c r="P2146" s="20">
        <f>IFERROR(__xludf.DUMMYFUNCTION("""COMPUTED_VALUE"""),14181.0)</f>
        <v>14181</v>
      </c>
      <c r="Q2146" s="20">
        <f>IFERROR(__xludf.DUMMYFUNCTION("""COMPUTED_VALUE"""),38650.0)</f>
        <v>38650</v>
      </c>
    </row>
    <row r="2147">
      <c r="A2147" s="20">
        <f>IFERROR(__xludf.DUMMYFUNCTION("""COMPUTED_VALUE"""),2250.0)</f>
        <v>2250</v>
      </c>
      <c r="B2147" s="20" t="str">
        <f>IFERROR(__xludf.DUMMYFUNCTION("""COMPUTED_VALUE"""),"K Highest Ranked Items Within a Price Range")</f>
        <v>K Highest Ranked Items Within a Price Range</v>
      </c>
      <c r="C2147" s="20" t="str">
        <f>IFERROR(__xludf.DUMMYFUNCTION("""COMPUTED_VALUE"""),"k-highest-ranked-items-within-a-price-range")</f>
        <v>k-highest-ranked-items-within-a-price-range</v>
      </c>
      <c r="D2147" s="20" t="b">
        <f>IFERROR(__xludf.DUMMYFUNCTION("""COMPUTED_VALUE"""),FALSE)</f>
        <v>0</v>
      </c>
      <c r="E2147" s="20" t="str">
        <f>IFERROR(__xludf.DUMMYFUNCTION("""COMPUTED_VALUE"""),"Medium")</f>
        <v>Medium</v>
      </c>
      <c r="F2147" s="20">
        <f>IFERROR(__xludf.DUMMYFUNCTION("""COMPUTED_VALUE"""),363.0)</f>
        <v>363</v>
      </c>
      <c r="G2147" s="20">
        <f>IFERROR(__xludf.DUMMYFUNCTION("""COMPUTED_VALUE"""),136.0)</f>
        <v>136</v>
      </c>
      <c r="H2147" s="20" t="str">
        <f>IFERROR(__xludf.DUMMYFUNCTION("""COMPUTED_VALUE"""),"Algorithms")</f>
        <v>Algorithms</v>
      </c>
      <c r="I2147" s="20">
        <f>IFERROR(__xludf.DUMMYFUNCTION("""COMPUTED_VALUE"""),0.412)</f>
        <v>0.412</v>
      </c>
      <c r="J2147" s="20">
        <f>IFERROR(__xludf.DUMMYFUNCTION("""COMPUTED_VALUE"""),2146.0)</f>
        <v>2146</v>
      </c>
      <c r="K2147" s="20" t="b">
        <f>IFERROR(__xludf.DUMMYFUNCTION("""COMPUTED_VALUE"""),FALSE)</f>
        <v>0</v>
      </c>
      <c r="L2147" s="20" t="str">
        <f>IFERROR(__xludf.DUMMYFUNCTION("""COMPUTED_VALUE"""),"Array;Breadth-First Search;Sorting;Heap (Priority Queue);Matrix;")</f>
        <v>Array;Breadth-First Search;Sorting;Heap (Priority Queue);Matrix;</v>
      </c>
      <c r="M2147" s="20" t="b">
        <f>IFERROR(__xludf.DUMMYFUNCTION("""COMPUTED_VALUE"""),FALSE)</f>
        <v>0</v>
      </c>
      <c r="N2147" s="20" t="b">
        <f>IFERROR(__xludf.DUMMYFUNCTION("""COMPUTED_VALUE"""),FALSE)</f>
        <v>0</v>
      </c>
      <c r="O2147" s="20">
        <f>IFERROR(__xludf.DUMMYFUNCTION("""COMPUTED_VALUE"""),41.1565739225313)</f>
        <v>41.15657392</v>
      </c>
      <c r="P2147" s="20">
        <f>IFERROR(__xludf.DUMMYFUNCTION("""COMPUTED_VALUE"""),11316.0)</f>
        <v>11316</v>
      </c>
      <c r="Q2147" s="20">
        <f>IFERROR(__xludf.DUMMYFUNCTION("""COMPUTED_VALUE"""),27495.0)</f>
        <v>27495</v>
      </c>
    </row>
    <row r="2148">
      <c r="A2148" s="20">
        <f>IFERROR(__xludf.DUMMYFUNCTION("""COMPUTED_VALUE"""),2251.0)</f>
        <v>2251</v>
      </c>
      <c r="B2148" s="20" t="str">
        <f>IFERROR(__xludf.DUMMYFUNCTION("""COMPUTED_VALUE"""),"Number of Ways to Divide a Long Corridor")</f>
        <v>Number of Ways to Divide a Long Corridor</v>
      </c>
      <c r="C2148" s="20" t="str">
        <f>IFERROR(__xludf.DUMMYFUNCTION("""COMPUTED_VALUE"""),"number-of-ways-to-divide-a-long-corridor")</f>
        <v>number-of-ways-to-divide-a-long-corridor</v>
      </c>
      <c r="D2148" s="20" t="b">
        <f>IFERROR(__xludf.DUMMYFUNCTION("""COMPUTED_VALUE"""),FALSE)</f>
        <v>0</v>
      </c>
      <c r="E2148" s="20" t="str">
        <f>IFERROR(__xludf.DUMMYFUNCTION("""COMPUTED_VALUE"""),"Hard")</f>
        <v>Hard</v>
      </c>
      <c r="F2148" s="20">
        <f>IFERROR(__xludf.DUMMYFUNCTION("""COMPUTED_VALUE"""),290.0)</f>
        <v>290</v>
      </c>
      <c r="G2148" s="20">
        <f>IFERROR(__xludf.DUMMYFUNCTION("""COMPUTED_VALUE"""),25.0)</f>
        <v>25</v>
      </c>
      <c r="H2148" s="20" t="str">
        <f>IFERROR(__xludf.DUMMYFUNCTION("""COMPUTED_VALUE"""),"Algorithms")</f>
        <v>Algorithms</v>
      </c>
      <c r="I2148" s="20">
        <f>IFERROR(__xludf.DUMMYFUNCTION("""COMPUTED_VALUE"""),0.398)</f>
        <v>0.398</v>
      </c>
      <c r="J2148" s="20">
        <f>IFERROR(__xludf.DUMMYFUNCTION("""COMPUTED_VALUE"""),2147.0)</f>
        <v>2147</v>
      </c>
      <c r="K2148" s="20" t="b">
        <f>IFERROR(__xludf.DUMMYFUNCTION("""COMPUTED_VALUE"""),FALSE)</f>
        <v>0</v>
      </c>
      <c r="L2148" s="20" t="str">
        <f>IFERROR(__xludf.DUMMYFUNCTION("""COMPUTED_VALUE"""),"Math;String;Dynamic Programming;")</f>
        <v>Math;String;Dynamic Programming;</v>
      </c>
      <c r="M2148" s="20" t="b">
        <f>IFERROR(__xludf.DUMMYFUNCTION("""COMPUTED_VALUE"""),FALSE)</f>
        <v>0</v>
      </c>
      <c r="N2148" s="20" t="b">
        <f>IFERROR(__xludf.DUMMYFUNCTION("""COMPUTED_VALUE"""),FALSE)</f>
        <v>0</v>
      </c>
      <c r="O2148" s="20">
        <f>IFERROR(__xludf.DUMMYFUNCTION("""COMPUTED_VALUE"""),39.8122851855115)</f>
        <v>39.81228519</v>
      </c>
      <c r="P2148" s="20">
        <f>IFERROR(__xludf.DUMMYFUNCTION("""COMPUTED_VALUE"""),9035.0)</f>
        <v>9035</v>
      </c>
      <c r="Q2148" s="20">
        <f>IFERROR(__xludf.DUMMYFUNCTION("""COMPUTED_VALUE"""),22694.0)</f>
        <v>22694</v>
      </c>
    </row>
    <row r="2149">
      <c r="A2149" s="20">
        <f>IFERROR(__xludf.DUMMYFUNCTION("""COMPUTED_VALUE"""),2269.0)</f>
        <v>2269</v>
      </c>
      <c r="B2149" s="20" t="str">
        <f>IFERROR(__xludf.DUMMYFUNCTION("""COMPUTED_VALUE"""),"Count Elements With Strictly Smaller and Greater Elements ")</f>
        <v>Count Elements With Strictly Smaller and Greater Elements </v>
      </c>
      <c r="C2149" s="20" t="str">
        <f>IFERROR(__xludf.DUMMYFUNCTION("""COMPUTED_VALUE"""),"count-elements-with-strictly-smaller-and-greater-elements")</f>
        <v>count-elements-with-strictly-smaller-and-greater-elements</v>
      </c>
      <c r="D2149" s="20" t="b">
        <f>IFERROR(__xludf.DUMMYFUNCTION("""COMPUTED_VALUE"""),FALSE)</f>
        <v>0</v>
      </c>
      <c r="E2149" s="20" t="str">
        <f>IFERROR(__xludf.DUMMYFUNCTION("""COMPUTED_VALUE"""),"Easy")</f>
        <v>Easy</v>
      </c>
      <c r="F2149" s="20">
        <f>IFERROR(__xludf.DUMMYFUNCTION("""COMPUTED_VALUE"""),422.0)</f>
        <v>422</v>
      </c>
      <c r="G2149" s="20">
        <f>IFERROR(__xludf.DUMMYFUNCTION("""COMPUTED_VALUE"""),17.0)</f>
        <v>17</v>
      </c>
      <c r="H2149" s="20" t="str">
        <f>IFERROR(__xludf.DUMMYFUNCTION("""COMPUTED_VALUE"""),"Algorithms")</f>
        <v>Algorithms</v>
      </c>
      <c r="I2149" s="20">
        <f>IFERROR(__xludf.DUMMYFUNCTION("""COMPUTED_VALUE"""),0.599)</f>
        <v>0.599</v>
      </c>
      <c r="J2149" s="20">
        <f>IFERROR(__xludf.DUMMYFUNCTION("""COMPUTED_VALUE"""),2148.0)</f>
        <v>2148</v>
      </c>
      <c r="K2149" s="20" t="b">
        <f>IFERROR(__xludf.DUMMYFUNCTION("""COMPUTED_VALUE"""),FALSE)</f>
        <v>0</v>
      </c>
      <c r="L2149" s="20" t="str">
        <f>IFERROR(__xludf.DUMMYFUNCTION("""COMPUTED_VALUE"""),"Array;Sorting;")</f>
        <v>Array;Sorting;</v>
      </c>
      <c r="M2149" s="20" t="b">
        <f>IFERROR(__xludf.DUMMYFUNCTION("""COMPUTED_VALUE"""),FALSE)</f>
        <v>0</v>
      </c>
      <c r="N2149" s="20" t="b">
        <f>IFERROR(__xludf.DUMMYFUNCTION("""COMPUTED_VALUE"""),FALSE)</f>
        <v>0</v>
      </c>
      <c r="O2149" s="20">
        <f>IFERROR(__xludf.DUMMYFUNCTION("""COMPUTED_VALUE"""),59.9007914211869)</f>
        <v>59.90079142</v>
      </c>
      <c r="P2149" s="20">
        <f>IFERROR(__xludf.DUMMYFUNCTION("""COMPUTED_VALUE"""),37314.0)</f>
        <v>37314</v>
      </c>
      <c r="Q2149" s="20">
        <f>IFERROR(__xludf.DUMMYFUNCTION("""COMPUTED_VALUE"""),62293.0)</f>
        <v>62293</v>
      </c>
    </row>
    <row r="2150">
      <c r="A2150" s="20">
        <f>IFERROR(__xludf.DUMMYFUNCTION("""COMPUTED_VALUE"""),2271.0)</f>
        <v>2271</v>
      </c>
      <c r="B2150" s="20" t="str">
        <f>IFERROR(__xludf.DUMMYFUNCTION("""COMPUTED_VALUE"""),"Rearrange Array Elements by Sign")</f>
        <v>Rearrange Array Elements by Sign</v>
      </c>
      <c r="C2150" s="20" t="str">
        <f>IFERROR(__xludf.DUMMYFUNCTION("""COMPUTED_VALUE"""),"rearrange-array-elements-by-sign")</f>
        <v>rearrange-array-elements-by-sign</v>
      </c>
      <c r="D2150" s="20" t="b">
        <f>IFERROR(__xludf.DUMMYFUNCTION("""COMPUTED_VALUE"""),FALSE)</f>
        <v>0</v>
      </c>
      <c r="E2150" s="20" t="str">
        <f>IFERROR(__xludf.DUMMYFUNCTION("""COMPUTED_VALUE"""),"Medium")</f>
        <v>Medium</v>
      </c>
      <c r="F2150" s="20">
        <f>IFERROR(__xludf.DUMMYFUNCTION("""COMPUTED_VALUE"""),1126.0)</f>
        <v>1126</v>
      </c>
      <c r="G2150" s="20">
        <f>IFERROR(__xludf.DUMMYFUNCTION("""COMPUTED_VALUE"""),64.0)</f>
        <v>64</v>
      </c>
      <c r="H2150" s="20" t="str">
        <f>IFERROR(__xludf.DUMMYFUNCTION("""COMPUTED_VALUE"""),"Algorithms")</f>
        <v>Algorithms</v>
      </c>
      <c r="I2150" s="20">
        <f>IFERROR(__xludf.DUMMYFUNCTION("""COMPUTED_VALUE"""),0.809)</f>
        <v>0.809</v>
      </c>
      <c r="J2150" s="20">
        <f>IFERROR(__xludf.DUMMYFUNCTION("""COMPUTED_VALUE"""),2149.0)</f>
        <v>2149</v>
      </c>
      <c r="K2150" s="20" t="b">
        <f>IFERROR(__xludf.DUMMYFUNCTION("""COMPUTED_VALUE"""),FALSE)</f>
        <v>0</v>
      </c>
      <c r="L2150" s="20" t="str">
        <f>IFERROR(__xludf.DUMMYFUNCTION("""COMPUTED_VALUE"""),"Array;Two Pointers;Simulation;")</f>
        <v>Array;Two Pointers;Simulation;</v>
      </c>
      <c r="M2150" s="20" t="b">
        <f>IFERROR(__xludf.DUMMYFUNCTION("""COMPUTED_VALUE"""),FALSE)</f>
        <v>0</v>
      </c>
      <c r="N2150" s="20" t="b">
        <f>IFERROR(__xludf.DUMMYFUNCTION("""COMPUTED_VALUE"""),FALSE)</f>
        <v>0</v>
      </c>
      <c r="O2150" s="20">
        <f>IFERROR(__xludf.DUMMYFUNCTION("""COMPUTED_VALUE"""),80.9253159088454)</f>
        <v>80.92531591</v>
      </c>
      <c r="P2150" s="20">
        <f>IFERROR(__xludf.DUMMYFUNCTION("""COMPUTED_VALUE"""),59942.0)</f>
        <v>59942</v>
      </c>
      <c r="Q2150" s="20">
        <f>IFERROR(__xludf.DUMMYFUNCTION("""COMPUTED_VALUE"""),74070.0)</f>
        <v>74070</v>
      </c>
    </row>
    <row r="2151">
      <c r="A2151" s="20">
        <f>IFERROR(__xludf.DUMMYFUNCTION("""COMPUTED_VALUE"""),2270.0)</f>
        <v>2270</v>
      </c>
      <c r="B2151" s="20" t="str">
        <f>IFERROR(__xludf.DUMMYFUNCTION("""COMPUTED_VALUE"""),"Find All Lonely Numbers in the Array")</f>
        <v>Find All Lonely Numbers in the Array</v>
      </c>
      <c r="C2151" s="20" t="str">
        <f>IFERROR(__xludf.DUMMYFUNCTION("""COMPUTED_VALUE"""),"find-all-lonely-numbers-in-the-array")</f>
        <v>find-all-lonely-numbers-in-the-array</v>
      </c>
      <c r="D2151" s="20" t="b">
        <f>IFERROR(__xludf.DUMMYFUNCTION("""COMPUTED_VALUE"""),FALSE)</f>
        <v>0</v>
      </c>
      <c r="E2151" s="20" t="str">
        <f>IFERROR(__xludf.DUMMYFUNCTION("""COMPUTED_VALUE"""),"Medium")</f>
        <v>Medium</v>
      </c>
      <c r="F2151" s="20">
        <f>IFERROR(__xludf.DUMMYFUNCTION("""COMPUTED_VALUE"""),400.0)</f>
        <v>400</v>
      </c>
      <c r="G2151" s="20">
        <f>IFERROR(__xludf.DUMMYFUNCTION("""COMPUTED_VALUE"""),44.0)</f>
        <v>44</v>
      </c>
      <c r="H2151" s="20" t="str">
        <f>IFERROR(__xludf.DUMMYFUNCTION("""COMPUTED_VALUE"""),"Algorithms")</f>
        <v>Algorithms</v>
      </c>
      <c r="I2151" s="20">
        <f>IFERROR(__xludf.DUMMYFUNCTION("""COMPUTED_VALUE"""),0.608)</f>
        <v>0.608</v>
      </c>
      <c r="J2151" s="20">
        <f>IFERROR(__xludf.DUMMYFUNCTION("""COMPUTED_VALUE"""),2150.0)</f>
        <v>2150</v>
      </c>
      <c r="K2151" s="20" t="b">
        <f>IFERROR(__xludf.DUMMYFUNCTION("""COMPUTED_VALUE"""),FALSE)</f>
        <v>0</v>
      </c>
      <c r="L2151" s="20" t="str">
        <f>IFERROR(__xludf.DUMMYFUNCTION("""COMPUTED_VALUE"""),"Array;Hash Table;Counting;")</f>
        <v>Array;Hash Table;Counting;</v>
      </c>
      <c r="M2151" s="20" t="b">
        <f>IFERROR(__xludf.DUMMYFUNCTION("""COMPUTED_VALUE"""),FALSE)</f>
        <v>0</v>
      </c>
      <c r="N2151" s="20" t="b">
        <f>IFERROR(__xludf.DUMMYFUNCTION("""COMPUTED_VALUE"""),FALSE)</f>
        <v>0</v>
      </c>
      <c r="O2151" s="20">
        <f>IFERROR(__xludf.DUMMYFUNCTION("""COMPUTED_VALUE"""),60.7716669241464)</f>
        <v>60.77166692</v>
      </c>
      <c r="P2151" s="20">
        <f>IFERROR(__xludf.DUMMYFUNCTION("""COMPUTED_VALUE"""),31469.0)</f>
        <v>31469</v>
      </c>
      <c r="Q2151" s="20">
        <f>IFERROR(__xludf.DUMMYFUNCTION("""COMPUTED_VALUE"""),51783.0)</f>
        <v>51783</v>
      </c>
    </row>
    <row r="2152">
      <c r="A2152" s="20">
        <f>IFERROR(__xludf.DUMMYFUNCTION("""COMPUTED_VALUE"""),2272.0)</f>
        <v>2272</v>
      </c>
      <c r="B2152" s="20" t="str">
        <f>IFERROR(__xludf.DUMMYFUNCTION("""COMPUTED_VALUE"""),"Maximum Good People Based on Statements")</f>
        <v>Maximum Good People Based on Statements</v>
      </c>
      <c r="C2152" s="20" t="str">
        <f>IFERROR(__xludf.DUMMYFUNCTION("""COMPUTED_VALUE"""),"maximum-good-people-based-on-statements")</f>
        <v>maximum-good-people-based-on-statements</v>
      </c>
      <c r="D2152" s="20" t="b">
        <f>IFERROR(__xludf.DUMMYFUNCTION("""COMPUTED_VALUE"""),FALSE)</f>
        <v>0</v>
      </c>
      <c r="E2152" s="20" t="str">
        <f>IFERROR(__xludf.DUMMYFUNCTION("""COMPUTED_VALUE"""),"Hard")</f>
        <v>Hard</v>
      </c>
      <c r="F2152" s="20">
        <f>IFERROR(__xludf.DUMMYFUNCTION("""COMPUTED_VALUE"""),383.0)</f>
        <v>383</v>
      </c>
      <c r="G2152" s="20">
        <f>IFERROR(__xludf.DUMMYFUNCTION("""COMPUTED_VALUE"""),73.0)</f>
        <v>73</v>
      </c>
      <c r="H2152" s="20" t="str">
        <f>IFERROR(__xludf.DUMMYFUNCTION("""COMPUTED_VALUE"""),"Algorithms")</f>
        <v>Algorithms</v>
      </c>
      <c r="I2152" s="20">
        <f>IFERROR(__xludf.DUMMYFUNCTION("""COMPUTED_VALUE"""),0.487)</f>
        <v>0.487</v>
      </c>
      <c r="J2152" s="20">
        <f>IFERROR(__xludf.DUMMYFUNCTION("""COMPUTED_VALUE"""),2151.0)</f>
        <v>2151</v>
      </c>
      <c r="K2152" s="20" t="b">
        <f>IFERROR(__xludf.DUMMYFUNCTION("""COMPUTED_VALUE"""),FALSE)</f>
        <v>0</v>
      </c>
      <c r="L2152" s="20" t="str">
        <f>IFERROR(__xludf.DUMMYFUNCTION("""COMPUTED_VALUE"""),"Array;Backtracking;Bit Manipulation;Enumeration;")</f>
        <v>Array;Backtracking;Bit Manipulation;Enumeration;</v>
      </c>
      <c r="M2152" s="20" t="b">
        <f>IFERROR(__xludf.DUMMYFUNCTION("""COMPUTED_VALUE"""),FALSE)</f>
        <v>0</v>
      </c>
      <c r="N2152" s="20" t="b">
        <f>IFERROR(__xludf.DUMMYFUNCTION("""COMPUTED_VALUE"""),FALSE)</f>
        <v>0</v>
      </c>
      <c r="O2152" s="20">
        <f>IFERROR(__xludf.DUMMYFUNCTION("""COMPUTED_VALUE"""),48.6947979041916)</f>
        <v>48.6947979</v>
      </c>
      <c r="P2152" s="20">
        <f>IFERROR(__xludf.DUMMYFUNCTION("""COMPUTED_VALUE"""),10409.0)</f>
        <v>10409</v>
      </c>
      <c r="Q2152" s="20">
        <f>IFERROR(__xludf.DUMMYFUNCTION("""COMPUTED_VALUE"""),21374.0)</f>
        <v>21374</v>
      </c>
    </row>
    <row r="2153">
      <c r="A2153" s="20">
        <f>IFERROR(__xludf.DUMMYFUNCTION("""COMPUTED_VALUE"""),2287.0)</f>
        <v>2287</v>
      </c>
      <c r="B2153" s="20" t="str">
        <f>IFERROR(__xludf.DUMMYFUNCTION("""COMPUTED_VALUE"""),"Minimum Number of Lines to Cover Points")</f>
        <v>Minimum Number of Lines to Cover Points</v>
      </c>
      <c r="C2153" s="20" t="str">
        <f>IFERROR(__xludf.DUMMYFUNCTION("""COMPUTED_VALUE"""),"minimum-number-of-lines-to-cover-points")</f>
        <v>minimum-number-of-lines-to-cover-points</v>
      </c>
      <c r="D2153" s="20" t="b">
        <f>IFERROR(__xludf.DUMMYFUNCTION("""COMPUTED_VALUE"""),TRUE)</f>
        <v>1</v>
      </c>
      <c r="E2153" s="20" t="str">
        <f>IFERROR(__xludf.DUMMYFUNCTION("""COMPUTED_VALUE"""),"Medium")</f>
        <v>Medium</v>
      </c>
      <c r="F2153" s="20">
        <f>IFERROR(__xludf.DUMMYFUNCTION("""COMPUTED_VALUE"""),44.0)</f>
        <v>44</v>
      </c>
      <c r="G2153" s="20">
        <f>IFERROR(__xludf.DUMMYFUNCTION("""COMPUTED_VALUE"""),8.0)</f>
        <v>8</v>
      </c>
      <c r="H2153" s="20" t="str">
        <f>IFERROR(__xludf.DUMMYFUNCTION("""COMPUTED_VALUE"""),"Algorithms")</f>
        <v>Algorithms</v>
      </c>
      <c r="I2153" s="20">
        <f>IFERROR(__xludf.DUMMYFUNCTION("""COMPUTED_VALUE"""),0.468)</f>
        <v>0.468</v>
      </c>
      <c r="J2153" s="20">
        <f>IFERROR(__xludf.DUMMYFUNCTION("""COMPUTED_VALUE"""),2152.0)</f>
        <v>2152</v>
      </c>
      <c r="K2153" s="20" t="b">
        <f>IFERROR(__xludf.DUMMYFUNCTION("""COMPUTED_VALUE"""),TRUE)</f>
        <v>1</v>
      </c>
      <c r="L2153" s="20" t="str">
        <f>IFERROR(__xludf.DUMMYFUNCTION("""COMPUTED_VALUE"""),"Array;Hash Table;Math;Dynamic Programming;Backtracking;Bit Manipulation;Geometry;Bitmask;")</f>
        <v>Array;Hash Table;Math;Dynamic Programming;Backtracking;Bit Manipulation;Geometry;Bitmask;</v>
      </c>
      <c r="M2153" s="20" t="b">
        <f>IFERROR(__xludf.DUMMYFUNCTION("""COMPUTED_VALUE"""),FALSE)</f>
        <v>0</v>
      </c>
      <c r="N2153" s="20" t="b">
        <f>IFERROR(__xludf.DUMMYFUNCTION("""COMPUTED_VALUE"""),FALSE)</f>
        <v>0</v>
      </c>
      <c r="O2153" s="20">
        <f>IFERROR(__xludf.DUMMYFUNCTION("""COMPUTED_VALUE"""),46.8029739776951)</f>
        <v>46.80297398</v>
      </c>
      <c r="P2153" s="20">
        <f>IFERROR(__xludf.DUMMYFUNCTION("""COMPUTED_VALUE"""),1259.0)</f>
        <v>1259</v>
      </c>
      <c r="Q2153" s="20">
        <f>IFERROR(__xludf.DUMMYFUNCTION("""COMPUTED_VALUE"""),2690.0)</f>
        <v>2690</v>
      </c>
    </row>
    <row r="2154">
      <c r="A2154" s="20">
        <f>IFERROR(__xludf.DUMMYFUNCTION("""COMPUTED_VALUE"""),2296.0)</f>
        <v>2296</v>
      </c>
      <c r="B2154" s="20" t="str">
        <f>IFERROR(__xludf.DUMMYFUNCTION("""COMPUTED_VALUE"""),"The Number of Passengers in Each Bus II")</f>
        <v>The Number of Passengers in Each Bus II</v>
      </c>
      <c r="C2154" s="20" t="str">
        <f>IFERROR(__xludf.DUMMYFUNCTION("""COMPUTED_VALUE"""),"the-number-of-passengers-in-each-bus-ii")</f>
        <v>the-number-of-passengers-in-each-bus-ii</v>
      </c>
      <c r="D2154" s="20" t="b">
        <f>IFERROR(__xludf.DUMMYFUNCTION("""COMPUTED_VALUE"""),TRUE)</f>
        <v>1</v>
      </c>
      <c r="E2154" s="20" t="str">
        <f>IFERROR(__xludf.DUMMYFUNCTION("""COMPUTED_VALUE"""),"Hard")</f>
        <v>Hard</v>
      </c>
      <c r="F2154" s="20">
        <f>IFERROR(__xludf.DUMMYFUNCTION("""COMPUTED_VALUE"""),52.0)</f>
        <v>52</v>
      </c>
      <c r="G2154" s="20">
        <f>IFERROR(__xludf.DUMMYFUNCTION("""COMPUTED_VALUE"""),22.0)</f>
        <v>22</v>
      </c>
      <c r="H2154" s="20" t="str">
        <f>IFERROR(__xludf.DUMMYFUNCTION("""COMPUTED_VALUE"""),"Database")</f>
        <v>Database</v>
      </c>
      <c r="I2154" s="20">
        <f>IFERROR(__xludf.DUMMYFUNCTION("""COMPUTED_VALUE"""),0.502)</f>
        <v>0.502</v>
      </c>
      <c r="J2154" s="20">
        <f>IFERROR(__xludf.DUMMYFUNCTION("""COMPUTED_VALUE"""),2153.0)</f>
        <v>2153</v>
      </c>
      <c r="K2154" s="20" t="b">
        <f>IFERROR(__xludf.DUMMYFUNCTION("""COMPUTED_VALUE"""),TRUE)</f>
        <v>1</v>
      </c>
      <c r="L2154" s="20" t="str">
        <f>IFERROR(__xludf.DUMMYFUNCTION("""COMPUTED_VALUE"""),"Database;")</f>
        <v>Database;</v>
      </c>
      <c r="M2154" s="20" t="b">
        <f>IFERROR(__xludf.DUMMYFUNCTION("""COMPUTED_VALUE"""),FALSE)</f>
        <v>0</v>
      </c>
      <c r="N2154" s="20" t="b">
        <f>IFERROR(__xludf.DUMMYFUNCTION("""COMPUTED_VALUE"""),FALSE)</f>
        <v>0</v>
      </c>
      <c r="O2154" s="20">
        <f>IFERROR(__xludf.DUMMYFUNCTION("""COMPUTED_VALUE"""),50.1742160278745)</f>
        <v>50.17421603</v>
      </c>
      <c r="P2154" s="20">
        <f>IFERROR(__xludf.DUMMYFUNCTION("""COMPUTED_VALUE"""),1584.0)</f>
        <v>1584</v>
      </c>
      <c r="Q2154" s="20">
        <f>IFERROR(__xludf.DUMMYFUNCTION("""COMPUTED_VALUE"""),3157.0)</f>
        <v>3157</v>
      </c>
    </row>
    <row r="2155">
      <c r="A2155" s="20">
        <f>IFERROR(__xludf.DUMMYFUNCTION("""COMPUTED_VALUE"""),2274.0)</f>
        <v>2274</v>
      </c>
      <c r="B2155" s="20" t="str">
        <f>IFERROR(__xludf.DUMMYFUNCTION("""COMPUTED_VALUE"""),"Keep Multiplying Found Values by Two")</f>
        <v>Keep Multiplying Found Values by Two</v>
      </c>
      <c r="C2155" s="20" t="str">
        <f>IFERROR(__xludf.DUMMYFUNCTION("""COMPUTED_VALUE"""),"keep-multiplying-found-values-by-two")</f>
        <v>keep-multiplying-found-values-by-two</v>
      </c>
      <c r="D2155" s="20" t="b">
        <f>IFERROR(__xludf.DUMMYFUNCTION("""COMPUTED_VALUE"""),FALSE)</f>
        <v>0</v>
      </c>
      <c r="E2155" s="20" t="str">
        <f>IFERROR(__xludf.DUMMYFUNCTION("""COMPUTED_VALUE"""),"Easy")</f>
        <v>Easy</v>
      </c>
      <c r="F2155" s="20">
        <f>IFERROR(__xludf.DUMMYFUNCTION("""COMPUTED_VALUE"""),470.0)</f>
        <v>470</v>
      </c>
      <c r="G2155" s="20">
        <f>IFERROR(__xludf.DUMMYFUNCTION("""COMPUTED_VALUE"""),20.0)</f>
        <v>20</v>
      </c>
      <c r="H2155" s="20" t="str">
        <f>IFERROR(__xludf.DUMMYFUNCTION("""COMPUTED_VALUE"""),"Algorithms")</f>
        <v>Algorithms</v>
      </c>
      <c r="I2155" s="20">
        <f>IFERROR(__xludf.DUMMYFUNCTION("""COMPUTED_VALUE"""),0.731)</f>
        <v>0.731</v>
      </c>
      <c r="J2155" s="20">
        <f>IFERROR(__xludf.DUMMYFUNCTION("""COMPUTED_VALUE"""),2154.0)</f>
        <v>2154</v>
      </c>
      <c r="K2155" s="20" t="b">
        <f>IFERROR(__xludf.DUMMYFUNCTION("""COMPUTED_VALUE"""),FALSE)</f>
        <v>0</v>
      </c>
      <c r="L2155" s="20" t="str">
        <f>IFERROR(__xludf.DUMMYFUNCTION("""COMPUTED_VALUE"""),"Array;Hash Table;Sorting;Simulation;")</f>
        <v>Array;Hash Table;Sorting;Simulation;</v>
      </c>
      <c r="M2155" s="20" t="b">
        <f>IFERROR(__xludf.DUMMYFUNCTION("""COMPUTED_VALUE"""),FALSE)</f>
        <v>0</v>
      </c>
      <c r="N2155" s="20" t="b">
        <f>IFERROR(__xludf.DUMMYFUNCTION("""COMPUTED_VALUE"""),FALSE)</f>
        <v>0</v>
      </c>
      <c r="O2155" s="20">
        <f>IFERROR(__xludf.DUMMYFUNCTION("""COMPUTED_VALUE"""),73.085395215409)</f>
        <v>73.08539522</v>
      </c>
      <c r="P2155" s="20">
        <f>IFERROR(__xludf.DUMMYFUNCTION("""COMPUTED_VALUE"""),57067.0)</f>
        <v>57067</v>
      </c>
      <c r="Q2155" s="20">
        <f>IFERROR(__xludf.DUMMYFUNCTION("""COMPUTED_VALUE"""),78083.0)</f>
        <v>78083</v>
      </c>
    </row>
    <row r="2156">
      <c r="A2156" s="20">
        <f>IFERROR(__xludf.DUMMYFUNCTION("""COMPUTED_VALUE"""),2261.0)</f>
        <v>2261</v>
      </c>
      <c r="B2156" s="20" t="str">
        <f>IFERROR(__xludf.DUMMYFUNCTION("""COMPUTED_VALUE"""),"All Divisions With the Highest Score of a Binary Array")</f>
        <v>All Divisions With the Highest Score of a Binary Array</v>
      </c>
      <c r="C2156" s="20" t="str">
        <f>IFERROR(__xludf.DUMMYFUNCTION("""COMPUTED_VALUE"""),"all-divisions-with-the-highest-score-of-a-binary-array")</f>
        <v>all-divisions-with-the-highest-score-of-a-binary-array</v>
      </c>
      <c r="D2156" s="20" t="b">
        <f>IFERROR(__xludf.DUMMYFUNCTION("""COMPUTED_VALUE"""),FALSE)</f>
        <v>0</v>
      </c>
      <c r="E2156" s="20" t="str">
        <f>IFERROR(__xludf.DUMMYFUNCTION("""COMPUTED_VALUE"""),"Medium")</f>
        <v>Medium</v>
      </c>
      <c r="F2156" s="20">
        <f>IFERROR(__xludf.DUMMYFUNCTION("""COMPUTED_VALUE"""),403.0)</f>
        <v>403</v>
      </c>
      <c r="G2156" s="20">
        <f>IFERROR(__xludf.DUMMYFUNCTION("""COMPUTED_VALUE"""),11.0)</f>
        <v>11</v>
      </c>
      <c r="H2156" s="20" t="str">
        <f>IFERROR(__xludf.DUMMYFUNCTION("""COMPUTED_VALUE"""),"Algorithms")</f>
        <v>Algorithms</v>
      </c>
      <c r="I2156" s="20">
        <f>IFERROR(__xludf.DUMMYFUNCTION("""COMPUTED_VALUE"""),0.635)</f>
        <v>0.635</v>
      </c>
      <c r="J2156" s="20">
        <f>IFERROR(__xludf.DUMMYFUNCTION("""COMPUTED_VALUE"""),2155.0)</f>
        <v>2155</v>
      </c>
      <c r="K2156" s="20" t="b">
        <f>IFERROR(__xludf.DUMMYFUNCTION("""COMPUTED_VALUE"""),FALSE)</f>
        <v>0</v>
      </c>
      <c r="L2156" s="20" t="str">
        <f>IFERROR(__xludf.DUMMYFUNCTION("""COMPUTED_VALUE"""),"Array;")</f>
        <v>Array;</v>
      </c>
      <c r="M2156" s="20" t="b">
        <f>IFERROR(__xludf.DUMMYFUNCTION("""COMPUTED_VALUE"""),FALSE)</f>
        <v>0</v>
      </c>
      <c r="N2156" s="20" t="b">
        <f>IFERROR(__xludf.DUMMYFUNCTION("""COMPUTED_VALUE"""),FALSE)</f>
        <v>0</v>
      </c>
      <c r="O2156" s="20">
        <f>IFERROR(__xludf.DUMMYFUNCTION("""COMPUTED_VALUE"""),63.4576922051254)</f>
        <v>63.45769221</v>
      </c>
      <c r="P2156" s="20">
        <f>IFERROR(__xludf.DUMMYFUNCTION("""COMPUTED_VALUE"""),23796.0)</f>
        <v>23796</v>
      </c>
      <c r="Q2156" s="20">
        <f>IFERROR(__xludf.DUMMYFUNCTION("""COMPUTED_VALUE"""),37498.0)</f>
        <v>37498</v>
      </c>
    </row>
    <row r="2157">
      <c r="A2157" s="20">
        <f>IFERROR(__xludf.DUMMYFUNCTION("""COMPUTED_VALUE"""),2275.0)</f>
        <v>2275</v>
      </c>
      <c r="B2157" s="20" t="str">
        <f>IFERROR(__xludf.DUMMYFUNCTION("""COMPUTED_VALUE"""),"Find Substring With Given Hash Value")</f>
        <v>Find Substring With Given Hash Value</v>
      </c>
      <c r="C2157" s="20" t="str">
        <f>IFERROR(__xludf.DUMMYFUNCTION("""COMPUTED_VALUE"""),"find-substring-with-given-hash-value")</f>
        <v>find-substring-with-given-hash-value</v>
      </c>
      <c r="D2157" s="20" t="b">
        <f>IFERROR(__xludf.DUMMYFUNCTION("""COMPUTED_VALUE"""),FALSE)</f>
        <v>0</v>
      </c>
      <c r="E2157" s="20" t="str">
        <f>IFERROR(__xludf.DUMMYFUNCTION("""COMPUTED_VALUE"""),"Hard")</f>
        <v>Hard</v>
      </c>
      <c r="F2157" s="20">
        <f>IFERROR(__xludf.DUMMYFUNCTION("""COMPUTED_VALUE"""),364.0)</f>
        <v>364</v>
      </c>
      <c r="G2157" s="20">
        <f>IFERROR(__xludf.DUMMYFUNCTION("""COMPUTED_VALUE"""),363.0)</f>
        <v>363</v>
      </c>
      <c r="H2157" s="20" t="str">
        <f>IFERROR(__xludf.DUMMYFUNCTION("""COMPUTED_VALUE"""),"Algorithms")</f>
        <v>Algorithms</v>
      </c>
      <c r="I2157" s="20">
        <f>IFERROR(__xludf.DUMMYFUNCTION("""COMPUTED_VALUE"""),0.222)</f>
        <v>0.222</v>
      </c>
      <c r="J2157" s="20">
        <f>IFERROR(__xludf.DUMMYFUNCTION("""COMPUTED_VALUE"""),2156.0)</f>
        <v>2156</v>
      </c>
      <c r="K2157" s="20" t="b">
        <f>IFERROR(__xludf.DUMMYFUNCTION("""COMPUTED_VALUE"""),FALSE)</f>
        <v>0</v>
      </c>
      <c r="L2157" s="20" t="str">
        <f>IFERROR(__xludf.DUMMYFUNCTION("""COMPUTED_VALUE"""),"String;Sliding Window;Rolling Hash;Hash Function;")</f>
        <v>String;Sliding Window;Rolling Hash;Hash Function;</v>
      </c>
      <c r="M2157" s="20" t="b">
        <f>IFERROR(__xludf.DUMMYFUNCTION("""COMPUTED_VALUE"""),FALSE)</f>
        <v>0</v>
      </c>
      <c r="N2157" s="20" t="b">
        <f>IFERROR(__xludf.DUMMYFUNCTION("""COMPUTED_VALUE"""),FALSE)</f>
        <v>0</v>
      </c>
      <c r="O2157" s="20">
        <f>IFERROR(__xludf.DUMMYFUNCTION("""COMPUTED_VALUE"""),22.1559454987436)</f>
        <v>22.1559455</v>
      </c>
      <c r="P2157" s="20">
        <f>IFERROR(__xludf.DUMMYFUNCTION("""COMPUTED_VALUE"""),10846.0)</f>
        <v>10846</v>
      </c>
      <c r="Q2157" s="20">
        <f>IFERROR(__xludf.DUMMYFUNCTION("""COMPUTED_VALUE"""),48953.0)</f>
        <v>48953</v>
      </c>
    </row>
    <row r="2158">
      <c r="A2158" s="20">
        <f>IFERROR(__xludf.DUMMYFUNCTION("""COMPUTED_VALUE"""),2276.0)</f>
        <v>2276</v>
      </c>
      <c r="B2158" s="20" t="str">
        <f>IFERROR(__xludf.DUMMYFUNCTION("""COMPUTED_VALUE"""),"Groups of Strings")</f>
        <v>Groups of Strings</v>
      </c>
      <c r="C2158" s="20" t="str">
        <f>IFERROR(__xludf.DUMMYFUNCTION("""COMPUTED_VALUE"""),"groups-of-strings")</f>
        <v>groups-of-strings</v>
      </c>
      <c r="D2158" s="20" t="b">
        <f>IFERROR(__xludf.DUMMYFUNCTION("""COMPUTED_VALUE"""),FALSE)</f>
        <v>0</v>
      </c>
      <c r="E2158" s="20" t="str">
        <f>IFERROR(__xludf.DUMMYFUNCTION("""COMPUTED_VALUE"""),"Hard")</f>
        <v>Hard</v>
      </c>
      <c r="F2158" s="20">
        <f>IFERROR(__xludf.DUMMYFUNCTION("""COMPUTED_VALUE"""),353.0)</f>
        <v>353</v>
      </c>
      <c r="G2158" s="20">
        <f>IFERROR(__xludf.DUMMYFUNCTION("""COMPUTED_VALUE"""),44.0)</f>
        <v>44</v>
      </c>
      <c r="H2158" s="20" t="str">
        <f>IFERROR(__xludf.DUMMYFUNCTION("""COMPUTED_VALUE"""),"Algorithms")</f>
        <v>Algorithms</v>
      </c>
      <c r="I2158" s="20">
        <f>IFERROR(__xludf.DUMMYFUNCTION("""COMPUTED_VALUE"""),0.254)</f>
        <v>0.254</v>
      </c>
      <c r="J2158" s="20">
        <f>IFERROR(__xludf.DUMMYFUNCTION("""COMPUTED_VALUE"""),2157.0)</f>
        <v>2157</v>
      </c>
      <c r="K2158" s="20" t="b">
        <f>IFERROR(__xludf.DUMMYFUNCTION("""COMPUTED_VALUE"""),FALSE)</f>
        <v>0</v>
      </c>
      <c r="L2158" s="20" t="str">
        <f>IFERROR(__xludf.DUMMYFUNCTION("""COMPUTED_VALUE"""),"String;Bit Manipulation;Union Find;")</f>
        <v>String;Bit Manipulation;Union Find;</v>
      </c>
      <c r="M2158" s="20" t="b">
        <f>IFERROR(__xludf.DUMMYFUNCTION("""COMPUTED_VALUE"""),FALSE)</f>
        <v>0</v>
      </c>
      <c r="N2158" s="20" t="b">
        <f>IFERROR(__xludf.DUMMYFUNCTION("""COMPUTED_VALUE"""),FALSE)</f>
        <v>0</v>
      </c>
      <c r="O2158" s="20">
        <f>IFERROR(__xludf.DUMMYFUNCTION("""COMPUTED_VALUE"""),25.4473860000703)</f>
        <v>25.447386</v>
      </c>
      <c r="P2158" s="20">
        <f>IFERROR(__xludf.DUMMYFUNCTION("""COMPUTED_VALUE"""),7238.0)</f>
        <v>7238</v>
      </c>
      <c r="Q2158" s="20">
        <f>IFERROR(__xludf.DUMMYFUNCTION("""COMPUTED_VALUE"""),28443.0)</f>
        <v>28443</v>
      </c>
    </row>
    <row r="2159">
      <c r="A2159" s="20">
        <f>IFERROR(__xludf.DUMMYFUNCTION("""COMPUTED_VALUE"""),2297.0)</f>
        <v>2297</v>
      </c>
      <c r="B2159" s="20" t="str">
        <f>IFERROR(__xludf.DUMMYFUNCTION("""COMPUTED_VALUE"""),"Amount of New Area Painted Each Day")</f>
        <v>Amount of New Area Painted Each Day</v>
      </c>
      <c r="C2159" s="20" t="str">
        <f>IFERROR(__xludf.DUMMYFUNCTION("""COMPUTED_VALUE"""),"amount-of-new-area-painted-each-day")</f>
        <v>amount-of-new-area-painted-each-day</v>
      </c>
      <c r="D2159" s="20" t="b">
        <f>IFERROR(__xludf.DUMMYFUNCTION("""COMPUTED_VALUE"""),TRUE)</f>
        <v>1</v>
      </c>
      <c r="E2159" s="20" t="str">
        <f>IFERROR(__xludf.DUMMYFUNCTION("""COMPUTED_VALUE"""),"Hard")</f>
        <v>Hard</v>
      </c>
      <c r="F2159" s="20">
        <f>IFERROR(__xludf.DUMMYFUNCTION("""COMPUTED_VALUE"""),335.0)</f>
        <v>335</v>
      </c>
      <c r="G2159" s="20">
        <f>IFERROR(__xludf.DUMMYFUNCTION("""COMPUTED_VALUE"""),35.0)</f>
        <v>35</v>
      </c>
      <c r="H2159" s="20" t="str">
        <f>IFERROR(__xludf.DUMMYFUNCTION("""COMPUTED_VALUE"""),"Algorithms")</f>
        <v>Algorithms</v>
      </c>
      <c r="I2159" s="20">
        <f>IFERROR(__xludf.DUMMYFUNCTION("""COMPUTED_VALUE"""),0.546)</f>
        <v>0.546</v>
      </c>
      <c r="J2159" s="20">
        <f>IFERROR(__xludf.DUMMYFUNCTION("""COMPUTED_VALUE"""),2158.0)</f>
        <v>2158</v>
      </c>
      <c r="K2159" s="20" t="b">
        <f>IFERROR(__xludf.DUMMYFUNCTION("""COMPUTED_VALUE"""),TRUE)</f>
        <v>1</v>
      </c>
      <c r="L2159" s="20" t="str">
        <f>IFERROR(__xludf.DUMMYFUNCTION("""COMPUTED_VALUE"""),"Array;Segment Tree;Ordered Set;")</f>
        <v>Array;Segment Tree;Ordered Set;</v>
      </c>
      <c r="M2159" s="20" t="b">
        <f>IFERROR(__xludf.DUMMYFUNCTION("""COMPUTED_VALUE"""),FALSE)</f>
        <v>0</v>
      </c>
      <c r="N2159" s="20" t="b">
        <f>IFERROR(__xludf.DUMMYFUNCTION("""COMPUTED_VALUE"""),FALSE)</f>
        <v>0</v>
      </c>
      <c r="O2159" s="20">
        <f>IFERROR(__xludf.DUMMYFUNCTION("""COMPUTED_VALUE"""),54.6499451481001)</f>
        <v>54.64994515</v>
      </c>
      <c r="P2159" s="20">
        <f>IFERROR(__xludf.DUMMYFUNCTION("""COMPUTED_VALUE"""),21919.0)</f>
        <v>21919</v>
      </c>
      <c r="Q2159" s="20">
        <f>IFERROR(__xludf.DUMMYFUNCTION("""COMPUTED_VALUE"""),40108.0)</f>
        <v>40108</v>
      </c>
    </row>
    <row r="2160">
      <c r="A2160" s="20">
        <f>IFERROR(__xludf.DUMMYFUNCTION("""COMPUTED_VALUE"""),2302.0)</f>
        <v>2302</v>
      </c>
      <c r="B2160" s="20" t="str">
        <f>IFERROR(__xludf.DUMMYFUNCTION("""COMPUTED_VALUE"""),"Order Two Columns Independently")</f>
        <v>Order Two Columns Independently</v>
      </c>
      <c r="C2160" s="20" t="str">
        <f>IFERROR(__xludf.DUMMYFUNCTION("""COMPUTED_VALUE"""),"order-two-columns-independently")</f>
        <v>order-two-columns-independently</v>
      </c>
      <c r="D2160" s="20" t="b">
        <f>IFERROR(__xludf.DUMMYFUNCTION("""COMPUTED_VALUE"""),TRUE)</f>
        <v>1</v>
      </c>
      <c r="E2160" s="20" t="str">
        <f>IFERROR(__xludf.DUMMYFUNCTION("""COMPUTED_VALUE"""),"Medium")</f>
        <v>Medium</v>
      </c>
      <c r="F2160" s="20">
        <f>IFERROR(__xludf.DUMMYFUNCTION("""COMPUTED_VALUE"""),46.0)</f>
        <v>46</v>
      </c>
      <c r="G2160" s="20">
        <f>IFERROR(__xludf.DUMMYFUNCTION("""COMPUTED_VALUE"""),15.0)</f>
        <v>15</v>
      </c>
      <c r="H2160" s="20" t="str">
        <f>IFERROR(__xludf.DUMMYFUNCTION("""COMPUTED_VALUE"""),"Database")</f>
        <v>Database</v>
      </c>
      <c r="I2160" s="20">
        <f>IFERROR(__xludf.DUMMYFUNCTION("""COMPUTED_VALUE"""),0.628)</f>
        <v>0.628</v>
      </c>
      <c r="J2160" s="20">
        <f>IFERROR(__xludf.DUMMYFUNCTION("""COMPUTED_VALUE"""),2159.0)</f>
        <v>2159</v>
      </c>
      <c r="K2160" s="20" t="b">
        <f>IFERROR(__xludf.DUMMYFUNCTION("""COMPUTED_VALUE"""),TRUE)</f>
        <v>1</v>
      </c>
      <c r="L2160" s="20" t="str">
        <f>IFERROR(__xludf.DUMMYFUNCTION("""COMPUTED_VALUE"""),"Database;")</f>
        <v>Database;</v>
      </c>
      <c r="M2160" s="20" t="b">
        <f>IFERROR(__xludf.DUMMYFUNCTION("""COMPUTED_VALUE"""),FALSE)</f>
        <v>0</v>
      </c>
      <c r="N2160" s="20" t="b">
        <f>IFERROR(__xludf.DUMMYFUNCTION("""COMPUTED_VALUE"""),FALSE)</f>
        <v>0</v>
      </c>
      <c r="O2160" s="20">
        <f>IFERROR(__xludf.DUMMYFUNCTION("""COMPUTED_VALUE"""),62.8244897959183)</f>
        <v>62.8244898</v>
      </c>
      <c r="P2160" s="20">
        <f>IFERROR(__xludf.DUMMYFUNCTION("""COMPUTED_VALUE"""),3848.0)</f>
        <v>3848</v>
      </c>
      <c r="Q2160" s="20">
        <f>IFERROR(__xludf.DUMMYFUNCTION("""COMPUTED_VALUE"""),6125.0)</f>
        <v>6125</v>
      </c>
    </row>
    <row r="2161">
      <c r="A2161" s="20">
        <f>IFERROR(__xludf.DUMMYFUNCTION("""COMPUTED_VALUE"""),2264.0)</f>
        <v>2264</v>
      </c>
      <c r="B2161" s="20" t="str">
        <f>IFERROR(__xludf.DUMMYFUNCTION("""COMPUTED_VALUE"""),"Minimum Sum of Four Digit Number After Splitting Digits")</f>
        <v>Minimum Sum of Four Digit Number After Splitting Digits</v>
      </c>
      <c r="C2161" s="20" t="str">
        <f>IFERROR(__xludf.DUMMYFUNCTION("""COMPUTED_VALUE"""),"minimum-sum-of-four-digit-number-after-splitting-digits")</f>
        <v>minimum-sum-of-four-digit-number-after-splitting-digits</v>
      </c>
      <c r="D2161" s="20" t="b">
        <f>IFERROR(__xludf.DUMMYFUNCTION("""COMPUTED_VALUE"""),FALSE)</f>
        <v>0</v>
      </c>
      <c r="E2161" s="20" t="str">
        <f>IFERROR(__xludf.DUMMYFUNCTION("""COMPUTED_VALUE"""),"Easy")</f>
        <v>Easy</v>
      </c>
      <c r="F2161" s="20">
        <f>IFERROR(__xludf.DUMMYFUNCTION("""COMPUTED_VALUE"""),850.0)</f>
        <v>850</v>
      </c>
      <c r="G2161" s="20">
        <f>IFERROR(__xludf.DUMMYFUNCTION("""COMPUTED_VALUE"""),79.0)</f>
        <v>79</v>
      </c>
      <c r="H2161" s="20" t="str">
        <f>IFERROR(__xludf.DUMMYFUNCTION("""COMPUTED_VALUE"""),"Algorithms")</f>
        <v>Algorithms</v>
      </c>
      <c r="I2161" s="20">
        <f>IFERROR(__xludf.DUMMYFUNCTION("""COMPUTED_VALUE"""),0.877)</f>
        <v>0.877</v>
      </c>
      <c r="J2161" s="20">
        <f>IFERROR(__xludf.DUMMYFUNCTION("""COMPUTED_VALUE"""),2160.0)</f>
        <v>2160</v>
      </c>
      <c r="K2161" s="20" t="b">
        <f>IFERROR(__xludf.DUMMYFUNCTION("""COMPUTED_VALUE"""),FALSE)</f>
        <v>0</v>
      </c>
      <c r="L2161" s="20" t="str">
        <f>IFERROR(__xludf.DUMMYFUNCTION("""COMPUTED_VALUE"""),"Math;Greedy;Sorting;")</f>
        <v>Math;Greedy;Sorting;</v>
      </c>
      <c r="M2161" s="20" t="b">
        <f>IFERROR(__xludf.DUMMYFUNCTION("""COMPUTED_VALUE"""),FALSE)</f>
        <v>0</v>
      </c>
      <c r="N2161" s="20" t="b">
        <f>IFERROR(__xludf.DUMMYFUNCTION("""COMPUTED_VALUE"""),FALSE)</f>
        <v>0</v>
      </c>
      <c r="O2161" s="20">
        <f>IFERROR(__xludf.DUMMYFUNCTION("""COMPUTED_VALUE"""),87.6845066061106)</f>
        <v>87.68450661</v>
      </c>
      <c r="P2161" s="20">
        <f>IFERROR(__xludf.DUMMYFUNCTION("""COMPUTED_VALUE"""),67956.0)</f>
        <v>67956</v>
      </c>
      <c r="Q2161" s="20">
        <f>IFERROR(__xludf.DUMMYFUNCTION("""COMPUTED_VALUE"""),77501.0)</f>
        <v>77501</v>
      </c>
    </row>
    <row r="2162">
      <c r="A2162" s="20">
        <f>IFERROR(__xludf.DUMMYFUNCTION("""COMPUTED_VALUE"""),2265.0)</f>
        <v>2265</v>
      </c>
      <c r="B2162" s="20" t="str">
        <f>IFERROR(__xludf.DUMMYFUNCTION("""COMPUTED_VALUE"""),"Partition Array According to Given Pivot")</f>
        <v>Partition Array According to Given Pivot</v>
      </c>
      <c r="C2162" s="20" t="str">
        <f>IFERROR(__xludf.DUMMYFUNCTION("""COMPUTED_VALUE"""),"partition-array-according-to-given-pivot")</f>
        <v>partition-array-according-to-given-pivot</v>
      </c>
      <c r="D2162" s="20" t="b">
        <f>IFERROR(__xludf.DUMMYFUNCTION("""COMPUTED_VALUE"""),FALSE)</f>
        <v>0</v>
      </c>
      <c r="E2162" s="20" t="str">
        <f>IFERROR(__xludf.DUMMYFUNCTION("""COMPUTED_VALUE"""),"Medium")</f>
        <v>Medium</v>
      </c>
      <c r="F2162" s="20">
        <f>IFERROR(__xludf.DUMMYFUNCTION("""COMPUTED_VALUE"""),646.0)</f>
        <v>646</v>
      </c>
      <c r="G2162" s="20">
        <f>IFERROR(__xludf.DUMMYFUNCTION("""COMPUTED_VALUE"""),46.0)</f>
        <v>46</v>
      </c>
      <c r="H2162" s="20" t="str">
        <f>IFERROR(__xludf.DUMMYFUNCTION("""COMPUTED_VALUE"""),"Algorithms")</f>
        <v>Algorithms</v>
      </c>
      <c r="I2162" s="20">
        <f>IFERROR(__xludf.DUMMYFUNCTION("""COMPUTED_VALUE"""),0.845)</f>
        <v>0.845</v>
      </c>
      <c r="J2162" s="20">
        <f>IFERROR(__xludf.DUMMYFUNCTION("""COMPUTED_VALUE"""),2161.0)</f>
        <v>2161</v>
      </c>
      <c r="K2162" s="20" t="b">
        <f>IFERROR(__xludf.DUMMYFUNCTION("""COMPUTED_VALUE"""),FALSE)</f>
        <v>0</v>
      </c>
      <c r="L2162" s="20" t="str">
        <f>IFERROR(__xludf.DUMMYFUNCTION("""COMPUTED_VALUE"""),"Array;Two Pointers;Simulation;")</f>
        <v>Array;Two Pointers;Simulation;</v>
      </c>
      <c r="M2162" s="20" t="b">
        <f>IFERROR(__xludf.DUMMYFUNCTION("""COMPUTED_VALUE"""),FALSE)</f>
        <v>0</v>
      </c>
      <c r="N2162" s="20" t="b">
        <f>IFERROR(__xludf.DUMMYFUNCTION("""COMPUTED_VALUE"""),FALSE)</f>
        <v>0</v>
      </c>
      <c r="O2162" s="20">
        <f>IFERROR(__xludf.DUMMYFUNCTION("""COMPUTED_VALUE"""),84.4652356606155)</f>
        <v>84.46523566</v>
      </c>
      <c r="P2162" s="20">
        <f>IFERROR(__xludf.DUMMYFUNCTION("""COMPUTED_VALUE"""),40805.0)</f>
        <v>40805</v>
      </c>
      <c r="Q2162" s="20">
        <f>IFERROR(__xludf.DUMMYFUNCTION("""COMPUTED_VALUE"""),48310.0)</f>
        <v>48310</v>
      </c>
    </row>
    <row r="2163">
      <c r="A2163" s="20">
        <f>IFERROR(__xludf.DUMMYFUNCTION("""COMPUTED_VALUE"""),2266.0)</f>
        <v>2266</v>
      </c>
      <c r="B2163" s="20" t="str">
        <f>IFERROR(__xludf.DUMMYFUNCTION("""COMPUTED_VALUE"""),"Minimum Cost to Set Cooking Time")</f>
        <v>Minimum Cost to Set Cooking Time</v>
      </c>
      <c r="C2163" s="20" t="str">
        <f>IFERROR(__xludf.DUMMYFUNCTION("""COMPUTED_VALUE"""),"minimum-cost-to-set-cooking-time")</f>
        <v>minimum-cost-to-set-cooking-time</v>
      </c>
      <c r="D2163" s="20" t="b">
        <f>IFERROR(__xludf.DUMMYFUNCTION("""COMPUTED_VALUE"""),FALSE)</f>
        <v>0</v>
      </c>
      <c r="E2163" s="20" t="str">
        <f>IFERROR(__xludf.DUMMYFUNCTION("""COMPUTED_VALUE"""),"Medium")</f>
        <v>Medium</v>
      </c>
      <c r="F2163" s="20">
        <f>IFERROR(__xludf.DUMMYFUNCTION("""COMPUTED_VALUE"""),172.0)</f>
        <v>172</v>
      </c>
      <c r="G2163" s="20">
        <f>IFERROR(__xludf.DUMMYFUNCTION("""COMPUTED_VALUE"""),564.0)</f>
        <v>564</v>
      </c>
      <c r="H2163" s="20" t="str">
        <f>IFERROR(__xludf.DUMMYFUNCTION("""COMPUTED_VALUE"""),"Algorithms")</f>
        <v>Algorithms</v>
      </c>
      <c r="I2163" s="20">
        <f>IFERROR(__xludf.DUMMYFUNCTION("""COMPUTED_VALUE"""),0.398)</f>
        <v>0.398</v>
      </c>
      <c r="J2163" s="20">
        <f>IFERROR(__xludf.DUMMYFUNCTION("""COMPUTED_VALUE"""),2162.0)</f>
        <v>2162</v>
      </c>
      <c r="K2163" s="20" t="b">
        <f>IFERROR(__xludf.DUMMYFUNCTION("""COMPUTED_VALUE"""),FALSE)</f>
        <v>0</v>
      </c>
      <c r="L2163" s="20" t="str">
        <f>IFERROR(__xludf.DUMMYFUNCTION("""COMPUTED_VALUE"""),"Math;Enumeration;")</f>
        <v>Math;Enumeration;</v>
      </c>
      <c r="M2163" s="20" t="b">
        <f>IFERROR(__xludf.DUMMYFUNCTION("""COMPUTED_VALUE"""),FALSE)</f>
        <v>0</v>
      </c>
      <c r="N2163" s="20" t="b">
        <f>IFERROR(__xludf.DUMMYFUNCTION("""COMPUTED_VALUE"""),FALSE)</f>
        <v>0</v>
      </c>
      <c r="O2163" s="20">
        <f>IFERROR(__xludf.DUMMYFUNCTION("""COMPUTED_VALUE"""),39.7538725280107)</f>
        <v>39.75387253</v>
      </c>
      <c r="P2163" s="20">
        <f>IFERROR(__xludf.DUMMYFUNCTION("""COMPUTED_VALUE"""),12984.0)</f>
        <v>12984</v>
      </c>
      <c r="Q2163" s="20">
        <f>IFERROR(__xludf.DUMMYFUNCTION("""COMPUTED_VALUE"""),32664.0)</f>
        <v>32664</v>
      </c>
    </row>
    <row r="2164">
      <c r="A2164" s="20">
        <f>IFERROR(__xludf.DUMMYFUNCTION("""COMPUTED_VALUE"""),2267.0)</f>
        <v>2267</v>
      </c>
      <c r="B2164" s="20" t="str">
        <f>IFERROR(__xludf.DUMMYFUNCTION("""COMPUTED_VALUE"""),"Minimum Difference in Sums After Removal of Elements")</f>
        <v>Minimum Difference in Sums After Removal of Elements</v>
      </c>
      <c r="C2164" s="20" t="str">
        <f>IFERROR(__xludf.DUMMYFUNCTION("""COMPUTED_VALUE"""),"minimum-difference-in-sums-after-removal-of-elements")</f>
        <v>minimum-difference-in-sums-after-removal-of-elements</v>
      </c>
      <c r="D2164" s="20" t="b">
        <f>IFERROR(__xludf.DUMMYFUNCTION("""COMPUTED_VALUE"""),FALSE)</f>
        <v>0</v>
      </c>
      <c r="E2164" s="20" t="str">
        <f>IFERROR(__xludf.DUMMYFUNCTION("""COMPUTED_VALUE"""),"Hard")</f>
        <v>Hard</v>
      </c>
      <c r="F2164" s="20">
        <f>IFERROR(__xludf.DUMMYFUNCTION("""COMPUTED_VALUE"""),517.0)</f>
        <v>517</v>
      </c>
      <c r="G2164" s="20">
        <f>IFERROR(__xludf.DUMMYFUNCTION("""COMPUTED_VALUE"""),13.0)</f>
        <v>13</v>
      </c>
      <c r="H2164" s="20" t="str">
        <f>IFERROR(__xludf.DUMMYFUNCTION("""COMPUTED_VALUE"""),"Algorithms")</f>
        <v>Algorithms</v>
      </c>
      <c r="I2164" s="20">
        <f>IFERROR(__xludf.DUMMYFUNCTION("""COMPUTED_VALUE"""),0.469)</f>
        <v>0.469</v>
      </c>
      <c r="J2164" s="20">
        <f>IFERROR(__xludf.DUMMYFUNCTION("""COMPUTED_VALUE"""),2163.0)</f>
        <v>2163</v>
      </c>
      <c r="K2164" s="20" t="b">
        <f>IFERROR(__xludf.DUMMYFUNCTION("""COMPUTED_VALUE"""),FALSE)</f>
        <v>0</v>
      </c>
      <c r="L2164" s="20" t="str">
        <f>IFERROR(__xludf.DUMMYFUNCTION("""COMPUTED_VALUE"""),"Array;Dynamic Programming;Heap (Priority Queue);")</f>
        <v>Array;Dynamic Programming;Heap (Priority Queue);</v>
      </c>
      <c r="M2164" s="20" t="b">
        <f>IFERROR(__xludf.DUMMYFUNCTION("""COMPUTED_VALUE"""),FALSE)</f>
        <v>0</v>
      </c>
      <c r="N2164" s="20" t="b">
        <f>IFERROR(__xludf.DUMMYFUNCTION("""COMPUTED_VALUE"""),FALSE)</f>
        <v>0</v>
      </c>
      <c r="O2164" s="20">
        <f>IFERROR(__xludf.DUMMYFUNCTION("""COMPUTED_VALUE"""),46.9046817110138)</f>
        <v>46.90468171</v>
      </c>
      <c r="P2164" s="20">
        <f>IFERROR(__xludf.DUMMYFUNCTION("""COMPUTED_VALUE"""),6963.0)</f>
        <v>6963</v>
      </c>
      <c r="Q2164" s="20">
        <f>IFERROR(__xludf.DUMMYFUNCTION("""COMPUTED_VALUE"""),14845.0)</f>
        <v>14845</v>
      </c>
    </row>
    <row r="2165">
      <c r="A2165" s="20">
        <f>IFERROR(__xludf.DUMMYFUNCTION("""COMPUTED_VALUE"""),2283.0)</f>
        <v>2283</v>
      </c>
      <c r="B2165" s="20" t="str">
        <f>IFERROR(__xludf.DUMMYFUNCTION("""COMPUTED_VALUE"""),"Sort Even and Odd Indices Independently")</f>
        <v>Sort Even and Odd Indices Independently</v>
      </c>
      <c r="C2165" s="20" t="str">
        <f>IFERROR(__xludf.DUMMYFUNCTION("""COMPUTED_VALUE"""),"sort-even-and-odd-indices-independently")</f>
        <v>sort-even-and-odd-indices-independently</v>
      </c>
      <c r="D2165" s="20" t="b">
        <f>IFERROR(__xludf.DUMMYFUNCTION("""COMPUTED_VALUE"""),FALSE)</f>
        <v>0</v>
      </c>
      <c r="E2165" s="20" t="str">
        <f>IFERROR(__xludf.DUMMYFUNCTION("""COMPUTED_VALUE"""),"Easy")</f>
        <v>Easy</v>
      </c>
      <c r="F2165" s="20">
        <f>IFERROR(__xludf.DUMMYFUNCTION("""COMPUTED_VALUE"""),489.0)</f>
        <v>489</v>
      </c>
      <c r="G2165" s="20">
        <f>IFERROR(__xludf.DUMMYFUNCTION("""COMPUTED_VALUE"""),33.0)</f>
        <v>33</v>
      </c>
      <c r="H2165" s="20" t="str">
        <f>IFERROR(__xludf.DUMMYFUNCTION("""COMPUTED_VALUE"""),"Algorithms")</f>
        <v>Algorithms</v>
      </c>
      <c r="I2165" s="20">
        <f>IFERROR(__xludf.DUMMYFUNCTION("""COMPUTED_VALUE"""),0.661)</f>
        <v>0.661</v>
      </c>
      <c r="J2165" s="20">
        <f>IFERROR(__xludf.DUMMYFUNCTION("""COMPUTED_VALUE"""),2164.0)</f>
        <v>2164</v>
      </c>
      <c r="K2165" s="20" t="b">
        <f>IFERROR(__xludf.DUMMYFUNCTION("""COMPUTED_VALUE"""),FALSE)</f>
        <v>0</v>
      </c>
      <c r="L2165" s="20" t="str">
        <f>IFERROR(__xludf.DUMMYFUNCTION("""COMPUTED_VALUE"""),"Array;Sorting;")</f>
        <v>Array;Sorting;</v>
      </c>
      <c r="M2165" s="20" t="b">
        <f>IFERROR(__xludf.DUMMYFUNCTION("""COMPUTED_VALUE"""),FALSE)</f>
        <v>0</v>
      </c>
      <c r="N2165" s="20" t="b">
        <f>IFERROR(__xludf.DUMMYFUNCTION("""COMPUTED_VALUE"""),FALSE)</f>
        <v>0</v>
      </c>
      <c r="O2165" s="20">
        <f>IFERROR(__xludf.DUMMYFUNCTION("""COMPUTED_VALUE"""),66.1025903203817)</f>
        <v>66.10259032</v>
      </c>
      <c r="P2165" s="20">
        <f>IFERROR(__xludf.DUMMYFUNCTION("""COMPUTED_VALUE"""),38788.0)</f>
        <v>38788</v>
      </c>
      <c r="Q2165" s="20">
        <f>IFERROR(__xludf.DUMMYFUNCTION("""COMPUTED_VALUE"""),58679.0)</f>
        <v>58679</v>
      </c>
    </row>
    <row r="2166">
      <c r="A2166" s="20">
        <f>IFERROR(__xludf.DUMMYFUNCTION("""COMPUTED_VALUE"""),2284.0)</f>
        <v>2284</v>
      </c>
      <c r="B2166" s="20" t="str">
        <f>IFERROR(__xludf.DUMMYFUNCTION("""COMPUTED_VALUE"""),"Smallest Value of the Rearranged Number")</f>
        <v>Smallest Value of the Rearranged Number</v>
      </c>
      <c r="C2166" s="20" t="str">
        <f>IFERROR(__xludf.DUMMYFUNCTION("""COMPUTED_VALUE"""),"smallest-value-of-the-rearranged-number")</f>
        <v>smallest-value-of-the-rearranged-number</v>
      </c>
      <c r="D2166" s="20" t="b">
        <f>IFERROR(__xludf.DUMMYFUNCTION("""COMPUTED_VALUE"""),FALSE)</f>
        <v>0</v>
      </c>
      <c r="E2166" s="20" t="str">
        <f>IFERROR(__xludf.DUMMYFUNCTION("""COMPUTED_VALUE"""),"Medium")</f>
        <v>Medium</v>
      </c>
      <c r="F2166" s="20">
        <f>IFERROR(__xludf.DUMMYFUNCTION("""COMPUTED_VALUE"""),469.0)</f>
        <v>469</v>
      </c>
      <c r="G2166" s="20">
        <f>IFERROR(__xludf.DUMMYFUNCTION("""COMPUTED_VALUE"""),14.0)</f>
        <v>14</v>
      </c>
      <c r="H2166" s="20" t="str">
        <f>IFERROR(__xludf.DUMMYFUNCTION("""COMPUTED_VALUE"""),"Algorithms")</f>
        <v>Algorithms</v>
      </c>
      <c r="I2166" s="20">
        <f>IFERROR(__xludf.DUMMYFUNCTION("""COMPUTED_VALUE"""),0.514)</f>
        <v>0.514</v>
      </c>
      <c r="J2166" s="20">
        <f>IFERROR(__xludf.DUMMYFUNCTION("""COMPUTED_VALUE"""),2165.0)</f>
        <v>2165</v>
      </c>
      <c r="K2166" s="20" t="b">
        <f>IFERROR(__xludf.DUMMYFUNCTION("""COMPUTED_VALUE"""),FALSE)</f>
        <v>0</v>
      </c>
      <c r="L2166" s="20" t="str">
        <f>IFERROR(__xludf.DUMMYFUNCTION("""COMPUTED_VALUE"""),"Math;Sorting;")</f>
        <v>Math;Sorting;</v>
      </c>
      <c r="M2166" s="20" t="b">
        <f>IFERROR(__xludf.DUMMYFUNCTION("""COMPUTED_VALUE"""),FALSE)</f>
        <v>0</v>
      </c>
      <c r="N2166" s="20" t="b">
        <f>IFERROR(__xludf.DUMMYFUNCTION("""COMPUTED_VALUE"""),FALSE)</f>
        <v>0</v>
      </c>
      <c r="O2166" s="20">
        <f>IFERROR(__xludf.DUMMYFUNCTION("""COMPUTED_VALUE"""),51.417082693914)</f>
        <v>51.41708269</v>
      </c>
      <c r="P2166" s="20">
        <f>IFERROR(__xludf.DUMMYFUNCTION("""COMPUTED_VALUE"""),26469.0)</f>
        <v>26469</v>
      </c>
      <c r="Q2166" s="20">
        <f>IFERROR(__xludf.DUMMYFUNCTION("""COMPUTED_VALUE"""),51479.0)</f>
        <v>51479</v>
      </c>
    </row>
    <row r="2167">
      <c r="A2167" s="20">
        <f>IFERROR(__xludf.DUMMYFUNCTION("""COMPUTED_VALUE"""),2285.0)</f>
        <v>2285</v>
      </c>
      <c r="B2167" s="20" t="str">
        <f>IFERROR(__xludf.DUMMYFUNCTION("""COMPUTED_VALUE"""),"Design Bitset")</f>
        <v>Design Bitset</v>
      </c>
      <c r="C2167" s="20" t="str">
        <f>IFERROR(__xludf.DUMMYFUNCTION("""COMPUTED_VALUE"""),"design-bitset")</f>
        <v>design-bitset</v>
      </c>
      <c r="D2167" s="20" t="b">
        <f>IFERROR(__xludf.DUMMYFUNCTION("""COMPUTED_VALUE"""),FALSE)</f>
        <v>0</v>
      </c>
      <c r="E2167" s="20" t="str">
        <f>IFERROR(__xludf.DUMMYFUNCTION("""COMPUTED_VALUE"""),"Medium")</f>
        <v>Medium</v>
      </c>
      <c r="F2167" s="20">
        <f>IFERROR(__xludf.DUMMYFUNCTION("""COMPUTED_VALUE"""),467.0)</f>
        <v>467</v>
      </c>
      <c r="G2167" s="20">
        <f>IFERROR(__xludf.DUMMYFUNCTION("""COMPUTED_VALUE"""),43.0)</f>
        <v>43</v>
      </c>
      <c r="H2167" s="20" t="str">
        <f>IFERROR(__xludf.DUMMYFUNCTION("""COMPUTED_VALUE"""),"Algorithms")</f>
        <v>Algorithms</v>
      </c>
      <c r="I2167" s="20">
        <f>IFERROR(__xludf.DUMMYFUNCTION("""COMPUTED_VALUE"""),0.316)</f>
        <v>0.316</v>
      </c>
      <c r="J2167" s="20">
        <f>IFERROR(__xludf.DUMMYFUNCTION("""COMPUTED_VALUE"""),2166.0)</f>
        <v>2166</v>
      </c>
      <c r="K2167" s="20" t="b">
        <f>IFERROR(__xludf.DUMMYFUNCTION("""COMPUTED_VALUE"""),FALSE)</f>
        <v>0</v>
      </c>
      <c r="L2167" s="20" t="str">
        <f>IFERROR(__xludf.DUMMYFUNCTION("""COMPUTED_VALUE"""),"Array;Hash Table;Design;")</f>
        <v>Array;Hash Table;Design;</v>
      </c>
      <c r="M2167" s="20" t="b">
        <f>IFERROR(__xludf.DUMMYFUNCTION("""COMPUTED_VALUE"""),FALSE)</f>
        <v>0</v>
      </c>
      <c r="N2167" s="20" t="b">
        <f>IFERROR(__xludf.DUMMYFUNCTION("""COMPUTED_VALUE"""),FALSE)</f>
        <v>0</v>
      </c>
      <c r="O2167" s="20">
        <f>IFERROR(__xludf.DUMMYFUNCTION("""COMPUTED_VALUE"""),31.5650898552773)</f>
        <v>31.56508986</v>
      </c>
      <c r="P2167" s="20">
        <f>IFERROR(__xludf.DUMMYFUNCTION("""COMPUTED_VALUE"""),17863.0)</f>
        <v>17863</v>
      </c>
      <c r="Q2167" s="20">
        <f>IFERROR(__xludf.DUMMYFUNCTION("""COMPUTED_VALUE"""),56591.0)</f>
        <v>56591</v>
      </c>
    </row>
    <row r="2168">
      <c r="A2168" s="20">
        <f>IFERROR(__xludf.DUMMYFUNCTION("""COMPUTED_VALUE"""),2286.0)</f>
        <v>2286</v>
      </c>
      <c r="B2168" s="20" t="str">
        <f>IFERROR(__xludf.DUMMYFUNCTION("""COMPUTED_VALUE"""),"Minimum Time to Remove All Cars Containing Illegal Goods")</f>
        <v>Minimum Time to Remove All Cars Containing Illegal Goods</v>
      </c>
      <c r="C2168" s="20" t="str">
        <f>IFERROR(__xludf.DUMMYFUNCTION("""COMPUTED_VALUE"""),"minimum-time-to-remove-all-cars-containing-illegal-goods")</f>
        <v>minimum-time-to-remove-all-cars-containing-illegal-goods</v>
      </c>
      <c r="D2168" s="20" t="b">
        <f>IFERROR(__xludf.DUMMYFUNCTION("""COMPUTED_VALUE"""),FALSE)</f>
        <v>0</v>
      </c>
      <c r="E2168" s="20" t="str">
        <f>IFERROR(__xludf.DUMMYFUNCTION("""COMPUTED_VALUE"""),"Hard")</f>
        <v>Hard</v>
      </c>
      <c r="F2168" s="20">
        <f>IFERROR(__xludf.DUMMYFUNCTION("""COMPUTED_VALUE"""),580.0)</f>
        <v>580</v>
      </c>
      <c r="G2168" s="20">
        <f>IFERROR(__xludf.DUMMYFUNCTION("""COMPUTED_VALUE"""),10.0)</f>
        <v>10</v>
      </c>
      <c r="H2168" s="20" t="str">
        <f>IFERROR(__xludf.DUMMYFUNCTION("""COMPUTED_VALUE"""),"Algorithms")</f>
        <v>Algorithms</v>
      </c>
      <c r="I2168" s="20">
        <f>IFERROR(__xludf.DUMMYFUNCTION("""COMPUTED_VALUE"""),0.403)</f>
        <v>0.403</v>
      </c>
      <c r="J2168" s="20">
        <f>IFERROR(__xludf.DUMMYFUNCTION("""COMPUTED_VALUE"""),2167.0)</f>
        <v>2167</v>
      </c>
      <c r="K2168" s="20" t="b">
        <f>IFERROR(__xludf.DUMMYFUNCTION("""COMPUTED_VALUE"""),FALSE)</f>
        <v>0</v>
      </c>
      <c r="L2168" s="20" t="str">
        <f>IFERROR(__xludf.DUMMYFUNCTION("""COMPUTED_VALUE"""),"String;Dynamic Programming;")</f>
        <v>String;Dynamic Programming;</v>
      </c>
      <c r="M2168" s="20" t="b">
        <f>IFERROR(__xludf.DUMMYFUNCTION("""COMPUTED_VALUE"""),FALSE)</f>
        <v>0</v>
      </c>
      <c r="N2168" s="20" t="b">
        <f>IFERROR(__xludf.DUMMYFUNCTION("""COMPUTED_VALUE"""),FALSE)</f>
        <v>0</v>
      </c>
      <c r="O2168" s="20">
        <f>IFERROR(__xludf.DUMMYFUNCTION("""COMPUTED_VALUE"""),40.2514689567325)</f>
        <v>40.25146896</v>
      </c>
      <c r="P2168" s="20">
        <f>IFERROR(__xludf.DUMMYFUNCTION("""COMPUTED_VALUE"""),9796.0)</f>
        <v>9796</v>
      </c>
      <c r="Q2168" s="20">
        <f>IFERROR(__xludf.DUMMYFUNCTION("""COMPUTED_VALUE"""),24337.0)</f>
        <v>24337</v>
      </c>
    </row>
    <row r="2169">
      <c r="A2169" s="20">
        <f>IFERROR(__xludf.DUMMYFUNCTION("""COMPUTED_VALUE"""),2303.0)</f>
        <v>2303</v>
      </c>
      <c r="B2169" s="20" t="str">
        <f>IFERROR(__xludf.DUMMYFUNCTION("""COMPUTED_VALUE"""),"Unique Substrings With Equal Digit Frequency")</f>
        <v>Unique Substrings With Equal Digit Frequency</v>
      </c>
      <c r="C2169" s="20" t="str">
        <f>IFERROR(__xludf.DUMMYFUNCTION("""COMPUTED_VALUE"""),"unique-substrings-with-equal-digit-frequency")</f>
        <v>unique-substrings-with-equal-digit-frequency</v>
      </c>
      <c r="D2169" s="20" t="b">
        <f>IFERROR(__xludf.DUMMYFUNCTION("""COMPUTED_VALUE"""),TRUE)</f>
        <v>1</v>
      </c>
      <c r="E2169" s="20" t="str">
        <f>IFERROR(__xludf.DUMMYFUNCTION("""COMPUTED_VALUE"""),"Medium")</f>
        <v>Medium</v>
      </c>
      <c r="F2169" s="20">
        <f>IFERROR(__xludf.DUMMYFUNCTION("""COMPUTED_VALUE"""),51.0)</f>
        <v>51</v>
      </c>
      <c r="G2169" s="20">
        <f>IFERROR(__xludf.DUMMYFUNCTION("""COMPUTED_VALUE"""),5.0)</f>
        <v>5</v>
      </c>
      <c r="H2169" s="20" t="str">
        <f>IFERROR(__xludf.DUMMYFUNCTION("""COMPUTED_VALUE"""),"Algorithms")</f>
        <v>Algorithms</v>
      </c>
      <c r="I2169" s="20">
        <f>IFERROR(__xludf.DUMMYFUNCTION("""COMPUTED_VALUE"""),0.592)</f>
        <v>0.592</v>
      </c>
      <c r="J2169" s="20">
        <f>IFERROR(__xludf.DUMMYFUNCTION("""COMPUTED_VALUE"""),2168.0)</f>
        <v>2168</v>
      </c>
      <c r="K2169" s="20" t="b">
        <f>IFERROR(__xludf.DUMMYFUNCTION("""COMPUTED_VALUE"""),TRUE)</f>
        <v>1</v>
      </c>
      <c r="L2169" s="20" t="str">
        <f>IFERROR(__xludf.DUMMYFUNCTION("""COMPUTED_VALUE"""),"Hash Table;String;Rolling Hash;Counting;Hash Function;")</f>
        <v>Hash Table;String;Rolling Hash;Counting;Hash Function;</v>
      </c>
      <c r="M2169" s="20" t="b">
        <f>IFERROR(__xludf.DUMMYFUNCTION("""COMPUTED_VALUE"""),FALSE)</f>
        <v>0</v>
      </c>
      <c r="N2169" s="20" t="b">
        <f>IFERROR(__xludf.DUMMYFUNCTION("""COMPUTED_VALUE"""),FALSE)</f>
        <v>0</v>
      </c>
      <c r="O2169" s="20">
        <f>IFERROR(__xludf.DUMMYFUNCTION("""COMPUTED_VALUE"""),59.2380952380952)</f>
        <v>59.23809524</v>
      </c>
      <c r="P2169" s="20">
        <f>IFERROR(__xludf.DUMMYFUNCTION("""COMPUTED_VALUE"""),1555.0)</f>
        <v>1555</v>
      </c>
      <c r="Q2169" s="20">
        <f>IFERROR(__xludf.DUMMYFUNCTION("""COMPUTED_VALUE"""),2625.0)</f>
        <v>2625</v>
      </c>
    </row>
    <row r="2170">
      <c r="A2170" s="20">
        <f>IFERROR(__xludf.DUMMYFUNCTION("""COMPUTED_VALUE"""),2288.0)</f>
        <v>2288</v>
      </c>
      <c r="B2170" s="20" t="str">
        <f>IFERROR(__xludf.DUMMYFUNCTION("""COMPUTED_VALUE"""),"Count Operations to Obtain Zero")</f>
        <v>Count Operations to Obtain Zero</v>
      </c>
      <c r="C2170" s="20" t="str">
        <f>IFERROR(__xludf.DUMMYFUNCTION("""COMPUTED_VALUE"""),"count-operations-to-obtain-zero")</f>
        <v>count-operations-to-obtain-zero</v>
      </c>
      <c r="D2170" s="20" t="b">
        <f>IFERROR(__xludf.DUMMYFUNCTION("""COMPUTED_VALUE"""),FALSE)</f>
        <v>0</v>
      </c>
      <c r="E2170" s="20" t="str">
        <f>IFERROR(__xludf.DUMMYFUNCTION("""COMPUTED_VALUE"""),"Easy")</f>
        <v>Easy</v>
      </c>
      <c r="F2170" s="20">
        <f>IFERROR(__xludf.DUMMYFUNCTION("""COMPUTED_VALUE"""),413.0)</f>
        <v>413</v>
      </c>
      <c r="G2170" s="20">
        <f>IFERROR(__xludf.DUMMYFUNCTION("""COMPUTED_VALUE"""),12.0)</f>
        <v>12</v>
      </c>
      <c r="H2170" s="20" t="str">
        <f>IFERROR(__xludf.DUMMYFUNCTION("""COMPUTED_VALUE"""),"Algorithms")</f>
        <v>Algorithms</v>
      </c>
      <c r="I2170" s="20">
        <f>IFERROR(__xludf.DUMMYFUNCTION("""COMPUTED_VALUE"""),0.755)</f>
        <v>0.755</v>
      </c>
      <c r="J2170" s="20">
        <f>IFERROR(__xludf.DUMMYFUNCTION("""COMPUTED_VALUE"""),2169.0)</f>
        <v>2169</v>
      </c>
      <c r="K2170" s="20" t="b">
        <f>IFERROR(__xludf.DUMMYFUNCTION("""COMPUTED_VALUE"""),FALSE)</f>
        <v>0</v>
      </c>
      <c r="L2170" s="20" t="str">
        <f>IFERROR(__xludf.DUMMYFUNCTION("""COMPUTED_VALUE"""),"Math;Simulation;")</f>
        <v>Math;Simulation;</v>
      </c>
      <c r="M2170" s="20" t="b">
        <f>IFERROR(__xludf.DUMMYFUNCTION("""COMPUTED_VALUE"""),FALSE)</f>
        <v>0</v>
      </c>
      <c r="N2170" s="20" t="b">
        <f>IFERROR(__xludf.DUMMYFUNCTION("""COMPUTED_VALUE"""),FALSE)</f>
        <v>0</v>
      </c>
      <c r="O2170" s="20">
        <f>IFERROR(__xludf.DUMMYFUNCTION("""COMPUTED_VALUE"""),75.4727784581617)</f>
        <v>75.47277846</v>
      </c>
      <c r="P2170" s="20">
        <f>IFERROR(__xludf.DUMMYFUNCTION("""COMPUTED_VALUE"""),47451.0)</f>
        <v>47451</v>
      </c>
      <c r="Q2170" s="20">
        <f>IFERROR(__xludf.DUMMYFUNCTION("""COMPUTED_VALUE"""),62872.0)</f>
        <v>62872</v>
      </c>
    </row>
    <row r="2171">
      <c r="A2171" s="20">
        <f>IFERROR(__xludf.DUMMYFUNCTION("""COMPUTED_VALUE"""),2289.0)</f>
        <v>2289</v>
      </c>
      <c r="B2171" s="20" t="str">
        <f>IFERROR(__xludf.DUMMYFUNCTION("""COMPUTED_VALUE"""),"Minimum Operations to Make the Array Alternating")</f>
        <v>Minimum Operations to Make the Array Alternating</v>
      </c>
      <c r="C2171" s="20" t="str">
        <f>IFERROR(__xludf.DUMMYFUNCTION("""COMPUTED_VALUE"""),"minimum-operations-to-make-the-array-alternating")</f>
        <v>minimum-operations-to-make-the-array-alternating</v>
      </c>
      <c r="D2171" s="20" t="b">
        <f>IFERROR(__xludf.DUMMYFUNCTION("""COMPUTED_VALUE"""),FALSE)</f>
        <v>0</v>
      </c>
      <c r="E2171" s="20" t="str">
        <f>IFERROR(__xludf.DUMMYFUNCTION("""COMPUTED_VALUE"""),"Medium")</f>
        <v>Medium</v>
      </c>
      <c r="F2171" s="20">
        <f>IFERROR(__xludf.DUMMYFUNCTION("""COMPUTED_VALUE"""),470.0)</f>
        <v>470</v>
      </c>
      <c r="G2171" s="20">
        <f>IFERROR(__xludf.DUMMYFUNCTION("""COMPUTED_VALUE"""),301.0)</f>
        <v>301</v>
      </c>
      <c r="H2171" s="20" t="str">
        <f>IFERROR(__xludf.DUMMYFUNCTION("""COMPUTED_VALUE"""),"Algorithms")</f>
        <v>Algorithms</v>
      </c>
      <c r="I2171" s="20">
        <f>IFERROR(__xludf.DUMMYFUNCTION("""COMPUTED_VALUE"""),0.332)</f>
        <v>0.332</v>
      </c>
      <c r="J2171" s="20">
        <f>IFERROR(__xludf.DUMMYFUNCTION("""COMPUTED_VALUE"""),2170.0)</f>
        <v>2170</v>
      </c>
      <c r="K2171" s="20" t="b">
        <f>IFERROR(__xludf.DUMMYFUNCTION("""COMPUTED_VALUE"""),FALSE)</f>
        <v>0</v>
      </c>
      <c r="L2171" s="20" t="str">
        <f>IFERROR(__xludf.DUMMYFUNCTION("""COMPUTED_VALUE"""),"Array;Hash Table;Greedy;Counting;")</f>
        <v>Array;Hash Table;Greedy;Counting;</v>
      </c>
      <c r="M2171" s="20" t="b">
        <f>IFERROR(__xludf.DUMMYFUNCTION("""COMPUTED_VALUE"""),FALSE)</f>
        <v>0</v>
      </c>
      <c r="N2171" s="20" t="b">
        <f>IFERROR(__xludf.DUMMYFUNCTION("""COMPUTED_VALUE"""),FALSE)</f>
        <v>0</v>
      </c>
      <c r="O2171" s="20">
        <f>IFERROR(__xludf.DUMMYFUNCTION("""COMPUTED_VALUE"""),33.195503526295)</f>
        <v>33.19550353</v>
      </c>
      <c r="P2171" s="20">
        <f>IFERROR(__xludf.DUMMYFUNCTION("""COMPUTED_VALUE"""),18545.0)</f>
        <v>18545</v>
      </c>
      <c r="Q2171" s="20">
        <f>IFERROR(__xludf.DUMMYFUNCTION("""COMPUTED_VALUE"""),55866.0)</f>
        <v>55866</v>
      </c>
    </row>
    <row r="2172">
      <c r="A2172" s="20">
        <f>IFERROR(__xludf.DUMMYFUNCTION("""COMPUTED_VALUE"""),2290.0)</f>
        <v>2290</v>
      </c>
      <c r="B2172" s="20" t="str">
        <f>IFERROR(__xludf.DUMMYFUNCTION("""COMPUTED_VALUE"""),"Removing Minimum Number of Magic Beans")</f>
        <v>Removing Minimum Number of Magic Beans</v>
      </c>
      <c r="C2172" s="20" t="str">
        <f>IFERROR(__xludf.DUMMYFUNCTION("""COMPUTED_VALUE"""),"removing-minimum-number-of-magic-beans")</f>
        <v>removing-minimum-number-of-magic-beans</v>
      </c>
      <c r="D2172" s="20" t="b">
        <f>IFERROR(__xludf.DUMMYFUNCTION("""COMPUTED_VALUE"""),FALSE)</f>
        <v>0</v>
      </c>
      <c r="E2172" s="20" t="str">
        <f>IFERROR(__xludf.DUMMYFUNCTION("""COMPUTED_VALUE"""),"Medium")</f>
        <v>Medium</v>
      </c>
      <c r="F2172" s="20">
        <f>IFERROR(__xludf.DUMMYFUNCTION("""COMPUTED_VALUE"""),672.0)</f>
        <v>672</v>
      </c>
      <c r="G2172" s="20">
        <f>IFERROR(__xludf.DUMMYFUNCTION("""COMPUTED_VALUE"""),39.0)</f>
        <v>39</v>
      </c>
      <c r="H2172" s="20" t="str">
        <f>IFERROR(__xludf.DUMMYFUNCTION("""COMPUTED_VALUE"""),"Algorithms")</f>
        <v>Algorithms</v>
      </c>
      <c r="I2172" s="20">
        <f>IFERROR(__xludf.DUMMYFUNCTION("""COMPUTED_VALUE"""),0.421)</f>
        <v>0.421</v>
      </c>
      <c r="J2172" s="20">
        <f>IFERROR(__xludf.DUMMYFUNCTION("""COMPUTED_VALUE"""),2171.0)</f>
        <v>2171</v>
      </c>
      <c r="K2172" s="20" t="b">
        <f>IFERROR(__xludf.DUMMYFUNCTION("""COMPUTED_VALUE"""),FALSE)</f>
        <v>0</v>
      </c>
      <c r="L2172" s="20" t="str">
        <f>IFERROR(__xludf.DUMMYFUNCTION("""COMPUTED_VALUE"""),"Array;Sorting;Prefix Sum;")</f>
        <v>Array;Sorting;Prefix Sum;</v>
      </c>
      <c r="M2172" s="20" t="b">
        <f>IFERROR(__xludf.DUMMYFUNCTION("""COMPUTED_VALUE"""),FALSE)</f>
        <v>0</v>
      </c>
      <c r="N2172" s="20" t="b">
        <f>IFERROR(__xludf.DUMMYFUNCTION("""COMPUTED_VALUE"""),FALSE)</f>
        <v>0</v>
      </c>
      <c r="O2172" s="20">
        <f>IFERROR(__xludf.DUMMYFUNCTION("""COMPUTED_VALUE"""),42.1315640288071)</f>
        <v>42.13156403</v>
      </c>
      <c r="P2172" s="20">
        <f>IFERROR(__xludf.DUMMYFUNCTION("""COMPUTED_VALUE"""),20066.0)</f>
        <v>20066</v>
      </c>
      <c r="Q2172" s="20">
        <f>IFERROR(__xludf.DUMMYFUNCTION("""COMPUTED_VALUE"""),47627.0)</f>
        <v>47627</v>
      </c>
    </row>
    <row r="2173">
      <c r="A2173" s="20">
        <f>IFERROR(__xludf.DUMMYFUNCTION("""COMPUTED_VALUE"""),2291.0)</f>
        <v>2291</v>
      </c>
      <c r="B2173" s="20" t="str">
        <f>IFERROR(__xludf.DUMMYFUNCTION("""COMPUTED_VALUE"""),"Maximum AND Sum of Array")</f>
        <v>Maximum AND Sum of Array</v>
      </c>
      <c r="C2173" s="20" t="str">
        <f>IFERROR(__xludf.DUMMYFUNCTION("""COMPUTED_VALUE"""),"maximum-and-sum-of-array")</f>
        <v>maximum-and-sum-of-array</v>
      </c>
      <c r="D2173" s="20" t="b">
        <f>IFERROR(__xludf.DUMMYFUNCTION("""COMPUTED_VALUE"""),FALSE)</f>
        <v>0</v>
      </c>
      <c r="E2173" s="20" t="str">
        <f>IFERROR(__xludf.DUMMYFUNCTION("""COMPUTED_VALUE"""),"Hard")</f>
        <v>Hard</v>
      </c>
      <c r="F2173" s="20">
        <f>IFERROR(__xludf.DUMMYFUNCTION("""COMPUTED_VALUE"""),376.0)</f>
        <v>376</v>
      </c>
      <c r="G2173" s="20">
        <f>IFERROR(__xludf.DUMMYFUNCTION("""COMPUTED_VALUE"""),21.0)</f>
        <v>21</v>
      </c>
      <c r="H2173" s="20" t="str">
        <f>IFERROR(__xludf.DUMMYFUNCTION("""COMPUTED_VALUE"""),"Algorithms")</f>
        <v>Algorithms</v>
      </c>
      <c r="I2173" s="20">
        <f>IFERROR(__xludf.DUMMYFUNCTION("""COMPUTED_VALUE"""),0.48)</f>
        <v>0.48</v>
      </c>
      <c r="J2173" s="20">
        <f>IFERROR(__xludf.DUMMYFUNCTION("""COMPUTED_VALUE"""),2172.0)</f>
        <v>2172</v>
      </c>
      <c r="K2173" s="20" t="b">
        <f>IFERROR(__xludf.DUMMYFUNCTION("""COMPUTED_VALUE"""),FALSE)</f>
        <v>0</v>
      </c>
      <c r="L2173" s="20" t="str">
        <f>IFERROR(__xludf.DUMMYFUNCTION("""COMPUTED_VALUE"""),"Array;Dynamic Programming;Bit Manipulation;Bitmask;")</f>
        <v>Array;Dynamic Programming;Bit Manipulation;Bitmask;</v>
      </c>
      <c r="M2173" s="20" t="b">
        <f>IFERROR(__xludf.DUMMYFUNCTION("""COMPUTED_VALUE"""),FALSE)</f>
        <v>0</v>
      </c>
      <c r="N2173" s="20" t="b">
        <f>IFERROR(__xludf.DUMMYFUNCTION("""COMPUTED_VALUE"""),FALSE)</f>
        <v>0</v>
      </c>
      <c r="O2173" s="20">
        <f>IFERROR(__xludf.DUMMYFUNCTION("""COMPUTED_VALUE"""),48.0363423212192)</f>
        <v>48.03634232</v>
      </c>
      <c r="P2173" s="20">
        <f>IFERROR(__xludf.DUMMYFUNCTION("""COMPUTED_VALUE"""),9834.0)</f>
        <v>9834</v>
      </c>
      <c r="Q2173" s="20">
        <f>IFERROR(__xludf.DUMMYFUNCTION("""COMPUTED_VALUE"""),20472.0)</f>
        <v>20472</v>
      </c>
    </row>
    <row r="2174">
      <c r="A2174" s="20">
        <f>IFERROR(__xludf.DUMMYFUNCTION("""COMPUTED_VALUE"""),2313.0)</f>
        <v>2313</v>
      </c>
      <c r="B2174" s="20" t="str">
        <f>IFERROR(__xludf.DUMMYFUNCTION("""COMPUTED_VALUE"""),"Longest Winning Streak")</f>
        <v>Longest Winning Streak</v>
      </c>
      <c r="C2174" s="20" t="str">
        <f>IFERROR(__xludf.DUMMYFUNCTION("""COMPUTED_VALUE"""),"longest-winning-streak")</f>
        <v>longest-winning-streak</v>
      </c>
      <c r="D2174" s="20" t="b">
        <f>IFERROR(__xludf.DUMMYFUNCTION("""COMPUTED_VALUE"""),TRUE)</f>
        <v>1</v>
      </c>
      <c r="E2174" s="20" t="str">
        <f>IFERROR(__xludf.DUMMYFUNCTION("""COMPUTED_VALUE"""),"Hard")</f>
        <v>Hard</v>
      </c>
      <c r="F2174" s="20">
        <f>IFERROR(__xludf.DUMMYFUNCTION("""COMPUTED_VALUE"""),69.0)</f>
        <v>69</v>
      </c>
      <c r="G2174" s="20">
        <f>IFERROR(__xludf.DUMMYFUNCTION("""COMPUTED_VALUE"""),2.0)</f>
        <v>2</v>
      </c>
      <c r="H2174" s="20" t="str">
        <f>IFERROR(__xludf.DUMMYFUNCTION("""COMPUTED_VALUE"""),"Database")</f>
        <v>Database</v>
      </c>
      <c r="I2174" s="20">
        <f>IFERROR(__xludf.DUMMYFUNCTION("""COMPUTED_VALUE"""),0.584)</f>
        <v>0.584</v>
      </c>
      <c r="J2174" s="20">
        <f>IFERROR(__xludf.DUMMYFUNCTION("""COMPUTED_VALUE"""),2173.0)</f>
        <v>2173</v>
      </c>
      <c r="K2174" s="20" t="b">
        <f>IFERROR(__xludf.DUMMYFUNCTION("""COMPUTED_VALUE"""),TRUE)</f>
        <v>1</v>
      </c>
      <c r="L2174" s="20" t="str">
        <f>IFERROR(__xludf.DUMMYFUNCTION("""COMPUTED_VALUE"""),"Database;")</f>
        <v>Database;</v>
      </c>
      <c r="M2174" s="20" t="b">
        <f>IFERROR(__xludf.DUMMYFUNCTION("""COMPUTED_VALUE"""),FALSE)</f>
        <v>0</v>
      </c>
      <c r="N2174" s="20" t="b">
        <f>IFERROR(__xludf.DUMMYFUNCTION("""COMPUTED_VALUE"""),FALSE)</f>
        <v>0</v>
      </c>
      <c r="O2174" s="20">
        <f>IFERROR(__xludf.DUMMYFUNCTION("""COMPUTED_VALUE"""),58.390243902439)</f>
        <v>58.3902439</v>
      </c>
      <c r="P2174" s="20">
        <f>IFERROR(__xludf.DUMMYFUNCTION("""COMPUTED_VALUE"""),2394.0)</f>
        <v>2394</v>
      </c>
      <c r="Q2174" s="20">
        <f>IFERROR(__xludf.DUMMYFUNCTION("""COMPUTED_VALUE"""),4100.0)</f>
        <v>4100</v>
      </c>
    </row>
    <row r="2175">
      <c r="A2175" s="20">
        <f>IFERROR(__xludf.DUMMYFUNCTION("""COMPUTED_VALUE"""),2314.0)</f>
        <v>2314</v>
      </c>
      <c r="B2175" s="20" t="str">
        <f>IFERROR(__xludf.DUMMYFUNCTION("""COMPUTED_VALUE"""),"Remove All Ones With Row and Column Flips II")</f>
        <v>Remove All Ones With Row and Column Flips II</v>
      </c>
      <c r="C2175" s="20" t="str">
        <f>IFERROR(__xludf.DUMMYFUNCTION("""COMPUTED_VALUE"""),"remove-all-ones-with-row-and-column-flips-ii")</f>
        <v>remove-all-ones-with-row-and-column-flips-ii</v>
      </c>
      <c r="D2175" s="20" t="b">
        <f>IFERROR(__xludf.DUMMYFUNCTION("""COMPUTED_VALUE"""),TRUE)</f>
        <v>1</v>
      </c>
      <c r="E2175" s="20" t="str">
        <f>IFERROR(__xludf.DUMMYFUNCTION("""COMPUTED_VALUE"""),"Medium")</f>
        <v>Medium</v>
      </c>
      <c r="F2175" s="20">
        <f>IFERROR(__xludf.DUMMYFUNCTION("""COMPUTED_VALUE"""),72.0)</f>
        <v>72</v>
      </c>
      <c r="G2175" s="20">
        <f>IFERROR(__xludf.DUMMYFUNCTION("""COMPUTED_VALUE"""),20.0)</f>
        <v>20</v>
      </c>
      <c r="H2175" s="20" t="str">
        <f>IFERROR(__xludf.DUMMYFUNCTION("""COMPUTED_VALUE"""),"Algorithms")</f>
        <v>Algorithms</v>
      </c>
      <c r="I2175" s="20">
        <f>IFERROR(__xludf.DUMMYFUNCTION("""COMPUTED_VALUE"""),0.684)</f>
        <v>0.684</v>
      </c>
      <c r="J2175" s="20">
        <f>IFERROR(__xludf.DUMMYFUNCTION("""COMPUTED_VALUE"""),2174.0)</f>
        <v>2174</v>
      </c>
      <c r="K2175" s="20" t="b">
        <f>IFERROR(__xludf.DUMMYFUNCTION("""COMPUTED_VALUE"""),TRUE)</f>
        <v>1</v>
      </c>
      <c r="L2175" s="20" t="str">
        <f>IFERROR(__xludf.DUMMYFUNCTION("""COMPUTED_VALUE"""),"Array;Bit Manipulation;Breadth-First Search;Matrix;")</f>
        <v>Array;Bit Manipulation;Breadth-First Search;Matrix;</v>
      </c>
      <c r="M2175" s="20" t="b">
        <f>IFERROR(__xludf.DUMMYFUNCTION("""COMPUTED_VALUE"""),FALSE)</f>
        <v>0</v>
      </c>
      <c r="N2175" s="20" t="b">
        <f>IFERROR(__xludf.DUMMYFUNCTION("""COMPUTED_VALUE"""),FALSE)</f>
        <v>0</v>
      </c>
      <c r="O2175" s="20">
        <f>IFERROR(__xludf.DUMMYFUNCTION("""COMPUTED_VALUE"""),68.4283246977547)</f>
        <v>68.4283247</v>
      </c>
      <c r="P2175" s="20">
        <f>IFERROR(__xludf.DUMMYFUNCTION("""COMPUTED_VALUE"""),3962.0)</f>
        <v>3962</v>
      </c>
      <c r="Q2175" s="20">
        <f>IFERROR(__xludf.DUMMYFUNCTION("""COMPUTED_VALUE"""),5790.0)</f>
        <v>5790</v>
      </c>
    </row>
    <row r="2176">
      <c r="A2176" s="20">
        <f>IFERROR(__xludf.DUMMYFUNCTION("""COMPUTED_VALUE"""),2315.0)</f>
        <v>2315</v>
      </c>
      <c r="B2176" s="20" t="str">
        <f>IFERROR(__xludf.DUMMYFUNCTION("""COMPUTED_VALUE"""),"The Change in Global Rankings")</f>
        <v>The Change in Global Rankings</v>
      </c>
      <c r="C2176" s="20" t="str">
        <f>IFERROR(__xludf.DUMMYFUNCTION("""COMPUTED_VALUE"""),"the-change-in-global-rankings")</f>
        <v>the-change-in-global-rankings</v>
      </c>
      <c r="D2176" s="20" t="b">
        <f>IFERROR(__xludf.DUMMYFUNCTION("""COMPUTED_VALUE"""),TRUE)</f>
        <v>1</v>
      </c>
      <c r="E2176" s="20" t="str">
        <f>IFERROR(__xludf.DUMMYFUNCTION("""COMPUTED_VALUE"""),"Medium")</f>
        <v>Medium</v>
      </c>
      <c r="F2176" s="20">
        <f>IFERROR(__xludf.DUMMYFUNCTION("""COMPUTED_VALUE"""),22.0)</f>
        <v>22</v>
      </c>
      <c r="G2176" s="20">
        <f>IFERROR(__xludf.DUMMYFUNCTION("""COMPUTED_VALUE"""),9.0)</f>
        <v>9</v>
      </c>
      <c r="H2176" s="20" t="str">
        <f>IFERROR(__xludf.DUMMYFUNCTION("""COMPUTED_VALUE"""),"Database")</f>
        <v>Database</v>
      </c>
      <c r="I2176" s="20">
        <f>IFERROR(__xludf.DUMMYFUNCTION("""COMPUTED_VALUE"""),0.685)</f>
        <v>0.685</v>
      </c>
      <c r="J2176" s="20">
        <f>IFERROR(__xludf.DUMMYFUNCTION("""COMPUTED_VALUE"""),2175.0)</f>
        <v>2175</v>
      </c>
      <c r="K2176" s="20" t="b">
        <f>IFERROR(__xludf.DUMMYFUNCTION("""COMPUTED_VALUE"""),TRUE)</f>
        <v>1</v>
      </c>
      <c r="L2176" s="20" t="str">
        <f>IFERROR(__xludf.DUMMYFUNCTION("""COMPUTED_VALUE"""),"Database;")</f>
        <v>Database;</v>
      </c>
      <c r="M2176" s="20" t="b">
        <f>IFERROR(__xludf.DUMMYFUNCTION("""COMPUTED_VALUE"""),FALSE)</f>
        <v>0</v>
      </c>
      <c r="N2176" s="20" t="b">
        <f>IFERROR(__xludf.DUMMYFUNCTION("""COMPUTED_VALUE"""),FALSE)</f>
        <v>0</v>
      </c>
      <c r="O2176" s="20">
        <f>IFERROR(__xludf.DUMMYFUNCTION("""COMPUTED_VALUE"""),68.4552845528455)</f>
        <v>68.45528455</v>
      </c>
      <c r="P2176" s="20">
        <f>IFERROR(__xludf.DUMMYFUNCTION("""COMPUTED_VALUE"""),3368.0)</f>
        <v>3368</v>
      </c>
      <c r="Q2176" s="20">
        <f>IFERROR(__xludf.DUMMYFUNCTION("""COMPUTED_VALUE"""),4920.0)</f>
        <v>4920</v>
      </c>
    </row>
    <row r="2177">
      <c r="A2177" s="20">
        <f>IFERROR(__xludf.DUMMYFUNCTION("""COMPUTED_VALUE"""),2277.0)</f>
        <v>2277</v>
      </c>
      <c r="B2177" s="20" t="str">
        <f>IFERROR(__xludf.DUMMYFUNCTION("""COMPUTED_VALUE"""),"Count Equal and Divisible Pairs in an Array")</f>
        <v>Count Equal and Divisible Pairs in an Array</v>
      </c>
      <c r="C2177" s="20" t="str">
        <f>IFERROR(__xludf.DUMMYFUNCTION("""COMPUTED_VALUE"""),"count-equal-and-divisible-pairs-in-an-array")</f>
        <v>count-equal-and-divisible-pairs-in-an-array</v>
      </c>
      <c r="D2177" s="20" t="b">
        <f>IFERROR(__xludf.DUMMYFUNCTION("""COMPUTED_VALUE"""),FALSE)</f>
        <v>0</v>
      </c>
      <c r="E2177" s="20" t="str">
        <f>IFERROR(__xludf.DUMMYFUNCTION("""COMPUTED_VALUE"""),"Easy")</f>
        <v>Easy</v>
      </c>
      <c r="F2177" s="20">
        <f>IFERROR(__xludf.DUMMYFUNCTION("""COMPUTED_VALUE"""),414.0)</f>
        <v>414</v>
      </c>
      <c r="G2177" s="20">
        <f>IFERROR(__xludf.DUMMYFUNCTION("""COMPUTED_VALUE"""),17.0)</f>
        <v>17</v>
      </c>
      <c r="H2177" s="20" t="str">
        <f>IFERROR(__xludf.DUMMYFUNCTION("""COMPUTED_VALUE"""),"Algorithms")</f>
        <v>Algorithms</v>
      </c>
      <c r="I2177" s="20">
        <f>IFERROR(__xludf.DUMMYFUNCTION("""COMPUTED_VALUE"""),0.804)</f>
        <v>0.804</v>
      </c>
      <c r="J2177" s="20">
        <f>IFERROR(__xludf.DUMMYFUNCTION("""COMPUTED_VALUE"""),2176.0)</f>
        <v>2176</v>
      </c>
      <c r="K2177" s="20" t="b">
        <f>IFERROR(__xludf.DUMMYFUNCTION("""COMPUTED_VALUE"""),FALSE)</f>
        <v>0</v>
      </c>
      <c r="L2177" s="20" t="str">
        <f>IFERROR(__xludf.DUMMYFUNCTION("""COMPUTED_VALUE"""),"Array;")</f>
        <v>Array;</v>
      </c>
      <c r="M2177" s="20" t="b">
        <f>IFERROR(__xludf.DUMMYFUNCTION("""COMPUTED_VALUE"""),FALSE)</f>
        <v>0</v>
      </c>
      <c r="N2177" s="20" t="b">
        <f>IFERROR(__xludf.DUMMYFUNCTION("""COMPUTED_VALUE"""),FALSE)</f>
        <v>0</v>
      </c>
      <c r="O2177" s="20">
        <f>IFERROR(__xludf.DUMMYFUNCTION("""COMPUTED_VALUE"""),80.353498542274)</f>
        <v>80.35349854</v>
      </c>
      <c r="P2177" s="20">
        <f>IFERROR(__xludf.DUMMYFUNCTION("""COMPUTED_VALUE"""),44098.0)</f>
        <v>44098</v>
      </c>
      <c r="Q2177" s="20">
        <f>IFERROR(__xludf.DUMMYFUNCTION("""COMPUTED_VALUE"""),54880.0)</f>
        <v>54880</v>
      </c>
    </row>
    <row r="2178">
      <c r="A2178" s="20">
        <f>IFERROR(__xludf.DUMMYFUNCTION("""COMPUTED_VALUE"""),2278.0)</f>
        <v>2278</v>
      </c>
      <c r="B2178" s="20" t="str">
        <f>IFERROR(__xludf.DUMMYFUNCTION("""COMPUTED_VALUE"""),"Find Three Consecutive Integers That Sum to a Given Number")</f>
        <v>Find Three Consecutive Integers That Sum to a Given Number</v>
      </c>
      <c r="C2178" s="20" t="str">
        <f>IFERROR(__xludf.DUMMYFUNCTION("""COMPUTED_VALUE"""),"find-three-consecutive-integers-that-sum-to-a-given-number")</f>
        <v>find-three-consecutive-integers-that-sum-to-a-given-number</v>
      </c>
      <c r="D2178" s="20" t="b">
        <f>IFERROR(__xludf.DUMMYFUNCTION("""COMPUTED_VALUE"""),FALSE)</f>
        <v>0</v>
      </c>
      <c r="E2178" s="20" t="str">
        <f>IFERROR(__xludf.DUMMYFUNCTION("""COMPUTED_VALUE"""),"Medium")</f>
        <v>Medium</v>
      </c>
      <c r="F2178" s="20">
        <f>IFERROR(__xludf.DUMMYFUNCTION("""COMPUTED_VALUE"""),465.0)</f>
        <v>465</v>
      </c>
      <c r="G2178" s="20">
        <f>IFERROR(__xludf.DUMMYFUNCTION("""COMPUTED_VALUE"""),152.0)</f>
        <v>152</v>
      </c>
      <c r="H2178" s="20" t="str">
        <f>IFERROR(__xludf.DUMMYFUNCTION("""COMPUTED_VALUE"""),"Algorithms")</f>
        <v>Algorithms</v>
      </c>
      <c r="I2178" s="20">
        <f>IFERROR(__xludf.DUMMYFUNCTION("""COMPUTED_VALUE"""),0.638)</f>
        <v>0.638</v>
      </c>
      <c r="J2178" s="20">
        <f>IFERROR(__xludf.DUMMYFUNCTION("""COMPUTED_VALUE"""),2177.0)</f>
        <v>2177</v>
      </c>
      <c r="K2178" s="20" t="b">
        <f>IFERROR(__xludf.DUMMYFUNCTION("""COMPUTED_VALUE"""),FALSE)</f>
        <v>0</v>
      </c>
      <c r="L2178" s="20" t="str">
        <f>IFERROR(__xludf.DUMMYFUNCTION("""COMPUTED_VALUE"""),"Math;Simulation;")</f>
        <v>Math;Simulation;</v>
      </c>
      <c r="M2178" s="20" t="b">
        <f>IFERROR(__xludf.DUMMYFUNCTION("""COMPUTED_VALUE"""),FALSE)</f>
        <v>0</v>
      </c>
      <c r="N2178" s="20" t="b">
        <f>IFERROR(__xludf.DUMMYFUNCTION("""COMPUTED_VALUE"""),FALSE)</f>
        <v>0</v>
      </c>
      <c r="O2178" s="20">
        <f>IFERROR(__xludf.DUMMYFUNCTION("""COMPUTED_VALUE"""),63.8321416411304)</f>
        <v>63.83214164</v>
      </c>
      <c r="P2178" s="20">
        <f>IFERROR(__xludf.DUMMYFUNCTION("""COMPUTED_VALUE"""),29996.0)</f>
        <v>29996</v>
      </c>
      <c r="Q2178" s="20">
        <f>IFERROR(__xludf.DUMMYFUNCTION("""COMPUTED_VALUE"""),46992.0)</f>
        <v>46992</v>
      </c>
    </row>
    <row r="2179">
      <c r="A2179" s="20">
        <f>IFERROR(__xludf.DUMMYFUNCTION("""COMPUTED_VALUE"""),2279.0)</f>
        <v>2279</v>
      </c>
      <c r="B2179" s="20" t="str">
        <f>IFERROR(__xludf.DUMMYFUNCTION("""COMPUTED_VALUE"""),"Maximum Split of Positive Even Integers")</f>
        <v>Maximum Split of Positive Even Integers</v>
      </c>
      <c r="C2179" s="20" t="str">
        <f>IFERROR(__xludf.DUMMYFUNCTION("""COMPUTED_VALUE"""),"maximum-split-of-positive-even-integers")</f>
        <v>maximum-split-of-positive-even-integers</v>
      </c>
      <c r="D2179" s="20" t="b">
        <f>IFERROR(__xludf.DUMMYFUNCTION("""COMPUTED_VALUE"""),FALSE)</f>
        <v>0</v>
      </c>
      <c r="E2179" s="20" t="str">
        <f>IFERROR(__xludf.DUMMYFUNCTION("""COMPUTED_VALUE"""),"Medium")</f>
        <v>Medium</v>
      </c>
      <c r="F2179" s="20">
        <f>IFERROR(__xludf.DUMMYFUNCTION("""COMPUTED_VALUE"""),610.0)</f>
        <v>610</v>
      </c>
      <c r="G2179" s="20">
        <f>IFERROR(__xludf.DUMMYFUNCTION("""COMPUTED_VALUE"""),63.0)</f>
        <v>63</v>
      </c>
      <c r="H2179" s="20" t="str">
        <f>IFERROR(__xludf.DUMMYFUNCTION("""COMPUTED_VALUE"""),"Algorithms")</f>
        <v>Algorithms</v>
      </c>
      <c r="I2179" s="20">
        <f>IFERROR(__xludf.DUMMYFUNCTION("""COMPUTED_VALUE"""),0.592)</f>
        <v>0.592</v>
      </c>
      <c r="J2179" s="20">
        <f>IFERROR(__xludf.DUMMYFUNCTION("""COMPUTED_VALUE"""),2178.0)</f>
        <v>2178</v>
      </c>
      <c r="K2179" s="20" t="b">
        <f>IFERROR(__xludf.DUMMYFUNCTION("""COMPUTED_VALUE"""),FALSE)</f>
        <v>0</v>
      </c>
      <c r="L2179" s="20" t="str">
        <f>IFERROR(__xludf.DUMMYFUNCTION("""COMPUTED_VALUE"""),"Math;Backtracking;Greedy;")</f>
        <v>Math;Backtracking;Greedy;</v>
      </c>
      <c r="M2179" s="20" t="b">
        <f>IFERROR(__xludf.DUMMYFUNCTION("""COMPUTED_VALUE"""),FALSE)</f>
        <v>0</v>
      </c>
      <c r="N2179" s="20" t="b">
        <f>IFERROR(__xludf.DUMMYFUNCTION("""COMPUTED_VALUE"""),FALSE)</f>
        <v>0</v>
      </c>
      <c r="O2179" s="20">
        <f>IFERROR(__xludf.DUMMYFUNCTION("""COMPUTED_VALUE"""),59.2046173051669)</f>
        <v>59.20461731</v>
      </c>
      <c r="P2179" s="20">
        <f>IFERROR(__xludf.DUMMYFUNCTION("""COMPUTED_VALUE"""),36517.0)</f>
        <v>36517</v>
      </c>
      <c r="Q2179" s="20">
        <f>IFERROR(__xludf.DUMMYFUNCTION("""COMPUTED_VALUE"""),61680.0)</f>
        <v>61680</v>
      </c>
    </row>
    <row r="2180">
      <c r="A2180" s="20">
        <f>IFERROR(__xludf.DUMMYFUNCTION("""COMPUTED_VALUE"""),2280.0)</f>
        <v>2280</v>
      </c>
      <c r="B2180" s="20" t="str">
        <f>IFERROR(__xludf.DUMMYFUNCTION("""COMPUTED_VALUE"""),"Count Good Triplets in an Array")</f>
        <v>Count Good Triplets in an Array</v>
      </c>
      <c r="C2180" s="20" t="str">
        <f>IFERROR(__xludf.DUMMYFUNCTION("""COMPUTED_VALUE"""),"count-good-triplets-in-an-array")</f>
        <v>count-good-triplets-in-an-array</v>
      </c>
      <c r="D2180" s="20" t="b">
        <f>IFERROR(__xludf.DUMMYFUNCTION("""COMPUTED_VALUE"""),FALSE)</f>
        <v>0</v>
      </c>
      <c r="E2180" s="20" t="str">
        <f>IFERROR(__xludf.DUMMYFUNCTION("""COMPUTED_VALUE"""),"Hard")</f>
        <v>Hard</v>
      </c>
      <c r="F2180" s="20">
        <f>IFERROR(__xludf.DUMMYFUNCTION("""COMPUTED_VALUE"""),448.0)</f>
        <v>448</v>
      </c>
      <c r="G2180" s="20">
        <f>IFERROR(__xludf.DUMMYFUNCTION("""COMPUTED_VALUE"""),15.0)</f>
        <v>15</v>
      </c>
      <c r="H2180" s="20" t="str">
        <f>IFERROR(__xludf.DUMMYFUNCTION("""COMPUTED_VALUE"""),"Algorithms")</f>
        <v>Algorithms</v>
      </c>
      <c r="I2180" s="20">
        <f>IFERROR(__xludf.DUMMYFUNCTION("""COMPUTED_VALUE"""),0.374)</f>
        <v>0.374</v>
      </c>
      <c r="J2180" s="20">
        <f>IFERROR(__xludf.DUMMYFUNCTION("""COMPUTED_VALUE"""),2179.0)</f>
        <v>2179</v>
      </c>
      <c r="K2180" s="20" t="b">
        <f>IFERROR(__xludf.DUMMYFUNCTION("""COMPUTED_VALUE"""),FALSE)</f>
        <v>0</v>
      </c>
      <c r="L2180" s="20" t="str">
        <f>IFERROR(__xludf.DUMMYFUNCTION("""COMPUTED_VALUE"""),"Array;Binary Search;Divide and Conquer;Binary Indexed Tree;Segment Tree;Merge Sort;Ordered Set;")</f>
        <v>Array;Binary Search;Divide and Conquer;Binary Indexed Tree;Segment Tree;Merge Sort;Ordered Set;</v>
      </c>
      <c r="M2180" s="20" t="b">
        <f>IFERROR(__xludf.DUMMYFUNCTION("""COMPUTED_VALUE"""),FALSE)</f>
        <v>0</v>
      </c>
      <c r="N2180" s="20" t="b">
        <f>IFERROR(__xludf.DUMMYFUNCTION("""COMPUTED_VALUE"""),FALSE)</f>
        <v>0</v>
      </c>
      <c r="O2180" s="20">
        <f>IFERROR(__xludf.DUMMYFUNCTION("""COMPUTED_VALUE"""),37.3510607381575)</f>
        <v>37.35106074</v>
      </c>
      <c r="P2180" s="20">
        <f>IFERROR(__xludf.DUMMYFUNCTION("""COMPUTED_VALUE"""),5141.0)</f>
        <v>5141</v>
      </c>
      <c r="Q2180" s="20">
        <f>IFERROR(__xludf.DUMMYFUNCTION("""COMPUTED_VALUE"""),13764.0)</f>
        <v>13764</v>
      </c>
    </row>
    <row r="2181">
      <c r="A2181" s="20">
        <f>IFERROR(__xludf.DUMMYFUNCTION("""COMPUTED_VALUE"""),2298.0)</f>
        <v>2298</v>
      </c>
      <c r="B2181" s="20" t="str">
        <f>IFERROR(__xludf.DUMMYFUNCTION("""COMPUTED_VALUE"""),"Count Integers With Even Digit Sum")</f>
        <v>Count Integers With Even Digit Sum</v>
      </c>
      <c r="C2181" s="20" t="str">
        <f>IFERROR(__xludf.DUMMYFUNCTION("""COMPUTED_VALUE"""),"count-integers-with-even-digit-sum")</f>
        <v>count-integers-with-even-digit-sum</v>
      </c>
      <c r="D2181" s="20" t="b">
        <f>IFERROR(__xludf.DUMMYFUNCTION("""COMPUTED_VALUE"""),FALSE)</f>
        <v>0</v>
      </c>
      <c r="E2181" s="20" t="str">
        <f>IFERROR(__xludf.DUMMYFUNCTION("""COMPUTED_VALUE"""),"Easy")</f>
        <v>Easy</v>
      </c>
      <c r="F2181" s="20">
        <f>IFERROR(__xludf.DUMMYFUNCTION("""COMPUTED_VALUE"""),399.0)</f>
        <v>399</v>
      </c>
      <c r="G2181" s="20">
        <f>IFERROR(__xludf.DUMMYFUNCTION("""COMPUTED_VALUE"""),19.0)</f>
        <v>19</v>
      </c>
      <c r="H2181" s="20" t="str">
        <f>IFERROR(__xludf.DUMMYFUNCTION("""COMPUTED_VALUE"""),"Algorithms")</f>
        <v>Algorithms</v>
      </c>
      <c r="I2181" s="20">
        <f>IFERROR(__xludf.DUMMYFUNCTION("""COMPUTED_VALUE"""),0.648)</f>
        <v>0.648</v>
      </c>
      <c r="J2181" s="20">
        <f>IFERROR(__xludf.DUMMYFUNCTION("""COMPUTED_VALUE"""),2180.0)</f>
        <v>2180</v>
      </c>
      <c r="K2181" s="20" t="b">
        <f>IFERROR(__xludf.DUMMYFUNCTION("""COMPUTED_VALUE"""),FALSE)</f>
        <v>0</v>
      </c>
      <c r="L2181" s="20" t="str">
        <f>IFERROR(__xludf.DUMMYFUNCTION("""COMPUTED_VALUE"""),"Math;Simulation;")</f>
        <v>Math;Simulation;</v>
      </c>
      <c r="M2181" s="20" t="b">
        <f>IFERROR(__xludf.DUMMYFUNCTION("""COMPUTED_VALUE"""),FALSE)</f>
        <v>0</v>
      </c>
      <c r="N2181" s="20" t="b">
        <f>IFERROR(__xludf.DUMMYFUNCTION("""COMPUTED_VALUE"""),FALSE)</f>
        <v>0</v>
      </c>
      <c r="O2181" s="20">
        <f>IFERROR(__xludf.DUMMYFUNCTION("""COMPUTED_VALUE"""),64.8233106013639)</f>
        <v>64.8233106</v>
      </c>
      <c r="P2181" s="20">
        <f>IFERROR(__xludf.DUMMYFUNCTION("""COMPUTED_VALUE"""),36596.0)</f>
        <v>36596</v>
      </c>
      <c r="Q2181" s="20">
        <f>IFERROR(__xludf.DUMMYFUNCTION("""COMPUTED_VALUE"""),56455.0)</f>
        <v>56455</v>
      </c>
    </row>
    <row r="2182">
      <c r="A2182" s="20">
        <f>IFERROR(__xludf.DUMMYFUNCTION("""COMPUTED_VALUE"""),2299.0)</f>
        <v>2299</v>
      </c>
      <c r="B2182" s="20" t="str">
        <f>IFERROR(__xludf.DUMMYFUNCTION("""COMPUTED_VALUE"""),"Merge Nodes in Between Zeros")</f>
        <v>Merge Nodes in Between Zeros</v>
      </c>
      <c r="C2182" s="20" t="str">
        <f>IFERROR(__xludf.DUMMYFUNCTION("""COMPUTED_VALUE"""),"merge-nodes-in-between-zeros")</f>
        <v>merge-nodes-in-between-zeros</v>
      </c>
      <c r="D2182" s="20" t="b">
        <f>IFERROR(__xludf.DUMMYFUNCTION("""COMPUTED_VALUE"""),FALSE)</f>
        <v>0</v>
      </c>
      <c r="E2182" s="20" t="str">
        <f>IFERROR(__xludf.DUMMYFUNCTION("""COMPUTED_VALUE"""),"Medium")</f>
        <v>Medium</v>
      </c>
      <c r="F2182" s="20">
        <f>IFERROR(__xludf.DUMMYFUNCTION("""COMPUTED_VALUE"""),1049.0)</f>
        <v>1049</v>
      </c>
      <c r="G2182" s="20">
        <f>IFERROR(__xludf.DUMMYFUNCTION("""COMPUTED_VALUE"""),20.0)</f>
        <v>20</v>
      </c>
      <c r="H2182" s="20" t="str">
        <f>IFERROR(__xludf.DUMMYFUNCTION("""COMPUTED_VALUE"""),"Algorithms")</f>
        <v>Algorithms</v>
      </c>
      <c r="I2182" s="20">
        <f>IFERROR(__xludf.DUMMYFUNCTION("""COMPUTED_VALUE"""),0.867)</f>
        <v>0.867</v>
      </c>
      <c r="J2182" s="20">
        <f>IFERROR(__xludf.DUMMYFUNCTION("""COMPUTED_VALUE"""),2181.0)</f>
        <v>2181</v>
      </c>
      <c r="K2182" s="20" t="b">
        <f>IFERROR(__xludf.DUMMYFUNCTION("""COMPUTED_VALUE"""),FALSE)</f>
        <v>0</v>
      </c>
      <c r="L2182" s="20" t="str">
        <f>IFERROR(__xludf.DUMMYFUNCTION("""COMPUTED_VALUE"""),"Linked List;Simulation;")</f>
        <v>Linked List;Simulation;</v>
      </c>
      <c r="M2182" s="20" t="b">
        <f>IFERROR(__xludf.DUMMYFUNCTION("""COMPUTED_VALUE"""),FALSE)</f>
        <v>0</v>
      </c>
      <c r="N2182" s="20" t="b">
        <f>IFERROR(__xludf.DUMMYFUNCTION("""COMPUTED_VALUE"""),FALSE)</f>
        <v>0</v>
      </c>
      <c r="O2182" s="20">
        <f>IFERROR(__xludf.DUMMYFUNCTION("""COMPUTED_VALUE"""),86.7088430030299)</f>
        <v>86.708843</v>
      </c>
      <c r="P2182" s="20">
        <f>IFERROR(__xludf.DUMMYFUNCTION("""COMPUTED_VALUE"""),61811.0)</f>
        <v>61811</v>
      </c>
      <c r="Q2182" s="20">
        <f>IFERROR(__xludf.DUMMYFUNCTION("""COMPUTED_VALUE"""),71286.0)</f>
        <v>71286</v>
      </c>
    </row>
    <row r="2183">
      <c r="A2183" s="20">
        <f>IFERROR(__xludf.DUMMYFUNCTION("""COMPUTED_VALUE"""),2300.0)</f>
        <v>2300</v>
      </c>
      <c r="B2183" s="20" t="str">
        <f>IFERROR(__xludf.DUMMYFUNCTION("""COMPUTED_VALUE"""),"Construct String With Repeat Limit")</f>
        <v>Construct String With Repeat Limit</v>
      </c>
      <c r="C2183" s="20" t="str">
        <f>IFERROR(__xludf.DUMMYFUNCTION("""COMPUTED_VALUE"""),"construct-string-with-repeat-limit")</f>
        <v>construct-string-with-repeat-limit</v>
      </c>
      <c r="D2183" s="20" t="b">
        <f>IFERROR(__xludf.DUMMYFUNCTION("""COMPUTED_VALUE"""),FALSE)</f>
        <v>0</v>
      </c>
      <c r="E2183" s="20" t="str">
        <f>IFERROR(__xludf.DUMMYFUNCTION("""COMPUTED_VALUE"""),"Medium")</f>
        <v>Medium</v>
      </c>
      <c r="F2183" s="20">
        <f>IFERROR(__xludf.DUMMYFUNCTION("""COMPUTED_VALUE"""),484.0)</f>
        <v>484</v>
      </c>
      <c r="G2183" s="20">
        <f>IFERROR(__xludf.DUMMYFUNCTION("""COMPUTED_VALUE"""),31.0)</f>
        <v>31</v>
      </c>
      <c r="H2183" s="20" t="str">
        <f>IFERROR(__xludf.DUMMYFUNCTION("""COMPUTED_VALUE"""),"Algorithms")</f>
        <v>Algorithms</v>
      </c>
      <c r="I2183" s="20">
        <f>IFERROR(__xludf.DUMMYFUNCTION("""COMPUTED_VALUE"""),0.522)</f>
        <v>0.522</v>
      </c>
      <c r="J2183" s="20">
        <f>IFERROR(__xludf.DUMMYFUNCTION("""COMPUTED_VALUE"""),2182.0)</f>
        <v>2182</v>
      </c>
      <c r="K2183" s="20" t="b">
        <f>IFERROR(__xludf.DUMMYFUNCTION("""COMPUTED_VALUE"""),FALSE)</f>
        <v>0</v>
      </c>
      <c r="L2183" s="20" t="str">
        <f>IFERROR(__xludf.DUMMYFUNCTION("""COMPUTED_VALUE"""),"String;Greedy;Heap (Priority Queue);Counting;")</f>
        <v>String;Greedy;Heap (Priority Queue);Counting;</v>
      </c>
      <c r="M2183" s="20" t="b">
        <f>IFERROR(__xludf.DUMMYFUNCTION("""COMPUTED_VALUE"""),FALSE)</f>
        <v>0</v>
      </c>
      <c r="N2183" s="20" t="b">
        <f>IFERROR(__xludf.DUMMYFUNCTION("""COMPUTED_VALUE"""),FALSE)</f>
        <v>0</v>
      </c>
      <c r="O2183" s="20">
        <f>IFERROR(__xludf.DUMMYFUNCTION("""COMPUTED_VALUE"""),52.1809631911788)</f>
        <v>52.18096319</v>
      </c>
      <c r="P2183" s="20">
        <f>IFERROR(__xludf.DUMMYFUNCTION("""COMPUTED_VALUE"""),16090.0)</f>
        <v>16090</v>
      </c>
      <c r="Q2183" s="20">
        <f>IFERROR(__xludf.DUMMYFUNCTION("""COMPUTED_VALUE"""),30835.0)</f>
        <v>30835</v>
      </c>
    </row>
    <row r="2184">
      <c r="A2184" s="20">
        <f>IFERROR(__xludf.DUMMYFUNCTION("""COMPUTED_VALUE"""),2301.0)</f>
        <v>2301</v>
      </c>
      <c r="B2184" s="20" t="str">
        <f>IFERROR(__xludf.DUMMYFUNCTION("""COMPUTED_VALUE"""),"Count Array Pairs Divisible by K")</f>
        <v>Count Array Pairs Divisible by K</v>
      </c>
      <c r="C2184" s="20" t="str">
        <f>IFERROR(__xludf.DUMMYFUNCTION("""COMPUTED_VALUE"""),"count-array-pairs-divisible-by-k")</f>
        <v>count-array-pairs-divisible-by-k</v>
      </c>
      <c r="D2184" s="20" t="b">
        <f>IFERROR(__xludf.DUMMYFUNCTION("""COMPUTED_VALUE"""),FALSE)</f>
        <v>0</v>
      </c>
      <c r="E2184" s="20" t="str">
        <f>IFERROR(__xludf.DUMMYFUNCTION("""COMPUTED_VALUE"""),"Hard")</f>
        <v>Hard</v>
      </c>
      <c r="F2184" s="20">
        <f>IFERROR(__xludf.DUMMYFUNCTION("""COMPUTED_VALUE"""),621.0)</f>
        <v>621</v>
      </c>
      <c r="G2184" s="20">
        <f>IFERROR(__xludf.DUMMYFUNCTION("""COMPUTED_VALUE"""),32.0)</f>
        <v>32</v>
      </c>
      <c r="H2184" s="20" t="str">
        <f>IFERROR(__xludf.DUMMYFUNCTION("""COMPUTED_VALUE"""),"Algorithms")</f>
        <v>Algorithms</v>
      </c>
      <c r="I2184" s="20">
        <f>IFERROR(__xludf.DUMMYFUNCTION("""COMPUTED_VALUE"""),0.286)</f>
        <v>0.286</v>
      </c>
      <c r="J2184" s="20">
        <f>IFERROR(__xludf.DUMMYFUNCTION("""COMPUTED_VALUE"""),2183.0)</f>
        <v>2183</v>
      </c>
      <c r="K2184" s="20" t="b">
        <f>IFERROR(__xludf.DUMMYFUNCTION("""COMPUTED_VALUE"""),FALSE)</f>
        <v>0</v>
      </c>
      <c r="L2184" s="20" t="str">
        <f>IFERROR(__xludf.DUMMYFUNCTION("""COMPUTED_VALUE"""),"Array;Math;Number Theory;")</f>
        <v>Array;Math;Number Theory;</v>
      </c>
      <c r="M2184" s="20" t="b">
        <f>IFERROR(__xludf.DUMMYFUNCTION("""COMPUTED_VALUE"""),FALSE)</f>
        <v>0</v>
      </c>
      <c r="N2184" s="20" t="b">
        <f>IFERROR(__xludf.DUMMYFUNCTION("""COMPUTED_VALUE"""),FALSE)</f>
        <v>0</v>
      </c>
      <c r="O2184" s="20">
        <f>IFERROR(__xludf.DUMMYFUNCTION("""COMPUTED_VALUE"""),28.637342356198)</f>
        <v>28.63734236</v>
      </c>
      <c r="P2184" s="20">
        <f>IFERROR(__xludf.DUMMYFUNCTION("""COMPUTED_VALUE"""),11172.0)</f>
        <v>11172</v>
      </c>
      <c r="Q2184" s="20">
        <f>IFERROR(__xludf.DUMMYFUNCTION("""COMPUTED_VALUE"""),39011.0)</f>
        <v>39011</v>
      </c>
    </row>
    <row r="2185">
      <c r="A2185" s="20">
        <f>IFERROR(__xludf.DUMMYFUNCTION("""COMPUTED_VALUE"""),2322.0)</f>
        <v>2322</v>
      </c>
      <c r="B2185" s="20" t="str">
        <f>IFERROR(__xludf.DUMMYFUNCTION("""COMPUTED_VALUE"""),"Number of Ways to Build Sturdy Brick Wall")</f>
        <v>Number of Ways to Build Sturdy Brick Wall</v>
      </c>
      <c r="C2185" s="20" t="str">
        <f>IFERROR(__xludf.DUMMYFUNCTION("""COMPUTED_VALUE"""),"number-of-ways-to-build-sturdy-brick-wall")</f>
        <v>number-of-ways-to-build-sturdy-brick-wall</v>
      </c>
      <c r="D2185" s="20" t="b">
        <f>IFERROR(__xludf.DUMMYFUNCTION("""COMPUTED_VALUE"""),TRUE)</f>
        <v>1</v>
      </c>
      <c r="E2185" s="20" t="str">
        <f>IFERROR(__xludf.DUMMYFUNCTION("""COMPUTED_VALUE"""),"Medium")</f>
        <v>Medium</v>
      </c>
      <c r="F2185" s="20">
        <f>IFERROR(__xludf.DUMMYFUNCTION("""COMPUTED_VALUE"""),114.0)</f>
        <v>114</v>
      </c>
      <c r="G2185" s="20">
        <f>IFERROR(__xludf.DUMMYFUNCTION("""COMPUTED_VALUE"""),78.0)</f>
        <v>78</v>
      </c>
      <c r="H2185" s="20" t="str">
        <f>IFERROR(__xludf.DUMMYFUNCTION("""COMPUTED_VALUE"""),"Algorithms")</f>
        <v>Algorithms</v>
      </c>
      <c r="I2185" s="20">
        <f>IFERROR(__xludf.DUMMYFUNCTION("""COMPUTED_VALUE"""),0.512)</f>
        <v>0.512</v>
      </c>
      <c r="J2185" s="20">
        <f>IFERROR(__xludf.DUMMYFUNCTION("""COMPUTED_VALUE"""),2184.0)</f>
        <v>2184</v>
      </c>
      <c r="K2185" s="20" t="b">
        <f>IFERROR(__xludf.DUMMYFUNCTION("""COMPUTED_VALUE"""),TRUE)</f>
        <v>1</v>
      </c>
      <c r="L2185" s="20" t="str">
        <f>IFERROR(__xludf.DUMMYFUNCTION("""COMPUTED_VALUE"""),"Array;Dynamic Programming;Bit Manipulation;Bitmask;")</f>
        <v>Array;Dynamic Programming;Bit Manipulation;Bitmask;</v>
      </c>
      <c r="M2185" s="20" t="b">
        <f>IFERROR(__xludf.DUMMYFUNCTION("""COMPUTED_VALUE"""),FALSE)</f>
        <v>0</v>
      </c>
      <c r="N2185" s="20" t="b">
        <f>IFERROR(__xludf.DUMMYFUNCTION("""COMPUTED_VALUE"""),FALSE)</f>
        <v>0</v>
      </c>
      <c r="O2185" s="20">
        <f>IFERROR(__xludf.DUMMYFUNCTION("""COMPUTED_VALUE"""),51.1504424778761)</f>
        <v>51.15044248</v>
      </c>
      <c r="P2185" s="20">
        <f>IFERROR(__xludf.DUMMYFUNCTION("""COMPUTED_VALUE"""),4624.0)</f>
        <v>4624</v>
      </c>
      <c r="Q2185" s="20">
        <f>IFERROR(__xludf.DUMMYFUNCTION("""COMPUTED_VALUE"""),9040.0)</f>
        <v>9040</v>
      </c>
    </row>
    <row r="2186">
      <c r="A2186" s="20">
        <f>IFERROR(__xludf.DUMMYFUNCTION("""COMPUTED_VALUE"""),2292.0)</f>
        <v>2292</v>
      </c>
      <c r="B2186" s="20" t="str">
        <f>IFERROR(__xludf.DUMMYFUNCTION("""COMPUTED_VALUE"""),"Counting Words With a Given Prefix")</f>
        <v>Counting Words With a Given Prefix</v>
      </c>
      <c r="C2186" s="20" t="str">
        <f>IFERROR(__xludf.DUMMYFUNCTION("""COMPUTED_VALUE"""),"counting-words-with-a-given-prefix")</f>
        <v>counting-words-with-a-given-prefix</v>
      </c>
      <c r="D2186" s="20" t="b">
        <f>IFERROR(__xludf.DUMMYFUNCTION("""COMPUTED_VALUE"""),FALSE)</f>
        <v>0</v>
      </c>
      <c r="E2186" s="20" t="str">
        <f>IFERROR(__xludf.DUMMYFUNCTION("""COMPUTED_VALUE"""),"Easy")</f>
        <v>Easy</v>
      </c>
      <c r="F2186" s="20">
        <f>IFERROR(__xludf.DUMMYFUNCTION("""COMPUTED_VALUE"""),437.0)</f>
        <v>437</v>
      </c>
      <c r="G2186" s="20">
        <f>IFERROR(__xludf.DUMMYFUNCTION("""COMPUTED_VALUE"""),11.0)</f>
        <v>11</v>
      </c>
      <c r="H2186" s="20" t="str">
        <f>IFERROR(__xludf.DUMMYFUNCTION("""COMPUTED_VALUE"""),"Algorithms")</f>
        <v>Algorithms</v>
      </c>
      <c r="I2186" s="20">
        <f>IFERROR(__xludf.DUMMYFUNCTION("""COMPUTED_VALUE"""),0.771)</f>
        <v>0.771</v>
      </c>
      <c r="J2186" s="20">
        <f>IFERROR(__xludf.DUMMYFUNCTION("""COMPUTED_VALUE"""),2185.0)</f>
        <v>2185</v>
      </c>
      <c r="K2186" s="20" t="b">
        <f>IFERROR(__xludf.DUMMYFUNCTION("""COMPUTED_VALUE"""),FALSE)</f>
        <v>0</v>
      </c>
      <c r="L2186" s="20" t="str">
        <f>IFERROR(__xludf.DUMMYFUNCTION("""COMPUTED_VALUE"""),"Array;String;")</f>
        <v>Array;String;</v>
      </c>
      <c r="M2186" s="20" t="b">
        <f>IFERROR(__xludf.DUMMYFUNCTION("""COMPUTED_VALUE"""),FALSE)</f>
        <v>0</v>
      </c>
      <c r="N2186" s="20" t="b">
        <f>IFERROR(__xludf.DUMMYFUNCTION("""COMPUTED_VALUE"""),FALSE)</f>
        <v>0</v>
      </c>
      <c r="O2186" s="20">
        <f>IFERROR(__xludf.DUMMYFUNCTION("""COMPUTED_VALUE"""),77.1499269249135)</f>
        <v>77.14992692</v>
      </c>
      <c r="P2186" s="20">
        <f>IFERROR(__xludf.DUMMYFUNCTION("""COMPUTED_VALUE"""),53316.0)</f>
        <v>53316</v>
      </c>
      <c r="Q2186" s="20">
        <f>IFERROR(__xludf.DUMMYFUNCTION("""COMPUTED_VALUE"""),69107.0)</f>
        <v>69107</v>
      </c>
    </row>
    <row r="2187">
      <c r="A2187" s="20">
        <f>IFERROR(__xludf.DUMMYFUNCTION("""COMPUTED_VALUE"""),2293.0)</f>
        <v>2293</v>
      </c>
      <c r="B2187" s="20" t="str">
        <f>IFERROR(__xludf.DUMMYFUNCTION("""COMPUTED_VALUE"""),"Minimum Number of Steps to Make Two Strings Anagram II")</f>
        <v>Minimum Number of Steps to Make Two Strings Anagram II</v>
      </c>
      <c r="C2187" s="20" t="str">
        <f>IFERROR(__xludf.DUMMYFUNCTION("""COMPUTED_VALUE"""),"minimum-number-of-steps-to-make-two-strings-anagram-ii")</f>
        <v>minimum-number-of-steps-to-make-two-strings-anagram-ii</v>
      </c>
      <c r="D2187" s="20" t="b">
        <f>IFERROR(__xludf.DUMMYFUNCTION("""COMPUTED_VALUE"""),FALSE)</f>
        <v>0</v>
      </c>
      <c r="E2187" s="20" t="str">
        <f>IFERROR(__xludf.DUMMYFUNCTION("""COMPUTED_VALUE"""),"Medium")</f>
        <v>Medium</v>
      </c>
      <c r="F2187" s="20">
        <f>IFERROR(__xludf.DUMMYFUNCTION("""COMPUTED_VALUE"""),380.0)</f>
        <v>380</v>
      </c>
      <c r="G2187" s="20">
        <f>IFERROR(__xludf.DUMMYFUNCTION("""COMPUTED_VALUE"""),10.0)</f>
        <v>10</v>
      </c>
      <c r="H2187" s="20" t="str">
        <f>IFERROR(__xludf.DUMMYFUNCTION("""COMPUTED_VALUE"""),"Algorithms")</f>
        <v>Algorithms</v>
      </c>
      <c r="I2187" s="20">
        <f>IFERROR(__xludf.DUMMYFUNCTION("""COMPUTED_VALUE"""),0.721)</f>
        <v>0.721</v>
      </c>
      <c r="J2187" s="20">
        <f>IFERROR(__xludf.DUMMYFUNCTION("""COMPUTED_VALUE"""),2186.0)</f>
        <v>2186</v>
      </c>
      <c r="K2187" s="20" t="b">
        <f>IFERROR(__xludf.DUMMYFUNCTION("""COMPUTED_VALUE"""),FALSE)</f>
        <v>0</v>
      </c>
      <c r="L2187" s="20" t="str">
        <f>IFERROR(__xludf.DUMMYFUNCTION("""COMPUTED_VALUE"""),"Hash Table;String;Counting;")</f>
        <v>Hash Table;String;Counting;</v>
      </c>
      <c r="M2187" s="20" t="b">
        <f>IFERROR(__xludf.DUMMYFUNCTION("""COMPUTED_VALUE"""),FALSE)</f>
        <v>0</v>
      </c>
      <c r="N2187" s="20" t="b">
        <f>IFERROR(__xludf.DUMMYFUNCTION("""COMPUTED_VALUE"""),FALSE)</f>
        <v>0</v>
      </c>
      <c r="O2187" s="20">
        <f>IFERROR(__xludf.DUMMYFUNCTION("""COMPUTED_VALUE"""),72.1066271751203)</f>
        <v>72.10662718</v>
      </c>
      <c r="P2187" s="20">
        <f>IFERROR(__xludf.DUMMYFUNCTION("""COMPUTED_VALUE"""),29213.0)</f>
        <v>29213</v>
      </c>
      <c r="Q2187" s="20">
        <f>IFERROR(__xludf.DUMMYFUNCTION("""COMPUTED_VALUE"""),40514.0)</f>
        <v>40514</v>
      </c>
    </row>
    <row r="2188">
      <c r="A2188" s="20">
        <f>IFERROR(__xludf.DUMMYFUNCTION("""COMPUTED_VALUE"""),2294.0)</f>
        <v>2294</v>
      </c>
      <c r="B2188" s="20" t="str">
        <f>IFERROR(__xludf.DUMMYFUNCTION("""COMPUTED_VALUE"""),"Minimum Time to Complete Trips")</f>
        <v>Minimum Time to Complete Trips</v>
      </c>
      <c r="C2188" s="20" t="str">
        <f>IFERROR(__xludf.DUMMYFUNCTION("""COMPUTED_VALUE"""),"minimum-time-to-complete-trips")</f>
        <v>minimum-time-to-complete-trips</v>
      </c>
      <c r="D2188" s="20" t="b">
        <f>IFERROR(__xludf.DUMMYFUNCTION("""COMPUTED_VALUE"""),FALSE)</f>
        <v>0</v>
      </c>
      <c r="E2188" s="20" t="str">
        <f>IFERROR(__xludf.DUMMYFUNCTION("""COMPUTED_VALUE"""),"Medium")</f>
        <v>Medium</v>
      </c>
      <c r="F2188" s="20">
        <f>IFERROR(__xludf.DUMMYFUNCTION("""COMPUTED_VALUE"""),789.0)</f>
        <v>789</v>
      </c>
      <c r="G2188" s="20">
        <f>IFERROR(__xludf.DUMMYFUNCTION("""COMPUTED_VALUE"""),45.0)</f>
        <v>45</v>
      </c>
      <c r="H2188" s="20" t="str">
        <f>IFERROR(__xludf.DUMMYFUNCTION("""COMPUTED_VALUE"""),"Algorithms")</f>
        <v>Algorithms</v>
      </c>
      <c r="I2188" s="20">
        <f>IFERROR(__xludf.DUMMYFUNCTION("""COMPUTED_VALUE"""),0.321)</f>
        <v>0.321</v>
      </c>
      <c r="J2188" s="20">
        <f>IFERROR(__xludf.DUMMYFUNCTION("""COMPUTED_VALUE"""),2187.0)</f>
        <v>2187</v>
      </c>
      <c r="K2188" s="20" t="b">
        <f>IFERROR(__xludf.DUMMYFUNCTION("""COMPUTED_VALUE"""),FALSE)</f>
        <v>0</v>
      </c>
      <c r="L2188" s="20" t="str">
        <f>IFERROR(__xludf.DUMMYFUNCTION("""COMPUTED_VALUE"""),"Array;Binary Search;")</f>
        <v>Array;Binary Search;</v>
      </c>
      <c r="M2188" s="20" t="b">
        <f>IFERROR(__xludf.DUMMYFUNCTION("""COMPUTED_VALUE"""),FALSE)</f>
        <v>0</v>
      </c>
      <c r="N2188" s="20" t="b">
        <f>IFERROR(__xludf.DUMMYFUNCTION("""COMPUTED_VALUE"""),FALSE)</f>
        <v>0</v>
      </c>
      <c r="O2188" s="20">
        <f>IFERROR(__xludf.DUMMYFUNCTION("""COMPUTED_VALUE"""),32.1223192666897)</f>
        <v>32.12231927</v>
      </c>
      <c r="P2188" s="20">
        <f>IFERROR(__xludf.DUMMYFUNCTION("""COMPUTED_VALUE"""),29717.0)</f>
        <v>29717</v>
      </c>
      <c r="Q2188" s="20">
        <f>IFERROR(__xludf.DUMMYFUNCTION("""COMPUTED_VALUE"""),92512.0)</f>
        <v>92512</v>
      </c>
    </row>
    <row r="2189">
      <c r="A2189" s="20">
        <f>IFERROR(__xludf.DUMMYFUNCTION("""COMPUTED_VALUE"""),2295.0)</f>
        <v>2295</v>
      </c>
      <c r="B2189" s="20" t="str">
        <f>IFERROR(__xludf.DUMMYFUNCTION("""COMPUTED_VALUE"""),"Minimum Time to Finish the Race")</f>
        <v>Minimum Time to Finish the Race</v>
      </c>
      <c r="C2189" s="20" t="str">
        <f>IFERROR(__xludf.DUMMYFUNCTION("""COMPUTED_VALUE"""),"minimum-time-to-finish-the-race")</f>
        <v>minimum-time-to-finish-the-race</v>
      </c>
      <c r="D2189" s="20" t="b">
        <f>IFERROR(__xludf.DUMMYFUNCTION("""COMPUTED_VALUE"""),FALSE)</f>
        <v>0</v>
      </c>
      <c r="E2189" s="20" t="str">
        <f>IFERROR(__xludf.DUMMYFUNCTION("""COMPUTED_VALUE"""),"Hard")</f>
        <v>Hard</v>
      </c>
      <c r="F2189" s="20">
        <f>IFERROR(__xludf.DUMMYFUNCTION("""COMPUTED_VALUE"""),449.0)</f>
        <v>449</v>
      </c>
      <c r="G2189" s="20">
        <f>IFERROR(__xludf.DUMMYFUNCTION("""COMPUTED_VALUE"""),19.0)</f>
        <v>19</v>
      </c>
      <c r="H2189" s="20" t="str">
        <f>IFERROR(__xludf.DUMMYFUNCTION("""COMPUTED_VALUE"""),"Algorithms")</f>
        <v>Algorithms</v>
      </c>
      <c r="I2189" s="20">
        <f>IFERROR(__xludf.DUMMYFUNCTION("""COMPUTED_VALUE"""),0.418)</f>
        <v>0.418</v>
      </c>
      <c r="J2189" s="20">
        <f>IFERROR(__xludf.DUMMYFUNCTION("""COMPUTED_VALUE"""),2188.0)</f>
        <v>2188</v>
      </c>
      <c r="K2189" s="20" t="b">
        <f>IFERROR(__xludf.DUMMYFUNCTION("""COMPUTED_VALUE"""),FALSE)</f>
        <v>0</v>
      </c>
      <c r="L2189" s="20" t="str">
        <f>IFERROR(__xludf.DUMMYFUNCTION("""COMPUTED_VALUE"""),"Array;Dynamic Programming;")</f>
        <v>Array;Dynamic Programming;</v>
      </c>
      <c r="M2189" s="20" t="b">
        <f>IFERROR(__xludf.DUMMYFUNCTION("""COMPUTED_VALUE"""),FALSE)</f>
        <v>0</v>
      </c>
      <c r="N2189" s="20" t="b">
        <f>IFERROR(__xludf.DUMMYFUNCTION("""COMPUTED_VALUE"""),FALSE)</f>
        <v>0</v>
      </c>
      <c r="O2189" s="20">
        <f>IFERROR(__xludf.DUMMYFUNCTION("""COMPUTED_VALUE"""),41.7716338502114)</f>
        <v>41.77163385</v>
      </c>
      <c r="P2189" s="20">
        <f>IFERROR(__xludf.DUMMYFUNCTION("""COMPUTED_VALUE"""),9186.0)</f>
        <v>9186</v>
      </c>
      <c r="Q2189" s="20">
        <f>IFERROR(__xludf.DUMMYFUNCTION("""COMPUTED_VALUE"""),21991.0)</f>
        <v>21991</v>
      </c>
    </row>
    <row r="2190">
      <c r="A2190" s="20">
        <f>IFERROR(__xludf.DUMMYFUNCTION("""COMPUTED_VALUE"""),1385.0)</f>
        <v>1385</v>
      </c>
      <c r="B2190" s="20" t="str">
        <f>IFERROR(__xludf.DUMMYFUNCTION("""COMPUTED_VALUE"""),"Number of Ways to Build House of Cards")</f>
        <v>Number of Ways to Build House of Cards</v>
      </c>
      <c r="C2190" s="20" t="str">
        <f>IFERROR(__xludf.DUMMYFUNCTION("""COMPUTED_VALUE"""),"number-of-ways-to-build-house-of-cards")</f>
        <v>number-of-ways-to-build-house-of-cards</v>
      </c>
      <c r="D2190" s="20" t="b">
        <f>IFERROR(__xludf.DUMMYFUNCTION("""COMPUTED_VALUE"""),TRUE)</f>
        <v>1</v>
      </c>
      <c r="E2190" s="20" t="str">
        <f>IFERROR(__xludf.DUMMYFUNCTION("""COMPUTED_VALUE"""),"Medium")</f>
        <v>Medium</v>
      </c>
      <c r="F2190" s="20">
        <f>IFERROR(__xludf.DUMMYFUNCTION("""COMPUTED_VALUE"""),51.0)</f>
        <v>51</v>
      </c>
      <c r="G2190" s="20">
        <f>IFERROR(__xludf.DUMMYFUNCTION("""COMPUTED_VALUE"""),7.0)</f>
        <v>7</v>
      </c>
      <c r="H2190" s="20" t="str">
        <f>IFERROR(__xludf.DUMMYFUNCTION("""COMPUTED_VALUE"""),"Algorithms")</f>
        <v>Algorithms</v>
      </c>
      <c r="I2190" s="20">
        <f>IFERROR(__xludf.DUMMYFUNCTION("""COMPUTED_VALUE"""),0.627)</f>
        <v>0.627</v>
      </c>
      <c r="J2190" s="20">
        <f>IFERROR(__xludf.DUMMYFUNCTION("""COMPUTED_VALUE"""),2189.0)</f>
        <v>2189</v>
      </c>
      <c r="K2190" s="20" t="b">
        <f>IFERROR(__xludf.DUMMYFUNCTION("""COMPUTED_VALUE"""),TRUE)</f>
        <v>1</v>
      </c>
      <c r="L2190" s="20" t="str">
        <f>IFERROR(__xludf.DUMMYFUNCTION("""COMPUTED_VALUE"""),"Math;Dynamic Programming;")</f>
        <v>Math;Dynamic Programming;</v>
      </c>
      <c r="M2190" s="20" t="b">
        <f>IFERROR(__xludf.DUMMYFUNCTION("""COMPUTED_VALUE"""),FALSE)</f>
        <v>0</v>
      </c>
      <c r="N2190" s="20" t="b">
        <f>IFERROR(__xludf.DUMMYFUNCTION("""COMPUTED_VALUE"""),FALSE)</f>
        <v>0</v>
      </c>
      <c r="O2190" s="20">
        <f>IFERROR(__xludf.DUMMYFUNCTION("""COMPUTED_VALUE"""),62.6710712600283)</f>
        <v>62.67107126</v>
      </c>
      <c r="P2190" s="20">
        <f>IFERROR(__xludf.DUMMYFUNCTION("""COMPUTED_VALUE"""),1328.0)</f>
        <v>1328</v>
      </c>
      <c r="Q2190" s="20">
        <f>IFERROR(__xludf.DUMMYFUNCTION("""COMPUTED_VALUE"""),2119.0)</f>
        <v>2119</v>
      </c>
    </row>
    <row r="2191">
      <c r="A2191" s="20">
        <f>IFERROR(__xludf.DUMMYFUNCTION("""COMPUTED_VALUE"""),2312.0)</f>
        <v>2312</v>
      </c>
      <c r="B2191" s="20" t="str">
        <f>IFERROR(__xludf.DUMMYFUNCTION("""COMPUTED_VALUE"""),"Most Frequent Number Following Key In an Array")</f>
        <v>Most Frequent Number Following Key In an Array</v>
      </c>
      <c r="C2191" s="20" t="str">
        <f>IFERROR(__xludf.DUMMYFUNCTION("""COMPUTED_VALUE"""),"most-frequent-number-following-key-in-an-array")</f>
        <v>most-frequent-number-following-key-in-an-array</v>
      </c>
      <c r="D2191" s="20" t="b">
        <f>IFERROR(__xludf.DUMMYFUNCTION("""COMPUTED_VALUE"""),FALSE)</f>
        <v>0</v>
      </c>
      <c r="E2191" s="20" t="str">
        <f>IFERROR(__xludf.DUMMYFUNCTION("""COMPUTED_VALUE"""),"Easy")</f>
        <v>Easy</v>
      </c>
      <c r="F2191" s="20">
        <f>IFERROR(__xludf.DUMMYFUNCTION("""COMPUTED_VALUE"""),249.0)</f>
        <v>249</v>
      </c>
      <c r="G2191" s="20">
        <f>IFERROR(__xludf.DUMMYFUNCTION("""COMPUTED_VALUE"""),128.0)</f>
        <v>128</v>
      </c>
      <c r="H2191" s="20" t="str">
        <f>IFERROR(__xludf.DUMMYFUNCTION("""COMPUTED_VALUE"""),"Algorithms")</f>
        <v>Algorithms</v>
      </c>
      <c r="I2191" s="20">
        <f>IFERROR(__xludf.DUMMYFUNCTION("""COMPUTED_VALUE"""),0.604)</f>
        <v>0.604</v>
      </c>
      <c r="J2191" s="20">
        <f>IFERROR(__xludf.DUMMYFUNCTION("""COMPUTED_VALUE"""),2190.0)</f>
        <v>2190</v>
      </c>
      <c r="K2191" s="20" t="b">
        <f>IFERROR(__xludf.DUMMYFUNCTION("""COMPUTED_VALUE"""),FALSE)</f>
        <v>0</v>
      </c>
      <c r="L2191" s="20" t="str">
        <f>IFERROR(__xludf.DUMMYFUNCTION("""COMPUTED_VALUE"""),"Array;Hash Table;Counting;")</f>
        <v>Array;Hash Table;Counting;</v>
      </c>
      <c r="M2191" s="20" t="b">
        <f>IFERROR(__xludf.DUMMYFUNCTION("""COMPUTED_VALUE"""),FALSE)</f>
        <v>0</v>
      </c>
      <c r="N2191" s="20" t="b">
        <f>IFERROR(__xludf.DUMMYFUNCTION("""COMPUTED_VALUE"""),FALSE)</f>
        <v>0</v>
      </c>
      <c r="O2191" s="20">
        <f>IFERROR(__xludf.DUMMYFUNCTION("""COMPUTED_VALUE"""),60.387791029233)</f>
        <v>60.38779103</v>
      </c>
      <c r="P2191" s="20">
        <f>IFERROR(__xludf.DUMMYFUNCTION("""COMPUTED_VALUE"""),24355.0)</f>
        <v>24355</v>
      </c>
      <c r="Q2191" s="20">
        <f>IFERROR(__xludf.DUMMYFUNCTION("""COMPUTED_VALUE"""),40331.0)</f>
        <v>40331</v>
      </c>
    </row>
    <row r="2192">
      <c r="A2192" s="20">
        <f>IFERROR(__xludf.DUMMYFUNCTION("""COMPUTED_VALUE"""),1333.0)</f>
        <v>1333</v>
      </c>
      <c r="B2192" s="20" t="str">
        <f>IFERROR(__xludf.DUMMYFUNCTION("""COMPUTED_VALUE"""),"Sort the Jumbled Numbers")</f>
        <v>Sort the Jumbled Numbers</v>
      </c>
      <c r="C2192" s="20" t="str">
        <f>IFERROR(__xludf.DUMMYFUNCTION("""COMPUTED_VALUE"""),"sort-the-jumbled-numbers")</f>
        <v>sort-the-jumbled-numbers</v>
      </c>
      <c r="D2192" s="20" t="b">
        <f>IFERROR(__xludf.DUMMYFUNCTION("""COMPUTED_VALUE"""),FALSE)</f>
        <v>0</v>
      </c>
      <c r="E2192" s="20" t="str">
        <f>IFERROR(__xludf.DUMMYFUNCTION("""COMPUTED_VALUE"""),"Medium")</f>
        <v>Medium</v>
      </c>
      <c r="F2192" s="20">
        <f>IFERROR(__xludf.DUMMYFUNCTION("""COMPUTED_VALUE"""),295.0)</f>
        <v>295</v>
      </c>
      <c r="G2192" s="20">
        <f>IFERROR(__xludf.DUMMYFUNCTION("""COMPUTED_VALUE"""),39.0)</f>
        <v>39</v>
      </c>
      <c r="H2192" s="20" t="str">
        <f>IFERROR(__xludf.DUMMYFUNCTION("""COMPUTED_VALUE"""),"Algorithms")</f>
        <v>Algorithms</v>
      </c>
      <c r="I2192" s="20">
        <f>IFERROR(__xludf.DUMMYFUNCTION("""COMPUTED_VALUE"""),0.454)</f>
        <v>0.454</v>
      </c>
      <c r="J2192" s="20">
        <f>IFERROR(__xludf.DUMMYFUNCTION("""COMPUTED_VALUE"""),2191.0)</f>
        <v>2191</v>
      </c>
      <c r="K2192" s="20" t="b">
        <f>IFERROR(__xludf.DUMMYFUNCTION("""COMPUTED_VALUE"""),FALSE)</f>
        <v>0</v>
      </c>
      <c r="L2192" s="20" t="str">
        <f>IFERROR(__xludf.DUMMYFUNCTION("""COMPUTED_VALUE"""),"Array;Sorting;")</f>
        <v>Array;Sorting;</v>
      </c>
      <c r="M2192" s="20" t="b">
        <f>IFERROR(__xludf.DUMMYFUNCTION("""COMPUTED_VALUE"""),FALSE)</f>
        <v>0</v>
      </c>
      <c r="N2192" s="20" t="b">
        <f>IFERROR(__xludf.DUMMYFUNCTION("""COMPUTED_VALUE"""),FALSE)</f>
        <v>0</v>
      </c>
      <c r="O2192" s="20">
        <f>IFERROR(__xludf.DUMMYFUNCTION("""COMPUTED_VALUE"""),45.4341934723695)</f>
        <v>45.43419347</v>
      </c>
      <c r="P2192" s="20">
        <f>IFERROR(__xludf.DUMMYFUNCTION("""COMPUTED_VALUE"""),15423.0)</f>
        <v>15423</v>
      </c>
      <c r="Q2192" s="20">
        <f>IFERROR(__xludf.DUMMYFUNCTION("""COMPUTED_VALUE"""),33945.0)</f>
        <v>33945</v>
      </c>
    </row>
    <row r="2193">
      <c r="A2193" s="20">
        <f>IFERROR(__xludf.DUMMYFUNCTION("""COMPUTED_VALUE"""),1431.0)</f>
        <v>1431</v>
      </c>
      <c r="B2193" s="20" t="str">
        <f>IFERROR(__xludf.DUMMYFUNCTION("""COMPUTED_VALUE"""),"All Ancestors of a Node in a Directed Acyclic Graph")</f>
        <v>All Ancestors of a Node in a Directed Acyclic Graph</v>
      </c>
      <c r="C2193" s="20" t="str">
        <f>IFERROR(__xludf.DUMMYFUNCTION("""COMPUTED_VALUE"""),"all-ancestors-of-a-node-in-a-directed-acyclic-graph")</f>
        <v>all-ancestors-of-a-node-in-a-directed-acyclic-graph</v>
      </c>
      <c r="D2193" s="20" t="b">
        <f>IFERROR(__xludf.DUMMYFUNCTION("""COMPUTED_VALUE"""),FALSE)</f>
        <v>0</v>
      </c>
      <c r="E2193" s="20" t="str">
        <f>IFERROR(__xludf.DUMMYFUNCTION("""COMPUTED_VALUE"""),"Medium")</f>
        <v>Medium</v>
      </c>
      <c r="F2193" s="20">
        <f>IFERROR(__xludf.DUMMYFUNCTION("""COMPUTED_VALUE"""),710.0)</f>
        <v>710</v>
      </c>
      <c r="G2193" s="20">
        <f>IFERROR(__xludf.DUMMYFUNCTION("""COMPUTED_VALUE"""),9.0)</f>
        <v>9</v>
      </c>
      <c r="H2193" s="20" t="str">
        <f>IFERROR(__xludf.DUMMYFUNCTION("""COMPUTED_VALUE"""),"Algorithms")</f>
        <v>Algorithms</v>
      </c>
      <c r="I2193" s="20">
        <f>IFERROR(__xludf.DUMMYFUNCTION("""COMPUTED_VALUE"""),0.505)</f>
        <v>0.505</v>
      </c>
      <c r="J2193" s="20">
        <f>IFERROR(__xludf.DUMMYFUNCTION("""COMPUTED_VALUE"""),2192.0)</f>
        <v>2192</v>
      </c>
      <c r="K2193" s="20" t="b">
        <f>IFERROR(__xludf.DUMMYFUNCTION("""COMPUTED_VALUE"""),FALSE)</f>
        <v>0</v>
      </c>
      <c r="L2193" s="20" t="str">
        <f>IFERROR(__xludf.DUMMYFUNCTION("""COMPUTED_VALUE"""),"Depth-First Search;Breadth-First Search;Graph;Topological Sort;")</f>
        <v>Depth-First Search;Breadth-First Search;Graph;Topological Sort;</v>
      </c>
      <c r="M2193" s="20" t="b">
        <f>IFERROR(__xludf.DUMMYFUNCTION("""COMPUTED_VALUE"""),FALSE)</f>
        <v>0</v>
      </c>
      <c r="N2193" s="20" t="b">
        <f>IFERROR(__xludf.DUMMYFUNCTION("""COMPUTED_VALUE"""),FALSE)</f>
        <v>0</v>
      </c>
      <c r="O2193" s="20">
        <f>IFERROR(__xludf.DUMMYFUNCTION("""COMPUTED_VALUE"""),50.5250731659329)</f>
        <v>50.52507317</v>
      </c>
      <c r="P2193" s="20">
        <f>IFERROR(__xludf.DUMMYFUNCTION("""COMPUTED_VALUE"""),20544.0)</f>
        <v>20544</v>
      </c>
      <c r="Q2193" s="20">
        <f>IFERROR(__xludf.DUMMYFUNCTION("""COMPUTED_VALUE"""),40661.0)</f>
        <v>40661</v>
      </c>
    </row>
    <row r="2194">
      <c r="A2194" s="20">
        <f>IFERROR(__xludf.DUMMYFUNCTION("""COMPUTED_VALUE"""),1356.0)</f>
        <v>1356</v>
      </c>
      <c r="B2194" s="20" t="str">
        <f>IFERROR(__xludf.DUMMYFUNCTION("""COMPUTED_VALUE"""),"Minimum Number of Moves to Make Palindrome")</f>
        <v>Minimum Number of Moves to Make Palindrome</v>
      </c>
      <c r="C2194" s="20" t="str">
        <f>IFERROR(__xludf.DUMMYFUNCTION("""COMPUTED_VALUE"""),"minimum-number-of-moves-to-make-palindrome")</f>
        <v>minimum-number-of-moves-to-make-palindrome</v>
      </c>
      <c r="D2194" s="20" t="b">
        <f>IFERROR(__xludf.DUMMYFUNCTION("""COMPUTED_VALUE"""),FALSE)</f>
        <v>0</v>
      </c>
      <c r="E2194" s="20" t="str">
        <f>IFERROR(__xludf.DUMMYFUNCTION("""COMPUTED_VALUE"""),"Hard")</f>
        <v>Hard</v>
      </c>
      <c r="F2194" s="20">
        <f>IFERROR(__xludf.DUMMYFUNCTION("""COMPUTED_VALUE"""),628.0)</f>
        <v>628</v>
      </c>
      <c r="G2194" s="20">
        <f>IFERROR(__xludf.DUMMYFUNCTION("""COMPUTED_VALUE"""),61.0)</f>
        <v>61</v>
      </c>
      <c r="H2194" s="20" t="str">
        <f>IFERROR(__xludf.DUMMYFUNCTION("""COMPUTED_VALUE"""),"Algorithms")</f>
        <v>Algorithms</v>
      </c>
      <c r="I2194" s="20">
        <f>IFERROR(__xludf.DUMMYFUNCTION("""COMPUTED_VALUE"""),0.515)</f>
        <v>0.515</v>
      </c>
      <c r="J2194" s="20">
        <f>IFERROR(__xludf.DUMMYFUNCTION("""COMPUTED_VALUE"""),2193.0)</f>
        <v>2193</v>
      </c>
      <c r="K2194" s="20" t="b">
        <f>IFERROR(__xludf.DUMMYFUNCTION("""COMPUTED_VALUE"""),FALSE)</f>
        <v>0</v>
      </c>
      <c r="L2194" s="20" t="str">
        <f>IFERROR(__xludf.DUMMYFUNCTION("""COMPUTED_VALUE"""),"Two Pointers;String;Greedy;Binary Indexed Tree;")</f>
        <v>Two Pointers;String;Greedy;Binary Indexed Tree;</v>
      </c>
      <c r="M2194" s="20" t="b">
        <f>IFERROR(__xludf.DUMMYFUNCTION("""COMPUTED_VALUE"""),FALSE)</f>
        <v>0</v>
      </c>
      <c r="N2194" s="20" t="b">
        <f>IFERROR(__xludf.DUMMYFUNCTION("""COMPUTED_VALUE"""),FALSE)</f>
        <v>0</v>
      </c>
      <c r="O2194" s="20">
        <f>IFERROR(__xludf.DUMMYFUNCTION("""COMPUTED_VALUE"""),51.4848505116714)</f>
        <v>51.48485051</v>
      </c>
      <c r="P2194" s="20">
        <f>IFERROR(__xludf.DUMMYFUNCTION("""COMPUTED_VALUE"""),15395.0)</f>
        <v>15395</v>
      </c>
      <c r="Q2194" s="20">
        <f>IFERROR(__xludf.DUMMYFUNCTION("""COMPUTED_VALUE"""),29902.0)</f>
        <v>29902</v>
      </c>
    </row>
    <row r="2195">
      <c r="A2195" s="20">
        <f>IFERROR(__xludf.DUMMYFUNCTION("""COMPUTED_VALUE"""),2304.0)</f>
        <v>2304</v>
      </c>
      <c r="B2195" s="20" t="str">
        <f>IFERROR(__xludf.DUMMYFUNCTION("""COMPUTED_VALUE"""),"Cells in a Range on an Excel Sheet")</f>
        <v>Cells in a Range on an Excel Sheet</v>
      </c>
      <c r="C2195" s="20" t="str">
        <f>IFERROR(__xludf.DUMMYFUNCTION("""COMPUTED_VALUE"""),"cells-in-a-range-on-an-excel-sheet")</f>
        <v>cells-in-a-range-on-an-excel-sheet</v>
      </c>
      <c r="D2195" s="20" t="b">
        <f>IFERROR(__xludf.DUMMYFUNCTION("""COMPUTED_VALUE"""),FALSE)</f>
        <v>0</v>
      </c>
      <c r="E2195" s="20" t="str">
        <f>IFERROR(__xludf.DUMMYFUNCTION("""COMPUTED_VALUE"""),"Easy")</f>
        <v>Easy</v>
      </c>
      <c r="F2195" s="20">
        <f>IFERROR(__xludf.DUMMYFUNCTION("""COMPUTED_VALUE"""),371.0)</f>
        <v>371</v>
      </c>
      <c r="G2195" s="20">
        <f>IFERROR(__xludf.DUMMYFUNCTION("""COMPUTED_VALUE"""),57.0)</f>
        <v>57</v>
      </c>
      <c r="H2195" s="20" t="str">
        <f>IFERROR(__xludf.DUMMYFUNCTION("""COMPUTED_VALUE"""),"Algorithms")</f>
        <v>Algorithms</v>
      </c>
      <c r="I2195" s="20">
        <f>IFERROR(__xludf.DUMMYFUNCTION("""COMPUTED_VALUE"""),0.854)</f>
        <v>0.854</v>
      </c>
      <c r="J2195" s="20">
        <f>IFERROR(__xludf.DUMMYFUNCTION("""COMPUTED_VALUE"""),2194.0)</f>
        <v>2194</v>
      </c>
      <c r="K2195" s="20" t="b">
        <f>IFERROR(__xludf.DUMMYFUNCTION("""COMPUTED_VALUE"""),FALSE)</f>
        <v>0</v>
      </c>
      <c r="L2195" s="20" t="str">
        <f>IFERROR(__xludf.DUMMYFUNCTION("""COMPUTED_VALUE"""),"String;")</f>
        <v>String;</v>
      </c>
      <c r="M2195" s="20" t="b">
        <f>IFERROR(__xludf.DUMMYFUNCTION("""COMPUTED_VALUE"""),FALSE)</f>
        <v>0</v>
      </c>
      <c r="N2195" s="20" t="b">
        <f>IFERROR(__xludf.DUMMYFUNCTION("""COMPUTED_VALUE"""),FALSE)</f>
        <v>0</v>
      </c>
      <c r="O2195" s="20">
        <f>IFERROR(__xludf.DUMMYFUNCTION("""COMPUTED_VALUE"""),85.4379478180944)</f>
        <v>85.43794782</v>
      </c>
      <c r="P2195" s="20">
        <f>IFERROR(__xludf.DUMMYFUNCTION("""COMPUTED_VALUE"""),40900.0)</f>
        <v>40900</v>
      </c>
      <c r="Q2195" s="20">
        <f>IFERROR(__xludf.DUMMYFUNCTION("""COMPUTED_VALUE"""),47871.0)</f>
        <v>47871</v>
      </c>
    </row>
    <row r="2196">
      <c r="A2196" s="20">
        <f>IFERROR(__xludf.DUMMYFUNCTION("""COMPUTED_VALUE"""),2305.0)</f>
        <v>2305</v>
      </c>
      <c r="B2196" s="20" t="str">
        <f>IFERROR(__xludf.DUMMYFUNCTION("""COMPUTED_VALUE"""),"Append K Integers With Minimal Sum")</f>
        <v>Append K Integers With Minimal Sum</v>
      </c>
      <c r="C2196" s="20" t="str">
        <f>IFERROR(__xludf.DUMMYFUNCTION("""COMPUTED_VALUE"""),"append-k-integers-with-minimal-sum")</f>
        <v>append-k-integers-with-minimal-sum</v>
      </c>
      <c r="D2196" s="20" t="b">
        <f>IFERROR(__xludf.DUMMYFUNCTION("""COMPUTED_VALUE"""),FALSE)</f>
        <v>0</v>
      </c>
      <c r="E2196" s="20" t="str">
        <f>IFERROR(__xludf.DUMMYFUNCTION("""COMPUTED_VALUE"""),"Medium")</f>
        <v>Medium</v>
      </c>
      <c r="F2196" s="20">
        <f>IFERROR(__xludf.DUMMYFUNCTION("""COMPUTED_VALUE"""),497.0)</f>
        <v>497</v>
      </c>
      <c r="G2196" s="20">
        <f>IFERROR(__xludf.DUMMYFUNCTION("""COMPUTED_VALUE"""),262.0)</f>
        <v>262</v>
      </c>
      <c r="H2196" s="20" t="str">
        <f>IFERROR(__xludf.DUMMYFUNCTION("""COMPUTED_VALUE"""),"Algorithms")</f>
        <v>Algorithms</v>
      </c>
      <c r="I2196" s="20">
        <f>IFERROR(__xludf.DUMMYFUNCTION("""COMPUTED_VALUE"""),0.251)</f>
        <v>0.251</v>
      </c>
      <c r="J2196" s="20">
        <f>IFERROR(__xludf.DUMMYFUNCTION("""COMPUTED_VALUE"""),2195.0)</f>
        <v>2195</v>
      </c>
      <c r="K2196" s="20" t="b">
        <f>IFERROR(__xludf.DUMMYFUNCTION("""COMPUTED_VALUE"""),FALSE)</f>
        <v>0</v>
      </c>
      <c r="L2196" s="20" t="str">
        <f>IFERROR(__xludf.DUMMYFUNCTION("""COMPUTED_VALUE"""),"Array;Math;Greedy;Sorting;")</f>
        <v>Array;Math;Greedy;Sorting;</v>
      </c>
      <c r="M2196" s="20" t="b">
        <f>IFERROR(__xludf.DUMMYFUNCTION("""COMPUTED_VALUE"""),FALSE)</f>
        <v>0</v>
      </c>
      <c r="N2196" s="20" t="b">
        <f>IFERROR(__xludf.DUMMYFUNCTION("""COMPUTED_VALUE"""),FALSE)</f>
        <v>0</v>
      </c>
      <c r="O2196" s="20">
        <f>IFERROR(__xludf.DUMMYFUNCTION("""COMPUTED_VALUE"""),25.1466765688822)</f>
        <v>25.14667657</v>
      </c>
      <c r="P2196" s="20">
        <f>IFERROR(__xludf.DUMMYFUNCTION("""COMPUTED_VALUE"""),23702.0)</f>
        <v>23702</v>
      </c>
      <c r="Q2196" s="20">
        <f>IFERROR(__xludf.DUMMYFUNCTION("""COMPUTED_VALUE"""),94255.0)</f>
        <v>94255</v>
      </c>
    </row>
    <row r="2197">
      <c r="A2197" s="20">
        <f>IFERROR(__xludf.DUMMYFUNCTION("""COMPUTED_VALUE"""),2306.0)</f>
        <v>2306</v>
      </c>
      <c r="B2197" s="20" t="str">
        <f>IFERROR(__xludf.DUMMYFUNCTION("""COMPUTED_VALUE"""),"Create Binary Tree From Descriptions")</f>
        <v>Create Binary Tree From Descriptions</v>
      </c>
      <c r="C2197" s="20" t="str">
        <f>IFERROR(__xludf.DUMMYFUNCTION("""COMPUTED_VALUE"""),"create-binary-tree-from-descriptions")</f>
        <v>create-binary-tree-from-descriptions</v>
      </c>
      <c r="D2197" s="20" t="b">
        <f>IFERROR(__xludf.DUMMYFUNCTION("""COMPUTED_VALUE"""),FALSE)</f>
        <v>0</v>
      </c>
      <c r="E2197" s="20" t="str">
        <f>IFERROR(__xludf.DUMMYFUNCTION("""COMPUTED_VALUE"""),"Medium")</f>
        <v>Medium</v>
      </c>
      <c r="F2197" s="20">
        <f>IFERROR(__xludf.DUMMYFUNCTION("""COMPUTED_VALUE"""),673.0)</f>
        <v>673</v>
      </c>
      <c r="G2197" s="20">
        <f>IFERROR(__xludf.DUMMYFUNCTION("""COMPUTED_VALUE"""),16.0)</f>
        <v>16</v>
      </c>
      <c r="H2197" s="20" t="str">
        <f>IFERROR(__xludf.DUMMYFUNCTION("""COMPUTED_VALUE"""),"Algorithms")</f>
        <v>Algorithms</v>
      </c>
      <c r="I2197" s="20">
        <f>IFERROR(__xludf.DUMMYFUNCTION("""COMPUTED_VALUE"""),0.722)</f>
        <v>0.722</v>
      </c>
      <c r="J2197" s="20">
        <f>IFERROR(__xludf.DUMMYFUNCTION("""COMPUTED_VALUE"""),2196.0)</f>
        <v>2196</v>
      </c>
      <c r="K2197" s="20" t="b">
        <f>IFERROR(__xludf.DUMMYFUNCTION("""COMPUTED_VALUE"""),FALSE)</f>
        <v>0</v>
      </c>
      <c r="L2197" s="20" t="str">
        <f>IFERROR(__xludf.DUMMYFUNCTION("""COMPUTED_VALUE"""),"Array;Hash Table;Tree;Depth-First Search;Breadth-First Search;Binary Tree;")</f>
        <v>Array;Hash Table;Tree;Depth-First Search;Breadth-First Search;Binary Tree;</v>
      </c>
      <c r="M2197" s="20" t="b">
        <f>IFERROR(__xludf.DUMMYFUNCTION("""COMPUTED_VALUE"""),FALSE)</f>
        <v>0</v>
      </c>
      <c r="N2197" s="20" t="b">
        <f>IFERROR(__xludf.DUMMYFUNCTION("""COMPUTED_VALUE"""),FALSE)</f>
        <v>0</v>
      </c>
      <c r="O2197" s="20">
        <f>IFERROR(__xludf.DUMMYFUNCTION("""COMPUTED_VALUE"""),72.1875285588083)</f>
        <v>72.18752856</v>
      </c>
      <c r="P2197" s="20">
        <f>IFERROR(__xludf.DUMMYFUNCTION("""COMPUTED_VALUE"""),23695.0)</f>
        <v>23695</v>
      </c>
      <c r="Q2197" s="20">
        <f>IFERROR(__xludf.DUMMYFUNCTION("""COMPUTED_VALUE"""),32825.0)</f>
        <v>32825</v>
      </c>
    </row>
    <row r="2198">
      <c r="A2198" s="20">
        <f>IFERROR(__xludf.DUMMYFUNCTION("""COMPUTED_VALUE"""),2307.0)</f>
        <v>2307</v>
      </c>
      <c r="B2198" s="20" t="str">
        <f>IFERROR(__xludf.DUMMYFUNCTION("""COMPUTED_VALUE"""),"Replace Non-Coprime Numbers in Array")</f>
        <v>Replace Non-Coprime Numbers in Array</v>
      </c>
      <c r="C2198" s="20" t="str">
        <f>IFERROR(__xludf.DUMMYFUNCTION("""COMPUTED_VALUE"""),"replace-non-coprime-numbers-in-array")</f>
        <v>replace-non-coprime-numbers-in-array</v>
      </c>
      <c r="D2198" s="20" t="b">
        <f>IFERROR(__xludf.DUMMYFUNCTION("""COMPUTED_VALUE"""),FALSE)</f>
        <v>0</v>
      </c>
      <c r="E2198" s="20" t="str">
        <f>IFERROR(__xludf.DUMMYFUNCTION("""COMPUTED_VALUE"""),"Hard")</f>
        <v>Hard</v>
      </c>
      <c r="F2198" s="20">
        <f>IFERROR(__xludf.DUMMYFUNCTION("""COMPUTED_VALUE"""),345.0)</f>
        <v>345</v>
      </c>
      <c r="G2198" s="20">
        <f>IFERROR(__xludf.DUMMYFUNCTION("""COMPUTED_VALUE"""),9.0)</f>
        <v>9</v>
      </c>
      <c r="H2198" s="20" t="str">
        <f>IFERROR(__xludf.DUMMYFUNCTION("""COMPUTED_VALUE"""),"Algorithms")</f>
        <v>Algorithms</v>
      </c>
      <c r="I2198" s="20">
        <f>IFERROR(__xludf.DUMMYFUNCTION("""COMPUTED_VALUE"""),0.387)</f>
        <v>0.387</v>
      </c>
      <c r="J2198" s="20">
        <f>IFERROR(__xludf.DUMMYFUNCTION("""COMPUTED_VALUE"""),2197.0)</f>
        <v>2197</v>
      </c>
      <c r="K2198" s="20" t="b">
        <f>IFERROR(__xludf.DUMMYFUNCTION("""COMPUTED_VALUE"""),FALSE)</f>
        <v>0</v>
      </c>
      <c r="L2198" s="20" t="str">
        <f>IFERROR(__xludf.DUMMYFUNCTION("""COMPUTED_VALUE"""),"Array;Math;Stack;Number Theory;")</f>
        <v>Array;Math;Stack;Number Theory;</v>
      </c>
      <c r="M2198" s="20" t="b">
        <f>IFERROR(__xludf.DUMMYFUNCTION("""COMPUTED_VALUE"""),FALSE)</f>
        <v>0</v>
      </c>
      <c r="N2198" s="20" t="b">
        <f>IFERROR(__xludf.DUMMYFUNCTION("""COMPUTED_VALUE"""),FALSE)</f>
        <v>0</v>
      </c>
      <c r="O2198" s="20">
        <f>IFERROR(__xludf.DUMMYFUNCTION("""COMPUTED_VALUE"""),38.6687631027253)</f>
        <v>38.6687631</v>
      </c>
      <c r="P2198" s="20">
        <f>IFERROR(__xludf.DUMMYFUNCTION("""COMPUTED_VALUE"""),11067.0)</f>
        <v>11067</v>
      </c>
      <c r="Q2198" s="20">
        <f>IFERROR(__xludf.DUMMYFUNCTION("""COMPUTED_VALUE"""),28620.0)</f>
        <v>28620</v>
      </c>
    </row>
    <row r="2199">
      <c r="A2199" s="20">
        <f>IFERROR(__xludf.DUMMYFUNCTION("""COMPUTED_VALUE"""),1383.0)</f>
        <v>1383</v>
      </c>
      <c r="B2199" s="20" t="str">
        <f>IFERROR(__xludf.DUMMYFUNCTION("""COMPUTED_VALUE"""),"Number of Single Divisor Triplets")</f>
        <v>Number of Single Divisor Triplets</v>
      </c>
      <c r="C2199" s="20" t="str">
        <f>IFERROR(__xludf.DUMMYFUNCTION("""COMPUTED_VALUE"""),"number-of-single-divisor-triplets")</f>
        <v>number-of-single-divisor-triplets</v>
      </c>
      <c r="D2199" s="20" t="b">
        <f>IFERROR(__xludf.DUMMYFUNCTION("""COMPUTED_VALUE"""),TRUE)</f>
        <v>1</v>
      </c>
      <c r="E2199" s="20" t="str">
        <f>IFERROR(__xludf.DUMMYFUNCTION("""COMPUTED_VALUE"""),"Medium")</f>
        <v>Medium</v>
      </c>
      <c r="F2199" s="20">
        <f>IFERROR(__xludf.DUMMYFUNCTION("""COMPUTED_VALUE"""),19.0)</f>
        <v>19</v>
      </c>
      <c r="G2199" s="20">
        <f>IFERROR(__xludf.DUMMYFUNCTION("""COMPUTED_VALUE"""),6.0)</f>
        <v>6</v>
      </c>
      <c r="H2199" s="20" t="str">
        <f>IFERROR(__xludf.DUMMYFUNCTION("""COMPUTED_VALUE"""),"Algorithms")</f>
        <v>Algorithms</v>
      </c>
      <c r="I2199" s="20">
        <f>IFERROR(__xludf.DUMMYFUNCTION("""COMPUTED_VALUE"""),0.557)</f>
        <v>0.557</v>
      </c>
      <c r="J2199" s="20">
        <f>IFERROR(__xludf.DUMMYFUNCTION("""COMPUTED_VALUE"""),2198.0)</f>
        <v>2198</v>
      </c>
      <c r="K2199" s="20" t="b">
        <f>IFERROR(__xludf.DUMMYFUNCTION("""COMPUTED_VALUE"""),TRUE)</f>
        <v>1</v>
      </c>
      <c r="L2199" s="20" t="str">
        <f>IFERROR(__xludf.DUMMYFUNCTION("""COMPUTED_VALUE"""),"Math;")</f>
        <v>Math;</v>
      </c>
      <c r="M2199" s="20" t="b">
        <f>IFERROR(__xludf.DUMMYFUNCTION("""COMPUTED_VALUE"""),FALSE)</f>
        <v>0</v>
      </c>
      <c r="N2199" s="20" t="b">
        <f>IFERROR(__xludf.DUMMYFUNCTION("""COMPUTED_VALUE"""),FALSE)</f>
        <v>0</v>
      </c>
      <c r="O2199" s="20">
        <f>IFERROR(__xludf.DUMMYFUNCTION("""COMPUTED_VALUE"""),55.7312252964426)</f>
        <v>55.7312253</v>
      </c>
      <c r="P2199" s="20">
        <f>IFERROR(__xludf.DUMMYFUNCTION("""COMPUTED_VALUE"""),705.0)</f>
        <v>705</v>
      </c>
      <c r="Q2199" s="20">
        <f>IFERROR(__xludf.DUMMYFUNCTION("""COMPUTED_VALUE"""),1265.0)</f>
        <v>1265</v>
      </c>
    </row>
    <row r="2200">
      <c r="A2200" s="20">
        <f>IFERROR(__xludf.DUMMYFUNCTION("""COMPUTED_VALUE"""),2335.0)</f>
        <v>2335</v>
      </c>
      <c r="B2200" s="20" t="str">
        <f>IFERROR(__xludf.DUMMYFUNCTION("""COMPUTED_VALUE"""),"Finding the Topic of Each Post")</f>
        <v>Finding the Topic of Each Post</v>
      </c>
      <c r="C2200" s="20" t="str">
        <f>IFERROR(__xludf.DUMMYFUNCTION("""COMPUTED_VALUE"""),"finding-the-topic-of-each-post")</f>
        <v>finding-the-topic-of-each-post</v>
      </c>
      <c r="D2200" s="20" t="b">
        <f>IFERROR(__xludf.DUMMYFUNCTION("""COMPUTED_VALUE"""),TRUE)</f>
        <v>1</v>
      </c>
      <c r="E2200" s="20" t="str">
        <f>IFERROR(__xludf.DUMMYFUNCTION("""COMPUTED_VALUE"""),"Hard")</f>
        <v>Hard</v>
      </c>
      <c r="F2200" s="20">
        <f>IFERROR(__xludf.DUMMYFUNCTION("""COMPUTED_VALUE"""),24.0)</f>
        <v>24</v>
      </c>
      <c r="G2200" s="20">
        <f>IFERROR(__xludf.DUMMYFUNCTION("""COMPUTED_VALUE"""),10.0)</f>
        <v>10</v>
      </c>
      <c r="H2200" s="20" t="str">
        <f>IFERROR(__xludf.DUMMYFUNCTION("""COMPUTED_VALUE"""),"Database")</f>
        <v>Database</v>
      </c>
      <c r="I2200" s="20">
        <f>IFERROR(__xludf.DUMMYFUNCTION("""COMPUTED_VALUE"""),0.495)</f>
        <v>0.495</v>
      </c>
      <c r="J2200" s="20">
        <f>IFERROR(__xludf.DUMMYFUNCTION("""COMPUTED_VALUE"""),2199.0)</f>
        <v>2199</v>
      </c>
      <c r="K2200" s="20" t="b">
        <f>IFERROR(__xludf.DUMMYFUNCTION("""COMPUTED_VALUE"""),TRUE)</f>
        <v>1</v>
      </c>
      <c r="L2200" s="20" t="str">
        <f>IFERROR(__xludf.DUMMYFUNCTION("""COMPUTED_VALUE"""),"Database;")</f>
        <v>Database;</v>
      </c>
      <c r="M2200" s="20" t="b">
        <f>IFERROR(__xludf.DUMMYFUNCTION("""COMPUTED_VALUE"""),FALSE)</f>
        <v>0</v>
      </c>
      <c r="N2200" s="20" t="b">
        <f>IFERROR(__xludf.DUMMYFUNCTION("""COMPUTED_VALUE"""),FALSE)</f>
        <v>0</v>
      </c>
      <c r="O2200" s="20">
        <f>IFERROR(__xludf.DUMMYFUNCTION("""COMPUTED_VALUE"""),49.5200853181656)</f>
        <v>49.52008532</v>
      </c>
      <c r="P2200" s="20">
        <f>IFERROR(__xludf.DUMMYFUNCTION("""COMPUTED_VALUE"""),1393.0)</f>
        <v>1393</v>
      </c>
      <c r="Q2200" s="20">
        <f>IFERROR(__xludf.DUMMYFUNCTION("""COMPUTED_VALUE"""),2813.0)</f>
        <v>2813</v>
      </c>
    </row>
    <row r="2201">
      <c r="A2201" s="20">
        <f>IFERROR(__xludf.DUMMYFUNCTION("""COMPUTED_VALUE"""),2320.0)</f>
        <v>2320</v>
      </c>
      <c r="B2201" s="20" t="str">
        <f>IFERROR(__xludf.DUMMYFUNCTION("""COMPUTED_VALUE"""),"Find All K-Distant Indices in an Array")</f>
        <v>Find All K-Distant Indices in an Array</v>
      </c>
      <c r="C2201" s="20" t="str">
        <f>IFERROR(__xludf.DUMMYFUNCTION("""COMPUTED_VALUE"""),"find-all-k-distant-indices-in-an-array")</f>
        <v>find-all-k-distant-indices-in-an-array</v>
      </c>
      <c r="D2201" s="20" t="b">
        <f>IFERROR(__xludf.DUMMYFUNCTION("""COMPUTED_VALUE"""),FALSE)</f>
        <v>0</v>
      </c>
      <c r="E2201" s="20" t="str">
        <f>IFERROR(__xludf.DUMMYFUNCTION("""COMPUTED_VALUE"""),"Easy")</f>
        <v>Easy</v>
      </c>
      <c r="F2201" s="20">
        <f>IFERROR(__xludf.DUMMYFUNCTION("""COMPUTED_VALUE"""),292.0)</f>
        <v>292</v>
      </c>
      <c r="G2201" s="20">
        <f>IFERROR(__xludf.DUMMYFUNCTION("""COMPUTED_VALUE"""),47.0)</f>
        <v>47</v>
      </c>
      <c r="H2201" s="20" t="str">
        <f>IFERROR(__xludf.DUMMYFUNCTION("""COMPUTED_VALUE"""),"Algorithms")</f>
        <v>Algorithms</v>
      </c>
      <c r="I2201" s="20">
        <f>IFERROR(__xludf.DUMMYFUNCTION("""COMPUTED_VALUE"""),0.647)</f>
        <v>0.647</v>
      </c>
      <c r="J2201" s="20">
        <f>IFERROR(__xludf.DUMMYFUNCTION("""COMPUTED_VALUE"""),2200.0)</f>
        <v>2200</v>
      </c>
      <c r="K2201" s="20" t="b">
        <f>IFERROR(__xludf.DUMMYFUNCTION("""COMPUTED_VALUE"""),FALSE)</f>
        <v>0</v>
      </c>
      <c r="L2201" s="20" t="str">
        <f>IFERROR(__xludf.DUMMYFUNCTION("""COMPUTED_VALUE"""),"Array;")</f>
        <v>Array;</v>
      </c>
      <c r="M2201" s="20" t="b">
        <f>IFERROR(__xludf.DUMMYFUNCTION("""COMPUTED_VALUE"""),FALSE)</f>
        <v>0</v>
      </c>
      <c r="N2201" s="20" t="b">
        <f>IFERROR(__xludf.DUMMYFUNCTION("""COMPUTED_VALUE"""),FALSE)</f>
        <v>0</v>
      </c>
      <c r="O2201" s="20">
        <f>IFERROR(__xludf.DUMMYFUNCTION("""COMPUTED_VALUE"""),64.7098603839441)</f>
        <v>64.70986038</v>
      </c>
      <c r="P2201" s="20">
        <f>IFERROR(__xludf.DUMMYFUNCTION("""COMPUTED_VALUE"""),29663.0)</f>
        <v>29663</v>
      </c>
      <c r="Q2201" s="20">
        <f>IFERROR(__xludf.DUMMYFUNCTION("""COMPUTED_VALUE"""),45840.0)</f>
        <v>45840</v>
      </c>
    </row>
    <row r="2202">
      <c r="A2202" s="20">
        <f>IFERROR(__xludf.DUMMYFUNCTION("""COMPUTED_VALUE"""),1312.0)</f>
        <v>1312</v>
      </c>
      <c r="B2202" s="20" t="str">
        <f>IFERROR(__xludf.DUMMYFUNCTION("""COMPUTED_VALUE"""),"Count Artifacts That Can Be Extracted")</f>
        <v>Count Artifacts That Can Be Extracted</v>
      </c>
      <c r="C2202" s="20" t="str">
        <f>IFERROR(__xludf.DUMMYFUNCTION("""COMPUTED_VALUE"""),"count-artifacts-that-can-be-extracted")</f>
        <v>count-artifacts-that-can-be-extracted</v>
      </c>
      <c r="D2202" s="20" t="b">
        <f>IFERROR(__xludf.DUMMYFUNCTION("""COMPUTED_VALUE"""),FALSE)</f>
        <v>0</v>
      </c>
      <c r="E2202" s="20" t="str">
        <f>IFERROR(__xludf.DUMMYFUNCTION("""COMPUTED_VALUE"""),"Medium")</f>
        <v>Medium</v>
      </c>
      <c r="F2202" s="20">
        <f>IFERROR(__xludf.DUMMYFUNCTION("""COMPUTED_VALUE"""),156.0)</f>
        <v>156</v>
      </c>
      <c r="G2202" s="20">
        <f>IFERROR(__xludf.DUMMYFUNCTION("""COMPUTED_VALUE"""),168.0)</f>
        <v>168</v>
      </c>
      <c r="H2202" s="20" t="str">
        <f>IFERROR(__xludf.DUMMYFUNCTION("""COMPUTED_VALUE"""),"Algorithms")</f>
        <v>Algorithms</v>
      </c>
      <c r="I2202" s="20">
        <f>IFERROR(__xludf.DUMMYFUNCTION("""COMPUTED_VALUE"""),0.552)</f>
        <v>0.552</v>
      </c>
      <c r="J2202" s="20">
        <f>IFERROR(__xludf.DUMMYFUNCTION("""COMPUTED_VALUE"""),2201.0)</f>
        <v>2201</v>
      </c>
      <c r="K2202" s="20" t="b">
        <f>IFERROR(__xludf.DUMMYFUNCTION("""COMPUTED_VALUE"""),FALSE)</f>
        <v>0</v>
      </c>
      <c r="L2202" s="20" t="str">
        <f>IFERROR(__xludf.DUMMYFUNCTION("""COMPUTED_VALUE"""),"Array;Hash Table;Simulation;")</f>
        <v>Array;Hash Table;Simulation;</v>
      </c>
      <c r="M2202" s="20" t="b">
        <f>IFERROR(__xludf.DUMMYFUNCTION("""COMPUTED_VALUE"""),FALSE)</f>
        <v>0</v>
      </c>
      <c r="N2202" s="20" t="b">
        <f>IFERROR(__xludf.DUMMYFUNCTION("""COMPUTED_VALUE"""),FALSE)</f>
        <v>0</v>
      </c>
      <c r="O2202" s="20">
        <f>IFERROR(__xludf.DUMMYFUNCTION("""COMPUTED_VALUE"""),55.1876084924555)</f>
        <v>55.18760849</v>
      </c>
      <c r="P2202" s="20">
        <f>IFERROR(__xludf.DUMMYFUNCTION("""COMPUTED_VALUE"""),16532.0)</f>
        <v>16532</v>
      </c>
      <c r="Q2202" s="20">
        <f>IFERROR(__xludf.DUMMYFUNCTION("""COMPUTED_VALUE"""),29956.0)</f>
        <v>29956</v>
      </c>
    </row>
    <row r="2203">
      <c r="A2203" s="20">
        <f>IFERROR(__xludf.DUMMYFUNCTION("""COMPUTED_VALUE"""),1346.0)</f>
        <v>1346</v>
      </c>
      <c r="B2203" s="20" t="str">
        <f>IFERROR(__xludf.DUMMYFUNCTION("""COMPUTED_VALUE"""),"Maximize the Topmost Element After K Moves")</f>
        <v>Maximize the Topmost Element After K Moves</v>
      </c>
      <c r="C2203" s="20" t="str">
        <f>IFERROR(__xludf.DUMMYFUNCTION("""COMPUTED_VALUE"""),"maximize-the-topmost-element-after-k-moves")</f>
        <v>maximize-the-topmost-element-after-k-moves</v>
      </c>
      <c r="D2203" s="20" t="b">
        <f>IFERROR(__xludf.DUMMYFUNCTION("""COMPUTED_VALUE"""),FALSE)</f>
        <v>0</v>
      </c>
      <c r="E2203" s="20" t="str">
        <f>IFERROR(__xludf.DUMMYFUNCTION("""COMPUTED_VALUE"""),"Medium")</f>
        <v>Medium</v>
      </c>
      <c r="F2203" s="20">
        <f>IFERROR(__xludf.DUMMYFUNCTION("""COMPUTED_VALUE"""),419.0)</f>
        <v>419</v>
      </c>
      <c r="G2203" s="20">
        <f>IFERROR(__xludf.DUMMYFUNCTION("""COMPUTED_VALUE"""),253.0)</f>
        <v>253</v>
      </c>
      <c r="H2203" s="20" t="str">
        <f>IFERROR(__xludf.DUMMYFUNCTION("""COMPUTED_VALUE"""),"Algorithms")</f>
        <v>Algorithms</v>
      </c>
      <c r="I2203" s="20">
        <f>IFERROR(__xludf.DUMMYFUNCTION("""COMPUTED_VALUE"""),0.228)</f>
        <v>0.228</v>
      </c>
      <c r="J2203" s="20">
        <f>IFERROR(__xludf.DUMMYFUNCTION("""COMPUTED_VALUE"""),2202.0)</f>
        <v>2202</v>
      </c>
      <c r="K2203" s="20" t="b">
        <f>IFERROR(__xludf.DUMMYFUNCTION("""COMPUTED_VALUE"""),FALSE)</f>
        <v>0</v>
      </c>
      <c r="L2203" s="20" t="str">
        <f>IFERROR(__xludf.DUMMYFUNCTION("""COMPUTED_VALUE"""),"Array;Greedy;")</f>
        <v>Array;Greedy;</v>
      </c>
      <c r="M2203" s="20" t="b">
        <f>IFERROR(__xludf.DUMMYFUNCTION("""COMPUTED_VALUE"""),FALSE)</f>
        <v>0</v>
      </c>
      <c r="N2203" s="20" t="b">
        <f>IFERROR(__xludf.DUMMYFUNCTION("""COMPUTED_VALUE"""),FALSE)</f>
        <v>0</v>
      </c>
      <c r="O2203" s="20">
        <f>IFERROR(__xludf.DUMMYFUNCTION("""COMPUTED_VALUE"""),22.7686335229503)</f>
        <v>22.76863352</v>
      </c>
      <c r="P2203" s="20">
        <f>IFERROR(__xludf.DUMMYFUNCTION("""COMPUTED_VALUE"""),20292.0)</f>
        <v>20292</v>
      </c>
      <c r="Q2203" s="20">
        <f>IFERROR(__xludf.DUMMYFUNCTION("""COMPUTED_VALUE"""),89125.0)</f>
        <v>89125</v>
      </c>
    </row>
    <row r="2204">
      <c r="A2204" s="20">
        <f>IFERROR(__xludf.DUMMYFUNCTION("""COMPUTED_VALUE"""),2321.0)</f>
        <v>2321</v>
      </c>
      <c r="B2204" s="20" t="str">
        <f>IFERROR(__xludf.DUMMYFUNCTION("""COMPUTED_VALUE"""),"Minimum Weighted Subgraph With the Required Paths")</f>
        <v>Minimum Weighted Subgraph With the Required Paths</v>
      </c>
      <c r="C2204" s="20" t="str">
        <f>IFERROR(__xludf.DUMMYFUNCTION("""COMPUTED_VALUE"""),"minimum-weighted-subgraph-with-the-required-paths")</f>
        <v>minimum-weighted-subgraph-with-the-required-paths</v>
      </c>
      <c r="D2204" s="20" t="b">
        <f>IFERROR(__xludf.DUMMYFUNCTION("""COMPUTED_VALUE"""),FALSE)</f>
        <v>0</v>
      </c>
      <c r="E2204" s="20" t="str">
        <f>IFERROR(__xludf.DUMMYFUNCTION("""COMPUTED_VALUE"""),"Hard")</f>
        <v>Hard</v>
      </c>
      <c r="F2204" s="20">
        <f>IFERROR(__xludf.DUMMYFUNCTION("""COMPUTED_VALUE"""),526.0)</f>
        <v>526</v>
      </c>
      <c r="G2204" s="20">
        <f>IFERROR(__xludf.DUMMYFUNCTION("""COMPUTED_VALUE"""),15.0)</f>
        <v>15</v>
      </c>
      <c r="H2204" s="20" t="str">
        <f>IFERROR(__xludf.DUMMYFUNCTION("""COMPUTED_VALUE"""),"Algorithms")</f>
        <v>Algorithms</v>
      </c>
      <c r="I2204" s="20">
        <f>IFERROR(__xludf.DUMMYFUNCTION("""COMPUTED_VALUE"""),0.36)</f>
        <v>0.36</v>
      </c>
      <c r="J2204" s="20">
        <f>IFERROR(__xludf.DUMMYFUNCTION("""COMPUTED_VALUE"""),2203.0)</f>
        <v>2203</v>
      </c>
      <c r="K2204" s="20" t="b">
        <f>IFERROR(__xludf.DUMMYFUNCTION("""COMPUTED_VALUE"""),FALSE)</f>
        <v>0</v>
      </c>
      <c r="L2204" s="20" t="str">
        <f>IFERROR(__xludf.DUMMYFUNCTION("""COMPUTED_VALUE"""),"Graph;Shortest Path;")</f>
        <v>Graph;Shortest Path;</v>
      </c>
      <c r="M2204" s="20" t="b">
        <f>IFERROR(__xludf.DUMMYFUNCTION("""COMPUTED_VALUE"""),FALSE)</f>
        <v>0</v>
      </c>
      <c r="N2204" s="20" t="b">
        <f>IFERROR(__xludf.DUMMYFUNCTION("""COMPUTED_VALUE"""),FALSE)</f>
        <v>0</v>
      </c>
      <c r="O2204" s="20">
        <f>IFERROR(__xludf.DUMMYFUNCTION("""COMPUTED_VALUE"""),36.0191363464685)</f>
        <v>36.01913635</v>
      </c>
      <c r="P2204" s="20">
        <f>IFERROR(__xludf.DUMMYFUNCTION("""COMPUTED_VALUE"""),8583.0)</f>
        <v>8583</v>
      </c>
      <c r="Q2204" s="20">
        <f>IFERROR(__xludf.DUMMYFUNCTION("""COMPUTED_VALUE"""),23829.0)</f>
        <v>23829</v>
      </c>
    </row>
    <row r="2205">
      <c r="A2205" s="20">
        <f>IFERROR(__xludf.DUMMYFUNCTION("""COMPUTED_VALUE"""),1347.0)</f>
        <v>1347</v>
      </c>
      <c r="B2205" s="20" t="str">
        <f>IFERROR(__xludf.DUMMYFUNCTION("""COMPUTED_VALUE"""),"Distance to a Cycle in Undirected Graph")</f>
        <v>Distance to a Cycle in Undirected Graph</v>
      </c>
      <c r="C2205" s="20" t="str">
        <f>IFERROR(__xludf.DUMMYFUNCTION("""COMPUTED_VALUE"""),"distance-to-a-cycle-in-undirected-graph")</f>
        <v>distance-to-a-cycle-in-undirected-graph</v>
      </c>
      <c r="D2205" s="20" t="b">
        <f>IFERROR(__xludf.DUMMYFUNCTION("""COMPUTED_VALUE"""),TRUE)</f>
        <v>1</v>
      </c>
      <c r="E2205" s="20" t="str">
        <f>IFERROR(__xludf.DUMMYFUNCTION("""COMPUTED_VALUE"""),"Hard")</f>
        <v>Hard</v>
      </c>
      <c r="F2205" s="20">
        <f>IFERROR(__xludf.DUMMYFUNCTION("""COMPUTED_VALUE"""),72.0)</f>
        <v>72</v>
      </c>
      <c r="G2205" s="20">
        <f>IFERROR(__xludf.DUMMYFUNCTION("""COMPUTED_VALUE"""),7.0)</f>
        <v>7</v>
      </c>
      <c r="H2205" s="20" t="str">
        <f>IFERROR(__xludf.DUMMYFUNCTION("""COMPUTED_VALUE"""),"Algorithms")</f>
        <v>Algorithms</v>
      </c>
      <c r="I2205" s="20">
        <f>IFERROR(__xludf.DUMMYFUNCTION("""COMPUTED_VALUE"""),0.699)</f>
        <v>0.699</v>
      </c>
      <c r="J2205" s="20">
        <f>IFERROR(__xludf.DUMMYFUNCTION("""COMPUTED_VALUE"""),2204.0)</f>
        <v>2204</v>
      </c>
      <c r="K2205" s="20" t="b">
        <f>IFERROR(__xludf.DUMMYFUNCTION("""COMPUTED_VALUE"""),TRUE)</f>
        <v>1</v>
      </c>
      <c r="L2205" s="20" t="str">
        <f>IFERROR(__xludf.DUMMYFUNCTION("""COMPUTED_VALUE"""),"Depth-First Search;Breadth-First Search;Union Find;Graph;")</f>
        <v>Depth-First Search;Breadth-First Search;Union Find;Graph;</v>
      </c>
      <c r="M2205" s="20" t="b">
        <f>IFERROR(__xludf.DUMMYFUNCTION("""COMPUTED_VALUE"""),FALSE)</f>
        <v>0</v>
      </c>
      <c r="N2205" s="20" t="b">
        <f>IFERROR(__xludf.DUMMYFUNCTION("""COMPUTED_VALUE"""),FALSE)</f>
        <v>0</v>
      </c>
      <c r="O2205" s="20">
        <f>IFERROR(__xludf.DUMMYFUNCTION("""COMPUTED_VALUE"""),69.882263577668)</f>
        <v>69.88226358</v>
      </c>
      <c r="P2205" s="20">
        <f>IFERROR(__xludf.DUMMYFUNCTION("""COMPUTED_VALUE"""),1840.0)</f>
        <v>1840</v>
      </c>
      <c r="Q2205" s="20">
        <f>IFERROR(__xludf.DUMMYFUNCTION("""COMPUTED_VALUE"""),2633.0)</f>
        <v>2633</v>
      </c>
    </row>
    <row r="2206">
      <c r="A2206" s="20">
        <f>IFERROR(__xludf.DUMMYFUNCTION("""COMPUTED_VALUE"""),2336.0)</f>
        <v>2336</v>
      </c>
      <c r="B2206" s="20" t="str">
        <f>IFERROR(__xludf.DUMMYFUNCTION("""COMPUTED_VALUE"""),"The Number of Users That Are Eligible for Discount")</f>
        <v>The Number of Users That Are Eligible for Discount</v>
      </c>
      <c r="C2206" s="20" t="str">
        <f>IFERROR(__xludf.DUMMYFUNCTION("""COMPUTED_VALUE"""),"the-number-of-users-that-are-eligible-for-discount")</f>
        <v>the-number-of-users-that-are-eligible-for-discount</v>
      </c>
      <c r="D2206" s="20" t="b">
        <f>IFERROR(__xludf.DUMMYFUNCTION("""COMPUTED_VALUE"""),TRUE)</f>
        <v>1</v>
      </c>
      <c r="E2206" s="20" t="str">
        <f>IFERROR(__xludf.DUMMYFUNCTION("""COMPUTED_VALUE"""),"Easy")</f>
        <v>Easy</v>
      </c>
      <c r="F2206" s="20">
        <f>IFERROR(__xludf.DUMMYFUNCTION("""COMPUTED_VALUE"""),16.0)</f>
        <v>16</v>
      </c>
      <c r="G2206" s="20">
        <f>IFERROR(__xludf.DUMMYFUNCTION("""COMPUTED_VALUE"""),49.0)</f>
        <v>49</v>
      </c>
      <c r="H2206" s="20" t="str">
        <f>IFERROR(__xludf.DUMMYFUNCTION("""COMPUTED_VALUE"""),"Database")</f>
        <v>Database</v>
      </c>
      <c r="I2206" s="20">
        <f>IFERROR(__xludf.DUMMYFUNCTION("""COMPUTED_VALUE"""),0.507)</f>
        <v>0.507</v>
      </c>
      <c r="J2206" s="20">
        <f>IFERROR(__xludf.DUMMYFUNCTION("""COMPUTED_VALUE"""),2205.0)</f>
        <v>2205</v>
      </c>
      <c r="K2206" s="20" t="b">
        <f>IFERROR(__xludf.DUMMYFUNCTION("""COMPUTED_VALUE"""),TRUE)</f>
        <v>1</v>
      </c>
      <c r="L2206" s="20" t="str">
        <f>IFERROR(__xludf.DUMMYFUNCTION("""COMPUTED_VALUE"""),"Database;")</f>
        <v>Database;</v>
      </c>
      <c r="M2206" s="20" t="b">
        <f>IFERROR(__xludf.DUMMYFUNCTION("""COMPUTED_VALUE"""),FALSE)</f>
        <v>0</v>
      </c>
      <c r="N2206" s="20" t="b">
        <f>IFERROR(__xludf.DUMMYFUNCTION("""COMPUTED_VALUE"""),FALSE)</f>
        <v>0</v>
      </c>
      <c r="O2206" s="20">
        <f>IFERROR(__xludf.DUMMYFUNCTION("""COMPUTED_VALUE"""),50.6827191308178)</f>
        <v>50.68271913</v>
      </c>
      <c r="P2206" s="20">
        <f>IFERROR(__xludf.DUMMYFUNCTION("""COMPUTED_VALUE"""),3452.0)</f>
        <v>3452</v>
      </c>
      <c r="Q2206" s="20">
        <f>IFERROR(__xludf.DUMMYFUNCTION("""COMPUTED_VALUE"""),6811.0)</f>
        <v>6811</v>
      </c>
    </row>
    <row r="2207">
      <c r="A2207" s="20">
        <f>IFERROR(__xludf.DUMMYFUNCTION("""COMPUTED_VALUE"""),2308.0)</f>
        <v>2308</v>
      </c>
      <c r="B2207" s="20" t="str">
        <f>IFERROR(__xludf.DUMMYFUNCTION("""COMPUTED_VALUE"""),"Divide Array Into Equal Pairs")</f>
        <v>Divide Array Into Equal Pairs</v>
      </c>
      <c r="C2207" s="20" t="str">
        <f>IFERROR(__xludf.DUMMYFUNCTION("""COMPUTED_VALUE"""),"divide-array-into-equal-pairs")</f>
        <v>divide-array-into-equal-pairs</v>
      </c>
      <c r="D2207" s="20" t="b">
        <f>IFERROR(__xludf.DUMMYFUNCTION("""COMPUTED_VALUE"""),FALSE)</f>
        <v>0</v>
      </c>
      <c r="E2207" s="20" t="str">
        <f>IFERROR(__xludf.DUMMYFUNCTION("""COMPUTED_VALUE"""),"Easy")</f>
        <v>Easy</v>
      </c>
      <c r="F2207" s="20">
        <f>IFERROR(__xludf.DUMMYFUNCTION("""COMPUTED_VALUE"""),440.0)</f>
        <v>440</v>
      </c>
      <c r="G2207" s="20">
        <f>IFERROR(__xludf.DUMMYFUNCTION("""COMPUTED_VALUE"""),17.0)</f>
        <v>17</v>
      </c>
      <c r="H2207" s="20" t="str">
        <f>IFERROR(__xludf.DUMMYFUNCTION("""COMPUTED_VALUE"""),"Algorithms")</f>
        <v>Algorithms</v>
      </c>
      <c r="I2207" s="20">
        <f>IFERROR(__xludf.DUMMYFUNCTION("""COMPUTED_VALUE"""),0.744)</f>
        <v>0.744</v>
      </c>
      <c r="J2207" s="20">
        <f>IFERROR(__xludf.DUMMYFUNCTION("""COMPUTED_VALUE"""),2206.0)</f>
        <v>2206</v>
      </c>
      <c r="K2207" s="20" t="b">
        <f>IFERROR(__xludf.DUMMYFUNCTION("""COMPUTED_VALUE"""),FALSE)</f>
        <v>0</v>
      </c>
      <c r="L2207" s="20" t="str">
        <f>IFERROR(__xludf.DUMMYFUNCTION("""COMPUTED_VALUE"""),"Array;Hash Table;Bit Manipulation;Counting;")</f>
        <v>Array;Hash Table;Bit Manipulation;Counting;</v>
      </c>
      <c r="M2207" s="20" t="b">
        <f>IFERROR(__xludf.DUMMYFUNCTION("""COMPUTED_VALUE"""),FALSE)</f>
        <v>0</v>
      </c>
      <c r="N2207" s="20" t="b">
        <f>IFERROR(__xludf.DUMMYFUNCTION("""COMPUTED_VALUE"""),FALSE)</f>
        <v>0</v>
      </c>
      <c r="O2207" s="20">
        <f>IFERROR(__xludf.DUMMYFUNCTION("""COMPUTED_VALUE"""),74.4302052737804)</f>
        <v>74.43020527</v>
      </c>
      <c r="P2207" s="20">
        <f>IFERROR(__xludf.DUMMYFUNCTION("""COMPUTED_VALUE"""),45358.0)</f>
        <v>45358</v>
      </c>
      <c r="Q2207" s="20">
        <f>IFERROR(__xludf.DUMMYFUNCTION("""COMPUTED_VALUE"""),60941.0)</f>
        <v>60941</v>
      </c>
    </row>
    <row r="2208">
      <c r="A2208" s="20">
        <f>IFERROR(__xludf.DUMMYFUNCTION("""COMPUTED_VALUE"""),2309.0)</f>
        <v>2309</v>
      </c>
      <c r="B2208" s="20" t="str">
        <f>IFERROR(__xludf.DUMMYFUNCTION("""COMPUTED_VALUE"""),"Maximize Number of Subsequences in a String")</f>
        <v>Maximize Number of Subsequences in a String</v>
      </c>
      <c r="C2208" s="20" t="str">
        <f>IFERROR(__xludf.DUMMYFUNCTION("""COMPUTED_VALUE"""),"maximize-number-of-subsequences-in-a-string")</f>
        <v>maximize-number-of-subsequences-in-a-string</v>
      </c>
      <c r="D2208" s="20" t="b">
        <f>IFERROR(__xludf.DUMMYFUNCTION("""COMPUTED_VALUE"""),FALSE)</f>
        <v>0</v>
      </c>
      <c r="E2208" s="20" t="str">
        <f>IFERROR(__xludf.DUMMYFUNCTION("""COMPUTED_VALUE"""),"Medium")</f>
        <v>Medium</v>
      </c>
      <c r="F2208" s="20">
        <f>IFERROR(__xludf.DUMMYFUNCTION("""COMPUTED_VALUE"""),377.0)</f>
        <v>377</v>
      </c>
      <c r="G2208" s="20">
        <f>IFERROR(__xludf.DUMMYFUNCTION("""COMPUTED_VALUE"""),21.0)</f>
        <v>21</v>
      </c>
      <c r="H2208" s="20" t="str">
        <f>IFERROR(__xludf.DUMMYFUNCTION("""COMPUTED_VALUE"""),"Algorithms")</f>
        <v>Algorithms</v>
      </c>
      <c r="I2208" s="20">
        <f>IFERROR(__xludf.DUMMYFUNCTION("""COMPUTED_VALUE"""),0.331)</f>
        <v>0.331</v>
      </c>
      <c r="J2208" s="20">
        <f>IFERROR(__xludf.DUMMYFUNCTION("""COMPUTED_VALUE"""),2207.0)</f>
        <v>2207</v>
      </c>
      <c r="K2208" s="20" t="b">
        <f>IFERROR(__xludf.DUMMYFUNCTION("""COMPUTED_VALUE"""),FALSE)</f>
        <v>0</v>
      </c>
      <c r="L2208" s="20" t="str">
        <f>IFERROR(__xludf.DUMMYFUNCTION("""COMPUTED_VALUE"""),"String;Greedy;Prefix Sum;")</f>
        <v>String;Greedy;Prefix Sum;</v>
      </c>
      <c r="M2208" s="20" t="b">
        <f>IFERROR(__xludf.DUMMYFUNCTION("""COMPUTED_VALUE"""),FALSE)</f>
        <v>0</v>
      </c>
      <c r="N2208" s="20" t="b">
        <f>IFERROR(__xludf.DUMMYFUNCTION("""COMPUTED_VALUE"""),FALSE)</f>
        <v>0</v>
      </c>
      <c r="O2208" s="20">
        <f>IFERROR(__xludf.DUMMYFUNCTION("""COMPUTED_VALUE"""),33.0842543290527)</f>
        <v>33.08425433</v>
      </c>
      <c r="P2208" s="20">
        <f>IFERROR(__xludf.DUMMYFUNCTION("""COMPUTED_VALUE"""),14784.0)</f>
        <v>14784</v>
      </c>
      <c r="Q2208" s="20">
        <f>IFERROR(__xludf.DUMMYFUNCTION("""COMPUTED_VALUE"""),44692.0)</f>
        <v>44692</v>
      </c>
    </row>
    <row r="2209">
      <c r="A2209" s="20">
        <f>IFERROR(__xludf.DUMMYFUNCTION("""COMPUTED_VALUE"""),2310.0)</f>
        <v>2310</v>
      </c>
      <c r="B2209" s="20" t="str">
        <f>IFERROR(__xludf.DUMMYFUNCTION("""COMPUTED_VALUE"""),"Minimum Operations to Halve Array Sum")</f>
        <v>Minimum Operations to Halve Array Sum</v>
      </c>
      <c r="C2209" s="20" t="str">
        <f>IFERROR(__xludf.DUMMYFUNCTION("""COMPUTED_VALUE"""),"minimum-operations-to-halve-array-sum")</f>
        <v>minimum-operations-to-halve-array-sum</v>
      </c>
      <c r="D2209" s="20" t="b">
        <f>IFERROR(__xludf.DUMMYFUNCTION("""COMPUTED_VALUE"""),FALSE)</f>
        <v>0</v>
      </c>
      <c r="E2209" s="20" t="str">
        <f>IFERROR(__xludf.DUMMYFUNCTION("""COMPUTED_VALUE"""),"Medium")</f>
        <v>Medium</v>
      </c>
      <c r="F2209" s="20">
        <f>IFERROR(__xludf.DUMMYFUNCTION("""COMPUTED_VALUE"""),408.0)</f>
        <v>408</v>
      </c>
      <c r="G2209" s="20">
        <f>IFERROR(__xludf.DUMMYFUNCTION("""COMPUTED_VALUE"""),15.0)</f>
        <v>15</v>
      </c>
      <c r="H2209" s="20" t="str">
        <f>IFERROR(__xludf.DUMMYFUNCTION("""COMPUTED_VALUE"""),"Algorithms")</f>
        <v>Algorithms</v>
      </c>
      <c r="I2209" s="20">
        <f>IFERROR(__xludf.DUMMYFUNCTION("""COMPUTED_VALUE"""),0.452)</f>
        <v>0.452</v>
      </c>
      <c r="J2209" s="20">
        <f>IFERROR(__xludf.DUMMYFUNCTION("""COMPUTED_VALUE"""),2208.0)</f>
        <v>2208</v>
      </c>
      <c r="K2209" s="20" t="b">
        <f>IFERROR(__xludf.DUMMYFUNCTION("""COMPUTED_VALUE"""),FALSE)</f>
        <v>0</v>
      </c>
      <c r="L2209" s="20" t="str">
        <f>IFERROR(__xludf.DUMMYFUNCTION("""COMPUTED_VALUE"""),"Array;Greedy;Heap (Priority Queue);")</f>
        <v>Array;Greedy;Heap (Priority Queue);</v>
      </c>
      <c r="M2209" s="20" t="b">
        <f>IFERROR(__xludf.DUMMYFUNCTION("""COMPUTED_VALUE"""),FALSE)</f>
        <v>0</v>
      </c>
      <c r="N2209" s="20" t="b">
        <f>IFERROR(__xludf.DUMMYFUNCTION("""COMPUTED_VALUE"""),FALSE)</f>
        <v>0</v>
      </c>
      <c r="O2209" s="20">
        <f>IFERROR(__xludf.DUMMYFUNCTION("""COMPUTED_VALUE"""),45.1854536667874)</f>
        <v>45.18545367</v>
      </c>
      <c r="P2209" s="20">
        <f>IFERROR(__xludf.DUMMYFUNCTION("""COMPUTED_VALUE"""),18699.0)</f>
        <v>18699</v>
      </c>
      <c r="Q2209" s="20">
        <f>IFERROR(__xludf.DUMMYFUNCTION("""COMPUTED_VALUE"""),41384.0)</f>
        <v>41384</v>
      </c>
    </row>
    <row r="2210">
      <c r="A2210" s="20">
        <f>IFERROR(__xludf.DUMMYFUNCTION("""COMPUTED_VALUE"""),2311.0)</f>
        <v>2311</v>
      </c>
      <c r="B2210" s="20" t="str">
        <f>IFERROR(__xludf.DUMMYFUNCTION("""COMPUTED_VALUE"""),"Minimum White Tiles After Covering With Carpets")</f>
        <v>Minimum White Tiles After Covering With Carpets</v>
      </c>
      <c r="C2210" s="20" t="str">
        <f>IFERROR(__xludf.DUMMYFUNCTION("""COMPUTED_VALUE"""),"minimum-white-tiles-after-covering-with-carpets")</f>
        <v>minimum-white-tiles-after-covering-with-carpets</v>
      </c>
      <c r="D2210" s="20" t="b">
        <f>IFERROR(__xludf.DUMMYFUNCTION("""COMPUTED_VALUE"""),FALSE)</f>
        <v>0</v>
      </c>
      <c r="E2210" s="20" t="str">
        <f>IFERROR(__xludf.DUMMYFUNCTION("""COMPUTED_VALUE"""),"Hard")</f>
        <v>Hard</v>
      </c>
      <c r="F2210" s="20">
        <f>IFERROR(__xludf.DUMMYFUNCTION("""COMPUTED_VALUE"""),399.0)</f>
        <v>399</v>
      </c>
      <c r="G2210" s="20">
        <f>IFERROR(__xludf.DUMMYFUNCTION("""COMPUTED_VALUE"""),16.0)</f>
        <v>16</v>
      </c>
      <c r="H2210" s="20" t="str">
        <f>IFERROR(__xludf.DUMMYFUNCTION("""COMPUTED_VALUE"""),"Algorithms")</f>
        <v>Algorithms</v>
      </c>
      <c r="I2210" s="20">
        <f>IFERROR(__xludf.DUMMYFUNCTION("""COMPUTED_VALUE"""),0.339)</f>
        <v>0.339</v>
      </c>
      <c r="J2210" s="20">
        <f>IFERROR(__xludf.DUMMYFUNCTION("""COMPUTED_VALUE"""),2209.0)</f>
        <v>2209</v>
      </c>
      <c r="K2210" s="20" t="b">
        <f>IFERROR(__xludf.DUMMYFUNCTION("""COMPUTED_VALUE"""),FALSE)</f>
        <v>0</v>
      </c>
      <c r="L2210" s="20" t="str">
        <f>IFERROR(__xludf.DUMMYFUNCTION("""COMPUTED_VALUE"""),"String;Dynamic Programming;Prefix Sum;")</f>
        <v>String;Dynamic Programming;Prefix Sum;</v>
      </c>
      <c r="M2210" s="20" t="b">
        <f>IFERROR(__xludf.DUMMYFUNCTION("""COMPUTED_VALUE"""),FALSE)</f>
        <v>0</v>
      </c>
      <c r="N2210" s="20" t="b">
        <f>IFERROR(__xludf.DUMMYFUNCTION("""COMPUTED_VALUE"""),FALSE)</f>
        <v>0</v>
      </c>
      <c r="O2210" s="20">
        <f>IFERROR(__xludf.DUMMYFUNCTION("""COMPUTED_VALUE"""),33.8975517611763)</f>
        <v>33.89755176</v>
      </c>
      <c r="P2210" s="20">
        <f>IFERROR(__xludf.DUMMYFUNCTION("""COMPUTED_VALUE"""),9152.0)</f>
        <v>9152</v>
      </c>
      <c r="Q2210" s="20">
        <f>IFERROR(__xludf.DUMMYFUNCTION("""COMPUTED_VALUE"""),26999.0)</f>
        <v>26999</v>
      </c>
    </row>
    <row r="2211">
      <c r="A2211" s="20">
        <f>IFERROR(__xludf.DUMMYFUNCTION("""COMPUTED_VALUE"""),2316.0)</f>
        <v>2316</v>
      </c>
      <c r="B2211" s="20" t="str">
        <f>IFERROR(__xludf.DUMMYFUNCTION("""COMPUTED_VALUE"""),"Count Hills and Valleys in an Array")</f>
        <v>Count Hills and Valleys in an Array</v>
      </c>
      <c r="C2211" s="20" t="str">
        <f>IFERROR(__xludf.DUMMYFUNCTION("""COMPUTED_VALUE"""),"count-hills-and-valleys-in-an-array")</f>
        <v>count-hills-and-valleys-in-an-array</v>
      </c>
      <c r="D2211" s="20" t="b">
        <f>IFERROR(__xludf.DUMMYFUNCTION("""COMPUTED_VALUE"""),FALSE)</f>
        <v>0</v>
      </c>
      <c r="E2211" s="20" t="str">
        <f>IFERROR(__xludf.DUMMYFUNCTION("""COMPUTED_VALUE"""),"Easy")</f>
        <v>Easy</v>
      </c>
      <c r="F2211" s="20">
        <f>IFERROR(__xludf.DUMMYFUNCTION("""COMPUTED_VALUE"""),428.0)</f>
        <v>428</v>
      </c>
      <c r="G2211" s="20">
        <f>IFERROR(__xludf.DUMMYFUNCTION("""COMPUTED_VALUE"""),68.0)</f>
        <v>68</v>
      </c>
      <c r="H2211" s="20" t="str">
        <f>IFERROR(__xludf.DUMMYFUNCTION("""COMPUTED_VALUE"""),"Algorithms")</f>
        <v>Algorithms</v>
      </c>
      <c r="I2211" s="20">
        <f>IFERROR(__xludf.DUMMYFUNCTION("""COMPUTED_VALUE"""),0.583)</f>
        <v>0.583</v>
      </c>
      <c r="J2211" s="20">
        <f>IFERROR(__xludf.DUMMYFUNCTION("""COMPUTED_VALUE"""),2210.0)</f>
        <v>2210</v>
      </c>
      <c r="K2211" s="20" t="b">
        <f>IFERROR(__xludf.DUMMYFUNCTION("""COMPUTED_VALUE"""),FALSE)</f>
        <v>0</v>
      </c>
      <c r="L2211" s="20" t="str">
        <f>IFERROR(__xludf.DUMMYFUNCTION("""COMPUTED_VALUE"""),"Array;")</f>
        <v>Array;</v>
      </c>
      <c r="M2211" s="20" t="b">
        <f>IFERROR(__xludf.DUMMYFUNCTION("""COMPUTED_VALUE"""),FALSE)</f>
        <v>0</v>
      </c>
      <c r="N2211" s="20" t="b">
        <f>IFERROR(__xludf.DUMMYFUNCTION("""COMPUTED_VALUE"""),FALSE)</f>
        <v>0</v>
      </c>
      <c r="O2211" s="20">
        <f>IFERROR(__xludf.DUMMYFUNCTION("""COMPUTED_VALUE"""),58.3384214596816)</f>
        <v>58.33842146</v>
      </c>
      <c r="P2211" s="20">
        <f>IFERROR(__xludf.DUMMYFUNCTION("""COMPUTED_VALUE"""),28664.0)</f>
        <v>28664</v>
      </c>
      <c r="Q2211" s="20">
        <f>IFERROR(__xludf.DUMMYFUNCTION("""COMPUTED_VALUE"""),49134.0)</f>
        <v>49134</v>
      </c>
    </row>
    <row r="2212">
      <c r="A2212" s="20">
        <f>IFERROR(__xludf.DUMMYFUNCTION("""COMPUTED_VALUE"""),2317.0)</f>
        <v>2317</v>
      </c>
      <c r="B2212" s="20" t="str">
        <f>IFERROR(__xludf.DUMMYFUNCTION("""COMPUTED_VALUE"""),"Count Collisions on a Road")</f>
        <v>Count Collisions on a Road</v>
      </c>
      <c r="C2212" s="20" t="str">
        <f>IFERROR(__xludf.DUMMYFUNCTION("""COMPUTED_VALUE"""),"count-collisions-on-a-road")</f>
        <v>count-collisions-on-a-road</v>
      </c>
      <c r="D2212" s="20" t="b">
        <f>IFERROR(__xludf.DUMMYFUNCTION("""COMPUTED_VALUE"""),FALSE)</f>
        <v>0</v>
      </c>
      <c r="E2212" s="20" t="str">
        <f>IFERROR(__xludf.DUMMYFUNCTION("""COMPUTED_VALUE"""),"Medium")</f>
        <v>Medium</v>
      </c>
      <c r="F2212" s="20">
        <f>IFERROR(__xludf.DUMMYFUNCTION("""COMPUTED_VALUE"""),406.0)</f>
        <v>406</v>
      </c>
      <c r="G2212" s="20">
        <f>IFERROR(__xludf.DUMMYFUNCTION("""COMPUTED_VALUE"""),192.0)</f>
        <v>192</v>
      </c>
      <c r="H2212" s="20" t="str">
        <f>IFERROR(__xludf.DUMMYFUNCTION("""COMPUTED_VALUE"""),"Algorithms")</f>
        <v>Algorithms</v>
      </c>
      <c r="I2212" s="20">
        <f>IFERROR(__xludf.DUMMYFUNCTION("""COMPUTED_VALUE"""),0.421)</f>
        <v>0.421</v>
      </c>
      <c r="J2212" s="20">
        <f>IFERROR(__xludf.DUMMYFUNCTION("""COMPUTED_VALUE"""),2211.0)</f>
        <v>2211</v>
      </c>
      <c r="K2212" s="20" t="b">
        <f>IFERROR(__xludf.DUMMYFUNCTION("""COMPUTED_VALUE"""),FALSE)</f>
        <v>0</v>
      </c>
      <c r="L2212" s="20" t="str">
        <f>IFERROR(__xludf.DUMMYFUNCTION("""COMPUTED_VALUE"""),"String;Stack;")</f>
        <v>String;Stack;</v>
      </c>
      <c r="M2212" s="20" t="b">
        <f>IFERROR(__xludf.DUMMYFUNCTION("""COMPUTED_VALUE"""),FALSE)</f>
        <v>0</v>
      </c>
      <c r="N2212" s="20" t="b">
        <f>IFERROR(__xludf.DUMMYFUNCTION("""COMPUTED_VALUE"""),FALSE)</f>
        <v>0</v>
      </c>
      <c r="O2212" s="20">
        <f>IFERROR(__xludf.DUMMYFUNCTION("""COMPUTED_VALUE"""),42.0777296821832)</f>
        <v>42.07772968</v>
      </c>
      <c r="P2212" s="20">
        <f>IFERROR(__xludf.DUMMYFUNCTION("""COMPUTED_VALUE"""),18178.0)</f>
        <v>18178</v>
      </c>
      <c r="Q2212" s="20">
        <f>IFERROR(__xludf.DUMMYFUNCTION("""COMPUTED_VALUE"""),43199.0)</f>
        <v>43199</v>
      </c>
    </row>
    <row r="2213">
      <c r="A2213" s="20">
        <f>IFERROR(__xludf.DUMMYFUNCTION("""COMPUTED_VALUE"""),2318.0)</f>
        <v>2318</v>
      </c>
      <c r="B2213" s="20" t="str">
        <f>IFERROR(__xludf.DUMMYFUNCTION("""COMPUTED_VALUE"""),"Maximum Points in an Archery Competition")</f>
        <v>Maximum Points in an Archery Competition</v>
      </c>
      <c r="C2213" s="20" t="str">
        <f>IFERROR(__xludf.DUMMYFUNCTION("""COMPUTED_VALUE"""),"maximum-points-in-an-archery-competition")</f>
        <v>maximum-points-in-an-archery-competition</v>
      </c>
      <c r="D2213" s="20" t="b">
        <f>IFERROR(__xludf.DUMMYFUNCTION("""COMPUTED_VALUE"""),FALSE)</f>
        <v>0</v>
      </c>
      <c r="E2213" s="20" t="str">
        <f>IFERROR(__xludf.DUMMYFUNCTION("""COMPUTED_VALUE"""),"Medium")</f>
        <v>Medium</v>
      </c>
      <c r="F2213" s="20">
        <f>IFERROR(__xludf.DUMMYFUNCTION("""COMPUTED_VALUE"""),362.0)</f>
        <v>362</v>
      </c>
      <c r="G2213" s="20">
        <f>IFERROR(__xludf.DUMMYFUNCTION("""COMPUTED_VALUE"""),36.0)</f>
        <v>36</v>
      </c>
      <c r="H2213" s="20" t="str">
        <f>IFERROR(__xludf.DUMMYFUNCTION("""COMPUTED_VALUE"""),"Algorithms")</f>
        <v>Algorithms</v>
      </c>
      <c r="I2213" s="20">
        <f>IFERROR(__xludf.DUMMYFUNCTION("""COMPUTED_VALUE"""),0.488)</f>
        <v>0.488</v>
      </c>
      <c r="J2213" s="20">
        <f>IFERROR(__xludf.DUMMYFUNCTION("""COMPUTED_VALUE"""),2212.0)</f>
        <v>2212</v>
      </c>
      <c r="K2213" s="20" t="b">
        <f>IFERROR(__xludf.DUMMYFUNCTION("""COMPUTED_VALUE"""),FALSE)</f>
        <v>0</v>
      </c>
      <c r="L2213" s="20" t="str">
        <f>IFERROR(__xludf.DUMMYFUNCTION("""COMPUTED_VALUE"""),"Array;Bit Manipulation;Recursion;Enumeration;")</f>
        <v>Array;Bit Manipulation;Recursion;Enumeration;</v>
      </c>
      <c r="M2213" s="20" t="b">
        <f>IFERROR(__xludf.DUMMYFUNCTION("""COMPUTED_VALUE"""),FALSE)</f>
        <v>0</v>
      </c>
      <c r="N2213" s="20" t="b">
        <f>IFERROR(__xludf.DUMMYFUNCTION("""COMPUTED_VALUE"""),FALSE)</f>
        <v>0</v>
      </c>
      <c r="O2213" s="20">
        <f>IFERROR(__xludf.DUMMYFUNCTION("""COMPUTED_VALUE"""),48.7512962322848)</f>
        <v>48.75129623</v>
      </c>
      <c r="P2213" s="20">
        <f>IFERROR(__xludf.DUMMYFUNCTION("""COMPUTED_VALUE"""),11283.0)</f>
        <v>11283</v>
      </c>
      <c r="Q2213" s="20">
        <f>IFERROR(__xludf.DUMMYFUNCTION("""COMPUTED_VALUE"""),23144.0)</f>
        <v>23144</v>
      </c>
    </row>
    <row r="2214">
      <c r="A2214" s="20">
        <f>IFERROR(__xludf.DUMMYFUNCTION("""COMPUTED_VALUE"""),2319.0)</f>
        <v>2319</v>
      </c>
      <c r="B2214" s="20" t="str">
        <f>IFERROR(__xludf.DUMMYFUNCTION("""COMPUTED_VALUE"""),"Longest Substring of One Repeating Character")</f>
        <v>Longest Substring of One Repeating Character</v>
      </c>
      <c r="C2214" s="20" t="str">
        <f>IFERROR(__xludf.DUMMYFUNCTION("""COMPUTED_VALUE"""),"longest-substring-of-one-repeating-character")</f>
        <v>longest-substring-of-one-repeating-character</v>
      </c>
      <c r="D2214" s="20" t="b">
        <f>IFERROR(__xludf.DUMMYFUNCTION("""COMPUTED_VALUE"""),FALSE)</f>
        <v>0</v>
      </c>
      <c r="E2214" s="20" t="str">
        <f>IFERROR(__xludf.DUMMYFUNCTION("""COMPUTED_VALUE"""),"Hard")</f>
        <v>Hard</v>
      </c>
      <c r="F2214" s="20">
        <f>IFERROR(__xludf.DUMMYFUNCTION("""COMPUTED_VALUE"""),212.0)</f>
        <v>212</v>
      </c>
      <c r="G2214" s="20">
        <f>IFERROR(__xludf.DUMMYFUNCTION("""COMPUTED_VALUE"""),78.0)</f>
        <v>78</v>
      </c>
      <c r="H2214" s="20" t="str">
        <f>IFERROR(__xludf.DUMMYFUNCTION("""COMPUTED_VALUE"""),"Algorithms")</f>
        <v>Algorithms</v>
      </c>
      <c r="I2214" s="20">
        <f>IFERROR(__xludf.DUMMYFUNCTION("""COMPUTED_VALUE"""),0.31)</f>
        <v>0.31</v>
      </c>
      <c r="J2214" s="20">
        <f>IFERROR(__xludf.DUMMYFUNCTION("""COMPUTED_VALUE"""),2213.0)</f>
        <v>2213</v>
      </c>
      <c r="K2214" s="20" t="b">
        <f>IFERROR(__xludf.DUMMYFUNCTION("""COMPUTED_VALUE"""),FALSE)</f>
        <v>0</v>
      </c>
      <c r="L2214" s="20" t="str">
        <f>IFERROR(__xludf.DUMMYFUNCTION("""COMPUTED_VALUE"""),"Array;String;Segment Tree;Ordered Set;")</f>
        <v>Array;String;Segment Tree;Ordered Set;</v>
      </c>
      <c r="M2214" s="20" t="b">
        <f>IFERROR(__xludf.DUMMYFUNCTION("""COMPUTED_VALUE"""),FALSE)</f>
        <v>0</v>
      </c>
      <c r="N2214" s="20" t="b">
        <f>IFERROR(__xludf.DUMMYFUNCTION("""COMPUTED_VALUE"""),FALSE)</f>
        <v>0</v>
      </c>
      <c r="O2214" s="20">
        <f>IFERROR(__xludf.DUMMYFUNCTION("""COMPUTED_VALUE"""),31.0351487060641)</f>
        <v>31.03514871</v>
      </c>
      <c r="P2214" s="20">
        <f>IFERROR(__xludf.DUMMYFUNCTION("""COMPUTED_VALUE"""),3214.0)</f>
        <v>3214</v>
      </c>
      <c r="Q2214" s="20">
        <f>IFERROR(__xludf.DUMMYFUNCTION("""COMPUTED_VALUE"""),10356.0)</f>
        <v>10356</v>
      </c>
    </row>
    <row r="2215">
      <c r="A2215" s="20">
        <f>IFERROR(__xludf.DUMMYFUNCTION("""COMPUTED_VALUE"""),2354.0)</f>
        <v>2354</v>
      </c>
      <c r="B2215" s="20" t="str">
        <f>IFERROR(__xludf.DUMMYFUNCTION("""COMPUTED_VALUE"""),"Minimum Health to Beat Game")</f>
        <v>Minimum Health to Beat Game</v>
      </c>
      <c r="C2215" s="20" t="str">
        <f>IFERROR(__xludf.DUMMYFUNCTION("""COMPUTED_VALUE"""),"minimum-health-to-beat-game")</f>
        <v>minimum-health-to-beat-game</v>
      </c>
      <c r="D2215" s="20" t="b">
        <f>IFERROR(__xludf.DUMMYFUNCTION("""COMPUTED_VALUE"""),TRUE)</f>
        <v>1</v>
      </c>
      <c r="E2215" s="20" t="str">
        <f>IFERROR(__xludf.DUMMYFUNCTION("""COMPUTED_VALUE"""),"Medium")</f>
        <v>Medium</v>
      </c>
      <c r="F2215" s="20">
        <f>IFERROR(__xludf.DUMMYFUNCTION("""COMPUTED_VALUE"""),225.0)</f>
        <v>225</v>
      </c>
      <c r="G2215" s="20">
        <f>IFERROR(__xludf.DUMMYFUNCTION("""COMPUTED_VALUE"""),140.0)</f>
        <v>140</v>
      </c>
      <c r="H2215" s="20" t="str">
        <f>IFERROR(__xludf.DUMMYFUNCTION("""COMPUTED_VALUE"""),"Algorithms")</f>
        <v>Algorithms</v>
      </c>
      <c r="I2215" s="20">
        <f>IFERROR(__xludf.DUMMYFUNCTION("""COMPUTED_VALUE"""),0.575)</f>
        <v>0.575</v>
      </c>
      <c r="J2215" s="20">
        <f>IFERROR(__xludf.DUMMYFUNCTION("""COMPUTED_VALUE"""),2214.0)</f>
        <v>2214</v>
      </c>
      <c r="K2215" s="20" t="b">
        <f>IFERROR(__xludf.DUMMYFUNCTION("""COMPUTED_VALUE"""),TRUE)</f>
        <v>1</v>
      </c>
      <c r="L2215" s="20" t="str">
        <f>IFERROR(__xludf.DUMMYFUNCTION("""COMPUTED_VALUE"""),"Array;Greedy;Prefix Sum;")</f>
        <v>Array;Greedy;Prefix Sum;</v>
      </c>
      <c r="M2215" s="20" t="b">
        <f>IFERROR(__xludf.DUMMYFUNCTION("""COMPUTED_VALUE"""),TRUE)</f>
        <v>1</v>
      </c>
      <c r="N2215" s="20" t="b">
        <f>IFERROR(__xludf.DUMMYFUNCTION("""COMPUTED_VALUE"""),FALSE)</f>
        <v>0</v>
      </c>
      <c r="O2215" s="20">
        <f>IFERROR(__xludf.DUMMYFUNCTION("""COMPUTED_VALUE"""),57.5249445676274)</f>
        <v>57.52494457</v>
      </c>
      <c r="P2215" s="20">
        <f>IFERROR(__xludf.DUMMYFUNCTION("""COMPUTED_VALUE"""),20755.0)</f>
        <v>20755</v>
      </c>
      <c r="Q2215" s="20">
        <f>IFERROR(__xludf.DUMMYFUNCTION("""COMPUTED_VALUE"""),36080.0)</f>
        <v>36080</v>
      </c>
    </row>
    <row r="2216">
      <c r="A2216" s="20">
        <f>IFERROR(__xludf.DUMMYFUNCTION("""COMPUTED_VALUE"""),1392.0)</f>
        <v>1392</v>
      </c>
      <c r="B2216" s="20" t="str">
        <f>IFERROR(__xludf.DUMMYFUNCTION("""COMPUTED_VALUE"""),"Find the Difference of Two Arrays")</f>
        <v>Find the Difference of Two Arrays</v>
      </c>
      <c r="C2216" s="20" t="str">
        <f>IFERROR(__xludf.DUMMYFUNCTION("""COMPUTED_VALUE"""),"find-the-difference-of-two-arrays")</f>
        <v>find-the-difference-of-two-arrays</v>
      </c>
      <c r="D2216" s="20" t="b">
        <f>IFERROR(__xludf.DUMMYFUNCTION("""COMPUTED_VALUE"""),FALSE)</f>
        <v>0</v>
      </c>
      <c r="E2216" s="20" t="str">
        <f>IFERROR(__xludf.DUMMYFUNCTION("""COMPUTED_VALUE"""),"Easy")</f>
        <v>Easy</v>
      </c>
      <c r="F2216" s="20">
        <f>IFERROR(__xludf.DUMMYFUNCTION("""COMPUTED_VALUE"""),492.0)</f>
        <v>492</v>
      </c>
      <c r="G2216" s="20">
        <f>IFERROR(__xludf.DUMMYFUNCTION("""COMPUTED_VALUE"""),23.0)</f>
        <v>23</v>
      </c>
      <c r="H2216" s="20" t="str">
        <f>IFERROR(__xludf.DUMMYFUNCTION("""COMPUTED_VALUE"""),"Algorithms")</f>
        <v>Algorithms</v>
      </c>
      <c r="I2216" s="20">
        <f>IFERROR(__xludf.DUMMYFUNCTION("""COMPUTED_VALUE"""),0.698)</f>
        <v>0.698</v>
      </c>
      <c r="J2216" s="20">
        <f>IFERROR(__xludf.DUMMYFUNCTION("""COMPUTED_VALUE"""),2215.0)</f>
        <v>2215</v>
      </c>
      <c r="K2216" s="20" t="b">
        <f>IFERROR(__xludf.DUMMYFUNCTION("""COMPUTED_VALUE"""),FALSE)</f>
        <v>0</v>
      </c>
      <c r="L2216" s="20" t="str">
        <f>IFERROR(__xludf.DUMMYFUNCTION("""COMPUTED_VALUE"""),"Array;Hash Table;")</f>
        <v>Array;Hash Table;</v>
      </c>
      <c r="M2216" s="20" t="b">
        <f>IFERROR(__xludf.DUMMYFUNCTION("""COMPUTED_VALUE"""),FALSE)</f>
        <v>0</v>
      </c>
      <c r="N2216" s="20" t="b">
        <f>IFERROR(__xludf.DUMMYFUNCTION("""COMPUTED_VALUE"""),FALSE)</f>
        <v>0</v>
      </c>
      <c r="O2216" s="20">
        <f>IFERROR(__xludf.DUMMYFUNCTION("""COMPUTED_VALUE"""),69.7678819225432)</f>
        <v>69.76788192</v>
      </c>
      <c r="P2216" s="20">
        <f>IFERROR(__xludf.DUMMYFUNCTION("""COMPUTED_VALUE"""),44243.0)</f>
        <v>44243</v>
      </c>
      <c r="Q2216" s="20">
        <f>IFERROR(__xludf.DUMMYFUNCTION("""COMPUTED_VALUE"""),63415.0)</f>
        <v>63415</v>
      </c>
    </row>
    <row r="2217">
      <c r="A2217" s="20">
        <f>IFERROR(__xludf.DUMMYFUNCTION("""COMPUTED_VALUE"""),1355.0)</f>
        <v>1355</v>
      </c>
      <c r="B2217" s="20" t="str">
        <f>IFERROR(__xludf.DUMMYFUNCTION("""COMPUTED_VALUE"""),"Minimum Deletions to Make Array Beautiful")</f>
        <v>Minimum Deletions to Make Array Beautiful</v>
      </c>
      <c r="C2217" s="20" t="str">
        <f>IFERROR(__xludf.DUMMYFUNCTION("""COMPUTED_VALUE"""),"minimum-deletions-to-make-array-beautiful")</f>
        <v>minimum-deletions-to-make-array-beautiful</v>
      </c>
      <c r="D2217" s="20" t="b">
        <f>IFERROR(__xludf.DUMMYFUNCTION("""COMPUTED_VALUE"""),FALSE)</f>
        <v>0</v>
      </c>
      <c r="E2217" s="20" t="str">
        <f>IFERROR(__xludf.DUMMYFUNCTION("""COMPUTED_VALUE"""),"Medium")</f>
        <v>Medium</v>
      </c>
      <c r="F2217" s="20">
        <f>IFERROR(__xludf.DUMMYFUNCTION("""COMPUTED_VALUE"""),540.0)</f>
        <v>540</v>
      </c>
      <c r="G2217" s="20">
        <f>IFERROR(__xludf.DUMMYFUNCTION("""COMPUTED_VALUE"""),82.0)</f>
        <v>82</v>
      </c>
      <c r="H2217" s="20" t="str">
        <f>IFERROR(__xludf.DUMMYFUNCTION("""COMPUTED_VALUE"""),"Algorithms")</f>
        <v>Algorithms</v>
      </c>
      <c r="I2217" s="20">
        <f>IFERROR(__xludf.DUMMYFUNCTION("""COMPUTED_VALUE"""),0.466)</f>
        <v>0.466</v>
      </c>
      <c r="J2217" s="20">
        <f>IFERROR(__xludf.DUMMYFUNCTION("""COMPUTED_VALUE"""),2216.0)</f>
        <v>2216</v>
      </c>
      <c r="K2217" s="20" t="b">
        <f>IFERROR(__xludf.DUMMYFUNCTION("""COMPUTED_VALUE"""),FALSE)</f>
        <v>0</v>
      </c>
      <c r="L2217" s="20" t="str">
        <f>IFERROR(__xludf.DUMMYFUNCTION("""COMPUTED_VALUE"""),"Array;Stack;Greedy;")</f>
        <v>Array;Stack;Greedy;</v>
      </c>
      <c r="M2217" s="20" t="b">
        <f>IFERROR(__xludf.DUMMYFUNCTION("""COMPUTED_VALUE"""),FALSE)</f>
        <v>0</v>
      </c>
      <c r="N2217" s="20" t="b">
        <f>IFERROR(__xludf.DUMMYFUNCTION("""COMPUTED_VALUE"""),FALSE)</f>
        <v>0</v>
      </c>
      <c r="O2217" s="20">
        <f>IFERROR(__xludf.DUMMYFUNCTION("""COMPUTED_VALUE"""),46.5925577383052)</f>
        <v>46.59255774</v>
      </c>
      <c r="P2217" s="20">
        <f>IFERROR(__xludf.DUMMYFUNCTION("""COMPUTED_VALUE"""),23764.0)</f>
        <v>23764</v>
      </c>
      <c r="Q2217" s="20">
        <f>IFERROR(__xludf.DUMMYFUNCTION("""COMPUTED_VALUE"""),51005.0)</f>
        <v>51005</v>
      </c>
    </row>
    <row r="2218">
      <c r="A2218" s="20">
        <f>IFERROR(__xludf.DUMMYFUNCTION("""COMPUTED_VALUE"""),1375.0)</f>
        <v>1375</v>
      </c>
      <c r="B2218" s="20" t="str">
        <f>IFERROR(__xludf.DUMMYFUNCTION("""COMPUTED_VALUE"""),"Find Palindrome With Fixed Length")</f>
        <v>Find Palindrome With Fixed Length</v>
      </c>
      <c r="C2218" s="20" t="str">
        <f>IFERROR(__xludf.DUMMYFUNCTION("""COMPUTED_VALUE"""),"find-palindrome-with-fixed-length")</f>
        <v>find-palindrome-with-fixed-length</v>
      </c>
      <c r="D2218" s="20" t="b">
        <f>IFERROR(__xludf.DUMMYFUNCTION("""COMPUTED_VALUE"""),FALSE)</f>
        <v>0</v>
      </c>
      <c r="E2218" s="20" t="str">
        <f>IFERROR(__xludf.DUMMYFUNCTION("""COMPUTED_VALUE"""),"Medium")</f>
        <v>Medium</v>
      </c>
      <c r="F2218" s="20">
        <f>IFERROR(__xludf.DUMMYFUNCTION("""COMPUTED_VALUE"""),470.0)</f>
        <v>470</v>
      </c>
      <c r="G2218" s="20">
        <f>IFERROR(__xludf.DUMMYFUNCTION("""COMPUTED_VALUE"""),198.0)</f>
        <v>198</v>
      </c>
      <c r="H2218" s="20" t="str">
        <f>IFERROR(__xludf.DUMMYFUNCTION("""COMPUTED_VALUE"""),"Algorithms")</f>
        <v>Algorithms</v>
      </c>
      <c r="I2218" s="20">
        <f>IFERROR(__xludf.DUMMYFUNCTION("""COMPUTED_VALUE"""),0.342)</f>
        <v>0.342</v>
      </c>
      <c r="J2218" s="20">
        <f>IFERROR(__xludf.DUMMYFUNCTION("""COMPUTED_VALUE"""),2217.0)</f>
        <v>2217</v>
      </c>
      <c r="K2218" s="20" t="b">
        <f>IFERROR(__xludf.DUMMYFUNCTION("""COMPUTED_VALUE"""),FALSE)</f>
        <v>0</v>
      </c>
      <c r="L2218" s="20" t="str">
        <f>IFERROR(__xludf.DUMMYFUNCTION("""COMPUTED_VALUE"""),"Array;Math;")</f>
        <v>Array;Math;</v>
      </c>
      <c r="M2218" s="20" t="b">
        <f>IFERROR(__xludf.DUMMYFUNCTION("""COMPUTED_VALUE"""),FALSE)</f>
        <v>0</v>
      </c>
      <c r="N2218" s="20" t="b">
        <f>IFERROR(__xludf.DUMMYFUNCTION("""COMPUTED_VALUE"""),FALSE)</f>
        <v>0</v>
      </c>
      <c r="O2218" s="20">
        <f>IFERROR(__xludf.DUMMYFUNCTION("""COMPUTED_VALUE"""),34.2117776609855)</f>
        <v>34.21177766</v>
      </c>
      <c r="P2218" s="20">
        <f>IFERROR(__xludf.DUMMYFUNCTION("""COMPUTED_VALUE"""),13670.0)</f>
        <v>13670</v>
      </c>
      <c r="Q2218" s="20">
        <f>IFERROR(__xludf.DUMMYFUNCTION("""COMPUTED_VALUE"""),39957.0)</f>
        <v>39957</v>
      </c>
    </row>
    <row r="2219">
      <c r="A2219" s="20">
        <f>IFERROR(__xludf.DUMMYFUNCTION("""COMPUTED_VALUE"""),1393.0)</f>
        <v>1393</v>
      </c>
      <c r="B2219" s="20" t="str">
        <f>IFERROR(__xludf.DUMMYFUNCTION("""COMPUTED_VALUE"""),"Maximum Value of K Coins From Piles")</f>
        <v>Maximum Value of K Coins From Piles</v>
      </c>
      <c r="C2219" s="20" t="str">
        <f>IFERROR(__xludf.DUMMYFUNCTION("""COMPUTED_VALUE"""),"maximum-value-of-k-coins-from-piles")</f>
        <v>maximum-value-of-k-coins-from-piles</v>
      </c>
      <c r="D2219" s="20" t="b">
        <f>IFERROR(__xludf.DUMMYFUNCTION("""COMPUTED_VALUE"""),FALSE)</f>
        <v>0</v>
      </c>
      <c r="E2219" s="20" t="str">
        <f>IFERROR(__xludf.DUMMYFUNCTION("""COMPUTED_VALUE"""),"Hard")</f>
        <v>Hard</v>
      </c>
      <c r="F2219" s="20">
        <f>IFERROR(__xludf.DUMMYFUNCTION("""COMPUTED_VALUE"""),699.0)</f>
        <v>699</v>
      </c>
      <c r="G2219" s="20">
        <f>IFERROR(__xludf.DUMMYFUNCTION("""COMPUTED_VALUE"""),12.0)</f>
        <v>12</v>
      </c>
      <c r="H2219" s="20" t="str">
        <f>IFERROR(__xludf.DUMMYFUNCTION("""COMPUTED_VALUE"""),"Algorithms")</f>
        <v>Algorithms</v>
      </c>
      <c r="I2219" s="20">
        <f>IFERROR(__xludf.DUMMYFUNCTION("""COMPUTED_VALUE"""),0.479)</f>
        <v>0.479</v>
      </c>
      <c r="J2219" s="20">
        <f>IFERROR(__xludf.DUMMYFUNCTION("""COMPUTED_VALUE"""),2218.0)</f>
        <v>2218</v>
      </c>
      <c r="K2219" s="20" t="b">
        <f>IFERROR(__xludf.DUMMYFUNCTION("""COMPUTED_VALUE"""),FALSE)</f>
        <v>0</v>
      </c>
      <c r="L2219" s="20" t="str">
        <f>IFERROR(__xludf.DUMMYFUNCTION("""COMPUTED_VALUE"""),"Array;Dynamic Programming;Prefix Sum;")</f>
        <v>Array;Dynamic Programming;Prefix Sum;</v>
      </c>
      <c r="M2219" s="20" t="b">
        <f>IFERROR(__xludf.DUMMYFUNCTION("""COMPUTED_VALUE"""),FALSE)</f>
        <v>0</v>
      </c>
      <c r="N2219" s="20" t="b">
        <f>IFERROR(__xludf.DUMMYFUNCTION("""COMPUTED_VALUE"""),FALSE)</f>
        <v>0</v>
      </c>
      <c r="O2219" s="20">
        <f>IFERROR(__xludf.DUMMYFUNCTION("""COMPUTED_VALUE"""),47.9095499777216)</f>
        <v>47.90954998</v>
      </c>
      <c r="P2219" s="20">
        <f>IFERROR(__xludf.DUMMYFUNCTION("""COMPUTED_VALUE"""),12903.0)</f>
        <v>12903</v>
      </c>
      <c r="Q2219" s="20">
        <f>IFERROR(__xludf.DUMMYFUNCTION("""COMPUTED_VALUE"""),26932.0)</f>
        <v>26932</v>
      </c>
    </row>
    <row r="2220">
      <c r="A2220" s="20">
        <f>IFERROR(__xludf.DUMMYFUNCTION("""COMPUTED_VALUE"""),2369.0)</f>
        <v>2369</v>
      </c>
      <c r="B2220" s="20" t="str">
        <f>IFERROR(__xludf.DUMMYFUNCTION("""COMPUTED_VALUE"""),"Maximum Sum Score of Array")</f>
        <v>Maximum Sum Score of Array</v>
      </c>
      <c r="C2220" s="20" t="str">
        <f>IFERROR(__xludf.DUMMYFUNCTION("""COMPUTED_VALUE"""),"maximum-sum-score-of-array")</f>
        <v>maximum-sum-score-of-array</v>
      </c>
      <c r="D2220" s="20" t="b">
        <f>IFERROR(__xludf.DUMMYFUNCTION("""COMPUTED_VALUE"""),TRUE)</f>
        <v>1</v>
      </c>
      <c r="E2220" s="20" t="str">
        <f>IFERROR(__xludf.DUMMYFUNCTION("""COMPUTED_VALUE"""),"Medium")</f>
        <v>Medium</v>
      </c>
      <c r="F2220" s="20">
        <f>IFERROR(__xludf.DUMMYFUNCTION("""COMPUTED_VALUE"""),46.0)</f>
        <v>46</v>
      </c>
      <c r="G2220" s="20">
        <f>IFERROR(__xludf.DUMMYFUNCTION("""COMPUTED_VALUE"""),15.0)</f>
        <v>15</v>
      </c>
      <c r="H2220" s="20" t="str">
        <f>IFERROR(__xludf.DUMMYFUNCTION("""COMPUTED_VALUE"""),"Algorithms")</f>
        <v>Algorithms</v>
      </c>
      <c r="I2220" s="20">
        <f>IFERROR(__xludf.DUMMYFUNCTION("""COMPUTED_VALUE"""),0.601)</f>
        <v>0.601</v>
      </c>
      <c r="J2220" s="20">
        <f>IFERROR(__xludf.DUMMYFUNCTION("""COMPUTED_VALUE"""),2219.0)</f>
        <v>2219</v>
      </c>
      <c r="K2220" s="20" t="b">
        <f>IFERROR(__xludf.DUMMYFUNCTION("""COMPUTED_VALUE"""),TRUE)</f>
        <v>1</v>
      </c>
      <c r="L2220" s="20" t="str">
        <f>IFERROR(__xludf.DUMMYFUNCTION("""COMPUTED_VALUE"""),"Array;Prefix Sum;")</f>
        <v>Array;Prefix Sum;</v>
      </c>
      <c r="M2220" s="20" t="b">
        <f>IFERROR(__xludf.DUMMYFUNCTION("""COMPUTED_VALUE"""),FALSE)</f>
        <v>0</v>
      </c>
      <c r="N2220" s="20" t="b">
        <f>IFERROR(__xludf.DUMMYFUNCTION("""COMPUTED_VALUE"""),FALSE)</f>
        <v>0</v>
      </c>
      <c r="O2220" s="20">
        <f>IFERROR(__xludf.DUMMYFUNCTION("""COMPUTED_VALUE"""),60.0918540004834)</f>
        <v>60.091854</v>
      </c>
      <c r="P2220" s="20">
        <f>IFERROR(__xludf.DUMMYFUNCTION("""COMPUTED_VALUE"""),2486.0)</f>
        <v>2486</v>
      </c>
      <c r="Q2220" s="20">
        <f>IFERROR(__xludf.DUMMYFUNCTION("""COMPUTED_VALUE"""),4137.0)</f>
        <v>4137</v>
      </c>
    </row>
    <row r="2221">
      <c r="A2221" s="20">
        <f>IFERROR(__xludf.DUMMYFUNCTION("""COMPUTED_VALUE"""),2323.0)</f>
        <v>2323</v>
      </c>
      <c r="B2221" s="20" t="str">
        <f>IFERROR(__xludf.DUMMYFUNCTION("""COMPUTED_VALUE"""),"Minimum Bit Flips to Convert Number")</f>
        <v>Minimum Bit Flips to Convert Number</v>
      </c>
      <c r="C2221" s="20" t="str">
        <f>IFERROR(__xludf.DUMMYFUNCTION("""COMPUTED_VALUE"""),"minimum-bit-flips-to-convert-number")</f>
        <v>minimum-bit-flips-to-convert-number</v>
      </c>
      <c r="D2221" s="20" t="b">
        <f>IFERROR(__xludf.DUMMYFUNCTION("""COMPUTED_VALUE"""),FALSE)</f>
        <v>0</v>
      </c>
      <c r="E2221" s="20" t="str">
        <f>IFERROR(__xludf.DUMMYFUNCTION("""COMPUTED_VALUE"""),"Easy")</f>
        <v>Easy</v>
      </c>
      <c r="F2221" s="20">
        <f>IFERROR(__xludf.DUMMYFUNCTION("""COMPUTED_VALUE"""),384.0)</f>
        <v>384</v>
      </c>
      <c r="G2221" s="20">
        <f>IFERROR(__xludf.DUMMYFUNCTION("""COMPUTED_VALUE"""),7.0)</f>
        <v>7</v>
      </c>
      <c r="H2221" s="20" t="str">
        <f>IFERROR(__xludf.DUMMYFUNCTION("""COMPUTED_VALUE"""),"Algorithms")</f>
        <v>Algorithms</v>
      </c>
      <c r="I2221" s="20">
        <f>IFERROR(__xludf.DUMMYFUNCTION("""COMPUTED_VALUE"""),0.822)</f>
        <v>0.822</v>
      </c>
      <c r="J2221" s="20">
        <f>IFERROR(__xludf.DUMMYFUNCTION("""COMPUTED_VALUE"""),2220.0)</f>
        <v>2220</v>
      </c>
      <c r="K2221" s="20" t="b">
        <f>IFERROR(__xludf.DUMMYFUNCTION("""COMPUTED_VALUE"""),FALSE)</f>
        <v>0</v>
      </c>
      <c r="L2221" s="20" t="str">
        <f>IFERROR(__xludf.DUMMYFUNCTION("""COMPUTED_VALUE"""),"Bit Manipulation;")</f>
        <v>Bit Manipulation;</v>
      </c>
      <c r="M2221" s="20" t="b">
        <f>IFERROR(__xludf.DUMMYFUNCTION("""COMPUTED_VALUE"""),FALSE)</f>
        <v>0</v>
      </c>
      <c r="N2221" s="20" t="b">
        <f>IFERROR(__xludf.DUMMYFUNCTION("""COMPUTED_VALUE"""),FALSE)</f>
        <v>0</v>
      </c>
      <c r="O2221" s="20">
        <f>IFERROR(__xludf.DUMMYFUNCTION("""COMPUTED_VALUE"""),82.2230239929902)</f>
        <v>82.22302399</v>
      </c>
      <c r="P2221" s="20">
        <f>IFERROR(__xludf.DUMMYFUNCTION("""COMPUTED_VALUE"""),31904.0)</f>
        <v>31904</v>
      </c>
      <c r="Q2221" s="20">
        <f>IFERROR(__xludf.DUMMYFUNCTION("""COMPUTED_VALUE"""),38802.0)</f>
        <v>38802</v>
      </c>
    </row>
    <row r="2222">
      <c r="A2222" s="20">
        <f>IFERROR(__xludf.DUMMYFUNCTION("""COMPUTED_VALUE"""),2324.0)</f>
        <v>2324</v>
      </c>
      <c r="B2222" s="20" t="str">
        <f>IFERROR(__xludf.DUMMYFUNCTION("""COMPUTED_VALUE"""),"Find Triangular Sum of an Array")</f>
        <v>Find Triangular Sum of an Array</v>
      </c>
      <c r="C2222" s="20" t="str">
        <f>IFERROR(__xludf.DUMMYFUNCTION("""COMPUTED_VALUE"""),"find-triangular-sum-of-an-array")</f>
        <v>find-triangular-sum-of-an-array</v>
      </c>
      <c r="D2222" s="20" t="b">
        <f>IFERROR(__xludf.DUMMYFUNCTION("""COMPUTED_VALUE"""),FALSE)</f>
        <v>0</v>
      </c>
      <c r="E2222" s="20" t="str">
        <f>IFERROR(__xludf.DUMMYFUNCTION("""COMPUTED_VALUE"""),"Medium")</f>
        <v>Medium</v>
      </c>
      <c r="F2222" s="20">
        <f>IFERROR(__xludf.DUMMYFUNCTION("""COMPUTED_VALUE"""),709.0)</f>
        <v>709</v>
      </c>
      <c r="G2222" s="20">
        <f>IFERROR(__xludf.DUMMYFUNCTION("""COMPUTED_VALUE"""),33.0)</f>
        <v>33</v>
      </c>
      <c r="H2222" s="20" t="str">
        <f>IFERROR(__xludf.DUMMYFUNCTION("""COMPUTED_VALUE"""),"Algorithms")</f>
        <v>Algorithms</v>
      </c>
      <c r="I2222" s="20">
        <f>IFERROR(__xludf.DUMMYFUNCTION("""COMPUTED_VALUE"""),0.787)</f>
        <v>0.787</v>
      </c>
      <c r="J2222" s="20">
        <f>IFERROR(__xludf.DUMMYFUNCTION("""COMPUTED_VALUE"""),2221.0)</f>
        <v>2221</v>
      </c>
      <c r="K2222" s="20" t="b">
        <f>IFERROR(__xludf.DUMMYFUNCTION("""COMPUTED_VALUE"""),FALSE)</f>
        <v>0</v>
      </c>
      <c r="L2222" s="20" t="str">
        <f>IFERROR(__xludf.DUMMYFUNCTION("""COMPUTED_VALUE"""),"Array;Math;Simulation;Combinatorics;")</f>
        <v>Array;Math;Simulation;Combinatorics;</v>
      </c>
      <c r="M2222" s="20" t="b">
        <f>IFERROR(__xludf.DUMMYFUNCTION("""COMPUTED_VALUE"""),FALSE)</f>
        <v>0</v>
      </c>
      <c r="N2222" s="20" t="b">
        <f>IFERROR(__xludf.DUMMYFUNCTION("""COMPUTED_VALUE"""),FALSE)</f>
        <v>0</v>
      </c>
      <c r="O2222" s="20">
        <f>IFERROR(__xludf.DUMMYFUNCTION("""COMPUTED_VALUE"""),78.7131147540983)</f>
        <v>78.71311475</v>
      </c>
      <c r="P2222" s="20">
        <f>IFERROR(__xludf.DUMMYFUNCTION("""COMPUTED_VALUE"""),48014.0)</f>
        <v>48014</v>
      </c>
      <c r="Q2222" s="20">
        <f>IFERROR(__xludf.DUMMYFUNCTION("""COMPUTED_VALUE"""),60999.0)</f>
        <v>60999</v>
      </c>
    </row>
    <row r="2223">
      <c r="A2223" s="20">
        <f>IFERROR(__xludf.DUMMYFUNCTION("""COMPUTED_VALUE"""),2325.0)</f>
        <v>2325</v>
      </c>
      <c r="B2223" s="20" t="str">
        <f>IFERROR(__xludf.DUMMYFUNCTION("""COMPUTED_VALUE"""),"Number of Ways to Select Buildings")</f>
        <v>Number of Ways to Select Buildings</v>
      </c>
      <c r="C2223" s="20" t="str">
        <f>IFERROR(__xludf.DUMMYFUNCTION("""COMPUTED_VALUE"""),"number-of-ways-to-select-buildings")</f>
        <v>number-of-ways-to-select-buildings</v>
      </c>
      <c r="D2223" s="20" t="b">
        <f>IFERROR(__xludf.DUMMYFUNCTION("""COMPUTED_VALUE"""),FALSE)</f>
        <v>0</v>
      </c>
      <c r="E2223" s="20" t="str">
        <f>IFERROR(__xludf.DUMMYFUNCTION("""COMPUTED_VALUE"""),"Medium")</f>
        <v>Medium</v>
      </c>
      <c r="F2223" s="20">
        <f>IFERROR(__xludf.DUMMYFUNCTION("""COMPUTED_VALUE"""),718.0)</f>
        <v>718</v>
      </c>
      <c r="G2223" s="20">
        <f>IFERROR(__xludf.DUMMYFUNCTION("""COMPUTED_VALUE"""),30.0)</f>
        <v>30</v>
      </c>
      <c r="H2223" s="20" t="str">
        <f>IFERROR(__xludf.DUMMYFUNCTION("""COMPUTED_VALUE"""),"Algorithms")</f>
        <v>Algorithms</v>
      </c>
      <c r="I2223" s="20">
        <f>IFERROR(__xludf.DUMMYFUNCTION("""COMPUTED_VALUE"""),0.514)</f>
        <v>0.514</v>
      </c>
      <c r="J2223" s="20">
        <f>IFERROR(__xludf.DUMMYFUNCTION("""COMPUTED_VALUE"""),2222.0)</f>
        <v>2222</v>
      </c>
      <c r="K2223" s="20" t="b">
        <f>IFERROR(__xludf.DUMMYFUNCTION("""COMPUTED_VALUE"""),FALSE)</f>
        <v>0</v>
      </c>
      <c r="L2223" s="20" t="str">
        <f>IFERROR(__xludf.DUMMYFUNCTION("""COMPUTED_VALUE"""),"String;Dynamic Programming;Prefix Sum;")</f>
        <v>String;Dynamic Programming;Prefix Sum;</v>
      </c>
      <c r="M2223" s="20" t="b">
        <f>IFERROR(__xludf.DUMMYFUNCTION("""COMPUTED_VALUE"""),FALSE)</f>
        <v>0</v>
      </c>
      <c r="N2223" s="20" t="b">
        <f>IFERROR(__xludf.DUMMYFUNCTION("""COMPUTED_VALUE"""),FALSE)</f>
        <v>0</v>
      </c>
      <c r="O2223" s="20">
        <f>IFERROR(__xludf.DUMMYFUNCTION("""COMPUTED_VALUE"""),51.3519965277777)</f>
        <v>51.35199653</v>
      </c>
      <c r="P2223" s="20">
        <f>IFERROR(__xludf.DUMMYFUNCTION("""COMPUTED_VALUE"""),23663.0)</f>
        <v>23663</v>
      </c>
      <c r="Q2223" s="20">
        <f>IFERROR(__xludf.DUMMYFUNCTION("""COMPUTED_VALUE"""),46080.0)</f>
        <v>46080</v>
      </c>
    </row>
    <row r="2224">
      <c r="A2224" s="20">
        <f>IFERROR(__xludf.DUMMYFUNCTION("""COMPUTED_VALUE"""),2326.0)</f>
        <v>2326</v>
      </c>
      <c r="B2224" s="20" t="str">
        <f>IFERROR(__xludf.DUMMYFUNCTION("""COMPUTED_VALUE"""),"Sum of Scores of Built Strings")</f>
        <v>Sum of Scores of Built Strings</v>
      </c>
      <c r="C2224" s="20" t="str">
        <f>IFERROR(__xludf.DUMMYFUNCTION("""COMPUTED_VALUE"""),"sum-of-scores-of-built-strings")</f>
        <v>sum-of-scores-of-built-strings</v>
      </c>
      <c r="D2224" s="20" t="b">
        <f>IFERROR(__xludf.DUMMYFUNCTION("""COMPUTED_VALUE"""),FALSE)</f>
        <v>0</v>
      </c>
      <c r="E2224" s="20" t="str">
        <f>IFERROR(__xludf.DUMMYFUNCTION("""COMPUTED_VALUE"""),"Hard")</f>
        <v>Hard</v>
      </c>
      <c r="F2224" s="20">
        <f>IFERROR(__xludf.DUMMYFUNCTION("""COMPUTED_VALUE"""),172.0)</f>
        <v>172</v>
      </c>
      <c r="G2224" s="20">
        <f>IFERROR(__xludf.DUMMYFUNCTION("""COMPUTED_VALUE"""),169.0)</f>
        <v>169</v>
      </c>
      <c r="H2224" s="20" t="str">
        <f>IFERROR(__xludf.DUMMYFUNCTION("""COMPUTED_VALUE"""),"Algorithms")</f>
        <v>Algorithms</v>
      </c>
      <c r="I2224" s="20">
        <f>IFERROR(__xludf.DUMMYFUNCTION("""COMPUTED_VALUE"""),0.371)</f>
        <v>0.371</v>
      </c>
      <c r="J2224" s="20">
        <f>IFERROR(__xludf.DUMMYFUNCTION("""COMPUTED_VALUE"""),2223.0)</f>
        <v>2223</v>
      </c>
      <c r="K2224" s="20" t="b">
        <f>IFERROR(__xludf.DUMMYFUNCTION("""COMPUTED_VALUE"""),FALSE)</f>
        <v>0</v>
      </c>
      <c r="L2224" s="20" t="str">
        <f>IFERROR(__xludf.DUMMYFUNCTION("""COMPUTED_VALUE"""),"String;Binary Search;Rolling Hash;Suffix Array;String Matching;Hash Function;")</f>
        <v>String;Binary Search;Rolling Hash;Suffix Array;String Matching;Hash Function;</v>
      </c>
      <c r="M2224" s="20" t="b">
        <f>IFERROR(__xludf.DUMMYFUNCTION("""COMPUTED_VALUE"""),FALSE)</f>
        <v>0</v>
      </c>
      <c r="N2224" s="20" t="b">
        <f>IFERROR(__xludf.DUMMYFUNCTION("""COMPUTED_VALUE"""),FALSE)</f>
        <v>0</v>
      </c>
      <c r="O2224" s="20">
        <f>IFERROR(__xludf.DUMMYFUNCTION("""COMPUTED_VALUE"""),37.1214953271028)</f>
        <v>37.12149533</v>
      </c>
      <c r="P2224" s="20">
        <f>IFERROR(__xludf.DUMMYFUNCTION("""COMPUTED_VALUE"""),4965.0)</f>
        <v>4965</v>
      </c>
      <c r="Q2224" s="20">
        <f>IFERROR(__xludf.DUMMYFUNCTION("""COMPUTED_VALUE"""),13375.0)</f>
        <v>13375</v>
      </c>
    </row>
    <row r="2225">
      <c r="A2225" s="20">
        <f>IFERROR(__xludf.DUMMYFUNCTION("""COMPUTED_VALUE"""),2345.0)</f>
        <v>2345</v>
      </c>
      <c r="B2225" s="20" t="str">
        <f>IFERROR(__xludf.DUMMYFUNCTION("""COMPUTED_VALUE"""),"Minimum Number of Operations to Convert Time")</f>
        <v>Minimum Number of Operations to Convert Time</v>
      </c>
      <c r="C2225" s="20" t="str">
        <f>IFERROR(__xludf.DUMMYFUNCTION("""COMPUTED_VALUE"""),"minimum-number-of-operations-to-convert-time")</f>
        <v>minimum-number-of-operations-to-convert-time</v>
      </c>
      <c r="D2225" s="20" t="b">
        <f>IFERROR(__xludf.DUMMYFUNCTION("""COMPUTED_VALUE"""),FALSE)</f>
        <v>0</v>
      </c>
      <c r="E2225" s="20" t="str">
        <f>IFERROR(__xludf.DUMMYFUNCTION("""COMPUTED_VALUE"""),"Easy")</f>
        <v>Easy</v>
      </c>
      <c r="F2225" s="20">
        <f>IFERROR(__xludf.DUMMYFUNCTION("""COMPUTED_VALUE"""),326.0)</f>
        <v>326</v>
      </c>
      <c r="G2225" s="20">
        <f>IFERROR(__xludf.DUMMYFUNCTION("""COMPUTED_VALUE"""),27.0)</f>
        <v>27</v>
      </c>
      <c r="H2225" s="20" t="str">
        <f>IFERROR(__xludf.DUMMYFUNCTION("""COMPUTED_VALUE"""),"Algorithms")</f>
        <v>Algorithms</v>
      </c>
      <c r="I2225" s="20">
        <f>IFERROR(__xludf.DUMMYFUNCTION("""COMPUTED_VALUE"""),0.655)</f>
        <v>0.655</v>
      </c>
      <c r="J2225" s="20">
        <f>IFERROR(__xludf.DUMMYFUNCTION("""COMPUTED_VALUE"""),2224.0)</f>
        <v>2224</v>
      </c>
      <c r="K2225" s="20" t="b">
        <f>IFERROR(__xludf.DUMMYFUNCTION("""COMPUTED_VALUE"""),FALSE)</f>
        <v>0</v>
      </c>
      <c r="L2225" s="20" t="str">
        <f>IFERROR(__xludf.DUMMYFUNCTION("""COMPUTED_VALUE"""),"String;Greedy;")</f>
        <v>String;Greedy;</v>
      </c>
      <c r="M2225" s="20" t="b">
        <f>IFERROR(__xludf.DUMMYFUNCTION("""COMPUTED_VALUE"""),FALSE)</f>
        <v>0</v>
      </c>
      <c r="N2225" s="20" t="b">
        <f>IFERROR(__xludf.DUMMYFUNCTION("""COMPUTED_VALUE"""),FALSE)</f>
        <v>0</v>
      </c>
      <c r="O2225" s="20">
        <f>IFERROR(__xludf.DUMMYFUNCTION("""COMPUTED_VALUE"""),65.5378618413767)</f>
        <v>65.53786184</v>
      </c>
      <c r="P2225" s="20">
        <f>IFERROR(__xludf.DUMMYFUNCTION("""COMPUTED_VALUE"""),29591.0)</f>
        <v>29591</v>
      </c>
      <c r="Q2225" s="20">
        <f>IFERROR(__xludf.DUMMYFUNCTION("""COMPUTED_VALUE"""),45150.0)</f>
        <v>45150</v>
      </c>
    </row>
    <row r="2226">
      <c r="A2226" s="20">
        <f>IFERROR(__xludf.DUMMYFUNCTION("""COMPUTED_VALUE"""),1354.0)</f>
        <v>1354</v>
      </c>
      <c r="B2226" s="20" t="str">
        <f>IFERROR(__xludf.DUMMYFUNCTION("""COMPUTED_VALUE"""),"Find Players With Zero or One Losses")</f>
        <v>Find Players With Zero or One Losses</v>
      </c>
      <c r="C2226" s="20" t="str">
        <f>IFERROR(__xludf.DUMMYFUNCTION("""COMPUTED_VALUE"""),"find-players-with-zero-or-one-losses")</f>
        <v>find-players-with-zero-or-one-losses</v>
      </c>
      <c r="D2226" s="20" t="b">
        <f>IFERROR(__xludf.DUMMYFUNCTION("""COMPUTED_VALUE"""),FALSE)</f>
        <v>0</v>
      </c>
      <c r="E2226" s="20" t="str">
        <f>IFERROR(__xludf.DUMMYFUNCTION("""COMPUTED_VALUE"""),"Medium")</f>
        <v>Medium</v>
      </c>
      <c r="F2226" s="20">
        <f>IFERROR(__xludf.DUMMYFUNCTION("""COMPUTED_VALUE"""),1250.0)</f>
        <v>1250</v>
      </c>
      <c r="G2226" s="20">
        <f>IFERROR(__xludf.DUMMYFUNCTION("""COMPUTED_VALUE"""),87.0)</f>
        <v>87</v>
      </c>
      <c r="H2226" s="20" t="str">
        <f>IFERROR(__xludf.DUMMYFUNCTION("""COMPUTED_VALUE"""),"Algorithms")</f>
        <v>Algorithms</v>
      </c>
      <c r="I2226" s="20">
        <f>IFERROR(__xludf.DUMMYFUNCTION("""COMPUTED_VALUE"""),0.733)</f>
        <v>0.733</v>
      </c>
      <c r="J2226" s="20">
        <f>IFERROR(__xludf.DUMMYFUNCTION("""COMPUTED_VALUE"""),2225.0)</f>
        <v>2225</v>
      </c>
      <c r="K2226" s="20" t="b">
        <f>IFERROR(__xludf.DUMMYFUNCTION("""COMPUTED_VALUE"""),FALSE)</f>
        <v>0</v>
      </c>
      <c r="L2226" s="20" t="str">
        <f>IFERROR(__xludf.DUMMYFUNCTION("""COMPUTED_VALUE"""),"Array;Hash Table;Sorting;Counting;")</f>
        <v>Array;Hash Table;Sorting;Counting;</v>
      </c>
      <c r="M2226" s="20" t="b">
        <f>IFERROR(__xludf.DUMMYFUNCTION("""COMPUTED_VALUE"""),TRUE)</f>
        <v>1</v>
      </c>
      <c r="N2226" s="20" t="b">
        <f>IFERROR(__xludf.DUMMYFUNCTION("""COMPUTED_VALUE"""),FALSE)</f>
        <v>0</v>
      </c>
      <c r="O2226" s="20">
        <f>IFERROR(__xludf.DUMMYFUNCTION("""COMPUTED_VALUE"""),73.2636038660135)</f>
        <v>73.26360387</v>
      </c>
      <c r="P2226" s="20">
        <f>IFERROR(__xludf.DUMMYFUNCTION("""COMPUTED_VALUE"""),82997.0)</f>
        <v>82997</v>
      </c>
      <c r="Q2226" s="20">
        <f>IFERROR(__xludf.DUMMYFUNCTION("""COMPUTED_VALUE"""),113285.0)</f>
        <v>113285</v>
      </c>
    </row>
    <row r="2227">
      <c r="A2227" s="20">
        <f>IFERROR(__xludf.DUMMYFUNCTION("""COMPUTED_VALUE"""),1335.0)</f>
        <v>1335</v>
      </c>
      <c r="B2227" s="20" t="str">
        <f>IFERROR(__xludf.DUMMYFUNCTION("""COMPUTED_VALUE"""),"Maximum Candies Allocated to K Children")</f>
        <v>Maximum Candies Allocated to K Children</v>
      </c>
      <c r="C2227" s="20" t="str">
        <f>IFERROR(__xludf.DUMMYFUNCTION("""COMPUTED_VALUE"""),"maximum-candies-allocated-to-k-children")</f>
        <v>maximum-candies-allocated-to-k-children</v>
      </c>
      <c r="D2227" s="20" t="b">
        <f>IFERROR(__xludf.DUMMYFUNCTION("""COMPUTED_VALUE"""),FALSE)</f>
        <v>0</v>
      </c>
      <c r="E2227" s="20" t="str">
        <f>IFERROR(__xludf.DUMMYFUNCTION("""COMPUTED_VALUE"""),"Medium")</f>
        <v>Medium</v>
      </c>
      <c r="F2227" s="20">
        <f>IFERROR(__xludf.DUMMYFUNCTION("""COMPUTED_VALUE"""),601.0)</f>
        <v>601</v>
      </c>
      <c r="G2227" s="20">
        <f>IFERROR(__xludf.DUMMYFUNCTION("""COMPUTED_VALUE"""),28.0)</f>
        <v>28</v>
      </c>
      <c r="H2227" s="20" t="str">
        <f>IFERROR(__xludf.DUMMYFUNCTION("""COMPUTED_VALUE"""),"Algorithms")</f>
        <v>Algorithms</v>
      </c>
      <c r="I2227" s="20">
        <f>IFERROR(__xludf.DUMMYFUNCTION("""COMPUTED_VALUE"""),0.363)</f>
        <v>0.363</v>
      </c>
      <c r="J2227" s="20">
        <f>IFERROR(__xludf.DUMMYFUNCTION("""COMPUTED_VALUE"""),2226.0)</f>
        <v>2226</v>
      </c>
      <c r="K2227" s="20" t="b">
        <f>IFERROR(__xludf.DUMMYFUNCTION("""COMPUTED_VALUE"""),FALSE)</f>
        <v>0</v>
      </c>
      <c r="L2227" s="20" t="str">
        <f>IFERROR(__xludf.DUMMYFUNCTION("""COMPUTED_VALUE"""),"Array;Binary Search;")</f>
        <v>Array;Binary Search;</v>
      </c>
      <c r="M2227" s="20" t="b">
        <f>IFERROR(__xludf.DUMMYFUNCTION("""COMPUTED_VALUE"""),FALSE)</f>
        <v>0</v>
      </c>
      <c r="N2227" s="20" t="b">
        <f>IFERROR(__xludf.DUMMYFUNCTION("""COMPUTED_VALUE"""),FALSE)</f>
        <v>0</v>
      </c>
      <c r="O2227" s="20">
        <f>IFERROR(__xludf.DUMMYFUNCTION("""COMPUTED_VALUE"""),36.2510585941869)</f>
        <v>36.25105859</v>
      </c>
      <c r="P2227" s="20">
        <f>IFERROR(__xludf.DUMMYFUNCTION("""COMPUTED_VALUE"""),22687.0)</f>
        <v>22687</v>
      </c>
      <c r="Q2227" s="20">
        <f>IFERROR(__xludf.DUMMYFUNCTION("""COMPUTED_VALUE"""),62581.0)</f>
        <v>62581</v>
      </c>
    </row>
    <row r="2228">
      <c r="A2228" s="20">
        <f>IFERROR(__xludf.DUMMYFUNCTION("""COMPUTED_VALUE"""),1433.0)</f>
        <v>1433</v>
      </c>
      <c r="B2228" s="20" t="str">
        <f>IFERROR(__xludf.DUMMYFUNCTION("""COMPUTED_VALUE"""),"Encrypt and Decrypt Strings")</f>
        <v>Encrypt and Decrypt Strings</v>
      </c>
      <c r="C2228" s="20" t="str">
        <f>IFERROR(__xludf.DUMMYFUNCTION("""COMPUTED_VALUE"""),"encrypt-and-decrypt-strings")</f>
        <v>encrypt-and-decrypt-strings</v>
      </c>
      <c r="D2228" s="20" t="b">
        <f>IFERROR(__xludf.DUMMYFUNCTION("""COMPUTED_VALUE"""),FALSE)</f>
        <v>0</v>
      </c>
      <c r="E2228" s="20" t="str">
        <f>IFERROR(__xludf.DUMMYFUNCTION("""COMPUTED_VALUE"""),"Hard")</f>
        <v>Hard</v>
      </c>
      <c r="F2228" s="20">
        <f>IFERROR(__xludf.DUMMYFUNCTION("""COMPUTED_VALUE"""),270.0)</f>
        <v>270</v>
      </c>
      <c r="G2228" s="20">
        <f>IFERROR(__xludf.DUMMYFUNCTION("""COMPUTED_VALUE"""),49.0)</f>
        <v>49</v>
      </c>
      <c r="H2228" s="20" t="str">
        <f>IFERROR(__xludf.DUMMYFUNCTION("""COMPUTED_VALUE"""),"Algorithms")</f>
        <v>Algorithms</v>
      </c>
      <c r="I2228" s="20">
        <f>IFERROR(__xludf.DUMMYFUNCTION("""COMPUTED_VALUE"""),0.394)</f>
        <v>0.394</v>
      </c>
      <c r="J2228" s="20">
        <f>IFERROR(__xludf.DUMMYFUNCTION("""COMPUTED_VALUE"""),2227.0)</f>
        <v>2227</v>
      </c>
      <c r="K2228" s="20" t="b">
        <f>IFERROR(__xludf.DUMMYFUNCTION("""COMPUTED_VALUE"""),FALSE)</f>
        <v>0</v>
      </c>
      <c r="L2228" s="20" t="str">
        <f>IFERROR(__xludf.DUMMYFUNCTION("""COMPUTED_VALUE"""),"Array;Hash Table;String;Design;Trie;")</f>
        <v>Array;Hash Table;String;Design;Trie;</v>
      </c>
      <c r="M2228" s="20" t="b">
        <f>IFERROR(__xludf.DUMMYFUNCTION("""COMPUTED_VALUE"""),FALSE)</f>
        <v>0</v>
      </c>
      <c r="N2228" s="20" t="b">
        <f>IFERROR(__xludf.DUMMYFUNCTION("""COMPUTED_VALUE"""),FALSE)</f>
        <v>0</v>
      </c>
      <c r="O2228" s="20">
        <f>IFERROR(__xludf.DUMMYFUNCTION("""COMPUTED_VALUE"""),39.4284300383521)</f>
        <v>39.42843004</v>
      </c>
      <c r="P2228" s="20">
        <f>IFERROR(__xludf.DUMMYFUNCTION("""COMPUTED_VALUE"""),9561.0)</f>
        <v>9561</v>
      </c>
      <c r="Q2228" s="20">
        <f>IFERROR(__xludf.DUMMYFUNCTION("""COMPUTED_VALUE"""),24249.0)</f>
        <v>24249</v>
      </c>
    </row>
    <row r="2229">
      <c r="A2229" s="20">
        <f>IFERROR(__xludf.DUMMYFUNCTION("""COMPUTED_VALUE"""),2370.0)</f>
        <v>2370</v>
      </c>
      <c r="B2229" s="20" t="str">
        <f>IFERROR(__xludf.DUMMYFUNCTION("""COMPUTED_VALUE"""),"Users With Two Purchases Within Seven Days")</f>
        <v>Users With Two Purchases Within Seven Days</v>
      </c>
      <c r="C2229" s="20" t="str">
        <f>IFERROR(__xludf.DUMMYFUNCTION("""COMPUTED_VALUE"""),"users-with-two-purchases-within-seven-days")</f>
        <v>users-with-two-purchases-within-seven-days</v>
      </c>
      <c r="D2229" s="20" t="b">
        <f>IFERROR(__xludf.DUMMYFUNCTION("""COMPUTED_VALUE"""),TRUE)</f>
        <v>1</v>
      </c>
      <c r="E2229" s="20" t="str">
        <f>IFERROR(__xludf.DUMMYFUNCTION("""COMPUTED_VALUE"""),"Medium")</f>
        <v>Medium</v>
      </c>
      <c r="F2229" s="20">
        <f>IFERROR(__xludf.DUMMYFUNCTION("""COMPUTED_VALUE"""),37.0)</f>
        <v>37</v>
      </c>
      <c r="G2229" s="20">
        <f>IFERROR(__xludf.DUMMYFUNCTION("""COMPUTED_VALUE"""),6.0)</f>
        <v>6</v>
      </c>
      <c r="H2229" s="20" t="str">
        <f>IFERROR(__xludf.DUMMYFUNCTION("""COMPUTED_VALUE"""),"Database")</f>
        <v>Database</v>
      </c>
      <c r="I2229" s="20">
        <f>IFERROR(__xludf.DUMMYFUNCTION("""COMPUTED_VALUE"""),0.445)</f>
        <v>0.445</v>
      </c>
      <c r="J2229" s="20">
        <f>IFERROR(__xludf.DUMMYFUNCTION("""COMPUTED_VALUE"""),2228.0)</f>
        <v>2228</v>
      </c>
      <c r="K2229" s="20" t="b">
        <f>IFERROR(__xludf.DUMMYFUNCTION("""COMPUTED_VALUE"""),TRUE)</f>
        <v>1</v>
      </c>
      <c r="L2229" s="20" t="str">
        <f>IFERROR(__xludf.DUMMYFUNCTION("""COMPUTED_VALUE"""),"Database;")</f>
        <v>Database;</v>
      </c>
      <c r="M2229" s="20" t="b">
        <f>IFERROR(__xludf.DUMMYFUNCTION("""COMPUTED_VALUE"""),FALSE)</f>
        <v>0</v>
      </c>
      <c r="N2229" s="20" t="b">
        <f>IFERROR(__xludf.DUMMYFUNCTION("""COMPUTED_VALUE"""),FALSE)</f>
        <v>0</v>
      </c>
      <c r="O2229" s="20">
        <f>IFERROR(__xludf.DUMMYFUNCTION("""COMPUTED_VALUE"""),44.5145156029139)</f>
        <v>44.5145156</v>
      </c>
      <c r="P2229" s="20">
        <f>IFERROR(__xludf.DUMMYFUNCTION("""COMPUTED_VALUE"""),4094.0)</f>
        <v>4094</v>
      </c>
      <c r="Q2229" s="20">
        <f>IFERROR(__xludf.DUMMYFUNCTION("""COMPUTED_VALUE"""),9197.0)</f>
        <v>9197</v>
      </c>
    </row>
    <row r="2230">
      <c r="A2230" s="20">
        <f>IFERROR(__xludf.DUMMYFUNCTION("""COMPUTED_VALUE"""),1416.0)</f>
        <v>1416</v>
      </c>
      <c r="B2230" s="20" t="str">
        <f>IFERROR(__xludf.DUMMYFUNCTION("""COMPUTED_VALUE"""),"Check if an Array Is Consecutive")</f>
        <v>Check if an Array Is Consecutive</v>
      </c>
      <c r="C2230" s="20" t="str">
        <f>IFERROR(__xludf.DUMMYFUNCTION("""COMPUTED_VALUE"""),"check-if-an-array-is-consecutive")</f>
        <v>check-if-an-array-is-consecutive</v>
      </c>
      <c r="D2230" s="20" t="b">
        <f>IFERROR(__xludf.DUMMYFUNCTION("""COMPUTED_VALUE"""),TRUE)</f>
        <v>1</v>
      </c>
      <c r="E2230" s="20" t="str">
        <f>IFERROR(__xludf.DUMMYFUNCTION("""COMPUTED_VALUE"""),"Easy")</f>
        <v>Easy</v>
      </c>
      <c r="F2230" s="20">
        <f>IFERROR(__xludf.DUMMYFUNCTION("""COMPUTED_VALUE"""),57.0)</f>
        <v>57</v>
      </c>
      <c r="G2230" s="20">
        <f>IFERROR(__xludf.DUMMYFUNCTION("""COMPUTED_VALUE"""),7.0)</f>
        <v>7</v>
      </c>
      <c r="H2230" s="20" t="str">
        <f>IFERROR(__xludf.DUMMYFUNCTION("""COMPUTED_VALUE"""),"Algorithms")</f>
        <v>Algorithms</v>
      </c>
      <c r="I2230" s="20">
        <f>IFERROR(__xludf.DUMMYFUNCTION("""COMPUTED_VALUE"""),0.613)</f>
        <v>0.613</v>
      </c>
      <c r="J2230" s="20">
        <f>IFERROR(__xludf.DUMMYFUNCTION("""COMPUTED_VALUE"""),2229.0)</f>
        <v>2229</v>
      </c>
      <c r="K2230" s="20" t="b">
        <f>IFERROR(__xludf.DUMMYFUNCTION("""COMPUTED_VALUE"""),TRUE)</f>
        <v>1</v>
      </c>
      <c r="L2230" s="20" t="str">
        <f>IFERROR(__xludf.DUMMYFUNCTION("""COMPUTED_VALUE"""),"Array;")</f>
        <v>Array;</v>
      </c>
      <c r="M2230" s="20" t="b">
        <f>IFERROR(__xludf.DUMMYFUNCTION("""COMPUTED_VALUE"""),FALSE)</f>
        <v>0</v>
      </c>
      <c r="N2230" s="20" t="b">
        <f>IFERROR(__xludf.DUMMYFUNCTION("""COMPUTED_VALUE"""),FALSE)</f>
        <v>0</v>
      </c>
      <c r="O2230" s="20">
        <f>IFERROR(__xludf.DUMMYFUNCTION("""COMPUTED_VALUE"""),61.3333333333333)</f>
        <v>61.33333333</v>
      </c>
      <c r="P2230" s="20">
        <f>IFERROR(__xludf.DUMMYFUNCTION("""COMPUTED_VALUE"""),3496.0)</f>
        <v>3496</v>
      </c>
      <c r="Q2230" s="20">
        <f>IFERROR(__xludf.DUMMYFUNCTION("""COMPUTED_VALUE"""),5700.0)</f>
        <v>5700</v>
      </c>
    </row>
    <row r="2231">
      <c r="A2231" s="20">
        <f>IFERROR(__xludf.DUMMYFUNCTION("""COMPUTED_VALUE"""),2371.0)</f>
        <v>2371</v>
      </c>
      <c r="B2231" s="20" t="str">
        <f>IFERROR(__xludf.DUMMYFUNCTION("""COMPUTED_VALUE"""),"The Users That Are Eligible for Discount")</f>
        <v>The Users That Are Eligible for Discount</v>
      </c>
      <c r="C2231" s="20" t="str">
        <f>IFERROR(__xludf.DUMMYFUNCTION("""COMPUTED_VALUE"""),"the-users-that-are-eligible-for-discount")</f>
        <v>the-users-that-are-eligible-for-discount</v>
      </c>
      <c r="D2231" s="20" t="b">
        <f>IFERROR(__xludf.DUMMYFUNCTION("""COMPUTED_VALUE"""),TRUE)</f>
        <v>1</v>
      </c>
      <c r="E2231" s="20" t="str">
        <f>IFERROR(__xludf.DUMMYFUNCTION("""COMPUTED_VALUE"""),"Easy")</f>
        <v>Easy</v>
      </c>
      <c r="F2231" s="20">
        <f>IFERROR(__xludf.DUMMYFUNCTION("""COMPUTED_VALUE"""),11.0)</f>
        <v>11</v>
      </c>
      <c r="G2231" s="20">
        <f>IFERROR(__xludf.DUMMYFUNCTION("""COMPUTED_VALUE"""),22.0)</f>
        <v>22</v>
      </c>
      <c r="H2231" s="20" t="str">
        <f>IFERROR(__xludf.DUMMYFUNCTION("""COMPUTED_VALUE"""),"Database")</f>
        <v>Database</v>
      </c>
      <c r="I2231" s="20">
        <f>IFERROR(__xludf.DUMMYFUNCTION("""COMPUTED_VALUE"""),0.509)</f>
        <v>0.509</v>
      </c>
      <c r="J2231" s="20">
        <f>IFERROR(__xludf.DUMMYFUNCTION("""COMPUTED_VALUE"""),2230.0)</f>
        <v>2230</v>
      </c>
      <c r="K2231" s="20" t="b">
        <f>IFERROR(__xludf.DUMMYFUNCTION("""COMPUTED_VALUE"""),TRUE)</f>
        <v>1</v>
      </c>
      <c r="L2231" s="20" t="str">
        <f>IFERROR(__xludf.DUMMYFUNCTION("""COMPUTED_VALUE"""),"Database;")</f>
        <v>Database;</v>
      </c>
      <c r="M2231" s="20" t="b">
        <f>IFERROR(__xludf.DUMMYFUNCTION("""COMPUTED_VALUE"""),FALSE)</f>
        <v>0</v>
      </c>
      <c r="N2231" s="20" t="b">
        <f>IFERROR(__xludf.DUMMYFUNCTION("""COMPUTED_VALUE"""),FALSE)</f>
        <v>0</v>
      </c>
      <c r="O2231" s="20">
        <f>IFERROR(__xludf.DUMMYFUNCTION("""COMPUTED_VALUE"""),50.8616095221176)</f>
        <v>50.86160952</v>
      </c>
      <c r="P2231" s="20">
        <f>IFERROR(__xludf.DUMMYFUNCTION("""COMPUTED_VALUE"""),2863.0)</f>
        <v>2863</v>
      </c>
      <c r="Q2231" s="20">
        <f>IFERROR(__xludf.DUMMYFUNCTION("""COMPUTED_VALUE"""),5629.0)</f>
        <v>5629</v>
      </c>
    </row>
    <row r="2232">
      <c r="A2232" s="20">
        <f>IFERROR(__xludf.DUMMYFUNCTION("""COMPUTED_VALUE"""),2327.0)</f>
        <v>2327</v>
      </c>
      <c r="B2232" s="20" t="str">
        <f>IFERROR(__xludf.DUMMYFUNCTION("""COMPUTED_VALUE"""),"Largest Number After Digit Swaps by Parity")</f>
        <v>Largest Number After Digit Swaps by Parity</v>
      </c>
      <c r="C2232" s="20" t="str">
        <f>IFERROR(__xludf.DUMMYFUNCTION("""COMPUTED_VALUE"""),"largest-number-after-digit-swaps-by-parity")</f>
        <v>largest-number-after-digit-swaps-by-parity</v>
      </c>
      <c r="D2232" s="20" t="b">
        <f>IFERROR(__xludf.DUMMYFUNCTION("""COMPUTED_VALUE"""),FALSE)</f>
        <v>0</v>
      </c>
      <c r="E2232" s="20" t="str">
        <f>IFERROR(__xludf.DUMMYFUNCTION("""COMPUTED_VALUE"""),"Easy")</f>
        <v>Easy</v>
      </c>
      <c r="F2232" s="20">
        <f>IFERROR(__xludf.DUMMYFUNCTION("""COMPUTED_VALUE"""),378.0)</f>
        <v>378</v>
      </c>
      <c r="G2232" s="20">
        <f>IFERROR(__xludf.DUMMYFUNCTION("""COMPUTED_VALUE"""),232.0)</f>
        <v>232</v>
      </c>
      <c r="H2232" s="20" t="str">
        <f>IFERROR(__xludf.DUMMYFUNCTION("""COMPUTED_VALUE"""),"Algorithms")</f>
        <v>Algorithms</v>
      </c>
      <c r="I2232" s="20">
        <f>IFERROR(__xludf.DUMMYFUNCTION("""COMPUTED_VALUE"""),0.607)</f>
        <v>0.607</v>
      </c>
      <c r="J2232" s="20">
        <f>IFERROR(__xludf.DUMMYFUNCTION("""COMPUTED_VALUE"""),2231.0)</f>
        <v>2231</v>
      </c>
      <c r="K2232" s="20" t="b">
        <f>IFERROR(__xludf.DUMMYFUNCTION("""COMPUTED_VALUE"""),FALSE)</f>
        <v>0</v>
      </c>
      <c r="L2232" s="20" t="str">
        <f>IFERROR(__xludf.DUMMYFUNCTION("""COMPUTED_VALUE"""),"Sorting;Heap (Priority Queue);")</f>
        <v>Sorting;Heap (Priority Queue);</v>
      </c>
      <c r="M2232" s="20" t="b">
        <f>IFERROR(__xludf.DUMMYFUNCTION("""COMPUTED_VALUE"""),FALSE)</f>
        <v>0</v>
      </c>
      <c r="N2232" s="20" t="b">
        <f>IFERROR(__xludf.DUMMYFUNCTION("""COMPUTED_VALUE"""),FALSE)</f>
        <v>0</v>
      </c>
      <c r="O2232" s="20">
        <f>IFERROR(__xludf.DUMMYFUNCTION("""COMPUTED_VALUE"""),60.6522066900725)</f>
        <v>60.65220669</v>
      </c>
      <c r="P2232" s="20">
        <f>IFERROR(__xludf.DUMMYFUNCTION("""COMPUTED_VALUE"""),28158.0)</f>
        <v>28158</v>
      </c>
      <c r="Q2232" s="20">
        <f>IFERROR(__xludf.DUMMYFUNCTION("""COMPUTED_VALUE"""),46426.0)</f>
        <v>46426</v>
      </c>
    </row>
    <row r="2233">
      <c r="A2233" s="20">
        <f>IFERROR(__xludf.DUMMYFUNCTION("""COMPUTED_VALUE"""),2328.0)</f>
        <v>2328</v>
      </c>
      <c r="B2233" s="20" t="str">
        <f>IFERROR(__xludf.DUMMYFUNCTION("""COMPUTED_VALUE"""),"Minimize Result by Adding Parentheses to Expression")</f>
        <v>Minimize Result by Adding Parentheses to Expression</v>
      </c>
      <c r="C2233" s="20" t="str">
        <f>IFERROR(__xludf.DUMMYFUNCTION("""COMPUTED_VALUE"""),"minimize-result-by-adding-parentheses-to-expression")</f>
        <v>minimize-result-by-adding-parentheses-to-expression</v>
      </c>
      <c r="D2233" s="20" t="b">
        <f>IFERROR(__xludf.DUMMYFUNCTION("""COMPUTED_VALUE"""),FALSE)</f>
        <v>0</v>
      </c>
      <c r="E2233" s="20" t="str">
        <f>IFERROR(__xludf.DUMMYFUNCTION("""COMPUTED_VALUE"""),"Medium")</f>
        <v>Medium</v>
      </c>
      <c r="F2233" s="20">
        <f>IFERROR(__xludf.DUMMYFUNCTION("""COMPUTED_VALUE"""),155.0)</f>
        <v>155</v>
      </c>
      <c r="G2233" s="20">
        <f>IFERROR(__xludf.DUMMYFUNCTION("""COMPUTED_VALUE"""),288.0)</f>
        <v>288</v>
      </c>
      <c r="H2233" s="20" t="str">
        <f>IFERROR(__xludf.DUMMYFUNCTION("""COMPUTED_VALUE"""),"Algorithms")</f>
        <v>Algorithms</v>
      </c>
      <c r="I2233" s="20">
        <f>IFERROR(__xludf.DUMMYFUNCTION("""COMPUTED_VALUE"""),0.653)</f>
        <v>0.653</v>
      </c>
      <c r="J2233" s="20">
        <f>IFERROR(__xludf.DUMMYFUNCTION("""COMPUTED_VALUE"""),2232.0)</f>
        <v>2232</v>
      </c>
      <c r="K2233" s="20" t="b">
        <f>IFERROR(__xludf.DUMMYFUNCTION("""COMPUTED_VALUE"""),FALSE)</f>
        <v>0</v>
      </c>
      <c r="L2233" s="20" t="str">
        <f>IFERROR(__xludf.DUMMYFUNCTION("""COMPUTED_VALUE"""),"String;Enumeration;")</f>
        <v>String;Enumeration;</v>
      </c>
      <c r="M2233" s="20" t="b">
        <f>IFERROR(__xludf.DUMMYFUNCTION("""COMPUTED_VALUE"""),FALSE)</f>
        <v>0</v>
      </c>
      <c r="N2233" s="20" t="b">
        <f>IFERROR(__xludf.DUMMYFUNCTION("""COMPUTED_VALUE"""),FALSE)</f>
        <v>0</v>
      </c>
      <c r="O2233" s="20">
        <f>IFERROR(__xludf.DUMMYFUNCTION("""COMPUTED_VALUE"""),65.3486994943743)</f>
        <v>65.34869949</v>
      </c>
      <c r="P2233" s="20">
        <f>IFERROR(__xludf.DUMMYFUNCTION("""COMPUTED_VALUE"""),14346.0)</f>
        <v>14346</v>
      </c>
      <c r="Q2233" s="20">
        <f>IFERROR(__xludf.DUMMYFUNCTION("""COMPUTED_VALUE"""),21953.0)</f>
        <v>21953</v>
      </c>
    </row>
    <row r="2234">
      <c r="A2234" s="20">
        <f>IFERROR(__xludf.DUMMYFUNCTION("""COMPUTED_VALUE"""),2329.0)</f>
        <v>2329</v>
      </c>
      <c r="B2234" s="20" t="str">
        <f>IFERROR(__xludf.DUMMYFUNCTION("""COMPUTED_VALUE"""),"Maximum Product After K Increments")</f>
        <v>Maximum Product After K Increments</v>
      </c>
      <c r="C2234" s="20" t="str">
        <f>IFERROR(__xludf.DUMMYFUNCTION("""COMPUTED_VALUE"""),"maximum-product-after-k-increments")</f>
        <v>maximum-product-after-k-increments</v>
      </c>
      <c r="D2234" s="20" t="b">
        <f>IFERROR(__xludf.DUMMYFUNCTION("""COMPUTED_VALUE"""),FALSE)</f>
        <v>0</v>
      </c>
      <c r="E2234" s="20" t="str">
        <f>IFERROR(__xludf.DUMMYFUNCTION("""COMPUTED_VALUE"""),"Medium")</f>
        <v>Medium</v>
      </c>
      <c r="F2234" s="20">
        <f>IFERROR(__xludf.DUMMYFUNCTION("""COMPUTED_VALUE"""),482.0)</f>
        <v>482</v>
      </c>
      <c r="G2234" s="20">
        <f>IFERROR(__xludf.DUMMYFUNCTION("""COMPUTED_VALUE"""),34.0)</f>
        <v>34</v>
      </c>
      <c r="H2234" s="20" t="str">
        <f>IFERROR(__xludf.DUMMYFUNCTION("""COMPUTED_VALUE"""),"Algorithms")</f>
        <v>Algorithms</v>
      </c>
      <c r="I2234" s="20">
        <f>IFERROR(__xludf.DUMMYFUNCTION("""COMPUTED_VALUE"""),0.413)</f>
        <v>0.413</v>
      </c>
      <c r="J2234" s="20">
        <f>IFERROR(__xludf.DUMMYFUNCTION("""COMPUTED_VALUE"""),2233.0)</f>
        <v>2233</v>
      </c>
      <c r="K2234" s="20" t="b">
        <f>IFERROR(__xludf.DUMMYFUNCTION("""COMPUTED_VALUE"""),FALSE)</f>
        <v>0</v>
      </c>
      <c r="L2234" s="20" t="str">
        <f>IFERROR(__xludf.DUMMYFUNCTION("""COMPUTED_VALUE"""),"Array;Greedy;Heap (Priority Queue);")</f>
        <v>Array;Greedy;Heap (Priority Queue);</v>
      </c>
      <c r="M2234" s="20" t="b">
        <f>IFERROR(__xludf.DUMMYFUNCTION("""COMPUTED_VALUE"""),FALSE)</f>
        <v>0</v>
      </c>
      <c r="N2234" s="20" t="b">
        <f>IFERROR(__xludf.DUMMYFUNCTION("""COMPUTED_VALUE"""),FALSE)</f>
        <v>0</v>
      </c>
      <c r="O2234" s="20">
        <f>IFERROR(__xludf.DUMMYFUNCTION("""COMPUTED_VALUE"""),41.2849909794564)</f>
        <v>41.28499098</v>
      </c>
      <c r="P2234" s="20">
        <f>IFERROR(__xludf.DUMMYFUNCTION("""COMPUTED_VALUE"""),21282.0)</f>
        <v>21282</v>
      </c>
      <c r="Q2234" s="20">
        <f>IFERROR(__xludf.DUMMYFUNCTION("""COMPUTED_VALUE"""),51549.0)</f>
        <v>51549</v>
      </c>
    </row>
    <row r="2235">
      <c r="A2235" s="20">
        <f>IFERROR(__xludf.DUMMYFUNCTION("""COMPUTED_VALUE"""),2330.0)</f>
        <v>2330</v>
      </c>
      <c r="B2235" s="20" t="str">
        <f>IFERROR(__xludf.DUMMYFUNCTION("""COMPUTED_VALUE"""),"Maximum Total Beauty of the Gardens")</f>
        <v>Maximum Total Beauty of the Gardens</v>
      </c>
      <c r="C2235" s="20" t="str">
        <f>IFERROR(__xludf.DUMMYFUNCTION("""COMPUTED_VALUE"""),"maximum-total-beauty-of-the-gardens")</f>
        <v>maximum-total-beauty-of-the-gardens</v>
      </c>
      <c r="D2235" s="20" t="b">
        <f>IFERROR(__xludf.DUMMYFUNCTION("""COMPUTED_VALUE"""),FALSE)</f>
        <v>0</v>
      </c>
      <c r="E2235" s="20" t="str">
        <f>IFERROR(__xludf.DUMMYFUNCTION("""COMPUTED_VALUE"""),"Hard")</f>
        <v>Hard</v>
      </c>
      <c r="F2235" s="20">
        <f>IFERROR(__xludf.DUMMYFUNCTION("""COMPUTED_VALUE"""),331.0)</f>
        <v>331</v>
      </c>
      <c r="G2235" s="20">
        <f>IFERROR(__xludf.DUMMYFUNCTION("""COMPUTED_VALUE"""),32.0)</f>
        <v>32</v>
      </c>
      <c r="H2235" s="20" t="str">
        <f>IFERROR(__xludf.DUMMYFUNCTION("""COMPUTED_VALUE"""),"Algorithms")</f>
        <v>Algorithms</v>
      </c>
      <c r="I2235" s="20">
        <f>IFERROR(__xludf.DUMMYFUNCTION("""COMPUTED_VALUE"""),0.285)</f>
        <v>0.285</v>
      </c>
      <c r="J2235" s="20">
        <f>IFERROR(__xludf.DUMMYFUNCTION("""COMPUTED_VALUE"""),2234.0)</f>
        <v>2234</v>
      </c>
      <c r="K2235" s="20" t="b">
        <f>IFERROR(__xludf.DUMMYFUNCTION("""COMPUTED_VALUE"""),FALSE)</f>
        <v>0</v>
      </c>
      <c r="L2235" s="20" t="str">
        <f>IFERROR(__xludf.DUMMYFUNCTION("""COMPUTED_VALUE"""),"Array;Two Pointers;Binary Search;Greedy;Sorting;")</f>
        <v>Array;Two Pointers;Binary Search;Greedy;Sorting;</v>
      </c>
      <c r="M2235" s="20" t="b">
        <f>IFERROR(__xludf.DUMMYFUNCTION("""COMPUTED_VALUE"""),FALSE)</f>
        <v>0</v>
      </c>
      <c r="N2235" s="20" t="b">
        <f>IFERROR(__xludf.DUMMYFUNCTION("""COMPUTED_VALUE"""),FALSE)</f>
        <v>0</v>
      </c>
      <c r="O2235" s="20">
        <f>IFERROR(__xludf.DUMMYFUNCTION("""COMPUTED_VALUE"""),28.4746332176055)</f>
        <v>28.47463322</v>
      </c>
      <c r="P2235" s="20">
        <f>IFERROR(__xludf.DUMMYFUNCTION("""COMPUTED_VALUE"""),5085.0)</f>
        <v>5085</v>
      </c>
      <c r="Q2235" s="20">
        <f>IFERROR(__xludf.DUMMYFUNCTION("""COMPUTED_VALUE"""),17858.0)</f>
        <v>17858</v>
      </c>
    </row>
    <row r="2236">
      <c r="A2236" s="20">
        <f>IFERROR(__xludf.DUMMYFUNCTION("""COMPUTED_VALUE"""),2383.0)</f>
        <v>2383</v>
      </c>
      <c r="B2236" s="20" t="str">
        <f>IFERROR(__xludf.DUMMYFUNCTION("""COMPUTED_VALUE"""),"Add Two Integers")</f>
        <v>Add Two Integers</v>
      </c>
      <c r="C2236" s="20" t="str">
        <f>IFERROR(__xludf.DUMMYFUNCTION("""COMPUTED_VALUE"""),"add-two-integers")</f>
        <v>add-two-integers</v>
      </c>
      <c r="D2236" s="20" t="b">
        <f>IFERROR(__xludf.DUMMYFUNCTION("""COMPUTED_VALUE"""),FALSE)</f>
        <v>0</v>
      </c>
      <c r="E2236" s="20" t="str">
        <f>IFERROR(__xludf.DUMMYFUNCTION("""COMPUTED_VALUE"""),"Easy")</f>
        <v>Easy</v>
      </c>
      <c r="F2236" s="20">
        <f>IFERROR(__xludf.DUMMYFUNCTION("""COMPUTED_VALUE"""),776.0)</f>
        <v>776</v>
      </c>
      <c r="G2236" s="20">
        <f>IFERROR(__xludf.DUMMYFUNCTION("""COMPUTED_VALUE"""),2023.0)</f>
        <v>2023</v>
      </c>
      <c r="H2236" s="20" t="str">
        <f>IFERROR(__xludf.DUMMYFUNCTION("""COMPUTED_VALUE"""),"Algorithms")</f>
        <v>Algorithms</v>
      </c>
      <c r="I2236" s="20">
        <f>IFERROR(__xludf.DUMMYFUNCTION("""COMPUTED_VALUE"""),0.892)</f>
        <v>0.892</v>
      </c>
      <c r="J2236" s="20">
        <f>IFERROR(__xludf.DUMMYFUNCTION("""COMPUTED_VALUE"""),2235.0)</f>
        <v>2235</v>
      </c>
      <c r="K2236" s="20" t="b">
        <f>IFERROR(__xludf.DUMMYFUNCTION("""COMPUTED_VALUE"""),FALSE)</f>
        <v>0</v>
      </c>
      <c r="L2236" s="20" t="str">
        <f>IFERROR(__xludf.DUMMYFUNCTION("""COMPUTED_VALUE"""),"Math;")</f>
        <v>Math;</v>
      </c>
      <c r="M2236" s="20" t="b">
        <f>IFERROR(__xludf.DUMMYFUNCTION("""COMPUTED_VALUE"""),FALSE)</f>
        <v>0</v>
      </c>
      <c r="N2236" s="20" t="b">
        <f>IFERROR(__xludf.DUMMYFUNCTION("""COMPUTED_VALUE"""),FALSE)</f>
        <v>0</v>
      </c>
      <c r="O2236" s="20">
        <f>IFERROR(__xludf.DUMMYFUNCTION("""COMPUTED_VALUE"""),89.2263769932456)</f>
        <v>89.22637699</v>
      </c>
      <c r="P2236" s="20">
        <f>IFERROR(__xludf.DUMMYFUNCTION("""COMPUTED_VALUE"""),192185.0)</f>
        <v>192185</v>
      </c>
      <c r="Q2236" s="20">
        <f>IFERROR(__xludf.DUMMYFUNCTION("""COMPUTED_VALUE"""),215392.0)</f>
        <v>215392</v>
      </c>
    </row>
    <row r="2237">
      <c r="A2237" s="20">
        <f>IFERROR(__xludf.DUMMYFUNCTION("""COMPUTED_VALUE"""),2384.0)</f>
        <v>2384</v>
      </c>
      <c r="B2237" s="20" t="str">
        <f>IFERROR(__xludf.DUMMYFUNCTION("""COMPUTED_VALUE"""),"Root Equals Sum of Children")</f>
        <v>Root Equals Sum of Children</v>
      </c>
      <c r="C2237" s="20" t="str">
        <f>IFERROR(__xludf.DUMMYFUNCTION("""COMPUTED_VALUE"""),"root-equals-sum-of-children")</f>
        <v>root-equals-sum-of-children</v>
      </c>
      <c r="D2237" s="20" t="b">
        <f>IFERROR(__xludf.DUMMYFUNCTION("""COMPUTED_VALUE"""),FALSE)</f>
        <v>0</v>
      </c>
      <c r="E2237" s="20" t="str">
        <f>IFERROR(__xludf.DUMMYFUNCTION("""COMPUTED_VALUE"""),"Easy")</f>
        <v>Easy</v>
      </c>
      <c r="F2237" s="20">
        <f>IFERROR(__xludf.DUMMYFUNCTION("""COMPUTED_VALUE"""),644.0)</f>
        <v>644</v>
      </c>
      <c r="G2237" s="20">
        <f>IFERROR(__xludf.DUMMYFUNCTION("""COMPUTED_VALUE"""),891.0)</f>
        <v>891</v>
      </c>
      <c r="H2237" s="20" t="str">
        <f>IFERROR(__xludf.DUMMYFUNCTION("""COMPUTED_VALUE"""),"Algorithms")</f>
        <v>Algorithms</v>
      </c>
      <c r="I2237" s="20">
        <f>IFERROR(__xludf.DUMMYFUNCTION("""COMPUTED_VALUE"""),0.861)</f>
        <v>0.861</v>
      </c>
      <c r="J2237" s="20">
        <f>IFERROR(__xludf.DUMMYFUNCTION("""COMPUTED_VALUE"""),2236.0)</f>
        <v>2236</v>
      </c>
      <c r="K2237" s="20" t="b">
        <f>IFERROR(__xludf.DUMMYFUNCTION("""COMPUTED_VALUE"""),FALSE)</f>
        <v>0</v>
      </c>
      <c r="L2237" s="20" t="str">
        <f>IFERROR(__xludf.DUMMYFUNCTION("""COMPUTED_VALUE"""),"Tree;Binary Tree;")</f>
        <v>Tree;Binary Tree;</v>
      </c>
      <c r="M2237" s="20" t="b">
        <f>IFERROR(__xludf.DUMMYFUNCTION("""COMPUTED_VALUE"""),FALSE)</f>
        <v>0</v>
      </c>
      <c r="N2237" s="20" t="b">
        <f>IFERROR(__xludf.DUMMYFUNCTION("""COMPUTED_VALUE"""),FALSE)</f>
        <v>0</v>
      </c>
      <c r="O2237" s="20">
        <f>IFERROR(__xludf.DUMMYFUNCTION("""COMPUTED_VALUE"""),86.1426674535261)</f>
        <v>86.14266745</v>
      </c>
      <c r="P2237" s="20">
        <f>IFERROR(__xludf.DUMMYFUNCTION("""COMPUTED_VALUE"""),93417.0)</f>
        <v>93417</v>
      </c>
      <c r="Q2237" s="20">
        <f>IFERROR(__xludf.DUMMYFUNCTION("""COMPUTED_VALUE"""),108445.0)</f>
        <v>108445</v>
      </c>
    </row>
    <row r="2238">
      <c r="A2238" s="20">
        <f>IFERROR(__xludf.DUMMYFUNCTION("""COMPUTED_VALUE"""),2385.0)</f>
        <v>2385</v>
      </c>
      <c r="B2238" s="20" t="str">
        <f>IFERROR(__xludf.DUMMYFUNCTION("""COMPUTED_VALUE"""),"Count Positions on Street With Required Brightness")</f>
        <v>Count Positions on Street With Required Brightness</v>
      </c>
      <c r="C2238" s="20" t="str">
        <f>IFERROR(__xludf.DUMMYFUNCTION("""COMPUTED_VALUE"""),"count-positions-on-street-with-required-brightness")</f>
        <v>count-positions-on-street-with-required-brightness</v>
      </c>
      <c r="D2238" s="20" t="b">
        <f>IFERROR(__xludf.DUMMYFUNCTION("""COMPUTED_VALUE"""),TRUE)</f>
        <v>1</v>
      </c>
      <c r="E2238" s="20" t="str">
        <f>IFERROR(__xludf.DUMMYFUNCTION("""COMPUTED_VALUE"""),"Medium")</f>
        <v>Medium</v>
      </c>
      <c r="F2238" s="20">
        <f>IFERROR(__xludf.DUMMYFUNCTION("""COMPUTED_VALUE"""),46.0)</f>
        <v>46</v>
      </c>
      <c r="G2238" s="20">
        <f>IFERROR(__xludf.DUMMYFUNCTION("""COMPUTED_VALUE"""),5.0)</f>
        <v>5</v>
      </c>
      <c r="H2238" s="20" t="str">
        <f>IFERROR(__xludf.DUMMYFUNCTION("""COMPUTED_VALUE"""),"Algorithms")</f>
        <v>Algorithms</v>
      </c>
      <c r="I2238" s="20">
        <f>IFERROR(__xludf.DUMMYFUNCTION("""COMPUTED_VALUE"""),0.665)</f>
        <v>0.665</v>
      </c>
      <c r="J2238" s="20">
        <f>IFERROR(__xludf.DUMMYFUNCTION("""COMPUTED_VALUE"""),2237.0)</f>
        <v>2237</v>
      </c>
      <c r="K2238" s="20" t="b">
        <f>IFERROR(__xludf.DUMMYFUNCTION("""COMPUTED_VALUE"""),TRUE)</f>
        <v>1</v>
      </c>
      <c r="L2238" s="20" t="str">
        <f>IFERROR(__xludf.DUMMYFUNCTION("""COMPUTED_VALUE"""),"Array;Prefix Sum;")</f>
        <v>Array;Prefix Sum;</v>
      </c>
      <c r="M2238" s="20" t="b">
        <f>IFERROR(__xludf.DUMMYFUNCTION("""COMPUTED_VALUE"""),FALSE)</f>
        <v>0</v>
      </c>
      <c r="N2238" s="20" t="b">
        <f>IFERROR(__xludf.DUMMYFUNCTION("""COMPUTED_VALUE"""),FALSE)</f>
        <v>0</v>
      </c>
      <c r="O2238" s="20">
        <f>IFERROR(__xludf.DUMMYFUNCTION("""COMPUTED_VALUE"""),66.4576802507837)</f>
        <v>66.45768025</v>
      </c>
      <c r="P2238" s="20">
        <f>IFERROR(__xludf.DUMMYFUNCTION("""COMPUTED_VALUE"""),1696.0)</f>
        <v>1696</v>
      </c>
      <c r="Q2238" s="20">
        <f>IFERROR(__xludf.DUMMYFUNCTION("""COMPUTED_VALUE"""),2552.0)</f>
        <v>2552</v>
      </c>
    </row>
    <row r="2239">
      <c r="A2239" s="20">
        <f>IFERROR(__xludf.DUMMYFUNCTION("""COMPUTED_VALUE"""),2376.0)</f>
        <v>2376</v>
      </c>
      <c r="B2239" s="20" t="str">
        <f>IFERROR(__xludf.DUMMYFUNCTION("""COMPUTED_VALUE"""),"Number of Times a Driver Was a Passenger")</f>
        <v>Number of Times a Driver Was a Passenger</v>
      </c>
      <c r="C2239" s="20" t="str">
        <f>IFERROR(__xludf.DUMMYFUNCTION("""COMPUTED_VALUE"""),"number-of-times-a-driver-was-a-passenger")</f>
        <v>number-of-times-a-driver-was-a-passenger</v>
      </c>
      <c r="D2239" s="20" t="b">
        <f>IFERROR(__xludf.DUMMYFUNCTION("""COMPUTED_VALUE"""),TRUE)</f>
        <v>1</v>
      </c>
      <c r="E2239" s="20" t="str">
        <f>IFERROR(__xludf.DUMMYFUNCTION("""COMPUTED_VALUE"""),"Medium")</f>
        <v>Medium</v>
      </c>
      <c r="F2239" s="20">
        <f>IFERROR(__xludf.DUMMYFUNCTION("""COMPUTED_VALUE"""),39.0)</f>
        <v>39</v>
      </c>
      <c r="G2239" s="20">
        <f>IFERROR(__xludf.DUMMYFUNCTION("""COMPUTED_VALUE"""),2.0)</f>
        <v>2</v>
      </c>
      <c r="H2239" s="20" t="str">
        <f>IFERROR(__xludf.DUMMYFUNCTION("""COMPUTED_VALUE"""),"Database")</f>
        <v>Database</v>
      </c>
      <c r="I2239" s="20">
        <f>IFERROR(__xludf.DUMMYFUNCTION("""COMPUTED_VALUE"""),0.756)</f>
        <v>0.756</v>
      </c>
      <c r="J2239" s="20">
        <f>IFERROR(__xludf.DUMMYFUNCTION("""COMPUTED_VALUE"""),2238.0)</f>
        <v>2238</v>
      </c>
      <c r="K2239" s="20" t="b">
        <f>IFERROR(__xludf.DUMMYFUNCTION("""COMPUTED_VALUE"""),TRUE)</f>
        <v>1</v>
      </c>
      <c r="L2239" s="20" t="str">
        <f>IFERROR(__xludf.DUMMYFUNCTION("""COMPUTED_VALUE"""),"Database;")</f>
        <v>Database;</v>
      </c>
      <c r="M2239" s="20" t="b">
        <f>IFERROR(__xludf.DUMMYFUNCTION("""COMPUTED_VALUE"""),FALSE)</f>
        <v>0</v>
      </c>
      <c r="N2239" s="20" t="b">
        <f>IFERROR(__xludf.DUMMYFUNCTION("""COMPUTED_VALUE"""),FALSE)</f>
        <v>0</v>
      </c>
      <c r="O2239" s="20">
        <f>IFERROR(__xludf.DUMMYFUNCTION("""COMPUTED_VALUE"""),75.6404871902562)</f>
        <v>75.64048719</v>
      </c>
      <c r="P2239" s="20">
        <f>IFERROR(__xludf.DUMMYFUNCTION("""COMPUTED_VALUE"""),3602.0)</f>
        <v>3602</v>
      </c>
      <c r="Q2239" s="20">
        <f>IFERROR(__xludf.DUMMYFUNCTION("""COMPUTED_VALUE"""),4762.0)</f>
        <v>4762</v>
      </c>
    </row>
    <row r="2240">
      <c r="A2240" s="20">
        <f>IFERROR(__xludf.DUMMYFUNCTION("""COMPUTED_VALUE"""),2350.0)</f>
        <v>2350</v>
      </c>
      <c r="B2240" s="20" t="str">
        <f>IFERROR(__xludf.DUMMYFUNCTION("""COMPUTED_VALUE"""),"Find Closest Number to Zero")</f>
        <v>Find Closest Number to Zero</v>
      </c>
      <c r="C2240" s="20" t="str">
        <f>IFERROR(__xludf.DUMMYFUNCTION("""COMPUTED_VALUE"""),"find-closest-number-to-zero")</f>
        <v>find-closest-number-to-zero</v>
      </c>
      <c r="D2240" s="20" t="b">
        <f>IFERROR(__xludf.DUMMYFUNCTION("""COMPUTED_VALUE"""),FALSE)</f>
        <v>0</v>
      </c>
      <c r="E2240" s="20" t="str">
        <f>IFERROR(__xludf.DUMMYFUNCTION("""COMPUTED_VALUE"""),"Easy")</f>
        <v>Easy</v>
      </c>
      <c r="F2240" s="20">
        <f>IFERROR(__xludf.DUMMYFUNCTION("""COMPUTED_VALUE"""),363.0)</f>
        <v>363</v>
      </c>
      <c r="G2240" s="20">
        <f>IFERROR(__xludf.DUMMYFUNCTION("""COMPUTED_VALUE"""),25.0)</f>
        <v>25</v>
      </c>
      <c r="H2240" s="20" t="str">
        <f>IFERROR(__xludf.DUMMYFUNCTION("""COMPUTED_VALUE"""),"Algorithms")</f>
        <v>Algorithms</v>
      </c>
      <c r="I2240" s="20">
        <f>IFERROR(__xludf.DUMMYFUNCTION("""COMPUTED_VALUE"""),0.459)</f>
        <v>0.459</v>
      </c>
      <c r="J2240" s="20">
        <f>IFERROR(__xludf.DUMMYFUNCTION("""COMPUTED_VALUE"""),2239.0)</f>
        <v>2239</v>
      </c>
      <c r="K2240" s="20" t="b">
        <f>IFERROR(__xludf.DUMMYFUNCTION("""COMPUTED_VALUE"""),FALSE)</f>
        <v>0</v>
      </c>
      <c r="L2240" s="20" t="str">
        <f>IFERROR(__xludf.DUMMYFUNCTION("""COMPUTED_VALUE"""),"Array;")</f>
        <v>Array;</v>
      </c>
      <c r="M2240" s="20" t="b">
        <f>IFERROR(__xludf.DUMMYFUNCTION("""COMPUTED_VALUE"""),FALSE)</f>
        <v>0</v>
      </c>
      <c r="N2240" s="20" t="b">
        <f>IFERROR(__xludf.DUMMYFUNCTION("""COMPUTED_VALUE"""),FALSE)</f>
        <v>0</v>
      </c>
      <c r="O2240" s="20">
        <f>IFERROR(__xludf.DUMMYFUNCTION("""COMPUTED_VALUE"""),45.8748040883578)</f>
        <v>45.87480409</v>
      </c>
      <c r="P2240" s="20">
        <f>IFERROR(__xludf.DUMMYFUNCTION("""COMPUTED_VALUE"""),34244.0)</f>
        <v>34244</v>
      </c>
      <c r="Q2240" s="20">
        <f>IFERROR(__xludf.DUMMYFUNCTION("""COMPUTED_VALUE"""),74646.0)</f>
        <v>74646</v>
      </c>
    </row>
    <row r="2241">
      <c r="A2241" s="20">
        <f>IFERROR(__xludf.DUMMYFUNCTION("""COMPUTED_VALUE"""),2351.0)</f>
        <v>2351</v>
      </c>
      <c r="B2241" s="20" t="str">
        <f>IFERROR(__xludf.DUMMYFUNCTION("""COMPUTED_VALUE"""),"Number of Ways to Buy Pens and Pencils")</f>
        <v>Number of Ways to Buy Pens and Pencils</v>
      </c>
      <c r="C2241" s="20" t="str">
        <f>IFERROR(__xludf.DUMMYFUNCTION("""COMPUTED_VALUE"""),"number-of-ways-to-buy-pens-and-pencils")</f>
        <v>number-of-ways-to-buy-pens-and-pencils</v>
      </c>
      <c r="D2241" s="20" t="b">
        <f>IFERROR(__xludf.DUMMYFUNCTION("""COMPUTED_VALUE"""),FALSE)</f>
        <v>0</v>
      </c>
      <c r="E2241" s="20" t="str">
        <f>IFERROR(__xludf.DUMMYFUNCTION("""COMPUTED_VALUE"""),"Medium")</f>
        <v>Medium</v>
      </c>
      <c r="F2241" s="20">
        <f>IFERROR(__xludf.DUMMYFUNCTION("""COMPUTED_VALUE"""),299.0)</f>
        <v>299</v>
      </c>
      <c r="G2241" s="20">
        <f>IFERROR(__xludf.DUMMYFUNCTION("""COMPUTED_VALUE"""),19.0)</f>
        <v>19</v>
      </c>
      <c r="H2241" s="20" t="str">
        <f>IFERROR(__xludf.DUMMYFUNCTION("""COMPUTED_VALUE"""),"Algorithms")</f>
        <v>Algorithms</v>
      </c>
      <c r="I2241" s="20">
        <f>IFERROR(__xludf.DUMMYFUNCTION("""COMPUTED_VALUE"""),0.57)</f>
        <v>0.57</v>
      </c>
      <c r="J2241" s="20">
        <f>IFERROR(__xludf.DUMMYFUNCTION("""COMPUTED_VALUE"""),2240.0)</f>
        <v>2240</v>
      </c>
      <c r="K2241" s="20" t="b">
        <f>IFERROR(__xludf.DUMMYFUNCTION("""COMPUTED_VALUE"""),FALSE)</f>
        <v>0</v>
      </c>
      <c r="L2241" s="20" t="str">
        <f>IFERROR(__xludf.DUMMYFUNCTION("""COMPUTED_VALUE"""),"Math;Enumeration;")</f>
        <v>Math;Enumeration;</v>
      </c>
      <c r="M2241" s="20" t="b">
        <f>IFERROR(__xludf.DUMMYFUNCTION("""COMPUTED_VALUE"""),FALSE)</f>
        <v>0</v>
      </c>
      <c r="N2241" s="20" t="b">
        <f>IFERROR(__xludf.DUMMYFUNCTION("""COMPUTED_VALUE"""),FALSE)</f>
        <v>0</v>
      </c>
      <c r="O2241" s="20">
        <f>IFERROR(__xludf.DUMMYFUNCTION("""COMPUTED_VALUE"""),57.0260448213204)</f>
        <v>57.02604482</v>
      </c>
      <c r="P2241" s="20">
        <f>IFERROR(__xludf.DUMMYFUNCTION("""COMPUTED_VALUE"""),18830.0)</f>
        <v>18830</v>
      </c>
      <c r="Q2241" s="20">
        <f>IFERROR(__xludf.DUMMYFUNCTION("""COMPUTED_VALUE"""),33020.0)</f>
        <v>33020</v>
      </c>
    </row>
    <row r="2242">
      <c r="A2242" s="20">
        <f>IFERROR(__xludf.DUMMYFUNCTION("""COMPUTED_VALUE"""),2352.0)</f>
        <v>2352</v>
      </c>
      <c r="B2242" s="20" t="str">
        <f>IFERROR(__xludf.DUMMYFUNCTION("""COMPUTED_VALUE"""),"Design an ATM Machine")</f>
        <v>Design an ATM Machine</v>
      </c>
      <c r="C2242" s="20" t="str">
        <f>IFERROR(__xludf.DUMMYFUNCTION("""COMPUTED_VALUE"""),"design-an-atm-machine")</f>
        <v>design-an-atm-machine</v>
      </c>
      <c r="D2242" s="20" t="b">
        <f>IFERROR(__xludf.DUMMYFUNCTION("""COMPUTED_VALUE"""),FALSE)</f>
        <v>0</v>
      </c>
      <c r="E2242" s="20" t="str">
        <f>IFERROR(__xludf.DUMMYFUNCTION("""COMPUTED_VALUE"""),"Medium")</f>
        <v>Medium</v>
      </c>
      <c r="F2242" s="20">
        <f>IFERROR(__xludf.DUMMYFUNCTION("""COMPUTED_VALUE"""),158.0)</f>
        <v>158</v>
      </c>
      <c r="G2242" s="20">
        <f>IFERROR(__xludf.DUMMYFUNCTION("""COMPUTED_VALUE"""),226.0)</f>
        <v>226</v>
      </c>
      <c r="H2242" s="20" t="str">
        <f>IFERROR(__xludf.DUMMYFUNCTION("""COMPUTED_VALUE"""),"Algorithms")</f>
        <v>Algorithms</v>
      </c>
      <c r="I2242" s="20">
        <f>IFERROR(__xludf.DUMMYFUNCTION("""COMPUTED_VALUE"""),0.387)</f>
        <v>0.387</v>
      </c>
      <c r="J2242" s="20">
        <f>IFERROR(__xludf.DUMMYFUNCTION("""COMPUTED_VALUE"""),2241.0)</f>
        <v>2241</v>
      </c>
      <c r="K2242" s="20" t="b">
        <f>IFERROR(__xludf.DUMMYFUNCTION("""COMPUTED_VALUE"""),FALSE)</f>
        <v>0</v>
      </c>
      <c r="L2242" s="20" t="str">
        <f>IFERROR(__xludf.DUMMYFUNCTION("""COMPUTED_VALUE"""),"Array;Greedy;Design;")</f>
        <v>Array;Greedy;Design;</v>
      </c>
      <c r="M2242" s="20" t="b">
        <f>IFERROR(__xludf.DUMMYFUNCTION("""COMPUTED_VALUE"""),FALSE)</f>
        <v>0</v>
      </c>
      <c r="N2242" s="20" t="b">
        <f>IFERROR(__xludf.DUMMYFUNCTION("""COMPUTED_VALUE"""),FALSE)</f>
        <v>0</v>
      </c>
      <c r="O2242" s="20">
        <f>IFERROR(__xludf.DUMMYFUNCTION("""COMPUTED_VALUE"""),38.7397395544035)</f>
        <v>38.73973955</v>
      </c>
      <c r="P2242" s="20">
        <f>IFERROR(__xludf.DUMMYFUNCTION("""COMPUTED_VALUE"""),12554.0)</f>
        <v>12554</v>
      </c>
      <c r="Q2242" s="20">
        <f>IFERROR(__xludf.DUMMYFUNCTION("""COMPUTED_VALUE"""),32405.0)</f>
        <v>32405</v>
      </c>
    </row>
    <row r="2243">
      <c r="A2243" s="20">
        <f>IFERROR(__xludf.DUMMYFUNCTION("""COMPUTED_VALUE"""),2353.0)</f>
        <v>2353</v>
      </c>
      <c r="B2243" s="20" t="str">
        <f>IFERROR(__xludf.DUMMYFUNCTION("""COMPUTED_VALUE"""),"Maximum Score of a Node Sequence")</f>
        <v>Maximum Score of a Node Sequence</v>
      </c>
      <c r="C2243" s="20" t="str">
        <f>IFERROR(__xludf.DUMMYFUNCTION("""COMPUTED_VALUE"""),"maximum-score-of-a-node-sequence")</f>
        <v>maximum-score-of-a-node-sequence</v>
      </c>
      <c r="D2243" s="20" t="b">
        <f>IFERROR(__xludf.DUMMYFUNCTION("""COMPUTED_VALUE"""),FALSE)</f>
        <v>0</v>
      </c>
      <c r="E2243" s="20" t="str">
        <f>IFERROR(__xludf.DUMMYFUNCTION("""COMPUTED_VALUE"""),"Hard")</f>
        <v>Hard</v>
      </c>
      <c r="F2243" s="20">
        <f>IFERROR(__xludf.DUMMYFUNCTION("""COMPUTED_VALUE"""),422.0)</f>
        <v>422</v>
      </c>
      <c r="G2243" s="20">
        <f>IFERROR(__xludf.DUMMYFUNCTION("""COMPUTED_VALUE"""),9.0)</f>
        <v>9</v>
      </c>
      <c r="H2243" s="20" t="str">
        <f>IFERROR(__xludf.DUMMYFUNCTION("""COMPUTED_VALUE"""),"Algorithms")</f>
        <v>Algorithms</v>
      </c>
      <c r="I2243" s="20">
        <f>IFERROR(__xludf.DUMMYFUNCTION("""COMPUTED_VALUE"""),0.376)</f>
        <v>0.376</v>
      </c>
      <c r="J2243" s="20">
        <f>IFERROR(__xludf.DUMMYFUNCTION("""COMPUTED_VALUE"""),2242.0)</f>
        <v>2242</v>
      </c>
      <c r="K2243" s="20" t="b">
        <f>IFERROR(__xludf.DUMMYFUNCTION("""COMPUTED_VALUE"""),FALSE)</f>
        <v>0</v>
      </c>
      <c r="L2243" s="20" t="str">
        <f>IFERROR(__xludf.DUMMYFUNCTION("""COMPUTED_VALUE"""),"Array;Graph;Sorting;Enumeration;")</f>
        <v>Array;Graph;Sorting;Enumeration;</v>
      </c>
      <c r="M2243" s="20" t="b">
        <f>IFERROR(__xludf.DUMMYFUNCTION("""COMPUTED_VALUE"""),FALSE)</f>
        <v>0</v>
      </c>
      <c r="N2243" s="20" t="b">
        <f>IFERROR(__xludf.DUMMYFUNCTION("""COMPUTED_VALUE"""),FALSE)</f>
        <v>0</v>
      </c>
      <c r="O2243" s="20">
        <f>IFERROR(__xludf.DUMMYFUNCTION("""COMPUTED_VALUE"""),37.6021460998761)</f>
        <v>37.6021461</v>
      </c>
      <c r="P2243" s="20">
        <f>IFERROR(__xludf.DUMMYFUNCTION("""COMPUTED_VALUE"""),9111.0)</f>
        <v>9111</v>
      </c>
      <c r="Q2243" s="20">
        <f>IFERROR(__xludf.DUMMYFUNCTION("""COMPUTED_VALUE"""),24230.0)</f>
        <v>24230</v>
      </c>
    </row>
    <row r="2244">
      <c r="A2244" s="20">
        <f>IFERROR(__xludf.DUMMYFUNCTION("""COMPUTED_VALUE"""),2361.0)</f>
        <v>2361</v>
      </c>
      <c r="B2244" s="20" t="str">
        <f>IFERROR(__xludf.DUMMYFUNCTION("""COMPUTED_VALUE"""),"Calculate Digit Sum of a String")</f>
        <v>Calculate Digit Sum of a String</v>
      </c>
      <c r="C2244" s="20" t="str">
        <f>IFERROR(__xludf.DUMMYFUNCTION("""COMPUTED_VALUE"""),"calculate-digit-sum-of-a-string")</f>
        <v>calculate-digit-sum-of-a-string</v>
      </c>
      <c r="D2244" s="20" t="b">
        <f>IFERROR(__xludf.DUMMYFUNCTION("""COMPUTED_VALUE"""),FALSE)</f>
        <v>0</v>
      </c>
      <c r="E2244" s="20" t="str">
        <f>IFERROR(__xludf.DUMMYFUNCTION("""COMPUTED_VALUE"""),"Easy")</f>
        <v>Easy</v>
      </c>
      <c r="F2244" s="20">
        <f>IFERROR(__xludf.DUMMYFUNCTION("""COMPUTED_VALUE"""),370.0)</f>
        <v>370</v>
      </c>
      <c r="G2244" s="20">
        <f>IFERROR(__xludf.DUMMYFUNCTION("""COMPUTED_VALUE"""),30.0)</f>
        <v>30</v>
      </c>
      <c r="H2244" s="20" t="str">
        <f>IFERROR(__xludf.DUMMYFUNCTION("""COMPUTED_VALUE"""),"Algorithms")</f>
        <v>Algorithms</v>
      </c>
      <c r="I2244" s="20">
        <f>IFERROR(__xludf.DUMMYFUNCTION("""COMPUTED_VALUE"""),0.667)</f>
        <v>0.667</v>
      </c>
      <c r="J2244" s="20">
        <f>IFERROR(__xludf.DUMMYFUNCTION("""COMPUTED_VALUE"""),2243.0)</f>
        <v>2243</v>
      </c>
      <c r="K2244" s="20" t="b">
        <f>IFERROR(__xludf.DUMMYFUNCTION("""COMPUTED_VALUE"""),FALSE)</f>
        <v>0</v>
      </c>
      <c r="L2244" s="20" t="str">
        <f>IFERROR(__xludf.DUMMYFUNCTION("""COMPUTED_VALUE"""),"String;Simulation;")</f>
        <v>String;Simulation;</v>
      </c>
      <c r="M2244" s="20" t="b">
        <f>IFERROR(__xludf.DUMMYFUNCTION("""COMPUTED_VALUE"""),FALSE)</f>
        <v>0</v>
      </c>
      <c r="N2244" s="20" t="b">
        <f>IFERROR(__xludf.DUMMYFUNCTION("""COMPUTED_VALUE"""),FALSE)</f>
        <v>0</v>
      </c>
      <c r="O2244" s="20">
        <f>IFERROR(__xludf.DUMMYFUNCTION("""COMPUTED_VALUE"""),66.7113294625576)</f>
        <v>66.71132946</v>
      </c>
      <c r="P2244" s="20">
        <f>IFERROR(__xludf.DUMMYFUNCTION("""COMPUTED_VALUE"""),26886.0)</f>
        <v>26886</v>
      </c>
      <c r="Q2244" s="20">
        <f>IFERROR(__xludf.DUMMYFUNCTION("""COMPUTED_VALUE"""),40302.0)</f>
        <v>40302</v>
      </c>
    </row>
    <row r="2245">
      <c r="A2245" s="20">
        <f>IFERROR(__xludf.DUMMYFUNCTION("""COMPUTED_VALUE"""),2362.0)</f>
        <v>2362</v>
      </c>
      <c r="B2245" s="20" t="str">
        <f>IFERROR(__xludf.DUMMYFUNCTION("""COMPUTED_VALUE"""),"Minimum Rounds to Complete All Tasks")</f>
        <v>Minimum Rounds to Complete All Tasks</v>
      </c>
      <c r="C2245" s="20" t="str">
        <f>IFERROR(__xludf.DUMMYFUNCTION("""COMPUTED_VALUE"""),"minimum-rounds-to-complete-all-tasks")</f>
        <v>minimum-rounds-to-complete-all-tasks</v>
      </c>
      <c r="D2245" s="20" t="b">
        <f>IFERROR(__xludf.DUMMYFUNCTION("""COMPUTED_VALUE"""),FALSE)</f>
        <v>0</v>
      </c>
      <c r="E2245" s="20" t="str">
        <f>IFERROR(__xludf.DUMMYFUNCTION("""COMPUTED_VALUE"""),"Medium")</f>
        <v>Medium</v>
      </c>
      <c r="F2245" s="20">
        <f>IFERROR(__xludf.DUMMYFUNCTION("""COMPUTED_VALUE"""),532.0)</f>
        <v>532</v>
      </c>
      <c r="G2245" s="20">
        <f>IFERROR(__xludf.DUMMYFUNCTION("""COMPUTED_VALUE"""),12.0)</f>
        <v>12</v>
      </c>
      <c r="H2245" s="20" t="str">
        <f>IFERROR(__xludf.DUMMYFUNCTION("""COMPUTED_VALUE"""),"Algorithms")</f>
        <v>Algorithms</v>
      </c>
      <c r="I2245" s="20">
        <f>IFERROR(__xludf.DUMMYFUNCTION("""COMPUTED_VALUE"""),0.579)</f>
        <v>0.579</v>
      </c>
      <c r="J2245" s="20">
        <f>IFERROR(__xludf.DUMMYFUNCTION("""COMPUTED_VALUE"""),2244.0)</f>
        <v>2244</v>
      </c>
      <c r="K2245" s="20" t="b">
        <f>IFERROR(__xludf.DUMMYFUNCTION("""COMPUTED_VALUE"""),FALSE)</f>
        <v>0</v>
      </c>
      <c r="L2245" s="20" t="str">
        <f>IFERROR(__xludf.DUMMYFUNCTION("""COMPUTED_VALUE"""),"Array;Hash Table;Greedy;Counting;")</f>
        <v>Array;Hash Table;Greedy;Counting;</v>
      </c>
      <c r="M2245" s="20" t="b">
        <f>IFERROR(__xludf.DUMMYFUNCTION("""COMPUTED_VALUE"""),TRUE)</f>
        <v>1</v>
      </c>
      <c r="N2245" s="20" t="b">
        <f>IFERROR(__xludf.DUMMYFUNCTION("""COMPUTED_VALUE"""),FALSE)</f>
        <v>0</v>
      </c>
      <c r="O2245" s="20">
        <f>IFERROR(__xludf.DUMMYFUNCTION("""COMPUTED_VALUE"""),57.8766668563516)</f>
        <v>57.87666686</v>
      </c>
      <c r="P2245" s="20">
        <f>IFERROR(__xludf.DUMMYFUNCTION("""COMPUTED_VALUE"""),30511.0)</f>
        <v>30511</v>
      </c>
      <c r="Q2245" s="20">
        <f>IFERROR(__xludf.DUMMYFUNCTION("""COMPUTED_VALUE"""),52718.0)</f>
        <v>52718</v>
      </c>
    </row>
    <row r="2246">
      <c r="A2246" s="20">
        <f>IFERROR(__xludf.DUMMYFUNCTION("""COMPUTED_VALUE"""),2363.0)</f>
        <v>2363</v>
      </c>
      <c r="B2246" s="20" t="str">
        <f>IFERROR(__xludf.DUMMYFUNCTION("""COMPUTED_VALUE"""),"Maximum Trailing Zeros in a Cornered Path")</f>
        <v>Maximum Trailing Zeros in a Cornered Path</v>
      </c>
      <c r="C2246" s="20" t="str">
        <f>IFERROR(__xludf.DUMMYFUNCTION("""COMPUTED_VALUE"""),"maximum-trailing-zeros-in-a-cornered-path")</f>
        <v>maximum-trailing-zeros-in-a-cornered-path</v>
      </c>
      <c r="D2246" s="20" t="b">
        <f>IFERROR(__xludf.DUMMYFUNCTION("""COMPUTED_VALUE"""),FALSE)</f>
        <v>0</v>
      </c>
      <c r="E2246" s="20" t="str">
        <f>IFERROR(__xludf.DUMMYFUNCTION("""COMPUTED_VALUE"""),"Medium")</f>
        <v>Medium</v>
      </c>
      <c r="F2246" s="20">
        <f>IFERROR(__xludf.DUMMYFUNCTION("""COMPUTED_VALUE"""),140.0)</f>
        <v>140</v>
      </c>
      <c r="G2246" s="20">
        <f>IFERROR(__xludf.DUMMYFUNCTION("""COMPUTED_VALUE"""),355.0)</f>
        <v>355</v>
      </c>
      <c r="H2246" s="20" t="str">
        <f>IFERROR(__xludf.DUMMYFUNCTION("""COMPUTED_VALUE"""),"Algorithms")</f>
        <v>Algorithms</v>
      </c>
      <c r="I2246" s="20">
        <f>IFERROR(__xludf.DUMMYFUNCTION("""COMPUTED_VALUE"""),0.351)</f>
        <v>0.351</v>
      </c>
      <c r="J2246" s="20">
        <f>IFERROR(__xludf.DUMMYFUNCTION("""COMPUTED_VALUE"""),2245.0)</f>
        <v>2245</v>
      </c>
      <c r="K2246" s="20" t="b">
        <f>IFERROR(__xludf.DUMMYFUNCTION("""COMPUTED_VALUE"""),FALSE)</f>
        <v>0</v>
      </c>
      <c r="L2246" s="20" t="str">
        <f>IFERROR(__xludf.DUMMYFUNCTION("""COMPUTED_VALUE"""),"Array;Matrix;Prefix Sum;")</f>
        <v>Array;Matrix;Prefix Sum;</v>
      </c>
      <c r="M2246" s="20" t="b">
        <f>IFERROR(__xludf.DUMMYFUNCTION("""COMPUTED_VALUE"""),FALSE)</f>
        <v>0</v>
      </c>
      <c r="N2246" s="20" t="b">
        <f>IFERROR(__xludf.DUMMYFUNCTION("""COMPUTED_VALUE"""),FALSE)</f>
        <v>0</v>
      </c>
      <c r="O2246" s="20">
        <f>IFERROR(__xludf.DUMMYFUNCTION("""COMPUTED_VALUE"""),35.0978073946689)</f>
        <v>35.09780739</v>
      </c>
      <c r="P2246" s="20">
        <f>IFERROR(__xludf.DUMMYFUNCTION("""COMPUTED_VALUE"""),6531.0)</f>
        <v>6531</v>
      </c>
      <c r="Q2246" s="20">
        <f>IFERROR(__xludf.DUMMYFUNCTION("""COMPUTED_VALUE"""),18608.0)</f>
        <v>18608</v>
      </c>
    </row>
    <row r="2247">
      <c r="A2247" s="20">
        <f>IFERROR(__xludf.DUMMYFUNCTION("""COMPUTED_VALUE"""),2364.0)</f>
        <v>2364</v>
      </c>
      <c r="B2247" s="20" t="str">
        <f>IFERROR(__xludf.DUMMYFUNCTION("""COMPUTED_VALUE"""),"Longest Path With Different Adjacent Characters")</f>
        <v>Longest Path With Different Adjacent Characters</v>
      </c>
      <c r="C2247" s="20" t="str">
        <f>IFERROR(__xludf.DUMMYFUNCTION("""COMPUTED_VALUE"""),"longest-path-with-different-adjacent-characters")</f>
        <v>longest-path-with-different-adjacent-characters</v>
      </c>
      <c r="D2247" s="20" t="b">
        <f>IFERROR(__xludf.DUMMYFUNCTION("""COMPUTED_VALUE"""),FALSE)</f>
        <v>0</v>
      </c>
      <c r="E2247" s="20" t="str">
        <f>IFERROR(__xludf.DUMMYFUNCTION("""COMPUTED_VALUE"""),"Hard")</f>
        <v>Hard</v>
      </c>
      <c r="F2247" s="20">
        <f>IFERROR(__xludf.DUMMYFUNCTION("""COMPUTED_VALUE"""),585.0)</f>
        <v>585</v>
      </c>
      <c r="G2247" s="20">
        <f>IFERROR(__xludf.DUMMYFUNCTION("""COMPUTED_VALUE"""),14.0)</f>
        <v>14</v>
      </c>
      <c r="H2247" s="20" t="str">
        <f>IFERROR(__xludf.DUMMYFUNCTION("""COMPUTED_VALUE"""),"Algorithms")</f>
        <v>Algorithms</v>
      </c>
      <c r="I2247" s="20">
        <f>IFERROR(__xludf.DUMMYFUNCTION("""COMPUTED_VALUE"""),0.452)</f>
        <v>0.452</v>
      </c>
      <c r="J2247" s="20">
        <f>IFERROR(__xludf.DUMMYFUNCTION("""COMPUTED_VALUE"""),2246.0)</f>
        <v>2246</v>
      </c>
      <c r="K2247" s="20" t="b">
        <f>IFERROR(__xludf.DUMMYFUNCTION("""COMPUTED_VALUE"""),FALSE)</f>
        <v>0</v>
      </c>
      <c r="L2247" s="20" t="str">
        <f>IFERROR(__xludf.DUMMYFUNCTION("""COMPUTED_VALUE"""),"Array;String;Tree;Depth-First Search;Graph;Topological Sort;")</f>
        <v>Array;String;Tree;Depth-First Search;Graph;Topological Sort;</v>
      </c>
      <c r="M2247" s="20" t="b">
        <f>IFERROR(__xludf.DUMMYFUNCTION("""COMPUTED_VALUE"""),TRUE)</f>
        <v>1</v>
      </c>
      <c r="N2247" s="20" t="b">
        <f>IFERROR(__xludf.DUMMYFUNCTION("""COMPUTED_VALUE"""),FALSE)</f>
        <v>0</v>
      </c>
      <c r="O2247" s="20">
        <f>IFERROR(__xludf.DUMMYFUNCTION("""COMPUTED_VALUE"""),45.2356675328092)</f>
        <v>45.23566753</v>
      </c>
      <c r="P2247" s="20">
        <f>IFERROR(__xludf.DUMMYFUNCTION("""COMPUTED_VALUE"""),13751.0)</f>
        <v>13751</v>
      </c>
      <c r="Q2247" s="20">
        <f>IFERROR(__xludf.DUMMYFUNCTION("""COMPUTED_VALUE"""),30400.0)</f>
        <v>30400</v>
      </c>
    </row>
    <row r="2248">
      <c r="A2248" s="20">
        <f>IFERROR(__xludf.DUMMYFUNCTION("""COMPUTED_VALUE"""),2007.0)</f>
        <v>2007</v>
      </c>
      <c r="B2248" s="20" t="str">
        <f>IFERROR(__xludf.DUMMYFUNCTION("""COMPUTED_VALUE"""),"Maximum Cost of Trip With K Highways")</f>
        <v>Maximum Cost of Trip With K Highways</v>
      </c>
      <c r="C2248" s="20" t="str">
        <f>IFERROR(__xludf.DUMMYFUNCTION("""COMPUTED_VALUE"""),"maximum-cost-of-trip-with-k-highways")</f>
        <v>maximum-cost-of-trip-with-k-highways</v>
      </c>
      <c r="D2248" s="20" t="b">
        <f>IFERROR(__xludf.DUMMYFUNCTION("""COMPUTED_VALUE"""),TRUE)</f>
        <v>1</v>
      </c>
      <c r="E2248" s="20" t="str">
        <f>IFERROR(__xludf.DUMMYFUNCTION("""COMPUTED_VALUE"""),"Hard")</f>
        <v>Hard</v>
      </c>
      <c r="F2248" s="20">
        <f>IFERROR(__xludf.DUMMYFUNCTION("""COMPUTED_VALUE"""),43.0)</f>
        <v>43</v>
      </c>
      <c r="G2248" s="20">
        <f>IFERROR(__xludf.DUMMYFUNCTION("""COMPUTED_VALUE"""),0.0)</f>
        <v>0</v>
      </c>
      <c r="H2248" s="20" t="str">
        <f>IFERROR(__xludf.DUMMYFUNCTION("""COMPUTED_VALUE"""),"Algorithms")</f>
        <v>Algorithms</v>
      </c>
      <c r="I2248" s="20">
        <f>IFERROR(__xludf.DUMMYFUNCTION("""COMPUTED_VALUE"""),0.497)</f>
        <v>0.497</v>
      </c>
      <c r="J2248" s="20">
        <f>IFERROR(__xludf.DUMMYFUNCTION("""COMPUTED_VALUE"""),2247.0)</f>
        <v>2247</v>
      </c>
      <c r="K2248" s="20" t="b">
        <f>IFERROR(__xludf.DUMMYFUNCTION("""COMPUTED_VALUE"""),TRUE)</f>
        <v>1</v>
      </c>
      <c r="L2248" s="20" t="str">
        <f>IFERROR(__xludf.DUMMYFUNCTION("""COMPUTED_VALUE"""),"Dynamic Programming;Bit Manipulation;Graph;Bitmask;")</f>
        <v>Dynamic Programming;Bit Manipulation;Graph;Bitmask;</v>
      </c>
      <c r="M2248" s="20" t="b">
        <f>IFERROR(__xludf.DUMMYFUNCTION("""COMPUTED_VALUE"""),FALSE)</f>
        <v>0</v>
      </c>
      <c r="N2248" s="20" t="b">
        <f>IFERROR(__xludf.DUMMYFUNCTION("""COMPUTED_VALUE"""),FALSE)</f>
        <v>0</v>
      </c>
      <c r="O2248" s="20">
        <f>IFERROR(__xludf.DUMMYFUNCTION("""COMPUTED_VALUE"""),49.6654657745754)</f>
        <v>49.66546577</v>
      </c>
      <c r="P2248" s="20">
        <f>IFERROR(__xludf.DUMMYFUNCTION("""COMPUTED_VALUE"""),965.0)</f>
        <v>965</v>
      </c>
      <c r="Q2248" s="20">
        <f>IFERROR(__xludf.DUMMYFUNCTION("""COMPUTED_VALUE"""),1943.0)</f>
        <v>1943</v>
      </c>
    </row>
    <row r="2249">
      <c r="A2249" s="20">
        <f>IFERROR(__xludf.DUMMYFUNCTION("""COMPUTED_VALUE"""),2331.0)</f>
        <v>2331</v>
      </c>
      <c r="B2249" s="20" t="str">
        <f>IFERROR(__xludf.DUMMYFUNCTION("""COMPUTED_VALUE"""),"Intersection of Multiple Arrays")</f>
        <v>Intersection of Multiple Arrays</v>
      </c>
      <c r="C2249" s="20" t="str">
        <f>IFERROR(__xludf.DUMMYFUNCTION("""COMPUTED_VALUE"""),"intersection-of-multiple-arrays")</f>
        <v>intersection-of-multiple-arrays</v>
      </c>
      <c r="D2249" s="20" t="b">
        <f>IFERROR(__xludf.DUMMYFUNCTION("""COMPUTED_VALUE"""),FALSE)</f>
        <v>0</v>
      </c>
      <c r="E2249" s="20" t="str">
        <f>IFERROR(__xludf.DUMMYFUNCTION("""COMPUTED_VALUE"""),"Easy")</f>
        <v>Easy</v>
      </c>
      <c r="F2249" s="20">
        <f>IFERROR(__xludf.DUMMYFUNCTION("""COMPUTED_VALUE"""),416.0)</f>
        <v>416</v>
      </c>
      <c r="G2249" s="20">
        <f>IFERROR(__xludf.DUMMYFUNCTION("""COMPUTED_VALUE"""),25.0)</f>
        <v>25</v>
      </c>
      <c r="H2249" s="20" t="str">
        <f>IFERROR(__xludf.DUMMYFUNCTION("""COMPUTED_VALUE"""),"Algorithms")</f>
        <v>Algorithms</v>
      </c>
      <c r="I2249" s="20">
        <f>IFERROR(__xludf.DUMMYFUNCTION("""COMPUTED_VALUE"""),0.693)</f>
        <v>0.693</v>
      </c>
      <c r="J2249" s="20">
        <f>IFERROR(__xludf.DUMMYFUNCTION("""COMPUTED_VALUE"""),2248.0)</f>
        <v>2248</v>
      </c>
      <c r="K2249" s="20" t="b">
        <f>IFERROR(__xludf.DUMMYFUNCTION("""COMPUTED_VALUE"""),FALSE)</f>
        <v>0</v>
      </c>
      <c r="L2249" s="20" t="str">
        <f>IFERROR(__xludf.DUMMYFUNCTION("""COMPUTED_VALUE"""),"Array;Hash Table;Counting;")</f>
        <v>Array;Hash Table;Counting;</v>
      </c>
      <c r="M2249" s="20" t="b">
        <f>IFERROR(__xludf.DUMMYFUNCTION("""COMPUTED_VALUE"""),FALSE)</f>
        <v>0</v>
      </c>
      <c r="N2249" s="20" t="b">
        <f>IFERROR(__xludf.DUMMYFUNCTION("""COMPUTED_VALUE"""),FALSE)</f>
        <v>0</v>
      </c>
      <c r="O2249" s="20">
        <f>IFERROR(__xludf.DUMMYFUNCTION("""COMPUTED_VALUE"""),69.2776429229095)</f>
        <v>69.27764292</v>
      </c>
      <c r="P2249" s="20">
        <f>IFERROR(__xludf.DUMMYFUNCTION("""COMPUTED_VALUE"""),41383.0)</f>
        <v>41383</v>
      </c>
      <c r="Q2249" s="20">
        <f>IFERROR(__xludf.DUMMYFUNCTION("""COMPUTED_VALUE"""),59735.0)</f>
        <v>59735</v>
      </c>
    </row>
    <row r="2250">
      <c r="A2250" s="20">
        <f>IFERROR(__xludf.DUMMYFUNCTION("""COMPUTED_VALUE"""),2332.0)</f>
        <v>2332</v>
      </c>
      <c r="B2250" s="20" t="str">
        <f>IFERROR(__xludf.DUMMYFUNCTION("""COMPUTED_VALUE"""),"Count Lattice Points Inside a Circle")</f>
        <v>Count Lattice Points Inside a Circle</v>
      </c>
      <c r="C2250" s="20" t="str">
        <f>IFERROR(__xludf.DUMMYFUNCTION("""COMPUTED_VALUE"""),"count-lattice-points-inside-a-circle")</f>
        <v>count-lattice-points-inside-a-circle</v>
      </c>
      <c r="D2250" s="20" t="b">
        <f>IFERROR(__xludf.DUMMYFUNCTION("""COMPUTED_VALUE"""),FALSE)</f>
        <v>0</v>
      </c>
      <c r="E2250" s="20" t="str">
        <f>IFERROR(__xludf.DUMMYFUNCTION("""COMPUTED_VALUE"""),"Medium")</f>
        <v>Medium</v>
      </c>
      <c r="F2250" s="20">
        <f>IFERROR(__xludf.DUMMYFUNCTION("""COMPUTED_VALUE"""),167.0)</f>
        <v>167</v>
      </c>
      <c r="G2250" s="20">
        <f>IFERROR(__xludf.DUMMYFUNCTION("""COMPUTED_VALUE"""),191.0)</f>
        <v>191</v>
      </c>
      <c r="H2250" s="20" t="str">
        <f>IFERROR(__xludf.DUMMYFUNCTION("""COMPUTED_VALUE"""),"Algorithms")</f>
        <v>Algorithms</v>
      </c>
      <c r="I2250" s="20">
        <f>IFERROR(__xludf.DUMMYFUNCTION("""COMPUTED_VALUE"""),0.504)</f>
        <v>0.504</v>
      </c>
      <c r="J2250" s="20">
        <f>IFERROR(__xludf.DUMMYFUNCTION("""COMPUTED_VALUE"""),2249.0)</f>
        <v>2249</v>
      </c>
      <c r="K2250" s="20" t="b">
        <f>IFERROR(__xludf.DUMMYFUNCTION("""COMPUTED_VALUE"""),FALSE)</f>
        <v>0</v>
      </c>
      <c r="L2250" s="20" t="str">
        <f>IFERROR(__xludf.DUMMYFUNCTION("""COMPUTED_VALUE"""),"Array;Hash Table;Math;Geometry;Enumeration;")</f>
        <v>Array;Hash Table;Math;Geometry;Enumeration;</v>
      </c>
      <c r="M2250" s="20" t="b">
        <f>IFERROR(__xludf.DUMMYFUNCTION("""COMPUTED_VALUE"""),FALSE)</f>
        <v>0</v>
      </c>
      <c r="N2250" s="20" t="b">
        <f>IFERROR(__xludf.DUMMYFUNCTION("""COMPUTED_VALUE"""),FALSE)</f>
        <v>0</v>
      </c>
      <c r="O2250" s="20">
        <f>IFERROR(__xludf.DUMMYFUNCTION("""COMPUTED_VALUE"""),50.4255628177196)</f>
        <v>50.42556282</v>
      </c>
      <c r="P2250" s="20">
        <f>IFERROR(__xludf.DUMMYFUNCTION("""COMPUTED_VALUE"""),17359.0)</f>
        <v>17359</v>
      </c>
      <c r="Q2250" s="20">
        <f>IFERROR(__xludf.DUMMYFUNCTION("""COMPUTED_VALUE"""),34425.0)</f>
        <v>34425</v>
      </c>
    </row>
    <row r="2251">
      <c r="A2251" s="20">
        <f>IFERROR(__xludf.DUMMYFUNCTION("""COMPUTED_VALUE"""),2333.0)</f>
        <v>2333</v>
      </c>
      <c r="B2251" s="20" t="str">
        <f>IFERROR(__xludf.DUMMYFUNCTION("""COMPUTED_VALUE"""),"Count Number of Rectangles Containing Each Point")</f>
        <v>Count Number of Rectangles Containing Each Point</v>
      </c>
      <c r="C2251" s="20" t="str">
        <f>IFERROR(__xludf.DUMMYFUNCTION("""COMPUTED_VALUE"""),"count-number-of-rectangles-containing-each-point")</f>
        <v>count-number-of-rectangles-containing-each-point</v>
      </c>
      <c r="D2251" s="20" t="b">
        <f>IFERROR(__xludf.DUMMYFUNCTION("""COMPUTED_VALUE"""),FALSE)</f>
        <v>0</v>
      </c>
      <c r="E2251" s="20" t="str">
        <f>IFERROR(__xludf.DUMMYFUNCTION("""COMPUTED_VALUE"""),"Medium")</f>
        <v>Medium</v>
      </c>
      <c r="F2251" s="20">
        <f>IFERROR(__xludf.DUMMYFUNCTION("""COMPUTED_VALUE"""),377.0)</f>
        <v>377</v>
      </c>
      <c r="G2251" s="20">
        <f>IFERROR(__xludf.DUMMYFUNCTION("""COMPUTED_VALUE"""),121.0)</f>
        <v>121</v>
      </c>
      <c r="H2251" s="20" t="str">
        <f>IFERROR(__xludf.DUMMYFUNCTION("""COMPUTED_VALUE"""),"Algorithms")</f>
        <v>Algorithms</v>
      </c>
      <c r="I2251" s="20">
        <f>IFERROR(__xludf.DUMMYFUNCTION("""COMPUTED_VALUE"""),0.341)</f>
        <v>0.341</v>
      </c>
      <c r="J2251" s="20">
        <f>IFERROR(__xludf.DUMMYFUNCTION("""COMPUTED_VALUE"""),2250.0)</f>
        <v>2250</v>
      </c>
      <c r="K2251" s="20" t="b">
        <f>IFERROR(__xludf.DUMMYFUNCTION("""COMPUTED_VALUE"""),FALSE)</f>
        <v>0</v>
      </c>
      <c r="L2251" s="20" t="str">
        <f>IFERROR(__xludf.DUMMYFUNCTION("""COMPUTED_VALUE"""),"Array;Binary Search;Binary Indexed Tree;Sorting;")</f>
        <v>Array;Binary Search;Binary Indexed Tree;Sorting;</v>
      </c>
      <c r="M2251" s="20" t="b">
        <f>IFERROR(__xludf.DUMMYFUNCTION("""COMPUTED_VALUE"""),FALSE)</f>
        <v>0</v>
      </c>
      <c r="N2251" s="20" t="b">
        <f>IFERROR(__xludf.DUMMYFUNCTION("""COMPUTED_VALUE"""),FALSE)</f>
        <v>0</v>
      </c>
      <c r="O2251" s="20">
        <f>IFERROR(__xludf.DUMMYFUNCTION("""COMPUTED_VALUE"""),34.1155835122629)</f>
        <v>34.11558351</v>
      </c>
      <c r="P2251" s="20">
        <f>IFERROR(__xludf.DUMMYFUNCTION("""COMPUTED_VALUE"""),11281.0)</f>
        <v>11281</v>
      </c>
      <c r="Q2251" s="20">
        <f>IFERROR(__xludf.DUMMYFUNCTION("""COMPUTED_VALUE"""),33067.0)</f>
        <v>33067</v>
      </c>
    </row>
    <row r="2252">
      <c r="A2252" s="20">
        <f>IFERROR(__xludf.DUMMYFUNCTION("""COMPUTED_VALUE"""),2334.0)</f>
        <v>2334</v>
      </c>
      <c r="B2252" s="20" t="str">
        <f>IFERROR(__xludf.DUMMYFUNCTION("""COMPUTED_VALUE"""),"Number of Flowers in Full Bloom")</f>
        <v>Number of Flowers in Full Bloom</v>
      </c>
      <c r="C2252" s="20" t="str">
        <f>IFERROR(__xludf.DUMMYFUNCTION("""COMPUTED_VALUE"""),"number-of-flowers-in-full-bloom")</f>
        <v>number-of-flowers-in-full-bloom</v>
      </c>
      <c r="D2252" s="20" t="b">
        <f>IFERROR(__xludf.DUMMYFUNCTION("""COMPUTED_VALUE"""),FALSE)</f>
        <v>0</v>
      </c>
      <c r="E2252" s="20" t="str">
        <f>IFERROR(__xludf.DUMMYFUNCTION("""COMPUTED_VALUE"""),"Hard")</f>
        <v>Hard</v>
      </c>
      <c r="F2252" s="20">
        <f>IFERROR(__xludf.DUMMYFUNCTION("""COMPUTED_VALUE"""),449.0)</f>
        <v>449</v>
      </c>
      <c r="G2252" s="20">
        <f>IFERROR(__xludf.DUMMYFUNCTION("""COMPUTED_VALUE"""),10.0)</f>
        <v>10</v>
      </c>
      <c r="H2252" s="20" t="str">
        <f>IFERROR(__xludf.DUMMYFUNCTION("""COMPUTED_VALUE"""),"Algorithms")</f>
        <v>Algorithms</v>
      </c>
      <c r="I2252" s="20">
        <f>IFERROR(__xludf.DUMMYFUNCTION("""COMPUTED_VALUE"""),0.518)</f>
        <v>0.518</v>
      </c>
      <c r="J2252" s="20">
        <f>IFERROR(__xludf.DUMMYFUNCTION("""COMPUTED_VALUE"""),2251.0)</f>
        <v>2251</v>
      </c>
      <c r="K2252" s="20" t="b">
        <f>IFERROR(__xludf.DUMMYFUNCTION("""COMPUTED_VALUE"""),FALSE)</f>
        <v>0</v>
      </c>
      <c r="L2252" s="20" t="str">
        <f>IFERROR(__xludf.DUMMYFUNCTION("""COMPUTED_VALUE"""),"Array;Hash Table;Binary Search;Sorting;Prefix Sum;Ordered Set;")</f>
        <v>Array;Hash Table;Binary Search;Sorting;Prefix Sum;Ordered Set;</v>
      </c>
      <c r="M2252" s="20" t="b">
        <f>IFERROR(__xludf.DUMMYFUNCTION("""COMPUTED_VALUE"""),FALSE)</f>
        <v>0</v>
      </c>
      <c r="N2252" s="20" t="b">
        <f>IFERROR(__xludf.DUMMYFUNCTION("""COMPUTED_VALUE"""),FALSE)</f>
        <v>0</v>
      </c>
      <c r="O2252" s="20">
        <f>IFERROR(__xludf.DUMMYFUNCTION("""COMPUTED_VALUE"""),51.8003706645485)</f>
        <v>51.80037066</v>
      </c>
      <c r="P2252" s="20">
        <f>IFERROR(__xludf.DUMMYFUNCTION("""COMPUTED_VALUE"""),11739.0)</f>
        <v>11739</v>
      </c>
      <c r="Q2252" s="20">
        <f>IFERROR(__xludf.DUMMYFUNCTION("""COMPUTED_VALUE"""),22662.0)</f>
        <v>22662</v>
      </c>
    </row>
    <row r="2253">
      <c r="A2253" s="20">
        <f>IFERROR(__xludf.DUMMYFUNCTION("""COMPUTED_VALUE"""),2381.0)</f>
        <v>2381</v>
      </c>
      <c r="B2253" s="20" t="str">
        <f>IFERROR(__xludf.DUMMYFUNCTION("""COMPUTED_VALUE"""),"Dynamic Pivoting of a Table")</f>
        <v>Dynamic Pivoting of a Table</v>
      </c>
      <c r="C2253" s="20" t="str">
        <f>IFERROR(__xludf.DUMMYFUNCTION("""COMPUTED_VALUE"""),"dynamic-pivoting-of-a-table")</f>
        <v>dynamic-pivoting-of-a-table</v>
      </c>
      <c r="D2253" s="20" t="b">
        <f>IFERROR(__xludf.DUMMYFUNCTION("""COMPUTED_VALUE"""),TRUE)</f>
        <v>1</v>
      </c>
      <c r="E2253" s="20" t="str">
        <f>IFERROR(__xludf.DUMMYFUNCTION("""COMPUTED_VALUE"""),"Hard")</f>
        <v>Hard</v>
      </c>
      <c r="F2253" s="20">
        <f>IFERROR(__xludf.DUMMYFUNCTION("""COMPUTED_VALUE"""),18.0)</f>
        <v>18</v>
      </c>
      <c r="G2253" s="20">
        <f>IFERROR(__xludf.DUMMYFUNCTION("""COMPUTED_VALUE"""),5.0)</f>
        <v>5</v>
      </c>
      <c r="H2253" s="20" t="str">
        <f>IFERROR(__xludf.DUMMYFUNCTION("""COMPUTED_VALUE"""),"Database")</f>
        <v>Database</v>
      </c>
      <c r="I2253" s="20">
        <f>IFERROR(__xludf.DUMMYFUNCTION("""COMPUTED_VALUE"""),0.568)</f>
        <v>0.568</v>
      </c>
      <c r="J2253" s="20">
        <f>IFERROR(__xludf.DUMMYFUNCTION("""COMPUTED_VALUE"""),2252.0)</f>
        <v>2252</v>
      </c>
      <c r="K2253" s="20" t="b">
        <f>IFERROR(__xludf.DUMMYFUNCTION("""COMPUTED_VALUE"""),TRUE)</f>
        <v>1</v>
      </c>
      <c r="L2253" s="20" t="str">
        <f>IFERROR(__xludf.DUMMYFUNCTION("""COMPUTED_VALUE"""),"Database;")</f>
        <v>Database;</v>
      </c>
      <c r="M2253" s="20" t="b">
        <f>IFERROR(__xludf.DUMMYFUNCTION("""COMPUTED_VALUE"""),FALSE)</f>
        <v>0</v>
      </c>
      <c r="N2253" s="20" t="b">
        <f>IFERROR(__xludf.DUMMYFUNCTION("""COMPUTED_VALUE"""),FALSE)</f>
        <v>0</v>
      </c>
      <c r="O2253" s="20">
        <f>IFERROR(__xludf.DUMMYFUNCTION("""COMPUTED_VALUE"""),56.7834681042228)</f>
        <v>56.7834681</v>
      </c>
      <c r="P2253" s="20">
        <f>IFERROR(__xludf.DUMMYFUNCTION("""COMPUTED_VALUE"""),632.0)</f>
        <v>632</v>
      </c>
      <c r="Q2253" s="20">
        <f>IFERROR(__xludf.DUMMYFUNCTION("""COMPUTED_VALUE"""),1113.0)</f>
        <v>1113</v>
      </c>
    </row>
    <row r="2254">
      <c r="A2254" s="20">
        <f>IFERROR(__xludf.DUMMYFUNCTION("""COMPUTED_VALUE"""),2382.0)</f>
        <v>2382</v>
      </c>
      <c r="B2254" s="20" t="str">
        <f>IFERROR(__xludf.DUMMYFUNCTION("""COMPUTED_VALUE"""),"Dynamic Unpivoting of a Table")</f>
        <v>Dynamic Unpivoting of a Table</v>
      </c>
      <c r="C2254" s="20" t="str">
        <f>IFERROR(__xludf.DUMMYFUNCTION("""COMPUTED_VALUE"""),"dynamic-unpivoting-of-a-table")</f>
        <v>dynamic-unpivoting-of-a-table</v>
      </c>
      <c r="D2254" s="20" t="b">
        <f>IFERROR(__xludf.DUMMYFUNCTION("""COMPUTED_VALUE"""),TRUE)</f>
        <v>1</v>
      </c>
      <c r="E2254" s="20" t="str">
        <f>IFERROR(__xludf.DUMMYFUNCTION("""COMPUTED_VALUE"""),"Hard")</f>
        <v>Hard</v>
      </c>
      <c r="F2254" s="20">
        <f>IFERROR(__xludf.DUMMYFUNCTION("""COMPUTED_VALUE"""),10.0)</f>
        <v>10</v>
      </c>
      <c r="G2254" s="20">
        <f>IFERROR(__xludf.DUMMYFUNCTION("""COMPUTED_VALUE"""),6.0)</f>
        <v>6</v>
      </c>
      <c r="H2254" s="20" t="str">
        <f>IFERROR(__xludf.DUMMYFUNCTION("""COMPUTED_VALUE"""),"Database")</f>
        <v>Database</v>
      </c>
      <c r="I2254" s="20">
        <f>IFERROR(__xludf.DUMMYFUNCTION("""COMPUTED_VALUE"""),0.674)</f>
        <v>0.674</v>
      </c>
      <c r="J2254" s="20">
        <f>IFERROR(__xludf.DUMMYFUNCTION("""COMPUTED_VALUE"""),2253.0)</f>
        <v>2253</v>
      </c>
      <c r="K2254" s="20" t="b">
        <f>IFERROR(__xludf.DUMMYFUNCTION("""COMPUTED_VALUE"""),TRUE)</f>
        <v>1</v>
      </c>
      <c r="L2254" s="20" t="str">
        <f>IFERROR(__xludf.DUMMYFUNCTION("""COMPUTED_VALUE"""),"Database;")</f>
        <v>Database;</v>
      </c>
      <c r="M2254" s="20" t="b">
        <f>IFERROR(__xludf.DUMMYFUNCTION("""COMPUTED_VALUE"""),FALSE)</f>
        <v>0</v>
      </c>
      <c r="N2254" s="20" t="b">
        <f>IFERROR(__xludf.DUMMYFUNCTION("""COMPUTED_VALUE"""),FALSE)</f>
        <v>0</v>
      </c>
      <c r="O2254" s="20">
        <f>IFERROR(__xludf.DUMMYFUNCTION("""COMPUTED_VALUE"""),67.4496644295302)</f>
        <v>67.44966443</v>
      </c>
      <c r="P2254" s="20">
        <f>IFERROR(__xludf.DUMMYFUNCTION("""COMPUTED_VALUE"""),402.0)</f>
        <v>402</v>
      </c>
      <c r="Q2254" s="20">
        <f>IFERROR(__xludf.DUMMYFUNCTION("""COMPUTED_VALUE"""),596.0)</f>
        <v>596</v>
      </c>
    </row>
    <row r="2255">
      <c r="A2255" s="20">
        <f>IFERROR(__xludf.DUMMYFUNCTION("""COMPUTED_VALUE"""),2396.0)</f>
        <v>2396</v>
      </c>
      <c r="B2255" s="20" t="str">
        <f>IFERROR(__xludf.DUMMYFUNCTION("""COMPUTED_VALUE"""),"Design Video Sharing Platform")</f>
        <v>Design Video Sharing Platform</v>
      </c>
      <c r="C2255" s="20" t="str">
        <f>IFERROR(__xludf.DUMMYFUNCTION("""COMPUTED_VALUE"""),"design-video-sharing-platform")</f>
        <v>design-video-sharing-platform</v>
      </c>
      <c r="D2255" s="20" t="b">
        <f>IFERROR(__xludf.DUMMYFUNCTION("""COMPUTED_VALUE"""),TRUE)</f>
        <v>1</v>
      </c>
      <c r="E2255" s="20" t="str">
        <f>IFERROR(__xludf.DUMMYFUNCTION("""COMPUTED_VALUE"""),"Hard")</f>
        <v>Hard</v>
      </c>
      <c r="F2255" s="20">
        <f>IFERROR(__xludf.DUMMYFUNCTION("""COMPUTED_VALUE"""),45.0)</f>
        <v>45</v>
      </c>
      <c r="G2255" s="20">
        <f>IFERROR(__xludf.DUMMYFUNCTION("""COMPUTED_VALUE"""),4.0)</f>
        <v>4</v>
      </c>
      <c r="H2255" s="20" t="str">
        <f>IFERROR(__xludf.DUMMYFUNCTION("""COMPUTED_VALUE"""),"Algorithms")</f>
        <v>Algorithms</v>
      </c>
      <c r="I2255" s="20">
        <f>IFERROR(__xludf.DUMMYFUNCTION("""COMPUTED_VALUE"""),0.647)</f>
        <v>0.647</v>
      </c>
      <c r="J2255" s="20">
        <f>IFERROR(__xludf.DUMMYFUNCTION("""COMPUTED_VALUE"""),2254.0)</f>
        <v>2254</v>
      </c>
      <c r="K2255" s="20" t="b">
        <f>IFERROR(__xludf.DUMMYFUNCTION("""COMPUTED_VALUE"""),TRUE)</f>
        <v>1</v>
      </c>
      <c r="L2255" s="20" t="str">
        <f>IFERROR(__xludf.DUMMYFUNCTION("""COMPUTED_VALUE"""),"Hash Table;Stack;Design;Ordered Set;")</f>
        <v>Hash Table;Stack;Design;Ordered Set;</v>
      </c>
      <c r="M2255" s="20" t="b">
        <f>IFERROR(__xludf.DUMMYFUNCTION("""COMPUTED_VALUE"""),FALSE)</f>
        <v>0</v>
      </c>
      <c r="N2255" s="20" t="b">
        <f>IFERROR(__xludf.DUMMYFUNCTION("""COMPUTED_VALUE"""),FALSE)</f>
        <v>0</v>
      </c>
      <c r="O2255" s="20">
        <f>IFERROR(__xludf.DUMMYFUNCTION("""COMPUTED_VALUE"""),64.6706586826347)</f>
        <v>64.67065868</v>
      </c>
      <c r="P2255" s="20">
        <f>IFERROR(__xludf.DUMMYFUNCTION("""COMPUTED_VALUE"""),1188.0)</f>
        <v>1188</v>
      </c>
      <c r="Q2255" s="20">
        <f>IFERROR(__xludf.DUMMYFUNCTION("""COMPUTED_VALUE"""),1837.0)</f>
        <v>1837</v>
      </c>
    </row>
    <row r="2256">
      <c r="A2256" s="20">
        <f>IFERROR(__xludf.DUMMYFUNCTION("""COMPUTED_VALUE"""),2341.0)</f>
        <v>2341</v>
      </c>
      <c r="B2256" s="20" t="str">
        <f>IFERROR(__xludf.DUMMYFUNCTION("""COMPUTED_VALUE"""),"Count Prefixes of a Given String")</f>
        <v>Count Prefixes of a Given String</v>
      </c>
      <c r="C2256" s="20" t="str">
        <f>IFERROR(__xludf.DUMMYFUNCTION("""COMPUTED_VALUE"""),"count-prefixes-of-a-given-string")</f>
        <v>count-prefixes-of-a-given-string</v>
      </c>
      <c r="D2256" s="20" t="b">
        <f>IFERROR(__xludf.DUMMYFUNCTION("""COMPUTED_VALUE"""),FALSE)</f>
        <v>0</v>
      </c>
      <c r="E2256" s="20" t="str">
        <f>IFERROR(__xludf.DUMMYFUNCTION("""COMPUTED_VALUE"""),"Easy")</f>
        <v>Easy</v>
      </c>
      <c r="F2256" s="20">
        <f>IFERROR(__xludf.DUMMYFUNCTION("""COMPUTED_VALUE"""),334.0)</f>
        <v>334</v>
      </c>
      <c r="G2256" s="20">
        <f>IFERROR(__xludf.DUMMYFUNCTION("""COMPUTED_VALUE"""),10.0)</f>
        <v>10</v>
      </c>
      <c r="H2256" s="20" t="str">
        <f>IFERROR(__xludf.DUMMYFUNCTION("""COMPUTED_VALUE"""),"Algorithms")</f>
        <v>Algorithms</v>
      </c>
      <c r="I2256" s="20">
        <f>IFERROR(__xludf.DUMMYFUNCTION("""COMPUTED_VALUE"""),0.733)</f>
        <v>0.733</v>
      </c>
      <c r="J2256" s="20">
        <f>IFERROR(__xludf.DUMMYFUNCTION("""COMPUTED_VALUE"""),2255.0)</f>
        <v>2255</v>
      </c>
      <c r="K2256" s="20" t="b">
        <f>IFERROR(__xludf.DUMMYFUNCTION("""COMPUTED_VALUE"""),FALSE)</f>
        <v>0</v>
      </c>
      <c r="L2256" s="20" t="str">
        <f>IFERROR(__xludf.DUMMYFUNCTION("""COMPUTED_VALUE"""),"Array;String;")</f>
        <v>Array;String;</v>
      </c>
      <c r="M2256" s="20" t="b">
        <f>IFERROR(__xludf.DUMMYFUNCTION("""COMPUTED_VALUE"""),FALSE)</f>
        <v>0</v>
      </c>
      <c r="N2256" s="20" t="b">
        <f>IFERROR(__xludf.DUMMYFUNCTION("""COMPUTED_VALUE"""),FALSE)</f>
        <v>0</v>
      </c>
      <c r="O2256" s="20">
        <f>IFERROR(__xludf.DUMMYFUNCTION("""COMPUTED_VALUE"""),73.3456316094296)</f>
        <v>73.34563161</v>
      </c>
      <c r="P2256" s="20">
        <f>IFERROR(__xludf.DUMMYFUNCTION("""COMPUTED_VALUE"""),34191.0)</f>
        <v>34191</v>
      </c>
      <c r="Q2256" s="20">
        <f>IFERROR(__xludf.DUMMYFUNCTION("""COMPUTED_VALUE"""),46617.0)</f>
        <v>46617</v>
      </c>
    </row>
    <row r="2257">
      <c r="A2257" s="20">
        <f>IFERROR(__xludf.DUMMYFUNCTION("""COMPUTED_VALUE"""),2342.0)</f>
        <v>2342</v>
      </c>
      <c r="B2257" s="20" t="str">
        <f>IFERROR(__xludf.DUMMYFUNCTION("""COMPUTED_VALUE"""),"Minimum Average Difference")</f>
        <v>Minimum Average Difference</v>
      </c>
      <c r="C2257" s="20" t="str">
        <f>IFERROR(__xludf.DUMMYFUNCTION("""COMPUTED_VALUE"""),"minimum-average-difference")</f>
        <v>minimum-average-difference</v>
      </c>
      <c r="D2257" s="20" t="b">
        <f>IFERROR(__xludf.DUMMYFUNCTION("""COMPUTED_VALUE"""),FALSE)</f>
        <v>0</v>
      </c>
      <c r="E2257" s="20" t="str">
        <f>IFERROR(__xludf.DUMMYFUNCTION("""COMPUTED_VALUE"""),"Medium")</f>
        <v>Medium</v>
      </c>
      <c r="F2257" s="20">
        <f>IFERROR(__xludf.DUMMYFUNCTION("""COMPUTED_VALUE"""),1324.0)</f>
        <v>1324</v>
      </c>
      <c r="G2257" s="20">
        <f>IFERROR(__xludf.DUMMYFUNCTION("""COMPUTED_VALUE"""),150.0)</f>
        <v>150</v>
      </c>
      <c r="H2257" s="20" t="str">
        <f>IFERROR(__xludf.DUMMYFUNCTION("""COMPUTED_VALUE"""),"Algorithms")</f>
        <v>Algorithms</v>
      </c>
      <c r="I2257" s="20">
        <f>IFERROR(__xludf.DUMMYFUNCTION("""COMPUTED_VALUE"""),0.431)</f>
        <v>0.431</v>
      </c>
      <c r="J2257" s="20">
        <f>IFERROR(__xludf.DUMMYFUNCTION("""COMPUTED_VALUE"""),2256.0)</f>
        <v>2256</v>
      </c>
      <c r="K2257" s="20" t="b">
        <f>IFERROR(__xludf.DUMMYFUNCTION("""COMPUTED_VALUE"""),FALSE)</f>
        <v>0</v>
      </c>
      <c r="L2257" s="20" t="str">
        <f>IFERROR(__xludf.DUMMYFUNCTION("""COMPUTED_VALUE"""),"Array;Prefix Sum;")</f>
        <v>Array;Prefix Sum;</v>
      </c>
      <c r="M2257" s="20" t="b">
        <f>IFERROR(__xludf.DUMMYFUNCTION("""COMPUTED_VALUE"""),TRUE)</f>
        <v>1</v>
      </c>
      <c r="N2257" s="20" t="b">
        <f>IFERROR(__xludf.DUMMYFUNCTION("""COMPUTED_VALUE"""),FALSE)</f>
        <v>0</v>
      </c>
      <c r="O2257" s="20">
        <f>IFERROR(__xludf.DUMMYFUNCTION("""COMPUTED_VALUE"""),43.1491742110211)</f>
        <v>43.14917421</v>
      </c>
      <c r="P2257" s="20">
        <f>IFERROR(__xludf.DUMMYFUNCTION("""COMPUTED_VALUE"""),72969.0)</f>
        <v>72969</v>
      </c>
      <c r="Q2257" s="20">
        <f>IFERROR(__xludf.DUMMYFUNCTION("""COMPUTED_VALUE"""),169108.0)</f>
        <v>169108</v>
      </c>
    </row>
    <row r="2258">
      <c r="A2258" s="20">
        <f>IFERROR(__xludf.DUMMYFUNCTION("""COMPUTED_VALUE"""),2343.0)</f>
        <v>2343</v>
      </c>
      <c r="B2258" s="20" t="str">
        <f>IFERROR(__xludf.DUMMYFUNCTION("""COMPUTED_VALUE"""),"Count Unguarded Cells in the Grid")</f>
        <v>Count Unguarded Cells in the Grid</v>
      </c>
      <c r="C2258" s="20" t="str">
        <f>IFERROR(__xludf.DUMMYFUNCTION("""COMPUTED_VALUE"""),"count-unguarded-cells-in-the-grid")</f>
        <v>count-unguarded-cells-in-the-grid</v>
      </c>
      <c r="D2258" s="20" t="b">
        <f>IFERROR(__xludf.DUMMYFUNCTION("""COMPUTED_VALUE"""),FALSE)</f>
        <v>0</v>
      </c>
      <c r="E2258" s="20" t="str">
        <f>IFERROR(__xludf.DUMMYFUNCTION("""COMPUTED_VALUE"""),"Medium")</f>
        <v>Medium</v>
      </c>
      <c r="F2258" s="20">
        <f>IFERROR(__xludf.DUMMYFUNCTION("""COMPUTED_VALUE"""),323.0)</f>
        <v>323</v>
      </c>
      <c r="G2258" s="20">
        <f>IFERROR(__xludf.DUMMYFUNCTION("""COMPUTED_VALUE"""),30.0)</f>
        <v>30</v>
      </c>
      <c r="H2258" s="20" t="str">
        <f>IFERROR(__xludf.DUMMYFUNCTION("""COMPUTED_VALUE"""),"Algorithms")</f>
        <v>Algorithms</v>
      </c>
      <c r="I2258" s="20">
        <f>IFERROR(__xludf.DUMMYFUNCTION("""COMPUTED_VALUE"""),0.524)</f>
        <v>0.524</v>
      </c>
      <c r="J2258" s="20">
        <f>IFERROR(__xludf.DUMMYFUNCTION("""COMPUTED_VALUE"""),2257.0)</f>
        <v>2257</v>
      </c>
      <c r="K2258" s="20" t="b">
        <f>IFERROR(__xludf.DUMMYFUNCTION("""COMPUTED_VALUE"""),FALSE)</f>
        <v>0</v>
      </c>
      <c r="L2258" s="20" t="str">
        <f>IFERROR(__xludf.DUMMYFUNCTION("""COMPUTED_VALUE"""),"Array;Matrix;Simulation;")</f>
        <v>Array;Matrix;Simulation;</v>
      </c>
      <c r="M2258" s="20" t="b">
        <f>IFERROR(__xludf.DUMMYFUNCTION("""COMPUTED_VALUE"""),FALSE)</f>
        <v>0</v>
      </c>
      <c r="N2258" s="20" t="b">
        <f>IFERROR(__xludf.DUMMYFUNCTION("""COMPUTED_VALUE"""),FALSE)</f>
        <v>0</v>
      </c>
      <c r="O2258" s="20">
        <f>IFERROR(__xludf.DUMMYFUNCTION("""COMPUTED_VALUE"""),52.3874942758419)</f>
        <v>52.38749428</v>
      </c>
      <c r="P2258" s="20">
        <f>IFERROR(__xludf.DUMMYFUNCTION("""COMPUTED_VALUE"""),12583.0)</f>
        <v>12583</v>
      </c>
      <c r="Q2258" s="20">
        <f>IFERROR(__xludf.DUMMYFUNCTION("""COMPUTED_VALUE"""),24020.0)</f>
        <v>24020</v>
      </c>
    </row>
    <row r="2259">
      <c r="A2259" s="20">
        <f>IFERROR(__xludf.DUMMYFUNCTION("""COMPUTED_VALUE"""),2344.0)</f>
        <v>2344</v>
      </c>
      <c r="B2259" s="20" t="str">
        <f>IFERROR(__xludf.DUMMYFUNCTION("""COMPUTED_VALUE"""),"Escape the Spreading Fire")</f>
        <v>Escape the Spreading Fire</v>
      </c>
      <c r="C2259" s="20" t="str">
        <f>IFERROR(__xludf.DUMMYFUNCTION("""COMPUTED_VALUE"""),"escape-the-spreading-fire")</f>
        <v>escape-the-spreading-fire</v>
      </c>
      <c r="D2259" s="20" t="b">
        <f>IFERROR(__xludf.DUMMYFUNCTION("""COMPUTED_VALUE"""),FALSE)</f>
        <v>0</v>
      </c>
      <c r="E2259" s="20" t="str">
        <f>IFERROR(__xludf.DUMMYFUNCTION("""COMPUTED_VALUE"""),"Hard")</f>
        <v>Hard</v>
      </c>
      <c r="F2259" s="20">
        <f>IFERROR(__xludf.DUMMYFUNCTION("""COMPUTED_VALUE"""),475.0)</f>
        <v>475</v>
      </c>
      <c r="G2259" s="20">
        <f>IFERROR(__xludf.DUMMYFUNCTION("""COMPUTED_VALUE"""),17.0)</f>
        <v>17</v>
      </c>
      <c r="H2259" s="20" t="str">
        <f>IFERROR(__xludf.DUMMYFUNCTION("""COMPUTED_VALUE"""),"Algorithms")</f>
        <v>Algorithms</v>
      </c>
      <c r="I2259" s="20">
        <f>IFERROR(__xludf.DUMMYFUNCTION("""COMPUTED_VALUE"""),0.349)</f>
        <v>0.349</v>
      </c>
      <c r="J2259" s="20">
        <f>IFERROR(__xludf.DUMMYFUNCTION("""COMPUTED_VALUE"""),2258.0)</f>
        <v>2258</v>
      </c>
      <c r="K2259" s="20" t="b">
        <f>IFERROR(__xludf.DUMMYFUNCTION("""COMPUTED_VALUE"""),FALSE)</f>
        <v>0</v>
      </c>
      <c r="L2259" s="20" t="str">
        <f>IFERROR(__xludf.DUMMYFUNCTION("""COMPUTED_VALUE"""),"Array;Binary Search;Breadth-First Search;Matrix;")</f>
        <v>Array;Binary Search;Breadth-First Search;Matrix;</v>
      </c>
      <c r="M2259" s="20" t="b">
        <f>IFERROR(__xludf.DUMMYFUNCTION("""COMPUTED_VALUE"""),FALSE)</f>
        <v>0</v>
      </c>
      <c r="N2259" s="20" t="b">
        <f>IFERROR(__xludf.DUMMYFUNCTION("""COMPUTED_VALUE"""),FALSE)</f>
        <v>0</v>
      </c>
      <c r="O2259" s="20">
        <f>IFERROR(__xludf.DUMMYFUNCTION("""COMPUTED_VALUE"""),34.9262667701519)</f>
        <v>34.92626677</v>
      </c>
      <c r="P2259" s="20">
        <f>IFERROR(__xludf.DUMMYFUNCTION("""COMPUTED_VALUE"""),6300.0)</f>
        <v>6300</v>
      </c>
      <c r="Q2259" s="20">
        <f>IFERROR(__xludf.DUMMYFUNCTION("""COMPUTED_VALUE"""),18038.0)</f>
        <v>18038</v>
      </c>
    </row>
    <row r="2260">
      <c r="A2260" s="20">
        <f>IFERROR(__xludf.DUMMYFUNCTION("""COMPUTED_VALUE"""),2337.0)</f>
        <v>2337</v>
      </c>
      <c r="B2260" s="20" t="str">
        <f>IFERROR(__xludf.DUMMYFUNCTION("""COMPUTED_VALUE"""),"Remove Digit From Number to Maximize Result")</f>
        <v>Remove Digit From Number to Maximize Result</v>
      </c>
      <c r="C2260" s="20" t="str">
        <f>IFERROR(__xludf.DUMMYFUNCTION("""COMPUTED_VALUE"""),"remove-digit-from-number-to-maximize-result")</f>
        <v>remove-digit-from-number-to-maximize-result</v>
      </c>
      <c r="D2260" s="20" t="b">
        <f>IFERROR(__xludf.DUMMYFUNCTION("""COMPUTED_VALUE"""),FALSE)</f>
        <v>0</v>
      </c>
      <c r="E2260" s="20" t="str">
        <f>IFERROR(__xludf.DUMMYFUNCTION("""COMPUTED_VALUE"""),"Easy")</f>
        <v>Easy</v>
      </c>
      <c r="F2260" s="20">
        <f>IFERROR(__xludf.DUMMYFUNCTION("""COMPUTED_VALUE"""),511.0)</f>
        <v>511</v>
      </c>
      <c r="G2260" s="20">
        <f>IFERROR(__xludf.DUMMYFUNCTION("""COMPUTED_VALUE"""),25.0)</f>
        <v>25</v>
      </c>
      <c r="H2260" s="20" t="str">
        <f>IFERROR(__xludf.DUMMYFUNCTION("""COMPUTED_VALUE"""),"Algorithms")</f>
        <v>Algorithms</v>
      </c>
      <c r="I2260" s="20">
        <f>IFERROR(__xludf.DUMMYFUNCTION("""COMPUTED_VALUE"""),0.468)</f>
        <v>0.468</v>
      </c>
      <c r="J2260" s="20">
        <f>IFERROR(__xludf.DUMMYFUNCTION("""COMPUTED_VALUE"""),2259.0)</f>
        <v>2259</v>
      </c>
      <c r="K2260" s="20" t="b">
        <f>IFERROR(__xludf.DUMMYFUNCTION("""COMPUTED_VALUE"""),FALSE)</f>
        <v>0</v>
      </c>
      <c r="L2260" s="20" t="str">
        <f>IFERROR(__xludf.DUMMYFUNCTION("""COMPUTED_VALUE"""),"String;Greedy;Enumeration;")</f>
        <v>String;Greedy;Enumeration;</v>
      </c>
      <c r="M2260" s="20" t="b">
        <f>IFERROR(__xludf.DUMMYFUNCTION("""COMPUTED_VALUE"""),FALSE)</f>
        <v>0</v>
      </c>
      <c r="N2260" s="20" t="b">
        <f>IFERROR(__xludf.DUMMYFUNCTION("""COMPUTED_VALUE"""),FALSE)</f>
        <v>0</v>
      </c>
      <c r="O2260" s="20">
        <f>IFERROR(__xludf.DUMMYFUNCTION("""COMPUTED_VALUE"""),46.7799356200302)</f>
        <v>46.77993562</v>
      </c>
      <c r="P2260" s="20">
        <f>IFERROR(__xludf.DUMMYFUNCTION("""COMPUTED_VALUE"""),43887.0)</f>
        <v>43887</v>
      </c>
      <c r="Q2260" s="20">
        <f>IFERROR(__xludf.DUMMYFUNCTION("""COMPUTED_VALUE"""),93813.0)</f>
        <v>93813</v>
      </c>
    </row>
    <row r="2261">
      <c r="A2261" s="20">
        <f>IFERROR(__xludf.DUMMYFUNCTION("""COMPUTED_VALUE"""),2338.0)</f>
        <v>2338</v>
      </c>
      <c r="B2261" s="20" t="str">
        <f>IFERROR(__xludf.DUMMYFUNCTION("""COMPUTED_VALUE"""),"Minimum Consecutive Cards to Pick Up")</f>
        <v>Minimum Consecutive Cards to Pick Up</v>
      </c>
      <c r="C2261" s="20" t="str">
        <f>IFERROR(__xludf.DUMMYFUNCTION("""COMPUTED_VALUE"""),"minimum-consecutive-cards-to-pick-up")</f>
        <v>minimum-consecutive-cards-to-pick-up</v>
      </c>
      <c r="D2261" s="20" t="b">
        <f>IFERROR(__xludf.DUMMYFUNCTION("""COMPUTED_VALUE"""),FALSE)</f>
        <v>0</v>
      </c>
      <c r="E2261" s="20" t="str">
        <f>IFERROR(__xludf.DUMMYFUNCTION("""COMPUTED_VALUE"""),"Medium")</f>
        <v>Medium</v>
      </c>
      <c r="F2261" s="20">
        <f>IFERROR(__xludf.DUMMYFUNCTION("""COMPUTED_VALUE"""),539.0)</f>
        <v>539</v>
      </c>
      <c r="G2261" s="20">
        <f>IFERROR(__xludf.DUMMYFUNCTION("""COMPUTED_VALUE"""),16.0)</f>
        <v>16</v>
      </c>
      <c r="H2261" s="20" t="str">
        <f>IFERROR(__xludf.DUMMYFUNCTION("""COMPUTED_VALUE"""),"Algorithms")</f>
        <v>Algorithms</v>
      </c>
      <c r="I2261" s="20">
        <f>IFERROR(__xludf.DUMMYFUNCTION("""COMPUTED_VALUE"""),0.515)</f>
        <v>0.515</v>
      </c>
      <c r="J2261" s="20">
        <f>IFERROR(__xludf.DUMMYFUNCTION("""COMPUTED_VALUE"""),2260.0)</f>
        <v>2260</v>
      </c>
      <c r="K2261" s="20" t="b">
        <f>IFERROR(__xludf.DUMMYFUNCTION("""COMPUTED_VALUE"""),FALSE)</f>
        <v>0</v>
      </c>
      <c r="L2261" s="20" t="str">
        <f>IFERROR(__xludf.DUMMYFUNCTION("""COMPUTED_VALUE"""),"Array;Hash Table;Sliding Window;")</f>
        <v>Array;Hash Table;Sliding Window;</v>
      </c>
      <c r="M2261" s="20" t="b">
        <f>IFERROR(__xludf.DUMMYFUNCTION("""COMPUTED_VALUE"""),FALSE)</f>
        <v>0</v>
      </c>
      <c r="N2261" s="20" t="b">
        <f>IFERROR(__xludf.DUMMYFUNCTION("""COMPUTED_VALUE"""),FALSE)</f>
        <v>0</v>
      </c>
      <c r="O2261" s="20">
        <f>IFERROR(__xludf.DUMMYFUNCTION("""COMPUTED_VALUE"""),51.4672322995904)</f>
        <v>51.4672323</v>
      </c>
      <c r="P2261" s="20">
        <f>IFERROR(__xludf.DUMMYFUNCTION("""COMPUTED_VALUE"""),35182.0)</f>
        <v>35182</v>
      </c>
      <c r="Q2261" s="20">
        <f>IFERROR(__xludf.DUMMYFUNCTION("""COMPUTED_VALUE"""),68355.0)</f>
        <v>68355</v>
      </c>
    </row>
    <row r="2262">
      <c r="A2262" s="20">
        <f>IFERROR(__xludf.DUMMYFUNCTION("""COMPUTED_VALUE"""),2339.0)</f>
        <v>2339</v>
      </c>
      <c r="B2262" s="20" t="str">
        <f>IFERROR(__xludf.DUMMYFUNCTION("""COMPUTED_VALUE"""),"K Divisible Elements Subarrays")</f>
        <v>K Divisible Elements Subarrays</v>
      </c>
      <c r="C2262" s="20" t="str">
        <f>IFERROR(__xludf.DUMMYFUNCTION("""COMPUTED_VALUE"""),"k-divisible-elements-subarrays")</f>
        <v>k-divisible-elements-subarrays</v>
      </c>
      <c r="D2262" s="20" t="b">
        <f>IFERROR(__xludf.DUMMYFUNCTION("""COMPUTED_VALUE"""),FALSE)</f>
        <v>0</v>
      </c>
      <c r="E2262" s="20" t="str">
        <f>IFERROR(__xludf.DUMMYFUNCTION("""COMPUTED_VALUE"""),"Medium")</f>
        <v>Medium</v>
      </c>
      <c r="F2262" s="20">
        <f>IFERROR(__xludf.DUMMYFUNCTION("""COMPUTED_VALUE"""),389.0)</f>
        <v>389</v>
      </c>
      <c r="G2262" s="20">
        <f>IFERROR(__xludf.DUMMYFUNCTION("""COMPUTED_VALUE"""),120.0)</f>
        <v>120</v>
      </c>
      <c r="H2262" s="20" t="str">
        <f>IFERROR(__xludf.DUMMYFUNCTION("""COMPUTED_VALUE"""),"Algorithms")</f>
        <v>Algorithms</v>
      </c>
      <c r="I2262" s="20">
        <f>IFERROR(__xludf.DUMMYFUNCTION("""COMPUTED_VALUE"""),0.477)</f>
        <v>0.477</v>
      </c>
      <c r="J2262" s="20">
        <f>IFERROR(__xludf.DUMMYFUNCTION("""COMPUTED_VALUE"""),2261.0)</f>
        <v>2261</v>
      </c>
      <c r="K2262" s="20" t="b">
        <f>IFERROR(__xludf.DUMMYFUNCTION("""COMPUTED_VALUE"""),FALSE)</f>
        <v>0</v>
      </c>
      <c r="L2262" s="20" t="str">
        <f>IFERROR(__xludf.DUMMYFUNCTION("""COMPUTED_VALUE"""),"Array;Hash Table;Trie;Rolling Hash;Hash Function;Enumeration;")</f>
        <v>Array;Hash Table;Trie;Rolling Hash;Hash Function;Enumeration;</v>
      </c>
      <c r="M2262" s="20" t="b">
        <f>IFERROR(__xludf.DUMMYFUNCTION("""COMPUTED_VALUE"""),FALSE)</f>
        <v>0</v>
      </c>
      <c r="N2262" s="20" t="b">
        <f>IFERROR(__xludf.DUMMYFUNCTION("""COMPUTED_VALUE"""),FALSE)</f>
        <v>0</v>
      </c>
      <c r="O2262" s="20">
        <f>IFERROR(__xludf.DUMMYFUNCTION("""COMPUTED_VALUE"""),47.693981329218)</f>
        <v>47.69398133</v>
      </c>
      <c r="P2262" s="20">
        <f>IFERROR(__xludf.DUMMYFUNCTION("""COMPUTED_VALUE"""),18852.0)</f>
        <v>18852</v>
      </c>
      <c r="Q2262" s="20">
        <f>IFERROR(__xludf.DUMMYFUNCTION("""COMPUTED_VALUE"""),39527.0)</f>
        <v>39527</v>
      </c>
    </row>
    <row r="2263">
      <c r="A2263" s="20">
        <f>IFERROR(__xludf.DUMMYFUNCTION("""COMPUTED_VALUE"""),2340.0)</f>
        <v>2340</v>
      </c>
      <c r="B2263" s="20" t="str">
        <f>IFERROR(__xludf.DUMMYFUNCTION("""COMPUTED_VALUE"""),"Total Appeal of A String")</f>
        <v>Total Appeal of A String</v>
      </c>
      <c r="C2263" s="20" t="str">
        <f>IFERROR(__xludf.DUMMYFUNCTION("""COMPUTED_VALUE"""),"total-appeal-of-a-string")</f>
        <v>total-appeal-of-a-string</v>
      </c>
      <c r="D2263" s="20" t="b">
        <f>IFERROR(__xludf.DUMMYFUNCTION("""COMPUTED_VALUE"""),FALSE)</f>
        <v>0</v>
      </c>
      <c r="E2263" s="20" t="str">
        <f>IFERROR(__xludf.DUMMYFUNCTION("""COMPUTED_VALUE"""),"Hard")</f>
        <v>Hard</v>
      </c>
      <c r="F2263" s="20">
        <f>IFERROR(__xludf.DUMMYFUNCTION("""COMPUTED_VALUE"""),772.0)</f>
        <v>772</v>
      </c>
      <c r="G2263" s="20">
        <f>IFERROR(__xludf.DUMMYFUNCTION("""COMPUTED_VALUE"""),17.0)</f>
        <v>17</v>
      </c>
      <c r="H2263" s="20" t="str">
        <f>IFERROR(__xludf.DUMMYFUNCTION("""COMPUTED_VALUE"""),"Algorithms")</f>
        <v>Algorithms</v>
      </c>
      <c r="I2263" s="20">
        <f>IFERROR(__xludf.DUMMYFUNCTION("""COMPUTED_VALUE"""),0.578)</f>
        <v>0.578</v>
      </c>
      <c r="J2263" s="20">
        <f>IFERROR(__xludf.DUMMYFUNCTION("""COMPUTED_VALUE"""),2262.0)</f>
        <v>2262</v>
      </c>
      <c r="K2263" s="20" t="b">
        <f>IFERROR(__xludf.DUMMYFUNCTION("""COMPUTED_VALUE"""),FALSE)</f>
        <v>0</v>
      </c>
      <c r="L2263" s="20" t="str">
        <f>IFERROR(__xludf.DUMMYFUNCTION("""COMPUTED_VALUE"""),"Hash Table;String;Dynamic Programming;")</f>
        <v>Hash Table;String;Dynamic Programming;</v>
      </c>
      <c r="M2263" s="20" t="b">
        <f>IFERROR(__xludf.DUMMYFUNCTION("""COMPUTED_VALUE"""),FALSE)</f>
        <v>0</v>
      </c>
      <c r="N2263" s="20" t="b">
        <f>IFERROR(__xludf.DUMMYFUNCTION("""COMPUTED_VALUE"""),FALSE)</f>
        <v>0</v>
      </c>
      <c r="O2263" s="20">
        <f>IFERROR(__xludf.DUMMYFUNCTION("""COMPUTED_VALUE"""),57.8388120729542)</f>
        <v>57.83881207</v>
      </c>
      <c r="P2263" s="20">
        <f>IFERROR(__xludf.DUMMYFUNCTION("""COMPUTED_VALUE"""),21500.0)</f>
        <v>21500</v>
      </c>
      <c r="Q2263" s="20">
        <f>IFERROR(__xludf.DUMMYFUNCTION("""COMPUTED_VALUE"""),37173.0)</f>
        <v>37173</v>
      </c>
    </row>
    <row r="2264">
      <c r="A2264" s="20">
        <f>IFERROR(__xludf.DUMMYFUNCTION("""COMPUTED_VALUE"""),1419.0)</f>
        <v>1419</v>
      </c>
      <c r="B2264" s="20" t="str">
        <f>IFERROR(__xludf.DUMMYFUNCTION("""COMPUTED_VALUE"""),"Make Array Non-decreasing or Non-increasing")</f>
        <v>Make Array Non-decreasing or Non-increasing</v>
      </c>
      <c r="C2264" s="20" t="str">
        <f>IFERROR(__xludf.DUMMYFUNCTION("""COMPUTED_VALUE"""),"make-array-non-decreasing-or-non-increasing")</f>
        <v>make-array-non-decreasing-or-non-increasing</v>
      </c>
      <c r="D2264" s="20" t="b">
        <f>IFERROR(__xludf.DUMMYFUNCTION("""COMPUTED_VALUE"""),TRUE)</f>
        <v>1</v>
      </c>
      <c r="E2264" s="20" t="str">
        <f>IFERROR(__xludf.DUMMYFUNCTION("""COMPUTED_VALUE"""),"Hard")</f>
        <v>Hard</v>
      </c>
      <c r="F2264" s="20">
        <f>IFERROR(__xludf.DUMMYFUNCTION("""COMPUTED_VALUE"""),52.0)</f>
        <v>52</v>
      </c>
      <c r="G2264" s="20">
        <f>IFERROR(__xludf.DUMMYFUNCTION("""COMPUTED_VALUE"""),3.0)</f>
        <v>3</v>
      </c>
      <c r="H2264" s="20" t="str">
        <f>IFERROR(__xludf.DUMMYFUNCTION("""COMPUTED_VALUE"""),"Algorithms")</f>
        <v>Algorithms</v>
      </c>
      <c r="I2264" s="20">
        <f>IFERROR(__xludf.DUMMYFUNCTION("""COMPUTED_VALUE"""),0.677)</f>
        <v>0.677</v>
      </c>
      <c r="J2264" s="20">
        <f>IFERROR(__xludf.DUMMYFUNCTION("""COMPUTED_VALUE"""),2263.0)</f>
        <v>2263</v>
      </c>
      <c r="K2264" s="20" t="b">
        <f>IFERROR(__xludf.DUMMYFUNCTION("""COMPUTED_VALUE"""),TRUE)</f>
        <v>1</v>
      </c>
      <c r="L2264" s="20" t="str">
        <f>IFERROR(__xludf.DUMMYFUNCTION("""COMPUTED_VALUE"""),"Dynamic Programming;Greedy;")</f>
        <v>Dynamic Programming;Greedy;</v>
      </c>
      <c r="M2264" s="20" t="b">
        <f>IFERROR(__xludf.DUMMYFUNCTION("""COMPUTED_VALUE"""),FALSE)</f>
        <v>0</v>
      </c>
      <c r="N2264" s="20" t="b">
        <f>IFERROR(__xludf.DUMMYFUNCTION("""COMPUTED_VALUE"""),FALSE)</f>
        <v>0</v>
      </c>
      <c r="O2264" s="20">
        <f>IFERROR(__xludf.DUMMYFUNCTION("""COMPUTED_VALUE"""),67.6767676767676)</f>
        <v>67.67676768</v>
      </c>
      <c r="P2264" s="20">
        <f>IFERROR(__xludf.DUMMYFUNCTION("""COMPUTED_VALUE"""),871.0)</f>
        <v>871</v>
      </c>
      <c r="Q2264" s="20">
        <f>IFERROR(__xludf.DUMMYFUNCTION("""COMPUTED_VALUE"""),1287.0)</f>
        <v>1287</v>
      </c>
    </row>
    <row r="2265">
      <c r="A2265" s="20">
        <f>IFERROR(__xludf.DUMMYFUNCTION("""COMPUTED_VALUE"""),2346.0)</f>
        <v>2346</v>
      </c>
      <c r="B2265" s="20" t="str">
        <f>IFERROR(__xludf.DUMMYFUNCTION("""COMPUTED_VALUE"""),"Largest 3-Same-Digit Number in String")</f>
        <v>Largest 3-Same-Digit Number in String</v>
      </c>
      <c r="C2265" s="20" t="str">
        <f>IFERROR(__xludf.DUMMYFUNCTION("""COMPUTED_VALUE"""),"largest-3-same-digit-number-in-string")</f>
        <v>largest-3-same-digit-number-in-string</v>
      </c>
      <c r="D2265" s="20" t="b">
        <f>IFERROR(__xludf.DUMMYFUNCTION("""COMPUTED_VALUE"""),FALSE)</f>
        <v>0</v>
      </c>
      <c r="E2265" s="20" t="str">
        <f>IFERROR(__xludf.DUMMYFUNCTION("""COMPUTED_VALUE"""),"Easy")</f>
        <v>Easy</v>
      </c>
      <c r="F2265" s="20">
        <f>IFERROR(__xludf.DUMMYFUNCTION("""COMPUTED_VALUE"""),257.0)</f>
        <v>257</v>
      </c>
      <c r="G2265" s="20">
        <f>IFERROR(__xludf.DUMMYFUNCTION("""COMPUTED_VALUE"""),16.0)</f>
        <v>16</v>
      </c>
      <c r="H2265" s="20" t="str">
        <f>IFERROR(__xludf.DUMMYFUNCTION("""COMPUTED_VALUE"""),"Algorithms")</f>
        <v>Algorithms</v>
      </c>
      <c r="I2265" s="20">
        <f>IFERROR(__xludf.DUMMYFUNCTION("""COMPUTED_VALUE"""),0.593)</f>
        <v>0.593</v>
      </c>
      <c r="J2265" s="20">
        <f>IFERROR(__xludf.DUMMYFUNCTION("""COMPUTED_VALUE"""),2264.0)</f>
        <v>2264</v>
      </c>
      <c r="K2265" s="20" t="b">
        <f>IFERROR(__xludf.DUMMYFUNCTION("""COMPUTED_VALUE"""),FALSE)</f>
        <v>0</v>
      </c>
      <c r="L2265" s="20" t="str">
        <f>IFERROR(__xludf.DUMMYFUNCTION("""COMPUTED_VALUE"""),"String;")</f>
        <v>String;</v>
      </c>
      <c r="M2265" s="20" t="b">
        <f>IFERROR(__xludf.DUMMYFUNCTION("""COMPUTED_VALUE"""),FALSE)</f>
        <v>0</v>
      </c>
      <c r="N2265" s="20" t="b">
        <f>IFERROR(__xludf.DUMMYFUNCTION("""COMPUTED_VALUE"""),FALSE)</f>
        <v>0</v>
      </c>
      <c r="O2265" s="20">
        <f>IFERROR(__xludf.DUMMYFUNCTION("""COMPUTED_VALUE"""),59.2609651418402)</f>
        <v>59.26096514</v>
      </c>
      <c r="P2265" s="20">
        <f>IFERROR(__xludf.DUMMYFUNCTION("""COMPUTED_VALUE"""),28306.0)</f>
        <v>28306</v>
      </c>
      <c r="Q2265" s="20">
        <f>IFERROR(__xludf.DUMMYFUNCTION("""COMPUTED_VALUE"""),47765.0)</f>
        <v>47765</v>
      </c>
    </row>
    <row r="2266">
      <c r="A2266" s="20">
        <f>IFERROR(__xludf.DUMMYFUNCTION("""COMPUTED_VALUE"""),2347.0)</f>
        <v>2347</v>
      </c>
      <c r="B2266" s="20" t="str">
        <f>IFERROR(__xludf.DUMMYFUNCTION("""COMPUTED_VALUE"""),"Count Nodes Equal to Average of Subtree")</f>
        <v>Count Nodes Equal to Average of Subtree</v>
      </c>
      <c r="C2266" s="20" t="str">
        <f>IFERROR(__xludf.DUMMYFUNCTION("""COMPUTED_VALUE"""),"count-nodes-equal-to-average-of-subtree")</f>
        <v>count-nodes-equal-to-average-of-subtree</v>
      </c>
      <c r="D2266" s="20" t="b">
        <f>IFERROR(__xludf.DUMMYFUNCTION("""COMPUTED_VALUE"""),FALSE)</f>
        <v>0</v>
      </c>
      <c r="E2266" s="20" t="str">
        <f>IFERROR(__xludf.DUMMYFUNCTION("""COMPUTED_VALUE"""),"Medium")</f>
        <v>Medium</v>
      </c>
      <c r="F2266" s="20">
        <f>IFERROR(__xludf.DUMMYFUNCTION("""COMPUTED_VALUE"""),900.0)</f>
        <v>900</v>
      </c>
      <c r="G2266" s="20">
        <f>IFERROR(__xludf.DUMMYFUNCTION("""COMPUTED_VALUE"""),21.0)</f>
        <v>21</v>
      </c>
      <c r="H2266" s="20" t="str">
        <f>IFERROR(__xludf.DUMMYFUNCTION("""COMPUTED_VALUE"""),"Algorithms")</f>
        <v>Algorithms</v>
      </c>
      <c r="I2266" s="20">
        <f>IFERROR(__xludf.DUMMYFUNCTION("""COMPUTED_VALUE"""),0.856)</f>
        <v>0.856</v>
      </c>
      <c r="J2266" s="20">
        <f>IFERROR(__xludf.DUMMYFUNCTION("""COMPUTED_VALUE"""),2265.0)</f>
        <v>2265</v>
      </c>
      <c r="K2266" s="20" t="b">
        <f>IFERROR(__xludf.DUMMYFUNCTION("""COMPUTED_VALUE"""),FALSE)</f>
        <v>0</v>
      </c>
      <c r="L2266" s="20" t="str">
        <f>IFERROR(__xludf.DUMMYFUNCTION("""COMPUTED_VALUE"""),"Tree;Depth-First Search;Binary Tree;")</f>
        <v>Tree;Depth-First Search;Binary Tree;</v>
      </c>
      <c r="M2266" s="20" t="b">
        <f>IFERROR(__xludf.DUMMYFUNCTION("""COMPUTED_VALUE"""),FALSE)</f>
        <v>0</v>
      </c>
      <c r="N2266" s="20" t="b">
        <f>IFERROR(__xludf.DUMMYFUNCTION("""COMPUTED_VALUE"""),FALSE)</f>
        <v>0</v>
      </c>
      <c r="O2266" s="20">
        <f>IFERROR(__xludf.DUMMYFUNCTION("""COMPUTED_VALUE"""),85.5533990500025)</f>
        <v>85.55339905</v>
      </c>
      <c r="P2266" s="20">
        <f>IFERROR(__xludf.DUMMYFUNCTION("""COMPUTED_VALUE"""),33499.0)</f>
        <v>33499</v>
      </c>
      <c r="Q2266" s="20">
        <f>IFERROR(__xludf.DUMMYFUNCTION("""COMPUTED_VALUE"""),39153.0)</f>
        <v>39153</v>
      </c>
    </row>
    <row r="2267">
      <c r="A2267" s="20">
        <f>IFERROR(__xludf.DUMMYFUNCTION("""COMPUTED_VALUE"""),2348.0)</f>
        <v>2348</v>
      </c>
      <c r="B2267" s="20" t="str">
        <f>IFERROR(__xludf.DUMMYFUNCTION("""COMPUTED_VALUE"""),"Count Number of Texts")</f>
        <v>Count Number of Texts</v>
      </c>
      <c r="C2267" s="20" t="str">
        <f>IFERROR(__xludf.DUMMYFUNCTION("""COMPUTED_VALUE"""),"count-number-of-texts")</f>
        <v>count-number-of-texts</v>
      </c>
      <c r="D2267" s="20" t="b">
        <f>IFERROR(__xludf.DUMMYFUNCTION("""COMPUTED_VALUE"""),FALSE)</f>
        <v>0</v>
      </c>
      <c r="E2267" s="20" t="str">
        <f>IFERROR(__xludf.DUMMYFUNCTION("""COMPUTED_VALUE"""),"Medium")</f>
        <v>Medium</v>
      </c>
      <c r="F2267" s="20">
        <f>IFERROR(__xludf.DUMMYFUNCTION("""COMPUTED_VALUE"""),644.0)</f>
        <v>644</v>
      </c>
      <c r="G2267" s="20">
        <f>IFERROR(__xludf.DUMMYFUNCTION("""COMPUTED_VALUE"""),21.0)</f>
        <v>21</v>
      </c>
      <c r="H2267" s="20" t="str">
        <f>IFERROR(__xludf.DUMMYFUNCTION("""COMPUTED_VALUE"""),"Algorithms")</f>
        <v>Algorithms</v>
      </c>
      <c r="I2267" s="20">
        <f>IFERROR(__xludf.DUMMYFUNCTION("""COMPUTED_VALUE"""),0.473)</f>
        <v>0.473</v>
      </c>
      <c r="J2267" s="20">
        <f>IFERROR(__xludf.DUMMYFUNCTION("""COMPUTED_VALUE"""),2266.0)</f>
        <v>2266</v>
      </c>
      <c r="K2267" s="20" t="b">
        <f>IFERROR(__xludf.DUMMYFUNCTION("""COMPUTED_VALUE"""),FALSE)</f>
        <v>0</v>
      </c>
      <c r="L2267" s="20" t="str">
        <f>IFERROR(__xludf.DUMMYFUNCTION("""COMPUTED_VALUE"""),"Hash Table;Math;String;Dynamic Programming;")</f>
        <v>Hash Table;Math;String;Dynamic Programming;</v>
      </c>
      <c r="M2267" s="20" t="b">
        <f>IFERROR(__xludf.DUMMYFUNCTION("""COMPUTED_VALUE"""),FALSE)</f>
        <v>0</v>
      </c>
      <c r="N2267" s="20" t="b">
        <f>IFERROR(__xludf.DUMMYFUNCTION("""COMPUTED_VALUE"""),FALSE)</f>
        <v>0</v>
      </c>
      <c r="O2267" s="20">
        <f>IFERROR(__xludf.DUMMYFUNCTION("""COMPUTED_VALUE"""),47.2519058557208)</f>
        <v>47.25190586</v>
      </c>
      <c r="P2267" s="20">
        <f>IFERROR(__xludf.DUMMYFUNCTION("""COMPUTED_VALUE"""),14194.0)</f>
        <v>14194</v>
      </c>
      <c r="Q2267" s="20">
        <f>IFERROR(__xludf.DUMMYFUNCTION("""COMPUTED_VALUE"""),30037.0)</f>
        <v>30037</v>
      </c>
    </row>
    <row r="2268">
      <c r="A2268" s="20">
        <f>IFERROR(__xludf.DUMMYFUNCTION("""COMPUTED_VALUE"""),2349.0)</f>
        <v>2349</v>
      </c>
      <c r="B2268" s="20" t="str">
        <f>IFERROR(__xludf.DUMMYFUNCTION("""COMPUTED_VALUE""")," Check if There Is a Valid Parentheses String Path")</f>
        <v> Check if There Is a Valid Parentheses String Path</v>
      </c>
      <c r="C2268" s="20" t="str">
        <f>IFERROR(__xludf.DUMMYFUNCTION("""COMPUTED_VALUE"""),"check-if-there-is-a-valid-parentheses-string-path")</f>
        <v>check-if-there-is-a-valid-parentheses-string-path</v>
      </c>
      <c r="D2268" s="20" t="b">
        <f>IFERROR(__xludf.DUMMYFUNCTION("""COMPUTED_VALUE"""),FALSE)</f>
        <v>0</v>
      </c>
      <c r="E2268" s="20" t="str">
        <f>IFERROR(__xludf.DUMMYFUNCTION("""COMPUTED_VALUE"""),"Hard")</f>
        <v>Hard</v>
      </c>
      <c r="F2268" s="20">
        <f>IFERROR(__xludf.DUMMYFUNCTION("""COMPUTED_VALUE"""),413.0)</f>
        <v>413</v>
      </c>
      <c r="G2268" s="20">
        <f>IFERROR(__xludf.DUMMYFUNCTION("""COMPUTED_VALUE"""),4.0)</f>
        <v>4</v>
      </c>
      <c r="H2268" s="20" t="str">
        <f>IFERROR(__xludf.DUMMYFUNCTION("""COMPUTED_VALUE"""),"Algorithms")</f>
        <v>Algorithms</v>
      </c>
      <c r="I2268" s="20">
        <f>IFERROR(__xludf.DUMMYFUNCTION("""COMPUTED_VALUE"""),0.38)</f>
        <v>0.38</v>
      </c>
      <c r="J2268" s="20">
        <f>IFERROR(__xludf.DUMMYFUNCTION("""COMPUTED_VALUE"""),2267.0)</f>
        <v>2267</v>
      </c>
      <c r="K2268" s="20" t="b">
        <f>IFERROR(__xludf.DUMMYFUNCTION("""COMPUTED_VALUE"""),FALSE)</f>
        <v>0</v>
      </c>
      <c r="L2268" s="20" t="str">
        <f>IFERROR(__xludf.DUMMYFUNCTION("""COMPUTED_VALUE"""),"Array;Dynamic Programming;Matrix;")</f>
        <v>Array;Dynamic Programming;Matrix;</v>
      </c>
      <c r="M2268" s="20" t="b">
        <f>IFERROR(__xludf.DUMMYFUNCTION("""COMPUTED_VALUE"""),FALSE)</f>
        <v>0</v>
      </c>
      <c r="N2268" s="20" t="b">
        <f>IFERROR(__xludf.DUMMYFUNCTION("""COMPUTED_VALUE"""),FALSE)</f>
        <v>0</v>
      </c>
      <c r="O2268" s="20">
        <f>IFERROR(__xludf.DUMMYFUNCTION("""COMPUTED_VALUE"""),38.0246677502629)</f>
        <v>38.02466775</v>
      </c>
      <c r="P2268" s="20">
        <f>IFERROR(__xludf.DUMMYFUNCTION("""COMPUTED_VALUE"""),11931.0)</f>
        <v>11931</v>
      </c>
      <c r="Q2268" s="20">
        <f>IFERROR(__xludf.DUMMYFUNCTION("""COMPUTED_VALUE"""),31377.0)</f>
        <v>31377</v>
      </c>
    </row>
    <row r="2269">
      <c r="A2269" s="20">
        <f>IFERROR(__xludf.DUMMYFUNCTION("""COMPUTED_VALUE"""),2405.0)</f>
        <v>2405</v>
      </c>
      <c r="B2269" s="20" t="str">
        <f>IFERROR(__xludf.DUMMYFUNCTION("""COMPUTED_VALUE"""),"Minimum Number of Keypresses")</f>
        <v>Minimum Number of Keypresses</v>
      </c>
      <c r="C2269" s="20" t="str">
        <f>IFERROR(__xludf.DUMMYFUNCTION("""COMPUTED_VALUE"""),"minimum-number-of-keypresses")</f>
        <v>minimum-number-of-keypresses</v>
      </c>
      <c r="D2269" s="20" t="b">
        <f>IFERROR(__xludf.DUMMYFUNCTION("""COMPUTED_VALUE"""),TRUE)</f>
        <v>1</v>
      </c>
      <c r="E2269" s="20" t="str">
        <f>IFERROR(__xludf.DUMMYFUNCTION("""COMPUTED_VALUE"""),"Medium")</f>
        <v>Medium</v>
      </c>
      <c r="F2269" s="20">
        <f>IFERROR(__xludf.DUMMYFUNCTION("""COMPUTED_VALUE"""),134.0)</f>
        <v>134</v>
      </c>
      <c r="G2269" s="20">
        <f>IFERROR(__xludf.DUMMYFUNCTION("""COMPUTED_VALUE"""),23.0)</f>
        <v>23</v>
      </c>
      <c r="H2269" s="20" t="str">
        <f>IFERROR(__xludf.DUMMYFUNCTION("""COMPUTED_VALUE"""),"Algorithms")</f>
        <v>Algorithms</v>
      </c>
      <c r="I2269" s="20">
        <f>IFERROR(__xludf.DUMMYFUNCTION("""COMPUTED_VALUE"""),0.737)</f>
        <v>0.737</v>
      </c>
      <c r="J2269" s="20">
        <f>IFERROR(__xludf.DUMMYFUNCTION("""COMPUTED_VALUE"""),2268.0)</f>
        <v>2268</v>
      </c>
      <c r="K2269" s="20" t="b">
        <f>IFERROR(__xludf.DUMMYFUNCTION("""COMPUTED_VALUE"""),TRUE)</f>
        <v>1</v>
      </c>
      <c r="L2269" s="20" t="str">
        <f>IFERROR(__xludf.DUMMYFUNCTION("""COMPUTED_VALUE"""),"Array;String;Greedy;Sorting;Counting;")</f>
        <v>Array;String;Greedy;Sorting;Counting;</v>
      </c>
      <c r="M2269" s="20" t="b">
        <f>IFERROR(__xludf.DUMMYFUNCTION("""COMPUTED_VALUE"""),FALSE)</f>
        <v>0</v>
      </c>
      <c r="N2269" s="20" t="b">
        <f>IFERROR(__xludf.DUMMYFUNCTION("""COMPUTED_VALUE"""),FALSE)</f>
        <v>0</v>
      </c>
      <c r="O2269" s="20">
        <f>IFERROR(__xludf.DUMMYFUNCTION("""COMPUTED_VALUE"""),73.71722695834)</f>
        <v>73.71722696</v>
      </c>
      <c r="P2269" s="20">
        <f>IFERROR(__xludf.DUMMYFUNCTION("""COMPUTED_VALUE"""),9166.0)</f>
        <v>9166</v>
      </c>
      <c r="Q2269" s="20">
        <f>IFERROR(__xludf.DUMMYFUNCTION("""COMPUTED_VALUE"""),12434.0)</f>
        <v>12434</v>
      </c>
    </row>
    <row r="2270">
      <c r="A2270" s="20">
        <f>IFERROR(__xludf.DUMMYFUNCTION("""COMPUTED_VALUE"""),1430.0)</f>
        <v>1430</v>
      </c>
      <c r="B2270" s="20" t="str">
        <f>IFERROR(__xludf.DUMMYFUNCTION("""COMPUTED_VALUE"""),"Find the K-Beauty of a Number")</f>
        <v>Find the K-Beauty of a Number</v>
      </c>
      <c r="C2270" s="20" t="str">
        <f>IFERROR(__xludf.DUMMYFUNCTION("""COMPUTED_VALUE"""),"find-the-k-beauty-of-a-number")</f>
        <v>find-the-k-beauty-of-a-number</v>
      </c>
      <c r="D2270" s="20" t="b">
        <f>IFERROR(__xludf.DUMMYFUNCTION("""COMPUTED_VALUE"""),FALSE)</f>
        <v>0</v>
      </c>
      <c r="E2270" s="20" t="str">
        <f>IFERROR(__xludf.DUMMYFUNCTION("""COMPUTED_VALUE"""),"Easy")</f>
        <v>Easy</v>
      </c>
      <c r="F2270" s="20">
        <f>IFERROR(__xludf.DUMMYFUNCTION("""COMPUTED_VALUE"""),375.0)</f>
        <v>375</v>
      </c>
      <c r="G2270" s="20">
        <f>IFERROR(__xludf.DUMMYFUNCTION("""COMPUTED_VALUE"""),22.0)</f>
        <v>22</v>
      </c>
      <c r="H2270" s="20" t="str">
        <f>IFERROR(__xludf.DUMMYFUNCTION("""COMPUTED_VALUE"""),"Algorithms")</f>
        <v>Algorithms</v>
      </c>
      <c r="I2270" s="20">
        <f>IFERROR(__xludf.DUMMYFUNCTION("""COMPUTED_VALUE"""),0.57)</f>
        <v>0.57</v>
      </c>
      <c r="J2270" s="20">
        <f>IFERROR(__xludf.DUMMYFUNCTION("""COMPUTED_VALUE"""),2269.0)</f>
        <v>2269</v>
      </c>
      <c r="K2270" s="20" t="b">
        <f>IFERROR(__xludf.DUMMYFUNCTION("""COMPUTED_VALUE"""),FALSE)</f>
        <v>0</v>
      </c>
      <c r="L2270" s="20" t="str">
        <f>IFERROR(__xludf.DUMMYFUNCTION("""COMPUTED_VALUE"""),"Math;String;Sliding Window;")</f>
        <v>Math;String;Sliding Window;</v>
      </c>
      <c r="M2270" s="20" t="b">
        <f>IFERROR(__xludf.DUMMYFUNCTION("""COMPUTED_VALUE"""),FALSE)</f>
        <v>0</v>
      </c>
      <c r="N2270" s="20" t="b">
        <f>IFERROR(__xludf.DUMMYFUNCTION("""COMPUTED_VALUE"""),FALSE)</f>
        <v>0</v>
      </c>
      <c r="O2270" s="20">
        <f>IFERROR(__xludf.DUMMYFUNCTION("""COMPUTED_VALUE"""),56.9975356223016)</f>
        <v>56.99753562</v>
      </c>
      <c r="P2270" s="20">
        <f>IFERROR(__xludf.DUMMYFUNCTION("""COMPUTED_VALUE"""),30758.0)</f>
        <v>30758</v>
      </c>
      <c r="Q2270" s="20">
        <f>IFERROR(__xludf.DUMMYFUNCTION("""COMPUTED_VALUE"""),53964.0)</f>
        <v>53964</v>
      </c>
    </row>
    <row r="2271">
      <c r="A2271" s="20">
        <f>IFERROR(__xludf.DUMMYFUNCTION("""COMPUTED_VALUE"""),2358.0)</f>
        <v>2358</v>
      </c>
      <c r="B2271" s="20" t="str">
        <f>IFERROR(__xludf.DUMMYFUNCTION("""COMPUTED_VALUE"""),"Number of Ways to Split Array")</f>
        <v>Number of Ways to Split Array</v>
      </c>
      <c r="C2271" s="20" t="str">
        <f>IFERROR(__xludf.DUMMYFUNCTION("""COMPUTED_VALUE"""),"number-of-ways-to-split-array")</f>
        <v>number-of-ways-to-split-array</v>
      </c>
      <c r="D2271" s="20" t="b">
        <f>IFERROR(__xludf.DUMMYFUNCTION("""COMPUTED_VALUE"""),FALSE)</f>
        <v>0</v>
      </c>
      <c r="E2271" s="20" t="str">
        <f>IFERROR(__xludf.DUMMYFUNCTION("""COMPUTED_VALUE"""),"Medium")</f>
        <v>Medium</v>
      </c>
      <c r="F2271" s="20">
        <f>IFERROR(__xludf.DUMMYFUNCTION("""COMPUTED_VALUE"""),358.0)</f>
        <v>358</v>
      </c>
      <c r="G2271" s="20">
        <f>IFERROR(__xludf.DUMMYFUNCTION("""COMPUTED_VALUE"""),30.0)</f>
        <v>30</v>
      </c>
      <c r="H2271" s="20" t="str">
        <f>IFERROR(__xludf.DUMMYFUNCTION("""COMPUTED_VALUE"""),"Algorithms")</f>
        <v>Algorithms</v>
      </c>
      <c r="I2271" s="20">
        <f>IFERROR(__xludf.DUMMYFUNCTION("""COMPUTED_VALUE"""),0.454)</f>
        <v>0.454</v>
      </c>
      <c r="J2271" s="20">
        <f>IFERROR(__xludf.DUMMYFUNCTION("""COMPUTED_VALUE"""),2270.0)</f>
        <v>2270</v>
      </c>
      <c r="K2271" s="20" t="b">
        <f>IFERROR(__xludf.DUMMYFUNCTION("""COMPUTED_VALUE"""),FALSE)</f>
        <v>0</v>
      </c>
      <c r="L2271" s="20" t="str">
        <f>IFERROR(__xludf.DUMMYFUNCTION("""COMPUTED_VALUE"""),"Array;Prefix Sum;")</f>
        <v>Array;Prefix Sum;</v>
      </c>
      <c r="M2271" s="20" t="b">
        <f>IFERROR(__xludf.DUMMYFUNCTION("""COMPUTED_VALUE"""),FALSE)</f>
        <v>0</v>
      </c>
      <c r="N2271" s="20" t="b">
        <f>IFERROR(__xludf.DUMMYFUNCTION("""COMPUTED_VALUE"""),FALSE)</f>
        <v>0</v>
      </c>
      <c r="O2271" s="20">
        <f>IFERROR(__xludf.DUMMYFUNCTION("""COMPUTED_VALUE"""),45.3934042595032)</f>
        <v>45.39340426</v>
      </c>
      <c r="P2271" s="20">
        <f>IFERROR(__xludf.DUMMYFUNCTION("""COMPUTED_VALUE"""),23082.0)</f>
        <v>23082</v>
      </c>
      <c r="Q2271" s="20">
        <f>IFERROR(__xludf.DUMMYFUNCTION("""COMPUTED_VALUE"""),50850.0)</f>
        <v>50850</v>
      </c>
    </row>
    <row r="2272">
      <c r="A2272" s="20">
        <f>IFERROR(__xludf.DUMMYFUNCTION("""COMPUTED_VALUE"""),2359.0)</f>
        <v>2359</v>
      </c>
      <c r="B2272" s="20" t="str">
        <f>IFERROR(__xludf.DUMMYFUNCTION("""COMPUTED_VALUE"""),"Maximum White Tiles Covered by a Carpet")</f>
        <v>Maximum White Tiles Covered by a Carpet</v>
      </c>
      <c r="C2272" s="20" t="str">
        <f>IFERROR(__xludf.DUMMYFUNCTION("""COMPUTED_VALUE"""),"maximum-white-tiles-covered-by-a-carpet")</f>
        <v>maximum-white-tiles-covered-by-a-carpet</v>
      </c>
      <c r="D2272" s="20" t="b">
        <f>IFERROR(__xludf.DUMMYFUNCTION("""COMPUTED_VALUE"""),FALSE)</f>
        <v>0</v>
      </c>
      <c r="E2272" s="20" t="str">
        <f>IFERROR(__xludf.DUMMYFUNCTION("""COMPUTED_VALUE"""),"Medium")</f>
        <v>Medium</v>
      </c>
      <c r="F2272" s="20">
        <f>IFERROR(__xludf.DUMMYFUNCTION("""COMPUTED_VALUE"""),611.0)</f>
        <v>611</v>
      </c>
      <c r="G2272" s="20">
        <f>IFERROR(__xludf.DUMMYFUNCTION("""COMPUTED_VALUE"""),37.0)</f>
        <v>37</v>
      </c>
      <c r="H2272" s="20" t="str">
        <f>IFERROR(__xludf.DUMMYFUNCTION("""COMPUTED_VALUE"""),"Algorithms")</f>
        <v>Algorithms</v>
      </c>
      <c r="I2272" s="20">
        <f>IFERROR(__xludf.DUMMYFUNCTION("""COMPUTED_VALUE"""),0.329)</f>
        <v>0.329</v>
      </c>
      <c r="J2272" s="20">
        <f>IFERROR(__xludf.DUMMYFUNCTION("""COMPUTED_VALUE"""),2271.0)</f>
        <v>2271</v>
      </c>
      <c r="K2272" s="20" t="b">
        <f>IFERROR(__xludf.DUMMYFUNCTION("""COMPUTED_VALUE"""),FALSE)</f>
        <v>0</v>
      </c>
      <c r="L2272" s="20" t="str">
        <f>IFERROR(__xludf.DUMMYFUNCTION("""COMPUTED_VALUE"""),"Array;Binary Search;Greedy;Sorting;Prefix Sum;")</f>
        <v>Array;Binary Search;Greedy;Sorting;Prefix Sum;</v>
      </c>
      <c r="M2272" s="20" t="b">
        <f>IFERROR(__xludf.DUMMYFUNCTION("""COMPUTED_VALUE"""),FALSE)</f>
        <v>0</v>
      </c>
      <c r="N2272" s="20" t="b">
        <f>IFERROR(__xludf.DUMMYFUNCTION("""COMPUTED_VALUE"""),FALSE)</f>
        <v>0</v>
      </c>
      <c r="O2272" s="20">
        <f>IFERROR(__xludf.DUMMYFUNCTION("""COMPUTED_VALUE"""),32.9199608662312)</f>
        <v>32.91996087</v>
      </c>
      <c r="P2272" s="20">
        <f>IFERROR(__xludf.DUMMYFUNCTION("""COMPUTED_VALUE"""),12450.0)</f>
        <v>12450</v>
      </c>
      <c r="Q2272" s="20">
        <f>IFERROR(__xludf.DUMMYFUNCTION("""COMPUTED_VALUE"""),37817.0)</f>
        <v>37817</v>
      </c>
    </row>
    <row r="2273">
      <c r="A2273" s="20">
        <f>IFERROR(__xludf.DUMMYFUNCTION("""COMPUTED_VALUE"""),2360.0)</f>
        <v>2360</v>
      </c>
      <c r="B2273" s="20" t="str">
        <f>IFERROR(__xludf.DUMMYFUNCTION("""COMPUTED_VALUE"""),"Substring With Largest Variance")</f>
        <v>Substring With Largest Variance</v>
      </c>
      <c r="C2273" s="20" t="str">
        <f>IFERROR(__xludf.DUMMYFUNCTION("""COMPUTED_VALUE"""),"substring-with-largest-variance")</f>
        <v>substring-with-largest-variance</v>
      </c>
      <c r="D2273" s="20" t="b">
        <f>IFERROR(__xludf.DUMMYFUNCTION("""COMPUTED_VALUE"""),FALSE)</f>
        <v>0</v>
      </c>
      <c r="E2273" s="20" t="str">
        <f>IFERROR(__xludf.DUMMYFUNCTION("""COMPUTED_VALUE"""),"Hard")</f>
        <v>Hard</v>
      </c>
      <c r="F2273" s="20">
        <f>IFERROR(__xludf.DUMMYFUNCTION("""COMPUTED_VALUE"""),640.0)</f>
        <v>640</v>
      </c>
      <c r="G2273" s="20">
        <f>IFERROR(__xludf.DUMMYFUNCTION("""COMPUTED_VALUE"""),78.0)</f>
        <v>78</v>
      </c>
      <c r="H2273" s="20" t="str">
        <f>IFERROR(__xludf.DUMMYFUNCTION("""COMPUTED_VALUE"""),"Algorithms")</f>
        <v>Algorithms</v>
      </c>
      <c r="I2273" s="20">
        <f>IFERROR(__xludf.DUMMYFUNCTION("""COMPUTED_VALUE"""),0.373)</f>
        <v>0.373</v>
      </c>
      <c r="J2273" s="20">
        <f>IFERROR(__xludf.DUMMYFUNCTION("""COMPUTED_VALUE"""),2272.0)</f>
        <v>2272</v>
      </c>
      <c r="K2273" s="20" t="b">
        <f>IFERROR(__xludf.DUMMYFUNCTION("""COMPUTED_VALUE"""),FALSE)</f>
        <v>0</v>
      </c>
      <c r="L2273" s="20" t="str">
        <f>IFERROR(__xludf.DUMMYFUNCTION("""COMPUTED_VALUE"""),"Array;Dynamic Programming;")</f>
        <v>Array;Dynamic Programming;</v>
      </c>
      <c r="M2273" s="20" t="b">
        <f>IFERROR(__xludf.DUMMYFUNCTION("""COMPUTED_VALUE"""),FALSE)</f>
        <v>0</v>
      </c>
      <c r="N2273" s="20" t="b">
        <f>IFERROR(__xludf.DUMMYFUNCTION("""COMPUTED_VALUE"""),FALSE)</f>
        <v>0</v>
      </c>
      <c r="O2273" s="20">
        <f>IFERROR(__xludf.DUMMYFUNCTION("""COMPUTED_VALUE"""),37.3061767565631)</f>
        <v>37.30617676</v>
      </c>
      <c r="P2273" s="20">
        <f>IFERROR(__xludf.DUMMYFUNCTION("""COMPUTED_VALUE"""),21870.0)</f>
        <v>21870</v>
      </c>
      <c r="Q2273" s="20">
        <f>IFERROR(__xludf.DUMMYFUNCTION("""COMPUTED_VALUE"""),58622.0)</f>
        <v>58622</v>
      </c>
    </row>
    <row r="2274">
      <c r="A2274" s="20">
        <f>IFERROR(__xludf.DUMMYFUNCTION("""COMPUTED_VALUE"""),1353.0)</f>
        <v>1353</v>
      </c>
      <c r="B2274" s="20" t="str">
        <f>IFERROR(__xludf.DUMMYFUNCTION("""COMPUTED_VALUE"""),"Find Resultant Array After Removing Anagrams")</f>
        <v>Find Resultant Array After Removing Anagrams</v>
      </c>
      <c r="C2274" s="20" t="str">
        <f>IFERROR(__xludf.DUMMYFUNCTION("""COMPUTED_VALUE"""),"find-resultant-array-after-removing-anagrams")</f>
        <v>find-resultant-array-after-removing-anagrams</v>
      </c>
      <c r="D2274" s="20" t="b">
        <f>IFERROR(__xludf.DUMMYFUNCTION("""COMPUTED_VALUE"""),FALSE)</f>
        <v>0</v>
      </c>
      <c r="E2274" s="20" t="str">
        <f>IFERROR(__xludf.DUMMYFUNCTION("""COMPUTED_VALUE"""),"Easy")</f>
        <v>Easy</v>
      </c>
      <c r="F2274" s="20">
        <f>IFERROR(__xludf.DUMMYFUNCTION("""COMPUTED_VALUE"""),411.0)</f>
        <v>411</v>
      </c>
      <c r="G2274" s="20">
        <f>IFERROR(__xludf.DUMMYFUNCTION("""COMPUTED_VALUE"""),96.0)</f>
        <v>96</v>
      </c>
      <c r="H2274" s="20" t="str">
        <f>IFERROR(__xludf.DUMMYFUNCTION("""COMPUTED_VALUE"""),"Algorithms")</f>
        <v>Algorithms</v>
      </c>
      <c r="I2274" s="20">
        <f>IFERROR(__xludf.DUMMYFUNCTION("""COMPUTED_VALUE"""),0.582)</f>
        <v>0.582</v>
      </c>
      <c r="J2274" s="20">
        <f>IFERROR(__xludf.DUMMYFUNCTION("""COMPUTED_VALUE"""),2273.0)</f>
        <v>2273</v>
      </c>
      <c r="K2274" s="20" t="b">
        <f>IFERROR(__xludf.DUMMYFUNCTION("""COMPUTED_VALUE"""),FALSE)</f>
        <v>0</v>
      </c>
      <c r="L2274" s="20" t="str">
        <f>IFERROR(__xludf.DUMMYFUNCTION("""COMPUTED_VALUE"""),"Array;Hash Table;String;Sorting;")</f>
        <v>Array;Hash Table;String;Sorting;</v>
      </c>
      <c r="M2274" s="20" t="b">
        <f>IFERROR(__xludf.DUMMYFUNCTION("""COMPUTED_VALUE"""),FALSE)</f>
        <v>0</v>
      </c>
      <c r="N2274" s="20" t="b">
        <f>IFERROR(__xludf.DUMMYFUNCTION("""COMPUTED_VALUE"""),FALSE)</f>
        <v>0</v>
      </c>
      <c r="O2274" s="20">
        <f>IFERROR(__xludf.DUMMYFUNCTION("""COMPUTED_VALUE"""),58.2328510182207)</f>
        <v>58.23285102</v>
      </c>
      <c r="P2274" s="20">
        <f>IFERROR(__xludf.DUMMYFUNCTION("""COMPUTED_VALUE"""),34772.0)</f>
        <v>34772</v>
      </c>
      <c r="Q2274" s="20">
        <f>IFERROR(__xludf.DUMMYFUNCTION("""COMPUTED_VALUE"""),59712.0)</f>
        <v>59712</v>
      </c>
    </row>
    <row r="2275">
      <c r="A2275" s="20">
        <f>IFERROR(__xludf.DUMMYFUNCTION("""COMPUTED_VALUE"""),2355.0)</f>
        <v>2355</v>
      </c>
      <c r="B2275" s="20" t="str">
        <f>IFERROR(__xludf.DUMMYFUNCTION("""COMPUTED_VALUE"""),"Maximum Consecutive Floors Without Special Floors")</f>
        <v>Maximum Consecutive Floors Without Special Floors</v>
      </c>
      <c r="C2275" s="20" t="str">
        <f>IFERROR(__xludf.DUMMYFUNCTION("""COMPUTED_VALUE"""),"maximum-consecutive-floors-without-special-floors")</f>
        <v>maximum-consecutive-floors-without-special-floors</v>
      </c>
      <c r="D2275" s="20" t="b">
        <f>IFERROR(__xludf.DUMMYFUNCTION("""COMPUTED_VALUE"""),FALSE)</f>
        <v>0</v>
      </c>
      <c r="E2275" s="20" t="str">
        <f>IFERROR(__xludf.DUMMYFUNCTION("""COMPUTED_VALUE"""),"Medium")</f>
        <v>Medium</v>
      </c>
      <c r="F2275" s="20">
        <f>IFERROR(__xludf.DUMMYFUNCTION("""COMPUTED_VALUE"""),277.0)</f>
        <v>277</v>
      </c>
      <c r="G2275" s="20">
        <f>IFERROR(__xludf.DUMMYFUNCTION("""COMPUTED_VALUE"""),27.0)</f>
        <v>27</v>
      </c>
      <c r="H2275" s="20" t="str">
        <f>IFERROR(__xludf.DUMMYFUNCTION("""COMPUTED_VALUE"""),"Algorithms")</f>
        <v>Algorithms</v>
      </c>
      <c r="I2275" s="20">
        <f>IFERROR(__xludf.DUMMYFUNCTION("""COMPUTED_VALUE"""),0.522)</f>
        <v>0.522</v>
      </c>
      <c r="J2275" s="20">
        <f>IFERROR(__xludf.DUMMYFUNCTION("""COMPUTED_VALUE"""),2274.0)</f>
        <v>2274</v>
      </c>
      <c r="K2275" s="20" t="b">
        <f>IFERROR(__xludf.DUMMYFUNCTION("""COMPUTED_VALUE"""),FALSE)</f>
        <v>0</v>
      </c>
      <c r="L2275" s="20" t="str">
        <f>IFERROR(__xludf.DUMMYFUNCTION("""COMPUTED_VALUE"""),"Array;Sorting;")</f>
        <v>Array;Sorting;</v>
      </c>
      <c r="M2275" s="20" t="b">
        <f>IFERROR(__xludf.DUMMYFUNCTION("""COMPUTED_VALUE"""),FALSE)</f>
        <v>0</v>
      </c>
      <c r="N2275" s="20" t="b">
        <f>IFERROR(__xludf.DUMMYFUNCTION("""COMPUTED_VALUE"""),FALSE)</f>
        <v>0</v>
      </c>
      <c r="O2275" s="20">
        <f>IFERROR(__xludf.DUMMYFUNCTION("""COMPUTED_VALUE"""),52.1632240928946)</f>
        <v>52.16322409</v>
      </c>
      <c r="P2275" s="20">
        <f>IFERROR(__xludf.DUMMYFUNCTION("""COMPUTED_VALUE"""),23764.0)</f>
        <v>23764</v>
      </c>
      <c r="Q2275" s="20">
        <f>IFERROR(__xludf.DUMMYFUNCTION("""COMPUTED_VALUE"""),45557.0)</f>
        <v>45557</v>
      </c>
    </row>
    <row r="2276">
      <c r="A2276" s="20">
        <f>IFERROR(__xludf.DUMMYFUNCTION("""COMPUTED_VALUE"""),2356.0)</f>
        <v>2356</v>
      </c>
      <c r="B2276" s="20" t="str">
        <f>IFERROR(__xludf.DUMMYFUNCTION("""COMPUTED_VALUE"""),"Largest Combination With Bitwise AND Greater Than Zero")</f>
        <v>Largest Combination With Bitwise AND Greater Than Zero</v>
      </c>
      <c r="C2276" s="20" t="str">
        <f>IFERROR(__xludf.DUMMYFUNCTION("""COMPUTED_VALUE"""),"largest-combination-with-bitwise-and-greater-than-zero")</f>
        <v>largest-combination-with-bitwise-and-greater-than-zero</v>
      </c>
      <c r="D2276" s="20" t="b">
        <f>IFERROR(__xludf.DUMMYFUNCTION("""COMPUTED_VALUE"""),FALSE)</f>
        <v>0</v>
      </c>
      <c r="E2276" s="20" t="str">
        <f>IFERROR(__xludf.DUMMYFUNCTION("""COMPUTED_VALUE"""),"Medium")</f>
        <v>Medium</v>
      </c>
      <c r="F2276" s="20">
        <f>IFERROR(__xludf.DUMMYFUNCTION("""COMPUTED_VALUE"""),401.0)</f>
        <v>401</v>
      </c>
      <c r="G2276" s="20">
        <f>IFERROR(__xludf.DUMMYFUNCTION("""COMPUTED_VALUE"""),11.0)</f>
        <v>11</v>
      </c>
      <c r="H2276" s="20" t="str">
        <f>IFERROR(__xludf.DUMMYFUNCTION("""COMPUTED_VALUE"""),"Algorithms")</f>
        <v>Algorithms</v>
      </c>
      <c r="I2276" s="20">
        <f>IFERROR(__xludf.DUMMYFUNCTION("""COMPUTED_VALUE"""),0.725)</f>
        <v>0.725</v>
      </c>
      <c r="J2276" s="20">
        <f>IFERROR(__xludf.DUMMYFUNCTION("""COMPUTED_VALUE"""),2275.0)</f>
        <v>2275</v>
      </c>
      <c r="K2276" s="20" t="b">
        <f>IFERROR(__xludf.DUMMYFUNCTION("""COMPUTED_VALUE"""),FALSE)</f>
        <v>0</v>
      </c>
      <c r="L2276" s="20" t="str">
        <f>IFERROR(__xludf.DUMMYFUNCTION("""COMPUTED_VALUE"""),"Array;Hash Table;Bit Manipulation;Counting;")</f>
        <v>Array;Hash Table;Bit Manipulation;Counting;</v>
      </c>
      <c r="M2276" s="20" t="b">
        <f>IFERROR(__xludf.DUMMYFUNCTION("""COMPUTED_VALUE"""),FALSE)</f>
        <v>0</v>
      </c>
      <c r="N2276" s="20" t="b">
        <f>IFERROR(__xludf.DUMMYFUNCTION("""COMPUTED_VALUE"""),FALSE)</f>
        <v>0</v>
      </c>
      <c r="O2276" s="20">
        <f>IFERROR(__xludf.DUMMYFUNCTION("""COMPUTED_VALUE"""),72.4751120905843)</f>
        <v>72.47511209</v>
      </c>
      <c r="P2276" s="20">
        <f>IFERROR(__xludf.DUMMYFUNCTION("""COMPUTED_VALUE"""),19074.0)</f>
        <v>19074</v>
      </c>
      <c r="Q2276" s="20">
        <f>IFERROR(__xludf.DUMMYFUNCTION("""COMPUTED_VALUE"""),26318.0)</f>
        <v>26318</v>
      </c>
    </row>
    <row r="2277">
      <c r="A2277" s="20">
        <f>IFERROR(__xludf.DUMMYFUNCTION("""COMPUTED_VALUE"""),2357.0)</f>
        <v>2357</v>
      </c>
      <c r="B2277" s="20" t="str">
        <f>IFERROR(__xludf.DUMMYFUNCTION("""COMPUTED_VALUE"""),"Count Integers in Intervals")</f>
        <v>Count Integers in Intervals</v>
      </c>
      <c r="C2277" s="20" t="str">
        <f>IFERROR(__xludf.DUMMYFUNCTION("""COMPUTED_VALUE"""),"count-integers-in-intervals")</f>
        <v>count-integers-in-intervals</v>
      </c>
      <c r="D2277" s="20" t="b">
        <f>IFERROR(__xludf.DUMMYFUNCTION("""COMPUTED_VALUE"""),FALSE)</f>
        <v>0</v>
      </c>
      <c r="E2277" s="20" t="str">
        <f>IFERROR(__xludf.DUMMYFUNCTION("""COMPUTED_VALUE"""),"Hard")</f>
        <v>Hard</v>
      </c>
      <c r="F2277" s="20">
        <f>IFERROR(__xludf.DUMMYFUNCTION("""COMPUTED_VALUE"""),407.0)</f>
        <v>407</v>
      </c>
      <c r="G2277" s="20">
        <f>IFERROR(__xludf.DUMMYFUNCTION("""COMPUTED_VALUE"""),50.0)</f>
        <v>50</v>
      </c>
      <c r="H2277" s="20" t="str">
        <f>IFERROR(__xludf.DUMMYFUNCTION("""COMPUTED_VALUE"""),"Algorithms")</f>
        <v>Algorithms</v>
      </c>
      <c r="I2277" s="20">
        <f>IFERROR(__xludf.DUMMYFUNCTION("""COMPUTED_VALUE"""),0.343)</f>
        <v>0.343</v>
      </c>
      <c r="J2277" s="20">
        <f>IFERROR(__xludf.DUMMYFUNCTION("""COMPUTED_VALUE"""),2276.0)</f>
        <v>2276</v>
      </c>
      <c r="K2277" s="20" t="b">
        <f>IFERROR(__xludf.DUMMYFUNCTION("""COMPUTED_VALUE"""),FALSE)</f>
        <v>0</v>
      </c>
      <c r="L2277" s="20" t="str">
        <f>IFERROR(__xludf.DUMMYFUNCTION("""COMPUTED_VALUE"""),"Design;Segment Tree;Ordered Set;")</f>
        <v>Design;Segment Tree;Ordered Set;</v>
      </c>
      <c r="M2277" s="20" t="b">
        <f>IFERROR(__xludf.DUMMYFUNCTION("""COMPUTED_VALUE"""),FALSE)</f>
        <v>0</v>
      </c>
      <c r="N2277" s="20" t="b">
        <f>IFERROR(__xludf.DUMMYFUNCTION("""COMPUTED_VALUE"""),FALSE)</f>
        <v>0</v>
      </c>
      <c r="O2277" s="20">
        <f>IFERROR(__xludf.DUMMYFUNCTION("""COMPUTED_VALUE"""),34.2815842729112)</f>
        <v>34.28158427</v>
      </c>
      <c r="P2277" s="20">
        <f>IFERROR(__xludf.DUMMYFUNCTION("""COMPUTED_VALUE"""),11858.0)</f>
        <v>11858</v>
      </c>
      <c r="Q2277" s="20">
        <f>IFERROR(__xludf.DUMMYFUNCTION("""COMPUTED_VALUE"""),34590.0)</f>
        <v>34590</v>
      </c>
    </row>
    <row r="2278">
      <c r="A2278" s="20">
        <f>IFERROR(__xludf.DUMMYFUNCTION("""COMPUTED_VALUE"""),2420.0)</f>
        <v>2420</v>
      </c>
      <c r="B2278" s="20" t="str">
        <f>IFERROR(__xludf.DUMMYFUNCTION("""COMPUTED_VALUE"""),"Closest Node to Path in Tree")</f>
        <v>Closest Node to Path in Tree</v>
      </c>
      <c r="C2278" s="20" t="str">
        <f>IFERROR(__xludf.DUMMYFUNCTION("""COMPUTED_VALUE"""),"closest-node-to-path-in-tree")</f>
        <v>closest-node-to-path-in-tree</v>
      </c>
      <c r="D2278" s="20" t="b">
        <f>IFERROR(__xludf.DUMMYFUNCTION("""COMPUTED_VALUE"""),TRUE)</f>
        <v>1</v>
      </c>
      <c r="E2278" s="20" t="str">
        <f>IFERROR(__xludf.DUMMYFUNCTION("""COMPUTED_VALUE"""),"Hard")</f>
        <v>Hard</v>
      </c>
      <c r="F2278" s="20">
        <f>IFERROR(__xludf.DUMMYFUNCTION("""COMPUTED_VALUE"""),77.0)</f>
        <v>77</v>
      </c>
      <c r="G2278" s="20">
        <f>IFERROR(__xludf.DUMMYFUNCTION("""COMPUTED_VALUE"""),1.0)</f>
        <v>1</v>
      </c>
      <c r="H2278" s="20" t="str">
        <f>IFERROR(__xludf.DUMMYFUNCTION("""COMPUTED_VALUE"""),"Algorithms")</f>
        <v>Algorithms</v>
      </c>
      <c r="I2278" s="20">
        <f>IFERROR(__xludf.DUMMYFUNCTION("""COMPUTED_VALUE"""),0.636)</f>
        <v>0.636</v>
      </c>
      <c r="J2278" s="20">
        <f>IFERROR(__xludf.DUMMYFUNCTION("""COMPUTED_VALUE"""),2277.0)</f>
        <v>2277</v>
      </c>
      <c r="K2278" s="20" t="b">
        <f>IFERROR(__xludf.DUMMYFUNCTION("""COMPUTED_VALUE"""),TRUE)</f>
        <v>1</v>
      </c>
      <c r="L2278" s="20" t="str">
        <f>IFERROR(__xludf.DUMMYFUNCTION("""COMPUTED_VALUE"""),"Array;Tree;Depth-First Search;Breadth-First Search;")</f>
        <v>Array;Tree;Depth-First Search;Breadth-First Search;</v>
      </c>
      <c r="M2278" s="20" t="b">
        <f>IFERROR(__xludf.DUMMYFUNCTION("""COMPUTED_VALUE"""),FALSE)</f>
        <v>0</v>
      </c>
      <c r="N2278" s="20" t="b">
        <f>IFERROR(__xludf.DUMMYFUNCTION("""COMPUTED_VALUE"""),FALSE)</f>
        <v>0</v>
      </c>
      <c r="O2278" s="20">
        <f>IFERROR(__xludf.DUMMYFUNCTION("""COMPUTED_VALUE"""),63.596249310535)</f>
        <v>63.59624931</v>
      </c>
      <c r="P2278" s="20">
        <f>IFERROR(__xludf.DUMMYFUNCTION("""COMPUTED_VALUE"""),2306.0)</f>
        <v>2306</v>
      </c>
      <c r="Q2278" s="20">
        <f>IFERROR(__xludf.DUMMYFUNCTION("""COMPUTED_VALUE"""),3626.0)</f>
        <v>3626</v>
      </c>
    </row>
    <row r="2279">
      <c r="A2279" s="20">
        <f>IFERROR(__xludf.DUMMYFUNCTION("""COMPUTED_VALUE"""),2365.0)</f>
        <v>2365</v>
      </c>
      <c r="B2279" s="20" t="str">
        <f>IFERROR(__xludf.DUMMYFUNCTION("""COMPUTED_VALUE"""),"Percentage of Letter in String")</f>
        <v>Percentage of Letter in String</v>
      </c>
      <c r="C2279" s="20" t="str">
        <f>IFERROR(__xludf.DUMMYFUNCTION("""COMPUTED_VALUE"""),"percentage-of-letter-in-string")</f>
        <v>percentage-of-letter-in-string</v>
      </c>
      <c r="D2279" s="20" t="b">
        <f>IFERROR(__xludf.DUMMYFUNCTION("""COMPUTED_VALUE"""),FALSE)</f>
        <v>0</v>
      </c>
      <c r="E2279" s="20" t="str">
        <f>IFERROR(__xludf.DUMMYFUNCTION("""COMPUTED_VALUE"""),"Easy")</f>
        <v>Easy</v>
      </c>
      <c r="F2279" s="20">
        <f>IFERROR(__xludf.DUMMYFUNCTION("""COMPUTED_VALUE"""),303.0)</f>
        <v>303</v>
      </c>
      <c r="G2279" s="20">
        <f>IFERROR(__xludf.DUMMYFUNCTION("""COMPUTED_VALUE"""),35.0)</f>
        <v>35</v>
      </c>
      <c r="H2279" s="20" t="str">
        <f>IFERROR(__xludf.DUMMYFUNCTION("""COMPUTED_VALUE"""),"Algorithms")</f>
        <v>Algorithms</v>
      </c>
      <c r="I2279" s="20">
        <f>IFERROR(__xludf.DUMMYFUNCTION("""COMPUTED_VALUE"""),0.742)</f>
        <v>0.742</v>
      </c>
      <c r="J2279" s="20">
        <f>IFERROR(__xludf.DUMMYFUNCTION("""COMPUTED_VALUE"""),2278.0)</f>
        <v>2278</v>
      </c>
      <c r="K2279" s="20" t="b">
        <f>IFERROR(__xludf.DUMMYFUNCTION("""COMPUTED_VALUE"""),FALSE)</f>
        <v>0</v>
      </c>
      <c r="L2279" s="20" t="str">
        <f>IFERROR(__xludf.DUMMYFUNCTION("""COMPUTED_VALUE"""),"String;")</f>
        <v>String;</v>
      </c>
      <c r="M2279" s="20" t="b">
        <f>IFERROR(__xludf.DUMMYFUNCTION("""COMPUTED_VALUE"""),FALSE)</f>
        <v>0</v>
      </c>
      <c r="N2279" s="20" t="b">
        <f>IFERROR(__xludf.DUMMYFUNCTION("""COMPUTED_VALUE"""),FALSE)</f>
        <v>0</v>
      </c>
      <c r="O2279" s="20">
        <f>IFERROR(__xludf.DUMMYFUNCTION("""COMPUTED_VALUE"""),74.2468207057137)</f>
        <v>74.24682071</v>
      </c>
      <c r="P2279" s="20">
        <f>IFERROR(__xludf.DUMMYFUNCTION("""COMPUTED_VALUE"""),41450.0)</f>
        <v>41450</v>
      </c>
      <c r="Q2279" s="20">
        <f>IFERROR(__xludf.DUMMYFUNCTION("""COMPUTED_VALUE"""),55828.0)</f>
        <v>55828</v>
      </c>
    </row>
    <row r="2280">
      <c r="A2280" s="20">
        <f>IFERROR(__xludf.DUMMYFUNCTION("""COMPUTED_VALUE"""),2366.0)</f>
        <v>2366</v>
      </c>
      <c r="B2280" s="20" t="str">
        <f>IFERROR(__xludf.DUMMYFUNCTION("""COMPUTED_VALUE"""),"Maximum Bags With Full Capacity of Rocks")</f>
        <v>Maximum Bags With Full Capacity of Rocks</v>
      </c>
      <c r="C2280" s="20" t="str">
        <f>IFERROR(__xludf.DUMMYFUNCTION("""COMPUTED_VALUE"""),"maximum-bags-with-full-capacity-of-rocks")</f>
        <v>maximum-bags-with-full-capacity-of-rocks</v>
      </c>
      <c r="D2280" s="20" t="b">
        <f>IFERROR(__xludf.DUMMYFUNCTION("""COMPUTED_VALUE"""),FALSE)</f>
        <v>0</v>
      </c>
      <c r="E2280" s="20" t="str">
        <f>IFERROR(__xludf.DUMMYFUNCTION("""COMPUTED_VALUE"""),"Medium")</f>
        <v>Medium</v>
      </c>
      <c r="F2280" s="20">
        <f>IFERROR(__xludf.DUMMYFUNCTION("""COMPUTED_VALUE"""),1434.0)</f>
        <v>1434</v>
      </c>
      <c r="G2280" s="20">
        <f>IFERROR(__xludf.DUMMYFUNCTION("""COMPUTED_VALUE"""),63.0)</f>
        <v>63</v>
      </c>
      <c r="H2280" s="20" t="str">
        <f>IFERROR(__xludf.DUMMYFUNCTION("""COMPUTED_VALUE"""),"Algorithms")</f>
        <v>Algorithms</v>
      </c>
      <c r="I2280" s="20">
        <f>IFERROR(__xludf.DUMMYFUNCTION("""COMPUTED_VALUE"""),0.679)</f>
        <v>0.679</v>
      </c>
      <c r="J2280" s="20">
        <f>IFERROR(__xludf.DUMMYFUNCTION("""COMPUTED_VALUE"""),2279.0)</f>
        <v>2279</v>
      </c>
      <c r="K2280" s="20" t="b">
        <f>IFERROR(__xludf.DUMMYFUNCTION("""COMPUTED_VALUE"""),FALSE)</f>
        <v>0</v>
      </c>
      <c r="L2280" s="20" t="str">
        <f>IFERROR(__xludf.DUMMYFUNCTION("""COMPUTED_VALUE"""),"Array;Greedy;Sorting;")</f>
        <v>Array;Greedy;Sorting;</v>
      </c>
      <c r="M2280" s="20" t="b">
        <f>IFERROR(__xludf.DUMMYFUNCTION("""COMPUTED_VALUE"""),TRUE)</f>
        <v>1</v>
      </c>
      <c r="N2280" s="20" t="b">
        <f>IFERROR(__xludf.DUMMYFUNCTION("""COMPUTED_VALUE"""),FALSE)</f>
        <v>0</v>
      </c>
      <c r="O2280" s="20">
        <f>IFERROR(__xludf.DUMMYFUNCTION("""COMPUTED_VALUE"""),67.8703323758719)</f>
        <v>67.87033238</v>
      </c>
      <c r="P2280" s="20">
        <f>IFERROR(__xludf.DUMMYFUNCTION("""COMPUTED_VALUE"""),81045.0)</f>
        <v>81045</v>
      </c>
      <c r="Q2280" s="20">
        <f>IFERROR(__xludf.DUMMYFUNCTION("""COMPUTED_VALUE"""),119412.0)</f>
        <v>119412</v>
      </c>
    </row>
    <row r="2281">
      <c r="A2281" s="20">
        <f>IFERROR(__xludf.DUMMYFUNCTION("""COMPUTED_VALUE"""),2367.0)</f>
        <v>2367</v>
      </c>
      <c r="B2281" s="20" t="str">
        <f>IFERROR(__xludf.DUMMYFUNCTION("""COMPUTED_VALUE"""),"Minimum Lines to Represent a Line Chart")</f>
        <v>Minimum Lines to Represent a Line Chart</v>
      </c>
      <c r="C2281" s="20" t="str">
        <f>IFERROR(__xludf.DUMMYFUNCTION("""COMPUTED_VALUE"""),"minimum-lines-to-represent-a-line-chart")</f>
        <v>minimum-lines-to-represent-a-line-chart</v>
      </c>
      <c r="D2281" s="20" t="b">
        <f>IFERROR(__xludf.DUMMYFUNCTION("""COMPUTED_VALUE"""),FALSE)</f>
        <v>0</v>
      </c>
      <c r="E2281" s="20" t="str">
        <f>IFERROR(__xludf.DUMMYFUNCTION("""COMPUTED_VALUE"""),"Medium")</f>
        <v>Medium</v>
      </c>
      <c r="F2281" s="20">
        <f>IFERROR(__xludf.DUMMYFUNCTION("""COMPUTED_VALUE"""),267.0)</f>
        <v>267</v>
      </c>
      <c r="G2281" s="20">
        <f>IFERROR(__xludf.DUMMYFUNCTION("""COMPUTED_VALUE"""),449.0)</f>
        <v>449</v>
      </c>
      <c r="H2281" s="20" t="str">
        <f>IFERROR(__xludf.DUMMYFUNCTION("""COMPUTED_VALUE"""),"Algorithms")</f>
        <v>Algorithms</v>
      </c>
      <c r="I2281" s="20">
        <f>IFERROR(__xludf.DUMMYFUNCTION("""COMPUTED_VALUE"""),0.239)</f>
        <v>0.239</v>
      </c>
      <c r="J2281" s="20">
        <f>IFERROR(__xludf.DUMMYFUNCTION("""COMPUTED_VALUE"""),2280.0)</f>
        <v>2280</v>
      </c>
      <c r="K2281" s="20" t="b">
        <f>IFERROR(__xludf.DUMMYFUNCTION("""COMPUTED_VALUE"""),FALSE)</f>
        <v>0</v>
      </c>
      <c r="L2281" s="20" t="str">
        <f>IFERROR(__xludf.DUMMYFUNCTION("""COMPUTED_VALUE"""),"Array;Math;Geometry;Sorting;Number Theory;")</f>
        <v>Array;Math;Geometry;Sorting;Number Theory;</v>
      </c>
      <c r="M2281" s="20" t="b">
        <f>IFERROR(__xludf.DUMMYFUNCTION("""COMPUTED_VALUE"""),FALSE)</f>
        <v>0</v>
      </c>
      <c r="N2281" s="20" t="b">
        <f>IFERROR(__xludf.DUMMYFUNCTION("""COMPUTED_VALUE"""),FALSE)</f>
        <v>0</v>
      </c>
      <c r="O2281" s="20">
        <f>IFERROR(__xludf.DUMMYFUNCTION("""COMPUTED_VALUE"""),23.9027193095603)</f>
        <v>23.90271931</v>
      </c>
      <c r="P2281" s="20">
        <f>IFERROR(__xludf.DUMMYFUNCTION("""COMPUTED_VALUE"""),20384.0)</f>
        <v>20384</v>
      </c>
      <c r="Q2281" s="20">
        <f>IFERROR(__xludf.DUMMYFUNCTION("""COMPUTED_VALUE"""),85279.0)</f>
        <v>85279</v>
      </c>
    </row>
    <row r="2282">
      <c r="A2282" s="20">
        <f>IFERROR(__xludf.DUMMYFUNCTION("""COMPUTED_VALUE"""),2368.0)</f>
        <v>2368</v>
      </c>
      <c r="B2282" s="20" t="str">
        <f>IFERROR(__xludf.DUMMYFUNCTION("""COMPUTED_VALUE"""),"Sum of Total Strength of Wizards")</f>
        <v>Sum of Total Strength of Wizards</v>
      </c>
      <c r="C2282" s="20" t="str">
        <f>IFERROR(__xludf.DUMMYFUNCTION("""COMPUTED_VALUE"""),"sum-of-total-strength-of-wizards")</f>
        <v>sum-of-total-strength-of-wizards</v>
      </c>
      <c r="D2282" s="20" t="b">
        <f>IFERROR(__xludf.DUMMYFUNCTION("""COMPUTED_VALUE"""),FALSE)</f>
        <v>0</v>
      </c>
      <c r="E2282" s="20" t="str">
        <f>IFERROR(__xludf.DUMMYFUNCTION("""COMPUTED_VALUE"""),"Hard")</f>
        <v>Hard</v>
      </c>
      <c r="F2282" s="20">
        <f>IFERROR(__xludf.DUMMYFUNCTION("""COMPUTED_VALUE"""),857.0)</f>
        <v>857</v>
      </c>
      <c r="G2282" s="20">
        <f>IFERROR(__xludf.DUMMYFUNCTION("""COMPUTED_VALUE"""),76.0)</f>
        <v>76</v>
      </c>
      <c r="H2282" s="20" t="str">
        <f>IFERROR(__xludf.DUMMYFUNCTION("""COMPUTED_VALUE"""),"Algorithms")</f>
        <v>Algorithms</v>
      </c>
      <c r="I2282" s="20">
        <f>IFERROR(__xludf.DUMMYFUNCTION("""COMPUTED_VALUE"""),0.278)</f>
        <v>0.278</v>
      </c>
      <c r="J2282" s="20">
        <f>IFERROR(__xludf.DUMMYFUNCTION("""COMPUTED_VALUE"""),2281.0)</f>
        <v>2281</v>
      </c>
      <c r="K2282" s="20" t="b">
        <f>IFERROR(__xludf.DUMMYFUNCTION("""COMPUTED_VALUE"""),FALSE)</f>
        <v>0</v>
      </c>
      <c r="L2282" s="20" t="str">
        <f>IFERROR(__xludf.DUMMYFUNCTION("""COMPUTED_VALUE"""),"Array;Stack;Monotonic Stack;Prefix Sum;")</f>
        <v>Array;Stack;Monotonic Stack;Prefix Sum;</v>
      </c>
      <c r="M2282" s="20" t="b">
        <f>IFERROR(__xludf.DUMMYFUNCTION("""COMPUTED_VALUE"""),FALSE)</f>
        <v>0</v>
      </c>
      <c r="N2282" s="20" t="b">
        <f>IFERROR(__xludf.DUMMYFUNCTION("""COMPUTED_VALUE"""),FALSE)</f>
        <v>0</v>
      </c>
      <c r="O2282" s="20">
        <f>IFERROR(__xludf.DUMMYFUNCTION("""COMPUTED_VALUE"""),27.778738489473)</f>
        <v>27.77873849</v>
      </c>
      <c r="P2282" s="20">
        <f>IFERROR(__xludf.DUMMYFUNCTION("""COMPUTED_VALUE"""),12851.0)</f>
        <v>12851</v>
      </c>
      <c r="Q2282" s="20">
        <f>IFERROR(__xludf.DUMMYFUNCTION("""COMPUTED_VALUE"""),46262.0)</f>
        <v>46262</v>
      </c>
    </row>
    <row r="2283">
      <c r="A2283" s="20">
        <f>IFERROR(__xludf.DUMMYFUNCTION("""COMPUTED_VALUE"""),2425.0)</f>
        <v>2425</v>
      </c>
      <c r="B2283" s="20" t="str">
        <f>IFERROR(__xludf.DUMMYFUNCTION("""COMPUTED_VALUE"""),"Number of People That Can Be Seen in a Grid")</f>
        <v>Number of People That Can Be Seen in a Grid</v>
      </c>
      <c r="C2283" s="20" t="str">
        <f>IFERROR(__xludf.DUMMYFUNCTION("""COMPUTED_VALUE"""),"number-of-people-that-can-be-seen-in-a-grid")</f>
        <v>number-of-people-that-can-be-seen-in-a-grid</v>
      </c>
      <c r="D2283" s="20" t="b">
        <f>IFERROR(__xludf.DUMMYFUNCTION("""COMPUTED_VALUE"""),TRUE)</f>
        <v>1</v>
      </c>
      <c r="E2283" s="20" t="str">
        <f>IFERROR(__xludf.DUMMYFUNCTION("""COMPUTED_VALUE"""),"Medium")</f>
        <v>Medium</v>
      </c>
      <c r="F2283" s="20">
        <f>IFERROR(__xludf.DUMMYFUNCTION("""COMPUTED_VALUE"""),39.0)</f>
        <v>39</v>
      </c>
      <c r="G2283" s="20">
        <f>IFERROR(__xludf.DUMMYFUNCTION("""COMPUTED_VALUE"""),15.0)</f>
        <v>15</v>
      </c>
      <c r="H2283" s="20" t="str">
        <f>IFERROR(__xludf.DUMMYFUNCTION("""COMPUTED_VALUE"""),"Algorithms")</f>
        <v>Algorithms</v>
      </c>
      <c r="I2283" s="20">
        <f>IFERROR(__xludf.DUMMYFUNCTION("""COMPUTED_VALUE"""),0.498)</f>
        <v>0.498</v>
      </c>
      <c r="J2283" s="20">
        <f>IFERROR(__xludf.DUMMYFUNCTION("""COMPUTED_VALUE"""),2282.0)</f>
        <v>2282</v>
      </c>
      <c r="K2283" s="20" t="b">
        <f>IFERROR(__xludf.DUMMYFUNCTION("""COMPUTED_VALUE"""),TRUE)</f>
        <v>1</v>
      </c>
      <c r="L2283" s="20" t="str">
        <f>IFERROR(__xludf.DUMMYFUNCTION("""COMPUTED_VALUE"""),"Array;Stack;Matrix;Monotonic Stack;")</f>
        <v>Array;Stack;Matrix;Monotonic Stack;</v>
      </c>
      <c r="M2283" s="20" t="b">
        <f>IFERROR(__xludf.DUMMYFUNCTION("""COMPUTED_VALUE"""),FALSE)</f>
        <v>0</v>
      </c>
      <c r="N2283" s="20" t="b">
        <f>IFERROR(__xludf.DUMMYFUNCTION("""COMPUTED_VALUE"""),FALSE)</f>
        <v>0</v>
      </c>
      <c r="O2283" s="20">
        <f>IFERROR(__xludf.DUMMYFUNCTION("""COMPUTED_VALUE"""),49.7768963807635)</f>
        <v>49.77689638</v>
      </c>
      <c r="P2283" s="20">
        <f>IFERROR(__xludf.DUMMYFUNCTION("""COMPUTED_VALUE"""),1004.0)</f>
        <v>1004</v>
      </c>
      <c r="Q2283" s="20">
        <f>IFERROR(__xludf.DUMMYFUNCTION("""COMPUTED_VALUE"""),2017.0)</f>
        <v>2017</v>
      </c>
    </row>
    <row r="2284">
      <c r="A2284" s="20">
        <f>IFERROR(__xludf.DUMMYFUNCTION("""COMPUTED_VALUE"""),2377.0)</f>
        <v>2377</v>
      </c>
      <c r="B2284" s="20" t="str">
        <f>IFERROR(__xludf.DUMMYFUNCTION("""COMPUTED_VALUE"""),"Check if Number Has Equal Digit Count and Digit Value")</f>
        <v>Check if Number Has Equal Digit Count and Digit Value</v>
      </c>
      <c r="C2284" s="20" t="str">
        <f>IFERROR(__xludf.DUMMYFUNCTION("""COMPUTED_VALUE"""),"check-if-number-has-equal-digit-count-and-digit-value")</f>
        <v>check-if-number-has-equal-digit-count-and-digit-value</v>
      </c>
      <c r="D2284" s="20" t="b">
        <f>IFERROR(__xludf.DUMMYFUNCTION("""COMPUTED_VALUE"""),FALSE)</f>
        <v>0</v>
      </c>
      <c r="E2284" s="20" t="str">
        <f>IFERROR(__xludf.DUMMYFUNCTION("""COMPUTED_VALUE"""),"Easy")</f>
        <v>Easy</v>
      </c>
      <c r="F2284" s="20">
        <f>IFERROR(__xludf.DUMMYFUNCTION("""COMPUTED_VALUE"""),354.0)</f>
        <v>354</v>
      </c>
      <c r="G2284" s="20">
        <f>IFERROR(__xludf.DUMMYFUNCTION("""COMPUTED_VALUE"""),35.0)</f>
        <v>35</v>
      </c>
      <c r="H2284" s="20" t="str">
        <f>IFERROR(__xludf.DUMMYFUNCTION("""COMPUTED_VALUE"""),"Algorithms")</f>
        <v>Algorithms</v>
      </c>
      <c r="I2284" s="20">
        <f>IFERROR(__xludf.DUMMYFUNCTION("""COMPUTED_VALUE"""),0.734)</f>
        <v>0.734</v>
      </c>
      <c r="J2284" s="20">
        <f>IFERROR(__xludf.DUMMYFUNCTION("""COMPUTED_VALUE"""),2283.0)</f>
        <v>2283</v>
      </c>
      <c r="K2284" s="20" t="b">
        <f>IFERROR(__xludf.DUMMYFUNCTION("""COMPUTED_VALUE"""),FALSE)</f>
        <v>0</v>
      </c>
      <c r="L2284" s="20" t="str">
        <f>IFERROR(__xludf.DUMMYFUNCTION("""COMPUTED_VALUE"""),"Hash Table;String;Counting;")</f>
        <v>Hash Table;String;Counting;</v>
      </c>
      <c r="M2284" s="20" t="b">
        <f>IFERROR(__xludf.DUMMYFUNCTION("""COMPUTED_VALUE"""),FALSE)</f>
        <v>0</v>
      </c>
      <c r="N2284" s="20" t="b">
        <f>IFERROR(__xludf.DUMMYFUNCTION("""COMPUTED_VALUE"""),FALSE)</f>
        <v>0</v>
      </c>
      <c r="O2284" s="20">
        <f>IFERROR(__xludf.DUMMYFUNCTION("""COMPUTED_VALUE"""),73.393169877408)</f>
        <v>73.39316988</v>
      </c>
      <c r="P2284" s="20">
        <f>IFERROR(__xludf.DUMMYFUNCTION("""COMPUTED_VALUE"""),33526.0)</f>
        <v>33526</v>
      </c>
      <c r="Q2284" s="20">
        <f>IFERROR(__xludf.DUMMYFUNCTION("""COMPUTED_VALUE"""),45680.0)</f>
        <v>45680</v>
      </c>
    </row>
    <row r="2285">
      <c r="A2285" s="20">
        <f>IFERROR(__xludf.DUMMYFUNCTION("""COMPUTED_VALUE"""),2378.0)</f>
        <v>2378</v>
      </c>
      <c r="B2285" s="20" t="str">
        <f>IFERROR(__xludf.DUMMYFUNCTION("""COMPUTED_VALUE"""),"Sender With Largest Word Count")</f>
        <v>Sender With Largest Word Count</v>
      </c>
      <c r="C2285" s="20" t="str">
        <f>IFERROR(__xludf.DUMMYFUNCTION("""COMPUTED_VALUE"""),"sender-with-largest-word-count")</f>
        <v>sender-with-largest-word-count</v>
      </c>
      <c r="D2285" s="20" t="b">
        <f>IFERROR(__xludf.DUMMYFUNCTION("""COMPUTED_VALUE"""),FALSE)</f>
        <v>0</v>
      </c>
      <c r="E2285" s="20" t="str">
        <f>IFERROR(__xludf.DUMMYFUNCTION("""COMPUTED_VALUE"""),"Medium")</f>
        <v>Medium</v>
      </c>
      <c r="F2285" s="20">
        <f>IFERROR(__xludf.DUMMYFUNCTION("""COMPUTED_VALUE"""),283.0)</f>
        <v>283</v>
      </c>
      <c r="G2285" s="20">
        <f>IFERROR(__xludf.DUMMYFUNCTION("""COMPUTED_VALUE"""),23.0)</f>
        <v>23</v>
      </c>
      <c r="H2285" s="20" t="str">
        <f>IFERROR(__xludf.DUMMYFUNCTION("""COMPUTED_VALUE"""),"Algorithms")</f>
        <v>Algorithms</v>
      </c>
      <c r="I2285" s="20">
        <f>IFERROR(__xludf.DUMMYFUNCTION("""COMPUTED_VALUE"""),0.559)</f>
        <v>0.559</v>
      </c>
      <c r="J2285" s="20">
        <f>IFERROR(__xludf.DUMMYFUNCTION("""COMPUTED_VALUE"""),2284.0)</f>
        <v>2284</v>
      </c>
      <c r="K2285" s="20" t="b">
        <f>IFERROR(__xludf.DUMMYFUNCTION("""COMPUTED_VALUE"""),FALSE)</f>
        <v>0</v>
      </c>
      <c r="L2285" s="20" t="str">
        <f>IFERROR(__xludf.DUMMYFUNCTION("""COMPUTED_VALUE"""),"Array;Hash Table;String;Counting;")</f>
        <v>Array;Hash Table;String;Counting;</v>
      </c>
      <c r="M2285" s="20" t="b">
        <f>IFERROR(__xludf.DUMMYFUNCTION("""COMPUTED_VALUE"""),FALSE)</f>
        <v>0</v>
      </c>
      <c r="N2285" s="20" t="b">
        <f>IFERROR(__xludf.DUMMYFUNCTION("""COMPUTED_VALUE"""),FALSE)</f>
        <v>0</v>
      </c>
      <c r="O2285" s="20">
        <f>IFERROR(__xludf.DUMMYFUNCTION("""COMPUTED_VALUE"""),55.9243668483886)</f>
        <v>55.92436685</v>
      </c>
      <c r="P2285" s="20">
        <f>IFERROR(__xludf.DUMMYFUNCTION("""COMPUTED_VALUE"""),24311.0)</f>
        <v>24311</v>
      </c>
      <c r="Q2285" s="20">
        <f>IFERROR(__xludf.DUMMYFUNCTION("""COMPUTED_VALUE"""),43472.0)</f>
        <v>43472</v>
      </c>
    </row>
    <row r="2286">
      <c r="A2286" s="20">
        <f>IFERROR(__xludf.DUMMYFUNCTION("""COMPUTED_VALUE"""),2379.0)</f>
        <v>2379</v>
      </c>
      <c r="B2286" s="20" t="str">
        <f>IFERROR(__xludf.DUMMYFUNCTION("""COMPUTED_VALUE"""),"Maximum Total Importance of Roads")</f>
        <v>Maximum Total Importance of Roads</v>
      </c>
      <c r="C2286" s="20" t="str">
        <f>IFERROR(__xludf.DUMMYFUNCTION("""COMPUTED_VALUE"""),"maximum-total-importance-of-roads")</f>
        <v>maximum-total-importance-of-roads</v>
      </c>
      <c r="D2286" s="20" t="b">
        <f>IFERROR(__xludf.DUMMYFUNCTION("""COMPUTED_VALUE"""),FALSE)</f>
        <v>0</v>
      </c>
      <c r="E2286" s="20" t="str">
        <f>IFERROR(__xludf.DUMMYFUNCTION("""COMPUTED_VALUE"""),"Medium")</f>
        <v>Medium</v>
      </c>
      <c r="F2286" s="20">
        <f>IFERROR(__xludf.DUMMYFUNCTION("""COMPUTED_VALUE"""),496.0)</f>
        <v>496</v>
      </c>
      <c r="G2286" s="20">
        <f>IFERROR(__xludf.DUMMYFUNCTION("""COMPUTED_VALUE"""),16.0)</f>
        <v>16</v>
      </c>
      <c r="H2286" s="20" t="str">
        <f>IFERROR(__xludf.DUMMYFUNCTION("""COMPUTED_VALUE"""),"Algorithms")</f>
        <v>Algorithms</v>
      </c>
      <c r="I2286" s="20">
        <f>IFERROR(__xludf.DUMMYFUNCTION("""COMPUTED_VALUE"""),0.608)</f>
        <v>0.608</v>
      </c>
      <c r="J2286" s="20">
        <f>IFERROR(__xludf.DUMMYFUNCTION("""COMPUTED_VALUE"""),2285.0)</f>
        <v>2285</v>
      </c>
      <c r="K2286" s="20" t="b">
        <f>IFERROR(__xludf.DUMMYFUNCTION("""COMPUTED_VALUE"""),FALSE)</f>
        <v>0</v>
      </c>
      <c r="L2286" s="20" t="str">
        <f>IFERROR(__xludf.DUMMYFUNCTION("""COMPUTED_VALUE"""),"Greedy;Graph;Sorting;Heap (Priority Queue);")</f>
        <v>Greedy;Graph;Sorting;Heap (Priority Queue);</v>
      </c>
      <c r="M2286" s="20" t="b">
        <f>IFERROR(__xludf.DUMMYFUNCTION("""COMPUTED_VALUE"""),FALSE)</f>
        <v>0</v>
      </c>
      <c r="N2286" s="20" t="b">
        <f>IFERROR(__xludf.DUMMYFUNCTION("""COMPUTED_VALUE"""),FALSE)</f>
        <v>0</v>
      </c>
      <c r="O2286" s="20">
        <f>IFERROR(__xludf.DUMMYFUNCTION("""COMPUTED_VALUE"""),60.8290549534132)</f>
        <v>60.82905495</v>
      </c>
      <c r="P2286" s="20">
        <f>IFERROR(__xludf.DUMMYFUNCTION("""COMPUTED_VALUE"""),22393.0)</f>
        <v>22393</v>
      </c>
      <c r="Q2286" s="20">
        <f>IFERROR(__xludf.DUMMYFUNCTION("""COMPUTED_VALUE"""),36813.0)</f>
        <v>36813</v>
      </c>
    </row>
    <row r="2287">
      <c r="A2287" s="20">
        <f>IFERROR(__xludf.DUMMYFUNCTION("""COMPUTED_VALUE"""),2380.0)</f>
        <v>2380</v>
      </c>
      <c r="B2287" s="20" t="str">
        <f>IFERROR(__xludf.DUMMYFUNCTION("""COMPUTED_VALUE"""),"Booking Concert Tickets in Groups")</f>
        <v>Booking Concert Tickets in Groups</v>
      </c>
      <c r="C2287" s="20" t="str">
        <f>IFERROR(__xludf.DUMMYFUNCTION("""COMPUTED_VALUE"""),"booking-concert-tickets-in-groups")</f>
        <v>booking-concert-tickets-in-groups</v>
      </c>
      <c r="D2287" s="20" t="b">
        <f>IFERROR(__xludf.DUMMYFUNCTION("""COMPUTED_VALUE"""),FALSE)</f>
        <v>0</v>
      </c>
      <c r="E2287" s="20" t="str">
        <f>IFERROR(__xludf.DUMMYFUNCTION("""COMPUTED_VALUE"""),"Hard")</f>
        <v>Hard</v>
      </c>
      <c r="F2287" s="20">
        <f>IFERROR(__xludf.DUMMYFUNCTION("""COMPUTED_VALUE"""),228.0)</f>
        <v>228</v>
      </c>
      <c r="G2287" s="20">
        <f>IFERROR(__xludf.DUMMYFUNCTION("""COMPUTED_VALUE"""),45.0)</f>
        <v>45</v>
      </c>
      <c r="H2287" s="20" t="str">
        <f>IFERROR(__xludf.DUMMYFUNCTION("""COMPUTED_VALUE"""),"Algorithms")</f>
        <v>Algorithms</v>
      </c>
      <c r="I2287" s="20">
        <f>IFERROR(__xludf.DUMMYFUNCTION("""COMPUTED_VALUE"""),0.155)</f>
        <v>0.155</v>
      </c>
      <c r="J2287" s="20">
        <f>IFERROR(__xludf.DUMMYFUNCTION("""COMPUTED_VALUE"""),2286.0)</f>
        <v>2286</v>
      </c>
      <c r="K2287" s="20" t="b">
        <f>IFERROR(__xludf.DUMMYFUNCTION("""COMPUTED_VALUE"""),FALSE)</f>
        <v>0</v>
      </c>
      <c r="L2287" s="20" t="str">
        <f>IFERROR(__xludf.DUMMYFUNCTION("""COMPUTED_VALUE"""),"Binary Search;Design;Binary Indexed Tree;Segment Tree;")</f>
        <v>Binary Search;Design;Binary Indexed Tree;Segment Tree;</v>
      </c>
      <c r="M2287" s="20" t="b">
        <f>IFERROR(__xludf.DUMMYFUNCTION("""COMPUTED_VALUE"""),FALSE)</f>
        <v>0</v>
      </c>
      <c r="N2287" s="20" t="b">
        <f>IFERROR(__xludf.DUMMYFUNCTION("""COMPUTED_VALUE"""),FALSE)</f>
        <v>0</v>
      </c>
      <c r="O2287" s="20">
        <f>IFERROR(__xludf.DUMMYFUNCTION("""COMPUTED_VALUE"""),15.5010035510267)</f>
        <v>15.50100355</v>
      </c>
      <c r="P2287" s="20">
        <f>IFERROR(__xludf.DUMMYFUNCTION("""COMPUTED_VALUE"""),4016.0)</f>
        <v>4016</v>
      </c>
      <c r="Q2287" s="20">
        <f>IFERROR(__xludf.DUMMYFUNCTION("""COMPUTED_VALUE"""),25908.0)</f>
        <v>25908</v>
      </c>
    </row>
    <row r="2288">
      <c r="A2288" s="20">
        <f>IFERROR(__xludf.DUMMYFUNCTION("""COMPUTED_VALUE"""),2372.0)</f>
        <v>2372</v>
      </c>
      <c r="B2288" s="20" t="str">
        <f>IFERROR(__xludf.DUMMYFUNCTION("""COMPUTED_VALUE"""),"Rearrange Characters to Make Target String")</f>
        <v>Rearrange Characters to Make Target String</v>
      </c>
      <c r="C2288" s="20" t="str">
        <f>IFERROR(__xludf.DUMMYFUNCTION("""COMPUTED_VALUE"""),"rearrange-characters-to-make-target-string")</f>
        <v>rearrange-characters-to-make-target-string</v>
      </c>
      <c r="D2288" s="20" t="b">
        <f>IFERROR(__xludf.DUMMYFUNCTION("""COMPUTED_VALUE"""),FALSE)</f>
        <v>0</v>
      </c>
      <c r="E2288" s="20" t="str">
        <f>IFERROR(__xludf.DUMMYFUNCTION("""COMPUTED_VALUE"""),"Easy")</f>
        <v>Easy</v>
      </c>
      <c r="F2288" s="20">
        <f>IFERROR(__xludf.DUMMYFUNCTION("""COMPUTED_VALUE"""),315.0)</f>
        <v>315</v>
      </c>
      <c r="G2288" s="20">
        <f>IFERROR(__xludf.DUMMYFUNCTION("""COMPUTED_VALUE"""),23.0)</f>
        <v>23</v>
      </c>
      <c r="H2288" s="20" t="str">
        <f>IFERROR(__xludf.DUMMYFUNCTION("""COMPUTED_VALUE"""),"Algorithms")</f>
        <v>Algorithms</v>
      </c>
      <c r="I2288" s="20">
        <f>IFERROR(__xludf.DUMMYFUNCTION("""COMPUTED_VALUE"""),0.579)</f>
        <v>0.579</v>
      </c>
      <c r="J2288" s="20">
        <f>IFERROR(__xludf.DUMMYFUNCTION("""COMPUTED_VALUE"""),2287.0)</f>
        <v>2287</v>
      </c>
      <c r="K2288" s="20" t="b">
        <f>IFERROR(__xludf.DUMMYFUNCTION("""COMPUTED_VALUE"""),FALSE)</f>
        <v>0</v>
      </c>
      <c r="L2288" s="20" t="str">
        <f>IFERROR(__xludf.DUMMYFUNCTION("""COMPUTED_VALUE"""),"Hash Table;String;Counting;")</f>
        <v>Hash Table;String;Counting;</v>
      </c>
      <c r="M2288" s="20" t="b">
        <f>IFERROR(__xludf.DUMMYFUNCTION("""COMPUTED_VALUE"""),FALSE)</f>
        <v>0</v>
      </c>
      <c r="N2288" s="20" t="b">
        <f>IFERROR(__xludf.DUMMYFUNCTION("""COMPUTED_VALUE"""),FALSE)</f>
        <v>0</v>
      </c>
      <c r="O2288" s="20">
        <f>IFERROR(__xludf.DUMMYFUNCTION("""COMPUTED_VALUE"""),57.9417322507631)</f>
        <v>57.94173225</v>
      </c>
      <c r="P2288" s="20">
        <f>IFERROR(__xludf.DUMMYFUNCTION("""COMPUTED_VALUE"""),27902.0)</f>
        <v>27902</v>
      </c>
      <c r="Q2288" s="20">
        <f>IFERROR(__xludf.DUMMYFUNCTION("""COMPUTED_VALUE"""),48156.0)</f>
        <v>48156</v>
      </c>
    </row>
    <row r="2289">
      <c r="A2289" s="20">
        <f>IFERROR(__xludf.DUMMYFUNCTION("""COMPUTED_VALUE"""),2373.0)</f>
        <v>2373</v>
      </c>
      <c r="B2289" s="20" t="str">
        <f>IFERROR(__xludf.DUMMYFUNCTION("""COMPUTED_VALUE"""),"Apply Discount to Prices")</f>
        <v>Apply Discount to Prices</v>
      </c>
      <c r="C2289" s="20" t="str">
        <f>IFERROR(__xludf.DUMMYFUNCTION("""COMPUTED_VALUE"""),"apply-discount-to-prices")</f>
        <v>apply-discount-to-prices</v>
      </c>
      <c r="D2289" s="20" t="b">
        <f>IFERROR(__xludf.DUMMYFUNCTION("""COMPUTED_VALUE"""),FALSE)</f>
        <v>0</v>
      </c>
      <c r="E2289" s="20" t="str">
        <f>IFERROR(__xludf.DUMMYFUNCTION("""COMPUTED_VALUE"""),"Medium")</f>
        <v>Medium</v>
      </c>
      <c r="F2289" s="20">
        <f>IFERROR(__xludf.DUMMYFUNCTION("""COMPUTED_VALUE"""),134.0)</f>
        <v>134</v>
      </c>
      <c r="G2289" s="20">
        <f>IFERROR(__xludf.DUMMYFUNCTION("""COMPUTED_VALUE"""),975.0)</f>
        <v>975</v>
      </c>
      <c r="H2289" s="20" t="str">
        <f>IFERROR(__xludf.DUMMYFUNCTION("""COMPUTED_VALUE"""),"Algorithms")</f>
        <v>Algorithms</v>
      </c>
      <c r="I2289" s="20">
        <f>IFERROR(__xludf.DUMMYFUNCTION("""COMPUTED_VALUE"""),0.276)</f>
        <v>0.276</v>
      </c>
      <c r="J2289" s="20">
        <f>IFERROR(__xludf.DUMMYFUNCTION("""COMPUTED_VALUE"""),2288.0)</f>
        <v>2288</v>
      </c>
      <c r="K2289" s="20" t="b">
        <f>IFERROR(__xludf.DUMMYFUNCTION("""COMPUTED_VALUE"""),FALSE)</f>
        <v>0</v>
      </c>
      <c r="L2289" s="20" t="str">
        <f>IFERROR(__xludf.DUMMYFUNCTION("""COMPUTED_VALUE"""),"String;")</f>
        <v>String;</v>
      </c>
      <c r="M2289" s="20" t="b">
        <f>IFERROR(__xludf.DUMMYFUNCTION("""COMPUTED_VALUE"""),FALSE)</f>
        <v>0</v>
      </c>
      <c r="N2289" s="20" t="b">
        <f>IFERROR(__xludf.DUMMYFUNCTION("""COMPUTED_VALUE"""),FALSE)</f>
        <v>0</v>
      </c>
      <c r="O2289" s="20">
        <f>IFERROR(__xludf.DUMMYFUNCTION("""COMPUTED_VALUE"""),27.6342624065261)</f>
        <v>27.63426241</v>
      </c>
      <c r="P2289" s="20">
        <f>IFERROR(__xludf.DUMMYFUNCTION("""COMPUTED_VALUE"""),16259.0)</f>
        <v>16259</v>
      </c>
      <c r="Q2289" s="20">
        <f>IFERROR(__xludf.DUMMYFUNCTION("""COMPUTED_VALUE"""),58836.0)</f>
        <v>58836</v>
      </c>
    </row>
    <row r="2290">
      <c r="A2290" s="20">
        <f>IFERROR(__xludf.DUMMYFUNCTION("""COMPUTED_VALUE"""),2374.0)</f>
        <v>2374</v>
      </c>
      <c r="B2290" s="20" t="str">
        <f>IFERROR(__xludf.DUMMYFUNCTION("""COMPUTED_VALUE"""),"Steps to Make Array Non-decreasing")</f>
        <v>Steps to Make Array Non-decreasing</v>
      </c>
      <c r="C2290" s="20" t="str">
        <f>IFERROR(__xludf.DUMMYFUNCTION("""COMPUTED_VALUE"""),"steps-to-make-array-non-decreasing")</f>
        <v>steps-to-make-array-non-decreasing</v>
      </c>
      <c r="D2290" s="20" t="b">
        <f>IFERROR(__xludf.DUMMYFUNCTION("""COMPUTED_VALUE"""),FALSE)</f>
        <v>0</v>
      </c>
      <c r="E2290" s="20" t="str">
        <f>IFERROR(__xludf.DUMMYFUNCTION("""COMPUTED_VALUE"""),"Medium")</f>
        <v>Medium</v>
      </c>
      <c r="F2290" s="20">
        <f>IFERROR(__xludf.DUMMYFUNCTION("""COMPUTED_VALUE"""),942.0)</f>
        <v>942</v>
      </c>
      <c r="G2290" s="20">
        <f>IFERROR(__xludf.DUMMYFUNCTION("""COMPUTED_VALUE"""),103.0)</f>
        <v>103</v>
      </c>
      <c r="H2290" s="20" t="str">
        <f>IFERROR(__xludf.DUMMYFUNCTION("""COMPUTED_VALUE"""),"Algorithms")</f>
        <v>Algorithms</v>
      </c>
      <c r="I2290" s="20">
        <f>IFERROR(__xludf.DUMMYFUNCTION("""COMPUTED_VALUE"""),0.213)</f>
        <v>0.213</v>
      </c>
      <c r="J2290" s="20">
        <f>IFERROR(__xludf.DUMMYFUNCTION("""COMPUTED_VALUE"""),2289.0)</f>
        <v>2289</v>
      </c>
      <c r="K2290" s="20" t="b">
        <f>IFERROR(__xludf.DUMMYFUNCTION("""COMPUTED_VALUE"""),FALSE)</f>
        <v>0</v>
      </c>
      <c r="L2290" s="20" t="str">
        <f>IFERROR(__xludf.DUMMYFUNCTION("""COMPUTED_VALUE"""),"Array;Linked List;Stack;Monotonic Stack;")</f>
        <v>Array;Linked List;Stack;Monotonic Stack;</v>
      </c>
      <c r="M2290" s="20" t="b">
        <f>IFERROR(__xludf.DUMMYFUNCTION("""COMPUTED_VALUE"""),FALSE)</f>
        <v>0</v>
      </c>
      <c r="N2290" s="20" t="b">
        <f>IFERROR(__xludf.DUMMYFUNCTION("""COMPUTED_VALUE"""),FALSE)</f>
        <v>0</v>
      </c>
      <c r="O2290" s="20">
        <f>IFERROR(__xludf.DUMMYFUNCTION("""COMPUTED_VALUE"""),21.2884062910843)</f>
        <v>21.28840629</v>
      </c>
      <c r="P2290" s="20">
        <f>IFERROR(__xludf.DUMMYFUNCTION("""COMPUTED_VALUE"""),13116.0)</f>
        <v>13116</v>
      </c>
      <c r="Q2290" s="20">
        <f>IFERROR(__xludf.DUMMYFUNCTION("""COMPUTED_VALUE"""),61607.0)</f>
        <v>61607</v>
      </c>
    </row>
    <row r="2291">
      <c r="A2291" s="20">
        <f>IFERROR(__xludf.DUMMYFUNCTION("""COMPUTED_VALUE"""),2375.0)</f>
        <v>2375</v>
      </c>
      <c r="B2291" s="20" t="str">
        <f>IFERROR(__xludf.DUMMYFUNCTION("""COMPUTED_VALUE"""),"Minimum Obstacle Removal to Reach Corner")</f>
        <v>Minimum Obstacle Removal to Reach Corner</v>
      </c>
      <c r="C2291" s="20" t="str">
        <f>IFERROR(__xludf.DUMMYFUNCTION("""COMPUTED_VALUE"""),"minimum-obstacle-removal-to-reach-corner")</f>
        <v>minimum-obstacle-removal-to-reach-corner</v>
      </c>
      <c r="D2291" s="20" t="b">
        <f>IFERROR(__xludf.DUMMYFUNCTION("""COMPUTED_VALUE"""),FALSE)</f>
        <v>0</v>
      </c>
      <c r="E2291" s="20" t="str">
        <f>IFERROR(__xludf.DUMMYFUNCTION("""COMPUTED_VALUE"""),"Hard")</f>
        <v>Hard</v>
      </c>
      <c r="F2291" s="20">
        <f>IFERROR(__xludf.DUMMYFUNCTION("""COMPUTED_VALUE"""),653.0)</f>
        <v>653</v>
      </c>
      <c r="G2291" s="20">
        <f>IFERROR(__xludf.DUMMYFUNCTION("""COMPUTED_VALUE"""),13.0)</f>
        <v>13</v>
      </c>
      <c r="H2291" s="20" t="str">
        <f>IFERROR(__xludf.DUMMYFUNCTION("""COMPUTED_VALUE"""),"Algorithms")</f>
        <v>Algorithms</v>
      </c>
      <c r="I2291" s="20">
        <f>IFERROR(__xludf.DUMMYFUNCTION("""COMPUTED_VALUE"""),0.489)</f>
        <v>0.489</v>
      </c>
      <c r="J2291" s="20">
        <f>IFERROR(__xludf.DUMMYFUNCTION("""COMPUTED_VALUE"""),2290.0)</f>
        <v>2290</v>
      </c>
      <c r="K2291" s="20" t="b">
        <f>IFERROR(__xludf.DUMMYFUNCTION("""COMPUTED_VALUE"""),FALSE)</f>
        <v>0</v>
      </c>
      <c r="L2291" s="20" t="str">
        <f>IFERROR(__xludf.DUMMYFUNCTION("""COMPUTED_VALUE"""),"Array;Breadth-First Search;Graph;Heap (Priority Queue);Matrix;Shortest Path;")</f>
        <v>Array;Breadth-First Search;Graph;Heap (Priority Queue);Matrix;Shortest Path;</v>
      </c>
      <c r="M2291" s="20" t="b">
        <f>IFERROR(__xludf.DUMMYFUNCTION("""COMPUTED_VALUE"""),FALSE)</f>
        <v>0</v>
      </c>
      <c r="N2291" s="20" t="b">
        <f>IFERROR(__xludf.DUMMYFUNCTION("""COMPUTED_VALUE"""),FALSE)</f>
        <v>0</v>
      </c>
      <c r="O2291" s="20">
        <f>IFERROR(__xludf.DUMMYFUNCTION("""COMPUTED_VALUE"""),48.8596113740938)</f>
        <v>48.85961137</v>
      </c>
      <c r="P2291" s="20">
        <f>IFERROR(__xludf.DUMMYFUNCTION("""COMPUTED_VALUE"""),14760.0)</f>
        <v>14760</v>
      </c>
      <c r="Q2291" s="20">
        <f>IFERROR(__xludf.DUMMYFUNCTION("""COMPUTED_VALUE"""),30209.0)</f>
        <v>30209</v>
      </c>
    </row>
    <row r="2292">
      <c r="A2292" s="20">
        <f>IFERROR(__xludf.DUMMYFUNCTION("""COMPUTED_VALUE"""),2426.0)</f>
        <v>2426</v>
      </c>
      <c r="B2292" s="20" t="str">
        <f>IFERROR(__xludf.DUMMYFUNCTION("""COMPUTED_VALUE"""),"Maximum Profit From Trading Stocks")</f>
        <v>Maximum Profit From Trading Stocks</v>
      </c>
      <c r="C2292" s="20" t="str">
        <f>IFERROR(__xludf.DUMMYFUNCTION("""COMPUTED_VALUE"""),"maximum-profit-from-trading-stocks")</f>
        <v>maximum-profit-from-trading-stocks</v>
      </c>
      <c r="D2292" s="20" t="b">
        <f>IFERROR(__xludf.DUMMYFUNCTION("""COMPUTED_VALUE"""),TRUE)</f>
        <v>1</v>
      </c>
      <c r="E2292" s="20" t="str">
        <f>IFERROR(__xludf.DUMMYFUNCTION("""COMPUTED_VALUE"""),"Medium")</f>
        <v>Medium</v>
      </c>
      <c r="F2292" s="20">
        <f>IFERROR(__xludf.DUMMYFUNCTION("""COMPUTED_VALUE"""),89.0)</f>
        <v>89</v>
      </c>
      <c r="G2292" s="20">
        <f>IFERROR(__xludf.DUMMYFUNCTION("""COMPUTED_VALUE"""),2.0)</f>
        <v>2</v>
      </c>
      <c r="H2292" s="20" t="str">
        <f>IFERROR(__xludf.DUMMYFUNCTION("""COMPUTED_VALUE"""),"Algorithms")</f>
        <v>Algorithms</v>
      </c>
      <c r="I2292" s="20">
        <f>IFERROR(__xludf.DUMMYFUNCTION("""COMPUTED_VALUE"""),0.453)</f>
        <v>0.453</v>
      </c>
      <c r="J2292" s="20">
        <f>IFERROR(__xludf.DUMMYFUNCTION("""COMPUTED_VALUE"""),2291.0)</f>
        <v>2291</v>
      </c>
      <c r="K2292" s="20" t="b">
        <f>IFERROR(__xludf.DUMMYFUNCTION("""COMPUTED_VALUE"""),TRUE)</f>
        <v>1</v>
      </c>
      <c r="L2292" s="20" t="str">
        <f>IFERROR(__xludf.DUMMYFUNCTION("""COMPUTED_VALUE"""),"Array;Dynamic Programming;")</f>
        <v>Array;Dynamic Programming;</v>
      </c>
      <c r="M2292" s="20" t="b">
        <f>IFERROR(__xludf.DUMMYFUNCTION("""COMPUTED_VALUE"""),FALSE)</f>
        <v>0</v>
      </c>
      <c r="N2292" s="20" t="b">
        <f>IFERROR(__xludf.DUMMYFUNCTION("""COMPUTED_VALUE"""),FALSE)</f>
        <v>0</v>
      </c>
      <c r="O2292" s="20">
        <f>IFERROR(__xludf.DUMMYFUNCTION("""COMPUTED_VALUE"""),45.3341840803955)</f>
        <v>45.33418408</v>
      </c>
      <c r="P2292" s="20">
        <f>IFERROR(__xludf.DUMMYFUNCTION("""COMPUTED_VALUE"""),2842.0)</f>
        <v>2842</v>
      </c>
      <c r="Q2292" s="20">
        <f>IFERROR(__xludf.DUMMYFUNCTION("""COMPUTED_VALUE"""),6269.0)</f>
        <v>6269</v>
      </c>
    </row>
    <row r="2293">
      <c r="A2293" s="20">
        <f>IFERROR(__xludf.DUMMYFUNCTION("""COMPUTED_VALUE"""),2431.0)</f>
        <v>2431</v>
      </c>
      <c r="B2293" s="20" t="str">
        <f>IFERROR(__xludf.DUMMYFUNCTION("""COMPUTED_VALUE"""),"Products With Three or More Orders in Two Consecutive Years")</f>
        <v>Products With Three or More Orders in Two Consecutive Years</v>
      </c>
      <c r="C2293" s="20" t="str">
        <f>IFERROR(__xludf.DUMMYFUNCTION("""COMPUTED_VALUE"""),"products-with-three-or-more-orders-in-two-consecutive-years")</f>
        <v>products-with-three-or-more-orders-in-two-consecutive-years</v>
      </c>
      <c r="D2293" s="20" t="b">
        <f>IFERROR(__xludf.DUMMYFUNCTION("""COMPUTED_VALUE"""),TRUE)</f>
        <v>1</v>
      </c>
      <c r="E2293" s="20" t="str">
        <f>IFERROR(__xludf.DUMMYFUNCTION("""COMPUTED_VALUE"""),"Medium")</f>
        <v>Medium</v>
      </c>
      <c r="F2293" s="20">
        <f>IFERROR(__xludf.DUMMYFUNCTION("""COMPUTED_VALUE"""),34.0)</f>
        <v>34</v>
      </c>
      <c r="G2293" s="20">
        <f>IFERROR(__xludf.DUMMYFUNCTION("""COMPUTED_VALUE"""),17.0)</f>
        <v>17</v>
      </c>
      <c r="H2293" s="20" t="str">
        <f>IFERROR(__xludf.DUMMYFUNCTION("""COMPUTED_VALUE"""),"Database")</f>
        <v>Database</v>
      </c>
      <c r="I2293" s="20">
        <f>IFERROR(__xludf.DUMMYFUNCTION("""COMPUTED_VALUE"""),0.4)</f>
        <v>0.4</v>
      </c>
      <c r="J2293" s="20">
        <f>IFERROR(__xludf.DUMMYFUNCTION("""COMPUTED_VALUE"""),2292.0)</f>
        <v>2292</v>
      </c>
      <c r="K2293" s="20" t="b">
        <f>IFERROR(__xludf.DUMMYFUNCTION("""COMPUTED_VALUE"""),TRUE)</f>
        <v>1</v>
      </c>
      <c r="L2293" s="20" t="str">
        <f>IFERROR(__xludf.DUMMYFUNCTION("""COMPUTED_VALUE"""),"Database;")</f>
        <v>Database;</v>
      </c>
      <c r="M2293" s="20" t="b">
        <f>IFERROR(__xludf.DUMMYFUNCTION("""COMPUTED_VALUE"""),FALSE)</f>
        <v>0</v>
      </c>
      <c r="N2293" s="20" t="b">
        <f>IFERROR(__xludf.DUMMYFUNCTION("""COMPUTED_VALUE"""),FALSE)</f>
        <v>0</v>
      </c>
      <c r="O2293" s="20">
        <f>IFERROR(__xludf.DUMMYFUNCTION("""COMPUTED_VALUE"""),39.9643298120455)</f>
        <v>39.96432981</v>
      </c>
      <c r="P2293" s="20">
        <f>IFERROR(__xludf.DUMMYFUNCTION("""COMPUTED_VALUE"""),2913.0)</f>
        <v>2913</v>
      </c>
      <c r="Q2293" s="20">
        <f>IFERROR(__xludf.DUMMYFUNCTION("""COMPUTED_VALUE"""),7289.0)</f>
        <v>7289</v>
      </c>
    </row>
    <row r="2294">
      <c r="A2294" s="20">
        <f>IFERROR(__xludf.DUMMYFUNCTION("""COMPUTED_VALUE"""),2386.0)</f>
        <v>2386</v>
      </c>
      <c r="B2294" s="20" t="str">
        <f>IFERROR(__xludf.DUMMYFUNCTION("""COMPUTED_VALUE"""),"Min Max Game")</f>
        <v>Min Max Game</v>
      </c>
      <c r="C2294" s="20" t="str">
        <f>IFERROR(__xludf.DUMMYFUNCTION("""COMPUTED_VALUE"""),"min-max-game")</f>
        <v>min-max-game</v>
      </c>
      <c r="D2294" s="20" t="b">
        <f>IFERROR(__xludf.DUMMYFUNCTION("""COMPUTED_VALUE"""),FALSE)</f>
        <v>0</v>
      </c>
      <c r="E2294" s="20" t="str">
        <f>IFERROR(__xludf.DUMMYFUNCTION("""COMPUTED_VALUE"""),"Easy")</f>
        <v>Easy</v>
      </c>
      <c r="F2294" s="20">
        <f>IFERROR(__xludf.DUMMYFUNCTION("""COMPUTED_VALUE"""),356.0)</f>
        <v>356</v>
      </c>
      <c r="G2294" s="20">
        <f>IFERROR(__xludf.DUMMYFUNCTION("""COMPUTED_VALUE"""),17.0)</f>
        <v>17</v>
      </c>
      <c r="H2294" s="20" t="str">
        <f>IFERROR(__xludf.DUMMYFUNCTION("""COMPUTED_VALUE"""),"Algorithms")</f>
        <v>Algorithms</v>
      </c>
      <c r="I2294" s="20">
        <f>IFERROR(__xludf.DUMMYFUNCTION("""COMPUTED_VALUE"""),0.641)</f>
        <v>0.641</v>
      </c>
      <c r="J2294" s="20">
        <f>IFERROR(__xludf.DUMMYFUNCTION("""COMPUTED_VALUE"""),2293.0)</f>
        <v>2293</v>
      </c>
      <c r="K2294" s="20" t="b">
        <f>IFERROR(__xludf.DUMMYFUNCTION("""COMPUTED_VALUE"""),FALSE)</f>
        <v>0</v>
      </c>
      <c r="L2294" s="20" t="str">
        <f>IFERROR(__xludf.DUMMYFUNCTION("""COMPUTED_VALUE"""),"Array;Simulation;")</f>
        <v>Array;Simulation;</v>
      </c>
      <c r="M2294" s="20" t="b">
        <f>IFERROR(__xludf.DUMMYFUNCTION("""COMPUTED_VALUE"""),FALSE)</f>
        <v>0</v>
      </c>
      <c r="N2294" s="20" t="b">
        <f>IFERROR(__xludf.DUMMYFUNCTION("""COMPUTED_VALUE"""),FALSE)</f>
        <v>0</v>
      </c>
      <c r="O2294" s="20">
        <f>IFERROR(__xludf.DUMMYFUNCTION("""COMPUTED_VALUE"""),64.0811479080271)</f>
        <v>64.08114791</v>
      </c>
      <c r="P2294" s="20">
        <f>IFERROR(__xludf.DUMMYFUNCTION("""COMPUTED_VALUE"""),32914.0)</f>
        <v>32914</v>
      </c>
      <c r="Q2294" s="20">
        <f>IFERROR(__xludf.DUMMYFUNCTION("""COMPUTED_VALUE"""),51363.0)</f>
        <v>51363</v>
      </c>
    </row>
    <row r="2295">
      <c r="A2295" s="20">
        <f>IFERROR(__xludf.DUMMYFUNCTION("""COMPUTED_VALUE"""),2387.0)</f>
        <v>2387</v>
      </c>
      <c r="B2295" s="20" t="str">
        <f>IFERROR(__xludf.DUMMYFUNCTION("""COMPUTED_VALUE"""),"Partition Array Such That Maximum Difference Is K")</f>
        <v>Partition Array Such That Maximum Difference Is K</v>
      </c>
      <c r="C2295" s="20" t="str">
        <f>IFERROR(__xludf.DUMMYFUNCTION("""COMPUTED_VALUE"""),"partition-array-such-that-maximum-difference-is-k")</f>
        <v>partition-array-such-that-maximum-difference-is-k</v>
      </c>
      <c r="D2295" s="20" t="b">
        <f>IFERROR(__xludf.DUMMYFUNCTION("""COMPUTED_VALUE"""),FALSE)</f>
        <v>0</v>
      </c>
      <c r="E2295" s="20" t="str">
        <f>IFERROR(__xludf.DUMMYFUNCTION("""COMPUTED_VALUE"""),"Medium")</f>
        <v>Medium</v>
      </c>
      <c r="F2295" s="20">
        <f>IFERROR(__xludf.DUMMYFUNCTION("""COMPUTED_VALUE"""),500.0)</f>
        <v>500</v>
      </c>
      <c r="G2295" s="20">
        <f>IFERROR(__xludf.DUMMYFUNCTION("""COMPUTED_VALUE"""),17.0)</f>
        <v>17</v>
      </c>
      <c r="H2295" s="20" t="str">
        <f>IFERROR(__xludf.DUMMYFUNCTION("""COMPUTED_VALUE"""),"Algorithms")</f>
        <v>Algorithms</v>
      </c>
      <c r="I2295" s="20">
        <f>IFERROR(__xludf.DUMMYFUNCTION("""COMPUTED_VALUE"""),0.728)</f>
        <v>0.728</v>
      </c>
      <c r="J2295" s="20">
        <f>IFERROR(__xludf.DUMMYFUNCTION("""COMPUTED_VALUE"""),2294.0)</f>
        <v>2294</v>
      </c>
      <c r="K2295" s="20" t="b">
        <f>IFERROR(__xludf.DUMMYFUNCTION("""COMPUTED_VALUE"""),FALSE)</f>
        <v>0</v>
      </c>
      <c r="L2295" s="20" t="str">
        <f>IFERROR(__xludf.DUMMYFUNCTION("""COMPUTED_VALUE"""),"Array;Greedy;Sorting;")</f>
        <v>Array;Greedy;Sorting;</v>
      </c>
      <c r="M2295" s="20" t="b">
        <f>IFERROR(__xludf.DUMMYFUNCTION("""COMPUTED_VALUE"""),FALSE)</f>
        <v>0</v>
      </c>
      <c r="N2295" s="20" t="b">
        <f>IFERROR(__xludf.DUMMYFUNCTION("""COMPUTED_VALUE"""),FALSE)</f>
        <v>0</v>
      </c>
      <c r="O2295" s="20">
        <f>IFERROR(__xludf.DUMMYFUNCTION("""COMPUTED_VALUE"""),72.7675695178207)</f>
        <v>72.76756952</v>
      </c>
      <c r="P2295" s="20">
        <f>IFERROR(__xludf.DUMMYFUNCTION("""COMPUTED_VALUE"""),28236.0)</f>
        <v>28236</v>
      </c>
      <c r="Q2295" s="20">
        <f>IFERROR(__xludf.DUMMYFUNCTION("""COMPUTED_VALUE"""),38803.0)</f>
        <v>38803</v>
      </c>
    </row>
    <row r="2296">
      <c r="A2296" s="20">
        <f>IFERROR(__xludf.DUMMYFUNCTION("""COMPUTED_VALUE"""),2388.0)</f>
        <v>2388</v>
      </c>
      <c r="B2296" s="20" t="str">
        <f>IFERROR(__xludf.DUMMYFUNCTION("""COMPUTED_VALUE"""),"Replace Elements in an Array")</f>
        <v>Replace Elements in an Array</v>
      </c>
      <c r="C2296" s="20" t="str">
        <f>IFERROR(__xludf.DUMMYFUNCTION("""COMPUTED_VALUE"""),"replace-elements-in-an-array")</f>
        <v>replace-elements-in-an-array</v>
      </c>
      <c r="D2296" s="20" t="b">
        <f>IFERROR(__xludf.DUMMYFUNCTION("""COMPUTED_VALUE"""),FALSE)</f>
        <v>0</v>
      </c>
      <c r="E2296" s="20" t="str">
        <f>IFERROR(__xludf.DUMMYFUNCTION("""COMPUTED_VALUE"""),"Medium")</f>
        <v>Medium</v>
      </c>
      <c r="F2296" s="20">
        <f>IFERROR(__xludf.DUMMYFUNCTION("""COMPUTED_VALUE"""),436.0)</f>
        <v>436</v>
      </c>
      <c r="G2296" s="20">
        <f>IFERROR(__xludf.DUMMYFUNCTION("""COMPUTED_VALUE"""),22.0)</f>
        <v>22</v>
      </c>
      <c r="H2296" s="20" t="str">
        <f>IFERROR(__xludf.DUMMYFUNCTION("""COMPUTED_VALUE"""),"Algorithms")</f>
        <v>Algorithms</v>
      </c>
      <c r="I2296" s="20">
        <f>IFERROR(__xludf.DUMMYFUNCTION("""COMPUTED_VALUE"""),0.576)</f>
        <v>0.576</v>
      </c>
      <c r="J2296" s="20">
        <f>IFERROR(__xludf.DUMMYFUNCTION("""COMPUTED_VALUE"""),2295.0)</f>
        <v>2295</v>
      </c>
      <c r="K2296" s="20" t="b">
        <f>IFERROR(__xludf.DUMMYFUNCTION("""COMPUTED_VALUE"""),FALSE)</f>
        <v>0</v>
      </c>
      <c r="L2296" s="20" t="str">
        <f>IFERROR(__xludf.DUMMYFUNCTION("""COMPUTED_VALUE"""),"Array;Hash Table;Simulation;")</f>
        <v>Array;Hash Table;Simulation;</v>
      </c>
      <c r="M2296" s="20" t="b">
        <f>IFERROR(__xludf.DUMMYFUNCTION("""COMPUTED_VALUE"""),FALSE)</f>
        <v>0</v>
      </c>
      <c r="N2296" s="20" t="b">
        <f>IFERROR(__xludf.DUMMYFUNCTION("""COMPUTED_VALUE"""),FALSE)</f>
        <v>0</v>
      </c>
      <c r="O2296" s="20">
        <f>IFERROR(__xludf.DUMMYFUNCTION("""COMPUTED_VALUE"""),57.5595331436636)</f>
        <v>57.55953314</v>
      </c>
      <c r="P2296" s="20">
        <f>IFERROR(__xludf.DUMMYFUNCTION("""COMPUTED_VALUE"""),25692.0)</f>
        <v>25692</v>
      </c>
      <c r="Q2296" s="20">
        <f>IFERROR(__xludf.DUMMYFUNCTION("""COMPUTED_VALUE"""),44637.0)</f>
        <v>44637</v>
      </c>
    </row>
    <row r="2297">
      <c r="A2297" s="20">
        <f>IFERROR(__xludf.DUMMYFUNCTION("""COMPUTED_VALUE"""),2389.0)</f>
        <v>2389</v>
      </c>
      <c r="B2297" s="20" t="str">
        <f>IFERROR(__xludf.DUMMYFUNCTION("""COMPUTED_VALUE"""),"Design a Text Editor")</f>
        <v>Design a Text Editor</v>
      </c>
      <c r="C2297" s="20" t="str">
        <f>IFERROR(__xludf.DUMMYFUNCTION("""COMPUTED_VALUE"""),"design-a-text-editor")</f>
        <v>design-a-text-editor</v>
      </c>
      <c r="D2297" s="20" t="b">
        <f>IFERROR(__xludf.DUMMYFUNCTION("""COMPUTED_VALUE"""),FALSE)</f>
        <v>0</v>
      </c>
      <c r="E2297" s="20" t="str">
        <f>IFERROR(__xludf.DUMMYFUNCTION("""COMPUTED_VALUE"""),"Hard")</f>
        <v>Hard</v>
      </c>
      <c r="F2297" s="20">
        <f>IFERROR(__xludf.DUMMYFUNCTION("""COMPUTED_VALUE"""),399.0)</f>
        <v>399</v>
      </c>
      <c r="G2297" s="20">
        <f>IFERROR(__xludf.DUMMYFUNCTION("""COMPUTED_VALUE"""),210.0)</f>
        <v>210</v>
      </c>
      <c r="H2297" s="20" t="str">
        <f>IFERROR(__xludf.DUMMYFUNCTION("""COMPUTED_VALUE"""),"Algorithms")</f>
        <v>Algorithms</v>
      </c>
      <c r="I2297" s="20">
        <f>IFERROR(__xludf.DUMMYFUNCTION("""COMPUTED_VALUE"""),0.402)</f>
        <v>0.402</v>
      </c>
      <c r="J2297" s="20">
        <f>IFERROR(__xludf.DUMMYFUNCTION("""COMPUTED_VALUE"""),2296.0)</f>
        <v>2296</v>
      </c>
      <c r="K2297" s="20" t="b">
        <f>IFERROR(__xludf.DUMMYFUNCTION("""COMPUTED_VALUE"""),FALSE)</f>
        <v>0</v>
      </c>
      <c r="L2297" s="20" t="str">
        <f>IFERROR(__xludf.DUMMYFUNCTION("""COMPUTED_VALUE"""),"Linked List;String;Stack;Design;Simulation;Doubly-Linked List;")</f>
        <v>Linked List;String;Stack;Design;Simulation;Doubly-Linked List;</v>
      </c>
      <c r="M2297" s="20" t="b">
        <f>IFERROR(__xludf.DUMMYFUNCTION("""COMPUTED_VALUE"""),FALSE)</f>
        <v>0</v>
      </c>
      <c r="N2297" s="20" t="b">
        <f>IFERROR(__xludf.DUMMYFUNCTION("""COMPUTED_VALUE"""),FALSE)</f>
        <v>0</v>
      </c>
      <c r="O2297" s="20">
        <f>IFERROR(__xludf.DUMMYFUNCTION("""COMPUTED_VALUE"""),40.1659959758551)</f>
        <v>40.16599598</v>
      </c>
      <c r="P2297" s="20">
        <f>IFERROR(__xludf.DUMMYFUNCTION("""COMPUTED_VALUE"""),14373.0)</f>
        <v>14373</v>
      </c>
      <c r="Q2297" s="20">
        <f>IFERROR(__xludf.DUMMYFUNCTION("""COMPUTED_VALUE"""),35783.0)</f>
        <v>35783</v>
      </c>
    </row>
    <row r="2298">
      <c r="A2298" s="20">
        <f>IFERROR(__xludf.DUMMYFUNCTION("""COMPUTED_VALUE"""),2056.0)</f>
        <v>2056</v>
      </c>
      <c r="B2298" s="20" t="str">
        <f>IFERROR(__xludf.DUMMYFUNCTION("""COMPUTED_VALUE"""),"Jump Game VIII")</f>
        <v>Jump Game VIII</v>
      </c>
      <c r="C2298" s="20" t="str">
        <f>IFERROR(__xludf.DUMMYFUNCTION("""COMPUTED_VALUE"""),"jump-game-viii")</f>
        <v>jump-game-viii</v>
      </c>
      <c r="D2298" s="20" t="b">
        <f>IFERROR(__xludf.DUMMYFUNCTION("""COMPUTED_VALUE"""),TRUE)</f>
        <v>1</v>
      </c>
      <c r="E2298" s="20" t="str">
        <f>IFERROR(__xludf.DUMMYFUNCTION("""COMPUTED_VALUE"""),"Medium")</f>
        <v>Medium</v>
      </c>
      <c r="F2298" s="20">
        <f>IFERROR(__xludf.DUMMYFUNCTION("""COMPUTED_VALUE"""),60.0)</f>
        <v>60</v>
      </c>
      <c r="G2298" s="20">
        <f>IFERROR(__xludf.DUMMYFUNCTION("""COMPUTED_VALUE"""),9.0)</f>
        <v>9</v>
      </c>
      <c r="H2298" s="20" t="str">
        <f>IFERROR(__xludf.DUMMYFUNCTION("""COMPUTED_VALUE"""),"Algorithms")</f>
        <v>Algorithms</v>
      </c>
      <c r="I2298" s="20">
        <f>IFERROR(__xludf.DUMMYFUNCTION("""COMPUTED_VALUE"""),0.565)</f>
        <v>0.565</v>
      </c>
      <c r="J2298" s="20">
        <f>IFERROR(__xludf.DUMMYFUNCTION("""COMPUTED_VALUE"""),2297.0)</f>
        <v>2297</v>
      </c>
      <c r="K2298" s="20" t="b">
        <f>IFERROR(__xludf.DUMMYFUNCTION("""COMPUTED_VALUE"""),TRUE)</f>
        <v>1</v>
      </c>
      <c r="L2298" s="20" t="str">
        <f>IFERROR(__xludf.DUMMYFUNCTION("""COMPUTED_VALUE"""),"Array;Dynamic Programming;Stack;Graph;Monotonic Stack;Shortest Path;")</f>
        <v>Array;Dynamic Programming;Stack;Graph;Monotonic Stack;Shortest Path;</v>
      </c>
      <c r="M2298" s="20" t="b">
        <f>IFERROR(__xludf.DUMMYFUNCTION("""COMPUTED_VALUE"""),FALSE)</f>
        <v>0</v>
      </c>
      <c r="N2298" s="20" t="b">
        <f>IFERROR(__xludf.DUMMYFUNCTION("""COMPUTED_VALUE"""),FALSE)</f>
        <v>0</v>
      </c>
      <c r="O2298" s="20">
        <f>IFERROR(__xludf.DUMMYFUNCTION("""COMPUTED_VALUE"""),56.5388397246804)</f>
        <v>56.53883972</v>
      </c>
      <c r="P2298" s="20">
        <f>IFERROR(__xludf.DUMMYFUNCTION("""COMPUTED_VALUE"""),1150.0)</f>
        <v>1150</v>
      </c>
      <c r="Q2298" s="20">
        <f>IFERROR(__xludf.DUMMYFUNCTION("""COMPUTED_VALUE"""),2034.0)</f>
        <v>2034</v>
      </c>
    </row>
    <row r="2299">
      <c r="A2299" s="20">
        <f>IFERROR(__xludf.DUMMYFUNCTION("""COMPUTED_VALUE"""),2440.0)</f>
        <v>2440</v>
      </c>
      <c r="B2299" s="20" t="str">
        <f>IFERROR(__xludf.DUMMYFUNCTION("""COMPUTED_VALUE"""),"Tasks Count in the Weekend")</f>
        <v>Tasks Count in the Weekend</v>
      </c>
      <c r="C2299" s="20" t="str">
        <f>IFERROR(__xludf.DUMMYFUNCTION("""COMPUTED_VALUE"""),"tasks-count-in-the-weekend")</f>
        <v>tasks-count-in-the-weekend</v>
      </c>
      <c r="D2299" s="20" t="b">
        <f>IFERROR(__xludf.DUMMYFUNCTION("""COMPUTED_VALUE"""),TRUE)</f>
        <v>1</v>
      </c>
      <c r="E2299" s="20" t="str">
        <f>IFERROR(__xludf.DUMMYFUNCTION("""COMPUTED_VALUE"""),"Medium")</f>
        <v>Medium</v>
      </c>
      <c r="F2299" s="20">
        <f>IFERROR(__xludf.DUMMYFUNCTION("""COMPUTED_VALUE"""),24.0)</f>
        <v>24</v>
      </c>
      <c r="G2299" s="20">
        <f>IFERROR(__xludf.DUMMYFUNCTION("""COMPUTED_VALUE"""),7.0)</f>
        <v>7</v>
      </c>
      <c r="H2299" s="20" t="str">
        <f>IFERROR(__xludf.DUMMYFUNCTION("""COMPUTED_VALUE"""),"Database")</f>
        <v>Database</v>
      </c>
      <c r="I2299" s="20">
        <f>IFERROR(__xludf.DUMMYFUNCTION("""COMPUTED_VALUE"""),0.871)</f>
        <v>0.871</v>
      </c>
      <c r="J2299" s="20">
        <f>IFERROR(__xludf.DUMMYFUNCTION("""COMPUTED_VALUE"""),2298.0)</f>
        <v>2298</v>
      </c>
      <c r="K2299" s="20" t="b">
        <f>IFERROR(__xludf.DUMMYFUNCTION("""COMPUTED_VALUE"""),TRUE)</f>
        <v>1</v>
      </c>
      <c r="L2299" s="20" t="str">
        <f>IFERROR(__xludf.DUMMYFUNCTION("""COMPUTED_VALUE"""),"Database;")</f>
        <v>Database;</v>
      </c>
      <c r="M2299" s="20" t="b">
        <f>IFERROR(__xludf.DUMMYFUNCTION("""COMPUTED_VALUE"""),FALSE)</f>
        <v>0</v>
      </c>
      <c r="N2299" s="20" t="b">
        <f>IFERROR(__xludf.DUMMYFUNCTION("""COMPUTED_VALUE"""),FALSE)</f>
        <v>0</v>
      </c>
      <c r="O2299" s="20">
        <f>IFERROR(__xludf.DUMMYFUNCTION("""COMPUTED_VALUE"""),87.1020142949967)</f>
        <v>87.10201429</v>
      </c>
      <c r="P2299" s="20">
        <f>IFERROR(__xludf.DUMMYFUNCTION("""COMPUTED_VALUE"""),2681.0)</f>
        <v>2681</v>
      </c>
      <c r="Q2299" s="20">
        <f>IFERROR(__xludf.DUMMYFUNCTION("""COMPUTED_VALUE"""),3078.0)</f>
        <v>3078</v>
      </c>
    </row>
    <row r="2300">
      <c r="A2300" s="20">
        <f>IFERROR(__xludf.DUMMYFUNCTION("""COMPUTED_VALUE"""),2391.0)</f>
        <v>2391</v>
      </c>
      <c r="B2300" s="20" t="str">
        <f>IFERROR(__xludf.DUMMYFUNCTION("""COMPUTED_VALUE"""),"Strong Password Checker II")</f>
        <v>Strong Password Checker II</v>
      </c>
      <c r="C2300" s="20" t="str">
        <f>IFERROR(__xludf.DUMMYFUNCTION("""COMPUTED_VALUE"""),"strong-password-checker-ii")</f>
        <v>strong-password-checker-ii</v>
      </c>
      <c r="D2300" s="20" t="b">
        <f>IFERROR(__xludf.DUMMYFUNCTION("""COMPUTED_VALUE"""),FALSE)</f>
        <v>0</v>
      </c>
      <c r="E2300" s="20" t="str">
        <f>IFERROR(__xludf.DUMMYFUNCTION("""COMPUTED_VALUE"""),"Easy")</f>
        <v>Easy</v>
      </c>
      <c r="F2300" s="20">
        <f>IFERROR(__xludf.DUMMYFUNCTION("""COMPUTED_VALUE"""),221.0)</f>
        <v>221</v>
      </c>
      <c r="G2300" s="20">
        <f>IFERROR(__xludf.DUMMYFUNCTION("""COMPUTED_VALUE"""),31.0)</f>
        <v>31</v>
      </c>
      <c r="H2300" s="20" t="str">
        <f>IFERROR(__xludf.DUMMYFUNCTION("""COMPUTED_VALUE"""),"Algorithms")</f>
        <v>Algorithms</v>
      </c>
      <c r="I2300" s="20">
        <f>IFERROR(__xludf.DUMMYFUNCTION("""COMPUTED_VALUE"""),0.566)</f>
        <v>0.566</v>
      </c>
      <c r="J2300" s="20">
        <f>IFERROR(__xludf.DUMMYFUNCTION("""COMPUTED_VALUE"""),2299.0)</f>
        <v>2299</v>
      </c>
      <c r="K2300" s="20" t="b">
        <f>IFERROR(__xludf.DUMMYFUNCTION("""COMPUTED_VALUE"""),FALSE)</f>
        <v>0</v>
      </c>
      <c r="L2300" s="20" t="str">
        <f>IFERROR(__xludf.DUMMYFUNCTION("""COMPUTED_VALUE"""),"String;")</f>
        <v>String;</v>
      </c>
      <c r="M2300" s="20" t="b">
        <f>IFERROR(__xludf.DUMMYFUNCTION("""COMPUTED_VALUE"""),FALSE)</f>
        <v>0</v>
      </c>
      <c r="N2300" s="20" t="b">
        <f>IFERROR(__xludf.DUMMYFUNCTION("""COMPUTED_VALUE"""),FALSE)</f>
        <v>0</v>
      </c>
      <c r="O2300" s="20">
        <f>IFERROR(__xludf.DUMMYFUNCTION("""COMPUTED_VALUE"""),56.5808041449904)</f>
        <v>56.58080414</v>
      </c>
      <c r="P2300" s="20">
        <f>IFERROR(__xludf.DUMMYFUNCTION("""COMPUTED_VALUE"""),26862.0)</f>
        <v>26862</v>
      </c>
      <c r="Q2300" s="20">
        <f>IFERROR(__xludf.DUMMYFUNCTION("""COMPUTED_VALUE"""),47474.0)</f>
        <v>47474</v>
      </c>
    </row>
    <row r="2301">
      <c r="A2301" s="20">
        <f>IFERROR(__xludf.DUMMYFUNCTION("""COMPUTED_VALUE"""),2392.0)</f>
        <v>2392</v>
      </c>
      <c r="B2301" s="20" t="str">
        <f>IFERROR(__xludf.DUMMYFUNCTION("""COMPUTED_VALUE"""),"Successful Pairs of Spells and Potions")</f>
        <v>Successful Pairs of Spells and Potions</v>
      </c>
      <c r="C2301" s="20" t="str">
        <f>IFERROR(__xludf.DUMMYFUNCTION("""COMPUTED_VALUE"""),"successful-pairs-of-spells-and-potions")</f>
        <v>successful-pairs-of-spells-and-potions</v>
      </c>
      <c r="D2301" s="20" t="b">
        <f>IFERROR(__xludf.DUMMYFUNCTION("""COMPUTED_VALUE"""),FALSE)</f>
        <v>0</v>
      </c>
      <c r="E2301" s="20" t="str">
        <f>IFERROR(__xludf.DUMMYFUNCTION("""COMPUTED_VALUE"""),"Medium")</f>
        <v>Medium</v>
      </c>
      <c r="F2301" s="20">
        <f>IFERROR(__xludf.DUMMYFUNCTION("""COMPUTED_VALUE"""),434.0)</f>
        <v>434</v>
      </c>
      <c r="G2301" s="20">
        <f>IFERROR(__xludf.DUMMYFUNCTION("""COMPUTED_VALUE"""),12.0)</f>
        <v>12</v>
      </c>
      <c r="H2301" s="20" t="str">
        <f>IFERROR(__xludf.DUMMYFUNCTION("""COMPUTED_VALUE"""),"Algorithms")</f>
        <v>Algorithms</v>
      </c>
      <c r="I2301" s="20">
        <f>IFERROR(__xludf.DUMMYFUNCTION("""COMPUTED_VALUE"""),0.321)</f>
        <v>0.321</v>
      </c>
      <c r="J2301" s="20">
        <f>IFERROR(__xludf.DUMMYFUNCTION("""COMPUTED_VALUE"""),2300.0)</f>
        <v>2300</v>
      </c>
      <c r="K2301" s="20" t="b">
        <f>IFERROR(__xludf.DUMMYFUNCTION("""COMPUTED_VALUE"""),FALSE)</f>
        <v>0</v>
      </c>
      <c r="L2301" s="20" t="str">
        <f>IFERROR(__xludf.DUMMYFUNCTION("""COMPUTED_VALUE"""),"Array;Two Pointers;Binary Search;Sorting;")</f>
        <v>Array;Two Pointers;Binary Search;Sorting;</v>
      </c>
      <c r="M2301" s="20" t="b">
        <f>IFERROR(__xludf.DUMMYFUNCTION("""COMPUTED_VALUE"""),FALSE)</f>
        <v>0</v>
      </c>
      <c r="N2301" s="20" t="b">
        <f>IFERROR(__xludf.DUMMYFUNCTION("""COMPUTED_VALUE"""),FALSE)</f>
        <v>0</v>
      </c>
      <c r="O2301" s="20">
        <f>IFERROR(__xludf.DUMMYFUNCTION("""COMPUTED_VALUE"""),32.0523441335297)</f>
        <v>32.05234413</v>
      </c>
      <c r="P2301" s="20">
        <f>IFERROR(__xludf.DUMMYFUNCTION("""COMPUTED_VALUE"""),20892.0)</f>
        <v>20892</v>
      </c>
      <c r="Q2301" s="20">
        <f>IFERROR(__xludf.DUMMYFUNCTION("""COMPUTED_VALUE"""),65183.0)</f>
        <v>65183</v>
      </c>
    </row>
    <row r="2302">
      <c r="A2302" s="20">
        <f>IFERROR(__xludf.DUMMYFUNCTION("""COMPUTED_VALUE"""),2393.0)</f>
        <v>2393</v>
      </c>
      <c r="B2302" s="20" t="str">
        <f>IFERROR(__xludf.DUMMYFUNCTION("""COMPUTED_VALUE"""),"Match Substring After Replacement")</f>
        <v>Match Substring After Replacement</v>
      </c>
      <c r="C2302" s="20" t="str">
        <f>IFERROR(__xludf.DUMMYFUNCTION("""COMPUTED_VALUE"""),"match-substring-after-replacement")</f>
        <v>match-substring-after-replacement</v>
      </c>
      <c r="D2302" s="20" t="b">
        <f>IFERROR(__xludf.DUMMYFUNCTION("""COMPUTED_VALUE"""),FALSE)</f>
        <v>0</v>
      </c>
      <c r="E2302" s="20" t="str">
        <f>IFERROR(__xludf.DUMMYFUNCTION("""COMPUTED_VALUE"""),"Hard")</f>
        <v>Hard</v>
      </c>
      <c r="F2302" s="20">
        <f>IFERROR(__xludf.DUMMYFUNCTION("""COMPUTED_VALUE"""),305.0)</f>
        <v>305</v>
      </c>
      <c r="G2302" s="20">
        <f>IFERROR(__xludf.DUMMYFUNCTION("""COMPUTED_VALUE"""),67.0)</f>
        <v>67</v>
      </c>
      <c r="H2302" s="20" t="str">
        <f>IFERROR(__xludf.DUMMYFUNCTION("""COMPUTED_VALUE"""),"Algorithms")</f>
        <v>Algorithms</v>
      </c>
      <c r="I2302" s="20">
        <f>IFERROR(__xludf.DUMMYFUNCTION("""COMPUTED_VALUE"""),0.392)</f>
        <v>0.392</v>
      </c>
      <c r="J2302" s="20">
        <f>IFERROR(__xludf.DUMMYFUNCTION("""COMPUTED_VALUE"""),2301.0)</f>
        <v>2301</v>
      </c>
      <c r="K2302" s="20" t="b">
        <f>IFERROR(__xludf.DUMMYFUNCTION("""COMPUTED_VALUE"""),FALSE)</f>
        <v>0</v>
      </c>
      <c r="L2302" s="20" t="str">
        <f>IFERROR(__xludf.DUMMYFUNCTION("""COMPUTED_VALUE"""),"Array;Hash Table;String;String Matching;")</f>
        <v>Array;Hash Table;String;String Matching;</v>
      </c>
      <c r="M2302" s="20" t="b">
        <f>IFERROR(__xludf.DUMMYFUNCTION("""COMPUTED_VALUE"""),FALSE)</f>
        <v>0</v>
      </c>
      <c r="N2302" s="20" t="b">
        <f>IFERROR(__xludf.DUMMYFUNCTION("""COMPUTED_VALUE"""),FALSE)</f>
        <v>0</v>
      </c>
      <c r="O2302" s="20">
        <f>IFERROR(__xludf.DUMMYFUNCTION("""COMPUTED_VALUE"""),39.1889414439188)</f>
        <v>39.18894144</v>
      </c>
      <c r="P2302" s="20">
        <f>IFERROR(__xludf.DUMMYFUNCTION("""COMPUTED_VALUE"""),10688.0)</f>
        <v>10688</v>
      </c>
      <c r="Q2302" s="20">
        <f>IFERROR(__xludf.DUMMYFUNCTION("""COMPUTED_VALUE"""),27273.0)</f>
        <v>27273</v>
      </c>
    </row>
    <row r="2303">
      <c r="A2303" s="20">
        <f>IFERROR(__xludf.DUMMYFUNCTION("""COMPUTED_VALUE"""),2394.0)</f>
        <v>2394</v>
      </c>
      <c r="B2303" s="20" t="str">
        <f>IFERROR(__xludf.DUMMYFUNCTION("""COMPUTED_VALUE"""),"Count Subarrays With Score Less Than K")</f>
        <v>Count Subarrays With Score Less Than K</v>
      </c>
      <c r="C2303" s="20" t="str">
        <f>IFERROR(__xludf.DUMMYFUNCTION("""COMPUTED_VALUE"""),"count-subarrays-with-score-less-than-k")</f>
        <v>count-subarrays-with-score-less-than-k</v>
      </c>
      <c r="D2303" s="20" t="b">
        <f>IFERROR(__xludf.DUMMYFUNCTION("""COMPUTED_VALUE"""),FALSE)</f>
        <v>0</v>
      </c>
      <c r="E2303" s="20" t="str">
        <f>IFERROR(__xludf.DUMMYFUNCTION("""COMPUTED_VALUE"""),"Hard")</f>
        <v>Hard</v>
      </c>
      <c r="F2303" s="20">
        <f>IFERROR(__xludf.DUMMYFUNCTION("""COMPUTED_VALUE"""),653.0)</f>
        <v>653</v>
      </c>
      <c r="G2303" s="20">
        <f>IFERROR(__xludf.DUMMYFUNCTION("""COMPUTED_VALUE"""),14.0)</f>
        <v>14</v>
      </c>
      <c r="H2303" s="20" t="str">
        <f>IFERROR(__xludf.DUMMYFUNCTION("""COMPUTED_VALUE"""),"Algorithms")</f>
        <v>Algorithms</v>
      </c>
      <c r="I2303" s="20">
        <f>IFERROR(__xludf.DUMMYFUNCTION("""COMPUTED_VALUE"""),0.522)</f>
        <v>0.522</v>
      </c>
      <c r="J2303" s="20">
        <f>IFERROR(__xludf.DUMMYFUNCTION("""COMPUTED_VALUE"""),2302.0)</f>
        <v>2302</v>
      </c>
      <c r="K2303" s="20" t="b">
        <f>IFERROR(__xludf.DUMMYFUNCTION("""COMPUTED_VALUE"""),FALSE)</f>
        <v>0</v>
      </c>
      <c r="L2303" s="20" t="str">
        <f>IFERROR(__xludf.DUMMYFUNCTION("""COMPUTED_VALUE"""),"Array;Binary Search;Sliding Window;Prefix Sum;")</f>
        <v>Array;Binary Search;Sliding Window;Prefix Sum;</v>
      </c>
      <c r="M2303" s="20" t="b">
        <f>IFERROR(__xludf.DUMMYFUNCTION("""COMPUTED_VALUE"""),FALSE)</f>
        <v>0</v>
      </c>
      <c r="N2303" s="20" t="b">
        <f>IFERROR(__xludf.DUMMYFUNCTION("""COMPUTED_VALUE"""),FALSE)</f>
        <v>0</v>
      </c>
      <c r="O2303" s="20">
        <f>IFERROR(__xludf.DUMMYFUNCTION("""COMPUTED_VALUE"""),52.2242365081578)</f>
        <v>52.22423651</v>
      </c>
      <c r="P2303" s="20">
        <f>IFERROR(__xludf.DUMMYFUNCTION("""COMPUTED_VALUE"""),14980.0)</f>
        <v>14980</v>
      </c>
      <c r="Q2303" s="20">
        <f>IFERROR(__xludf.DUMMYFUNCTION("""COMPUTED_VALUE"""),28684.0)</f>
        <v>28684</v>
      </c>
    </row>
    <row r="2304">
      <c r="A2304" s="20">
        <f>IFERROR(__xludf.DUMMYFUNCTION("""COMPUTED_VALUE"""),1382.0)</f>
        <v>1382</v>
      </c>
      <c r="B2304" s="20" t="str">
        <f>IFERROR(__xludf.DUMMYFUNCTION("""COMPUTED_VALUE"""),"Calculate Amount Paid in Taxes")</f>
        <v>Calculate Amount Paid in Taxes</v>
      </c>
      <c r="C2304" s="20" t="str">
        <f>IFERROR(__xludf.DUMMYFUNCTION("""COMPUTED_VALUE"""),"calculate-amount-paid-in-taxes")</f>
        <v>calculate-amount-paid-in-taxes</v>
      </c>
      <c r="D2304" s="20" t="b">
        <f>IFERROR(__xludf.DUMMYFUNCTION("""COMPUTED_VALUE"""),FALSE)</f>
        <v>0</v>
      </c>
      <c r="E2304" s="20" t="str">
        <f>IFERROR(__xludf.DUMMYFUNCTION("""COMPUTED_VALUE"""),"Easy")</f>
        <v>Easy</v>
      </c>
      <c r="F2304" s="20">
        <f>IFERROR(__xludf.DUMMYFUNCTION("""COMPUTED_VALUE"""),161.0)</f>
        <v>161</v>
      </c>
      <c r="G2304" s="20">
        <f>IFERROR(__xludf.DUMMYFUNCTION("""COMPUTED_VALUE"""),206.0)</f>
        <v>206</v>
      </c>
      <c r="H2304" s="20" t="str">
        <f>IFERROR(__xludf.DUMMYFUNCTION("""COMPUTED_VALUE"""),"Algorithms")</f>
        <v>Algorithms</v>
      </c>
      <c r="I2304" s="20">
        <f>IFERROR(__xludf.DUMMYFUNCTION("""COMPUTED_VALUE"""),0.638)</f>
        <v>0.638</v>
      </c>
      <c r="J2304" s="20">
        <f>IFERROR(__xludf.DUMMYFUNCTION("""COMPUTED_VALUE"""),2303.0)</f>
        <v>2303</v>
      </c>
      <c r="K2304" s="20" t="b">
        <f>IFERROR(__xludf.DUMMYFUNCTION("""COMPUTED_VALUE"""),FALSE)</f>
        <v>0</v>
      </c>
      <c r="L2304" s="20" t="str">
        <f>IFERROR(__xludf.DUMMYFUNCTION("""COMPUTED_VALUE"""),"Array;Simulation;")</f>
        <v>Array;Simulation;</v>
      </c>
      <c r="M2304" s="20" t="b">
        <f>IFERROR(__xludf.DUMMYFUNCTION("""COMPUTED_VALUE"""),FALSE)</f>
        <v>0</v>
      </c>
      <c r="N2304" s="20" t="b">
        <f>IFERROR(__xludf.DUMMYFUNCTION("""COMPUTED_VALUE"""),FALSE)</f>
        <v>0</v>
      </c>
      <c r="O2304" s="20">
        <f>IFERROR(__xludf.DUMMYFUNCTION("""COMPUTED_VALUE"""),63.7793017754307)</f>
        <v>63.77930178</v>
      </c>
      <c r="P2304" s="20">
        <f>IFERROR(__xludf.DUMMYFUNCTION("""COMPUTED_VALUE"""),26691.0)</f>
        <v>26691</v>
      </c>
      <c r="Q2304" s="20">
        <f>IFERROR(__xludf.DUMMYFUNCTION("""COMPUTED_VALUE"""),41849.0)</f>
        <v>41849</v>
      </c>
    </row>
    <row r="2305">
      <c r="A2305" s="20">
        <f>IFERROR(__xludf.DUMMYFUNCTION("""COMPUTED_VALUE"""),1394.0)</f>
        <v>1394</v>
      </c>
      <c r="B2305" s="20" t="str">
        <f>IFERROR(__xludf.DUMMYFUNCTION("""COMPUTED_VALUE"""),"Minimum Path Cost in a Grid")</f>
        <v>Minimum Path Cost in a Grid</v>
      </c>
      <c r="C2305" s="20" t="str">
        <f>IFERROR(__xludf.DUMMYFUNCTION("""COMPUTED_VALUE"""),"minimum-path-cost-in-a-grid")</f>
        <v>minimum-path-cost-in-a-grid</v>
      </c>
      <c r="D2305" s="20" t="b">
        <f>IFERROR(__xludf.DUMMYFUNCTION("""COMPUTED_VALUE"""),FALSE)</f>
        <v>0</v>
      </c>
      <c r="E2305" s="20" t="str">
        <f>IFERROR(__xludf.DUMMYFUNCTION("""COMPUTED_VALUE"""),"Medium")</f>
        <v>Medium</v>
      </c>
      <c r="F2305" s="20">
        <f>IFERROR(__xludf.DUMMYFUNCTION("""COMPUTED_VALUE"""),565.0)</f>
        <v>565</v>
      </c>
      <c r="G2305" s="20">
        <f>IFERROR(__xludf.DUMMYFUNCTION("""COMPUTED_VALUE"""),82.0)</f>
        <v>82</v>
      </c>
      <c r="H2305" s="20" t="str">
        <f>IFERROR(__xludf.DUMMYFUNCTION("""COMPUTED_VALUE"""),"Algorithms")</f>
        <v>Algorithms</v>
      </c>
      <c r="I2305" s="20">
        <f>IFERROR(__xludf.DUMMYFUNCTION("""COMPUTED_VALUE"""),0.658)</f>
        <v>0.658</v>
      </c>
      <c r="J2305" s="20">
        <f>IFERROR(__xludf.DUMMYFUNCTION("""COMPUTED_VALUE"""),2304.0)</f>
        <v>2304</v>
      </c>
      <c r="K2305" s="20" t="b">
        <f>IFERROR(__xludf.DUMMYFUNCTION("""COMPUTED_VALUE"""),FALSE)</f>
        <v>0</v>
      </c>
      <c r="L2305" s="20" t="str">
        <f>IFERROR(__xludf.DUMMYFUNCTION("""COMPUTED_VALUE"""),"Array;Dynamic Programming;Matrix;")</f>
        <v>Array;Dynamic Programming;Matrix;</v>
      </c>
      <c r="M2305" s="20" t="b">
        <f>IFERROR(__xludf.DUMMYFUNCTION("""COMPUTED_VALUE"""),FALSE)</f>
        <v>0</v>
      </c>
      <c r="N2305" s="20" t="b">
        <f>IFERROR(__xludf.DUMMYFUNCTION("""COMPUTED_VALUE"""),FALSE)</f>
        <v>0</v>
      </c>
      <c r="O2305" s="20">
        <f>IFERROR(__xludf.DUMMYFUNCTION("""COMPUTED_VALUE"""),65.7990314769975)</f>
        <v>65.79903148</v>
      </c>
      <c r="P2305" s="20">
        <f>IFERROR(__xludf.DUMMYFUNCTION("""COMPUTED_VALUE"""),19564.0)</f>
        <v>19564</v>
      </c>
      <c r="Q2305" s="20">
        <f>IFERROR(__xludf.DUMMYFUNCTION("""COMPUTED_VALUE"""),29734.0)</f>
        <v>29734</v>
      </c>
    </row>
    <row r="2306">
      <c r="A2306" s="20">
        <f>IFERROR(__xludf.DUMMYFUNCTION("""COMPUTED_VALUE"""),1418.0)</f>
        <v>1418</v>
      </c>
      <c r="B2306" s="20" t="str">
        <f>IFERROR(__xludf.DUMMYFUNCTION("""COMPUTED_VALUE"""),"Fair Distribution of Cookies")</f>
        <v>Fair Distribution of Cookies</v>
      </c>
      <c r="C2306" s="20" t="str">
        <f>IFERROR(__xludf.DUMMYFUNCTION("""COMPUTED_VALUE"""),"fair-distribution-of-cookies")</f>
        <v>fair-distribution-of-cookies</v>
      </c>
      <c r="D2306" s="20" t="b">
        <f>IFERROR(__xludf.DUMMYFUNCTION("""COMPUTED_VALUE"""),FALSE)</f>
        <v>0</v>
      </c>
      <c r="E2306" s="20" t="str">
        <f>IFERROR(__xludf.DUMMYFUNCTION("""COMPUTED_VALUE"""),"Medium")</f>
        <v>Medium</v>
      </c>
      <c r="F2306" s="20">
        <f>IFERROR(__xludf.DUMMYFUNCTION("""COMPUTED_VALUE"""),731.0)</f>
        <v>731</v>
      </c>
      <c r="G2306" s="20">
        <f>IFERROR(__xludf.DUMMYFUNCTION("""COMPUTED_VALUE"""),39.0)</f>
        <v>39</v>
      </c>
      <c r="H2306" s="20" t="str">
        <f>IFERROR(__xludf.DUMMYFUNCTION("""COMPUTED_VALUE"""),"Algorithms")</f>
        <v>Algorithms</v>
      </c>
      <c r="I2306" s="20">
        <f>IFERROR(__xludf.DUMMYFUNCTION("""COMPUTED_VALUE"""),0.624)</f>
        <v>0.624</v>
      </c>
      <c r="J2306" s="20">
        <f>IFERROR(__xludf.DUMMYFUNCTION("""COMPUTED_VALUE"""),2305.0)</f>
        <v>2305</v>
      </c>
      <c r="K2306" s="20" t="b">
        <f>IFERROR(__xludf.DUMMYFUNCTION("""COMPUTED_VALUE"""),FALSE)</f>
        <v>0</v>
      </c>
      <c r="L2306" s="20" t="str">
        <f>IFERROR(__xludf.DUMMYFUNCTION("""COMPUTED_VALUE"""),"Array;Dynamic Programming;Backtracking;Bit Manipulation;Bitmask;")</f>
        <v>Array;Dynamic Programming;Backtracking;Bit Manipulation;Bitmask;</v>
      </c>
      <c r="M2306" s="20" t="b">
        <f>IFERROR(__xludf.DUMMYFUNCTION("""COMPUTED_VALUE"""),FALSE)</f>
        <v>0</v>
      </c>
      <c r="N2306" s="20" t="b">
        <f>IFERROR(__xludf.DUMMYFUNCTION("""COMPUTED_VALUE"""),FALSE)</f>
        <v>0</v>
      </c>
      <c r="O2306" s="20">
        <f>IFERROR(__xludf.DUMMYFUNCTION("""COMPUTED_VALUE"""),62.4163309810097)</f>
        <v>62.41633098</v>
      </c>
      <c r="P2306" s="20">
        <f>IFERROR(__xludf.DUMMYFUNCTION("""COMPUTED_VALUE"""),20608.0)</f>
        <v>20608</v>
      </c>
      <c r="Q2306" s="20">
        <f>IFERROR(__xludf.DUMMYFUNCTION("""COMPUTED_VALUE"""),33017.0)</f>
        <v>33017</v>
      </c>
    </row>
    <row r="2307">
      <c r="A2307" s="20">
        <f>IFERROR(__xludf.DUMMYFUNCTION("""COMPUTED_VALUE"""),2390.0)</f>
        <v>2390</v>
      </c>
      <c r="B2307" s="20" t="str">
        <f>IFERROR(__xludf.DUMMYFUNCTION("""COMPUTED_VALUE"""),"Naming a Company")</f>
        <v>Naming a Company</v>
      </c>
      <c r="C2307" s="20" t="str">
        <f>IFERROR(__xludf.DUMMYFUNCTION("""COMPUTED_VALUE"""),"naming-a-company")</f>
        <v>naming-a-company</v>
      </c>
      <c r="D2307" s="20" t="b">
        <f>IFERROR(__xludf.DUMMYFUNCTION("""COMPUTED_VALUE"""),FALSE)</f>
        <v>0</v>
      </c>
      <c r="E2307" s="20" t="str">
        <f>IFERROR(__xludf.DUMMYFUNCTION("""COMPUTED_VALUE"""),"Hard")</f>
        <v>Hard</v>
      </c>
      <c r="F2307" s="20">
        <f>IFERROR(__xludf.DUMMYFUNCTION("""COMPUTED_VALUE"""),339.0)</f>
        <v>339</v>
      </c>
      <c r="G2307" s="20">
        <f>IFERROR(__xludf.DUMMYFUNCTION("""COMPUTED_VALUE"""),18.0)</f>
        <v>18</v>
      </c>
      <c r="H2307" s="20" t="str">
        <f>IFERROR(__xludf.DUMMYFUNCTION("""COMPUTED_VALUE"""),"Algorithms")</f>
        <v>Algorithms</v>
      </c>
      <c r="I2307" s="20">
        <f>IFERROR(__xludf.DUMMYFUNCTION("""COMPUTED_VALUE"""),0.346)</f>
        <v>0.346</v>
      </c>
      <c r="J2307" s="20">
        <f>IFERROR(__xludf.DUMMYFUNCTION("""COMPUTED_VALUE"""),2306.0)</f>
        <v>2306</v>
      </c>
      <c r="K2307" s="20" t="b">
        <f>IFERROR(__xludf.DUMMYFUNCTION("""COMPUTED_VALUE"""),FALSE)</f>
        <v>0</v>
      </c>
      <c r="L2307" s="20" t="str">
        <f>IFERROR(__xludf.DUMMYFUNCTION("""COMPUTED_VALUE"""),"Array;Hash Table;String;Bit Manipulation;Enumeration;")</f>
        <v>Array;Hash Table;String;Bit Manipulation;Enumeration;</v>
      </c>
      <c r="M2307" s="20" t="b">
        <f>IFERROR(__xludf.DUMMYFUNCTION("""COMPUTED_VALUE"""),FALSE)</f>
        <v>0</v>
      </c>
      <c r="N2307" s="20" t="b">
        <f>IFERROR(__xludf.DUMMYFUNCTION("""COMPUTED_VALUE"""),FALSE)</f>
        <v>0</v>
      </c>
      <c r="O2307" s="20">
        <f>IFERROR(__xludf.DUMMYFUNCTION("""COMPUTED_VALUE"""),34.5663321207871)</f>
        <v>34.56633212</v>
      </c>
      <c r="P2307" s="20">
        <f>IFERROR(__xludf.DUMMYFUNCTION("""COMPUTED_VALUE"""),7887.0)</f>
        <v>7887</v>
      </c>
      <c r="Q2307" s="20">
        <f>IFERROR(__xludf.DUMMYFUNCTION("""COMPUTED_VALUE"""),22817.0)</f>
        <v>22817</v>
      </c>
    </row>
    <row r="2308">
      <c r="A2308" s="20">
        <f>IFERROR(__xludf.DUMMYFUNCTION("""COMPUTED_VALUE"""),2065.0)</f>
        <v>2065</v>
      </c>
      <c r="B2308" s="20" t="str">
        <f>IFERROR(__xludf.DUMMYFUNCTION("""COMPUTED_VALUE"""),"Check for Contradictions in Equations")</f>
        <v>Check for Contradictions in Equations</v>
      </c>
      <c r="C2308" s="20" t="str">
        <f>IFERROR(__xludf.DUMMYFUNCTION("""COMPUTED_VALUE"""),"check-for-contradictions-in-equations")</f>
        <v>check-for-contradictions-in-equations</v>
      </c>
      <c r="D2308" s="20" t="b">
        <f>IFERROR(__xludf.DUMMYFUNCTION("""COMPUTED_VALUE"""),TRUE)</f>
        <v>1</v>
      </c>
      <c r="E2308" s="20" t="str">
        <f>IFERROR(__xludf.DUMMYFUNCTION("""COMPUTED_VALUE"""),"Hard")</f>
        <v>Hard</v>
      </c>
      <c r="F2308" s="20">
        <f>IFERROR(__xludf.DUMMYFUNCTION("""COMPUTED_VALUE"""),19.0)</f>
        <v>19</v>
      </c>
      <c r="G2308" s="20">
        <f>IFERROR(__xludf.DUMMYFUNCTION("""COMPUTED_VALUE"""),12.0)</f>
        <v>12</v>
      </c>
      <c r="H2308" s="20" t="str">
        <f>IFERROR(__xludf.DUMMYFUNCTION("""COMPUTED_VALUE"""),"Algorithms")</f>
        <v>Algorithms</v>
      </c>
      <c r="I2308" s="20">
        <f>IFERROR(__xludf.DUMMYFUNCTION("""COMPUTED_VALUE"""),0.432)</f>
        <v>0.432</v>
      </c>
      <c r="J2308" s="20">
        <f>IFERROR(__xludf.DUMMYFUNCTION("""COMPUTED_VALUE"""),2307.0)</f>
        <v>2307</v>
      </c>
      <c r="K2308" s="20" t="b">
        <f>IFERROR(__xludf.DUMMYFUNCTION("""COMPUTED_VALUE"""),TRUE)</f>
        <v>1</v>
      </c>
      <c r="L2308" s="20" t="str">
        <f>IFERROR(__xludf.DUMMYFUNCTION("""COMPUTED_VALUE"""),"Array;Depth-First Search;Union Find;Graph;")</f>
        <v>Array;Depth-First Search;Union Find;Graph;</v>
      </c>
      <c r="M2308" s="20" t="b">
        <f>IFERROR(__xludf.DUMMYFUNCTION("""COMPUTED_VALUE"""),FALSE)</f>
        <v>0</v>
      </c>
      <c r="N2308" s="20" t="b">
        <f>IFERROR(__xludf.DUMMYFUNCTION("""COMPUTED_VALUE"""),FALSE)</f>
        <v>0</v>
      </c>
      <c r="O2308" s="20">
        <f>IFERROR(__xludf.DUMMYFUNCTION("""COMPUTED_VALUE"""),43.1603773584905)</f>
        <v>43.16037736</v>
      </c>
      <c r="P2308" s="20">
        <f>IFERROR(__xludf.DUMMYFUNCTION("""COMPUTED_VALUE"""),732.0)</f>
        <v>732</v>
      </c>
      <c r="Q2308" s="20">
        <f>IFERROR(__xludf.DUMMYFUNCTION("""COMPUTED_VALUE"""),1696.0)</f>
        <v>1696</v>
      </c>
    </row>
    <row r="2309">
      <c r="A2309" s="20">
        <f>IFERROR(__xludf.DUMMYFUNCTION("""COMPUTED_VALUE"""),2441.0)</f>
        <v>2441</v>
      </c>
      <c r="B2309" s="20" t="str">
        <f>IFERROR(__xludf.DUMMYFUNCTION("""COMPUTED_VALUE"""),"Arrange Table by Gender")</f>
        <v>Arrange Table by Gender</v>
      </c>
      <c r="C2309" s="20" t="str">
        <f>IFERROR(__xludf.DUMMYFUNCTION("""COMPUTED_VALUE"""),"arrange-table-by-gender")</f>
        <v>arrange-table-by-gender</v>
      </c>
      <c r="D2309" s="20" t="b">
        <f>IFERROR(__xludf.DUMMYFUNCTION("""COMPUTED_VALUE"""),TRUE)</f>
        <v>1</v>
      </c>
      <c r="E2309" s="20" t="str">
        <f>IFERROR(__xludf.DUMMYFUNCTION("""COMPUTED_VALUE"""),"Medium")</f>
        <v>Medium</v>
      </c>
      <c r="F2309" s="20">
        <f>IFERROR(__xludf.DUMMYFUNCTION("""COMPUTED_VALUE"""),35.0)</f>
        <v>35</v>
      </c>
      <c r="G2309" s="20">
        <f>IFERROR(__xludf.DUMMYFUNCTION("""COMPUTED_VALUE"""),9.0)</f>
        <v>9</v>
      </c>
      <c r="H2309" s="20" t="str">
        <f>IFERROR(__xludf.DUMMYFUNCTION("""COMPUTED_VALUE"""),"Database")</f>
        <v>Database</v>
      </c>
      <c r="I2309" s="20">
        <f>IFERROR(__xludf.DUMMYFUNCTION("""COMPUTED_VALUE"""),0.785)</f>
        <v>0.785</v>
      </c>
      <c r="J2309" s="20">
        <f>IFERROR(__xludf.DUMMYFUNCTION("""COMPUTED_VALUE"""),2308.0)</f>
        <v>2308</v>
      </c>
      <c r="K2309" s="20" t="b">
        <f>IFERROR(__xludf.DUMMYFUNCTION("""COMPUTED_VALUE"""),TRUE)</f>
        <v>1</v>
      </c>
      <c r="L2309" s="20" t="str">
        <f>IFERROR(__xludf.DUMMYFUNCTION("""COMPUTED_VALUE"""),"Database;")</f>
        <v>Database;</v>
      </c>
      <c r="M2309" s="20" t="b">
        <f>IFERROR(__xludf.DUMMYFUNCTION("""COMPUTED_VALUE"""),FALSE)</f>
        <v>0</v>
      </c>
      <c r="N2309" s="20" t="b">
        <f>IFERROR(__xludf.DUMMYFUNCTION("""COMPUTED_VALUE"""),FALSE)</f>
        <v>0</v>
      </c>
      <c r="O2309" s="20">
        <f>IFERROR(__xludf.DUMMYFUNCTION("""COMPUTED_VALUE"""),78.5394419565966)</f>
        <v>78.53944196</v>
      </c>
      <c r="P2309" s="20">
        <f>IFERROR(__xludf.DUMMYFUNCTION("""COMPUTED_VALUE"""),2280.0)</f>
        <v>2280</v>
      </c>
      <c r="Q2309" s="20">
        <f>IFERROR(__xludf.DUMMYFUNCTION("""COMPUTED_VALUE"""),2903.0)</f>
        <v>2903</v>
      </c>
    </row>
    <row r="2310">
      <c r="A2310" s="20">
        <f>IFERROR(__xludf.DUMMYFUNCTION("""COMPUTED_VALUE"""),1363.0)</f>
        <v>1363</v>
      </c>
      <c r="B2310" s="20" t="str">
        <f>IFERROR(__xludf.DUMMYFUNCTION("""COMPUTED_VALUE"""),"Greatest English Letter in Upper and Lower Case")</f>
        <v>Greatest English Letter in Upper and Lower Case</v>
      </c>
      <c r="C2310" s="20" t="str">
        <f>IFERROR(__xludf.DUMMYFUNCTION("""COMPUTED_VALUE"""),"greatest-english-letter-in-upper-and-lower-case")</f>
        <v>greatest-english-letter-in-upper-and-lower-case</v>
      </c>
      <c r="D2310" s="20" t="b">
        <f>IFERROR(__xludf.DUMMYFUNCTION("""COMPUTED_VALUE"""),FALSE)</f>
        <v>0</v>
      </c>
      <c r="E2310" s="20" t="str">
        <f>IFERROR(__xludf.DUMMYFUNCTION("""COMPUTED_VALUE"""),"Easy")</f>
        <v>Easy</v>
      </c>
      <c r="F2310" s="20">
        <f>IFERROR(__xludf.DUMMYFUNCTION("""COMPUTED_VALUE"""),312.0)</f>
        <v>312</v>
      </c>
      <c r="G2310" s="20">
        <f>IFERROR(__xludf.DUMMYFUNCTION("""COMPUTED_VALUE"""),21.0)</f>
        <v>21</v>
      </c>
      <c r="H2310" s="20" t="str">
        <f>IFERROR(__xludf.DUMMYFUNCTION("""COMPUTED_VALUE"""),"Algorithms")</f>
        <v>Algorithms</v>
      </c>
      <c r="I2310" s="20">
        <f>IFERROR(__xludf.DUMMYFUNCTION("""COMPUTED_VALUE"""),0.686)</f>
        <v>0.686</v>
      </c>
      <c r="J2310" s="20">
        <f>IFERROR(__xludf.DUMMYFUNCTION("""COMPUTED_VALUE"""),2309.0)</f>
        <v>2309</v>
      </c>
      <c r="K2310" s="20" t="b">
        <f>IFERROR(__xludf.DUMMYFUNCTION("""COMPUTED_VALUE"""),FALSE)</f>
        <v>0</v>
      </c>
      <c r="L2310" s="20" t="str">
        <f>IFERROR(__xludf.DUMMYFUNCTION("""COMPUTED_VALUE"""),"Hash Table;String;Enumeration;")</f>
        <v>Hash Table;String;Enumeration;</v>
      </c>
      <c r="M2310" s="20" t="b">
        <f>IFERROR(__xludf.DUMMYFUNCTION("""COMPUTED_VALUE"""),FALSE)</f>
        <v>0</v>
      </c>
      <c r="N2310" s="20" t="b">
        <f>IFERROR(__xludf.DUMMYFUNCTION("""COMPUTED_VALUE"""),FALSE)</f>
        <v>0</v>
      </c>
      <c r="O2310" s="20">
        <f>IFERROR(__xludf.DUMMYFUNCTION("""COMPUTED_VALUE"""),68.5760822638251)</f>
        <v>68.57608226</v>
      </c>
      <c r="P2310" s="20">
        <f>IFERROR(__xludf.DUMMYFUNCTION("""COMPUTED_VALUE"""),34944.0)</f>
        <v>34944</v>
      </c>
      <c r="Q2310" s="20">
        <f>IFERROR(__xludf.DUMMYFUNCTION("""COMPUTED_VALUE"""),50957.0)</f>
        <v>50957</v>
      </c>
    </row>
    <row r="2311">
      <c r="A2311" s="20">
        <f>IFERROR(__xludf.DUMMYFUNCTION("""COMPUTED_VALUE"""),1334.0)</f>
        <v>1334</v>
      </c>
      <c r="B2311" s="20" t="str">
        <f>IFERROR(__xludf.DUMMYFUNCTION("""COMPUTED_VALUE"""),"Sum of Numbers With Units Digit K")</f>
        <v>Sum of Numbers With Units Digit K</v>
      </c>
      <c r="C2311" s="20" t="str">
        <f>IFERROR(__xludf.DUMMYFUNCTION("""COMPUTED_VALUE"""),"sum-of-numbers-with-units-digit-k")</f>
        <v>sum-of-numbers-with-units-digit-k</v>
      </c>
      <c r="D2311" s="20" t="b">
        <f>IFERROR(__xludf.DUMMYFUNCTION("""COMPUTED_VALUE"""),FALSE)</f>
        <v>0</v>
      </c>
      <c r="E2311" s="20" t="str">
        <f>IFERROR(__xludf.DUMMYFUNCTION("""COMPUTED_VALUE"""),"Medium")</f>
        <v>Medium</v>
      </c>
      <c r="F2311" s="20">
        <f>IFERROR(__xludf.DUMMYFUNCTION("""COMPUTED_VALUE"""),293.0)</f>
        <v>293</v>
      </c>
      <c r="G2311" s="20">
        <f>IFERROR(__xludf.DUMMYFUNCTION("""COMPUTED_VALUE"""),282.0)</f>
        <v>282</v>
      </c>
      <c r="H2311" s="20" t="str">
        <f>IFERROR(__xludf.DUMMYFUNCTION("""COMPUTED_VALUE"""),"Algorithms")</f>
        <v>Algorithms</v>
      </c>
      <c r="I2311" s="20">
        <f>IFERROR(__xludf.DUMMYFUNCTION("""COMPUTED_VALUE"""),0.257)</f>
        <v>0.257</v>
      </c>
      <c r="J2311" s="20">
        <f>IFERROR(__xludf.DUMMYFUNCTION("""COMPUTED_VALUE"""),2310.0)</f>
        <v>2310</v>
      </c>
      <c r="K2311" s="20" t="b">
        <f>IFERROR(__xludf.DUMMYFUNCTION("""COMPUTED_VALUE"""),FALSE)</f>
        <v>0</v>
      </c>
      <c r="L2311" s="20" t="str">
        <f>IFERROR(__xludf.DUMMYFUNCTION("""COMPUTED_VALUE"""),"Math;Dynamic Programming;Greedy;Enumeration;")</f>
        <v>Math;Dynamic Programming;Greedy;Enumeration;</v>
      </c>
      <c r="M2311" s="20" t="b">
        <f>IFERROR(__xludf.DUMMYFUNCTION("""COMPUTED_VALUE"""),FALSE)</f>
        <v>0</v>
      </c>
      <c r="N2311" s="20" t="b">
        <f>IFERROR(__xludf.DUMMYFUNCTION("""COMPUTED_VALUE"""),FALSE)</f>
        <v>0</v>
      </c>
      <c r="O2311" s="20">
        <f>IFERROR(__xludf.DUMMYFUNCTION("""COMPUTED_VALUE"""),25.6501374989012)</f>
        <v>25.6501375</v>
      </c>
      <c r="P2311" s="20">
        <f>IFERROR(__xludf.DUMMYFUNCTION("""COMPUTED_VALUE"""),20427.0)</f>
        <v>20427</v>
      </c>
      <c r="Q2311" s="20">
        <f>IFERROR(__xludf.DUMMYFUNCTION("""COMPUTED_VALUE"""),79637.0)</f>
        <v>79637</v>
      </c>
    </row>
    <row r="2312">
      <c r="A2312" s="20">
        <f>IFERROR(__xludf.DUMMYFUNCTION("""COMPUTED_VALUE"""),2395.0)</f>
        <v>2395</v>
      </c>
      <c r="B2312" s="20" t="str">
        <f>IFERROR(__xludf.DUMMYFUNCTION("""COMPUTED_VALUE"""),"Longest Binary Subsequence Less Than or Equal to K")</f>
        <v>Longest Binary Subsequence Less Than or Equal to K</v>
      </c>
      <c r="C2312" s="20" t="str">
        <f>IFERROR(__xludf.DUMMYFUNCTION("""COMPUTED_VALUE"""),"longest-binary-subsequence-less-than-or-equal-to-k")</f>
        <v>longest-binary-subsequence-less-than-or-equal-to-k</v>
      </c>
      <c r="D2312" s="20" t="b">
        <f>IFERROR(__xludf.DUMMYFUNCTION("""COMPUTED_VALUE"""),FALSE)</f>
        <v>0</v>
      </c>
      <c r="E2312" s="20" t="str">
        <f>IFERROR(__xludf.DUMMYFUNCTION("""COMPUTED_VALUE"""),"Medium")</f>
        <v>Medium</v>
      </c>
      <c r="F2312" s="20">
        <f>IFERROR(__xludf.DUMMYFUNCTION("""COMPUTED_VALUE"""),543.0)</f>
        <v>543</v>
      </c>
      <c r="G2312" s="20">
        <f>IFERROR(__xludf.DUMMYFUNCTION("""COMPUTED_VALUE"""),40.0)</f>
        <v>40</v>
      </c>
      <c r="H2312" s="20" t="str">
        <f>IFERROR(__xludf.DUMMYFUNCTION("""COMPUTED_VALUE"""),"Algorithms")</f>
        <v>Algorithms</v>
      </c>
      <c r="I2312" s="20">
        <f>IFERROR(__xludf.DUMMYFUNCTION("""COMPUTED_VALUE"""),0.367)</f>
        <v>0.367</v>
      </c>
      <c r="J2312" s="20">
        <f>IFERROR(__xludf.DUMMYFUNCTION("""COMPUTED_VALUE"""),2311.0)</f>
        <v>2311</v>
      </c>
      <c r="K2312" s="20" t="b">
        <f>IFERROR(__xludf.DUMMYFUNCTION("""COMPUTED_VALUE"""),FALSE)</f>
        <v>0</v>
      </c>
      <c r="L2312" s="20" t="str">
        <f>IFERROR(__xludf.DUMMYFUNCTION("""COMPUTED_VALUE"""),"String;Dynamic Programming;Greedy;Memoization;")</f>
        <v>String;Dynamic Programming;Greedy;Memoization;</v>
      </c>
      <c r="M2312" s="20" t="b">
        <f>IFERROR(__xludf.DUMMYFUNCTION("""COMPUTED_VALUE"""),FALSE)</f>
        <v>0</v>
      </c>
      <c r="N2312" s="20" t="b">
        <f>IFERROR(__xludf.DUMMYFUNCTION("""COMPUTED_VALUE"""),FALSE)</f>
        <v>0</v>
      </c>
      <c r="O2312" s="20">
        <f>IFERROR(__xludf.DUMMYFUNCTION("""COMPUTED_VALUE"""),36.7033572988908)</f>
        <v>36.7033573</v>
      </c>
      <c r="P2312" s="20">
        <f>IFERROR(__xludf.DUMMYFUNCTION("""COMPUTED_VALUE"""),17306.0)</f>
        <v>17306</v>
      </c>
      <c r="Q2312" s="20">
        <f>IFERROR(__xludf.DUMMYFUNCTION("""COMPUTED_VALUE"""),47151.0)</f>
        <v>47151</v>
      </c>
    </row>
    <row r="2313">
      <c r="A2313" s="20">
        <f>IFERROR(__xludf.DUMMYFUNCTION("""COMPUTED_VALUE"""),1376.0)</f>
        <v>1376</v>
      </c>
      <c r="B2313" s="20" t="str">
        <f>IFERROR(__xludf.DUMMYFUNCTION("""COMPUTED_VALUE"""),"Selling Pieces of Wood")</f>
        <v>Selling Pieces of Wood</v>
      </c>
      <c r="C2313" s="20" t="str">
        <f>IFERROR(__xludf.DUMMYFUNCTION("""COMPUTED_VALUE"""),"selling-pieces-of-wood")</f>
        <v>selling-pieces-of-wood</v>
      </c>
      <c r="D2313" s="20" t="b">
        <f>IFERROR(__xludf.DUMMYFUNCTION("""COMPUTED_VALUE"""),FALSE)</f>
        <v>0</v>
      </c>
      <c r="E2313" s="20" t="str">
        <f>IFERROR(__xludf.DUMMYFUNCTION("""COMPUTED_VALUE"""),"Hard")</f>
        <v>Hard</v>
      </c>
      <c r="F2313" s="20">
        <f>IFERROR(__xludf.DUMMYFUNCTION("""COMPUTED_VALUE"""),433.0)</f>
        <v>433</v>
      </c>
      <c r="G2313" s="20">
        <f>IFERROR(__xludf.DUMMYFUNCTION("""COMPUTED_VALUE"""),8.0)</f>
        <v>8</v>
      </c>
      <c r="H2313" s="20" t="str">
        <f>IFERROR(__xludf.DUMMYFUNCTION("""COMPUTED_VALUE"""),"Algorithms")</f>
        <v>Algorithms</v>
      </c>
      <c r="I2313" s="20">
        <f>IFERROR(__xludf.DUMMYFUNCTION("""COMPUTED_VALUE"""),0.484)</f>
        <v>0.484</v>
      </c>
      <c r="J2313" s="20">
        <f>IFERROR(__xludf.DUMMYFUNCTION("""COMPUTED_VALUE"""),2312.0)</f>
        <v>2312</v>
      </c>
      <c r="K2313" s="20" t="b">
        <f>IFERROR(__xludf.DUMMYFUNCTION("""COMPUTED_VALUE"""),FALSE)</f>
        <v>0</v>
      </c>
      <c r="L2313" s="20" t="str">
        <f>IFERROR(__xludf.DUMMYFUNCTION("""COMPUTED_VALUE"""),"Array;Dynamic Programming;Memoization;")</f>
        <v>Array;Dynamic Programming;Memoization;</v>
      </c>
      <c r="M2313" s="20" t="b">
        <f>IFERROR(__xludf.DUMMYFUNCTION("""COMPUTED_VALUE"""),FALSE)</f>
        <v>0</v>
      </c>
      <c r="N2313" s="20" t="b">
        <f>IFERROR(__xludf.DUMMYFUNCTION("""COMPUTED_VALUE"""),FALSE)</f>
        <v>0</v>
      </c>
      <c r="O2313" s="20">
        <f>IFERROR(__xludf.DUMMYFUNCTION("""COMPUTED_VALUE"""),48.3747357293868)</f>
        <v>48.37473573</v>
      </c>
      <c r="P2313" s="20">
        <f>IFERROR(__xludf.DUMMYFUNCTION("""COMPUTED_VALUE"""),7322.0)</f>
        <v>7322</v>
      </c>
      <c r="Q2313" s="20">
        <f>IFERROR(__xludf.DUMMYFUNCTION("""COMPUTED_VALUE"""),15136.0)</f>
        <v>15136</v>
      </c>
    </row>
    <row r="2314">
      <c r="A2314" s="20">
        <f>IFERROR(__xludf.DUMMYFUNCTION("""COMPUTED_VALUE"""),2399.0)</f>
        <v>2399</v>
      </c>
      <c r="B2314" s="20" t="str">
        <f>IFERROR(__xludf.DUMMYFUNCTION("""COMPUTED_VALUE"""),"Minimum Flips in Binary Tree to Get Result")</f>
        <v>Minimum Flips in Binary Tree to Get Result</v>
      </c>
      <c r="C2314" s="20" t="str">
        <f>IFERROR(__xludf.DUMMYFUNCTION("""COMPUTED_VALUE"""),"minimum-flips-in-binary-tree-to-get-result")</f>
        <v>minimum-flips-in-binary-tree-to-get-result</v>
      </c>
      <c r="D2314" s="20" t="b">
        <f>IFERROR(__xludf.DUMMYFUNCTION("""COMPUTED_VALUE"""),TRUE)</f>
        <v>1</v>
      </c>
      <c r="E2314" s="20" t="str">
        <f>IFERROR(__xludf.DUMMYFUNCTION("""COMPUTED_VALUE"""),"Hard")</f>
        <v>Hard</v>
      </c>
      <c r="F2314" s="20">
        <f>IFERROR(__xludf.DUMMYFUNCTION("""COMPUTED_VALUE"""),39.0)</f>
        <v>39</v>
      </c>
      <c r="G2314" s="20">
        <f>IFERROR(__xludf.DUMMYFUNCTION("""COMPUTED_VALUE"""),0.0)</f>
        <v>0</v>
      </c>
      <c r="H2314" s="20" t="str">
        <f>IFERROR(__xludf.DUMMYFUNCTION("""COMPUTED_VALUE"""),"Algorithms")</f>
        <v>Algorithms</v>
      </c>
      <c r="I2314" s="20">
        <f>IFERROR(__xludf.DUMMYFUNCTION("""COMPUTED_VALUE"""),0.66)</f>
        <v>0.66</v>
      </c>
      <c r="J2314" s="20">
        <f>IFERROR(__xludf.DUMMYFUNCTION("""COMPUTED_VALUE"""),2313.0)</f>
        <v>2313</v>
      </c>
      <c r="K2314" s="20" t="b">
        <f>IFERROR(__xludf.DUMMYFUNCTION("""COMPUTED_VALUE"""),TRUE)</f>
        <v>1</v>
      </c>
      <c r="L2314" s="20" t="str">
        <f>IFERROR(__xludf.DUMMYFUNCTION("""COMPUTED_VALUE"""),"Dynamic Programming;Tree;Depth-First Search;Binary Tree;")</f>
        <v>Dynamic Programming;Tree;Depth-First Search;Binary Tree;</v>
      </c>
      <c r="M2314" s="20" t="b">
        <f>IFERROR(__xludf.DUMMYFUNCTION("""COMPUTED_VALUE"""),FALSE)</f>
        <v>0</v>
      </c>
      <c r="N2314" s="20" t="b">
        <f>IFERROR(__xludf.DUMMYFUNCTION("""COMPUTED_VALUE"""),FALSE)</f>
        <v>0</v>
      </c>
      <c r="O2314" s="20">
        <f>IFERROR(__xludf.DUMMYFUNCTION("""COMPUTED_VALUE"""),65.9722222222222)</f>
        <v>65.97222222</v>
      </c>
      <c r="P2314" s="20">
        <f>IFERROR(__xludf.DUMMYFUNCTION("""COMPUTED_VALUE"""),950.0)</f>
        <v>950</v>
      </c>
      <c r="Q2314" s="20">
        <f>IFERROR(__xludf.DUMMYFUNCTION("""COMPUTED_VALUE"""),1440.0)</f>
        <v>1440</v>
      </c>
    </row>
    <row r="2315">
      <c r="A2315" s="20">
        <f>IFERROR(__xludf.DUMMYFUNCTION("""COMPUTED_VALUE"""),2446.0)</f>
        <v>2446</v>
      </c>
      <c r="B2315" s="20" t="str">
        <f>IFERROR(__xludf.DUMMYFUNCTION("""COMPUTED_VALUE"""),"The First Day of the Maximum Recorded Degree in Each City")</f>
        <v>The First Day of the Maximum Recorded Degree in Each City</v>
      </c>
      <c r="C2315" s="20" t="str">
        <f>IFERROR(__xludf.DUMMYFUNCTION("""COMPUTED_VALUE"""),"the-first-day-of-the-maximum-recorded-degree-in-each-city")</f>
        <v>the-first-day-of-the-maximum-recorded-degree-in-each-city</v>
      </c>
      <c r="D2315" s="20" t="b">
        <f>IFERROR(__xludf.DUMMYFUNCTION("""COMPUTED_VALUE"""),TRUE)</f>
        <v>1</v>
      </c>
      <c r="E2315" s="20" t="str">
        <f>IFERROR(__xludf.DUMMYFUNCTION("""COMPUTED_VALUE"""),"Medium")</f>
        <v>Medium</v>
      </c>
      <c r="F2315" s="20">
        <f>IFERROR(__xludf.DUMMYFUNCTION("""COMPUTED_VALUE"""),28.0)</f>
        <v>28</v>
      </c>
      <c r="G2315" s="20">
        <f>IFERROR(__xludf.DUMMYFUNCTION("""COMPUTED_VALUE"""),2.0)</f>
        <v>2</v>
      </c>
      <c r="H2315" s="20" t="str">
        <f>IFERROR(__xludf.DUMMYFUNCTION("""COMPUTED_VALUE"""),"Database")</f>
        <v>Database</v>
      </c>
      <c r="I2315" s="20">
        <f>IFERROR(__xludf.DUMMYFUNCTION("""COMPUTED_VALUE"""),0.769)</f>
        <v>0.769</v>
      </c>
      <c r="J2315" s="20">
        <f>IFERROR(__xludf.DUMMYFUNCTION("""COMPUTED_VALUE"""),2314.0)</f>
        <v>2314</v>
      </c>
      <c r="K2315" s="20" t="b">
        <f>IFERROR(__xludf.DUMMYFUNCTION("""COMPUTED_VALUE"""),TRUE)</f>
        <v>1</v>
      </c>
      <c r="L2315" s="20" t="str">
        <f>IFERROR(__xludf.DUMMYFUNCTION("""COMPUTED_VALUE"""),"Database;")</f>
        <v>Database;</v>
      </c>
      <c r="M2315" s="20" t="b">
        <f>IFERROR(__xludf.DUMMYFUNCTION("""COMPUTED_VALUE"""),FALSE)</f>
        <v>0</v>
      </c>
      <c r="N2315" s="20" t="b">
        <f>IFERROR(__xludf.DUMMYFUNCTION("""COMPUTED_VALUE"""),FALSE)</f>
        <v>0</v>
      </c>
      <c r="O2315" s="20">
        <f>IFERROR(__xludf.DUMMYFUNCTION("""COMPUTED_VALUE"""),76.868447751099)</f>
        <v>76.86844775</v>
      </c>
      <c r="P2315" s="20">
        <f>IFERROR(__xludf.DUMMYFUNCTION("""COMPUTED_VALUE"""),2273.0)</f>
        <v>2273</v>
      </c>
      <c r="Q2315" s="20">
        <f>IFERROR(__xludf.DUMMYFUNCTION("""COMPUTED_VALUE"""),2957.0)</f>
        <v>2957</v>
      </c>
    </row>
    <row r="2316">
      <c r="A2316" s="20">
        <f>IFERROR(__xludf.DUMMYFUNCTION("""COMPUTED_VALUE"""),2401.0)</f>
        <v>2401</v>
      </c>
      <c r="B2316" s="20" t="str">
        <f>IFERROR(__xludf.DUMMYFUNCTION("""COMPUTED_VALUE"""),"Count Asterisks")</f>
        <v>Count Asterisks</v>
      </c>
      <c r="C2316" s="20" t="str">
        <f>IFERROR(__xludf.DUMMYFUNCTION("""COMPUTED_VALUE"""),"count-asterisks")</f>
        <v>count-asterisks</v>
      </c>
      <c r="D2316" s="20" t="b">
        <f>IFERROR(__xludf.DUMMYFUNCTION("""COMPUTED_VALUE"""),FALSE)</f>
        <v>0</v>
      </c>
      <c r="E2316" s="20" t="str">
        <f>IFERROR(__xludf.DUMMYFUNCTION("""COMPUTED_VALUE"""),"Easy")</f>
        <v>Easy</v>
      </c>
      <c r="F2316" s="20">
        <f>IFERROR(__xludf.DUMMYFUNCTION("""COMPUTED_VALUE"""),350.0)</f>
        <v>350</v>
      </c>
      <c r="G2316" s="20">
        <f>IFERROR(__xludf.DUMMYFUNCTION("""COMPUTED_VALUE"""),54.0)</f>
        <v>54</v>
      </c>
      <c r="H2316" s="20" t="str">
        <f>IFERROR(__xludf.DUMMYFUNCTION("""COMPUTED_VALUE"""),"Algorithms")</f>
        <v>Algorithms</v>
      </c>
      <c r="I2316" s="20">
        <f>IFERROR(__xludf.DUMMYFUNCTION("""COMPUTED_VALUE"""),0.823)</f>
        <v>0.823</v>
      </c>
      <c r="J2316" s="20">
        <f>IFERROR(__xludf.DUMMYFUNCTION("""COMPUTED_VALUE"""),2315.0)</f>
        <v>2315</v>
      </c>
      <c r="K2316" s="20" t="b">
        <f>IFERROR(__xludf.DUMMYFUNCTION("""COMPUTED_VALUE"""),FALSE)</f>
        <v>0</v>
      </c>
      <c r="L2316" s="20" t="str">
        <f>IFERROR(__xludf.DUMMYFUNCTION("""COMPUTED_VALUE"""),"String;")</f>
        <v>String;</v>
      </c>
      <c r="M2316" s="20" t="b">
        <f>IFERROR(__xludf.DUMMYFUNCTION("""COMPUTED_VALUE"""),FALSE)</f>
        <v>0</v>
      </c>
      <c r="N2316" s="20" t="b">
        <f>IFERROR(__xludf.DUMMYFUNCTION("""COMPUTED_VALUE"""),FALSE)</f>
        <v>0</v>
      </c>
      <c r="O2316" s="20">
        <f>IFERROR(__xludf.DUMMYFUNCTION("""COMPUTED_VALUE"""),82.2804348798711)</f>
        <v>82.28043488</v>
      </c>
      <c r="P2316" s="20">
        <f>IFERROR(__xludf.DUMMYFUNCTION("""COMPUTED_VALUE"""),36780.0)</f>
        <v>36780</v>
      </c>
      <c r="Q2316" s="20">
        <f>IFERROR(__xludf.DUMMYFUNCTION("""COMPUTED_VALUE"""),44701.0)</f>
        <v>44701</v>
      </c>
    </row>
    <row r="2317">
      <c r="A2317" s="20">
        <f>IFERROR(__xludf.DUMMYFUNCTION("""COMPUTED_VALUE"""),2403.0)</f>
        <v>2403</v>
      </c>
      <c r="B2317" s="20" t="str">
        <f>IFERROR(__xludf.DUMMYFUNCTION("""COMPUTED_VALUE"""),"Count Unreachable Pairs of Nodes in an Undirected Graph")</f>
        <v>Count Unreachable Pairs of Nodes in an Undirected Graph</v>
      </c>
      <c r="C2317" s="20" t="str">
        <f>IFERROR(__xludf.DUMMYFUNCTION("""COMPUTED_VALUE"""),"count-unreachable-pairs-of-nodes-in-an-undirected-graph")</f>
        <v>count-unreachable-pairs-of-nodes-in-an-undirected-graph</v>
      </c>
      <c r="D2317" s="20" t="b">
        <f>IFERROR(__xludf.DUMMYFUNCTION("""COMPUTED_VALUE"""),FALSE)</f>
        <v>0</v>
      </c>
      <c r="E2317" s="20" t="str">
        <f>IFERROR(__xludf.DUMMYFUNCTION("""COMPUTED_VALUE"""),"Medium")</f>
        <v>Medium</v>
      </c>
      <c r="F2317" s="20">
        <f>IFERROR(__xludf.DUMMYFUNCTION("""COMPUTED_VALUE"""),520.0)</f>
        <v>520</v>
      </c>
      <c r="G2317" s="20">
        <f>IFERROR(__xludf.DUMMYFUNCTION("""COMPUTED_VALUE"""),15.0)</f>
        <v>15</v>
      </c>
      <c r="H2317" s="20" t="str">
        <f>IFERROR(__xludf.DUMMYFUNCTION("""COMPUTED_VALUE"""),"Algorithms")</f>
        <v>Algorithms</v>
      </c>
      <c r="I2317" s="20">
        <f>IFERROR(__xludf.DUMMYFUNCTION("""COMPUTED_VALUE"""),0.386)</f>
        <v>0.386</v>
      </c>
      <c r="J2317" s="20">
        <f>IFERROR(__xludf.DUMMYFUNCTION("""COMPUTED_VALUE"""),2316.0)</f>
        <v>2316</v>
      </c>
      <c r="K2317" s="20" t="b">
        <f>IFERROR(__xludf.DUMMYFUNCTION("""COMPUTED_VALUE"""),FALSE)</f>
        <v>0</v>
      </c>
      <c r="L2317" s="20" t="str">
        <f>IFERROR(__xludf.DUMMYFUNCTION("""COMPUTED_VALUE"""),"Depth-First Search;Breadth-First Search;Union Find;Graph;")</f>
        <v>Depth-First Search;Breadth-First Search;Union Find;Graph;</v>
      </c>
      <c r="M2317" s="20" t="b">
        <f>IFERROR(__xludf.DUMMYFUNCTION("""COMPUTED_VALUE"""),FALSE)</f>
        <v>0</v>
      </c>
      <c r="N2317" s="20" t="b">
        <f>IFERROR(__xludf.DUMMYFUNCTION("""COMPUTED_VALUE"""),FALSE)</f>
        <v>0</v>
      </c>
      <c r="O2317" s="20">
        <f>IFERROR(__xludf.DUMMYFUNCTION("""COMPUTED_VALUE"""),38.604087287842)</f>
        <v>38.60408729</v>
      </c>
      <c r="P2317" s="20">
        <f>IFERROR(__xludf.DUMMYFUNCTION("""COMPUTED_VALUE"""),20060.0)</f>
        <v>20060</v>
      </c>
      <c r="Q2317" s="20">
        <f>IFERROR(__xludf.DUMMYFUNCTION("""COMPUTED_VALUE"""),51960.0)</f>
        <v>51960</v>
      </c>
    </row>
    <row r="2318">
      <c r="A2318" s="20">
        <f>IFERROR(__xludf.DUMMYFUNCTION("""COMPUTED_VALUE"""),2402.0)</f>
        <v>2402</v>
      </c>
      <c r="B2318" s="20" t="str">
        <f>IFERROR(__xludf.DUMMYFUNCTION("""COMPUTED_VALUE"""),"Maximum XOR After Operations ")</f>
        <v>Maximum XOR After Operations </v>
      </c>
      <c r="C2318" s="20" t="str">
        <f>IFERROR(__xludf.DUMMYFUNCTION("""COMPUTED_VALUE"""),"maximum-xor-after-operations")</f>
        <v>maximum-xor-after-operations</v>
      </c>
      <c r="D2318" s="20" t="b">
        <f>IFERROR(__xludf.DUMMYFUNCTION("""COMPUTED_VALUE"""),FALSE)</f>
        <v>0</v>
      </c>
      <c r="E2318" s="20" t="str">
        <f>IFERROR(__xludf.DUMMYFUNCTION("""COMPUTED_VALUE"""),"Medium")</f>
        <v>Medium</v>
      </c>
      <c r="F2318" s="20">
        <f>IFERROR(__xludf.DUMMYFUNCTION("""COMPUTED_VALUE"""),365.0)</f>
        <v>365</v>
      </c>
      <c r="G2318" s="20">
        <f>IFERROR(__xludf.DUMMYFUNCTION("""COMPUTED_VALUE"""),130.0)</f>
        <v>130</v>
      </c>
      <c r="H2318" s="20" t="str">
        <f>IFERROR(__xludf.DUMMYFUNCTION("""COMPUTED_VALUE"""),"Algorithms")</f>
        <v>Algorithms</v>
      </c>
      <c r="I2318" s="20">
        <f>IFERROR(__xludf.DUMMYFUNCTION("""COMPUTED_VALUE"""),0.788)</f>
        <v>0.788</v>
      </c>
      <c r="J2318" s="20">
        <f>IFERROR(__xludf.DUMMYFUNCTION("""COMPUTED_VALUE"""),2317.0)</f>
        <v>2317</v>
      </c>
      <c r="K2318" s="20" t="b">
        <f>IFERROR(__xludf.DUMMYFUNCTION("""COMPUTED_VALUE"""),FALSE)</f>
        <v>0</v>
      </c>
      <c r="L2318" s="20" t="str">
        <f>IFERROR(__xludf.DUMMYFUNCTION("""COMPUTED_VALUE"""),"Array;Math;Bit Manipulation;")</f>
        <v>Array;Math;Bit Manipulation;</v>
      </c>
      <c r="M2318" s="20" t="b">
        <f>IFERROR(__xludf.DUMMYFUNCTION("""COMPUTED_VALUE"""),FALSE)</f>
        <v>0</v>
      </c>
      <c r="N2318" s="20" t="b">
        <f>IFERROR(__xludf.DUMMYFUNCTION("""COMPUTED_VALUE"""),FALSE)</f>
        <v>0</v>
      </c>
      <c r="O2318" s="20">
        <f>IFERROR(__xludf.DUMMYFUNCTION("""COMPUTED_VALUE"""),78.7659839900197)</f>
        <v>78.76598399</v>
      </c>
      <c r="P2318" s="20">
        <f>IFERROR(__xludf.DUMMYFUNCTION("""COMPUTED_VALUE"""),15153.0)</f>
        <v>15153</v>
      </c>
      <c r="Q2318" s="20">
        <f>IFERROR(__xludf.DUMMYFUNCTION("""COMPUTED_VALUE"""),19238.0)</f>
        <v>19238</v>
      </c>
    </row>
    <row r="2319">
      <c r="A2319" s="20">
        <f>IFERROR(__xludf.DUMMYFUNCTION("""COMPUTED_VALUE"""),2404.0)</f>
        <v>2404</v>
      </c>
      <c r="B2319" s="20" t="str">
        <f>IFERROR(__xludf.DUMMYFUNCTION("""COMPUTED_VALUE"""),"Number of Distinct Roll Sequences")</f>
        <v>Number of Distinct Roll Sequences</v>
      </c>
      <c r="C2319" s="20" t="str">
        <f>IFERROR(__xludf.DUMMYFUNCTION("""COMPUTED_VALUE"""),"number-of-distinct-roll-sequences")</f>
        <v>number-of-distinct-roll-sequences</v>
      </c>
      <c r="D2319" s="20" t="b">
        <f>IFERROR(__xludf.DUMMYFUNCTION("""COMPUTED_VALUE"""),FALSE)</f>
        <v>0</v>
      </c>
      <c r="E2319" s="20" t="str">
        <f>IFERROR(__xludf.DUMMYFUNCTION("""COMPUTED_VALUE"""),"Hard")</f>
        <v>Hard</v>
      </c>
      <c r="F2319" s="20">
        <f>IFERROR(__xludf.DUMMYFUNCTION("""COMPUTED_VALUE"""),348.0)</f>
        <v>348</v>
      </c>
      <c r="G2319" s="20">
        <f>IFERROR(__xludf.DUMMYFUNCTION("""COMPUTED_VALUE"""),12.0)</f>
        <v>12</v>
      </c>
      <c r="H2319" s="20" t="str">
        <f>IFERROR(__xludf.DUMMYFUNCTION("""COMPUTED_VALUE"""),"Algorithms")</f>
        <v>Algorithms</v>
      </c>
      <c r="I2319" s="20">
        <f>IFERROR(__xludf.DUMMYFUNCTION("""COMPUTED_VALUE"""),0.562)</f>
        <v>0.562</v>
      </c>
      <c r="J2319" s="20">
        <f>IFERROR(__xludf.DUMMYFUNCTION("""COMPUTED_VALUE"""),2318.0)</f>
        <v>2318</v>
      </c>
      <c r="K2319" s="20" t="b">
        <f>IFERROR(__xludf.DUMMYFUNCTION("""COMPUTED_VALUE"""),FALSE)</f>
        <v>0</v>
      </c>
      <c r="L2319" s="20" t="str">
        <f>IFERROR(__xludf.DUMMYFUNCTION("""COMPUTED_VALUE"""),"Dynamic Programming;Memoization;")</f>
        <v>Dynamic Programming;Memoization;</v>
      </c>
      <c r="M2319" s="20" t="b">
        <f>IFERROR(__xludf.DUMMYFUNCTION("""COMPUTED_VALUE"""),FALSE)</f>
        <v>0</v>
      </c>
      <c r="N2319" s="20" t="b">
        <f>IFERROR(__xludf.DUMMYFUNCTION("""COMPUTED_VALUE"""),FALSE)</f>
        <v>0</v>
      </c>
      <c r="O2319" s="20">
        <f>IFERROR(__xludf.DUMMYFUNCTION("""COMPUTED_VALUE"""),56.1897388978816)</f>
        <v>56.1897389</v>
      </c>
      <c r="P2319" s="20">
        <f>IFERROR(__xludf.DUMMYFUNCTION("""COMPUTED_VALUE"""),7984.0)</f>
        <v>7984</v>
      </c>
      <c r="Q2319" s="20">
        <f>IFERROR(__xludf.DUMMYFUNCTION("""COMPUTED_VALUE"""),14209.0)</f>
        <v>14209</v>
      </c>
    </row>
    <row r="2320">
      <c r="A2320" s="20">
        <f>IFERROR(__xludf.DUMMYFUNCTION("""COMPUTED_VALUE"""),2398.0)</f>
        <v>2398</v>
      </c>
      <c r="B2320" s="20" t="str">
        <f>IFERROR(__xludf.DUMMYFUNCTION("""COMPUTED_VALUE"""),"Check if Matrix Is X-Matrix")</f>
        <v>Check if Matrix Is X-Matrix</v>
      </c>
      <c r="C2320" s="20" t="str">
        <f>IFERROR(__xludf.DUMMYFUNCTION("""COMPUTED_VALUE"""),"check-if-matrix-is-x-matrix")</f>
        <v>check-if-matrix-is-x-matrix</v>
      </c>
      <c r="D2320" s="20" t="b">
        <f>IFERROR(__xludf.DUMMYFUNCTION("""COMPUTED_VALUE"""),FALSE)</f>
        <v>0</v>
      </c>
      <c r="E2320" s="20" t="str">
        <f>IFERROR(__xludf.DUMMYFUNCTION("""COMPUTED_VALUE"""),"Easy")</f>
        <v>Easy</v>
      </c>
      <c r="F2320" s="20">
        <f>IFERROR(__xludf.DUMMYFUNCTION("""COMPUTED_VALUE"""),296.0)</f>
        <v>296</v>
      </c>
      <c r="G2320" s="20">
        <f>IFERROR(__xludf.DUMMYFUNCTION("""COMPUTED_VALUE"""),9.0)</f>
        <v>9</v>
      </c>
      <c r="H2320" s="20" t="str">
        <f>IFERROR(__xludf.DUMMYFUNCTION("""COMPUTED_VALUE"""),"Algorithms")</f>
        <v>Algorithms</v>
      </c>
      <c r="I2320" s="20">
        <f>IFERROR(__xludf.DUMMYFUNCTION("""COMPUTED_VALUE"""),0.672)</f>
        <v>0.672</v>
      </c>
      <c r="J2320" s="20">
        <f>IFERROR(__xludf.DUMMYFUNCTION("""COMPUTED_VALUE"""),2319.0)</f>
        <v>2319</v>
      </c>
      <c r="K2320" s="20" t="b">
        <f>IFERROR(__xludf.DUMMYFUNCTION("""COMPUTED_VALUE"""),FALSE)</f>
        <v>0</v>
      </c>
      <c r="L2320" s="20" t="str">
        <f>IFERROR(__xludf.DUMMYFUNCTION("""COMPUTED_VALUE"""),"Array;Matrix;")</f>
        <v>Array;Matrix;</v>
      </c>
      <c r="M2320" s="20" t="b">
        <f>IFERROR(__xludf.DUMMYFUNCTION("""COMPUTED_VALUE"""),FALSE)</f>
        <v>0</v>
      </c>
      <c r="N2320" s="20" t="b">
        <f>IFERROR(__xludf.DUMMYFUNCTION("""COMPUTED_VALUE"""),FALSE)</f>
        <v>0</v>
      </c>
      <c r="O2320" s="20">
        <f>IFERROR(__xludf.DUMMYFUNCTION("""COMPUTED_VALUE"""),67.1583496897242)</f>
        <v>67.15834969</v>
      </c>
      <c r="P2320" s="20">
        <f>IFERROR(__xludf.DUMMYFUNCTION("""COMPUTED_VALUE"""),33873.0)</f>
        <v>33873</v>
      </c>
      <c r="Q2320" s="20">
        <f>IFERROR(__xludf.DUMMYFUNCTION("""COMPUTED_VALUE"""),50438.0)</f>
        <v>50438</v>
      </c>
    </row>
    <row r="2321">
      <c r="A2321" s="20">
        <f>IFERROR(__xludf.DUMMYFUNCTION("""COMPUTED_VALUE"""),2397.0)</f>
        <v>2397</v>
      </c>
      <c r="B2321" s="20" t="str">
        <f>IFERROR(__xludf.DUMMYFUNCTION("""COMPUTED_VALUE"""),"Count Number of Ways to Place Houses")</f>
        <v>Count Number of Ways to Place Houses</v>
      </c>
      <c r="C2321" s="20" t="str">
        <f>IFERROR(__xludf.DUMMYFUNCTION("""COMPUTED_VALUE"""),"count-number-of-ways-to-place-houses")</f>
        <v>count-number-of-ways-to-place-houses</v>
      </c>
      <c r="D2321" s="20" t="b">
        <f>IFERROR(__xludf.DUMMYFUNCTION("""COMPUTED_VALUE"""),FALSE)</f>
        <v>0</v>
      </c>
      <c r="E2321" s="20" t="str">
        <f>IFERROR(__xludf.DUMMYFUNCTION("""COMPUTED_VALUE"""),"Medium")</f>
        <v>Medium</v>
      </c>
      <c r="F2321" s="20">
        <f>IFERROR(__xludf.DUMMYFUNCTION("""COMPUTED_VALUE"""),412.0)</f>
        <v>412</v>
      </c>
      <c r="G2321" s="20">
        <f>IFERROR(__xludf.DUMMYFUNCTION("""COMPUTED_VALUE"""),179.0)</f>
        <v>179</v>
      </c>
      <c r="H2321" s="20" t="str">
        <f>IFERROR(__xludf.DUMMYFUNCTION("""COMPUTED_VALUE"""),"Algorithms")</f>
        <v>Algorithms</v>
      </c>
      <c r="I2321" s="20">
        <f>IFERROR(__xludf.DUMMYFUNCTION("""COMPUTED_VALUE"""),0.403)</f>
        <v>0.403</v>
      </c>
      <c r="J2321" s="20">
        <f>IFERROR(__xludf.DUMMYFUNCTION("""COMPUTED_VALUE"""),2320.0)</f>
        <v>2320</v>
      </c>
      <c r="K2321" s="20" t="b">
        <f>IFERROR(__xludf.DUMMYFUNCTION("""COMPUTED_VALUE"""),FALSE)</f>
        <v>0</v>
      </c>
      <c r="L2321" s="20" t="str">
        <f>IFERROR(__xludf.DUMMYFUNCTION("""COMPUTED_VALUE"""),"Dynamic Programming;")</f>
        <v>Dynamic Programming;</v>
      </c>
      <c r="M2321" s="20" t="b">
        <f>IFERROR(__xludf.DUMMYFUNCTION("""COMPUTED_VALUE"""),FALSE)</f>
        <v>0</v>
      </c>
      <c r="N2321" s="20" t="b">
        <f>IFERROR(__xludf.DUMMYFUNCTION("""COMPUTED_VALUE"""),FALSE)</f>
        <v>0</v>
      </c>
      <c r="O2321" s="20">
        <f>IFERROR(__xludf.DUMMYFUNCTION("""COMPUTED_VALUE"""),40.3308602754586)</f>
        <v>40.33086028</v>
      </c>
      <c r="P2321" s="20">
        <f>IFERROR(__xludf.DUMMYFUNCTION("""COMPUTED_VALUE"""),20820.0)</f>
        <v>20820</v>
      </c>
      <c r="Q2321" s="20">
        <f>IFERROR(__xludf.DUMMYFUNCTION("""COMPUTED_VALUE"""),51623.0)</f>
        <v>51623</v>
      </c>
    </row>
    <row r="2322">
      <c r="A2322" s="20">
        <f>IFERROR(__xludf.DUMMYFUNCTION("""COMPUTED_VALUE"""),1348.0)</f>
        <v>1348</v>
      </c>
      <c r="B2322" s="20" t="str">
        <f>IFERROR(__xludf.DUMMYFUNCTION("""COMPUTED_VALUE"""),"Maximum Score Of Spliced Array")</f>
        <v>Maximum Score Of Spliced Array</v>
      </c>
      <c r="C2322" s="20" t="str">
        <f>IFERROR(__xludf.DUMMYFUNCTION("""COMPUTED_VALUE"""),"maximum-score-of-spliced-array")</f>
        <v>maximum-score-of-spliced-array</v>
      </c>
      <c r="D2322" s="20" t="b">
        <f>IFERROR(__xludf.DUMMYFUNCTION("""COMPUTED_VALUE"""),FALSE)</f>
        <v>0</v>
      </c>
      <c r="E2322" s="20" t="str">
        <f>IFERROR(__xludf.DUMMYFUNCTION("""COMPUTED_VALUE"""),"Hard")</f>
        <v>Hard</v>
      </c>
      <c r="F2322" s="20">
        <f>IFERROR(__xludf.DUMMYFUNCTION("""COMPUTED_VALUE"""),616.0)</f>
        <v>616</v>
      </c>
      <c r="G2322" s="20">
        <f>IFERROR(__xludf.DUMMYFUNCTION("""COMPUTED_VALUE"""),9.0)</f>
        <v>9</v>
      </c>
      <c r="H2322" s="20" t="str">
        <f>IFERROR(__xludf.DUMMYFUNCTION("""COMPUTED_VALUE"""),"Algorithms")</f>
        <v>Algorithms</v>
      </c>
      <c r="I2322" s="20">
        <f>IFERROR(__xludf.DUMMYFUNCTION("""COMPUTED_VALUE"""),0.556)</f>
        <v>0.556</v>
      </c>
      <c r="J2322" s="20">
        <f>IFERROR(__xludf.DUMMYFUNCTION("""COMPUTED_VALUE"""),2321.0)</f>
        <v>2321</v>
      </c>
      <c r="K2322" s="20" t="b">
        <f>IFERROR(__xludf.DUMMYFUNCTION("""COMPUTED_VALUE"""),FALSE)</f>
        <v>0</v>
      </c>
      <c r="L2322" s="20" t="str">
        <f>IFERROR(__xludf.DUMMYFUNCTION("""COMPUTED_VALUE"""),"Array;Dynamic Programming;")</f>
        <v>Array;Dynamic Programming;</v>
      </c>
      <c r="M2322" s="20" t="b">
        <f>IFERROR(__xludf.DUMMYFUNCTION("""COMPUTED_VALUE"""),FALSE)</f>
        <v>0</v>
      </c>
      <c r="N2322" s="20" t="b">
        <f>IFERROR(__xludf.DUMMYFUNCTION("""COMPUTED_VALUE"""),FALSE)</f>
        <v>0</v>
      </c>
      <c r="O2322" s="20">
        <f>IFERROR(__xludf.DUMMYFUNCTION("""COMPUTED_VALUE"""),55.632355688399)</f>
        <v>55.63235569</v>
      </c>
      <c r="P2322" s="20">
        <f>IFERROR(__xludf.DUMMYFUNCTION("""COMPUTED_VALUE"""),14890.0)</f>
        <v>14890</v>
      </c>
      <c r="Q2322" s="20">
        <f>IFERROR(__xludf.DUMMYFUNCTION("""COMPUTED_VALUE"""),26765.0)</f>
        <v>26765</v>
      </c>
    </row>
    <row r="2323">
      <c r="A2323" s="20">
        <f>IFERROR(__xludf.DUMMYFUNCTION("""COMPUTED_VALUE"""),2400.0)</f>
        <v>2400</v>
      </c>
      <c r="B2323" s="20" t="str">
        <f>IFERROR(__xludf.DUMMYFUNCTION("""COMPUTED_VALUE"""),"Minimum Score After Removals on a Tree")</f>
        <v>Minimum Score After Removals on a Tree</v>
      </c>
      <c r="C2323" s="20" t="str">
        <f>IFERROR(__xludf.DUMMYFUNCTION("""COMPUTED_VALUE"""),"minimum-score-after-removals-on-a-tree")</f>
        <v>minimum-score-after-removals-on-a-tree</v>
      </c>
      <c r="D2323" s="20" t="b">
        <f>IFERROR(__xludf.DUMMYFUNCTION("""COMPUTED_VALUE"""),FALSE)</f>
        <v>0</v>
      </c>
      <c r="E2323" s="20" t="str">
        <f>IFERROR(__xludf.DUMMYFUNCTION("""COMPUTED_VALUE"""),"Hard")</f>
        <v>Hard</v>
      </c>
      <c r="F2323" s="20">
        <f>IFERROR(__xludf.DUMMYFUNCTION("""COMPUTED_VALUE"""),347.0)</f>
        <v>347</v>
      </c>
      <c r="G2323" s="20">
        <f>IFERROR(__xludf.DUMMYFUNCTION("""COMPUTED_VALUE"""),12.0)</f>
        <v>12</v>
      </c>
      <c r="H2323" s="20" t="str">
        <f>IFERROR(__xludf.DUMMYFUNCTION("""COMPUTED_VALUE"""),"Algorithms")</f>
        <v>Algorithms</v>
      </c>
      <c r="I2323" s="20">
        <f>IFERROR(__xludf.DUMMYFUNCTION("""COMPUTED_VALUE"""),0.508)</f>
        <v>0.508</v>
      </c>
      <c r="J2323" s="20">
        <f>IFERROR(__xludf.DUMMYFUNCTION("""COMPUTED_VALUE"""),2322.0)</f>
        <v>2322</v>
      </c>
      <c r="K2323" s="20" t="b">
        <f>IFERROR(__xludf.DUMMYFUNCTION("""COMPUTED_VALUE"""),FALSE)</f>
        <v>0</v>
      </c>
      <c r="L2323" s="20" t="str">
        <f>IFERROR(__xludf.DUMMYFUNCTION("""COMPUTED_VALUE"""),"Array;Bit Manipulation;Tree;Depth-First Search;")</f>
        <v>Array;Bit Manipulation;Tree;Depth-First Search;</v>
      </c>
      <c r="M2323" s="20" t="b">
        <f>IFERROR(__xludf.DUMMYFUNCTION("""COMPUTED_VALUE"""),FALSE)</f>
        <v>0</v>
      </c>
      <c r="N2323" s="20" t="b">
        <f>IFERROR(__xludf.DUMMYFUNCTION("""COMPUTED_VALUE"""),FALSE)</f>
        <v>0</v>
      </c>
      <c r="O2323" s="20">
        <f>IFERROR(__xludf.DUMMYFUNCTION("""COMPUTED_VALUE"""),50.7845652817526)</f>
        <v>50.78456528</v>
      </c>
      <c r="P2323" s="20">
        <f>IFERROR(__xludf.DUMMYFUNCTION("""COMPUTED_VALUE"""),5146.0)</f>
        <v>5146</v>
      </c>
      <c r="Q2323" s="20">
        <f>IFERROR(__xludf.DUMMYFUNCTION("""COMPUTED_VALUE"""),10133.0)</f>
        <v>10133</v>
      </c>
    </row>
    <row r="2324">
      <c r="A2324" s="20">
        <f>IFERROR(__xludf.DUMMYFUNCTION("""COMPUTED_VALUE"""),2458.0)</f>
        <v>2458</v>
      </c>
      <c r="B2324" s="20" t="str">
        <f>IFERROR(__xludf.DUMMYFUNCTION("""COMPUTED_VALUE"""),"Find Minimum Time to Finish All Jobs II")</f>
        <v>Find Minimum Time to Finish All Jobs II</v>
      </c>
      <c r="C2324" s="20" t="str">
        <f>IFERROR(__xludf.DUMMYFUNCTION("""COMPUTED_VALUE"""),"find-minimum-time-to-finish-all-jobs-ii")</f>
        <v>find-minimum-time-to-finish-all-jobs-ii</v>
      </c>
      <c r="D2324" s="20" t="b">
        <f>IFERROR(__xludf.DUMMYFUNCTION("""COMPUTED_VALUE"""),TRUE)</f>
        <v>1</v>
      </c>
      <c r="E2324" s="20" t="str">
        <f>IFERROR(__xludf.DUMMYFUNCTION("""COMPUTED_VALUE"""),"Medium")</f>
        <v>Medium</v>
      </c>
      <c r="F2324" s="20">
        <f>IFERROR(__xludf.DUMMYFUNCTION("""COMPUTED_VALUE"""),21.0)</f>
        <v>21</v>
      </c>
      <c r="G2324" s="20">
        <f>IFERROR(__xludf.DUMMYFUNCTION("""COMPUTED_VALUE"""),7.0)</f>
        <v>7</v>
      </c>
      <c r="H2324" s="20" t="str">
        <f>IFERROR(__xludf.DUMMYFUNCTION("""COMPUTED_VALUE"""),"Algorithms")</f>
        <v>Algorithms</v>
      </c>
      <c r="I2324" s="20">
        <f>IFERROR(__xludf.DUMMYFUNCTION("""COMPUTED_VALUE"""),0.753)</f>
        <v>0.753</v>
      </c>
      <c r="J2324" s="20">
        <f>IFERROR(__xludf.DUMMYFUNCTION("""COMPUTED_VALUE"""),2323.0)</f>
        <v>2323</v>
      </c>
      <c r="K2324" s="20" t="b">
        <f>IFERROR(__xludf.DUMMYFUNCTION("""COMPUTED_VALUE"""),TRUE)</f>
        <v>1</v>
      </c>
      <c r="L2324" s="20" t="str">
        <f>IFERROR(__xludf.DUMMYFUNCTION("""COMPUTED_VALUE"""),"Array;Greedy;Sorting;")</f>
        <v>Array;Greedy;Sorting;</v>
      </c>
      <c r="M2324" s="20" t="b">
        <f>IFERROR(__xludf.DUMMYFUNCTION("""COMPUTED_VALUE"""),FALSE)</f>
        <v>0</v>
      </c>
      <c r="N2324" s="20" t="b">
        <f>IFERROR(__xludf.DUMMYFUNCTION("""COMPUTED_VALUE"""),FALSE)</f>
        <v>0</v>
      </c>
      <c r="O2324" s="20">
        <f>IFERROR(__xludf.DUMMYFUNCTION("""COMPUTED_VALUE"""),75.2827140549273)</f>
        <v>75.28271405</v>
      </c>
      <c r="P2324" s="20">
        <f>IFERROR(__xludf.DUMMYFUNCTION("""COMPUTED_VALUE"""),1398.0)</f>
        <v>1398</v>
      </c>
      <c r="Q2324" s="20">
        <f>IFERROR(__xludf.DUMMYFUNCTION("""COMPUTED_VALUE"""),1857.0)</f>
        <v>1857</v>
      </c>
    </row>
    <row r="2325">
      <c r="A2325" s="20">
        <f>IFERROR(__xludf.DUMMYFUNCTION("""COMPUTED_VALUE"""),2451.0)</f>
        <v>2451</v>
      </c>
      <c r="B2325" s="20" t="str">
        <f>IFERROR(__xludf.DUMMYFUNCTION("""COMPUTED_VALUE"""),"Product Sales Analysis IV")</f>
        <v>Product Sales Analysis IV</v>
      </c>
      <c r="C2325" s="20" t="str">
        <f>IFERROR(__xludf.DUMMYFUNCTION("""COMPUTED_VALUE"""),"product-sales-analysis-iv")</f>
        <v>product-sales-analysis-iv</v>
      </c>
      <c r="D2325" s="20" t="b">
        <f>IFERROR(__xludf.DUMMYFUNCTION("""COMPUTED_VALUE"""),TRUE)</f>
        <v>1</v>
      </c>
      <c r="E2325" s="20" t="str">
        <f>IFERROR(__xludf.DUMMYFUNCTION("""COMPUTED_VALUE"""),"Medium")</f>
        <v>Medium</v>
      </c>
      <c r="F2325" s="20">
        <f>IFERROR(__xludf.DUMMYFUNCTION("""COMPUTED_VALUE"""),24.0)</f>
        <v>24</v>
      </c>
      <c r="G2325" s="20">
        <f>IFERROR(__xludf.DUMMYFUNCTION("""COMPUTED_VALUE"""),1.0)</f>
        <v>1</v>
      </c>
      <c r="H2325" s="20" t="str">
        <f>IFERROR(__xludf.DUMMYFUNCTION("""COMPUTED_VALUE"""),"Database")</f>
        <v>Database</v>
      </c>
      <c r="I2325" s="20">
        <f>IFERROR(__xludf.DUMMYFUNCTION("""COMPUTED_VALUE"""),0.834)</f>
        <v>0.834</v>
      </c>
      <c r="J2325" s="20">
        <f>IFERROR(__xludf.DUMMYFUNCTION("""COMPUTED_VALUE"""),2324.0)</f>
        <v>2324</v>
      </c>
      <c r="K2325" s="20" t="b">
        <f>IFERROR(__xludf.DUMMYFUNCTION("""COMPUTED_VALUE"""),TRUE)</f>
        <v>1</v>
      </c>
      <c r="L2325" s="20" t="str">
        <f>IFERROR(__xludf.DUMMYFUNCTION("""COMPUTED_VALUE"""),"Database;")</f>
        <v>Database;</v>
      </c>
      <c r="M2325" s="20" t="b">
        <f>IFERROR(__xludf.DUMMYFUNCTION("""COMPUTED_VALUE"""),FALSE)</f>
        <v>0</v>
      </c>
      <c r="N2325" s="20" t="b">
        <f>IFERROR(__xludf.DUMMYFUNCTION("""COMPUTED_VALUE"""),FALSE)</f>
        <v>0</v>
      </c>
      <c r="O2325" s="20">
        <f>IFERROR(__xludf.DUMMYFUNCTION("""COMPUTED_VALUE"""),83.3795013850415)</f>
        <v>83.37950139</v>
      </c>
      <c r="P2325" s="20">
        <f>IFERROR(__xludf.DUMMYFUNCTION("""COMPUTED_VALUE"""),2709.0)</f>
        <v>2709</v>
      </c>
      <c r="Q2325" s="20">
        <f>IFERROR(__xludf.DUMMYFUNCTION("""COMPUTED_VALUE"""),3249.0)</f>
        <v>3249</v>
      </c>
    </row>
    <row r="2326">
      <c r="A2326" s="20">
        <f>IFERROR(__xludf.DUMMYFUNCTION("""COMPUTED_VALUE"""),2406.0)</f>
        <v>2406</v>
      </c>
      <c r="B2326" s="20" t="str">
        <f>IFERROR(__xludf.DUMMYFUNCTION("""COMPUTED_VALUE"""),"Decode the Message")</f>
        <v>Decode the Message</v>
      </c>
      <c r="C2326" s="20" t="str">
        <f>IFERROR(__xludf.DUMMYFUNCTION("""COMPUTED_VALUE"""),"decode-the-message")</f>
        <v>decode-the-message</v>
      </c>
      <c r="D2326" s="20" t="b">
        <f>IFERROR(__xludf.DUMMYFUNCTION("""COMPUTED_VALUE"""),FALSE)</f>
        <v>0</v>
      </c>
      <c r="E2326" s="20" t="str">
        <f>IFERROR(__xludf.DUMMYFUNCTION("""COMPUTED_VALUE"""),"Easy")</f>
        <v>Easy</v>
      </c>
      <c r="F2326" s="20">
        <f>IFERROR(__xludf.DUMMYFUNCTION("""COMPUTED_VALUE"""),493.0)</f>
        <v>493</v>
      </c>
      <c r="G2326" s="20">
        <f>IFERROR(__xludf.DUMMYFUNCTION("""COMPUTED_VALUE"""),53.0)</f>
        <v>53</v>
      </c>
      <c r="H2326" s="20" t="str">
        <f>IFERROR(__xludf.DUMMYFUNCTION("""COMPUTED_VALUE"""),"Algorithms")</f>
        <v>Algorithms</v>
      </c>
      <c r="I2326" s="20">
        <f>IFERROR(__xludf.DUMMYFUNCTION("""COMPUTED_VALUE"""),0.848)</f>
        <v>0.848</v>
      </c>
      <c r="J2326" s="20">
        <f>IFERROR(__xludf.DUMMYFUNCTION("""COMPUTED_VALUE"""),2325.0)</f>
        <v>2325</v>
      </c>
      <c r="K2326" s="20" t="b">
        <f>IFERROR(__xludf.DUMMYFUNCTION("""COMPUTED_VALUE"""),FALSE)</f>
        <v>0</v>
      </c>
      <c r="L2326" s="20" t="str">
        <f>IFERROR(__xludf.DUMMYFUNCTION("""COMPUTED_VALUE"""),"Hash Table;String;")</f>
        <v>Hash Table;String;</v>
      </c>
      <c r="M2326" s="20" t="b">
        <f>IFERROR(__xludf.DUMMYFUNCTION("""COMPUTED_VALUE"""),FALSE)</f>
        <v>0</v>
      </c>
      <c r="N2326" s="20" t="b">
        <f>IFERROR(__xludf.DUMMYFUNCTION("""COMPUTED_VALUE"""),FALSE)</f>
        <v>0</v>
      </c>
      <c r="O2326" s="20">
        <f>IFERROR(__xludf.DUMMYFUNCTION("""COMPUTED_VALUE"""),84.8041301974426)</f>
        <v>84.8041302</v>
      </c>
      <c r="P2326" s="20">
        <f>IFERROR(__xludf.DUMMYFUNCTION("""COMPUTED_VALUE"""),45828.0)</f>
        <v>45828</v>
      </c>
      <c r="Q2326" s="20">
        <f>IFERROR(__xludf.DUMMYFUNCTION("""COMPUTED_VALUE"""),54040.0)</f>
        <v>54040</v>
      </c>
    </row>
    <row r="2327">
      <c r="A2327" s="20">
        <f>IFERROR(__xludf.DUMMYFUNCTION("""COMPUTED_VALUE"""),2411.0)</f>
        <v>2411</v>
      </c>
      <c r="B2327" s="20" t="str">
        <f>IFERROR(__xludf.DUMMYFUNCTION("""COMPUTED_VALUE"""),"Spiral Matrix IV")</f>
        <v>Spiral Matrix IV</v>
      </c>
      <c r="C2327" s="20" t="str">
        <f>IFERROR(__xludf.DUMMYFUNCTION("""COMPUTED_VALUE"""),"spiral-matrix-iv")</f>
        <v>spiral-matrix-iv</v>
      </c>
      <c r="D2327" s="20" t="b">
        <f>IFERROR(__xludf.DUMMYFUNCTION("""COMPUTED_VALUE"""),FALSE)</f>
        <v>0</v>
      </c>
      <c r="E2327" s="20" t="str">
        <f>IFERROR(__xludf.DUMMYFUNCTION("""COMPUTED_VALUE"""),"Medium")</f>
        <v>Medium</v>
      </c>
      <c r="F2327" s="20">
        <f>IFERROR(__xludf.DUMMYFUNCTION("""COMPUTED_VALUE"""),405.0)</f>
        <v>405</v>
      </c>
      <c r="G2327" s="20">
        <f>IFERROR(__xludf.DUMMYFUNCTION("""COMPUTED_VALUE"""),18.0)</f>
        <v>18</v>
      </c>
      <c r="H2327" s="20" t="str">
        <f>IFERROR(__xludf.DUMMYFUNCTION("""COMPUTED_VALUE"""),"Algorithms")</f>
        <v>Algorithms</v>
      </c>
      <c r="I2327" s="20">
        <f>IFERROR(__xludf.DUMMYFUNCTION("""COMPUTED_VALUE"""),0.746)</f>
        <v>0.746</v>
      </c>
      <c r="J2327" s="20">
        <f>IFERROR(__xludf.DUMMYFUNCTION("""COMPUTED_VALUE"""),2326.0)</f>
        <v>2326</v>
      </c>
      <c r="K2327" s="20" t="b">
        <f>IFERROR(__xludf.DUMMYFUNCTION("""COMPUTED_VALUE"""),FALSE)</f>
        <v>0</v>
      </c>
      <c r="L2327" s="20" t="str">
        <f>IFERROR(__xludf.DUMMYFUNCTION("""COMPUTED_VALUE"""),"Array;Linked List;Matrix;Simulation;")</f>
        <v>Array;Linked List;Matrix;Simulation;</v>
      </c>
      <c r="M2327" s="20" t="b">
        <f>IFERROR(__xludf.DUMMYFUNCTION("""COMPUTED_VALUE"""),FALSE)</f>
        <v>0</v>
      </c>
      <c r="N2327" s="20" t="b">
        <f>IFERROR(__xludf.DUMMYFUNCTION("""COMPUTED_VALUE"""),FALSE)</f>
        <v>0</v>
      </c>
      <c r="O2327" s="20">
        <f>IFERROR(__xludf.DUMMYFUNCTION("""COMPUTED_VALUE"""),74.6140705078428)</f>
        <v>74.61407051</v>
      </c>
      <c r="P2327" s="20">
        <f>IFERROR(__xludf.DUMMYFUNCTION("""COMPUTED_VALUE"""),24022.0)</f>
        <v>24022</v>
      </c>
      <c r="Q2327" s="20">
        <f>IFERROR(__xludf.DUMMYFUNCTION("""COMPUTED_VALUE"""),32195.0)</f>
        <v>32195</v>
      </c>
    </row>
    <row r="2328">
      <c r="A2328" s="20">
        <f>IFERROR(__xludf.DUMMYFUNCTION("""COMPUTED_VALUE"""),2408.0)</f>
        <v>2408</v>
      </c>
      <c r="B2328" s="20" t="str">
        <f>IFERROR(__xludf.DUMMYFUNCTION("""COMPUTED_VALUE"""),"Number of People Aware of a Secret")</f>
        <v>Number of People Aware of a Secret</v>
      </c>
      <c r="C2328" s="20" t="str">
        <f>IFERROR(__xludf.DUMMYFUNCTION("""COMPUTED_VALUE"""),"number-of-people-aware-of-a-secret")</f>
        <v>number-of-people-aware-of-a-secret</v>
      </c>
      <c r="D2328" s="20" t="b">
        <f>IFERROR(__xludf.DUMMYFUNCTION("""COMPUTED_VALUE"""),FALSE)</f>
        <v>0</v>
      </c>
      <c r="E2328" s="20" t="str">
        <f>IFERROR(__xludf.DUMMYFUNCTION("""COMPUTED_VALUE"""),"Medium")</f>
        <v>Medium</v>
      </c>
      <c r="F2328" s="20">
        <f>IFERROR(__xludf.DUMMYFUNCTION("""COMPUTED_VALUE"""),562.0)</f>
        <v>562</v>
      </c>
      <c r="G2328" s="20">
        <f>IFERROR(__xludf.DUMMYFUNCTION("""COMPUTED_VALUE"""),97.0)</f>
        <v>97</v>
      </c>
      <c r="H2328" s="20" t="str">
        <f>IFERROR(__xludf.DUMMYFUNCTION("""COMPUTED_VALUE"""),"Algorithms")</f>
        <v>Algorithms</v>
      </c>
      <c r="I2328" s="20">
        <f>IFERROR(__xludf.DUMMYFUNCTION("""COMPUTED_VALUE"""),0.445)</f>
        <v>0.445</v>
      </c>
      <c r="J2328" s="20">
        <f>IFERROR(__xludf.DUMMYFUNCTION("""COMPUTED_VALUE"""),2327.0)</f>
        <v>2327</v>
      </c>
      <c r="K2328" s="20" t="b">
        <f>IFERROR(__xludf.DUMMYFUNCTION("""COMPUTED_VALUE"""),FALSE)</f>
        <v>0</v>
      </c>
      <c r="L2328" s="20" t="str">
        <f>IFERROR(__xludf.DUMMYFUNCTION("""COMPUTED_VALUE"""),"Dynamic Programming;Queue;Simulation;")</f>
        <v>Dynamic Programming;Queue;Simulation;</v>
      </c>
      <c r="M2328" s="20" t="b">
        <f>IFERROR(__xludf.DUMMYFUNCTION("""COMPUTED_VALUE"""),FALSE)</f>
        <v>0</v>
      </c>
      <c r="N2328" s="20" t="b">
        <f>IFERROR(__xludf.DUMMYFUNCTION("""COMPUTED_VALUE"""),FALSE)</f>
        <v>0</v>
      </c>
      <c r="O2328" s="20">
        <f>IFERROR(__xludf.DUMMYFUNCTION("""COMPUTED_VALUE"""),44.5194714476977)</f>
        <v>44.51947145</v>
      </c>
      <c r="P2328" s="20">
        <f>IFERROR(__xludf.DUMMYFUNCTION("""COMPUTED_VALUE"""),15296.0)</f>
        <v>15296</v>
      </c>
      <c r="Q2328" s="20">
        <f>IFERROR(__xludf.DUMMYFUNCTION("""COMPUTED_VALUE"""),34358.0)</f>
        <v>34358</v>
      </c>
    </row>
    <row r="2329">
      <c r="A2329" s="20">
        <f>IFERROR(__xludf.DUMMYFUNCTION("""COMPUTED_VALUE"""),2409.0)</f>
        <v>2409</v>
      </c>
      <c r="B2329" s="20" t="str">
        <f>IFERROR(__xludf.DUMMYFUNCTION("""COMPUTED_VALUE"""),"Number of Increasing Paths in a Grid")</f>
        <v>Number of Increasing Paths in a Grid</v>
      </c>
      <c r="C2329" s="20" t="str">
        <f>IFERROR(__xludf.DUMMYFUNCTION("""COMPUTED_VALUE"""),"number-of-increasing-paths-in-a-grid")</f>
        <v>number-of-increasing-paths-in-a-grid</v>
      </c>
      <c r="D2329" s="20" t="b">
        <f>IFERROR(__xludf.DUMMYFUNCTION("""COMPUTED_VALUE"""),FALSE)</f>
        <v>0</v>
      </c>
      <c r="E2329" s="20" t="str">
        <f>IFERROR(__xludf.DUMMYFUNCTION("""COMPUTED_VALUE"""),"Hard")</f>
        <v>Hard</v>
      </c>
      <c r="F2329" s="20">
        <f>IFERROR(__xludf.DUMMYFUNCTION("""COMPUTED_VALUE"""),611.0)</f>
        <v>611</v>
      </c>
      <c r="G2329" s="20">
        <f>IFERROR(__xludf.DUMMYFUNCTION("""COMPUTED_VALUE"""),14.0)</f>
        <v>14</v>
      </c>
      <c r="H2329" s="20" t="str">
        <f>IFERROR(__xludf.DUMMYFUNCTION("""COMPUTED_VALUE"""),"Algorithms")</f>
        <v>Algorithms</v>
      </c>
      <c r="I2329" s="20">
        <f>IFERROR(__xludf.DUMMYFUNCTION("""COMPUTED_VALUE"""),0.477)</f>
        <v>0.477</v>
      </c>
      <c r="J2329" s="20">
        <f>IFERROR(__xludf.DUMMYFUNCTION("""COMPUTED_VALUE"""),2328.0)</f>
        <v>2328</v>
      </c>
      <c r="K2329" s="20" t="b">
        <f>IFERROR(__xludf.DUMMYFUNCTION("""COMPUTED_VALUE"""),FALSE)</f>
        <v>0</v>
      </c>
      <c r="L2329" s="20" t="str">
        <f>IFERROR(__xludf.DUMMYFUNCTION("""COMPUTED_VALUE"""),"Array;Dynamic Programming;Depth-First Search;Breadth-First Search;Graph;Topological Sort;Memoization;Matrix;")</f>
        <v>Array;Dynamic Programming;Depth-First Search;Breadth-First Search;Graph;Topological Sort;Memoization;Matrix;</v>
      </c>
      <c r="M2329" s="20" t="b">
        <f>IFERROR(__xludf.DUMMYFUNCTION("""COMPUTED_VALUE"""),FALSE)</f>
        <v>0</v>
      </c>
      <c r="N2329" s="20" t="b">
        <f>IFERROR(__xludf.DUMMYFUNCTION("""COMPUTED_VALUE"""),FALSE)</f>
        <v>0</v>
      </c>
      <c r="O2329" s="20">
        <f>IFERROR(__xludf.DUMMYFUNCTION("""COMPUTED_VALUE"""),47.7003333744906)</f>
        <v>47.70033337</v>
      </c>
      <c r="P2329" s="20">
        <f>IFERROR(__xludf.DUMMYFUNCTION("""COMPUTED_VALUE"""),15453.0)</f>
        <v>15453</v>
      </c>
      <c r="Q2329" s="20">
        <f>IFERROR(__xludf.DUMMYFUNCTION("""COMPUTED_VALUE"""),32396.0)</f>
        <v>32396</v>
      </c>
    </row>
    <row r="2330">
      <c r="A2330" s="20">
        <f>IFERROR(__xludf.DUMMYFUNCTION("""COMPUTED_VALUE"""),2452.0)</f>
        <v>2452</v>
      </c>
      <c r="B2330" s="20" t="str">
        <f>IFERROR(__xludf.DUMMYFUNCTION("""COMPUTED_VALUE"""),"Product Sales Analysis V")</f>
        <v>Product Sales Analysis V</v>
      </c>
      <c r="C2330" s="20" t="str">
        <f>IFERROR(__xludf.DUMMYFUNCTION("""COMPUTED_VALUE"""),"product-sales-analysis-v")</f>
        <v>product-sales-analysis-v</v>
      </c>
      <c r="D2330" s="20" t="b">
        <f>IFERROR(__xludf.DUMMYFUNCTION("""COMPUTED_VALUE"""),TRUE)</f>
        <v>1</v>
      </c>
      <c r="E2330" s="20" t="str">
        <f>IFERROR(__xludf.DUMMYFUNCTION("""COMPUTED_VALUE"""),"Easy")</f>
        <v>Easy</v>
      </c>
      <c r="F2330" s="20">
        <f>IFERROR(__xludf.DUMMYFUNCTION("""COMPUTED_VALUE"""),14.0)</f>
        <v>14</v>
      </c>
      <c r="G2330" s="20">
        <f>IFERROR(__xludf.DUMMYFUNCTION("""COMPUTED_VALUE"""),5.0)</f>
        <v>5</v>
      </c>
      <c r="H2330" s="20" t="str">
        <f>IFERROR(__xludf.DUMMYFUNCTION("""COMPUTED_VALUE"""),"Database")</f>
        <v>Database</v>
      </c>
      <c r="I2330" s="20">
        <f>IFERROR(__xludf.DUMMYFUNCTION("""COMPUTED_VALUE"""),0.698)</f>
        <v>0.698</v>
      </c>
      <c r="J2330" s="20">
        <f>IFERROR(__xludf.DUMMYFUNCTION("""COMPUTED_VALUE"""),2329.0)</f>
        <v>2329</v>
      </c>
      <c r="K2330" s="20" t="b">
        <f>IFERROR(__xludf.DUMMYFUNCTION("""COMPUTED_VALUE"""),TRUE)</f>
        <v>1</v>
      </c>
      <c r="L2330" s="20" t="str">
        <f>IFERROR(__xludf.DUMMYFUNCTION("""COMPUTED_VALUE"""),"Database;")</f>
        <v>Database;</v>
      </c>
      <c r="M2330" s="20" t="b">
        <f>IFERROR(__xludf.DUMMYFUNCTION("""COMPUTED_VALUE"""),FALSE)</f>
        <v>0</v>
      </c>
      <c r="N2330" s="20" t="b">
        <f>IFERROR(__xludf.DUMMYFUNCTION("""COMPUTED_VALUE"""),FALSE)</f>
        <v>0</v>
      </c>
      <c r="O2330" s="20">
        <f>IFERROR(__xludf.DUMMYFUNCTION("""COMPUTED_VALUE"""),69.782300047326)</f>
        <v>69.78230005</v>
      </c>
      <c r="P2330" s="20">
        <f>IFERROR(__xludf.DUMMYFUNCTION("""COMPUTED_VALUE"""),2949.0)</f>
        <v>2949</v>
      </c>
      <c r="Q2330" s="20">
        <f>IFERROR(__xludf.DUMMYFUNCTION("""COMPUTED_VALUE"""),4226.0)</f>
        <v>4226</v>
      </c>
    </row>
    <row r="2331">
      <c r="A2331" s="20">
        <f>IFERROR(__xludf.DUMMYFUNCTION("""COMPUTED_VALUE"""),2468.0)</f>
        <v>2468</v>
      </c>
      <c r="B2331" s="20" t="str">
        <f>IFERROR(__xludf.DUMMYFUNCTION("""COMPUTED_VALUE"""),"Valid Palindrome IV")</f>
        <v>Valid Palindrome IV</v>
      </c>
      <c r="C2331" s="20" t="str">
        <f>IFERROR(__xludf.DUMMYFUNCTION("""COMPUTED_VALUE"""),"valid-palindrome-iv")</f>
        <v>valid-palindrome-iv</v>
      </c>
      <c r="D2331" s="20" t="b">
        <f>IFERROR(__xludf.DUMMYFUNCTION("""COMPUTED_VALUE"""),TRUE)</f>
        <v>1</v>
      </c>
      <c r="E2331" s="20" t="str">
        <f>IFERROR(__xludf.DUMMYFUNCTION("""COMPUTED_VALUE"""),"Medium")</f>
        <v>Medium</v>
      </c>
      <c r="F2331" s="20">
        <f>IFERROR(__xludf.DUMMYFUNCTION("""COMPUTED_VALUE"""),45.0)</f>
        <v>45</v>
      </c>
      <c r="G2331" s="20">
        <f>IFERROR(__xludf.DUMMYFUNCTION("""COMPUTED_VALUE"""),14.0)</f>
        <v>14</v>
      </c>
      <c r="H2331" s="20" t="str">
        <f>IFERROR(__xludf.DUMMYFUNCTION("""COMPUTED_VALUE"""),"Algorithms")</f>
        <v>Algorithms</v>
      </c>
      <c r="I2331" s="20">
        <f>IFERROR(__xludf.DUMMYFUNCTION("""COMPUTED_VALUE"""),0.759)</f>
        <v>0.759</v>
      </c>
      <c r="J2331" s="20">
        <f>IFERROR(__xludf.DUMMYFUNCTION("""COMPUTED_VALUE"""),2330.0)</f>
        <v>2330</v>
      </c>
      <c r="K2331" s="20" t="b">
        <f>IFERROR(__xludf.DUMMYFUNCTION("""COMPUTED_VALUE"""),TRUE)</f>
        <v>1</v>
      </c>
      <c r="L2331" s="20" t="str">
        <f>IFERROR(__xludf.DUMMYFUNCTION("""COMPUTED_VALUE"""),"Two Pointers;String;")</f>
        <v>Two Pointers;String;</v>
      </c>
      <c r="M2331" s="20" t="b">
        <f>IFERROR(__xludf.DUMMYFUNCTION("""COMPUTED_VALUE"""),FALSE)</f>
        <v>0</v>
      </c>
      <c r="N2331" s="20" t="b">
        <f>IFERROR(__xludf.DUMMYFUNCTION("""COMPUTED_VALUE"""),FALSE)</f>
        <v>0</v>
      </c>
      <c r="O2331" s="20">
        <f>IFERROR(__xludf.DUMMYFUNCTION("""COMPUTED_VALUE"""),75.8608815426997)</f>
        <v>75.86088154</v>
      </c>
      <c r="P2331" s="20">
        <f>IFERROR(__xludf.DUMMYFUNCTION("""COMPUTED_VALUE"""),2203.0)</f>
        <v>2203</v>
      </c>
      <c r="Q2331" s="20">
        <f>IFERROR(__xludf.DUMMYFUNCTION("""COMPUTED_VALUE"""),2904.0)</f>
        <v>2904</v>
      </c>
    </row>
    <row r="2332">
      <c r="A2332" s="20">
        <f>IFERROR(__xludf.DUMMYFUNCTION("""COMPUTED_VALUE"""),2416.0)</f>
        <v>2416</v>
      </c>
      <c r="B2332" s="20" t="str">
        <f>IFERROR(__xludf.DUMMYFUNCTION("""COMPUTED_VALUE"""),"Evaluate Boolean Binary Tree")</f>
        <v>Evaluate Boolean Binary Tree</v>
      </c>
      <c r="C2332" s="20" t="str">
        <f>IFERROR(__xludf.DUMMYFUNCTION("""COMPUTED_VALUE"""),"evaluate-boolean-binary-tree")</f>
        <v>evaluate-boolean-binary-tree</v>
      </c>
      <c r="D2332" s="20" t="b">
        <f>IFERROR(__xludf.DUMMYFUNCTION("""COMPUTED_VALUE"""),FALSE)</f>
        <v>0</v>
      </c>
      <c r="E2332" s="20" t="str">
        <f>IFERROR(__xludf.DUMMYFUNCTION("""COMPUTED_VALUE"""),"Easy")</f>
        <v>Easy</v>
      </c>
      <c r="F2332" s="20">
        <f>IFERROR(__xludf.DUMMYFUNCTION("""COMPUTED_VALUE"""),515.0)</f>
        <v>515</v>
      </c>
      <c r="G2332" s="20">
        <f>IFERROR(__xludf.DUMMYFUNCTION("""COMPUTED_VALUE"""),10.0)</f>
        <v>10</v>
      </c>
      <c r="H2332" s="20" t="str">
        <f>IFERROR(__xludf.DUMMYFUNCTION("""COMPUTED_VALUE"""),"Algorithms")</f>
        <v>Algorithms</v>
      </c>
      <c r="I2332" s="20">
        <f>IFERROR(__xludf.DUMMYFUNCTION("""COMPUTED_VALUE"""),0.79)</f>
        <v>0.79</v>
      </c>
      <c r="J2332" s="20">
        <f>IFERROR(__xludf.DUMMYFUNCTION("""COMPUTED_VALUE"""),2331.0)</f>
        <v>2331</v>
      </c>
      <c r="K2332" s="20" t="b">
        <f>IFERROR(__xludf.DUMMYFUNCTION("""COMPUTED_VALUE"""),FALSE)</f>
        <v>0</v>
      </c>
      <c r="L2332" s="20" t="str">
        <f>IFERROR(__xludf.DUMMYFUNCTION("""COMPUTED_VALUE"""),"Binary Search;Tree;Depth-First Search;")</f>
        <v>Binary Search;Tree;Depth-First Search;</v>
      </c>
      <c r="M2332" s="20" t="b">
        <f>IFERROR(__xludf.DUMMYFUNCTION("""COMPUTED_VALUE"""),FALSE)</f>
        <v>0</v>
      </c>
      <c r="N2332" s="20" t="b">
        <f>IFERROR(__xludf.DUMMYFUNCTION("""COMPUTED_VALUE"""),FALSE)</f>
        <v>0</v>
      </c>
      <c r="O2332" s="20">
        <f>IFERROR(__xludf.DUMMYFUNCTION("""COMPUTED_VALUE"""),78.9925310506881)</f>
        <v>78.99253105</v>
      </c>
      <c r="P2332" s="20">
        <f>IFERROR(__xludf.DUMMYFUNCTION("""COMPUTED_VALUE"""),37650.0)</f>
        <v>37650</v>
      </c>
      <c r="Q2332" s="20">
        <f>IFERROR(__xludf.DUMMYFUNCTION("""COMPUTED_VALUE"""),47663.0)</f>
        <v>47663</v>
      </c>
    </row>
    <row r="2333">
      <c r="A2333" s="20">
        <f>IFERROR(__xludf.DUMMYFUNCTION("""COMPUTED_VALUE"""),2417.0)</f>
        <v>2417</v>
      </c>
      <c r="B2333" s="20" t="str">
        <f>IFERROR(__xludf.DUMMYFUNCTION("""COMPUTED_VALUE"""),"The Latest Time to Catch a Bus")</f>
        <v>The Latest Time to Catch a Bus</v>
      </c>
      <c r="C2333" s="20" t="str">
        <f>IFERROR(__xludf.DUMMYFUNCTION("""COMPUTED_VALUE"""),"the-latest-time-to-catch-a-bus")</f>
        <v>the-latest-time-to-catch-a-bus</v>
      </c>
      <c r="D2333" s="20" t="b">
        <f>IFERROR(__xludf.DUMMYFUNCTION("""COMPUTED_VALUE"""),FALSE)</f>
        <v>0</v>
      </c>
      <c r="E2333" s="20" t="str">
        <f>IFERROR(__xludf.DUMMYFUNCTION("""COMPUTED_VALUE"""),"Medium")</f>
        <v>Medium</v>
      </c>
      <c r="F2333" s="20">
        <f>IFERROR(__xludf.DUMMYFUNCTION("""COMPUTED_VALUE"""),262.0)</f>
        <v>262</v>
      </c>
      <c r="G2333" s="20">
        <f>IFERROR(__xludf.DUMMYFUNCTION("""COMPUTED_VALUE"""),579.0)</f>
        <v>579</v>
      </c>
      <c r="H2333" s="20" t="str">
        <f>IFERROR(__xludf.DUMMYFUNCTION("""COMPUTED_VALUE"""),"Algorithms")</f>
        <v>Algorithms</v>
      </c>
      <c r="I2333" s="20">
        <f>IFERROR(__xludf.DUMMYFUNCTION("""COMPUTED_VALUE"""),0.23)</f>
        <v>0.23</v>
      </c>
      <c r="J2333" s="20">
        <f>IFERROR(__xludf.DUMMYFUNCTION("""COMPUTED_VALUE"""),2332.0)</f>
        <v>2332</v>
      </c>
      <c r="K2333" s="20" t="b">
        <f>IFERROR(__xludf.DUMMYFUNCTION("""COMPUTED_VALUE"""),FALSE)</f>
        <v>0</v>
      </c>
      <c r="L2333" s="20" t="str">
        <f>IFERROR(__xludf.DUMMYFUNCTION("""COMPUTED_VALUE"""),"Array;Two Pointers;Binary Search;Sorting;")</f>
        <v>Array;Two Pointers;Binary Search;Sorting;</v>
      </c>
      <c r="M2333" s="20" t="b">
        <f>IFERROR(__xludf.DUMMYFUNCTION("""COMPUTED_VALUE"""),FALSE)</f>
        <v>0</v>
      </c>
      <c r="N2333" s="20" t="b">
        <f>IFERROR(__xludf.DUMMYFUNCTION("""COMPUTED_VALUE"""),FALSE)</f>
        <v>0</v>
      </c>
      <c r="O2333" s="20">
        <f>IFERROR(__xludf.DUMMYFUNCTION("""COMPUTED_VALUE"""),22.9861389158992)</f>
        <v>22.98613892</v>
      </c>
      <c r="P2333" s="20">
        <f>IFERROR(__xludf.DUMMYFUNCTION("""COMPUTED_VALUE"""),12056.0)</f>
        <v>12056</v>
      </c>
      <c r="Q2333" s="20">
        <f>IFERROR(__xludf.DUMMYFUNCTION("""COMPUTED_VALUE"""),52448.0)</f>
        <v>52448</v>
      </c>
    </row>
    <row r="2334">
      <c r="A2334" s="20">
        <f>IFERROR(__xludf.DUMMYFUNCTION("""COMPUTED_VALUE"""),2418.0)</f>
        <v>2418</v>
      </c>
      <c r="B2334" s="20" t="str">
        <f>IFERROR(__xludf.DUMMYFUNCTION("""COMPUTED_VALUE"""),"Minimum Sum of Squared Difference")</f>
        <v>Minimum Sum of Squared Difference</v>
      </c>
      <c r="C2334" s="20" t="str">
        <f>IFERROR(__xludf.DUMMYFUNCTION("""COMPUTED_VALUE"""),"minimum-sum-of-squared-difference")</f>
        <v>minimum-sum-of-squared-difference</v>
      </c>
      <c r="D2334" s="20" t="b">
        <f>IFERROR(__xludf.DUMMYFUNCTION("""COMPUTED_VALUE"""),FALSE)</f>
        <v>0</v>
      </c>
      <c r="E2334" s="20" t="str">
        <f>IFERROR(__xludf.DUMMYFUNCTION("""COMPUTED_VALUE"""),"Medium")</f>
        <v>Medium</v>
      </c>
      <c r="F2334" s="20">
        <f>IFERROR(__xludf.DUMMYFUNCTION("""COMPUTED_VALUE"""),468.0)</f>
        <v>468</v>
      </c>
      <c r="G2334" s="20">
        <f>IFERROR(__xludf.DUMMYFUNCTION("""COMPUTED_VALUE"""),29.0)</f>
        <v>29</v>
      </c>
      <c r="H2334" s="20" t="str">
        <f>IFERROR(__xludf.DUMMYFUNCTION("""COMPUTED_VALUE"""),"Algorithms")</f>
        <v>Algorithms</v>
      </c>
      <c r="I2334" s="20">
        <f>IFERROR(__xludf.DUMMYFUNCTION("""COMPUTED_VALUE"""),0.256)</f>
        <v>0.256</v>
      </c>
      <c r="J2334" s="20">
        <f>IFERROR(__xludf.DUMMYFUNCTION("""COMPUTED_VALUE"""),2333.0)</f>
        <v>2333</v>
      </c>
      <c r="K2334" s="20" t="b">
        <f>IFERROR(__xludf.DUMMYFUNCTION("""COMPUTED_VALUE"""),FALSE)</f>
        <v>0</v>
      </c>
      <c r="L2334" s="20" t="str">
        <f>IFERROR(__xludf.DUMMYFUNCTION("""COMPUTED_VALUE"""),"Array;Math;Sorting;Heap (Priority Queue);")</f>
        <v>Array;Math;Sorting;Heap (Priority Queue);</v>
      </c>
      <c r="M2334" s="20" t="b">
        <f>IFERROR(__xludf.DUMMYFUNCTION("""COMPUTED_VALUE"""),FALSE)</f>
        <v>0</v>
      </c>
      <c r="N2334" s="20" t="b">
        <f>IFERROR(__xludf.DUMMYFUNCTION("""COMPUTED_VALUE"""),FALSE)</f>
        <v>0</v>
      </c>
      <c r="O2334" s="20">
        <f>IFERROR(__xludf.DUMMYFUNCTION("""COMPUTED_VALUE"""),25.6187473624109)</f>
        <v>25.61874736</v>
      </c>
      <c r="P2334" s="20">
        <f>IFERROR(__xludf.DUMMYFUNCTION("""COMPUTED_VALUE"""),10320.0)</f>
        <v>10320</v>
      </c>
      <c r="Q2334" s="20">
        <f>IFERROR(__xludf.DUMMYFUNCTION("""COMPUTED_VALUE"""),40282.0)</f>
        <v>40282</v>
      </c>
    </row>
    <row r="2335">
      <c r="A2335" s="20">
        <f>IFERROR(__xludf.DUMMYFUNCTION("""COMPUTED_VALUE"""),2419.0)</f>
        <v>2419</v>
      </c>
      <c r="B2335" s="20" t="str">
        <f>IFERROR(__xludf.DUMMYFUNCTION("""COMPUTED_VALUE"""),"Subarray With Elements Greater Than Varying Threshold")</f>
        <v>Subarray With Elements Greater Than Varying Threshold</v>
      </c>
      <c r="C2335" s="20" t="str">
        <f>IFERROR(__xludf.DUMMYFUNCTION("""COMPUTED_VALUE"""),"subarray-with-elements-greater-than-varying-threshold")</f>
        <v>subarray-with-elements-greater-than-varying-threshold</v>
      </c>
      <c r="D2335" s="20" t="b">
        <f>IFERROR(__xludf.DUMMYFUNCTION("""COMPUTED_VALUE"""),FALSE)</f>
        <v>0</v>
      </c>
      <c r="E2335" s="20" t="str">
        <f>IFERROR(__xludf.DUMMYFUNCTION("""COMPUTED_VALUE"""),"Hard")</f>
        <v>Hard</v>
      </c>
      <c r="F2335" s="20">
        <f>IFERROR(__xludf.DUMMYFUNCTION("""COMPUTED_VALUE"""),394.0)</f>
        <v>394</v>
      </c>
      <c r="G2335" s="20">
        <f>IFERROR(__xludf.DUMMYFUNCTION("""COMPUTED_VALUE"""),5.0)</f>
        <v>5</v>
      </c>
      <c r="H2335" s="20" t="str">
        <f>IFERROR(__xludf.DUMMYFUNCTION("""COMPUTED_VALUE"""),"Algorithms")</f>
        <v>Algorithms</v>
      </c>
      <c r="I2335" s="20">
        <f>IFERROR(__xludf.DUMMYFUNCTION("""COMPUTED_VALUE"""),0.408)</f>
        <v>0.408</v>
      </c>
      <c r="J2335" s="20">
        <f>IFERROR(__xludf.DUMMYFUNCTION("""COMPUTED_VALUE"""),2334.0)</f>
        <v>2334</v>
      </c>
      <c r="K2335" s="20" t="b">
        <f>IFERROR(__xludf.DUMMYFUNCTION("""COMPUTED_VALUE"""),FALSE)</f>
        <v>0</v>
      </c>
      <c r="L2335" s="20" t="str">
        <f>IFERROR(__xludf.DUMMYFUNCTION("""COMPUTED_VALUE"""),"Array;Stack;Union Find;Monotonic Stack;")</f>
        <v>Array;Stack;Union Find;Monotonic Stack;</v>
      </c>
      <c r="M2335" s="20" t="b">
        <f>IFERROR(__xludf.DUMMYFUNCTION("""COMPUTED_VALUE"""),FALSE)</f>
        <v>0</v>
      </c>
      <c r="N2335" s="20" t="b">
        <f>IFERROR(__xludf.DUMMYFUNCTION("""COMPUTED_VALUE"""),FALSE)</f>
        <v>0</v>
      </c>
      <c r="O2335" s="20">
        <f>IFERROR(__xludf.DUMMYFUNCTION("""COMPUTED_VALUE"""),40.8231121619624)</f>
        <v>40.82311216</v>
      </c>
      <c r="P2335" s="20">
        <f>IFERROR(__xludf.DUMMYFUNCTION("""COMPUTED_VALUE"""),5525.0)</f>
        <v>5525</v>
      </c>
      <c r="Q2335" s="20">
        <f>IFERROR(__xludf.DUMMYFUNCTION("""COMPUTED_VALUE"""),13534.0)</f>
        <v>13534</v>
      </c>
    </row>
    <row r="2336">
      <c r="A2336" s="20">
        <f>IFERROR(__xludf.DUMMYFUNCTION("""COMPUTED_VALUE"""),2412.0)</f>
        <v>2412</v>
      </c>
      <c r="B2336" s="20" t="str">
        <f>IFERROR(__xludf.DUMMYFUNCTION("""COMPUTED_VALUE"""),"Minimum Amount of Time to Fill Cups")</f>
        <v>Minimum Amount of Time to Fill Cups</v>
      </c>
      <c r="C2336" s="20" t="str">
        <f>IFERROR(__xludf.DUMMYFUNCTION("""COMPUTED_VALUE"""),"minimum-amount-of-time-to-fill-cups")</f>
        <v>minimum-amount-of-time-to-fill-cups</v>
      </c>
      <c r="D2336" s="20" t="b">
        <f>IFERROR(__xludf.DUMMYFUNCTION("""COMPUTED_VALUE"""),FALSE)</f>
        <v>0</v>
      </c>
      <c r="E2336" s="20" t="str">
        <f>IFERROR(__xludf.DUMMYFUNCTION("""COMPUTED_VALUE"""),"Easy")</f>
        <v>Easy</v>
      </c>
      <c r="F2336" s="20">
        <f>IFERROR(__xludf.DUMMYFUNCTION("""COMPUTED_VALUE"""),412.0)</f>
        <v>412</v>
      </c>
      <c r="G2336" s="20">
        <f>IFERROR(__xludf.DUMMYFUNCTION("""COMPUTED_VALUE"""),57.0)</f>
        <v>57</v>
      </c>
      <c r="H2336" s="20" t="str">
        <f>IFERROR(__xludf.DUMMYFUNCTION("""COMPUTED_VALUE"""),"Algorithms")</f>
        <v>Algorithms</v>
      </c>
      <c r="I2336" s="20">
        <f>IFERROR(__xludf.DUMMYFUNCTION("""COMPUTED_VALUE"""),0.557)</f>
        <v>0.557</v>
      </c>
      <c r="J2336" s="20">
        <f>IFERROR(__xludf.DUMMYFUNCTION("""COMPUTED_VALUE"""),2335.0)</f>
        <v>2335</v>
      </c>
      <c r="K2336" s="20" t="b">
        <f>IFERROR(__xludf.DUMMYFUNCTION("""COMPUTED_VALUE"""),FALSE)</f>
        <v>0</v>
      </c>
      <c r="L2336" s="20" t="str">
        <f>IFERROR(__xludf.DUMMYFUNCTION("""COMPUTED_VALUE"""),"Array;Greedy;Heap (Priority Queue);")</f>
        <v>Array;Greedy;Heap (Priority Queue);</v>
      </c>
      <c r="M2336" s="20" t="b">
        <f>IFERROR(__xludf.DUMMYFUNCTION("""COMPUTED_VALUE"""),FALSE)</f>
        <v>0</v>
      </c>
      <c r="N2336" s="20" t="b">
        <f>IFERROR(__xludf.DUMMYFUNCTION("""COMPUTED_VALUE"""),FALSE)</f>
        <v>0</v>
      </c>
      <c r="O2336" s="20">
        <f>IFERROR(__xludf.DUMMYFUNCTION("""COMPUTED_VALUE"""),55.6600678114404)</f>
        <v>55.66006781</v>
      </c>
      <c r="P2336" s="20">
        <f>IFERROR(__xludf.DUMMYFUNCTION("""COMPUTED_VALUE"""),30534.0)</f>
        <v>30534</v>
      </c>
      <c r="Q2336" s="20">
        <f>IFERROR(__xludf.DUMMYFUNCTION("""COMPUTED_VALUE"""),54858.0)</f>
        <v>54858</v>
      </c>
    </row>
    <row r="2337">
      <c r="A2337" s="20">
        <f>IFERROR(__xludf.DUMMYFUNCTION("""COMPUTED_VALUE"""),2413.0)</f>
        <v>2413</v>
      </c>
      <c r="B2337" s="20" t="str">
        <f>IFERROR(__xludf.DUMMYFUNCTION("""COMPUTED_VALUE"""),"Smallest Number in Infinite Set")</f>
        <v>Smallest Number in Infinite Set</v>
      </c>
      <c r="C2337" s="20" t="str">
        <f>IFERROR(__xludf.DUMMYFUNCTION("""COMPUTED_VALUE"""),"smallest-number-in-infinite-set")</f>
        <v>smallest-number-in-infinite-set</v>
      </c>
      <c r="D2337" s="20" t="b">
        <f>IFERROR(__xludf.DUMMYFUNCTION("""COMPUTED_VALUE"""),FALSE)</f>
        <v>0</v>
      </c>
      <c r="E2337" s="20" t="str">
        <f>IFERROR(__xludf.DUMMYFUNCTION("""COMPUTED_VALUE"""),"Medium")</f>
        <v>Medium</v>
      </c>
      <c r="F2337" s="20">
        <f>IFERROR(__xludf.DUMMYFUNCTION("""COMPUTED_VALUE"""),308.0)</f>
        <v>308</v>
      </c>
      <c r="G2337" s="20">
        <f>IFERROR(__xludf.DUMMYFUNCTION("""COMPUTED_VALUE"""),26.0)</f>
        <v>26</v>
      </c>
      <c r="H2337" s="20" t="str">
        <f>IFERROR(__xludf.DUMMYFUNCTION("""COMPUTED_VALUE"""),"Algorithms")</f>
        <v>Algorithms</v>
      </c>
      <c r="I2337" s="20">
        <f>IFERROR(__xludf.DUMMYFUNCTION("""COMPUTED_VALUE"""),0.716)</f>
        <v>0.716</v>
      </c>
      <c r="J2337" s="20">
        <f>IFERROR(__xludf.DUMMYFUNCTION("""COMPUTED_VALUE"""),2336.0)</f>
        <v>2336</v>
      </c>
      <c r="K2337" s="20" t="b">
        <f>IFERROR(__xludf.DUMMYFUNCTION("""COMPUTED_VALUE"""),FALSE)</f>
        <v>0</v>
      </c>
      <c r="L2337" s="20" t="str">
        <f>IFERROR(__xludf.DUMMYFUNCTION("""COMPUTED_VALUE"""),"Hash Table;Design;Heap (Priority Queue);")</f>
        <v>Hash Table;Design;Heap (Priority Queue);</v>
      </c>
      <c r="M2337" s="20" t="b">
        <f>IFERROR(__xludf.DUMMYFUNCTION("""COMPUTED_VALUE"""),FALSE)</f>
        <v>0</v>
      </c>
      <c r="N2337" s="20" t="b">
        <f>IFERROR(__xludf.DUMMYFUNCTION("""COMPUTED_VALUE"""),FALSE)</f>
        <v>0</v>
      </c>
      <c r="O2337" s="20">
        <f>IFERROR(__xludf.DUMMYFUNCTION("""COMPUTED_VALUE"""),71.5877130094303)</f>
        <v>71.58771301</v>
      </c>
      <c r="P2337" s="20">
        <f>IFERROR(__xludf.DUMMYFUNCTION("""COMPUTED_VALUE"""),25962.0)</f>
        <v>25962</v>
      </c>
      <c r="Q2337" s="20">
        <f>IFERROR(__xludf.DUMMYFUNCTION("""COMPUTED_VALUE"""),36266.0)</f>
        <v>36266</v>
      </c>
    </row>
    <row r="2338">
      <c r="A2338" s="20">
        <f>IFERROR(__xludf.DUMMYFUNCTION("""COMPUTED_VALUE"""),2414.0)</f>
        <v>2414</v>
      </c>
      <c r="B2338" s="20" t="str">
        <f>IFERROR(__xludf.DUMMYFUNCTION("""COMPUTED_VALUE"""),"Move Pieces to Obtain a String")</f>
        <v>Move Pieces to Obtain a String</v>
      </c>
      <c r="C2338" s="20" t="str">
        <f>IFERROR(__xludf.DUMMYFUNCTION("""COMPUTED_VALUE"""),"move-pieces-to-obtain-a-string")</f>
        <v>move-pieces-to-obtain-a-string</v>
      </c>
      <c r="D2338" s="20" t="b">
        <f>IFERROR(__xludf.DUMMYFUNCTION("""COMPUTED_VALUE"""),FALSE)</f>
        <v>0</v>
      </c>
      <c r="E2338" s="20" t="str">
        <f>IFERROR(__xludf.DUMMYFUNCTION("""COMPUTED_VALUE"""),"Medium")</f>
        <v>Medium</v>
      </c>
      <c r="F2338" s="20">
        <f>IFERROR(__xludf.DUMMYFUNCTION("""COMPUTED_VALUE"""),496.0)</f>
        <v>496</v>
      </c>
      <c r="G2338" s="20">
        <f>IFERROR(__xludf.DUMMYFUNCTION("""COMPUTED_VALUE"""),36.0)</f>
        <v>36</v>
      </c>
      <c r="H2338" s="20" t="str">
        <f>IFERROR(__xludf.DUMMYFUNCTION("""COMPUTED_VALUE"""),"Algorithms")</f>
        <v>Algorithms</v>
      </c>
      <c r="I2338" s="20">
        <f>IFERROR(__xludf.DUMMYFUNCTION("""COMPUTED_VALUE"""),0.481)</f>
        <v>0.481</v>
      </c>
      <c r="J2338" s="20">
        <f>IFERROR(__xludf.DUMMYFUNCTION("""COMPUTED_VALUE"""),2337.0)</f>
        <v>2337</v>
      </c>
      <c r="K2338" s="20" t="b">
        <f>IFERROR(__xludf.DUMMYFUNCTION("""COMPUTED_VALUE"""),FALSE)</f>
        <v>0</v>
      </c>
      <c r="L2338" s="20" t="str">
        <f>IFERROR(__xludf.DUMMYFUNCTION("""COMPUTED_VALUE"""),"Two Pointers;String;")</f>
        <v>Two Pointers;String;</v>
      </c>
      <c r="M2338" s="20" t="b">
        <f>IFERROR(__xludf.DUMMYFUNCTION("""COMPUTED_VALUE"""),FALSE)</f>
        <v>0</v>
      </c>
      <c r="N2338" s="20" t="b">
        <f>IFERROR(__xludf.DUMMYFUNCTION("""COMPUTED_VALUE"""),FALSE)</f>
        <v>0</v>
      </c>
      <c r="O2338" s="20">
        <f>IFERROR(__xludf.DUMMYFUNCTION("""COMPUTED_VALUE"""),48.0979385206999)</f>
        <v>48.09793852</v>
      </c>
      <c r="P2338" s="20">
        <f>IFERROR(__xludf.DUMMYFUNCTION("""COMPUTED_VALUE"""),19761.0)</f>
        <v>19761</v>
      </c>
      <c r="Q2338" s="20">
        <f>IFERROR(__xludf.DUMMYFUNCTION("""COMPUTED_VALUE"""),41082.0)</f>
        <v>41082</v>
      </c>
    </row>
    <row r="2339">
      <c r="A2339" s="20">
        <f>IFERROR(__xludf.DUMMYFUNCTION("""COMPUTED_VALUE"""),2415.0)</f>
        <v>2415</v>
      </c>
      <c r="B2339" s="20" t="str">
        <f>IFERROR(__xludf.DUMMYFUNCTION("""COMPUTED_VALUE"""),"Count the Number of Ideal Arrays")</f>
        <v>Count the Number of Ideal Arrays</v>
      </c>
      <c r="C2339" s="20" t="str">
        <f>IFERROR(__xludf.DUMMYFUNCTION("""COMPUTED_VALUE"""),"count-the-number-of-ideal-arrays")</f>
        <v>count-the-number-of-ideal-arrays</v>
      </c>
      <c r="D2339" s="20" t="b">
        <f>IFERROR(__xludf.DUMMYFUNCTION("""COMPUTED_VALUE"""),FALSE)</f>
        <v>0</v>
      </c>
      <c r="E2339" s="20" t="str">
        <f>IFERROR(__xludf.DUMMYFUNCTION("""COMPUTED_VALUE"""),"Hard")</f>
        <v>Hard</v>
      </c>
      <c r="F2339" s="20">
        <f>IFERROR(__xludf.DUMMYFUNCTION("""COMPUTED_VALUE"""),358.0)</f>
        <v>358</v>
      </c>
      <c r="G2339" s="20">
        <f>IFERROR(__xludf.DUMMYFUNCTION("""COMPUTED_VALUE"""),23.0)</f>
        <v>23</v>
      </c>
      <c r="H2339" s="20" t="str">
        <f>IFERROR(__xludf.DUMMYFUNCTION("""COMPUTED_VALUE"""),"Algorithms")</f>
        <v>Algorithms</v>
      </c>
      <c r="I2339" s="20">
        <f>IFERROR(__xludf.DUMMYFUNCTION("""COMPUTED_VALUE"""),0.26)</f>
        <v>0.26</v>
      </c>
      <c r="J2339" s="20">
        <f>IFERROR(__xludf.DUMMYFUNCTION("""COMPUTED_VALUE"""),2338.0)</f>
        <v>2338</v>
      </c>
      <c r="K2339" s="20" t="b">
        <f>IFERROR(__xludf.DUMMYFUNCTION("""COMPUTED_VALUE"""),FALSE)</f>
        <v>0</v>
      </c>
      <c r="L2339" s="20" t="str">
        <f>IFERROR(__xludf.DUMMYFUNCTION("""COMPUTED_VALUE"""),"Math;Dynamic Programming;Combinatorics;Number Theory;")</f>
        <v>Math;Dynamic Programming;Combinatorics;Number Theory;</v>
      </c>
      <c r="M2339" s="20" t="b">
        <f>IFERROR(__xludf.DUMMYFUNCTION("""COMPUTED_VALUE"""),FALSE)</f>
        <v>0</v>
      </c>
      <c r="N2339" s="20" t="b">
        <f>IFERROR(__xludf.DUMMYFUNCTION("""COMPUTED_VALUE"""),FALSE)</f>
        <v>0</v>
      </c>
      <c r="O2339" s="20">
        <f>IFERROR(__xludf.DUMMYFUNCTION("""COMPUTED_VALUE"""),25.9557578941224)</f>
        <v>25.95575789</v>
      </c>
      <c r="P2339" s="20">
        <f>IFERROR(__xludf.DUMMYFUNCTION("""COMPUTED_VALUE"""),4447.0)</f>
        <v>4447</v>
      </c>
      <c r="Q2339" s="20">
        <f>IFERROR(__xludf.DUMMYFUNCTION("""COMPUTED_VALUE"""),17133.0)</f>
        <v>17133</v>
      </c>
    </row>
    <row r="2340">
      <c r="A2340" s="20">
        <f>IFERROR(__xludf.DUMMYFUNCTION("""COMPUTED_VALUE"""),2453.0)</f>
        <v>2453</v>
      </c>
      <c r="B2340" s="20" t="str">
        <f>IFERROR(__xludf.DUMMYFUNCTION("""COMPUTED_VALUE"""),"All the Matches of the League")</f>
        <v>All the Matches of the League</v>
      </c>
      <c r="C2340" s="20" t="str">
        <f>IFERROR(__xludf.DUMMYFUNCTION("""COMPUTED_VALUE"""),"all-the-matches-of-the-league")</f>
        <v>all-the-matches-of-the-league</v>
      </c>
      <c r="D2340" s="20" t="b">
        <f>IFERROR(__xludf.DUMMYFUNCTION("""COMPUTED_VALUE"""),TRUE)</f>
        <v>1</v>
      </c>
      <c r="E2340" s="20" t="str">
        <f>IFERROR(__xludf.DUMMYFUNCTION("""COMPUTED_VALUE"""),"Easy")</f>
        <v>Easy</v>
      </c>
      <c r="F2340" s="20">
        <f>IFERROR(__xludf.DUMMYFUNCTION("""COMPUTED_VALUE"""),22.0)</f>
        <v>22</v>
      </c>
      <c r="G2340" s="20">
        <f>IFERROR(__xludf.DUMMYFUNCTION("""COMPUTED_VALUE"""),3.0)</f>
        <v>3</v>
      </c>
      <c r="H2340" s="20" t="str">
        <f>IFERROR(__xludf.DUMMYFUNCTION("""COMPUTED_VALUE"""),"Database")</f>
        <v>Database</v>
      </c>
      <c r="I2340" s="20">
        <f>IFERROR(__xludf.DUMMYFUNCTION("""COMPUTED_VALUE"""),0.89)</f>
        <v>0.89</v>
      </c>
      <c r="J2340" s="20">
        <f>IFERROR(__xludf.DUMMYFUNCTION("""COMPUTED_VALUE"""),2339.0)</f>
        <v>2339</v>
      </c>
      <c r="K2340" s="20" t="b">
        <f>IFERROR(__xludf.DUMMYFUNCTION("""COMPUTED_VALUE"""),TRUE)</f>
        <v>1</v>
      </c>
      <c r="L2340" s="20" t="str">
        <f>IFERROR(__xludf.DUMMYFUNCTION("""COMPUTED_VALUE"""),"Database;")</f>
        <v>Database;</v>
      </c>
      <c r="M2340" s="20" t="b">
        <f>IFERROR(__xludf.DUMMYFUNCTION("""COMPUTED_VALUE"""),FALSE)</f>
        <v>0</v>
      </c>
      <c r="N2340" s="20" t="b">
        <f>IFERROR(__xludf.DUMMYFUNCTION("""COMPUTED_VALUE"""),FALSE)</f>
        <v>0</v>
      </c>
      <c r="O2340" s="20">
        <f>IFERROR(__xludf.DUMMYFUNCTION("""COMPUTED_VALUE"""),89.0383514596451)</f>
        <v>89.03835146</v>
      </c>
      <c r="P2340" s="20">
        <f>IFERROR(__xludf.DUMMYFUNCTION("""COMPUTED_VALUE"""),3111.0)</f>
        <v>3111</v>
      </c>
      <c r="Q2340" s="20">
        <f>IFERROR(__xludf.DUMMYFUNCTION("""COMPUTED_VALUE"""),3494.0)</f>
        <v>3494</v>
      </c>
    </row>
    <row r="2341">
      <c r="A2341" s="20">
        <f>IFERROR(__xludf.DUMMYFUNCTION("""COMPUTED_VALUE"""),2474.0)</f>
        <v>2474</v>
      </c>
      <c r="B2341" s="20" t="str">
        <f>IFERROR(__xludf.DUMMYFUNCTION("""COMPUTED_VALUE"""),"Minimum Adjacent Swaps to Make a Valid Array")</f>
        <v>Minimum Adjacent Swaps to Make a Valid Array</v>
      </c>
      <c r="C2341" s="20" t="str">
        <f>IFERROR(__xludf.DUMMYFUNCTION("""COMPUTED_VALUE"""),"minimum-adjacent-swaps-to-make-a-valid-array")</f>
        <v>minimum-adjacent-swaps-to-make-a-valid-array</v>
      </c>
      <c r="D2341" s="20" t="b">
        <f>IFERROR(__xludf.DUMMYFUNCTION("""COMPUTED_VALUE"""),TRUE)</f>
        <v>1</v>
      </c>
      <c r="E2341" s="20" t="str">
        <f>IFERROR(__xludf.DUMMYFUNCTION("""COMPUTED_VALUE"""),"Medium")</f>
        <v>Medium</v>
      </c>
      <c r="F2341" s="20">
        <f>IFERROR(__xludf.DUMMYFUNCTION("""COMPUTED_VALUE"""),63.0)</f>
        <v>63</v>
      </c>
      <c r="G2341" s="20">
        <f>IFERROR(__xludf.DUMMYFUNCTION("""COMPUTED_VALUE"""),11.0)</f>
        <v>11</v>
      </c>
      <c r="H2341" s="20" t="str">
        <f>IFERROR(__xludf.DUMMYFUNCTION("""COMPUTED_VALUE"""),"Algorithms")</f>
        <v>Algorithms</v>
      </c>
      <c r="I2341" s="20">
        <f>IFERROR(__xludf.DUMMYFUNCTION("""COMPUTED_VALUE"""),0.757)</f>
        <v>0.757</v>
      </c>
      <c r="J2341" s="20">
        <f>IFERROR(__xludf.DUMMYFUNCTION("""COMPUTED_VALUE"""),2340.0)</f>
        <v>2340</v>
      </c>
      <c r="K2341" s="20" t="b">
        <f>IFERROR(__xludf.DUMMYFUNCTION("""COMPUTED_VALUE"""),TRUE)</f>
        <v>1</v>
      </c>
      <c r="L2341" s="20" t="str">
        <f>IFERROR(__xludf.DUMMYFUNCTION("""COMPUTED_VALUE"""),"Array;Greedy;")</f>
        <v>Array;Greedy;</v>
      </c>
      <c r="M2341" s="20" t="b">
        <f>IFERROR(__xludf.DUMMYFUNCTION("""COMPUTED_VALUE"""),FALSE)</f>
        <v>0</v>
      </c>
      <c r="N2341" s="20" t="b">
        <f>IFERROR(__xludf.DUMMYFUNCTION("""COMPUTED_VALUE"""),FALSE)</f>
        <v>0</v>
      </c>
      <c r="O2341" s="20">
        <f>IFERROR(__xludf.DUMMYFUNCTION("""COMPUTED_VALUE"""),75.7192875627949)</f>
        <v>75.71928756</v>
      </c>
      <c r="P2341" s="20">
        <f>IFERROR(__xludf.DUMMYFUNCTION("""COMPUTED_VALUE"""),4974.0)</f>
        <v>4974</v>
      </c>
      <c r="Q2341" s="20">
        <f>IFERROR(__xludf.DUMMYFUNCTION("""COMPUTED_VALUE"""),6569.0)</f>
        <v>6569</v>
      </c>
    </row>
    <row r="2342">
      <c r="A2342" s="20">
        <f>IFERROR(__xludf.DUMMYFUNCTION("""COMPUTED_VALUE"""),2421.0)</f>
        <v>2421</v>
      </c>
      <c r="B2342" s="20" t="str">
        <f>IFERROR(__xludf.DUMMYFUNCTION("""COMPUTED_VALUE"""),"Maximum Number of Pairs in Array")</f>
        <v>Maximum Number of Pairs in Array</v>
      </c>
      <c r="C2342" s="20" t="str">
        <f>IFERROR(__xludf.DUMMYFUNCTION("""COMPUTED_VALUE"""),"maximum-number-of-pairs-in-array")</f>
        <v>maximum-number-of-pairs-in-array</v>
      </c>
      <c r="D2342" s="20" t="b">
        <f>IFERROR(__xludf.DUMMYFUNCTION("""COMPUTED_VALUE"""),FALSE)</f>
        <v>0</v>
      </c>
      <c r="E2342" s="20" t="str">
        <f>IFERROR(__xludf.DUMMYFUNCTION("""COMPUTED_VALUE"""),"Easy")</f>
        <v>Easy</v>
      </c>
      <c r="F2342" s="20">
        <f>IFERROR(__xludf.DUMMYFUNCTION("""COMPUTED_VALUE"""),404.0)</f>
        <v>404</v>
      </c>
      <c r="G2342" s="20">
        <f>IFERROR(__xludf.DUMMYFUNCTION("""COMPUTED_VALUE"""),12.0)</f>
        <v>12</v>
      </c>
      <c r="H2342" s="20" t="str">
        <f>IFERROR(__xludf.DUMMYFUNCTION("""COMPUTED_VALUE"""),"Algorithms")</f>
        <v>Algorithms</v>
      </c>
      <c r="I2342" s="20">
        <f>IFERROR(__xludf.DUMMYFUNCTION("""COMPUTED_VALUE"""),0.764)</f>
        <v>0.764</v>
      </c>
      <c r="J2342" s="20">
        <f>IFERROR(__xludf.DUMMYFUNCTION("""COMPUTED_VALUE"""),2341.0)</f>
        <v>2341</v>
      </c>
      <c r="K2342" s="20" t="b">
        <f>IFERROR(__xludf.DUMMYFUNCTION("""COMPUTED_VALUE"""),FALSE)</f>
        <v>0</v>
      </c>
      <c r="L2342" s="20" t="str">
        <f>IFERROR(__xludf.DUMMYFUNCTION("""COMPUTED_VALUE"""),"Array;Hash Table;Counting;")</f>
        <v>Array;Hash Table;Counting;</v>
      </c>
      <c r="M2342" s="20" t="b">
        <f>IFERROR(__xludf.DUMMYFUNCTION("""COMPUTED_VALUE"""),FALSE)</f>
        <v>0</v>
      </c>
      <c r="N2342" s="20" t="b">
        <f>IFERROR(__xludf.DUMMYFUNCTION("""COMPUTED_VALUE"""),FALSE)</f>
        <v>0</v>
      </c>
      <c r="O2342" s="20">
        <f>IFERROR(__xludf.DUMMYFUNCTION("""COMPUTED_VALUE"""),76.3877215421158)</f>
        <v>76.38772154</v>
      </c>
      <c r="P2342" s="20">
        <f>IFERROR(__xludf.DUMMYFUNCTION("""COMPUTED_VALUE"""),41807.0)</f>
        <v>41807</v>
      </c>
      <c r="Q2342" s="20">
        <f>IFERROR(__xludf.DUMMYFUNCTION("""COMPUTED_VALUE"""),54730.0)</f>
        <v>54730</v>
      </c>
    </row>
    <row r="2343">
      <c r="A2343" s="20">
        <f>IFERROR(__xludf.DUMMYFUNCTION("""COMPUTED_VALUE"""),2473.0)</f>
        <v>2473</v>
      </c>
      <c r="B2343" s="20" t="str">
        <f>IFERROR(__xludf.DUMMYFUNCTION("""COMPUTED_VALUE"""),"Max Sum of a Pair With Equal Sum of Digits")</f>
        <v>Max Sum of a Pair With Equal Sum of Digits</v>
      </c>
      <c r="C2343" s="20" t="str">
        <f>IFERROR(__xludf.DUMMYFUNCTION("""COMPUTED_VALUE"""),"max-sum-of-a-pair-with-equal-sum-of-digits")</f>
        <v>max-sum-of-a-pair-with-equal-sum-of-digits</v>
      </c>
      <c r="D2343" s="20" t="b">
        <f>IFERROR(__xludf.DUMMYFUNCTION("""COMPUTED_VALUE"""),FALSE)</f>
        <v>0</v>
      </c>
      <c r="E2343" s="20" t="str">
        <f>IFERROR(__xludf.DUMMYFUNCTION("""COMPUTED_VALUE"""),"Medium")</f>
        <v>Medium</v>
      </c>
      <c r="F2343" s="20">
        <f>IFERROR(__xludf.DUMMYFUNCTION("""COMPUTED_VALUE"""),446.0)</f>
        <v>446</v>
      </c>
      <c r="G2343" s="20">
        <f>IFERROR(__xludf.DUMMYFUNCTION("""COMPUTED_VALUE"""),8.0)</f>
        <v>8</v>
      </c>
      <c r="H2343" s="20" t="str">
        <f>IFERROR(__xludf.DUMMYFUNCTION("""COMPUTED_VALUE"""),"Algorithms")</f>
        <v>Algorithms</v>
      </c>
      <c r="I2343" s="20">
        <f>IFERROR(__xludf.DUMMYFUNCTION("""COMPUTED_VALUE"""),0.533)</f>
        <v>0.533</v>
      </c>
      <c r="J2343" s="20">
        <f>IFERROR(__xludf.DUMMYFUNCTION("""COMPUTED_VALUE"""),2342.0)</f>
        <v>2342</v>
      </c>
      <c r="K2343" s="20" t="b">
        <f>IFERROR(__xludf.DUMMYFUNCTION("""COMPUTED_VALUE"""),FALSE)</f>
        <v>0</v>
      </c>
      <c r="L2343" s="20" t="str">
        <f>IFERROR(__xludf.DUMMYFUNCTION("""COMPUTED_VALUE"""),"Array;Hash Table;Sorting;Heap (Priority Queue);")</f>
        <v>Array;Hash Table;Sorting;Heap (Priority Queue);</v>
      </c>
      <c r="M2343" s="20" t="b">
        <f>IFERROR(__xludf.DUMMYFUNCTION("""COMPUTED_VALUE"""),FALSE)</f>
        <v>0</v>
      </c>
      <c r="N2343" s="20" t="b">
        <f>IFERROR(__xludf.DUMMYFUNCTION("""COMPUTED_VALUE"""),FALSE)</f>
        <v>0</v>
      </c>
      <c r="O2343" s="20">
        <f>IFERROR(__xludf.DUMMYFUNCTION("""COMPUTED_VALUE"""),53.2863249424573)</f>
        <v>53.28632494</v>
      </c>
      <c r="P2343" s="20">
        <f>IFERROR(__xludf.DUMMYFUNCTION("""COMPUTED_VALUE"""),29170.0)</f>
        <v>29170</v>
      </c>
      <c r="Q2343" s="20">
        <f>IFERROR(__xludf.DUMMYFUNCTION("""COMPUTED_VALUE"""),54742.0)</f>
        <v>54742</v>
      </c>
    </row>
    <row r="2344">
      <c r="A2344" s="20">
        <f>IFERROR(__xludf.DUMMYFUNCTION("""COMPUTED_VALUE"""),2422.0)</f>
        <v>2422</v>
      </c>
      <c r="B2344" s="20" t="str">
        <f>IFERROR(__xludf.DUMMYFUNCTION("""COMPUTED_VALUE"""),"Query Kth Smallest Trimmed Number")</f>
        <v>Query Kth Smallest Trimmed Number</v>
      </c>
      <c r="C2344" s="20" t="str">
        <f>IFERROR(__xludf.DUMMYFUNCTION("""COMPUTED_VALUE"""),"query-kth-smallest-trimmed-number")</f>
        <v>query-kth-smallest-trimmed-number</v>
      </c>
      <c r="D2344" s="20" t="b">
        <f>IFERROR(__xludf.DUMMYFUNCTION("""COMPUTED_VALUE"""),FALSE)</f>
        <v>0</v>
      </c>
      <c r="E2344" s="20" t="str">
        <f>IFERROR(__xludf.DUMMYFUNCTION("""COMPUTED_VALUE"""),"Medium")</f>
        <v>Medium</v>
      </c>
      <c r="F2344" s="20">
        <f>IFERROR(__xludf.DUMMYFUNCTION("""COMPUTED_VALUE"""),190.0)</f>
        <v>190</v>
      </c>
      <c r="G2344" s="20">
        <f>IFERROR(__xludf.DUMMYFUNCTION("""COMPUTED_VALUE"""),350.0)</f>
        <v>350</v>
      </c>
      <c r="H2344" s="20" t="str">
        <f>IFERROR(__xludf.DUMMYFUNCTION("""COMPUTED_VALUE"""),"Algorithms")</f>
        <v>Algorithms</v>
      </c>
      <c r="I2344" s="20">
        <f>IFERROR(__xludf.DUMMYFUNCTION("""COMPUTED_VALUE"""),0.41)</f>
        <v>0.41</v>
      </c>
      <c r="J2344" s="20">
        <f>IFERROR(__xludf.DUMMYFUNCTION("""COMPUTED_VALUE"""),2343.0)</f>
        <v>2343</v>
      </c>
      <c r="K2344" s="20" t="b">
        <f>IFERROR(__xludf.DUMMYFUNCTION("""COMPUTED_VALUE"""),FALSE)</f>
        <v>0</v>
      </c>
      <c r="L2344" s="20" t="str">
        <f>IFERROR(__xludf.DUMMYFUNCTION("""COMPUTED_VALUE"""),"Array;String;Divide and Conquer;Sorting;Heap (Priority Queue);Radix Sort;Quickselect;")</f>
        <v>Array;String;Divide and Conquer;Sorting;Heap (Priority Queue);Radix Sort;Quickselect;</v>
      </c>
      <c r="M2344" s="20" t="b">
        <f>IFERROR(__xludf.DUMMYFUNCTION("""COMPUTED_VALUE"""),FALSE)</f>
        <v>0</v>
      </c>
      <c r="N2344" s="20" t="b">
        <f>IFERROR(__xludf.DUMMYFUNCTION("""COMPUTED_VALUE"""),FALSE)</f>
        <v>0</v>
      </c>
      <c r="O2344" s="20">
        <f>IFERROR(__xludf.DUMMYFUNCTION("""COMPUTED_VALUE"""),40.9904874396237)</f>
        <v>40.99048744</v>
      </c>
      <c r="P2344" s="20">
        <f>IFERROR(__xludf.DUMMYFUNCTION("""COMPUTED_VALUE"""),19434.0)</f>
        <v>19434</v>
      </c>
      <c r="Q2344" s="20">
        <f>IFERROR(__xludf.DUMMYFUNCTION("""COMPUTED_VALUE"""),47411.0)</f>
        <v>47411</v>
      </c>
    </row>
    <row r="2345">
      <c r="A2345" s="20">
        <f>IFERROR(__xludf.DUMMYFUNCTION("""COMPUTED_VALUE"""),2423.0)</f>
        <v>2423</v>
      </c>
      <c r="B2345" s="20" t="str">
        <f>IFERROR(__xludf.DUMMYFUNCTION("""COMPUTED_VALUE"""),"Minimum Deletions to Make Array Divisible")</f>
        <v>Minimum Deletions to Make Array Divisible</v>
      </c>
      <c r="C2345" s="20" t="str">
        <f>IFERROR(__xludf.DUMMYFUNCTION("""COMPUTED_VALUE"""),"minimum-deletions-to-make-array-divisible")</f>
        <v>minimum-deletions-to-make-array-divisible</v>
      </c>
      <c r="D2345" s="20" t="b">
        <f>IFERROR(__xludf.DUMMYFUNCTION("""COMPUTED_VALUE"""),FALSE)</f>
        <v>0</v>
      </c>
      <c r="E2345" s="20" t="str">
        <f>IFERROR(__xludf.DUMMYFUNCTION("""COMPUTED_VALUE"""),"Hard")</f>
        <v>Hard</v>
      </c>
      <c r="F2345" s="20">
        <f>IFERROR(__xludf.DUMMYFUNCTION("""COMPUTED_VALUE"""),393.0)</f>
        <v>393</v>
      </c>
      <c r="G2345" s="20">
        <f>IFERROR(__xludf.DUMMYFUNCTION("""COMPUTED_VALUE"""),106.0)</f>
        <v>106</v>
      </c>
      <c r="H2345" s="20" t="str">
        <f>IFERROR(__xludf.DUMMYFUNCTION("""COMPUTED_VALUE"""),"Algorithms")</f>
        <v>Algorithms</v>
      </c>
      <c r="I2345" s="20">
        <f>IFERROR(__xludf.DUMMYFUNCTION("""COMPUTED_VALUE"""),0.568)</f>
        <v>0.568</v>
      </c>
      <c r="J2345" s="20">
        <f>IFERROR(__xludf.DUMMYFUNCTION("""COMPUTED_VALUE"""),2344.0)</f>
        <v>2344</v>
      </c>
      <c r="K2345" s="20" t="b">
        <f>IFERROR(__xludf.DUMMYFUNCTION("""COMPUTED_VALUE"""),FALSE)</f>
        <v>0</v>
      </c>
      <c r="L2345" s="20" t="str">
        <f>IFERROR(__xludf.DUMMYFUNCTION("""COMPUTED_VALUE"""),"Array;Math;Sorting;Heap (Priority Queue);Number Theory;")</f>
        <v>Array;Math;Sorting;Heap (Priority Queue);Number Theory;</v>
      </c>
      <c r="M2345" s="20" t="b">
        <f>IFERROR(__xludf.DUMMYFUNCTION("""COMPUTED_VALUE"""),FALSE)</f>
        <v>0</v>
      </c>
      <c r="N2345" s="20" t="b">
        <f>IFERROR(__xludf.DUMMYFUNCTION("""COMPUTED_VALUE"""),FALSE)</f>
        <v>0</v>
      </c>
      <c r="O2345" s="20">
        <f>IFERROR(__xludf.DUMMYFUNCTION("""COMPUTED_VALUE"""),56.800943421511)</f>
        <v>56.80094342</v>
      </c>
      <c r="P2345" s="20">
        <f>IFERROR(__xludf.DUMMYFUNCTION("""COMPUTED_VALUE"""),21193.0)</f>
        <v>21193</v>
      </c>
      <c r="Q2345" s="20">
        <f>IFERROR(__xludf.DUMMYFUNCTION("""COMPUTED_VALUE"""),37311.0)</f>
        <v>37311</v>
      </c>
    </row>
    <row r="2346">
      <c r="A2346" s="20">
        <f>IFERROR(__xludf.DUMMYFUNCTION("""COMPUTED_VALUE"""),2485.0)</f>
        <v>2485</v>
      </c>
      <c r="B2346" s="20" t="str">
        <f>IFERROR(__xludf.DUMMYFUNCTION("""COMPUTED_VALUE"""),"Finding the Number of Visible Mountains")</f>
        <v>Finding the Number of Visible Mountains</v>
      </c>
      <c r="C2346" s="20" t="str">
        <f>IFERROR(__xludf.DUMMYFUNCTION("""COMPUTED_VALUE"""),"finding-the-number-of-visible-mountains")</f>
        <v>finding-the-number-of-visible-mountains</v>
      </c>
      <c r="D2346" s="20" t="b">
        <f>IFERROR(__xludf.DUMMYFUNCTION("""COMPUTED_VALUE"""),TRUE)</f>
        <v>1</v>
      </c>
      <c r="E2346" s="20" t="str">
        <f>IFERROR(__xludf.DUMMYFUNCTION("""COMPUTED_VALUE"""),"Medium")</f>
        <v>Medium</v>
      </c>
      <c r="F2346" s="20">
        <f>IFERROR(__xludf.DUMMYFUNCTION("""COMPUTED_VALUE"""),59.0)</f>
        <v>59</v>
      </c>
      <c r="G2346" s="20">
        <f>IFERROR(__xludf.DUMMYFUNCTION("""COMPUTED_VALUE"""),21.0)</f>
        <v>21</v>
      </c>
      <c r="H2346" s="20" t="str">
        <f>IFERROR(__xludf.DUMMYFUNCTION("""COMPUTED_VALUE"""),"Algorithms")</f>
        <v>Algorithms</v>
      </c>
      <c r="I2346" s="20">
        <f>IFERROR(__xludf.DUMMYFUNCTION("""COMPUTED_VALUE"""),0.435)</f>
        <v>0.435</v>
      </c>
      <c r="J2346" s="20">
        <f>IFERROR(__xludf.DUMMYFUNCTION("""COMPUTED_VALUE"""),2345.0)</f>
        <v>2345</v>
      </c>
      <c r="K2346" s="20" t="b">
        <f>IFERROR(__xludf.DUMMYFUNCTION("""COMPUTED_VALUE"""),TRUE)</f>
        <v>1</v>
      </c>
      <c r="L2346" s="20" t="str">
        <f>IFERROR(__xludf.DUMMYFUNCTION("""COMPUTED_VALUE"""),"Array;Stack;Sorting;Monotonic Stack;")</f>
        <v>Array;Stack;Sorting;Monotonic Stack;</v>
      </c>
      <c r="M2346" s="20" t="b">
        <f>IFERROR(__xludf.DUMMYFUNCTION("""COMPUTED_VALUE"""),FALSE)</f>
        <v>0</v>
      </c>
      <c r="N2346" s="20" t="b">
        <f>IFERROR(__xludf.DUMMYFUNCTION("""COMPUTED_VALUE"""),FALSE)</f>
        <v>0</v>
      </c>
      <c r="O2346" s="20">
        <f>IFERROR(__xludf.DUMMYFUNCTION("""COMPUTED_VALUE"""),43.4935956933358)</f>
        <v>43.49359569</v>
      </c>
      <c r="P2346" s="20">
        <f>IFERROR(__xludf.DUMMYFUNCTION("""COMPUTED_VALUE"""),2342.0)</f>
        <v>2342</v>
      </c>
      <c r="Q2346" s="20">
        <f>IFERROR(__xludf.DUMMYFUNCTION("""COMPUTED_VALUE"""),5386.0)</f>
        <v>5386</v>
      </c>
    </row>
    <row r="2347">
      <c r="A2347" s="20">
        <f>IFERROR(__xludf.DUMMYFUNCTION("""COMPUTED_VALUE"""),2484.0)</f>
        <v>2484</v>
      </c>
      <c r="B2347" s="20" t="str">
        <f>IFERROR(__xludf.DUMMYFUNCTION("""COMPUTED_VALUE"""),"Compute the Rank as a Percentage")</f>
        <v>Compute the Rank as a Percentage</v>
      </c>
      <c r="C2347" s="20" t="str">
        <f>IFERROR(__xludf.DUMMYFUNCTION("""COMPUTED_VALUE"""),"compute-the-rank-as-a-percentage")</f>
        <v>compute-the-rank-as-a-percentage</v>
      </c>
      <c r="D2347" s="20" t="b">
        <f>IFERROR(__xludf.DUMMYFUNCTION("""COMPUTED_VALUE"""),TRUE)</f>
        <v>1</v>
      </c>
      <c r="E2347" s="20" t="str">
        <f>IFERROR(__xludf.DUMMYFUNCTION("""COMPUTED_VALUE"""),"Medium")</f>
        <v>Medium</v>
      </c>
      <c r="F2347" s="20">
        <f>IFERROR(__xludf.DUMMYFUNCTION("""COMPUTED_VALUE"""),15.0)</f>
        <v>15</v>
      </c>
      <c r="G2347" s="20">
        <f>IFERROR(__xludf.DUMMYFUNCTION("""COMPUTED_VALUE"""),41.0)</f>
        <v>41</v>
      </c>
      <c r="H2347" s="20" t="str">
        <f>IFERROR(__xludf.DUMMYFUNCTION("""COMPUTED_VALUE"""),"Database")</f>
        <v>Database</v>
      </c>
      <c r="I2347" s="20">
        <f>IFERROR(__xludf.DUMMYFUNCTION("""COMPUTED_VALUE"""),0.335)</f>
        <v>0.335</v>
      </c>
      <c r="J2347" s="20">
        <f>IFERROR(__xludf.DUMMYFUNCTION("""COMPUTED_VALUE"""),2346.0)</f>
        <v>2346</v>
      </c>
      <c r="K2347" s="20" t="b">
        <f>IFERROR(__xludf.DUMMYFUNCTION("""COMPUTED_VALUE"""),TRUE)</f>
        <v>1</v>
      </c>
      <c r="L2347" s="20" t="str">
        <f>IFERROR(__xludf.DUMMYFUNCTION("""COMPUTED_VALUE"""),"Database;")</f>
        <v>Database;</v>
      </c>
      <c r="M2347" s="20" t="b">
        <f>IFERROR(__xludf.DUMMYFUNCTION("""COMPUTED_VALUE"""),FALSE)</f>
        <v>0</v>
      </c>
      <c r="N2347" s="20" t="b">
        <f>IFERROR(__xludf.DUMMYFUNCTION("""COMPUTED_VALUE"""),FALSE)</f>
        <v>0</v>
      </c>
      <c r="O2347" s="20">
        <f>IFERROR(__xludf.DUMMYFUNCTION("""COMPUTED_VALUE"""),33.491124260355)</f>
        <v>33.49112426</v>
      </c>
      <c r="P2347" s="20">
        <f>IFERROR(__xludf.DUMMYFUNCTION("""COMPUTED_VALUE"""),1698.0)</f>
        <v>1698</v>
      </c>
      <c r="Q2347" s="20">
        <f>IFERROR(__xludf.DUMMYFUNCTION("""COMPUTED_VALUE"""),5070.0)</f>
        <v>5070</v>
      </c>
    </row>
    <row r="2348">
      <c r="A2348" s="20">
        <f>IFERROR(__xludf.DUMMYFUNCTION("""COMPUTED_VALUE"""),2433.0)</f>
        <v>2433</v>
      </c>
      <c r="B2348" s="20" t="str">
        <f>IFERROR(__xludf.DUMMYFUNCTION("""COMPUTED_VALUE"""),"Best Poker Hand")</f>
        <v>Best Poker Hand</v>
      </c>
      <c r="C2348" s="20" t="str">
        <f>IFERROR(__xludf.DUMMYFUNCTION("""COMPUTED_VALUE"""),"best-poker-hand")</f>
        <v>best-poker-hand</v>
      </c>
      <c r="D2348" s="20" t="b">
        <f>IFERROR(__xludf.DUMMYFUNCTION("""COMPUTED_VALUE"""),FALSE)</f>
        <v>0</v>
      </c>
      <c r="E2348" s="20" t="str">
        <f>IFERROR(__xludf.DUMMYFUNCTION("""COMPUTED_VALUE"""),"Easy")</f>
        <v>Easy</v>
      </c>
      <c r="F2348" s="20">
        <f>IFERROR(__xludf.DUMMYFUNCTION("""COMPUTED_VALUE"""),237.0)</f>
        <v>237</v>
      </c>
      <c r="G2348" s="20">
        <f>IFERROR(__xludf.DUMMYFUNCTION("""COMPUTED_VALUE"""),14.0)</f>
        <v>14</v>
      </c>
      <c r="H2348" s="20" t="str">
        <f>IFERROR(__xludf.DUMMYFUNCTION("""COMPUTED_VALUE"""),"Algorithms")</f>
        <v>Algorithms</v>
      </c>
      <c r="I2348" s="20">
        <f>IFERROR(__xludf.DUMMYFUNCTION("""COMPUTED_VALUE"""),0.606)</f>
        <v>0.606</v>
      </c>
      <c r="J2348" s="20">
        <f>IFERROR(__xludf.DUMMYFUNCTION("""COMPUTED_VALUE"""),2347.0)</f>
        <v>2347</v>
      </c>
      <c r="K2348" s="20" t="b">
        <f>IFERROR(__xludf.DUMMYFUNCTION("""COMPUTED_VALUE"""),FALSE)</f>
        <v>0</v>
      </c>
      <c r="L2348" s="20" t="str">
        <f>IFERROR(__xludf.DUMMYFUNCTION("""COMPUTED_VALUE"""),"Array;Hash Table;Counting;")</f>
        <v>Array;Hash Table;Counting;</v>
      </c>
      <c r="M2348" s="20" t="b">
        <f>IFERROR(__xludf.DUMMYFUNCTION("""COMPUTED_VALUE"""),FALSE)</f>
        <v>0</v>
      </c>
      <c r="N2348" s="20" t="b">
        <f>IFERROR(__xludf.DUMMYFUNCTION("""COMPUTED_VALUE"""),FALSE)</f>
        <v>0</v>
      </c>
      <c r="O2348" s="20">
        <f>IFERROR(__xludf.DUMMYFUNCTION("""COMPUTED_VALUE"""),60.6028897744729)</f>
        <v>60.60288977</v>
      </c>
      <c r="P2348" s="20">
        <f>IFERROR(__xludf.DUMMYFUNCTION("""COMPUTED_VALUE"""),27221.0)</f>
        <v>27221</v>
      </c>
      <c r="Q2348" s="20">
        <f>IFERROR(__xludf.DUMMYFUNCTION("""COMPUTED_VALUE"""),44917.0)</f>
        <v>44917</v>
      </c>
    </row>
    <row r="2349">
      <c r="A2349" s="20">
        <f>IFERROR(__xludf.DUMMYFUNCTION("""COMPUTED_VALUE"""),2432.0)</f>
        <v>2432</v>
      </c>
      <c r="B2349" s="20" t="str">
        <f>IFERROR(__xludf.DUMMYFUNCTION("""COMPUTED_VALUE"""),"Number of Zero-Filled Subarrays")</f>
        <v>Number of Zero-Filled Subarrays</v>
      </c>
      <c r="C2349" s="20" t="str">
        <f>IFERROR(__xludf.DUMMYFUNCTION("""COMPUTED_VALUE"""),"number-of-zero-filled-subarrays")</f>
        <v>number-of-zero-filled-subarrays</v>
      </c>
      <c r="D2349" s="20" t="b">
        <f>IFERROR(__xludf.DUMMYFUNCTION("""COMPUTED_VALUE"""),FALSE)</f>
        <v>0</v>
      </c>
      <c r="E2349" s="20" t="str">
        <f>IFERROR(__xludf.DUMMYFUNCTION("""COMPUTED_VALUE"""),"Medium")</f>
        <v>Medium</v>
      </c>
      <c r="F2349" s="20">
        <f>IFERROR(__xludf.DUMMYFUNCTION("""COMPUTED_VALUE"""),363.0)</f>
        <v>363</v>
      </c>
      <c r="G2349" s="20">
        <f>IFERROR(__xludf.DUMMYFUNCTION("""COMPUTED_VALUE"""),12.0)</f>
        <v>12</v>
      </c>
      <c r="H2349" s="20" t="str">
        <f>IFERROR(__xludf.DUMMYFUNCTION("""COMPUTED_VALUE"""),"Algorithms")</f>
        <v>Algorithms</v>
      </c>
      <c r="I2349" s="20">
        <f>IFERROR(__xludf.DUMMYFUNCTION("""COMPUTED_VALUE"""),0.574)</f>
        <v>0.574</v>
      </c>
      <c r="J2349" s="20">
        <f>IFERROR(__xludf.DUMMYFUNCTION("""COMPUTED_VALUE"""),2348.0)</f>
        <v>2348</v>
      </c>
      <c r="K2349" s="20" t="b">
        <f>IFERROR(__xludf.DUMMYFUNCTION("""COMPUTED_VALUE"""),FALSE)</f>
        <v>0</v>
      </c>
      <c r="L2349" s="20" t="str">
        <f>IFERROR(__xludf.DUMMYFUNCTION("""COMPUTED_VALUE"""),"Array;Math;")</f>
        <v>Array;Math;</v>
      </c>
      <c r="M2349" s="20" t="b">
        <f>IFERROR(__xludf.DUMMYFUNCTION("""COMPUTED_VALUE"""),TRUE)</f>
        <v>1</v>
      </c>
      <c r="N2349" s="20" t="b">
        <f>IFERROR(__xludf.DUMMYFUNCTION("""COMPUTED_VALUE"""),FALSE)</f>
        <v>0</v>
      </c>
      <c r="O2349" s="20">
        <f>IFERROR(__xludf.DUMMYFUNCTION("""COMPUTED_VALUE"""),57.3555713577693)</f>
        <v>57.35557136</v>
      </c>
      <c r="P2349" s="20">
        <f>IFERROR(__xludf.DUMMYFUNCTION("""COMPUTED_VALUE"""),26617.0)</f>
        <v>26617</v>
      </c>
      <c r="Q2349" s="20">
        <f>IFERROR(__xludf.DUMMYFUNCTION("""COMPUTED_VALUE"""),46407.0)</f>
        <v>46407</v>
      </c>
    </row>
    <row r="2350">
      <c r="A2350" s="20">
        <f>IFERROR(__xludf.DUMMYFUNCTION("""COMPUTED_VALUE"""),2434.0)</f>
        <v>2434</v>
      </c>
      <c r="B2350" s="20" t="str">
        <f>IFERROR(__xludf.DUMMYFUNCTION("""COMPUTED_VALUE"""),"Design a Number Container System")</f>
        <v>Design a Number Container System</v>
      </c>
      <c r="C2350" s="20" t="str">
        <f>IFERROR(__xludf.DUMMYFUNCTION("""COMPUTED_VALUE"""),"design-a-number-container-system")</f>
        <v>design-a-number-container-system</v>
      </c>
      <c r="D2350" s="20" t="b">
        <f>IFERROR(__xludf.DUMMYFUNCTION("""COMPUTED_VALUE"""),FALSE)</f>
        <v>0</v>
      </c>
      <c r="E2350" s="20" t="str">
        <f>IFERROR(__xludf.DUMMYFUNCTION("""COMPUTED_VALUE"""),"Medium")</f>
        <v>Medium</v>
      </c>
      <c r="F2350" s="20">
        <f>IFERROR(__xludf.DUMMYFUNCTION("""COMPUTED_VALUE"""),278.0)</f>
        <v>278</v>
      </c>
      <c r="G2350" s="20">
        <f>IFERROR(__xludf.DUMMYFUNCTION("""COMPUTED_VALUE"""),17.0)</f>
        <v>17</v>
      </c>
      <c r="H2350" s="20" t="str">
        <f>IFERROR(__xludf.DUMMYFUNCTION("""COMPUTED_VALUE"""),"Algorithms")</f>
        <v>Algorithms</v>
      </c>
      <c r="I2350" s="20">
        <f>IFERROR(__xludf.DUMMYFUNCTION("""COMPUTED_VALUE"""),0.464)</f>
        <v>0.464</v>
      </c>
      <c r="J2350" s="20">
        <f>IFERROR(__xludf.DUMMYFUNCTION("""COMPUTED_VALUE"""),2349.0)</f>
        <v>2349</v>
      </c>
      <c r="K2350" s="20" t="b">
        <f>IFERROR(__xludf.DUMMYFUNCTION("""COMPUTED_VALUE"""),FALSE)</f>
        <v>0</v>
      </c>
      <c r="L2350" s="20" t="str">
        <f>IFERROR(__xludf.DUMMYFUNCTION("""COMPUTED_VALUE"""),"Hash Table;Design;Heap (Priority Queue);Ordered Set;")</f>
        <v>Hash Table;Design;Heap (Priority Queue);Ordered Set;</v>
      </c>
      <c r="M2350" s="20" t="b">
        <f>IFERROR(__xludf.DUMMYFUNCTION("""COMPUTED_VALUE"""),FALSE)</f>
        <v>0</v>
      </c>
      <c r="N2350" s="20" t="b">
        <f>IFERROR(__xludf.DUMMYFUNCTION("""COMPUTED_VALUE"""),FALSE)</f>
        <v>0</v>
      </c>
      <c r="O2350" s="20">
        <f>IFERROR(__xludf.DUMMYFUNCTION("""COMPUTED_VALUE"""),46.3714897101947)</f>
        <v>46.37148971</v>
      </c>
      <c r="P2350" s="20">
        <f>IFERROR(__xludf.DUMMYFUNCTION("""COMPUTED_VALUE"""),17553.0)</f>
        <v>17553</v>
      </c>
      <c r="Q2350" s="20">
        <f>IFERROR(__xludf.DUMMYFUNCTION("""COMPUTED_VALUE"""),37853.0)</f>
        <v>37853</v>
      </c>
    </row>
    <row r="2351">
      <c r="A2351" s="20">
        <f>IFERROR(__xludf.DUMMYFUNCTION("""COMPUTED_VALUE"""),2435.0)</f>
        <v>2435</v>
      </c>
      <c r="B2351" s="20" t="str">
        <f>IFERROR(__xludf.DUMMYFUNCTION("""COMPUTED_VALUE"""),"Shortest Impossible Sequence of Rolls")</f>
        <v>Shortest Impossible Sequence of Rolls</v>
      </c>
      <c r="C2351" s="20" t="str">
        <f>IFERROR(__xludf.DUMMYFUNCTION("""COMPUTED_VALUE"""),"shortest-impossible-sequence-of-rolls")</f>
        <v>shortest-impossible-sequence-of-rolls</v>
      </c>
      <c r="D2351" s="20" t="b">
        <f>IFERROR(__xludf.DUMMYFUNCTION("""COMPUTED_VALUE"""),FALSE)</f>
        <v>0</v>
      </c>
      <c r="E2351" s="20" t="str">
        <f>IFERROR(__xludf.DUMMYFUNCTION("""COMPUTED_VALUE"""),"Hard")</f>
        <v>Hard</v>
      </c>
      <c r="F2351" s="20">
        <f>IFERROR(__xludf.DUMMYFUNCTION("""COMPUTED_VALUE"""),482.0)</f>
        <v>482</v>
      </c>
      <c r="G2351" s="20">
        <f>IFERROR(__xludf.DUMMYFUNCTION("""COMPUTED_VALUE"""),37.0)</f>
        <v>37</v>
      </c>
      <c r="H2351" s="20" t="str">
        <f>IFERROR(__xludf.DUMMYFUNCTION("""COMPUTED_VALUE"""),"Algorithms")</f>
        <v>Algorithms</v>
      </c>
      <c r="I2351" s="20">
        <f>IFERROR(__xludf.DUMMYFUNCTION("""COMPUTED_VALUE"""),0.685)</f>
        <v>0.685</v>
      </c>
      <c r="J2351" s="20">
        <f>IFERROR(__xludf.DUMMYFUNCTION("""COMPUTED_VALUE"""),2350.0)</f>
        <v>2350</v>
      </c>
      <c r="K2351" s="20" t="b">
        <f>IFERROR(__xludf.DUMMYFUNCTION("""COMPUTED_VALUE"""),FALSE)</f>
        <v>0</v>
      </c>
      <c r="L2351" s="20" t="str">
        <f>IFERROR(__xludf.DUMMYFUNCTION("""COMPUTED_VALUE"""),"Array;Hash Table;Greedy;")</f>
        <v>Array;Hash Table;Greedy;</v>
      </c>
      <c r="M2351" s="20" t="b">
        <f>IFERROR(__xludf.DUMMYFUNCTION("""COMPUTED_VALUE"""),FALSE)</f>
        <v>0</v>
      </c>
      <c r="N2351" s="20" t="b">
        <f>IFERROR(__xludf.DUMMYFUNCTION("""COMPUTED_VALUE"""),FALSE)</f>
        <v>0</v>
      </c>
      <c r="O2351" s="20">
        <f>IFERROR(__xludf.DUMMYFUNCTION("""COMPUTED_VALUE"""),68.4698128458621)</f>
        <v>68.46981285</v>
      </c>
      <c r="P2351" s="20">
        <f>IFERROR(__xludf.DUMMYFUNCTION("""COMPUTED_VALUE"""),11012.0)</f>
        <v>11012</v>
      </c>
      <c r="Q2351" s="20">
        <f>IFERROR(__xludf.DUMMYFUNCTION("""COMPUTED_VALUE"""),16083.0)</f>
        <v>16083</v>
      </c>
    </row>
    <row r="2352">
      <c r="A2352" s="20">
        <f>IFERROR(__xludf.DUMMYFUNCTION("""COMPUTED_VALUE"""),2427.0)</f>
        <v>2427</v>
      </c>
      <c r="B2352" s="20" t="str">
        <f>IFERROR(__xludf.DUMMYFUNCTION("""COMPUTED_VALUE"""),"First Letter to Appear Twice")</f>
        <v>First Letter to Appear Twice</v>
      </c>
      <c r="C2352" s="20" t="str">
        <f>IFERROR(__xludf.DUMMYFUNCTION("""COMPUTED_VALUE"""),"first-letter-to-appear-twice")</f>
        <v>first-letter-to-appear-twice</v>
      </c>
      <c r="D2352" s="20" t="b">
        <f>IFERROR(__xludf.DUMMYFUNCTION("""COMPUTED_VALUE"""),FALSE)</f>
        <v>0</v>
      </c>
      <c r="E2352" s="20" t="str">
        <f>IFERROR(__xludf.DUMMYFUNCTION("""COMPUTED_VALUE"""),"Easy")</f>
        <v>Easy</v>
      </c>
      <c r="F2352" s="20">
        <f>IFERROR(__xludf.DUMMYFUNCTION("""COMPUTED_VALUE"""),591.0)</f>
        <v>591</v>
      </c>
      <c r="G2352" s="20">
        <f>IFERROR(__xludf.DUMMYFUNCTION("""COMPUTED_VALUE"""),32.0)</f>
        <v>32</v>
      </c>
      <c r="H2352" s="20" t="str">
        <f>IFERROR(__xludf.DUMMYFUNCTION("""COMPUTED_VALUE"""),"Algorithms")</f>
        <v>Algorithms</v>
      </c>
      <c r="I2352" s="20">
        <f>IFERROR(__xludf.DUMMYFUNCTION("""COMPUTED_VALUE"""),0.758)</f>
        <v>0.758</v>
      </c>
      <c r="J2352" s="20">
        <f>IFERROR(__xludf.DUMMYFUNCTION("""COMPUTED_VALUE"""),2351.0)</f>
        <v>2351</v>
      </c>
      <c r="K2352" s="20" t="b">
        <f>IFERROR(__xludf.DUMMYFUNCTION("""COMPUTED_VALUE"""),FALSE)</f>
        <v>0</v>
      </c>
      <c r="L2352" s="20" t="str">
        <f>IFERROR(__xludf.DUMMYFUNCTION("""COMPUTED_VALUE"""),"Hash Table;String;Counting;")</f>
        <v>Hash Table;String;Counting;</v>
      </c>
      <c r="M2352" s="20" t="b">
        <f>IFERROR(__xludf.DUMMYFUNCTION("""COMPUTED_VALUE"""),FALSE)</f>
        <v>0</v>
      </c>
      <c r="N2352" s="20" t="b">
        <f>IFERROR(__xludf.DUMMYFUNCTION("""COMPUTED_VALUE"""),FALSE)</f>
        <v>0</v>
      </c>
      <c r="O2352" s="20">
        <f>IFERROR(__xludf.DUMMYFUNCTION("""COMPUTED_VALUE"""),75.7564519016804)</f>
        <v>75.7564519</v>
      </c>
      <c r="P2352" s="20">
        <f>IFERROR(__xludf.DUMMYFUNCTION("""COMPUTED_VALUE"""),59237.0)</f>
        <v>59237</v>
      </c>
      <c r="Q2352" s="20">
        <f>IFERROR(__xludf.DUMMYFUNCTION("""COMPUTED_VALUE"""),78194.0)</f>
        <v>78194</v>
      </c>
    </row>
    <row r="2353">
      <c r="A2353" s="20">
        <f>IFERROR(__xludf.DUMMYFUNCTION("""COMPUTED_VALUE"""),2428.0)</f>
        <v>2428</v>
      </c>
      <c r="B2353" s="20" t="str">
        <f>IFERROR(__xludf.DUMMYFUNCTION("""COMPUTED_VALUE"""),"Equal Row and Column Pairs")</f>
        <v>Equal Row and Column Pairs</v>
      </c>
      <c r="C2353" s="20" t="str">
        <f>IFERROR(__xludf.DUMMYFUNCTION("""COMPUTED_VALUE"""),"equal-row-and-column-pairs")</f>
        <v>equal-row-and-column-pairs</v>
      </c>
      <c r="D2353" s="20" t="b">
        <f>IFERROR(__xludf.DUMMYFUNCTION("""COMPUTED_VALUE"""),FALSE)</f>
        <v>0</v>
      </c>
      <c r="E2353" s="20" t="str">
        <f>IFERROR(__xludf.DUMMYFUNCTION("""COMPUTED_VALUE"""),"Medium")</f>
        <v>Medium</v>
      </c>
      <c r="F2353" s="20">
        <f>IFERROR(__xludf.DUMMYFUNCTION("""COMPUTED_VALUE"""),370.0)</f>
        <v>370</v>
      </c>
      <c r="G2353" s="20">
        <f>IFERROR(__xludf.DUMMYFUNCTION("""COMPUTED_VALUE"""),12.0)</f>
        <v>12</v>
      </c>
      <c r="H2353" s="20" t="str">
        <f>IFERROR(__xludf.DUMMYFUNCTION("""COMPUTED_VALUE"""),"Algorithms")</f>
        <v>Algorithms</v>
      </c>
      <c r="I2353" s="20">
        <f>IFERROR(__xludf.DUMMYFUNCTION("""COMPUTED_VALUE"""),0.709)</f>
        <v>0.709</v>
      </c>
      <c r="J2353" s="20">
        <f>IFERROR(__xludf.DUMMYFUNCTION("""COMPUTED_VALUE"""),2352.0)</f>
        <v>2352</v>
      </c>
      <c r="K2353" s="20" t="b">
        <f>IFERROR(__xludf.DUMMYFUNCTION("""COMPUTED_VALUE"""),FALSE)</f>
        <v>0</v>
      </c>
      <c r="L2353" s="20" t="str">
        <f>IFERROR(__xludf.DUMMYFUNCTION("""COMPUTED_VALUE"""),"Array;Hash Table;Matrix;Simulation;")</f>
        <v>Array;Hash Table;Matrix;Simulation;</v>
      </c>
      <c r="M2353" s="20" t="b">
        <f>IFERROR(__xludf.DUMMYFUNCTION("""COMPUTED_VALUE"""),FALSE)</f>
        <v>0</v>
      </c>
      <c r="N2353" s="20" t="b">
        <f>IFERROR(__xludf.DUMMYFUNCTION("""COMPUTED_VALUE"""),FALSE)</f>
        <v>0</v>
      </c>
      <c r="O2353" s="20">
        <f>IFERROR(__xludf.DUMMYFUNCTION("""COMPUTED_VALUE"""),70.9349361245058)</f>
        <v>70.93493612</v>
      </c>
      <c r="P2353" s="20">
        <f>IFERROR(__xludf.DUMMYFUNCTION("""COMPUTED_VALUE"""),31039.0)</f>
        <v>31039</v>
      </c>
      <c r="Q2353" s="20">
        <f>IFERROR(__xludf.DUMMYFUNCTION("""COMPUTED_VALUE"""),43757.0)</f>
        <v>43757</v>
      </c>
    </row>
    <row r="2354">
      <c r="A2354" s="20">
        <f>IFERROR(__xludf.DUMMYFUNCTION("""COMPUTED_VALUE"""),2429.0)</f>
        <v>2429</v>
      </c>
      <c r="B2354" s="20" t="str">
        <f>IFERROR(__xludf.DUMMYFUNCTION("""COMPUTED_VALUE"""),"Design a Food Rating System")</f>
        <v>Design a Food Rating System</v>
      </c>
      <c r="C2354" s="20" t="str">
        <f>IFERROR(__xludf.DUMMYFUNCTION("""COMPUTED_VALUE"""),"design-a-food-rating-system")</f>
        <v>design-a-food-rating-system</v>
      </c>
      <c r="D2354" s="20" t="b">
        <f>IFERROR(__xludf.DUMMYFUNCTION("""COMPUTED_VALUE"""),FALSE)</f>
        <v>0</v>
      </c>
      <c r="E2354" s="20" t="str">
        <f>IFERROR(__xludf.DUMMYFUNCTION("""COMPUTED_VALUE"""),"Medium")</f>
        <v>Medium</v>
      </c>
      <c r="F2354" s="20">
        <f>IFERROR(__xludf.DUMMYFUNCTION("""COMPUTED_VALUE"""),412.0)</f>
        <v>412</v>
      </c>
      <c r="G2354" s="20">
        <f>IFERROR(__xludf.DUMMYFUNCTION("""COMPUTED_VALUE"""),89.0)</f>
        <v>89</v>
      </c>
      <c r="H2354" s="20" t="str">
        <f>IFERROR(__xludf.DUMMYFUNCTION("""COMPUTED_VALUE"""),"Algorithms")</f>
        <v>Algorithms</v>
      </c>
      <c r="I2354" s="20">
        <f>IFERROR(__xludf.DUMMYFUNCTION("""COMPUTED_VALUE"""),0.346)</f>
        <v>0.346</v>
      </c>
      <c r="J2354" s="20">
        <f>IFERROR(__xludf.DUMMYFUNCTION("""COMPUTED_VALUE"""),2353.0)</f>
        <v>2353</v>
      </c>
      <c r="K2354" s="20" t="b">
        <f>IFERROR(__xludf.DUMMYFUNCTION("""COMPUTED_VALUE"""),FALSE)</f>
        <v>0</v>
      </c>
      <c r="L2354" s="20" t="str">
        <f>IFERROR(__xludf.DUMMYFUNCTION("""COMPUTED_VALUE"""),"Hash Table;Design;Heap (Priority Queue);Ordered Set;")</f>
        <v>Hash Table;Design;Heap (Priority Queue);Ordered Set;</v>
      </c>
      <c r="M2354" s="20" t="b">
        <f>IFERROR(__xludf.DUMMYFUNCTION("""COMPUTED_VALUE"""),FALSE)</f>
        <v>0</v>
      </c>
      <c r="N2354" s="20" t="b">
        <f>IFERROR(__xludf.DUMMYFUNCTION("""COMPUTED_VALUE"""),FALSE)</f>
        <v>0</v>
      </c>
      <c r="O2354" s="20">
        <f>IFERROR(__xludf.DUMMYFUNCTION("""COMPUTED_VALUE"""),34.6274615350109)</f>
        <v>34.62746154</v>
      </c>
      <c r="P2354" s="20">
        <f>IFERROR(__xludf.DUMMYFUNCTION("""COMPUTED_VALUE"""),15439.0)</f>
        <v>15439</v>
      </c>
      <c r="Q2354" s="20">
        <f>IFERROR(__xludf.DUMMYFUNCTION("""COMPUTED_VALUE"""),44586.0)</f>
        <v>44586</v>
      </c>
    </row>
    <row r="2355">
      <c r="A2355" s="20">
        <f>IFERROR(__xludf.DUMMYFUNCTION("""COMPUTED_VALUE"""),2430.0)</f>
        <v>2430</v>
      </c>
      <c r="B2355" s="20" t="str">
        <f>IFERROR(__xludf.DUMMYFUNCTION("""COMPUTED_VALUE"""),"Number of Excellent Pairs")</f>
        <v>Number of Excellent Pairs</v>
      </c>
      <c r="C2355" s="20" t="str">
        <f>IFERROR(__xludf.DUMMYFUNCTION("""COMPUTED_VALUE"""),"number-of-excellent-pairs")</f>
        <v>number-of-excellent-pairs</v>
      </c>
      <c r="D2355" s="20" t="b">
        <f>IFERROR(__xludf.DUMMYFUNCTION("""COMPUTED_VALUE"""),FALSE)</f>
        <v>0</v>
      </c>
      <c r="E2355" s="20" t="str">
        <f>IFERROR(__xludf.DUMMYFUNCTION("""COMPUTED_VALUE"""),"Hard")</f>
        <v>Hard</v>
      </c>
      <c r="F2355" s="20">
        <f>IFERROR(__xludf.DUMMYFUNCTION("""COMPUTED_VALUE"""),473.0)</f>
        <v>473</v>
      </c>
      <c r="G2355" s="20">
        <f>IFERROR(__xludf.DUMMYFUNCTION("""COMPUTED_VALUE"""),15.0)</f>
        <v>15</v>
      </c>
      <c r="H2355" s="20" t="str">
        <f>IFERROR(__xludf.DUMMYFUNCTION("""COMPUTED_VALUE"""),"Algorithms")</f>
        <v>Algorithms</v>
      </c>
      <c r="I2355" s="20">
        <f>IFERROR(__xludf.DUMMYFUNCTION("""COMPUTED_VALUE"""),0.457)</f>
        <v>0.457</v>
      </c>
      <c r="J2355" s="20">
        <f>IFERROR(__xludf.DUMMYFUNCTION("""COMPUTED_VALUE"""),2354.0)</f>
        <v>2354</v>
      </c>
      <c r="K2355" s="20" t="b">
        <f>IFERROR(__xludf.DUMMYFUNCTION("""COMPUTED_VALUE"""),FALSE)</f>
        <v>0</v>
      </c>
      <c r="L2355" s="20" t="str">
        <f>IFERROR(__xludf.DUMMYFUNCTION("""COMPUTED_VALUE"""),"Array;Hash Table;Binary Search;Bit Manipulation;")</f>
        <v>Array;Hash Table;Binary Search;Bit Manipulation;</v>
      </c>
      <c r="M2355" s="20" t="b">
        <f>IFERROR(__xludf.DUMMYFUNCTION("""COMPUTED_VALUE"""),FALSE)</f>
        <v>0</v>
      </c>
      <c r="N2355" s="20" t="b">
        <f>IFERROR(__xludf.DUMMYFUNCTION("""COMPUTED_VALUE"""),FALSE)</f>
        <v>0</v>
      </c>
      <c r="O2355" s="20">
        <f>IFERROR(__xludf.DUMMYFUNCTION("""COMPUTED_VALUE"""),45.6860833536436)</f>
        <v>45.68608335</v>
      </c>
      <c r="P2355" s="20">
        <f>IFERROR(__xludf.DUMMYFUNCTION("""COMPUTED_VALUE"""),11247.0)</f>
        <v>11247</v>
      </c>
      <c r="Q2355" s="20">
        <f>IFERROR(__xludf.DUMMYFUNCTION("""COMPUTED_VALUE"""),24618.0)</f>
        <v>24618</v>
      </c>
    </row>
    <row r="2356">
      <c r="A2356" s="20">
        <f>IFERROR(__xludf.DUMMYFUNCTION("""COMPUTED_VALUE"""),2490.0)</f>
        <v>2490</v>
      </c>
      <c r="B2356" s="20" t="str">
        <f>IFERROR(__xludf.DUMMYFUNCTION("""COMPUTED_VALUE"""),"Maximum Number of Books You Can Take")</f>
        <v>Maximum Number of Books You Can Take</v>
      </c>
      <c r="C2356" s="20" t="str">
        <f>IFERROR(__xludf.DUMMYFUNCTION("""COMPUTED_VALUE"""),"maximum-number-of-books-you-can-take")</f>
        <v>maximum-number-of-books-you-can-take</v>
      </c>
      <c r="D2356" s="20" t="b">
        <f>IFERROR(__xludf.DUMMYFUNCTION("""COMPUTED_VALUE"""),TRUE)</f>
        <v>1</v>
      </c>
      <c r="E2356" s="20" t="str">
        <f>IFERROR(__xludf.DUMMYFUNCTION("""COMPUTED_VALUE"""),"Hard")</f>
        <v>Hard</v>
      </c>
      <c r="F2356" s="20">
        <f>IFERROR(__xludf.DUMMYFUNCTION("""COMPUTED_VALUE"""),120.0)</f>
        <v>120</v>
      </c>
      <c r="G2356" s="20">
        <f>IFERROR(__xludf.DUMMYFUNCTION("""COMPUTED_VALUE"""),14.0)</f>
        <v>14</v>
      </c>
      <c r="H2356" s="20" t="str">
        <f>IFERROR(__xludf.DUMMYFUNCTION("""COMPUTED_VALUE"""),"Algorithms")</f>
        <v>Algorithms</v>
      </c>
      <c r="I2356" s="20">
        <f>IFERROR(__xludf.DUMMYFUNCTION("""COMPUTED_VALUE"""),0.453)</f>
        <v>0.453</v>
      </c>
      <c r="J2356" s="20">
        <f>IFERROR(__xludf.DUMMYFUNCTION("""COMPUTED_VALUE"""),2355.0)</f>
        <v>2355</v>
      </c>
      <c r="K2356" s="20" t="b">
        <f>IFERROR(__xludf.DUMMYFUNCTION("""COMPUTED_VALUE"""),TRUE)</f>
        <v>1</v>
      </c>
      <c r="L2356" s="20" t="str">
        <f>IFERROR(__xludf.DUMMYFUNCTION("""COMPUTED_VALUE"""),"Array;Dynamic Programming;Stack;Monotonic Stack;")</f>
        <v>Array;Dynamic Programming;Stack;Monotonic Stack;</v>
      </c>
      <c r="M2356" s="20" t="b">
        <f>IFERROR(__xludf.DUMMYFUNCTION("""COMPUTED_VALUE"""),FALSE)</f>
        <v>0</v>
      </c>
      <c r="N2356" s="20" t="b">
        <f>IFERROR(__xludf.DUMMYFUNCTION("""COMPUTED_VALUE"""),FALSE)</f>
        <v>0</v>
      </c>
      <c r="O2356" s="20">
        <f>IFERROR(__xludf.DUMMYFUNCTION("""COMPUTED_VALUE"""),45.2582281774424)</f>
        <v>45.25822818</v>
      </c>
      <c r="P2356" s="20">
        <f>IFERROR(__xludf.DUMMYFUNCTION("""COMPUTED_VALUE"""),3479.0)</f>
        <v>3479</v>
      </c>
      <c r="Q2356" s="20">
        <f>IFERROR(__xludf.DUMMYFUNCTION("""COMPUTED_VALUE"""),7687.0)</f>
        <v>7687</v>
      </c>
    </row>
    <row r="2357">
      <c r="A2357" s="20">
        <f>IFERROR(__xludf.DUMMYFUNCTION("""COMPUTED_VALUE"""),2495.0)</f>
        <v>2495</v>
      </c>
      <c r="B2357" s="20" t="str">
        <f>IFERROR(__xludf.DUMMYFUNCTION("""COMPUTED_VALUE"""),"Number of Unique Subjects Taught by Each Teacher")</f>
        <v>Number of Unique Subjects Taught by Each Teacher</v>
      </c>
      <c r="C2357" s="20" t="str">
        <f>IFERROR(__xludf.DUMMYFUNCTION("""COMPUTED_VALUE"""),"number-of-unique-subjects-taught-by-each-teacher")</f>
        <v>number-of-unique-subjects-taught-by-each-teacher</v>
      </c>
      <c r="D2357" s="20" t="b">
        <f>IFERROR(__xludf.DUMMYFUNCTION("""COMPUTED_VALUE"""),TRUE)</f>
        <v>1</v>
      </c>
      <c r="E2357" s="20" t="str">
        <f>IFERROR(__xludf.DUMMYFUNCTION("""COMPUTED_VALUE"""),"Easy")</f>
        <v>Easy</v>
      </c>
      <c r="F2357" s="20">
        <f>IFERROR(__xludf.DUMMYFUNCTION("""COMPUTED_VALUE"""),25.0)</f>
        <v>25</v>
      </c>
      <c r="G2357" s="20">
        <f>IFERROR(__xludf.DUMMYFUNCTION("""COMPUTED_VALUE"""),5.0)</f>
        <v>5</v>
      </c>
      <c r="H2357" s="20" t="str">
        <f>IFERROR(__xludf.DUMMYFUNCTION("""COMPUTED_VALUE"""),"Database")</f>
        <v>Database</v>
      </c>
      <c r="I2357" s="20">
        <f>IFERROR(__xludf.DUMMYFUNCTION("""COMPUTED_VALUE"""),0.915)</f>
        <v>0.915</v>
      </c>
      <c r="J2357" s="20">
        <f>IFERROR(__xludf.DUMMYFUNCTION("""COMPUTED_VALUE"""),2356.0)</f>
        <v>2356</v>
      </c>
      <c r="K2357" s="20" t="b">
        <f>IFERROR(__xludf.DUMMYFUNCTION("""COMPUTED_VALUE"""),TRUE)</f>
        <v>1</v>
      </c>
      <c r="L2357" s="20" t="str">
        <f>IFERROR(__xludf.DUMMYFUNCTION("""COMPUTED_VALUE"""),"Database;")</f>
        <v>Database;</v>
      </c>
      <c r="M2357" s="20" t="b">
        <f>IFERROR(__xludf.DUMMYFUNCTION("""COMPUTED_VALUE"""),FALSE)</f>
        <v>0</v>
      </c>
      <c r="N2357" s="20" t="b">
        <f>IFERROR(__xludf.DUMMYFUNCTION("""COMPUTED_VALUE"""),FALSE)</f>
        <v>0</v>
      </c>
      <c r="O2357" s="20">
        <f>IFERROR(__xludf.DUMMYFUNCTION("""COMPUTED_VALUE"""),91.4726654459848)</f>
        <v>91.47266545</v>
      </c>
      <c r="P2357" s="20">
        <f>IFERROR(__xludf.DUMMYFUNCTION("""COMPUTED_VALUE"""),3497.0)</f>
        <v>3497</v>
      </c>
      <c r="Q2357" s="20">
        <f>IFERROR(__xludf.DUMMYFUNCTION("""COMPUTED_VALUE"""),3823.0)</f>
        <v>3823</v>
      </c>
    </row>
    <row r="2358">
      <c r="A2358" s="20">
        <f>IFERROR(__xludf.DUMMYFUNCTION("""COMPUTED_VALUE"""),2436.0)</f>
        <v>2436</v>
      </c>
      <c r="B2358" s="20" t="str">
        <f>IFERROR(__xludf.DUMMYFUNCTION("""COMPUTED_VALUE"""),"Make Array Zero by Subtracting Equal Amounts")</f>
        <v>Make Array Zero by Subtracting Equal Amounts</v>
      </c>
      <c r="C2358" s="20" t="str">
        <f>IFERROR(__xludf.DUMMYFUNCTION("""COMPUTED_VALUE"""),"make-array-zero-by-subtracting-equal-amounts")</f>
        <v>make-array-zero-by-subtracting-equal-amounts</v>
      </c>
      <c r="D2358" s="20" t="b">
        <f>IFERROR(__xludf.DUMMYFUNCTION("""COMPUTED_VALUE"""),FALSE)</f>
        <v>0</v>
      </c>
      <c r="E2358" s="20" t="str">
        <f>IFERROR(__xludf.DUMMYFUNCTION("""COMPUTED_VALUE"""),"Easy")</f>
        <v>Easy</v>
      </c>
      <c r="F2358" s="20">
        <f>IFERROR(__xludf.DUMMYFUNCTION("""COMPUTED_VALUE"""),617.0)</f>
        <v>617</v>
      </c>
      <c r="G2358" s="20">
        <f>IFERROR(__xludf.DUMMYFUNCTION("""COMPUTED_VALUE"""),22.0)</f>
        <v>22</v>
      </c>
      <c r="H2358" s="20" t="str">
        <f>IFERROR(__xludf.DUMMYFUNCTION("""COMPUTED_VALUE"""),"Algorithms")</f>
        <v>Algorithms</v>
      </c>
      <c r="I2358" s="20">
        <f>IFERROR(__xludf.DUMMYFUNCTION("""COMPUTED_VALUE"""),0.729)</f>
        <v>0.729</v>
      </c>
      <c r="J2358" s="20">
        <f>IFERROR(__xludf.DUMMYFUNCTION("""COMPUTED_VALUE"""),2357.0)</f>
        <v>2357</v>
      </c>
      <c r="K2358" s="20" t="b">
        <f>IFERROR(__xludf.DUMMYFUNCTION("""COMPUTED_VALUE"""),FALSE)</f>
        <v>0</v>
      </c>
      <c r="L2358" s="20" t="str">
        <f>IFERROR(__xludf.DUMMYFUNCTION("""COMPUTED_VALUE"""),"Array;Hash Table;Sorting;Heap (Priority Queue);Simulation;")</f>
        <v>Array;Hash Table;Sorting;Heap (Priority Queue);Simulation;</v>
      </c>
      <c r="M2358" s="20" t="b">
        <f>IFERROR(__xludf.DUMMYFUNCTION("""COMPUTED_VALUE"""),FALSE)</f>
        <v>0</v>
      </c>
      <c r="N2358" s="20" t="b">
        <f>IFERROR(__xludf.DUMMYFUNCTION("""COMPUTED_VALUE"""),FALSE)</f>
        <v>0</v>
      </c>
      <c r="O2358" s="20">
        <f>IFERROR(__xludf.DUMMYFUNCTION("""COMPUTED_VALUE"""),72.858234202772)</f>
        <v>72.8582342</v>
      </c>
      <c r="P2358" s="20">
        <f>IFERROR(__xludf.DUMMYFUNCTION("""COMPUTED_VALUE"""),53407.0)</f>
        <v>53407</v>
      </c>
      <c r="Q2358" s="20">
        <f>IFERROR(__xludf.DUMMYFUNCTION("""COMPUTED_VALUE"""),73303.0)</f>
        <v>73303</v>
      </c>
    </row>
    <row r="2359">
      <c r="A2359" s="20">
        <f>IFERROR(__xludf.DUMMYFUNCTION("""COMPUTED_VALUE"""),2437.0)</f>
        <v>2437</v>
      </c>
      <c r="B2359" s="20" t="str">
        <f>IFERROR(__xludf.DUMMYFUNCTION("""COMPUTED_VALUE"""),"Maximum Number of Groups Entering a Competition")</f>
        <v>Maximum Number of Groups Entering a Competition</v>
      </c>
      <c r="C2359" s="20" t="str">
        <f>IFERROR(__xludf.DUMMYFUNCTION("""COMPUTED_VALUE"""),"maximum-number-of-groups-entering-a-competition")</f>
        <v>maximum-number-of-groups-entering-a-competition</v>
      </c>
      <c r="D2359" s="20" t="b">
        <f>IFERROR(__xludf.DUMMYFUNCTION("""COMPUTED_VALUE"""),FALSE)</f>
        <v>0</v>
      </c>
      <c r="E2359" s="20" t="str">
        <f>IFERROR(__xludf.DUMMYFUNCTION("""COMPUTED_VALUE"""),"Medium")</f>
        <v>Medium</v>
      </c>
      <c r="F2359" s="20">
        <f>IFERROR(__xludf.DUMMYFUNCTION("""COMPUTED_VALUE"""),411.0)</f>
        <v>411</v>
      </c>
      <c r="G2359" s="20">
        <f>IFERROR(__xludf.DUMMYFUNCTION("""COMPUTED_VALUE"""),78.0)</f>
        <v>78</v>
      </c>
      <c r="H2359" s="20" t="str">
        <f>IFERROR(__xludf.DUMMYFUNCTION("""COMPUTED_VALUE"""),"Algorithms")</f>
        <v>Algorithms</v>
      </c>
      <c r="I2359" s="20">
        <f>IFERROR(__xludf.DUMMYFUNCTION("""COMPUTED_VALUE"""),0.676)</f>
        <v>0.676</v>
      </c>
      <c r="J2359" s="20">
        <f>IFERROR(__xludf.DUMMYFUNCTION("""COMPUTED_VALUE"""),2358.0)</f>
        <v>2358</v>
      </c>
      <c r="K2359" s="20" t="b">
        <f>IFERROR(__xludf.DUMMYFUNCTION("""COMPUTED_VALUE"""),FALSE)</f>
        <v>0</v>
      </c>
      <c r="L2359" s="20" t="str">
        <f>IFERROR(__xludf.DUMMYFUNCTION("""COMPUTED_VALUE"""),"Array;Math;Binary Search;Greedy;")</f>
        <v>Array;Math;Binary Search;Greedy;</v>
      </c>
      <c r="M2359" s="20" t="b">
        <f>IFERROR(__xludf.DUMMYFUNCTION("""COMPUTED_VALUE"""),FALSE)</f>
        <v>0</v>
      </c>
      <c r="N2359" s="20" t="b">
        <f>IFERROR(__xludf.DUMMYFUNCTION("""COMPUTED_VALUE"""),FALSE)</f>
        <v>0</v>
      </c>
      <c r="O2359" s="20">
        <f>IFERROR(__xludf.DUMMYFUNCTION("""COMPUTED_VALUE"""),67.588623871716)</f>
        <v>67.58862387</v>
      </c>
      <c r="P2359" s="20">
        <f>IFERROR(__xludf.DUMMYFUNCTION("""COMPUTED_VALUE"""),26806.0)</f>
        <v>26806</v>
      </c>
      <c r="Q2359" s="20">
        <f>IFERROR(__xludf.DUMMYFUNCTION("""COMPUTED_VALUE"""),39661.0)</f>
        <v>39661</v>
      </c>
    </row>
    <row r="2360">
      <c r="A2360" s="20">
        <f>IFERROR(__xludf.DUMMYFUNCTION("""COMPUTED_VALUE"""),2438.0)</f>
        <v>2438</v>
      </c>
      <c r="B2360" s="20" t="str">
        <f>IFERROR(__xludf.DUMMYFUNCTION("""COMPUTED_VALUE"""),"Find Closest Node to Given Two Nodes")</f>
        <v>Find Closest Node to Given Two Nodes</v>
      </c>
      <c r="C2360" s="20" t="str">
        <f>IFERROR(__xludf.DUMMYFUNCTION("""COMPUTED_VALUE"""),"find-closest-node-to-given-two-nodes")</f>
        <v>find-closest-node-to-given-two-nodes</v>
      </c>
      <c r="D2360" s="20" t="b">
        <f>IFERROR(__xludf.DUMMYFUNCTION("""COMPUTED_VALUE"""),FALSE)</f>
        <v>0</v>
      </c>
      <c r="E2360" s="20" t="str">
        <f>IFERROR(__xludf.DUMMYFUNCTION("""COMPUTED_VALUE"""),"Medium")</f>
        <v>Medium</v>
      </c>
      <c r="F2360" s="20">
        <f>IFERROR(__xludf.DUMMYFUNCTION("""COMPUTED_VALUE"""),421.0)</f>
        <v>421</v>
      </c>
      <c r="G2360" s="20">
        <f>IFERROR(__xludf.DUMMYFUNCTION("""COMPUTED_VALUE"""),86.0)</f>
        <v>86</v>
      </c>
      <c r="H2360" s="20" t="str">
        <f>IFERROR(__xludf.DUMMYFUNCTION("""COMPUTED_VALUE"""),"Algorithms")</f>
        <v>Algorithms</v>
      </c>
      <c r="I2360" s="20">
        <f>IFERROR(__xludf.DUMMYFUNCTION("""COMPUTED_VALUE"""),0.343)</f>
        <v>0.343</v>
      </c>
      <c r="J2360" s="20">
        <f>IFERROR(__xludf.DUMMYFUNCTION("""COMPUTED_VALUE"""),2359.0)</f>
        <v>2359</v>
      </c>
      <c r="K2360" s="20" t="b">
        <f>IFERROR(__xludf.DUMMYFUNCTION("""COMPUTED_VALUE"""),FALSE)</f>
        <v>0</v>
      </c>
      <c r="L2360" s="20" t="str">
        <f>IFERROR(__xludf.DUMMYFUNCTION("""COMPUTED_VALUE"""),"Depth-First Search;Graph;")</f>
        <v>Depth-First Search;Graph;</v>
      </c>
      <c r="M2360" s="20" t="b">
        <f>IFERROR(__xludf.DUMMYFUNCTION("""COMPUTED_VALUE"""),TRUE)</f>
        <v>1</v>
      </c>
      <c r="N2360" s="20" t="b">
        <f>IFERROR(__xludf.DUMMYFUNCTION("""COMPUTED_VALUE"""),FALSE)</f>
        <v>0</v>
      </c>
      <c r="O2360" s="20">
        <f>IFERROR(__xludf.DUMMYFUNCTION("""COMPUTED_VALUE"""),34.3259853816475)</f>
        <v>34.32598538</v>
      </c>
      <c r="P2360" s="20">
        <f>IFERROR(__xludf.DUMMYFUNCTION("""COMPUTED_VALUE"""),17705.0)</f>
        <v>17705</v>
      </c>
      <c r="Q2360" s="20">
        <f>IFERROR(__xludf.DUMMYFUNCTION("""COMPUTED_VALUE"""),51579.0)</f>
        <v>51579</v>
      </c>
    </row>
    <row r="2361">
      <c r="A2361" s="20">
        <f>IFERROR(__xludf.DUMMYFUNCTION("""COMPUTED_VALUE"""),2439.0)</f>
        <v>2439</v>
      </c>
      <c r="B2361" s="20" t="str">
        <f>IFERROR(__xludf.DUMMYFUNCTION("""COMPUTED_VALUE"""),"Longest Cycle in a Graph")</f>
        <v>Longest Cycle in a Graph</v>
      </c>
      <c r="C2361" s="20" t="str">
        <f>IFERROR(__xludf.DUMMYFUNCTION("""COMPUTED_VALUE"""),"longest-cycle-in-a-graph")</f>
        <v>longest-cycle-in-a-graph</v>
      </c>
      <c r="D2361" s="20" t="b">
        <f>IFERROR(__xludf.DUMMYFUNCTION("""COMPUTED_VALUE"""),FALSE)</f>
        <v>0</v>
      </c>
      <c r="E2361" s="20" t="str">
        <f>IFERROR(__xludf.DUMMYFUNCTION("""COMPUTED_VALUE"""),"Hard")</f>
        <v>Hard</v>
      </c>
      <c r="F2361" s="20">
        <f>IFERROR(__xludf.DUMMYFUNCTION("""COMPUTED_VALUE"""),629.0)</f>
        <v>629</v>
      </c>
      <c r="G2361" s="20">
        <f>IFERROR(__xludf.DUMMYFUNCTION("""COMPUTED_VALUE"""),8.0)</f>
        <v>8</v>
      </c>
      <c r="H2361" s="20" t="str">
        <f>IFERROR(__xludf.DUMMYFUNCTION("""COMPUTED_VALUE"""),"Algorithms")</f>
        <v>Algorithms</v>
      </c>
      <c r="I2361" s="20">
        <f>IFERROR(__xludf.DUMMYFUNCTION("""COMPUTED_VALUE"""),0.387)</f>
        <v>0.387</v>
      </c>
      <c r="J2361" s="20">
        <f>IFERROR(__xludf.DUMMYFUNCTION("""COMPUTED_VALUE"""),2360.0)</f>
        <v>2360</v>
      </c>
      <c r="K2361" s="20" t="b">
        <f>IFERROR(__xludf.DUMMYFUNCTION("""COMPUTED_VALUE"""),FALSE)</f>
        <v>0</v>
      </c>
      <c r="L2361" s="20" t="str">
        <f>IFERROR(__xludf.DUMMYFUNCTION("""COMPUTED_VALUE"""),"Depth-First Search;Graph;Topological Sort;")</f>
        <v>Depth-First Search;Graph;Topological Sort;</v>
      </c>
      <c r="M2361" s="20" t="b">
        <f>IFERROR(__xludf.DUMMYFUNCTION("""COMPUTED_VALUE"""),FALSE)</f>
        <v>0</v>
      </c>
      <c r="N2361" s="20" t="b">
        <f>IFERROR(__xludf.DUMMYFUNCTION("""COMPUTED_VALUE"""),FALSE)</f>
        <v>0</v>
      </c>
      <c r="O2361" s="20">
        <f>IFERROR(__xludf.DUMMYFUNCTION("""COMPUTED_VALUE"""),38.7150037636889)</f>
        <v>38.71500376</v>
      </c>
      <c r="P2361" s="20">
        <f>IFERROR(__xludf.DUMMYFUNCTION("""COMPUTED_VALUE"""),15944.0)</f>
        <v>15944</v>
      </c>
      <c r="Q2361" s="20">
        <f>IFERROR(__xludf.DUMMYFUNCTION("""COMPUTED_VALUE"""),41183.0)</f>
        <v>41183</v>
      </c>
    </row>
    <row r="2362">
      <c r="A2362" s="20">
        <f>IFERROR(__xludf.DUMMYFUNCTION("""COMPUTED_VALUE"""),2500.0)</f>
        <v>2500</v>
      </c>
      <c r="B2362" s="20" t="str">
        <f>IFERROR(__xludf.DUMMYFUNCTION("""COMPUTED_VALUE"""),"Minimum Costs Using the Train Line")</f>
        <v>Minimum Costs Using the Train Line</v>
      </c>
      <c r="C2362" s="20" t="str">
        <f>IFERROR(__xludf.DUMMYFUNCTION("""COMPUTED_VALUE"""),"minimum-costs-using-the-train-line")</f>
        <v>minimum-costs-using-the-train-line</v>
      </c>
      <c r="D2362" s="20" t="b">
        <f>IFERROR(__xludf.DUMMYFUNCTION("""COMPUTED_VALUE"""),TRUE)</f>
        <v>1</v>
      </c>
      <c r="E2362" s="20" t="str">
        <f>IFERROR(__xludf.DUMMYFUNCTION("""COMPUTED_VALUE"""),"Hard")</f>
        <v>Hard</v>
      </c>
      <c r="F2362" s="20">
        <f>IFERROR(__xludf.DUMMYFUNCTION("""COMPUTED_VALUE"""),66.0)</f>
        <v>66</v>
      </c>
      <c r="G2362" s="20">
        <f>IFERROR(__xludf.DUMMYFUNCTION("""COMPUTED_VALUE"""),14.0)</f>
        <v>14</v>
      </c>
      <c r="H2362" s="20" t="str">
        <f>IFERROR(__xludf.DUMMYFUNCTION("""COMPUTED_VALUE"""),"Algorithms")</f>
        <v>Algorithms</v>
      </c>
      <c r="I2362" s="20">
        <f>IFERROR(__xludf.DUMMYFUNCTION("""COMPUTED_VALUE"""),0.768)</f>
        <v>0.768</v>
      </c>
      <c r="J2362" s="20">
        <f>IFERROR(__xludf.DUMMYFUNCTION("""COMPUTED_VALUE"""),2361.0)</f>
        <v>2361</v>
      </c>
      <c r="K2362" s="20" t="b">
        <f>IFERROR(__xludf.DUMMYFUNCTION("""COMPUTED_VALUE"""),TRUE)</f>
        <v>1</v>
      </c>
      <c r="L2362" s="20" t="str">
        <f>IFERROR(__xludf.DUMMYFUNCTION("""COMPUTED_VALUE"""),"Array;Dynamic Programming;")</f>
        <v>Array;Dynamic Programming;</v>
      </c>
      <c r="M2362" s="20" t="b">
        <f>IFERROR(__xludf.DUMMYFUNCTION("""COMPUTED_VALUE"""),FALSE)</f>
        <v>0</v>
      </c>
      <c r="N2362" s="20" t="b">
        <f>IFERROR(__xludf.DUMMYFUNCTION("""COMPUTED_VALUE"""),FALSE)</f>
        <v>0</v>
      </c>
      <c r="O2362" s="20">
        <f>IFERROR(__xludf.DUMMYFUNCTION("""COMPUTED_VALUE"""),76.8228514156852)</f>
        <v>76.82285142</v>
      </c>
      <c r="P2362" s="20">
        <f>IFERROR(__xludf.DUMMYFUNCTION("""COMPUTED_VALUE"""),3066.0)</f>
        <v>3066</v>
      </c>
      <c r="Q2362" s="20">
        <f>IFERROR(__xludf.DUMMYFUNCTION("""COMPUTED_VALUE"""),3991.0)</f>
        <v>3991</v>
      </c>
    </row>
    <row r="2363">
      <c r="A2363" s="20">
        <f>IFERROR(__xludf.DUMMYFUNCTION("""COMPUTED_VALUE"""),2501.0)</f>
        <v>2501</v>
      </c>
      <c r="B2363" s="20" t="str">
        <f>IFERROR(__xludf.DUMMYFUNCTION("""COMPUTED_VALUE"""),"Generate the Invoice")</f>
        <v>Generate the Invoice</v>
      </c>
      <c r="C2363" s="20" t="str">
        <f>IFERROR(__xludf.DUMMYFUNCTION("""COMPUTED_VALUE"""),"generate-the-invoice")</f>
        <v>generate-the-invoice</v>
      </c>
      <c r="D2363" s="20" t="b">
        <f>IFERROR(__xludf.DUMMYFUNCTION("""COMPUTED_VALUE"""),TRUE)</f>
        <v>1</v>
      </c>
      <c r="E2363" s="20" t="str">
        <f>IFERROR(__xludf.DUMMYFUNCTION("""COMPUTED_VALUE"""),"Hard")</f>
        <v>Hard</v>
      </c>
      <c r="F2363" s="20">
        <f>IFERROR(__xludf.DUMMYFUNCTION("""COMPUTED_VALUE"""),17.0)</f>
        <v>17</v>
      </c>
      <c r="G2363" s="20">
        <f>IFERROR(__xludf.DUMMYFUNCTION("""COMPUTED_VALUE"""),17.0)</f>
        <v>17</v>
      </c>
      <c r="H2363" s="20" t="str">
        <f>IFERROR(__xludf.DUMMYFUNCTION("""COMPUTED_VALUE"""),"Database")</f>
        <v>Database</v>
      </c>
      <c r="I2363" s="20">
        <f>IFERROR(__xludf.DUMMYFUNCTION("""COMPUTED_VALUE"""),0.858)</f>
        <v>0.858</v>
      </c>
      <c r="J2363" s="20">
        <f>IFERROR(__xludf.DUMMYFUNCTION("""COMPUTED_VALUE"""),2362.0)</f>
        <v>2362</v>
      </c>
      <c r="K2363" s="20" t="b">
        <f>IFERROR(__xludf.DUMMYFUNCTION("""COMPUTED_VALUE"""),TRUE)</f>
        <v>1</v>
      </c>
      <c r="L2363" s="20" t="str">
        <f>IFERROR(__xludf.DUMMYFUNCTION("""COMPUTED_VALUE"""),"Database;")</f>
        <v>Database;</v>
      </c>
      <c r="M2363" s="20" t="b">
        <f>IFERROR(__xludf.DUMMYFUNCTION("""COMPUTED_VALUE"""),FALSE)</f>
        <v>0</v>
      </c>
      <c r="N2363" s="20" t="b">
        <f>IFERROR(__xludf.DUMMYFUNCTION("""COMPUTED_VALUE"""),FALSE)</f>
        <v>0</v>
      </c>
      <c r="O2363" s="20">
        <f>IFERROR(__xludf.DUMMYFUNCTION("""COMPUTED_VALUE"""),85.7656362329259)</f>
        <v>85.76563623</v>
      </c>
      <c r="P2363" s="20">
        <f>IFERROR(__xludf.DUMMYFUNCTION("""COMPUTED_VALUE"""),1193.0)</f>
        <v>1193</v>
      </c>
      <c r="Q2363" s="20">
        <f>IFERROR(__xludf.DUMMYFUNCTION("""COMPUTED_VALUE"""),1391.0)</f>
        <v>1391</v>
      </c>
    </row>
    <row r="2364">
      <c r="A2364" s="20">
        <f>IFERROR(__xludf.DUMMYFUNCTION("""COMPUTED_VALUE"""),2447.0)</f>
        <v>2447</v>
      </c>
      <c r="B2364" s="20" t="str">
        <f>IFERROR(__xludf.DUMMYFUNCTION("""COMPUTED_VALUE"""),"Merge Similar Items")</f>
        <v>Merge Similar Items</v>
      </c>
      <c r="C2364" s="20" t="str">
        <f>IFERROR(__xludf.DUMMYFUNCTION("""COMPUTED_VALUE"""),"merge-similar-items")</f>
        <v>merge-similar-items</v>
      </c>
      <c r="D2364" s="20" t="b">
        <f>IFERROR(__xludf.DUMMYFUNCTION("""COMPUTED_VALUE"""),FALSE)</f>
        <v>0</v>
      </c>
      <c r="E2364" s="20" t="str">
        <f>IFERROR(__xludf.DUMMYFUNCTION("""COMPUTED_VALUE"""),"Easy")</f>
        <v>Easy</v>
      </c>
      <c r="F2364" s="20">
        <f>IFERROR(__xludf.DUMMYFUNCTION("""COMPUTED_VALUE"""),322.0)</f>
        <v>322</v>
      </c>
      <c r="G2364" s="20">
        <f>IFERROR(__xludf.DUMMYFUNCTION("""COMPUTED_VALUE"""),11.0)</f>
        <v>11</v>
      </c>
      <c r="H2364" s="20" t="str">
        <f>IFERROR(__xludf.DUMMYFUNCTION("""COMPUTED_VALUE"""),"Algorithms")</f>
        <v>Algorithms</v>
      </c>
      <c r="I2364" s="20">
        <f>IFERROR(__xludf.DUMMYFUNCTION("""COMPUTED_VALUE"""),0.755)</f>
        <v>0.755</v>
      </c>
      <c r="J2364" s="20">
        <f>IFERROR(__xludf.DUMMYFUNCTION("""COMPUTED_VALUE"""),2363.0)</f>
        <v>2363</v>
      </c>
      <c r="K2364" s="20" t="b">
        <f>IFERROR(__xludf.DUMMYFUNCTION("""COMPUTED_VALUE"""),FALSE)</f>
        <v>0</v>
      </c>
      <c r="L2364" s="20" t="str">
        <f>IFERROR(__xludf.DUMMYFUNCTION("""COMPUTED_VALUE"""),"Array;Hash Table;Sorting;Ordered Set;")</f>
        <v>Array;Hash Table;Sorting;Ordered Set;</v>
      </c>
      <c r="M2364" s="20" t="b">
        <f>IFERROR(__xludf.DUMMYFUNCTION("""COMPUTED_VALUE"""),FALSE)</f>
        <v>0</v>
      </c>
      <c r="N2364" s="20" t="b">
        <f>IFERROR(__xludf.DUMMYFUNCTION("""COMPUTED_VALUE"""),FALSE)</f>
        <v>0</v>
      </c>
      <c r="O2364" s="20">
        <f>IFERROR(__xludf.DUMMYFUNCTION("""COMPUTED_VALUE"""),75.4834440332344)</f>
        <v>75.48344403</v>
      </c>
      <c r="P2364" s="20">
        <f>IFERROR(__xludf.DUMMYFUNCTION("""COMPUTED_VALUE"""),30798.0)</f>
        <v>30798</v>
      </c>
      <c r="Q2364" s="20">
        <f>IFERROR(__xludf.DUMMYFUNCTION("""COMPUTED_VALUE"""),40801.0)</f>
        <v>40801</v>
      </c>
    </row>
    <row r="2365">
      <c r="A2365" s="20">
        <f>IFERROR(__xludf.DUMMYFUNCTION("""COMPUTED_VALUE"""),2448.0)</f>
        <v>2448</v>
      </c>
      <c r="B2365" s="20" t="str">
        <f>IFERROR(__xludf.DUMMYFUNCTION("""COMPUTED_VALUE"""),"Count Number of Bad Pairs")</f>
        <v>Count Number of Bad Pairs</v>
      </c>
      <c r="C2365" s="20" t="str">
        <f>IFERROR(__xludf.DUMMYFUNCTION("""COMPUTED_VALUE"""),"count-number-of-bad-pairs")</f>
        <v>count-number-of-bad-pairs</v>
      </c>
      <c r="D2365" s="20" t="b">
        <f>IFERROR(__xludf.DUMMYFUNCTION("""COMPUTED_VALUE"""),FALSE)</f>
        <v>0</v>
      </c>
      <c r="E2365" s="20" t="str">
        <f>IFERROR(__xludf.DUMMYFUNCTION("""COMPUTED_VALUE"""),"Medium")</f>
        <v>Medium</v>
      </c>
      <c r="F2365" s="20">
        <f>IFERROR(__xludf.DUMMYFUNCTION("""COMPUTED_VALUE"""),611.0)</f>
        <v>611</v>
      </c>
      <c r="G2365" s="20">
        <f>IFERROR(__xludf.DUMMYFUNCTION("""COMPUTED_VALUE"""),17.0)</f>
        <v>17</v>
      </c>
      <c r="H2365" s="20" t="str">
        <f>IFERROR(__xludf.DUMMYFUNCTION("""COMPUTED_VALUE"""),"Algorithms")</f>
        <v>Algorithms</v>
      </c>
      <c r="I2365" s="20">
        <f>IFERROR(__xludf.DUMMYFUNCTION("""COMPUTED_VALUE"""),0.409)</f>
        <v>0.409</v>
      </c>
      <c r="J2365" s="20">
        <f>IFERROR(__xludf.DUMMYFUNCTION("""COMPUTED_VALUE"""),2364.0)</f>
        <v>2364</v>
      </c>
      <c r="K2365" s="20" t="b">
        <f>IFERROR(__xludf.DUMMYFUNCTION("""COMPUTED_VALUE"""),FALSE)</f>
        <v>0</v>
      </c>
      <c r="L2365" s="20" t="str">
        <f>IFERROR(__xludf.DUMMYFUNCTION("""COMPUTED_VALUE"""),"Array;Hash Table;")</f>
        <v>Array;Hash Table;</v>
      </c>
      <c r="M2365" s="20" t="b">
        <f>IFERROR(__xludf.DUMMYFUNCTION("""COMPUTED_VALUE"""),FALSE)</f>
        <v>0</v>
      </c>
      <c r="N2365" s="20" t="b">
        <f>IFERROR(__xludf.DUMMYFUNCTION("""COMPUTED_VALUE"""),FALSE)</f>
        <v>0</v>
      </c>
      <c r="O2365" s="20">
        <f>IFERROR(__xludf.DUMMYFUNCTION("""COMPUTED_VALUE"""),40.9041700080192)</f>
        <v>40.90417001</v>
      </c>
      <c r="P2365" s="20">
        <f>IFERROR(__xludf.DUMMYFUNCTION("""COMPUTED_VALUE"""),20402.0)</f>
        <v>20402</v>
      </c>
      <c r="Q2365" s="20">
        <f>IFERROR(__xludf.DUMMYFUNCTION("""COMPUTED_VALUE"""),49878.0)</f>
        <v>49878</v>
      </c>
    </row>
    <row r="2366">
      <c r="A2366" s="20">
        <f>IFERROR(__xludf.DUMMYFUNCTION("""COMPUTED_VALUE"""),2483.0)</f>
        <v>2483</v>
      </c>
      <c r="B2366" s="20" t="str">
        <f>IFERROR(__xludf.DUMMYFUNCTION("""COMPUTED_VALUE"""),"Task Scheduler II")</f>
        <v>Task Scheduler II</v>
      </c>
      <c r="C2366" s="20" t="str">
        <f>IFERROR(__xludf.DUMMYFUNCTION("""COMPUTED_VALUE"""),"task-scheduler-ii")</f>
        <v>task-scheduler-ii</v>
      </c>
      <c r="D2366" s="20" t="b">
        <f>IFERROR(__xludf.DUMMYFUNCTION("""COMPUTED_VALUE"""),FALSE)</f>
        <v>0</v>
      </c>
      <c r="E2366" s="20" t="str">
        <f>IFERROR(__xludf.DUMMYFUNCTION("""COMPUTED_VALUE"""),"Medium")</f>
        <v>Medium</v>
      </c>
      <c r="F2366" s="20">
        <f>IFERROR(__xludf.DUMMYFUNCTION("""COMPUTED_VALUE"""),351.0)</f>
        <v>351</v>
      </c>
      <c r="G2366" s="20">
        <f>IFERROR(__xludf.DUMMYFUNCTION("""COMPUTED_VALUE"""),25.0)</f>
        <v>25</v>
      </c>
      <c r="H2366" s="20" t="str">
        <f>IFERROR(__xludf.DUMMYFUNCTION("""COMPUTED_VALUE"""),"Algorithms")</f>
        <v>Algorithms</v>
      </c>
      <c r="I2366" s="20">
        <f>IFERROR(__xludf.DUMMYFUNCTION("""COMPUTED_VALUE"""),0.464)</f>
        <v>0.464</v>
      </c>
      <c r="J2366" s="20">
        <f>IFERROR(__xludf.DUMMYFUNCTION("""COMPUTED_VALUE"""),2365.0)</f>
        <v>2365</v>
      </c>
      <c r="K2366" s="20" t="b">
        <f>IFERROR(__xludf.DUMMYFUNCTION("""COMPUTED_VALUE"""),FALSE)</f>
        <v>0</v>
      </c>
      <c r="L2366" s="20" t="str">
        <f>IFERROR(__xludf.DUMMYFUNCTION("""COMPUTED_VALUE"""),"Array;Hash Table;Simulation;")</f>
        <v>Array;Hash Table;Simulation;</v>
      </c>
      <c r="M2366" s="20" t="b">
        <f>IFERROR(__xludf.DUMMYFUNCTION("""COMPUTED_VALUE"""),FALSE)</f>
        <v>0</v>
      </c>
      <c r="N2366" s="20" t="b">
        <f>IFERROR(__xludf.DUMMYFUNCTION("""COMPUTED_VALUE"""),FALSE)</f>
        <v>0</v>
      </c>
      <c r="O2366" s="20">
        <f>IFERROR(__xludf.DUMMYFUNCTION("""COMPUTED_VALUE"""),46.3855760576057)</f>
        <v>46.38557606</v>
      </c>
      <c r="P2366" s="20">
        <f>IFERROR(__xludf.DUMMYFUNCTION("""COMPUTED_VALUE"""),16490.0)</f>
        <v>16490</v>
      </c>
      <c r="Q2366" s="20">
        <f>IFERROR(__xludf.DUMMYFUNCTION("""COMPUTED_VALUE"""),35551.0)</f>
        <v>35551</v>
      </c>
    </row>
    <row r="2367">
      <c r="A2367" s="20">
        <f>IFERROR(__xludf.DUMMYFUNCTION("""COMPUTED_VALUE"""),2450.0)</f>
        <v>2450</v>
      </c>
      <c r="B2367" s="20" t="str">
        <f>IFERROR(__xludf.DUMMYFUNCTION("""COMPUTED_VALUE"""),"Minimum Replacements to Sort the Array")</f>
        <v>Minimum Replacements to Sort the Array</v>
      </c>
      <c r="C2367" s="20" t="str">
        <f>IFERROR(__xludf.DUMMYFUNCTION("""COMPUTED_VALUE"""),"minimum-replacements-to-sort-the-array")</f>
        <v>minimum-replacements-to-sort-the-array</v>
      </c>
      <c r="D2367" s="20" t="b">
        <f>IFERROR(__xludf.DUMMYFUNCTION("""COMPUTED_VALUE"""),FALSE)</f>
        <v>0</v>
      </c>
      <c r="E2367" s="20" t="str">
        <f>IFERROR(__xludf.DUMMYFUNCTION("""COMPUTED_VALUE"""),"Hard")</f>
        <v>Hard</v>
      </c>
      <c r="F2367" s="20">
        <f>IFERROR(__xludf.DUMMYFUNCTION("""COMPUTED_VALUE"""),401.0)</f>
        <v>401</v>
      </c>
      <c r="G2367" s="20">
        <f>IFERROR(__xludf.DUMMYFUNCTION("""COMPUTED_VALUE"""),8.0)</f>
        <v>8</v>
      </c>
      <c r="H2367" s="20" t="str">
        <f>IFERROR(__xludf.DUMMYFUNCTION("""COMPUTED_VALUE"""),"Algorithms")</f>
        <v>Algorithms</v>
      </c>
      <c r="I2367" s="20">
        <f>IFERROR(__xludf.DUMMYFUNCTION("""COMPUTED_VALUE"""),0.401)</f>
        <v>0.401</v>
      </c>
      <c r="J2367" s="20">
        <f>IFERROR(__xludf.DUMMYFUNCTION("""COMPUTED_VALUE"""),2366.0)</f>
        <v>2366</v>
      </c>
      <c r="K2367" s="20" t="b">
        <f>IFERROR(__xludf.DUMMYFUNCTION("""COMPUTED_VALUE"""),FALSE)</f>
        <v>0</v>
      </c>
      <c r="L2367" s="20" t="str">
        <f>IFERROR(__xludf.DUMMYFUNCTION("""COMPUTED_VALUE"""),"Array;Math;Greedy;")</f>
        <v>Array;Math;Greedy;</v>
      </c>
      <c r="M2367" s="20" t="b">
        <f>IFERROR(__xludf.DUMMYFUNCTION("""COMPUTED_VALUE"""),FALSE)</f>
        <v>0</v>
      </c>
      <c r="N2367" s="20" t="b">
        <f>IFERROR(__xludf.DUMMYFUNCTION("""COMPUTED_VALUE"""),FALSE)</f>
        <v>0</v>
      </c>
      <c r="O2367" s="20">
        <f>IFERROR(__xludf.DUMMYFUNCTION("""COMPUTED_VALUE"""),40.1113309104292)</f>
        <v>40.11133091</v>
      </c>
      <c r="P2367" s="20">
        <f>IFERROR(__xludf.DUMMYFUNCTION("""COMPUTED_VALUE"""),8719.0)</f>
        <v>8719</v>
      </c>
      <c r="Q2367" s="20">
        <f>IFERROR(__xludf.DUMMYFUNCTION("""COMPUTED_VALUE"""),21737.0)</f>
        <v>21737</v>
      </c>
    </row>
    <row r="2368">
      <c r="A2368" s="20">
        <f>IFERROR(__xludf.DUMMYFUNCTION("""COMPUTED_VALUE"""),2442.0)</f>
        <v>2442</v>
      </c>
      <c r="B2368" s="20" t="str">
        <f>IFERROR(__xludf.DUMMYFUNCTION("""COMPUTED_VALUE"""),"Number of Arithmetic Triplets")</f>
        <v>Number of Arithmetic Triplets</v>
      </c>
      <c r="C2368" s="20" t="str">
        <f>IFERROR(__xludf.DUMMYFUNCTION("""COMPUTED_VALUE"""),"number-of-arithmetic-triplets")</f>
        <v>number-of-arithmetic-triplets</v>
      </c>
      <c r="D2368" s="20" t="b">
        <f>IFERROR(__xludf.DUMMYFUNCTION("""COMPUTED_VALUE"""),FALSE)</f>
        <v>0</v>
      </c>
      <c r="E2368" s="20" t="str">
        <f>IFERROR(__xludf.DUMMYFUNCTION("""COMPUTED_VALUE"""),"Easy")</f>
        <v>Easy</v>
      </c>
      <c r="F2368" s="20">
        <f>IFERROR(__xludf.DUMMYFUNCTION("""COMPUTED_VALUE"""),609.0)</f>
        <v>609</v>
      </c>
      <c r="G2368" s="20">
        <f>IFERROR(__xludf.DUMMYFUNCTION("""COMPUTED_VALUE"""),23.0)</f>
        <v>23</v>
      </c>
      <c r="H2368" s="20" t="str">
        <f>IFERROR(__xludf.DUMMYFUNCTION("""COMPUTED_VALUE"""),"Algorithms")</f>
        <v>Algorithms</v>
      </c>
      <c r="I2368" s="20">
        <f>IFERROR(__xludf.DUMMYFUNCTION("""COMPUTED_VALUE"""),0.837)</f>
        <v>0.837</v>
      </c>
      <c r="J2368" s="20">
        <f>IFERROR(__xludf.DUMMYFUNCTION("""COMPUTED_VALUE"""),2367.0)</f>
        <v>2367</v>
      </c>
      <c r="K2368" s="20" t="b">
        <f>IFERROR(__xludf.DUMMYFUNCTION("""COMPUTED_VALUE"""),FALSE)</f>
        <v>0</v>
      </c>
      <c r="L2368" s="20" t="str">
        <f>IFERROR(__xludf.DUMMYFUNCTION("""COMPUTED_VALUE"""),"Array;Hash Table;Two Pointers;Enumeration;")</f>
        <v>Array;Hash Table;Two Pointers;Enumeration;</v>
      </c>
      <c r="M2368" s="20" t="b">
        <f>IFERROR(__xludf.DUMMYFUNCTION("""COMPUTED_VALUE"""),FALSE)</f>
        <v>0</v>
      </c>
      <c r="N2368" s="20" t="b">
        <f>IFERROR(__xludf.DUMMYFUNCTION("""COMPUTED_VALUE"""),FALSE)</f>
        <v>0</v>
      </c>
      <c r="O2368" s="20">
        <f>IFERROR(__xludf.DUMMYFUNCTION("""COMPUTED_VALUE"""),83.6546753726746)</f>
        <v>83.65467537</v>
      </c>
      <c r="P2368" s="20">
        <f>IFERROR(__xludf.DUMMYFUNCTION("""COMPUTED_VALUE"""),54319.0)</f>
        <v>54319</v>
      </c>
      <c r="Q2368" s="20">
        <f>IFERROR(__xludf.DUMMYFUNCTION("""COMPUTED_VALUE"""),64933.0)</f>
        <v>64933</v>
      </c>
    </row>
    <row r="2369">
      <c r="A2369" s="20">
        <f>IFERROR(__xludf.DUMMYFUNCTION("""COMPUTED_VALUE"""),2445.0)</f>
        <v>2445</v>
      </c>
      <c r="B2369" s="20" t="str">
        <f>IFERROR(__xludf.DUMMYFUNCTION("""COMPUTED_VALUE"""),"Reachable Nodes With Restrictions")</f>
        <v>Reachable Nodes With Restrictions</v>
      </c>
      <c r="C2369" s="20" t="str">
        <f>IFERROR(__xludf.DUMMYFUNCTION("""COMPUTED_VALUE"""),"reachable-nodes-with-restrictions")</f>
        <v>reachable-nodes-with-restrictions</v>
      </c>
      <c r="D2369" s="20" t="b">
        <f>IFERROR(__xludf.DUMMYFUNCTION("""COMPUTED_VALUE"""),FALSE)</f>
        <v>0</v>
      </c>
      <c r="E2369" s="20" t="str">
        <f>IFERROR(__xludf.DUMMYFUNCTION("""COMPUTED_VALUE"""),"Medium")</f>
        <v>Medium</v>
      </c>
      <c r="F2369" s="20">
        <f>IFERROR(__xludf.DUMMYFUNCTION("""COMPUTED_VALUE"""),404.0)</f>
        <v>404</v>
      </c>
      <c r="G2369" s="20">
        <f>IFERROR(__xludf.DUMMYFUNCTION("""COMPUTED_VALUE"""),17.0)</f>
        <v>17</v>
      </c>
      <c r="H2369" s="20" t="str">
        <f>IFERROR(__xludf.DUMMYFUNCTION("""COMPUTED_VALUE"""),"Algorithms")</f>
        <v>Algorithms</v>
      </c>
      <c r="I2369" s="20">
        <f>IFERROR(__xludf.DUMMYFUNCTION("""COMPUTED_VALUE"""),0.576)</f>
        <v>0.576</v>
      </c>
      <c r="J2369" s="20">
        <f>IFERROR(__xludf.DUMMYFUNCTION("""COMPUTED_VALUE"""),2368.0)</f>
        <v>2368</v>
      </c>
      <c r="K2369" s="20" t="b">
        <f>IFERROR(__xludf.DUMMYFUNCTION("""COMPUTED_VALUE"""),FALSE)</f>
        <v>0</v>
      </c>
      <c r="L2369" s="20" t="str">
        <f>IFERROR(__xludf.DUMMYFUNCTION("""COMPUTED_VALUE"""),"Array;Hash Table;Tree;Depth-First Search;Breadth-First Search;Graph;")</f>
        <v>Array;Hash Table;Tree;Depth-First Search;Breadth-First Search;Graph;</v>
      </c>
      <c r="M2369" s="20" t="b">
        <f>IFERROR(__xludf.DUMMYFUNCTION("""COMPUTED_VALUE"""),TRUE)</f>
        <v>1</v>
      </c>
      <c r="N2369" s="20" t="b">
        <f>IFERROR(__xludf.DUMMYFUNCTION("""COMPUTED_VALUE"""),FALSE)</f>
        <v>0</v>
      </c>
      <c r="O2369" s="20">
        <f>IFERROR(__xludf.DUMMYFUNCTION("""COMPUTED_VALUE"""),57.6196269261962)</f>
        <v>57.61962693</v>
      </c>
      <c r="P2369" s="20">
        <f>IFERROR(__xludf.DUMMYFUNCTION("""COMPUTED_VALUE"""),28417.0)</f>
        <v>28417</v>
      </c>
      <c r="Q2369" s="20">
        <f>IFERROR(__xludf.DUMMYFUNCTION("""COMPUTED_VALUE"""),49316.0)</f>
        <v>49316</v>
      </c>
    </row>
    <row r="2370">
      <c r="A2370" s="20">
        <f>IFERROR(__xludf.DUMMYFUNCTION("""COMPUTED_VALUE"""),2443.0)</f>
        <v>2443</v>
      </c>
      <c r="B2370" s="20" t="str">
        <f>IFERROR(__xludf.DUMMYFUNCTION("""COMPUTED_VALUE"""),"Check if There is a Valid Partition For The Array")</f>
        <v>Check if There is a Valid Partition For The Array</v>
      </c>
      <c r="C2370" s="20" t="str">
        <f>IFERROR(__xludf.DUMMYFUNCTION("""COMPUTED_VALUE"""),"check-if-there-is-a-valid-partition-for-the-array")</f>
        <v>check-if-there-is-a-valid-partition-for-the-array</v>
      </c>
      <c r="D2370" s="20" t="b">
        <f>IFERROR(__xludf.DUMMYFUNCTION("""COMPUTED_VALUE"""),FALSE)</f>
        <v>0</v>
      </c>
      <c r="E2370" s="20" t="str">
        <f>IFERROR(__xludf.DUMMYFUNCTION("""COMPUTED_VALUE"""),"Medium")</f>
        <v>Medium</v>
      </c>
      <c r="F2370" s="20">
        <f>IFERROR(__xludf.DUMMYFUNCTION("""COMPUTED_VALUE"""),477.0)</f>
        <v>477</v>
      </c>
      <c r="G2370" s="20">
        <f>IFERROR(__xludf.DUMMYFUNCTION("""COMPUTED_VALUE"""),91.0)</f>
        <v>91</v>
      </c>
      <c r="H2370" s="20" t="str">
        <f>IFERROR(__xludf.DUMMYFUNCTION("""COMPUTED_VALUE"""),"Algorithms")</f>
        <v>Algorithms</v>
      </c>
      <c r="I2370" s="20">
        <f>IFERROR(__xludf.DUMMYFUNCTION("""COMPUTED_VALUE"""),0.402)</f>
        <v>0.402</v>
      </c>
      <c r="J2370" s="20">
        <f>IFERROR(__xludf.DUMMYFUNCTION("""COMPUTED_VALUE"""),2369.0)</f>
        <v>2369</v>
      </c>
      <c r="K2370" s="20" t="b">
        <f>IFERROR(__xludf.DUMMYFUNCTION("""COMPUTED_VALUE"""),FALSE)</f>
        <v>0</v>
      </c>
      <c r="L2370" s="20" t="str">
        <f>IFERROR(__xludf.DUMMYFUNCTION("""COMPUTED_VALUE"""),"Array;Dynamic Programming;")</f>
        <v>Array;Dynamic Programming;</v>
      </c>
      <c r="M2370" s="20" t="b">
        <f>IFERROR(__xludf.DUMMYFUNCTION("""COMPUTED_VALUE"""),FALSE)</f>
        <v>0</v>
      </c>
      <c r="N2370" s="20" t="b">
        <f>IFERROR(__xludf.DUMMYFUNCTION("""COMPUTED_VALUE"""),FALSE)</f>
        <v>0</v>
      </c>
      <c r="O2370" s="20">
        <f>IFERROR(__xludf.DUMMYFUNCTION("""COMPUTED_VALUE"""),40.2022115511696)</f>
        <v>40.20221155</v>
      </c>
      <c r="P2370" s="20">
        <f>IFERROR(__xludf.DUMMYFUNCTION("""COMPUTED_VALUE"""),18251.0)</f>
        <v>18251</v>
      </c>
      <c r="Q2370" s="20">
        <f>IFERROR(__xludf.DUMMYFUNCTION("""COMPUTED_VALUE"""),45396.0)</f>
        <v>45396</v>
      </c>
    </row>
    <row r="2371">
      <c r="A2371" s="20">
        <f>IFERROR(__xludf.DUMMYFUNCTION("""COMPUTED_VALUE"""),2444.0)</f>
        <v>2444</v>
      </c>
      <c r="B2371" s="20" t="str">
        <f>IFERROR(__xludf.DUMMYFUNCTION("""COMPUTED_VALUE"""),"Longest Ideal Subsequence")</f>
        <v>Longest Ideal Subsequence</v>
      </c>
      <c r="C2371" s="20" t="str">
        <f>IFERROR(__xludf.DUMMYFUNCTION("""COMPUTED_VALUE"""),"longest-ideal-subsequence")</f>
        <v>longest-ideal-subsequence</v>
      </c>
      <c r="D2371" s="20" t="b">
        <f>IFERROR(__xludf.DUMMYFUNCTION("""COMPUTED_VALUE"""),FALSE)</f>
        <v>0</v>
      </c>
      <c r="E2371" s="20" t="str">
        <f>IFERROR(__xludf.DUMMYFUNCTION("""COMPUTED_VALUE"""),"Medium")</f>
        <v>Medium</v>
      </c>
      <c r="F2371" s="20">
        <f>IFERROR(__xludf.DUMMYFUNCTION("""COMPUTED_VALUE"""),583.0)</f>
        <v>583</v>
      </c>
      <c r="G2371" s="20">
        <f>IFERROR(__xludf.DUMMYFUNCTION("""COMPUTED_VALUE"""),18.0)</f>
        <v>18</v>
      </c>
      <c r="H2371" s="20" t="str">
        <f>IFERROR(__xludf.DUMMYFUNCTION("""COMPUTED_VALUE"""),"Algorithms")</f>
        <v>Algorithms</v>
      </c>
      <c r="I2371" s="20">
        <f>IFERROR(__xludf.DUMMYFUNCTION("""COMPUTED_VALUE"""),0.379)</f>
        <v>0.379</v>
      </c>
      <c r="J2371" s="20">
        <f>IFERROR(__xludf.DUMMYFUNCTION("""COMPUTED_VALUE"""),2370.0)</f>
        <v>2370</v>
      </c>
      <c r="K2371" s="20" t="b">
        <f>IFERROR(__xludf.DUMMYFUNCTION("""COMPUTED_VALUE"""),FALSE)</f>
        <v>0</v>
      </c>
      <c r="L2371" s="20" t="str">
        <f>IFERROR(__xludf.DUMMYFUNCTION("""COMPUTED_VALUE"""),"Hash Table;String;Dynamic Programming;")</f>
        <v>Hash Table;String;Dynamic Programming;</v>
      </c>
      <c r="M2371" s="20" t="b">
        <f>IFERROR(__xludf.DUMMYFUNCTION("""COMPUTED_VALUE"""),FALSE)</f>
        <v>0</v>
      </c>
      <c r="N2371" s="20" t="b">
        <f>IFERROR(__xludf.DUMMYFUNCTION("""COMPUTED_VALUE"""),FALSE)</f>
        <v>0</v>
      </c>
      <c r="O2371" s="20">
        <f>IFERROR(__xludf.DUMMYFUNCTION("""COMPUTED_VALUE"""),37.8867732063923)</f>
        <v>37.88677321</v>
      </c>
      <c r="P2371" s="20">
        <f>IFERROR(__xludf.DUMMYFUNCTION("""COMPUTED_VALUE"""),17828.0)</f>
        <v>17828</v>
      </c>
      <c r="Q2371" s="20">
        <f>IFERROR(__xludf.DUMMYFUNCTION("""COMPUTED_VALUE"""),47056.0)</f>
        <v>47056</v>
      </c>
    </row>
    <row r="2372">
      <c r="A2372" s="20">
        <f>IFERROR(__xludf.DUMMYFUNCTION("""COMPUTED_VALUE"""),2506.0)</f>
        <v>2506</v>
      </c>
      <c r="B2372" s="20" t="str">
        <f>IFERROR(__xludf.DUMMYFUNCTION("""COMPUTED_VALUE"""),"Minimize Maximum Value in a Grid")</f>
        <v>Minimize Maximum Value in a Grid</v>
      </c>
      <c r="C2372" s="20" t="str">
        <f>IFERROR(__xludf.DUMMYFUNCTION("""COMPUTED_VALUE"""),"minimize-maximum-value-in-a-grid")</f>
        <v>minimize-maximum-value-in-a-grid</v>
      </c>
      <c r="D2372" s="20" t="b">
        <f>IFERROR(__xludf.DUMMYFUNCTION("""COMPUTED_VALUE"""),TRUE)</f>
        <v>1</v>
      </c>
      <c r="E2372" s="20" t="str">
        <f>IFERROR(__xludf.DUMMYFUNCTION("""COMPUTED_VALUE"""),"Hard")</f>
        <v>Hard</v>
      </c>
      <c r="F2372" s="20">
        <f>IFERROR(__xludf.DUMMYFUNCTION("""COMPUTED_VALUE"""),33.0)</f>
        <v>33</v>
      </c>
      <c r="G2372" s="20">
        <f>IFERROR(__xludf.DUMMYFUNCTION("""COMPUTED_VALUE"""),1.0)</f>
        <v>1</v>
      </c>
      <c r="H2372" s="20" t="str">
        <f>IFERROR(__xludf.DUMMYFUNCTION("""COMPUTED_VALUE"""),"Algorithms")</f>
        <v>Algorithms</v>
      </c>
      <c r="I2372" s="20">
        <f>IFERROR(__xludf.DUMMYFUNCTION("""COMPUTED_VALUE"""),0.701)</f>
        <v>0.701</v>
      </c>
      <c r="J2372" s="20">
        <f>IFERROR(__xludf.DUMMYFUNCTION("""COMPUTED_VALUE"""),2371.0)</f>
        <v>2371</v>
      </c>
      <c r="K2372" s="20" t="b">
        <f>IFERROR(__xludf.DUMMYFUNCTION("""COMPUTED_VALUE"""),TRUE)</f>
        <v>1</v>
      </c>
      <c r="L2372" s="20" t="str">
        <f>IFERROR(__xludf.DUMMYFUNCTION("""COMPUTED_VALUE"""),"Array;Greedy;Union Find;Graph;Topological Sort;Sorting;Matrix;")</f>
        <v>Array;Greedy;Union Find;Graph;Topological Sort;Sorting;Matrix;</v>
      </c>
      <c r="M2372" s="20" t="b">
        <f>IFERROR(__xludf.DUMMYFUNCTION("""COMPUTED_VALUE"""),FALSE)</f>
        <v>0</v>
      </c>
      <c r="N2372" s="20" t="b">
        <f>IFERROR(__xludf.DUMMYFUNCTION("""COMPUTED_VALUE"""),FALSE)</f>
        <v>0</v>
      </c>
      <c r="O2372" s="20">
        <f>IFERROR(__xludf.DUMMYFUNCTION("""COMPUTED_VALUE"""),70.1040681173131)</f>
        <v>70.10406812</v>
      </c>
      <c r="P2372" s="20">
        <f>IFERROR(__xludf.DUMMYFUNCTION("""COMPUTED_VALUE"""),741.0)</f>
        <v>741</v>
      </c>
      <c r="Q2372" s="20">
        <f>IFERROR(__xludf.DUMMYFUNCTION("""COMPUTED_VALUE"""),1057.0)</f>
        <v>1057</v>
      </c>
    </row>
    <row r="2373">
      <c r="A2373" s="20">
        <f>IFERROR(__xludf.DUMMYFUNCTION("""COMPUTED_VALUE"""),2515.0)</f>
        <v>2515</v>
      </c>
      <c r="B2373" s="20" t="str">
        <f>IFERROR(__xludf.DUMMYFUNCTION("""COMPUTED_VALUE"""),"Calculate the Influence of Each Salesperson")</f>
        <v>Calculate the Influence of Each Salesperson</v>
      </c>
      <c r="C2373" s="20" t="str">
        <f>IFERROR(__xludf.DUMMYFUNCTION("""COMPUTED_VALUE"""),"calculate-the-influence-of-each-salesperson")</f>
        <v>calculate-the-influence-of-each-salesperson</v>
      </c>
      <c r="D2373" s="20" t="b">
        <f>IFERROR(__xludf.DUMMYFUNCTION("""COMPUTED_VALUE"""),TRUE)</f>
        <v>1</v>
      </c>
      <c r="E2373" s="20" t="str">
        <f>IFERROR(__xludf.DUMMYFUNCTION("""COMPUTED_VALUE"""),"Medium")</f>
        <v>Medium</v>
      </c>
      <c r="F2373" s="20">
        <f>IFERROR(__xludf.DUMMYFUNCTION("""COMPUTED_VALUE"""),18.0)</f>
        <v>18</v>
      </c>
      <c r="G2373" s="20">
        <f>IFERROR(__xludf.DUMMYFUNCTION("""COMPUTED_VALUE"""),4.0)</f>
        <v>4</v>
      </c>
      <c r="H2373" s="20" t="str">
        <f>IFERROR(__xludf.DUMMYFUNCTION("""COMPUTED_VALUE"""),"Database")</f>
        <v>Database</v>
      </c>
      <c r="I2373" s="20">
        <f>IFERROR(__xludf.DUMMYFUNCTION("""COMPUTED_VALUE"""),0.875)</f>
        <v>0.875</v>
      </c>
      <c r="J2373" s="20">
        <f>IFERROR(__xludf.DUMMYFUNCTION("""COMPUTED_VALUE"""),2372.0)</f>
        <v>2372</v>
      </c>
      <c r="K2373" s="20" t="b">
        <f>IFERROR(__xludf.DUMMYFUNCTION("""COMPUTED_VALUE"""),TRUE)</f>
        <v>1</v>
      </c>
      <c r="L2373" s="20" t="str">
        <f>IFERROR(__xludf.DUMMYFUNCTION("""COMPUTED_VALUE"""),"Database;")</f>
        <v>Database;</v>
      </c>
      <c r="M2373" s="20" t="b">
        <f>IFERROR(__xludf.DUMMYFUNCTION("""COMPUTED_VALUE"""),FALSE)</f>
        <v>0</v>
      </c>
      <c r="N2373" s="20" t="b">
        <f>IFERROR(__xludf.DUMMYFUNCTION("""COMPUTED_VALUE"""),FALSE)</f>
        <v>0</v>
      </c>
      <c r="O2373" s="20">
        <f>IFERROR(__xludf.DUMMYFUNCTION("""COMPUTED_VALUE"""),87.542413960252)</f>
        <v>87.54241396</v>
      </c>
      <c r="P2373" s="20">
        <f>IFERROR(__xludf.DUMMYFUNCTION("""COMPUTED_VALUE"""),1806.0)</f>
        <v>1806</v>
      </c>
      <c r="Q2373" s="20">
        <f>IFERROR(__xludf.DUMMYFUNCTION("""COMPUTED_VALUE"""),2063.0)</f>
        <v>2063</v>
      </c>
    </row>
    <row r="2374">
      <c r="A2374" s="20">
        <f>IFERROR(__xludf.DUMMYFUNCTION("""COMPUTED_VALUE"""),2454.0)</f>
        <v>2454</v>
      </c>
      <c r="B2374" s="20" t="str">
        <f>IFERROR(__xludf.DUMMYFUNCTION("""COMPUTED_VALUE"""),"Largest Local Values in a Matrix")</f>
        <v>Largest Local Values in a Matrix</v>
      </c>
      <c r="C2374" s="20" t="str">
        <f>IFERROR(__xludf.DUMMYFUNCTION("""COMPUTED_VALUE"""),"largest-local-values-in-a-matrix")</f>
        <v>largest-local-values-in-a-matrix</v>
      </c>
      <c r="D2374" s="20" t="b">
        <f>IFERROR(__xludf.DUMMYFUNCTION("""COMPUTED_VALUE"""),FALSE)</f>
        <v>0</v>
      </c>
      <c r="E2374" s="20" t="str">
        <f>IFERROR(__xludf.DUMMYFUNCTION("""COMPUTED_VALUE"""),"Easy")</f>
        <v>Easy</v>
      </c>
      <c r="F2374" s="20">
        <f>IFERROR(__xludf.DUMMYFUNCTION("""COMPUTED_VALUE"""),394.0)</f>
        <v>394</v>
      </c>
      <c r="G2374" s="20">
        <f>IFERROR(__xludf.DUMMYFUNCTION("""COMPUTED_VALUE"""),36.0)</f>
        <v>36</v>
      </c>
      <c r="H2374" s="20" t="str">
        <f>IFERROR(__xludf.DUMMYFUNCTION("""COMPUTED_VALUE"""),"Algorithms")</f>
        <v>Algorithms</v>
      </c>
      <c r="I2374" s="20">
        <f>IFERROR(__xludf.DUMMYFUNCTION("""COMPUTED_VALUE"""),0.836)</f>
        <v>0.836</v>
      </c>
      <c r="J2374" s="20">
        <f>IFERROR(__xludf.DUMMYFUNCTION("""COMPUTED_VALUE"""),2373.0)</f>
        <v>2373</v>
      </c>
      <c r="K2374" s="20" t="b">
        <f>IFERROR(__xludf.DUMMYFUNCTION("""COMPUTED_VALUE"""),FALSE)</f>
        <v>0</v>
      </c>
      <c r="L2374" s="20" t="str">
        <f>IFERROR(__xludf.DUMMYFUNCTION("""COMPUTED_VALUE"""),"Array;Matrix;")</f>
        <v>Array;Matrix;</v>
      </c>
      <c r="M2374" s="20" t="b">
        <f>IFERROR(__xludf.DUMMYFUNCTION("""COMPUTED_VALUE"""),FALSE)</f>
        <v>0</v>
      </c>
      <c r="N2374" s="20" t="b">
        <f>IFERROR(__xludf.DUMMYFUNCTION("""COMPUTED_VALUE"""),FALSE)</f>
        <v>0</v>
      </c>
      <c r="O2374" s="20">
        <f>IFERROR(__xludf.DUMMYFUNCTION("""COMPUTED_VALUE"""),83.6421761394177)</f>
        <v>83.64217614</v>
      </c>
      <c r="P2374" s="20">
        <f>IFERROR(__xludf.DUMMYFUNCTION("""COMPUTED_VALUE"""),29563.0)</f>
        <v>29563</v>
      </c>
      <c r="Q2374" s="20">
        <f>IFERROR(__xludf.DUMMYFUNCTION("""COMPUTED_VALUE"""),35345.0)</f>
        <v>35345</v>
      </c>
    </row>
    <row r="2375">
      <c r="A2375" s="20">
        <f>IFERROR(__xludf.DUMMYFUNCTION("""COMPUTED_VALUE"""),2455.0)</f>
        <v>2455</v>
      </c>
      <c r="B2375" s="20" t="str">
        <f>IFERROR(__xludf.DUMMYFUNCTION("""COMPUTED_VALUE"""),"Node With Highest Edge Score")</f>
        <v>Node With Highest Edge Score</v>
      </c>
      <c r="C2375" s="20" t="str">
        <f>IFERROR(__xludf.DUMMYFUNCTION("""COMPUTED_VALUE"""),"node-with-highest-edge-score")</f>
        <v>node-with-highest-edge-score</v>
      </c>
      <c r="D2375" s="20" t="b">
        <f>IFERROR(__xludf.DUMMYFUNCTION("""COMPUTED_VALUE"""),FALSE)</f>
        <v>0</v>
      </c>
      <c r="E2375" s="20" t="str">
        <f>IFERROR(__xludf.DUMMYFUNCTION("""COMPUTED_VALUE"""),"Medium")</f>
        <v>Medium</v>
      </c>
      <c r="F2375" s="20">
        <f>IFERROR(__xludf.DUMMYFUNCTION("""COMPUTED_VALUE"""),292.0)</f>
        <v>292</v>
      </c>
      <c r="G2375" s="20">
        <f>IFERROR(__xludf.DUMMYFUNCTION("""COMPUTED_VALUE"""),25.0)</f>
        <v>25</v>
      </c>
      <c r="H2375" s="20" t="str">
        <f>IFERROR(__xludf.DUMMYFUNCTION("""COMPUTED_VALUE"""),"Algorithms")</f>
        <v>Algorithms</v>
      </c>
      <c r="I2375" s="20">
        <f>IFERROR(__xludf.DUMMYFUNCTION("""COMPUTED_VALUE"""),0.464)</f>
        <v>0.464</v>
      </c>
      <c r="J2375" s="20">
        <f>IFERROR(__xludf.DUMMYFUNCTION("""COMPUTED_VALUE"""),2374.0)</f>
        <v>2374</v>
      </c>
      <c r="K2375" s="20" t="b">
        <f>IFERROR(__xludf.DUMMYFUNCTION("""COMPUTED_VALUE"""),FALSE)</f>
        <v>0</v>
      </c>
      <c r="L2375" s="20" t="str">
        <f>IFERROR(__xludf.DUMMYFUNCTION("""COMPUTED_VALUE"""),"Hash Table;Graph;")</f>
        <v>Hash Table;Graph;</v>
      </c>
      <c r="M2375" s="20" t="b">
        <f>IFERROR(__xludf.DUMMYFUNCTION("""COMPUTED_VALUE"""),FALSE)</f>
        <v>0</v>
      </c>
      <c r="N2375" s="20" t="b">
        <f>IFERROR(__xludf.DUMMYFUNCTION("""COMPUTED_VALUE"""),FALSE)</f>
        <v>0</v>
      </c>
      <c r="O2375" s="20">
        <f>IFERROR(__xludf.DUMMYFUNCTION("""COMPUTED_VALUE"""),46.4291870152255)</f>
        <v>46.42918702</v>
      </c>
      <c r="P2375" s="20">
        <f>IFERROR(__xludf.DUMMYFUNCTION("""COMPUTED_VALUE"""),24242.0)</f>
        <v>24242</v>
      </c>
      <c r="Q2375" s="20">
        <f>IFERROR(__xludf.DUMMYFUNCTION("""COMPUTED_VALUE"""),52214.0)</f>
        <v>52214</v>
      </c>
    </row>
    <row r="2376">
      <c r="A2376" s="20">
        <f>IFERROR(__xludf.DUMMYFUNCTION("""COMPUTED_VALUE"""),2456.0)</f>
        <v>2456</v>
      </c>
      <c r="B2376" s="20" t="str">
        <f>IFERROR(__xludf.DUMMYFUNCTION("""COMPUTED_VALUE"""),"Construct Smallest Number From DI String")</f>
        <v>Construct Smallest Number From DI String</v>
      </c>
      <c r="C2376" s="20" t="str">
        <f>IFERROR(__xludf.DUMMYFUNCTION("""COMPUTED_VALUE"""),"construct-smallest-number-from-di-string")</f>
        <v>construct-smallest-number-from-di-string</v>
      </c>
      <c r="D2376" s="20" t="b">
        <f>IFERROR(__xludf.DUMMYFUNCTION("""COMPUTED_VALUE"""),FALSE)</f>
        <v>0</v>
      </c>
      <c r="E2376" s="20" t="str">
        <f>IFERROR(__xludf.DUMMYFUNCTION("""COMPUTED_VALUE"""),"Medium")</f>
        <v>Medium</v>
      </c>
      <c r="F2376" s="20">
        <f>IFERROR(__xludf.DUMMYFUNCTION("""COMPUTED_VALUE"""),593.0)</f>
        <v>593</v>
      </c>
      <c r="G2376" s="20">
        <f>IFERROR(__xludf.DUMMYFUNCTION("""COMPUTED_VALUE"""),22.0)</f>
        <v>22</v>
      </c>
      <c r="H2376" s="20" t="str">
        <f>IFERROR(__xludf.DUMMYFUNCTION("""COMPUTED_VALUE"""),"Algorithms")</f>
        <v>Algorithms</v>
      </c>
      <c r="I2376" s="20">
        <f>IFERROR(__xludf.DUMMYFUNCTION("""COMPUTED_VALUE"""),0.741)</f>
        <v>0.741</v>
      </c>
      <c r="J2376" s="20">
        <f>IFERROR(__xludf.DUMMYFUNCTION("""COMPUTED_VALUE"""),2375.0)</f>
        <v>2375</v>
      </c>
      <c r="K2376" s="20" t="b">
        <f>IFERROR(__xludf.DUMMYFUNCTION("""COMPUTED_VALUE"""),FALSE)</f>
        <v>0</v>
      </c>
      <c r="L2376" s="20" t="str">
        <f>IFERROR(__xludf.DUMMYFUNCTION("""COMPUTED_VALUE"""),"String;Backtracking;Stack;Greedy;")</f>
        <v>String;Backtracking;Stack;Greedy;</v>
      </c>
      <c r="M2376" s="20" t="b">
        <f>IFERROR(__xludf.DUMMYFUNCTION("""COMPUTED_VALUE"""),FALSE)</f>
        <v>0</v>
      </c>
      <c r="N2376" s="20" t="b">
        <f>IFERROR(__xludf.DUMMYFUNCTION("""COMPUTED_VALUE"""),FALSE)</f>
        <v>0</v>
      </c>
      <c r="O2376" s="20">
        <f>IFERROR(__xludf.DUMMYFUNCTION("""COMPUTED_VALUE"""),74.1306286223807)</f>
        <v>74.13062862</v>
      </c>
      <c r="P2376" s="20">
        <f>IFERROR(__xludf.DUMMYFUNCTION("""COMPUTED_VALUE"""),19953.0)</f>
        <v>19953</v>
      </c>
      <c r="Q2376" s="20">
        <f>IFERROR(__xludf.DUMMYFUNCTION("""COMPUTED_VALUE"""),26916.0)</f>
        <v>26916</v>
      </c>
    </row>
    <row r="2377">
      <c r="A2377" s="20">
        <f>IFERROR(__xludf.DUMMYFUNCTION("""COMPUTED_VALUE"""),2457.0)</f>
        <v>2457</v>
      </c>
      <c r="B2377" s="20" t="str">
        <f>IFERROR(__xludf.DUMMYFUNCTION("""COMPUTED_VALUE"""),"Count Special Integers")</f>
        <v>Count Special Integers</v>
      </c>
      <c r="C2377" s="20" t="str">
        <f>IFERROR(__xludf.DUMMYFUNCTION("""COMPUTED_VALUE"""),"count-special-integers")</f>
        <v>count-special-integers</v>
      </c>
      <c r="D2377" s="20" t="b">
        <f>IFERROR(__xludf.DUMMYFUNCTION("""COMPUTED_VALUE"""),FALSE)</f>
        <v>0</v>
      </c>
      <c r="E2377" s="20" t="str">
        <f>IFERROR(__xludf.DUMMYFUNCTION("""COMPUTED_VALUE"""),"Hard")</f>
        <v>Hard</v>
      </c>
      <c r="F2377" s="20">
        <f>IFERROR(__xludf.DUMMYFUNCTION("""COMPUTED_VALUE"""),419.0)</f>
        <v>419</v>
      </c>
      <c r="G2377" s="20">
        <f>IFERROR(__xludf.DUMMYFUNCTION("""COMPUTED_VALUE"""),29.0)</f>
        <v>29</v>
      </c>
      <c r="H2377" s="20" t="str">
        <f>IFERROR(__xludf.DUMMYFUNCTION("""COMPUTED_VALUE"""),"Algorithms")</f>
        <v>Algorithms</v>
      </c>
      <c r="I2377" s="20">
        <f>IFERROR(__xludf.DUMMYFUNCTION("""COMPUTED_VALUE"""),0.365)</f>
        <v>0.365</v>
      </c>
      <c r="J2377" s="20">
        <f>IFERROR(__xludf.DUMMYFUNCTION("""COMPUTED_VALUE"""),2376.0)</f>
        <v>2376</v>
      </c>
      <c r="K2377" s="20" t="b">
        <f>IFERROR(__xludf.DUMMYFUNCTION("""COMPUTED_VALUE"""),FALSE)</f>
        <v>0</v>
      </c>
      <c r="L2377" s="20" t="str">
        <f>IFERROR(__xludf.DUMMYFUNCTION("""COMPUTED_VALUE"""),"Math;Dynamic Programming;")</f>
        <v>Math;Dynamic Programming;</v>
      </c>
      <c r="M2377" s="20" t="b">
        <f>IFERROR(__xludf.DUMMYFUNCTION("""COMPUTED_VALUE"""),FALSE)</f>
        <v>0</v>
      </c>
      <c r="N2377" s="20" t="b">
        <f>IFERROR(__xludf.DUMMYFUNCTION("""COMPUTED_VALUE"""),FALSE)</f>
        <v>0</v>
      </c>
      <c r="O2377" s="20">
        <f>IFERROR(__xludf.DUMMYFUNCTION("""COMPUTED_VALUE"""),36.4840324223767)</f>
        <v>36.48403242</v>
      </c>
      <c r="P2377" s="20">
        <f>IFERROR(__xludf.DUMMYFUNCTION("""COMPUTED_VALUE"""),8237.0)</f>
        <v>8237</v>
      </c>
      <c r="Q2377" s="20">
        <f>IFERROR(__xludf.DUMMYFUNCTION("""COMPUTED_VALUE"""),22577.0)</f>
        <v>22577</v>
      </c>
    </row>
    <row r="2378">
      <c r="A2378" s="20">
        <f>IFERROR(__xludf.DUMMYFUNCTION("""COMPUTED_VALUE"""),2516.0)</f>
        <v>2516</v>
      </c>
      <c r="B2378" s="20" t="str">
        <f>IFERROR(__xludf.DUMMYFUNCTION("""COMPUTED_VALUE"""),"Sort the Olympic Table")</f>
        <v>Sort the Olympic Table</v>
      </c>
      <c r="C2378" s="20" t="str">
        <f>IFERROR(__xludf.DUMMYFUNCTION("""COMPUTED_VALUE"""),"sort-the-olympic-table")</f>
        <v>sort-the-olympic-table</v>
      </c>
      <c r="D2378" s="20" t="b">
        <f>IFERROR(__xludf.DUMMYFUNCTION("""COMPUTED_VALUE"""),TRUE)</f>
        <v>1</v>
      </c>
      <c r="E2378" s="20" t="str">
        <f>IFERROR(__xludf.DUMMYFUNCTION("""COMPUTED_VALUE"""),"Easy")</f>
        <v>Easy</v>
      </c>
      <c r="F2378" s="20">
        <f>IFERROR(__xludf.DUMMYFUNCTION("""COMPUTED_VALUE"""),19.0)</f>
        <v>19</v>
      </c>
      <c r="G2378" s="20">
        <f>IFERROR(__xludf.DUMMYFUNCTION("""COMPUTED_VALUE"""),1.0)</f>
        <v>1</v>
      </c>
      <c r="H2378" s="20" t="str">
        <f>IFERROR(__xludf.DUMMYFUNCTION("""COMPUTED_VALUE"""),"Database")</f>
        <v>Database</v>
      </c>
      <c r="I2378" s="20">
        <f>IFERROR(__xludf.DUMMYFUNCTION("""COMPUTED_VALUE"""),0.802)</f>
        <v>0.802</v>
      </c>
      <c r="J2378" s="20">
        <f>IFERROR(__xludf.DUMMYFUNCTION("""COMPUTED_VALUE"""),2377.0)</f>
        <v>2377</v>
      </c>
      <c r="K2378" s="20" t="b">
        <f>IFERROR(__xludf.DUMMYFUNCTION("""COMPUTED_VALUE"""),TRUE)</f>
        <v>1</v>
      </c>
      <c r="L2378" s="20" t="str">
        <f>IFERROR(__xludf.DUMMYFUNCTION("""COMPUTED_VALUE"""),"Database;")</f>
        <v>Database;</v>
      </c>
      <c r="M2378" s="20" t="b">
        <f>IFERROR(__xludf.DUMMYFUNCTION("""COMPUTED_VALUE"""),FALSE)</f>
        <v>0</v>
      </c>
      <c r="N2378" s="20" t="b">
        <f>IFERROR(__xludf.DUMMYFUNCTION("""COMPUTED_VALUE"""),FALSE)</f>
        <v>0</v>
      </c>
      <c r="O2378" s="20">
        <f>IFERROR(__xludf.DUMMYFUNCTION("""COMPUTED_VALUE"""),80.2255639097744)</f>
        <v>80.22556391</v>
      </c>
      <c r="P2378" s="20">
        <f>IFERROR(__xludf.DUMMYFUNCTION("""COMPUTED_VALUE"""),2134.0)</f>
        <v>2134</v>
      </c>
      <c r="Q2378" s="20">
        <f>IFERROR(__xludf.DUMMYFUNCTION("""COMPUTED_VALUE"""),2660.0)</f>
        <v>2660</v>
      </c>
    </row>
    <row r="2379">
      <c r="A2379" s="20">
        <f>IFERROR(__xludf.DUMMYFUNCTION("""COMPUTED_VALUE"""),2517.0)</f>
        <v>2517</v>
      </c>
      <c r="B2379" s="20" t="str">
        <f>IFERROR(__xludf.DUMMYFUNCTION("""COMPUTED_VALUE"""),"Choose Edges to Maximize Score in a Tree")</f>
        <v>Choose Edges to Maximize Score in a Tree</v>
      </c>
      <c r="C2379" s="20" t="str">
        <f>IFERROR(__xludf.DUMMYFUNCTION("""COMPUTED_VALUE"""),"choose-edges-to-maximize-score-in-a-tree")</f>
        <v>choose-edges-to-maximize-score-in-a-tree</v>
      </c>
      <c r="D2379" s="20" t="b">
        <f>IFERROR(__xludf.DUMMYFUNCTION("""COMPUTED_VALUE"""),TRUE)</f>
        <v>1</v>
      </c>
      <c r="E2379" s="20" t="str">
        <f>IFERROR(__xludf.DUMMYFUNCTION("""COMPUTED_VALUE"""),"Medium")</f>
        <v>Medium</v>
      </c>
      <c r="F2379" s="20">
        <f>IFERROR(__xludf.DUMMYFUNCTION("""COMPUTED_VALUE"""),28.0)</f>
        <v>28</v>
      </c>
      <c r="G2379" s="20">
        <f>IFERROR(__xludf.DUMMYFUNCTION("""COMPUTED_VALUE"""),5.0)</f>
        <v>5</v>
      </c>
      <c r="H2379" s="20" t="str">
        <f>IFERROR(__xludf.DUMMYFUNCTION("""COMPUTED_VALUE"""),"Algorithms")</f>
        <v>Algorithms</v>
      </c>
      <c r="I2379" s="20">
        <f>IFERROR(__xludf.DUMMYFUNCTION("""COMPUTED_VALUE"""),0.611)</f>
        <v>0.611</v>
      </c>
      <c r="J2379" s="20">
        <f>IFERROR(__xludf.DUMMYFUNCTION("""COMPUTED_VALUE"""),2378.0)</f>
        <v>2378</v>
      </c>
      <c r="K2379" s="20" t="b">
        <f>IFERROR(__xludf.DUMMYFUNCTION("""COMPUTED_VALUE"""),TRUE)</f>
        <v>1</v>
      </c>
      <c r="L2379" s="20" t="str">
        <f>IFERROR(__xludf.DUMMYFUNCTION("""COMPUTED_VALUE"""),"Dynamic Programming;Tree;Depth-First Search;")</f>
        <v>Dynamic Programming;Tree;Depth-First Search;</v>
      </c>
      <c r="M2379" s="20" t="b">
        <f>IFERROR(__xludf.DUMMYFUNCTION("""COMPUTED_VALUE"""),FALSE)</f>
        <v>0</v>
      </c>
      <c r="N2379" s="20" t="b">
        <f>IFERROR(__xludf.DUMMYFUNCTION("""COMPUTED_VALUE"""),FALSE)</f>
        <v>0</v>
      </c>
      <c r="O2379" s="20">
        <f>IFERROR(__xludf.DUMMYFUNCTION("""COMPUTED_VALUE"""),61.1486486486486)</f>
        <v>61.14864865</v>
      </c>
      <c r="P2379" s="20">
        <f>IFERROR(__xludf.DUMMYFUNCTION("""COMPUTED_VALUE"""),724.0)</f>
        <v>724</v>
      </c>
      <c r="Q2379" s="20">
        <f>IFERROR(__xludf.DUMMYFUNCTION("""COMPUTED_VALUE"""),1184.0)</f>
        <v>1184</v>
      </c>
    </row>
    <row r="2380">
      <c r="A2380" s="20">
        <f>IFERROR(__xludf.DUMMYFUNCTION("""COMPUTED_VALUE"""),2463.0)</f>
        <v>2463</v>
      </c>
      <c r="B2380" s="20" t="str">
        <f>IFERROR(__xludf.DUMMYFUNCTION("""COMPUTED_VALUE"""),"Minimum Recolors to Get K Consecutive Black Blocks")</f>
        <v>Minimum Recolors to Get K Consecutive Black Blocks</v>
      </c>
      <c r="C2380" s="20" t="str">
        <f>IFERROR(__xludf.DUMMYFUNCTION("""COMPUTED_VALUE"""),"minimum-recolors-to-get-k-consecutive-black-blocks")</f>
        <v>minimum-recolors-to-get-k-consecutive-black-blocks</v>
      </c>
      <c r="D2380" s="20" t="b">
        <f>IFERROR(__xludf.DUMMYFUNCTION("""COMPUTED_VALUE"""),FALSE)</f>
        <v>0</v>
      </c>
      <c r="E2380" s="20" t="str">
        <f>IFERROR(__xludf.DUMMYFUNCTION("""COMPUTED_VALUE"""),"Easy")</f>
        <v>Easy</v>
      </c>
      <c r="F2380" s="20">
        <f>IFERROR(__xludf.DUMMYFUNCTION("""COMPUTED_VALUE"""),404.0)</f>
        <v>404</v>
      </c>
      <c r="G2380" s="20">
        <f>IFERROR(__xludf.DUMMYFUNCTION("""COMPUTED_VALUE"""),13.0)</f>
        <v>13</v>
      </c>
      <c r="H2380" s="20" t="str">
        <f>IFERROR(__xludf.DUMMYFUNCTION("""COMPUTED_VALUE"""),"Algorithms")</f>
        <v>Algorithms</v>
      </c>
      <c r="I2380" s="20">
        <f>IFERROR(__xludf.DUMMYFUNCTION("""COMPUTED_VALUE"""),0.572)</f>
        <v>0.572</v>
      </c>
      <c r="J2380" s="20">
        <f>IFERROR(__xludf.DUMMYFUNCTION("""COMPUTED_VALUE"""),2379.0)</f>
        <v>2379</v>
      </c>
      <c r="K2380" s="20" t="b">
        <f>IFERROR(__xludf.DUMMYFUNCTION("""COMPUTED_VALUE"""),FALSE)</f>
        <v>0</v>
      </c>
      <c r="L2380" s="20" t="str">
        <f>IFERROR(__xludf.DUMMYFUNCTION("""COMPUTED_VALUE"""),"String;Sliding Window;")</f>
        <v>String;Sliding Window;</v>
      </c>
      <c r="M2380" s="20" t="b">
        <f>IFERROR(__xludf.DUMMYFUNCTION("""COMPUTED_VALUE"""),FALSE)</f>
        <v>0</v>
      </c>
      <c r="N2380" s="20" t="b">
        <f>IFERROR(__xludf.DUMMYFUNCTION("""COMPUTED_VALUE"""),FALSE)</f>
        <v>0</v>
      </c>
      <c r="O2380" s="20">
        <f>IFERROR(__xludf.DUMMYFUNCTION("""COMPUTED_VALUE"""),57.1553065670712)</f>
        <v>57.15530657</v>
      </c>
      <c r="P2380" s="20">
        <f>IFERROR(__xludf.DUMMYFUNCTION("""COMPUTED_VALUE"""),27544.0)</f>
        <v>27544</v>
      </c>
      <c r="Q2380" s="20">
        <f>IFERROR(__xludf.DUMMYFUNCTION("""COMPUTED_VALUE"""),48188.0)</f>
        <v>48188</v>
      </c>
    </row>
    <row r="2381">
      <c r="A2381" s="20">
        <f>IFERROR(__xludf.DUMMYFUNCTION("""COMPUTED_VALUE"""),2464.0)</f>
        <v>2464</v>
      </c>
      <c r="B2381" s="20" t="str">
        <f>IFERROR(__xludf.DUMMYFUNCTION("""COMPUTED_VALUE"""),"Time Needed to Rearrange a Binary String")</f>
        <v>Time Needed to Rearrange a Binary String</v>
      </c>
      <c r="C2381" s="20" t="str">
        <f>IFERROR(__xludf.DUMMYFUNCTION("""COMPUTED_VALUE"""),"time-needed-to-rearrange-a-binary-string")</f>
        <v>time-needed-to-rearrange-a-binary-string</v>
      </c>
      <c r="D2381" s="20" t="b">
        <f>IFERROR(__xludf.DUMMYFUNCTION("""COMPUTED_VALUE"""),FALSE)</f>
        <v>0</v>
      </c>
      <c r="E2381" s="20" t="str">
        <f>IFERROR(__xludf.DUMMYFUNCTION("""COMPUTED_VALUE"""),"Medium")</f>
        <v>Medium</v>
      </c>
      <c r="F2381" s="20">
        <f>IFERROR(__xludf.DUMMYFUNCTION("""COMPUTED_VALUE"""),317.0)</f>
        <v>317</v>
      </c>
      <c r="G2381" s="20">
        <f>IFERROR(__xludf.DUMMYFUNCTION("""COMPUTED_VALUE"""),88.0)</f>
        <v>88</v>
      </c>
      <c r="H2381" s="20" t="str">
        <f>IFERROR(__xludf.DUMMYFUNCTION("""COMPUTED_VALUE"""),"Algorithms")</f>
        <v>Algorithms</v>
      </c>
      <c r="I2381" s="20">
        <f>IFERROR(__xludf.DUMMYFUNCTION("""COMPUTED_VALUE"""),0.484)</f>
        <v>0.484</v>
      </c>
      <c r="J2381" s="20">
        <f>IFERROR(__xludf.DUMMYFUNCTION("""COMPUTED_VALUE"""),2380.0)</f>
        <v>2380</v>
      </c>
      <c r="K2381" s="20" t="b">
        <f>IFERROR(__xludf.DUMMYFUNCTION("""COMPUTED_VALUE"""),FALSE)</f>
        <v>0</v>
      </c>
      <c r="L2381" s="20" t="str">
        <f>IFERROR(__xludf.DUMMYFUNCTION("""COMPUTED_VALUE"""),"String;Dynamic Programming;Simulation;")</f>
        <v>String;Dynamic Programming;Simulation;</v>
      </c>
      <c r="M2381" s="20" t="b">
        <f>IFERROR(__xludf.DUMMYFUNCTION("""COMPUTED_VALUE"""),FALSE)</f>
        <v>0</v>
      </c>
      <c r="N2381" s="20" t="b">
        <f>IFERROR(__xludf.DUMMYFUNCTION("""COMPUTED_VALUE"""),FALSE)</f>
        <v>0</v>
      </c>
      <c r="O2381" s="20">
        <f>IFERROR(__xludf.DUMMYFUNCTION("""COMPUTED_VALUE"""),48.4465881685345)</f>
        <v>48.44658817</v>
      </c>
      <c r="P2381" s="20">
        <f>IFERROR(__xludf.DUMMYFUNCTION("""COMPUTED_VALUE"""),20489.0)</f>
        <v>20489</v>
      </c>
      <c r="Q2381" s="20">
        <f>IFERROR(__xludf.DUMMYFUNCTION("""COMPUTED_VALUE"""),42293.0)</f>
        <v>42293</v>
      </c>
    </row>
    <row r="2382">
      <c r="A2382" s="20">
        <f>IFERROR(__xludf.DUMMYFUNCTION("""COMPUTED_VALUE"""),2465.0)</f>
        <v>2465</v>
      </c>
      <c r="B2382" s="20" t="str">
        <f>IFERROR(__xludf.DUMMYFUNCTION("""COMPUTED_VALUE"""),"Shifting Letters II")</f>
        <v>Shifting Letters II</v>
      </c>
      <c r="C2382" s="20" t="str">
        <f>IFERROR(__xludf.DUMMYFUNCTION("""COMPUTED_VALUE"""),"shifting-letters-ii")</f>
        <v>shifting-letters-ii</v>
      </c>
      <c r="D2382" s="20" t="b">
        <f>IFERROR(__xludf.DUMMYFUNCTION("""COMPUTED_VALUE"""),FALSE)</f>
        <v>0</v>
      </c>
      <c r="E2382" s="20" t="str">
        <f>IFERROR(__xludf.DUMMYFUNCTION("""COMPUTED_VALUE"""),"Medium")</f>
        <v>Medium</v>
      </c>
      <c r="F2382" s="20">
        <f>IFERROR(__xludf.DUMMYFUNCTION("""COMPUTED_VALUE"""),516.0)</f>
        <v>516</v>
      </c>
      <c r="G2382" s="20">
        <f>IFERROR(__xludf.DUMMYFUNCTION("""COMPUTED_VALUE"""),17.0)</f>
        <v>17</v>
      </c>
      <c r="H2382" s="20" t="str">
        <f>IFERROR(__xludf.DUMMYFUNCTION("""COMPUTED_VALUE"""),"Algorithms")</f>
        <v>Algorithms</v>
      </c>
      <c r="I2382" s="20">
        <f>IFERROR(__xludf.DUMMYFUNCTION("""COMPUTED_VALUE"""),0.343)</f>
        <v>0.343</v>
      </c>
      <c r="J2382" s="20">
        <f>IFERROR(__xludf.DUMMYFUNCTION("""COMPUTED_VALUE"""),2381.0)</f>
        <v>2381</v>
      </c>
      <c r="K2382" s="20" t="b">
        <f>IFERROR(__xludf.DUMMYFUNCTION("""COMPUTED_VALUE"""),FALSE)</f>
        <v>0</v>
      </c>
      <c r="L2382" s="20" t="str">
        <f>IFERROR(__xludf.DUMMYFUNCTION("""COMPUTED_VALUE"""),"Array;String;Prefix Sum;")</f>
        <v>Array;String;Prefix Sum;</v>
      </c>
      <c r="M2382" s="20" t="b">
        <f>IFERROR(__xludf.DUMMYFUNCTION("""COMPUTED_VALUE"""),FALSE)</f>
        <v>0</v>
      </c>
      <c r="N2382" s="20" t="b">
        <f>IFERROR(__xludf.DUMMYFUNCTION("""COMPUTED_VALUE"""),FALSE)</f>
        <v>0</v>
      </c>
      <c r="O2382" s="20">
        <f>IFERROR(__xludf.DUMMYFUNCTION("""COMPUTED_VALUE"""),34.3414987829509)</f>
        <v>34.34149878</v>
      </c>
      <c r="P2382" s="20">
        <f>IFERROR(__xludf.DUMMYFUNCTION("""COMPUTED_VALUE"""),13262.0)</f>
        <v>13262</v>
      </c>
      <c r="Q2382" s="20">
        <f>IFERROR(__xludf.DUMMYFUNCTION("""COMPUTED_VALUE"""),38618.0)</f>
        <v>38618</v>
      </c>
    </row>
    <row r="2383">
      <c r="A2383" s="20">
        <f>IFERROR(__xludf.DUMMYFUNCTION("""COMPUTED_VALUE"""),2466.0)</f>
        <v>2466</v>
      </c>
      <c r="B2383" s="20" t="str">
        <f>IFERROR(__xludf.DUMMYFUNCTION("""COMPUTED_VALUE"""),"Maximum Segment Sum After Removals")</f>
        <v>Maximum Segment Sum After Removals</v>
      </c>
      <c r="C2383" s="20" t="str">
        <f>IFERROR(__xludf.DUMMYFUNCTION("""COMPUTED_VALUE"""),"maximum-segment-sum-after-removals")</f>
        <v>maximum-segment-sum-after-removals</v>
      </c>
      <c r="D2383" s="20" t="b">
        <f>IFERROR(__xludf.DUMMYFUNCTION("""COMPUTED_VALUE"""),FALSE)</f>
        <v>0</v>
      </c>
      <c r="E2383" s="20" t="str">
        <f>IFERROR(__xludf.DUMMYFUNCTION("""COMPUTED_VALUE"""),"Hard")</f>
        <v>Hard</v>
      </c>
      <c r="F2383" s="20">
        <f>IFERROR(__xludf.DUMMYFUNCTION("""COMPUTED_VALUE"""),346.0)</f>
        <v>346</v>
      </c>
      <c r="G2383" s="20">
        <f>IFERROR(__xludf.DUMMYFUNCTION("""COMPUTED_VALUE"""),4.0)</f>
        <v>4</v>
      </c>
      <c r="H2383" s="20" t="str">
        <f>IFERROR(__xludf.DUMMYFUNCTION("""COMPUTED_VALUE"""),"Algorithms")</f>
        <v>Algorithms</v>
      </c>
      <c r="I2383" s="20">
        <f>IFERROR(__xludf.DUMMYFUNCTION("""COMPUTED_VALUE"""),0.478)</f>
        <v>0.478</v>
      </c>
      <c r="J2383" s="20">
        <f>IFERROR(__xludf.DUMMYFUNCTION("""COMPUTED_VALUE"""),2382.0)</f>
        <v>2382</v>
      </c>
      <c r="K2383" s="20" t="b">
        <f>IFERROR(__xludf.DUMMYFUNCTION("""COMPUTED_VALUE"""),FALSE)</f>
        <v>0</v>
      </c>
      <c r="L2383" s="20" t="str">
        <f>IFERROR(__xludf.DUMMYFUNCTION("""COMPUTED_VALUE"""),"Array;Union Find;Prefix Sum;Ordered Set;")</f>
        <v>Array;Union Find;Prefix Sum;Ordered Set;</v>
      </c>
      <c r="M2383" s="20" t="b">
        <f>IFERROR(__xludf.DUMMYFUNCTION("""COMPUTED_VALUE"""),FALSE)</f>
        <v>0</v>
      </c>
      <c r="N2383" s="20" t="b">
        <f>IFERROR(__xludf.DUMMYFUNCTION("""COMPUTED_VALUE"""),FALSE)</f>
        <v>0</v>
      </c>
      <c r="O2383" s="20">
        <f>IFERROR(__xludf.DUMMYFUNCTION("""COMPUTED_VALUE"""),47.7963648061766)</f>
        <v>47.79636481</v>
      </c>
      <c r="P2383" s="20">
        <f>IFERROR(__xludf.DUMMYFUNCTION("""COMPUTED_VALUE"""),5943.0)</f>
        <v>5943</v>
      </c>
      <c r="Q2383" s="20">
        <f>IFERROR(__xludf.DUMMYFUNCTION("""COMPUTED_VALUE"""),12434.0)</f>
        <v>12434</v>
      </c>
    </row>
    <row r="2384">
      <c r="A2384" s="20">
        <f>IFERROR(__xludf.DUMMYFUNCTION("""COMPUTED_VALUE"""),2459.0)</f>
        <v>2459</v>
      </c>
      <c r="B2384" s="20" t="str">
        <f>IFERROR(__xludf.DUMMYFUNCTION("""COMPUTED_VALUE"""),"Minimum Hours of Training to Win a Competition")</f>
        <v>Minimum Hours of Training to Win a Competition</v>
      </c>
      <c r="C2384" s="20" t="str">
        <f>IFERROR(__xludf.DUMMYFUNCTION("""COMPUTED_VALUE"""),"minimum-hours-of-training-to-win-a-competition")</f>
        <v>minimum-hours-of-training-to-win-a-competition</v>
      </c>
      <c r="D2384" s="20" t="b">
        <f>IFERROR(__xludf.DUMMYFUNCTION("""COMPUTED_VALUE"""),FALSE)</f>
        <v>0</v>
      </c>
      <c r="E2384" s="20" t="str">
        <f>IFERROR(__xludf.DUMMYFUNCTION("""COMPUTED_VALUE"""),"Easy")</f>
        <v>Easy</v>
      </c>
      <c r="F2384" s="20">
        <f>IFERROR(__xludf.DUMMYFUNCTION("""COMPUTED_VALUE"""),222.0)</f>
        <v>222</v>
      </c>
      <c r="G2384" s="20">
        <f>IFERROR(__xludf.DUMMYFUNCTION("""COMPUTED_VALUE"""),219.0)</f>
        <v>219</v>
      </c>
      <c r="H2384" s="20" t="str">
        <f>IFERROR(__xludf.DUMMYFUNCTION("""COMPUTED_VALUE"""),"Algorithms")</f>
        <v>Algorithms</v>
      </c>
      <c r="I2384" s="20">
        <f>IFERROR(__xludf.DUMMYFUNCTION("""COMPUTED_VALUE"""),0.41)</f>
        <v>0.41</v>
      </c>
      <c r="J2384" s="20">
        <f>IFERROR(__xludf.DUMMYFUNCTION("""COMPUTED_VALUE"""),2383.0)</f>
        <v>2383</v>
      </c>
      <c r="K2384" s="20" t="b">
        <f>IFERROR(__xludf.DUMMYFUNCTION("""COMPUTED_VALUE"""),FALSE)</f>
        <v>0</v>
      </c>
      <c r="L2384" s="20" t="str">
        <f>IFERROR(__xludf.DUMMYFUNCTION("""COMPUTED_VALUE"""),"Array;Greedy;")</f>
        <v>Array;Greedy;</v>
      </c>
      <c r="M2384" s="20" t="b">
        <f>IFERROR(__xludf.DUMMYFUNCTION("""COMPUTED_VALUE"""),FALSE)</f>
        <v>0</v>
      </c>
      <c r="N2384" s="20" t="b">
        <f>IFERROR(__xludf.DUMMYFUNCTION("""COMPUTED_VALUE"""),FALSE)</f>
        <v>0</v>
      </c>
      <c r="O2384" s="20">
        <f>IFERROR(__xludf.DUMMYFUNCTION("""COMPUTED_VALUE"""),41.0331670090989)</f>
        <v>41.03316701</v>
      </c>
      <c r="P2384" s="20">
        <f>IFERROR(__xludf.DUMMYFUNCTION("""COMPUTED_VALUE"""),23764.0)</f>
        <v>23764</v>
      </c>
      <c r="Q2384" s="20">
        <f>IFERROR(__xludf.DUMMYFUNCTION("""COMPUTED_VALUE"""),57917.0)</f>
        <v>57917</v>
      </c>
    </row>
    <row r="2385">
      <c r="A2385" s="20">
        <f>IFERROR(__xludf.DUMMYFUNCTION("""COMPUTED_VALUE"""),2475.0)</f>
        <v>2475</v>
      </c>
      <c r="B2385" s="20" t="str">
        <f>IFERROR(__xludf.DUMMYFUNCTION("""COMPUTED_VALUE"""),"Largest Palindromic Number")</f>
        <v>Largest Palindromic Number</v>
      </c>
      <c r="C2385" s="20" t="str">
        <f>IFERROR(__xludf.DUMMYFUNCTION("""COMPUTED_VALUE"""),"largest-palindromic-number")</f>
        <v>largest-palindromic-number</v>
      </c>
      <c r="D2385" s="20" t="b">
        <f>IFERROR(__xludf.DUMMYFUNCTION("""COMPUTED_VALUE"""),FALSE)</f>
        <v>0</v>
      </c>
      <c r="E2385" s="20" t="str">
        <f>IFERROR(__xludf.DUMMYFUNCTION("""COMPUTED_VALUE"""),"Medium")</f>
        <v>Medium</v>
      </c>
      <c r="F2385" s="20">
        <f>IFERROR(__xludf.DUMMYFUNCTION("""COMPUTED_VALUE"""),410.0)</f>
        <v>410</v>
      </c>
      <c r="G2385" s="20">
        <f>IFERROR(__xludf.DUMMYFUNCTION("""COMPUTED_VALUE"""),172.0)</f>
        <v>172</v>
      </c>
      <c r="H2385" s="20" t="str">
        <f>IFERROR(__xludf.DUMMYFUNCTION("""COMPUTED_VALUE"""),"Algorithms")</f>
        <v>Algorithms</v>
      </c>
      <c r="I2385" s="20">
        <f>IFERROR(__xludf.DUMMYFUNCTION("""COMPUTED_VALUE"""),0.308)</f>
        <v>0.308</v>
      </c>
      <c r="J2385" s="20">
        <f>IFERROR(__xludf.DUMMYFUNCTION("""COMPUTED_VALUE"""),2384.0)</f>
        <v>2384</v>
      </c>
      <c r="K2385" s="20" t="b">
        <f>IFERROR(__xludf.DUMMYFUNCTION("""COMPUTED_VALUE"""),FALSE)</f>
        <v>0</v>
      </c>
      <c r="L2385" s="20" t="str">
        <f>IFERROR(__xludf.DUMMYFUNCTION("""COMPUTED_VALUE"""),"Hash Table;String;Greedy;")</f>
        <v>Hash Table;String;Greedy;</v>
      </c>
      <c r="M2385" s="20" t="b">
        <f>IFERROR(__xludf.DUMMYFUNCTION("""COMPUTED_VALUE"""),FALSE)</f>
        <v>0</v>
      </c>
      <c r="N2385" s="20" t="b">
        <f>IFERROR(__xludf.DUMMYFUNCTION("""COMPUTED_VALUE"""),FALSE)</f>
        <v>0</v>
      </c>
      <c r="O2385" s="20">
        <f>IFERROR(__xludf.DUMMYFUNCTION("""COMPUTED_VALUE"""),30.7826143514528)</f>
        <v>30.78261435</v>
      </c>
      <c r="P2385" s="20">
        <f>IFERROR(__xludf.DUMMYFUNCTION("""COMPUTED_VALUE"""),18930.0)</f>
        <v>18930</v>
      </c>
      <c r="Q2385" s="20">
        <f>IFERROR(__xludf.DUMMYFUNCTION("""COMPUTED_VALUE"""),61497.0)</f>
        <v>61497</v>
      </c>
    </row>
    <row r="2386">
      <c r="A2386" s="20">
        <f>IFERROR(__xludf.DUMMYFUNCTION("""COMPUTED_VALUE"""),2461.0)</f>
        <v>2461</v>
      </c>
      <c r="B2386" s="20" t="str">
        <f>IFERROR(__xludf.DUMMYFUNCTION("""COMPUTED_VALUE"""),"Amount of Time for Binary Tree to Be Infected")</f>
        <v>Amount of Time for Binary Tree to Be Infected</v>
      </c>
      <c r="C2386" s="20" t="str">
        <f>IFERROR(__xludf.DUMMYFUNCTION("""COMPUTED_VALUE"""),"amount-of-time-for-binary-tree-to-be-infected")</f>
        <v>amount-of-time-for-binary-tree-to-be-infected</v>
      </c>
      <c r="D2386" s="20" t="b">
        <f>IFERROR(__xludf.DUMMYFUNCTION("""COMPUTED_VALUE"""),FALSE)</f>
        <v>0</v>
      </c>
      <c r="E2386" s="20" t="str">
        <f>IFERROR(__xludf.DUMMYFUNCTION("""COMPUTED_VALUE"""),"Medium")</f>
        <v>Medium</v>
      </c>
      <c r="F2386" s="20">
        <f>IFERROR(__xludf.DUMMYFUNCTION("""COMPUTED_VALUE"""),785.0)</f>
        <v>785</v>
      </c>
      <c r="G2386" s="20">
        <f>IFERROR(__xludf.DUMMYFUNCTION("""COMPUTED_VALUE"""),11.0)</f>
        <v>11</v>
      </c>
      <c r="H2386" s="20" t="str">
        <f>IFERROR(__xludf.DUMMYFUNCTION("""COMPUTED_VALUE"""),"Algorithms")</f>
        <v>Algorithms</v>
      </c>
      <c r="I2386" s="20">
        <f>IFERROR(__xludf.DUMMYFUNCTION("""COMPUTED_VALUE"""),0.562)</f>
        <v>0.562</v>
      </c>
      <c r="J2386" s="20">
        <f>IFERROR(__xludf.DUMMYFUNCTION("""COMPUTED_VALUE"""),2385.0)</f>
        <v>2385</v>
      </c>
      <c r="K2386" s="20" t="b">
        <f>IFERROR(__xludf.DUMMYFUNCTION("""COMPUTED_VALUE"""),FALSE)</f>
        <v>0</v>
      </c>
      <c r="L2386" s="20" t="str">
        <f>IFERROR(__xludf.DUMMYFUNCTION("""COMPUTED_VALUE"""),"Tree;Depth-First Search;Breadth-First Search;Binary Tree;")</f>
        <v>Tree;Depth-First Search;Breadth-First Search;Binary Tree;</v>
      </c>
      <c r="M2386" s="20" t="b">
        <f>IFERROR(__xludf.DUMMYFUNCTION("""COMPUTED_VALUE"""),FALSE)</f>
        <v>0</v>
      </c>
      <c r="N2386" s="20" t="b">
        <f>IFERROR(__xludf.DUMMYFUNCTION("""COMPUTED_VALUE"""),FALSE)</f>
        <v>0</v>
      </c>
      <c r="O2386" s="20">
        <f>IFERROR(__xludf.DUMMYFUNCTION("""COMPUTED_VALUE"""),56.215465778148)</f>
        <v>56.21546578</v>
      </c>
      <c r="P2386" s="20">
        <f>IFERROR(__xludf.DUMMYFUNCTION("""COMPUTED_VALUE"""),20246.0)</f>
        <v>20246</v>
      </c>
      <c r="Q2386" s="20">
        <f>IFERROR(__xludf.DUMMYFUNCTION("""COMPUTED_VALUE"""),36015.0)</f>
        <v>36015</v>
      </c>
    </row>
    <row r="2387">
      <c r="A2387" s="20">
        <f>IFERROR(__xludf.DUMMYFUNCTION("""COMPUTED_VALUE"""),2462.0)</f>
        <v>2462</v>
      </c>
      <c r="B2387" s="20" t="str">
        <f>IFERROR(__xludf.DUMMYFUNCTION("""COMPUTED_VALUE"""),"Find the K-Sum of an Array")</f>
        <v>Find the K-Sum of an Array</v>
      </c>
      <c r="C2387" s="20" t="str">
        <f>IFERROR(__xludf.DUMMYFUNCTION("""COMPUTED_VALUE"""),"find-the-k-sum-of-an-array")</f>
        <v>find-the-k-sum-of-an-array</v>
      </c>
      <c r="D2387" s="20" t="b">
        <f>IFERROR(__xludf.DUMMYFUNCTION("""COMPUTED_VALUE"""),FALSE)</f>
        <v>0</v>
      </c>
      <c r="E2387" s="20" t="str">
        <f>IFERROR(__xludf.DUMMYFUNCTION("""COMPUTED_VALUE"""),"Hard")</f>
        <v>Hard</v>
      </c>
      <c r="F2387" s="20">
        <f>IFERROR(__xludf.DUMMYFUNCTION("""COMPUTED_VALUE"""),421.0)</f>
        <v>421</v>
      </c>
      <c r="G2387" s="20">
        <f>IFERROR(__xludf.DUMMYFUNCTION("""COMPUTED_VALUE"""),12.0)</f>
        <v>12</v>
      </c>
      <c r="H2387" s="20" t="str">
        <f>IFERROR(__xludf.DUMMYFUNCTION("""COMPUTED_VALUE"""),"Algorithms")</f>
        <v>Algorithms</v>
      </c>
      <c r="I2387" s="20">
        <f>IFERROR(__xludf.DUMMYFUNCTION("""COMPUTED_VALUE"""),0.382)</f>
        <v>0.382</v>
      </c>
      <c r="J2387" s="20">
        <f>IFERROR(__xludf.DUMMYFUNCTION("""COMPUTED_VALUE"""),2386.0)</f>
        <v>2386</v>
      </c>
      <c r="K2387" s="20" t="b">
        <f>IFERROR(__xludf.DUMMYFUNCTION("""COMPUTED_VALUE"""),FALSE)</f>
        <v>0</v>
      </c>
      <c r="L2387" s="20" t="str">
        <f>IFERROR(__xludf.DUMMYFUNCTION("""COMPUTED_VALUE"""),"Array;Sorting;Heap (Priority Queue);")</f>
        <v>Array;Sorting;Heap (Priority Queue);</v>
      </c>
      <c r="M2387" s="20" t="b">
        <f>IFERROR(__xludf.DUMMYFUNCTION("""COMPUTED_VALUE"""),FALSE)</f>
        <v>0</v>
      </c>
      <c r="N2387" s="20" t="b">
        <f>IFERROR(__xludf.DUMMYFUNCTION("""COMPUTED_VALUE"""),FALSE)</f>
        <v>0</v>
      </c>
      <c r="O2387" s="20">
        <f>IFERROR(__xludf.DUMMYFUNCTION("""COMPUTED_VALUE"""),38.1995419578366)</f>
        <v>38.19954196</v>
      </c>
      <c r="P2387" s="20">
        <f>IFERROR(__xludf.DUMMYFUNCTION("""COMPUTED_VALUE"""),6505.0)</f>
        <v>6505</v>
      </c>
      <c r="Q2387" s="20">
        <f>IFERROR(__xludf.DUMMYFUNCTION("""COMPUTED_VALUE"""),17027.0)</f>
        <v>17027</v>
      </c>
    </row>
    <row r="2388">
      <c r="A2388" s="20">
        <f>IFERROR(__xludf.DUMMYFUNCTION("""COMPUTED_VALUE"""),2522.0)</f>
        <v>2522</v>
      </c>
      <c r="B2388" s="20" t="str">
        <f>IFERROR(__xludf.DUMMYFUNCTION("""COMPUTED_VALUE"""),"Median of a Row Wise Sorted Matrix")</f>
        <v>Median of a Row Wise Sorted Matrix</v>
      </c>
      <c r="C2388" s="20" t="str">
        <f>IFERROR(__xludf.DUMMYFUNCTION("""COMPUTED_VALUE"""),"median-of-a-row-wise-sorted-matrix")</f>
        <v>median-of-a-row-wise-sorted-matrix</v>
      </c>
      <c r="D2388" s="20" t="b">
        <f>IFERROR(__xludf.DUMMYFUNCTION("""COMPUTED_VALUE"""),TRUE)</f>
        <v>1</v>
      </c>
      <c r="E2388" s="20" t="str">
        <f>IFERROR(__xludf.DUMMYFUNCTION("""COMPUTED_VALUE"""),"Medium")</f>
        <v>Medium</v>
      </c>
      <c r="F2388" s="20">
        <f>IFERROR(__xludf.DUMMYFUNCTION("""COMPUTED_VALUE"""),34.0)</f>
        <v>34</v>
      </c>
      <c r="G2388" s="20">
        <f>IFERROR(__xludf.DUMMYFUNCTION("""COMPUTED_VALUE"""),3.0)</f>
        <v>3</v>
      </c>
      <c r="H2388" s="20" t="str">
        <f>IFERROR(__xludf.DUMMYFUNCTION("""COMPUTED_VALUE"""),"Algorithms")</f>
        <v>Algorithms</v>
      </c>
      <c r="I2388" s="20">
        <f>IFERROR(__xludf.DUMMYFUNCTION("""COMPUTED_VALUE"""),0.674)</f>
        <v>0.674</v>
      </c>
      <c r="J2388" s="20">
        <f>IFERROR(__xludf.DUMMYFUNCTION("""COMPUTED_VALUE"""),2387.0)</f>
        <v>2387</v>
      </c>
      <c r="K2388" s="20" t="b">
        <f>IFERROR(__xludf.DUMMYFUNCTION("""COMPUTED_VALUE"""),TRUE)</f>
        <v>1</v>
      </c>
      <c r="L2388" s="20" t="str">
        <f>IFERROR(__xludf.DUMMYFUNCTION("""COMPUTED_VALUE"""),"Array;Binary Search;Matrix;")</f>
        <v>Array;Binary Search;Matrix;</v>
      </c>
      <c r="M2388" s="20" t="b">
        <f>IFERROR(__xludf.DUMMYFUNCTION("""COMPUTED_VALUE"""),FALSE)</f>
        <v>0</v>
      </c>
      <c r="N2388" s="20" t="b">
        <f>IFERROR(__xludf.DUMMYFUNCTION("""COMPUTED_VALUE"""),FALSE)</f>
        <v>0</v>
      </c>
      <c r="O2388" s="20">
        <f>IFERROR(__xludf.DUMMYFUNCTION("""COMPUTED_VALUE"""),67.4373795761079)</f>
        <v>67.43737958</v>
      </c>
      <c r="P2388" s="20">
        <f>IFERROR(__xludf.DUMMYFUNCTION("""COMPUTED_VALUE"""),1050.0)</f>
        <v>1050</v>
      </c>
      <c r="Q2388" s="20">
        <f>IFERROR(__xludf.DUMMYFUNCTION("""COMPUTED_VALUE"""),1557.0)</f>
        <v>1557</v>
      </c>
    </row>
    <row r="2389">
      <c r="A2389" s="20">
        <f>IFERROR(__xludf.DUMMYFUNCTION("""COMPUTED_VALUE"""),2523.0)</f>
        <v>2523</v>
      </c>
      <c r="B2389" s="20" t="str">
        <f>IFERROR(__xludf.DUMMYFUNCTION("""COMPUTED_VALUE"""),"Change Null Values in a Table to the Previous Value")</f>
        <v>Change Null Values in a Table to the Previous Value</v>
      </c>
      <c r="C2389" s="20" t="str">
        <f>IFERROR(__xludf.DUMMYFUNCTION("""COMPUTED_VALUE"""),"change-null-values-in-a-table-to-the-previous-value")</f>
        <v>change-null-values-in-a-table-to-the-previous-value</v>
      </c>
      <c r="D2389" s="20" t="b">
        <f>IFERROR(__xludf.DUMMYFUNCTION("""COMPUTED_VALUE"""),TRUE)</f>
        <v>1</v>
      </c>
      <c r="E2389" s="20" t="str">
        <f>IFERROR(__xludf.DUMMYFUNCTION("""COMPUTED_VALUE"""),"Medium")</f>
        <v>Medium</v>
      </c>
      <c r="F2389" s="20">
        <f>IFERROR(__xludf.DUMMYFUNCTION("""COMPUTED_VALUE"""),33.0)</f>
        <v>33</v>
      </c>
      <c r="G2389" s="20">
        <f>IFERROR(__xludf.DUMMYFUNCTION("""COMPUTED_VALUE"""),11.0)</f>
        <v>11</v>
      </c>
      <c r="H2389" s="20" t="str">
        <f>IFERROR(__xludf.DUMMYFUNCTION("""COMPUTED_VALUE"""),"Database")</f>
        <v>Database</v>
      </c>
      <c r="I2389" s="20">
        <f>IFERROR(__xludf.DUMMYFUNCTION("""COMPUTED_VALUE"""),0.731)</f>
        <v>0.731</v>
      </c>
      <c r="J2389" s="20">
        <f>IFERROR(__xludf.DUMMYFUNCTION("""COMPUTED_VALUE"""),2388.0)</f>
        <v>2388</v>
      </c>
      <c r="K2389" s="20" t="b">
        <f>IFERROR(__xludf.DUMMYFUNCTION("""COMPUTED_VALUE"""),TRUE)</f>
        <v>1</v>
      </c>
      <c r="L2389" s="20" t="str">
        <f>IFERROR(__xludf.DUMMYFUNCTION("""COMPUTED_VALUE"""),"Database;")</f>
        <v>Database;</v>
      </c>
      <c r="M2389" s="20" t="b">
        <f>IFERROR(__xludf.DUMMYFUNCTION("""COMPUTED_VALUE"""),FALSE)</f>
        <v>0</v>
      </c>
      <c r="N2389" s="20" t="b">
        <f>IFERROR(__xludf.DUMMYFUNCTION("""COMPUTED_VALUE"""),FALSE)</f>
        <v>0</v>
      </c>
      <c r="O2389" s="20">
        <f>IFERROR(__xludf.DUMMYFUNCTION("""COMPUTED_VALUE"""),73.0527638190954)</f>
        <v>73.05276382</v>
      </c>
      <c r="P2389" s="20">
        <f>IFERROR(__xludf.DUMMYFUNCTION("""COMPUTED_VALUE"""),1163.0)</f>
        <v>1163</v>
      </c>
      <c r="Q2389" s="20">
        <f>IFERROR(__xludf.DUMMYFUNCTION("""COMPUTED_VALUE"""),1592.0)</f>
        <v>1592</v>
      </c>
    </row>
    <row r="2390">
      <c r="A2390" s="20">
        <f>IFERROR(__xludf.DUMMYFUNCTION("""COMPUTED_VALUE"""),2469.0)</f>
        <v>2469</v>
      </c>
      <c r="B2390" s="20" t="str">
        <f>IFERROR(__xludf.DUMMYFUNCTION("""COMPUTED_VALUE"""),"Longest Subsequence With Limited Sum")</f>
        <v>Longest Subsequence With Limited Sum</v>
      </c>
      <c r="C2390" s="20" t="str">
        <f>IFERROR(__xludf.DUMMYFUNCTION("""COMPUTED_VALUE"""),"longest-subsequence-with-limited-sum")</f>
        <v>longest-subsequence-with-limited-sum</v>
      </c>
      <c r="D2390" s="20" t="b">
        <f>IFERROR(__xludf.DUMMYFUNCTION("""COMPUTED_VALUE"""),FALSE)</f>
        <v>0</v>
      </c>
      <c r="E2390" s="20" t="str">
        <f>IFERROR(__xludf.DUMMYFUNCTION("""COMPUTED_VALUE"""),"Easy")</f>
        <v>Easy</v>
      </c>
      <c r="F2390" s="20">
        <f>IFERROR(__xludf.DUMMYFUNCTION("""COMPUTED_VALUE"""),1355.0)</f>
        <v>1355</v>
      </c>
      <c r="G2390" s="20">
        <f>IFERROR(__xludf.DUMMYFUNCTION("""COMPUTED_VALUE"""),115.0)</f>
        <v>115</v>
      </c>
      <c r="H2390" s="20" t="str">
        <f>IFERROR(__xludf.DUMMYFUNCTION("""COMPUTED_VALUE"""),"Algorithms")</f>
        <v>Algorithms</v>
      </c>
      <c r="I2390" s="20">
        <f>IFERROR(__xludf.DUMMYFUNCTION("""COMPUTED_VALUE"""),0.728)</f>
        <v>0.728</v>
      </c>
      <c r="J2390" s="20">
        <f>IFERROR(__xludf.DUMMYFUNCTION("""COMPUTED_VALUE"""),2389.0)</f>
        <v>2389</v>
      </c>
      <c r="K2390" s="20" t="b">
        <f>IFERROR(__xludf.DUMMYFUNCTION("""COMPUTED_VALUE"""),FALSE)</f>
        <v>0</v>
      </c>
      <c r="L2390" s="20" t="str">
        <f>IFERROR(__xludf.DUMMYFUNCTION("""COMPUTED_VALUE"""),"Array;Binary Search;Greedy;Sorting;Prefix Sum;")</f>
        <v>Array;Binary Search;Greedy;Sorting;Prefix Sum;</v>
      </c>
      <c r="M2390" s="20" t="b">
        <f>IFERROR(__xludf.DUMMYFUNCTION("""COMPUTED_VALUE"""),TRUE)</f>
        <v>1</v>
      </c>
      <c r="N2390" s="20" t="b">
        <f>IFERROR(__xludf.DUMMYFUNCTION("""COMPUTED_VALUE"""),FALSE)</f>
        <v>0</v>
      </c>
      <c r="O2390" s="20">
        <f>IFERROR(__xludf.DUMMYFUNCTION("""COMPUTED_VALUE"""),72.7811889478091)</f>
        <v>72.78118895</v>
      </c>
      <c r="P2390" s="20">
        <f>IFERROR(__xludf.DUMMYFUNCTION("""COMPUTED_VALUE"""),73016.0)</f>
        <v>73016</v>
      </c>
      <c r="Q2390" s="20">
        <f>IFERROR(__xludf.DUMMYFUNCTION("""COMPUTED_VALUE"""),100323.0)</f>
        <v>100323</v>
      </c>
    </row>
    <row r="2391">
      <c r="A2391" s="20">
        <f>IFERROR(__xludf.DUMMYFUNCTION("""COMPUTED_VALUE"""),2470.0)</f>
        <v>2470</v>
      </c>
      <c r="B2391" s="20" t="str">
        <f>IFERROR(__xludf.DUMMYFUNCTION("""COMPUTED_VALUE"""),"Removing Stars From a String")</f>
        <v>Removing Stars From a String</v>
      </c>
      <c r="C2391" s="20" t="str">
        <f>IFERROR(__xludf.DUMMYFUNCTION("""COMPUTED_VALUE"""),"removing-stars-from-a-string")</f>
        <v>removing-stars-from-a-string</v>
      </c>
      <c r="D2391" s="20" t="b">
        <f>IFERROR(__xludf.DUMMYFUNCTION("""COMPUTED_VALUE"""),FALSE)</f>
        <v>0</v>
      </c>
      <c r="E2391" s="20" t="str">
        <f>IFERROR(__xludf.DUMMYFUNCTION("""COMPUTED_VALUE"""),"Medium")</f>
        <v>Medium</v>
      </c>
      <c r="F2391" s="20">
        <f>IFERROR(__xludf.DUMMYFUNCTION("""COMPUTED_VALUE"""),583.0)</f>
        <v>583</v>
      </c>
      <c r="G2391" s="20">
        <f>IFERROR(__xludf.DUMMYFUNCTION("""COMPUTED_VALUE"""),32.0)</f>
        <v>32</v>
      </c>
      <c r="H2391" s="20" t="str">
        <f>IFERROR(__xludf.DUMMYFUNCTION("""COMPUTED_VALUE"""),"Algorithms")</f>
        <v>Algorithms</v>
      </c>
      <c r="I2391" s="20">
        <f>IFERROR(__xludf.DUMMYFUNCTION("""COMPUTED_VALUE"""),0.644)</f>
        <v>0.644</v>
      </c>
      <c r="J2391" s="20">
        <f>IFERROR(__xludf.DUMMYFUNCTION("""COMPUTED_VALUE"""),2390.0)</f>
        <v>2390</v>
      </c>
      <c r="K2391" s="20" t="b">
        <f>IFERROR(__xludf.DUMMYFUNCTION("""COMPUTED_VALUE"""),FALSE)</f>
        <v>0</v>
      </c>
      <c r="L2391" s="20" t="str">
        <f>IFERROR(__xludf.DUMMYFUNCTION("""COMPUTED_VALUE"""),"String;Stack;Simulation;")</f>
        <v>String;Stack;Simulation;</v>
      </c>
      <c r="M2391" s="20" t="b">
        <f>IFERROR(__xludf.DUMMYFUNCTION("""COMPUTED_VALUE"""),FALSE)</f>
        <v>0</v>
      </c>
      <c r="N2391" s="20" t="b">
        <f>IFERROR(__xludf.DUMMYFUNCTION("""COMPUTED_VALUE"""),FALSE)</f>
        <v>0</v>
      </c>
      <c r="O2391" s="20">
        <f>IFERROR(__xludf.DUMMYFUNCTION("""COMPUTED_VALUE"""),64.3495786002198)</f>
        <v>64.3495786</v>
      </c>
      <c r="P2391" s="20">
        <f>IFERROR(__xludf.DUMMYFUNCTION("""COMPUTED_VALUE"""),35122.0)</f>
        <v>35122</v>
      </c>
      <c r="Q2391" s="20">
        <f>IFERROR(__xludf.DUMMYFUNCTION("""COMPUTED_VALUE"""),54579.0)</f>
        <v>54579</v>
      </c>
    </row>
    <row r="2392">
      <c r="A2392" s="20">
        <f>IFERROR(__xludf.DUMMYFUNCTION("""COMPUTED_VALUE"""),2471.0)</f>
        <v>2471</v>
      </c>
      <c r="B2392" s="20" t="str">
        <f>IFERROR(__xludf.DUMMYFUNCTION("""COMPUTED_VALUE"""),"Minimum Amount of Time to Collect Garbage")</f>
        <v>Minimum Amount of Time to Collect Garbage</v>
      </c>
      <c r="C2392" s="20" t="str">
        <f>IFERROR(__xludf.DUMMYFUNCTION("""COMPUTED_VALUE"""),"minimum-amount-of-time-to-collect-garbage")</f>
        <v>minimum-amount-of-time-to-collect-garbage</v>
      </c>
      <c r="D2392" s="20" t="b">
        <f>IFERROR(__xludf.DUMMYFUNCTION("""COMPUTED_VALUE"""),FALSE)</f>
        <v>0</v>
      </c>
      <c r="E2392" s="20" t="str">
        <f>IFERROR(__xludf.DUMMYFUNCTION("""COMPUTED_VALUE"""),"Medium")</f>
        <v>Medium</v>
      </c>
      <c r="F2392" s="20">
        <f>IFERROR(__xludf.DUMMYFUNCTION("""COMPUTED_VALUE"""),445.0)</f>
        <v>445</v>
      </c>
      <c r="G2392" s="20">
        <f>IFERROR(__xludf.DUMMYFUNCTION("""COMPUTED_VALUE"""),47.0)</f>
        <v>47</v>
      </c>
      <c r="H2392" s="20" t="str">
        <f>IFERROR(__xludf.DUMMYFUNCTION("""COMPUTED_VALUE"""),"Algorithms")</f>
        <v>Algorithms</v>
      </c>
      <c r="I2392" s="20">
        <f>IFERROR(__xludf.DUMMYFUNCTION("""COMPUTED_VALUE"""),0.85)</f>
        <v>0.85</v>
      </c>
      <c r="J2392" s="20">
        <f>IFERROR(__xludf.DUMMYFUNCTION("""COMPUTED_VALUE"""),2391.0)</f>
        <v>2391</v>
      </c>
      <c r="K2392" s="20" t="b">
        <f>IFERROR(__xludf.DUMMYFUNCTION("""COMPUTED_VALUE"""),FALSE)</f>
        <v>0</v>
      </c>
      <c r="L2392" s="20" t="str">
        <f>IFERROR(__xludf.DUMMYFUNCTION("""COMPUTED_VALUE"""),"Array;String;Prefix Sum;")</f>
        <v>Array;String;Prefix Sum;</v>
      </c>
      <c r="M2392" s="20" t="b">
        <f>IFERROR(__xludf.DUMMYFUNCTION("""COMPUTED_VALUE"""),FALSE)</f>
        <v>0</v>
      </c>
      <c r="N2392" s="20" t="b">
        <f>IFERROR(__xludf.DUMMYFUNCTION("""COMPUTED_VALUE"""),FALSE)</f>
        <v>0</v>
      </c>
      <c r="O2392" s="20">
        <f>IFERROR(__xludf.DUMMYFUNCTION("""COMPUTED_VALUE"""),85.0060096153846)</f>
        <v>85.00600962</v>
      </c>
      <c r="P2392" s="20">
        <f>IFERROR(__xludf.DUMMYFUNCTION("""COMPUTED_VALUE"""),28287.0)</f>
        <v>28287</v>
      </c>
      <c r="Q2392" s="20">
        <f>IFERROR(__xludf.DUMMYFUNCTION("""COMPUTED_VALUE"""),33276.0)</f>
        <v>33276</v>
      </c>
    </row>
    <row r="2393">
      <c r="A2393" s="20">
        <f>IFERROR(__xludf.DUMMYFUNCTION("""COMPUTED_VALUE"""),2472.0)</f>
        <v>2472</v>
      </c>
      <c r="B2393" s="20" t="str">
        <f>IFERROR(__xludf.DUMMYFUNCTION("""COMPUTED_VALUE"""),"Build a Matrix With Conditions")</f>
        <v>Build a Matrix With Conditions</v>
      </c>
      <c r="C2393" s="20" t="str">
        <f>IFERROR(__xludf.DUMMYFUNCTION("""COMPUTED_VALUE"""),"build-a-matrix-with-conditions")</f>
        <v>build-a-matrix-with-conditions</v>
      </c>
      <c r="D2393" s="20" t="b">
        <f>IFERROR(__xludf.DUMMYFUNCTION("""COMPUTED_VALUE"""),FALSE)</f>
        <v>0</v>
      </c>
      <c r="E2393" s="20" t="str">
        <f>IFERROR(__xludf.DUMMYFUNCTION("""COMPUTED_VALUE"""),"Hard")</f>
        <v>Hard</v>
      </c>
      <c r="F2393" s="20">
        <f>IFERROR(__xludf.DUMMYFUNCTION("""COMPUTED_VALUE"""),582.0)</f>
        <v>582</v>
      </c>
      <c r="G2393" s="20">
        <f>IFERROR(__xludf.DUMMYFUNCTION("""COMPUTED_VALUE"""),3.0)</f>
        <v>3</v>
      </c>
      <c r="H2393" s="20" t="str">
        <f>IFERROR(__xludf.DUMMYFUNCTION("""COMPUTED_VALUE"""),"Algorithms")</f>
        <v>Algorithms</v>
      </c>
      <c r="I2393" s="20">
        <f>IFERROR(__xludf.DUMMYFUNCTION("""COMPUTED_VALUE"""),0.593)</f>
        <v>0.593</v>
      </c>
      <c r="J2393" s="20">
        <f>IFERROR(__xludf.DUMMYFUNCTION("""COMPUTED_VALUE"""),2392.0)</f>
        <v>2392</v>
      </c>
      <c r="K2393" s="20" t="b">
        <f>IFERROR(__xludf.DUMMYFUNCTION("""COMPUTED_VALUE"""),FALSE)</f>
        <v>0</v>
      </c>
      <c r="L2393" s="20" t="str">
        <f>IFERROR(__xludf.DUMMYFUNCTION("""COMPUTED_VALUE"""),"Array;Graph;Topological Sort;Matrix;")</f>
        <v>Array;Graph;Topological Sort;Matrix;</v>
      </c>
      <c r="M2393" s="20" t="b">
        <f>IFERROR(__xludf.DUMMYFUNCTION("""COMPUTED_VALUE"""),FALSE)</f>
        <v>0</v>
      </c>
      <c r="N2393" s="20" t="b">
        <f>IFERROR(__xludf.DUMMYFUNCTION("""COMPUTED_VALUE"""),FALSE)</f>
        <v>0</v>
      </c>
      <c r="O2393" s="20">
        <f>IFERROR(__xludf.DUMMYFUNCTION("""COMPUTED_VALUE"""),59.2620179911762)</f>
        <v>59.26201799</v>
      </c>
      <c r="P2393" s="20">
        <f>IFERROR(__xludf.DUMMYFUNCTION("""COMPUTED_VALUE"""),10342.0)</f>
        <v>10342</v>
      </c>
      <c r="Q2393" s="20">
        <f>IFERROR(__xludf.DUMMYFUNCTION("""COMPUTED_VALUE"""),17452.0)</f>
        <v>17452</v>
      </c>
    </row>
    <row r="2394">
      <c r="A2394" s="20">
        <f>IFERROR(__xludf.DUMMYFUNCTION("""COMPUTED_VALUE"""),2535.0)</f>
        <v>2535</v>
      </c>
      <c r="B2394" s="20" t="str">
        <f>IFERROR(__xludf.DUMMYFUNCTION("""COMPUTED_VALUE"""),"Count Strictly Increasing Subarrays")</f>
        <v>Count Strictly Increasing Subarrays</v>
      </c>
      <c r="C2394" s="20" t="str">
        <f>IFERROR(__xludf.DUMMYFUNCTION("""COMPUTED_VALUE"""),"count-strictly-increasing-subarrays")</f>
        <v>count-strictly-increasing-subarrays</v>
      </c>
      <c r="D2394" s="20" t="b">
        <f>IFERROR(__xludf.DUMMYFUNCTION("""COMPUTED_VALUE"""),TRUE)</f>
        <v>1</v>
      </c>
      <c r="E2394" s="20" t="str">
        <f>IFERROR(__xludf.DUMMYFUNCTION("""COMPUTED_VALUE"""),"Medium")</f>
        <v>Medium</v>
      </c>
      <c r="F2394" s="20">
        <f>IFERROR(__xludf.DUMMYFUNCTION("""COMPUTED_VALUE"""),57.0)</f>
        <v>57</v>
      </c>
      <c r="G2394" s="20">
        <f>IFERROR(__xludf.DUMMYFUNCTION("""COMPUTED_VALUE"""),0.0)</f>
        <v>0</v>
      </c>
      <c r="H2394" s="20" t="str">
        <f>IFERROR(__xludf.DUMMYFUNCTION("""COMPUTED_VALUE"""),"Algorithms")</f>
        <v>Algorithms</v>
      </c>
      <c r="I2394" s="20">
        <f>IFERROR(__xludf.DUMMYFUNCTION("""COMPUTED_VALUE"""),0.743)</f>
        <v>0.743</v>
      </c>
      <c r="J2394" s="20">
        <f>IFERROR(__xludf.DUMMYFUNCTION("""COMPUTED_VALUE"""),2393.0)</f>
        <v>2393</v>
      </c>
      <c r="K2394" s="20" t="b">
        <f>IFERROR(__xludf.DUMMYFUNCTION("""COMPUTED_VALUE"""),TRUE)</f>
        <v>1</v>
      </c>
      <c r="L2394" s="20" t="str">
        <f>IFERROR(__xludf.DUMMYFUNCTION("""COMPUTED_VALUE"""),"Array;Math;Dynamic Programming;")</f>
        <v>Array;Math;Dynamic Programming;</v>
      </c>
      <c r="M2394" s="20" t="b">
        <f>IFERROR(__xludf.DUMMYFUNCTION("""COMPUTED_VALUE"""),FALSE)</f>
        <v>0</v>
      </c>
      <c r="N2394" s="20" t="b">
        <f>IFERROR(__xludf.DUMMYFUNCTION("""COMPUTED_VALUE"""),FALSE)</f>
        <v>0</v>
      </c>
      <c r="O2394" s="20">
        <f>IFERROR(__xludf.DUMMYFUNCTION("""COMPUTED_VALUE"""),74.2524916943521)</f>
        <v>74.25249169</v>
      </c>
      <c r="P2394" s="20">
        <f>IFERROR(__xludf.DUMMYFUNCTION("""COMPUTED_VALUE"""),1788.0)</f>
        <v>1788</v>
      </c>
      <c r="Q2394" s="20">
        <f>IFERROR(__xludf.DUMMYFUNCTION("""COMPUTED_VALUE"""),2408.0)</f>
        <v>2408</v>
      </c>
    </row>
    <row r="2395">
      <c r="A2395" s="20">
        <f>IFERROR(__xludf.DUMMYFUNCTION("""COMPUTED_VALUE"""),2534.0)</f>
        <v>2534</v>
      </c>
      <c r="B2395" s="20" t="str">
        <f>IFERROR(__xludf.DUMMYFUNCTION("""COMPUTED_VALUE"""),"Employees With Deductions")</f>
        <v>Employees With Deductions</v>
      </c>
      <c r="C2395" s="20" t="str">
        <f>IFERROR(__xludf.DUMMYFUNCTION("""COMPUTED_VALUE"""),"employees-with-deductions")</f>
        <v>employees-with-deductions</v>
      </c>
      <c r="D2395" s="20" t="b">
        <f>IFERROR(__xludf.DUMMYFUNCTION("""COMPUTED_VALUE"""),TRUE)</f>
        <v>1</v>
      </c>
      <c r="E2395" s="20" t="str">
        <f>IFERROR(__xludf.DUMMYFUNCTION("""COMPUTED_VALUE"""),"Medium")</f>
        <v>Medium</v>
      </c>
      <c r="F2395" s="20">
        <f>IFERROR(__xludf.DUMMYFUNCTION("""COMPUTED_VALUE"""),13.0)</f>
        <v>13</v>
      </c>
      <c r="G2395" s="20">
        <f>IFERROR(__xludf.DUMMYFUNCTION("""COMPUTED_VALUE"""),20.0)</f>
        <v>20</v>
      </c>
      <c r="H2395" s="20" t="str">
        <f>IFERROR(__xludf.DUMMYFUNCTION("""COMPUTED_VALUE"""),"Database")</f>
        <v>Database</v>
      </c>
      <c r="I2395" s="20">
        <f>IFERROR(__xludf.DUMMYFUNCTION("""COMPUTED_VALUE"""),0.461)</f>
        <v>0.461</v>
      </c>
      <c r="J2395" s="20">
        <f>IFERROR(__xludf.DUMMYFUNCTION("""COMPUTED_VALUE"""),2394.0)</f>
        <v>2394</v>
      </c>
      <c r="K2395" s="20" t="b">
        <f>IFERROR(__xludf.DUMMYFUNCTION("""COMPUTED_VALUE"""),TRUE)</f>
        <v>1</v>
      </c>
      <c r="L2395" s="20" t="str">
        <f>IFERROR(__xludf.DUMMYFUNCTION("""COMPUTED_VALUE"""),"Database;")</f>
        <v>Database;</v>
      </c>
      <c r="M2395" s="20" t="b">
        <f>IFERROR(__xludf.DUMMYFUNCTION("""COMPUTED_VALUE"""),FALSE)</f>
        <v>0</v>
      </c>
      <c r="N2395" s="20" t="b">
        <f>IFERROR(__xludf.DUMMYFUNCTION("""COMPUTED_VALUE"""),FALSE)</f>
        <v>0</v>
      </c>
      <c r="O2395" s="20">
        <f>IFERROR(__xludf.DUMMYFUNCTION("""COMPUTED_VALUE"""),46.1315979754157)</f>
        <v>46.13159798</v>
      </c>
      <c r="P2395" s="20">
        <f>IFERROR(__xludf.DUMMYFUNCTION("""COMPUTED_VALUE"""),1276.0)</f>
        <v>1276</v>
      </c>
      <c r="Q2395" s="20">
        <f>IFERROR(__xludf.DUMMYFUNCTION("""COMPUTED_VALUE"""),2766.0)</f>
        <v>2766</v>
      </c>
    </row>
    <row r="2396">
      <c r="A2396" s="20">
        <f>IFERROR(__xludf.DUMMYFUNCTION("""COMPUTED_VALUE"""),2480.0)</f>
        <v>2480</v>
      </c>
      <c r="B2396" s="20" t="str">
        <f>IFERROR(__xludf.DUMMYFUNCTION("""COMPUTED_VALUE"""),"Find Subarrays With Equal Sum")</f>
        <v>Find Subarrays With Equal Sum</v>
      </c>
      <c r="C2396" s="20" t="str">
        <f>IFERROR(__xludf.DUMMYFUNCTION("""COMPUTED_VALUE"""),"find-subarrays-with-equal-sum")</f>
        <v>find-subarrays-with-equal-sum</v>
      </c>
      <c r="D2396" s="20" t="b">
        <f>IFERROR(__xludf.DUMMYFUNCTION("""COMPUTED_VALUE"""),FALSE)</f>
        <v>0</v>
      </c>
      <c r="E2396" s="20" t="str">
        <f>IFERROR(__xludf.DUMMYFUNCTION("""COMPUTED_VALUE"""),"Easy")</f>
        <v>Easy</v>
      </c>
      <c r="F2396" s="20">
        <f>IFERROR(__xludf.DUMMYFUNCTION("""COMPUTED_VALUE"""),294.0)</f>
        <v>294</v>
      </c>
      <c r="G2396" s="20">
        <f>IFERROR(__xludf.DUMMYFUNCTION("""COMPUTED_VALUE"""),12.0)</f>
        <v>12</v>
      </c>
      <c r="H2396" s="20" t="str">
        <f>IFERROR(__xludf.DUMMYFUNCTION("""COMPUTED_VALUE"""),"Algorithms")</f>
        <v>Algorithms</v>
      </c>
      <c r="I2396" s="20">
        <f>IFERROR(__xludf.DUMMYFUNCTION("""COMPUTED_VALUE"""),0.642)</f>
        <v>0.642</v>
      </c>
      <c r="J2396" s="20">
        <f>IFERROR(__xludf.DUMMYFUNCTION("""COMPUTED_VALUE"""),2395.0)</f>
        <v>2395</v>
      </c>
      <c r="K2396" s="20" t="b">
        <f>IFERROR(__xludf.DUMMYFUNCTION("""COMPUTED_VALUE"""),FALSE)</f>
        <v>0</v>
      </c>
      <c r="L2396" s="20" t="str">
        <f>IFERROR(__xludf.DUMMYFUNCTION("""COMPUTED_VALUE"""),"Array;Hash Table;")</f>
        <v>Array;Hash Table;</v>
      </c>
      <c r="M2396" s="20" t="b">
        <f>IFERROR(__xludf.DUMMYFUNCTION("""COMPUTED_VALUE"""),FALSE)</f>
        <v>0</v>
      </c>
      <c r="N2396" s="20" t="b">
        <f>IFERROR(__xludf.DUMMYFUNCTION("""COMPUTED_VALUE"""),FALSE)</f>
        <v>0</v>
      </c>
      <c r="O2396" s="20">
        <f>IFERROR(__xludf.DUMMYFUNCTION("""COMPUTED_VALUE"""),64.2030350601779)</f>
        <v>64.20303506</v>
      </c>
      <c r="P2396" s="20">
        <f>IFERROR(__xludf.DUMMYFUNCTION("""COMPUTED_VALUE"""),30671.0)</f>
        <v>30671</v>
      </c>
      <c r="Q2396" s="20">
        <f>IFERROR(__xludf.DUMMYFUNCTION("""COMPUTED_VALUE"""),47773.0)</f>
        <v>47773</v>
      </c>
    </row>
    <row r="2397">
      <c r="A2397" s="20">
        <f>IFERROR(__xludf.DUMMYFUNCTION("""COMPUTED_VALUE"""),2481.0)</f>
        <v>2481</v>
      </c>
      <c r="B2397" s="20" t="str">
        <f>IFERROR(__xludf.DUMMYFUNCTION("""COMPUTED_VALUE"""),"Strictly Palindromic Number")</f>
        <v>Strictly Palindromic Number</v>
      </c>
      <c r="C2397" s="20" t="str">
        <f>IFERROR(__xludf.DUMMYFUNCTION("""COMPUTED_VALUE"""),"strictly-palindromic-number")</f>
        <v>strictly-palindromic-number</v>
      </c>
      <c r="D2397" s="20" t="b">
        <f>IFERROR(__xludf.DUMMYFUNCTION("""COMPUTED_VALUE"""),FALSE)</f>
        <v>0</v>
      </c>
      <c r="E2397" s="20" t="str">
        <f>IFERROR(__xludf.DUMMYFUNCTION("""COMPUTED_VALUE"""),"Medium")</f>
        <v>Medium</v>
      </c>
      <c r="F2397" s="20">
        <f>IFERROR(__xludf.DUMMYFUNCTION("""COMPUTED_VALUE"""),265.0)</f>
        <v>265</v>
      </c>
      <c r="G2397" s="20">
        <f>IFERROR(__xludf.DUMMYFUNCTION("""COMPUTED_VALUE"""),709.0)</f>
        <v>709</v>
      </c>
      <c r="H2397" s="20" t="str">
        <f>IFERROR(__xludf.DUMMYFUNCTION("""COMPUTED_VALUE"""),"Algorithms")</f>
        <v>Algorithms</v>
      </c>
      <c r="I2397" s="20">
        <f>IFERROR(__xludf.DUMMYFUNCTION("""COMPUTED_VALUE"""),0.878)</f>
        <v>0.878</v>
      </c>
      <c r="J2397" s="20">
        <f>IFERROR(__xludf.DUMMYFUNCTION("""COMPUTED_VALUE"""),2396.0)</f>
        <v>2396</v>
      </c>
      <c r="K2397" s="20" t="b">
        <f>IFERROR(__xludf.DUMMYFUNCTION("""COMPUTED_VALUE"""),FALSE)</f>
        <v>0</v>
      </c>
      <c r="L2397" s="20" t="str">
        <f>IFERROR(__xludf.DUMMYFUNCTION("""COMPUTED_VALUE"""),"Math;Two Pointers;Brainteaser;")</f>
        <v>Math;Two Pointers;Brainteaser;</v>
      </c>
      <c r="M2397" s="20" t="b">
        <f>IFERROR(__xludf.DUMMYFUNCTION("""COMPUTED_VALUE"""),FALSE)</f>
        <v>0</v>
      </c>
      <c r="N2397" s="20" t="b">
        <f>IFERROR(__xludf.DUMMYFUNCTION("""COMPUTED_VALUE"""),FALSE)</f>
        <v>0</v>
      </c>
      <c r="O2397" s="20">
        <f>IFERROR(__xludf.DUMMYFUNCTION("""COMPUTED_VALUE"""),87.7583619729899)</f>
        <v>87.75836197</v>
      </c>
      <c r="P2397" s="20">
        <f>IFERROR(__xludf.DUMMYFUNCTION("""COMPUTED_VALUE"""),36259.0)</f>
        <v>36259</v>
      </c>
      <c r="Q2397" s="20">
        <f>IFERROR(__xludf.DUMMYFUNCTION("""COMPUTED_VALUE"""),41317.0)</f>
        <v>41317</v>
      </c>
    </row>
    <row r="2398">
      <c r="A2398" s="20">
        <f>IFERROR(__xludf.DUMMYFUNCTION("""COMPUTED_VALUE"""),2482.0)</f>
        <v>2482</v>
      </c>
      <c r="B2398" s="20" t="str">
        <f>IFERROR(__xludf.DUMMYFUNCTION("""COMPUTED_VALUE"""),"Maximum Rows Covered by Columns")</f>
        <v>Maximum Rows Covered by Columns</v>
      </c>
      <c r="C2398" s="20" t="str">
        <f>IFERROR(__xludf.DUMMYFUNCTION("""COMPUTED_VALUE"""),"maximum-rows-covered-by-columns")</f>
        <v>maximum-rows-covered-by-columns</v>
      </c>
      <c r="D2398" s="20" t="b">
        <f>IFERROR(__xludf.DUMMYFUNCTION("""COMPUTED_VALUE"""),FALSE)</f>
        <v>0</v>
      </c>
      <c r="E2398" s="20" t="str">
        <f>IFERROR(__xludf.DUMMYFUNCTION("""COMPUTED_VALUE"""),"Medium")</f>
        <v>Medium</v>
      </c>
      <c r="F2398" s="20">
        <f>IFERROR(__xludf.DUMMYFUNCTION("""COMPUTED_VALUE"""),190.0)</f>
        <v>190</v>
      </c>
      <c r="G2398" s="20">
        <f>IFERROR(__xludf.DUMMYFUNCTION("""COMPUTED_VALUE"""),338.0)</f>
        <v>338</v>
      </c>
      <c r="H2398" s="20" t="str">
        <f>IFERROR(__xludf.DUMMYFUNCTION("""COMPUTED_VALUE"""),"Algorithms")</f>
        <v>Algorithms</v>
      </c>
      <c r="I2398" s="20">
        <f>IFERROR(__xludf.DUMMYFUNCTION("""COMPUTED_VALUE"""),0.526)</f>
        <v>0.526</v>
      </c>
      <c r="J2398" s="20">
        <f>IFERROR(__xludf.DUMMYFUNCTION("""COMPUTED_VALUE"""),2397.0)</f>
        <v>2397</v>
      </c>
      <c r="K2398" s="20" t="b">
        <f>IFERROR(__xludf.DUMMYFUNCTION("""COMPUTED_VALUE"""),FALSE)</f>
        <v>0</v>
      </c>
      <c r="L2398" s="20" t="str">
        <f>IFERROR(__xludf.DUMMYFUNCTION("""COMPUTED_VALUE"""),"Array;Backtracking;Bit Manipulation;Matrix;Enumeration;")</f>
        <v>Array;Backtracking;Bit Manipulation;Matrix;Enumeration;</v>
      </c>
      <c r="M2398" s="20" t="b">
        <f>IFERROR(__xludf.DUMMYFUNCTION("""COMPUTED_VALUE"""),FALSE)</f>
        <v>0</v>
      </c>
      <c r="N2398" s="20" t="b">
        <f>IFERROR(__xludf.DUMMYFUNCTION("""COMPUTED_VALUE"""),FALSE)</f>
        <v>0</v>
      </c>
      <c r="O2398" s="20">
        <f>IFERROR(__xludf.DUMMYFUNCTION("""COMPUTED_VALUE"""),52.638980031874)</f>
        <v>52.63898003</v>
      </c>
      <c r="P2398" s="20">
        <f>IFERROR(__xludf.DUMMYFUNCTION("""COMPUTED_VALUE"""),11230.0)</f>
        <v>11230</v>
      </c>
      <c r="Q2398" s="20">
        <f>IFERROR(__xludf.DUMMYFUNCTION("""COMPUTED_VALUE"""),21334.0)</f>
        <v>21334</v>
      </c>
    </row>
    <row r="2399">
      <c r="A2399" s="20">
        <f>IFERROR(__xludf.DUMMYFUNCTION("""COMPUTED_VALUE"""),2449.0)</f>
        <v>2449</v>
      </c>
      <c r="B2399" s="20" t="str">
        <f>IFERROR(__xludf.DUMMYFUNCTION("""COMPUTED_VALUE"""),"Maximum Number of Robots Within Budget")</f>
        <v>Maximum Number of Robots Within Budget</v>
      </c>
      <c r="C2399" s="20" t="str">
        <f>IFERROR(__xludf.DUMMYFUNCTION("""COMPUTED_VALUE"""),"maximum-number-of-robots-within-budget")</f>
        <v>maximum-number-of-robots-within-budget</v>
      </c>
      <c r="D2399" s="20" t="b">
        <f>IFERROR(__xludf.DUMMYFUNCTION("""COMPUTED_VALUE"""),FALSE)</f>
        <v>0</v>
      </c>
      <c r="E2399" s="20" t="str">
        <f>IFERROR(__xludf.DUMMYFUNCTION("""COMPUTED_VALUE"""),"Hard")</f>
        <v>Hard</v>
      </c>
      <c r="F2399" s="20">
        <f>IFERROR(__xludf.DUMMYFUNCTION("""COMPUTED_VALUE"""),552.0)</f>
        <v>552</v>
      </c>
      <c r="G2399" s="20">
        <f>IFERROR(__xludf.DUMMYFUNCTION("""COMPUTED_VALUE"""),10.0)</f>
        <v>10</v>
      </c>
      <c r="H2399" s="20" t="str">
        <f>IFERROR(__xludf.DUMMYFUNCTION("""COMPUTED_VALUE"""),"Algorithms")</f>
        <v>Algorithms</v>
      </c>
      <c r="I2399" s="20">
        <f>IFERROR(__xludf.DUMMYFUNCTION("""COMPUTED_VALUE"""),0.324)</f>
        <v>0.324</v>
      </c>
      <c r="J2399" s="20">
        <f>IFERROR(__xludf.DUMMYFUNCTION("""COMPUTED_VALUE"""),2398.0)</f>
        <v>2398</v>
      </c>
      <c r="K2399" s="20" t="b">
        <f>IFERROR(__xludf.DUMMYFUNCTION("""COMPUTED_VALUE"""),FALSE)</f>
        <v>0</v>
      </c>
      <c r="L2399" s="20" t="str">
        <f>IFERROR(__xludf.DUMMYFUNCTION("""COMPUTED_VALUE"""),"Array;Binary Search;Queue;Sliding Window;Heap (Priority Queue);Prefix Sum;")</f>
        <v>Array;Binary Search;Queue;Sliding Window;Heap (Priority Queue);Prefix Sum;</v>
      </c>
      <c r="M2399" s="20" t="b">
        <f>IFERROR(__xludf.DUMMYFUNCTION("""COMPUTED_VALUE"""),FALSE)</f>
        <v>0</v>
      </c>
      <c r="N2399" s="20" t="b">
        <f>IFERROR(__xludf.DUMMYFUNCTION("""COMPUTED_VALUE"""),FALSE)</f>
        <v>0</v>
      </c>
      <c r="O2399" s="20">
        <f>IFERROR(__xludf.DUMMYFUNCTION("""COMPUTED_VALUE"""),32.4478271544316)</f>
        <v>32.44782715</v>
      </c>
      <c r="P2399" s="20">
        <f>IFERROR(__xludf.DUMMYFUNCTION("""COMPUTED_VALUE"""),13216.0)</f>
        <v>13216</v>
      </c>
      <c r="Q2399" s="20">
        <f>IFERROR(__xludf.DUMMYFUNCTION("""COMPUTED_VALUE"""),40730.0)</f>
        <v>40730</v>
      </c>
    </row>
    <row r="2400">
      <c r="A2400" s="20">
        <f>IFERROR(__xludf.DUMMYFUNCTION("""COMPUTED_VALUE"""),2476.0)</f>
        <v>2476</v>
      </c>
      <c r="B2400" s="20" t="str">
        <f>IFERROR(__xludf.DUMMYFUNCTION("""COMPUTED_VALUE"""),"Check Distances Between Same Letters")</f>
        <v>Check Distances Between Same Letters</v>
      </c>
      <c r="C2400" s="20" t="str">
        <f>IFERROR(__xludf.DUMMYFUNCTION("""COMPUTED_VALUE"""),"check-distances-between-same-letters")</f>
        <v>check-distances-between-same-letters</v>
      </c>
      <c r="D2400" s="20" t="b">
        <f>IFERROR(__xludf.DUMMYFUNCTION("""COMPUTED_VALUE"""),FALSE)</f>
        <v>0</v>
      </c>
      <c r="E2400" s="20" t="str">
        <f>IFERROR(__xludf.DUMMYFUNCTION("""COMPUTED_VALUE"""),"Easy")</f>
        <v>Easy</v>
      </c>
      <c r="F2400" s="20">
        <f>IFERROR(__xludf.DUMMYFUNCTION("""COMPUTED_VALUE"""),280.0)</f>
        <v>280</v>
      </c>
      <c r="G2400" s="20">
        <f>IFERROR(__xludf.DUMMYFUNCTION("""COMPUTED_VALUE"""),18.0)</f>
        <v>18</v>
      </c>
      <c r="H2400" s="20" t="str">
        <f>IFERROR(__xludf.DUMMYFUNCTION("""COMPUTED_VALUE"""),"Algorithms")</f>
        <v>Algorithms</v>
      </c>
      <c r="I2400" s="20">
        <f>IFERROR(__xludf.DUMMYFUNCTION("""COMPUTED_VALUE"""),0.707)</f>
        <v>0.707</v>
      </c>
      <c r="J2400" s="20">
        <f>IFERROR(__xludf.DUMMYFUNCTION("""COMPUTED_VALUE"""),2399.0)</f>
        <v>2399</v>
      </c>
      <c r="K2400" s="20" t="b">
        <f>IFERROR(__xludf.DUMMYFUNCTION("""COMPUTED_VALUE"""),FALSE)</f>
        <v>0</v>
      </c>
      <c r="L2400" s="20" t="str">
        <f>IFERROR(__xludf.DUMMYFUNCTION("""COMPUTED_VALUE"""),"Array;Hash Table;String;")</f>
        <v>Array;Hash Table;String;</v>
      </c>
      <c r="M2400" s="20" t="b">
        <f>IFERROR(__xludf.DUMMYFUNCTION("""COMPUTED_VALUE"""),FALSE)</f>
        <v>0</v>
      </c>
      <c r="N2400" s="20" t="b">
        <f>IFERROR(__xludf.DUMMYFUNCTION("""COMPUTED_VALUE"""),FALSE)</f>
        <v>0</v>
      </c>
      <c r="O2400" s="20">
        <f>IFERROR(__xludf.DUMMYFUNCTION("""COMPUTED_VALUE"""),70.7221225268609)</f>
        <v>70.72212253</v>
      </c>
      <c r="P2400" s="20">
        <f>IFERROR(__xludf.DUMMYFUNCTION("""COMPUTED_VALUE"""),31134.0)</f>
        <v>31134</v>
      </c>
      <c r="Q2400" s="20">
        <f>IFERROR(__xludf.DUMMYFUNCTION("""COMPUTED_VALUE"""),44023.0)</f>
        <v>44023</v>
      </c>
    </row>
    <row r="2401">
      <c r="A2401" s="20">
        <f>IFERROR(__xludf.DUMMYFUNCTION("""COMPUTED_VALUE"""),2477.0)</f>
        <v>2477</v>
      </c>
      <c r="B2401" s="20" t="str">
        <f>IFERROR(__xludf.DUMMYFUNCTION("""COMPUTED_VALUE"""),"Number of Ways to Reach a Position After Exactly k Steps")</f>
        <v>Number of Ways to Reach a Position After Exactly k Steps</v>
      </c>
      <c r="C2401" s="20" t="str">
        <f>IFERROR(__xludf.DUMMYFUNCTION("""COMPUTED_VALUE"""),"number-of-ways-to-reach-a-position-after-exactly-k-steps")</f>
        <v>number-of-ways-to-reach-a-position-after-exactly-k-steps</v>
      </c>
      <c r="D2401" s="20" t="b">
        <f>IFERROR(__xludf.DUMMYFUNCTION("""COMPUTED_VALUE"""),FALSE)</f>
        <v>0</v>
      </c>
      <c r="E2401" s="20" t="str">
        <f>IFERROR(__xludf.DUMMYFUNCTION("""COMPUTED_VALUE"""),"Medium")</f>
        <v>Medium</v>
      </c>
      <c r="F2401" s="20">
        <f>IFERROR(__xludf.DUMMYFUNCTION("""COMPUTED_VALUE"""),472.0)</f>
        <v>472</v>
      </c>
      <c r="G2401" s="20">
        <f>IFERROR(__xludf.DUMMYFUNCTION("""COMPUTED_VALUE"""),49.0)</f>
        <v>49</v>
      </c>
      <c r="H2401" s="20" t="str">
        <f>IFERROR(__xludf.DUMMYFUNCTION("""COMPUTED_VALUE"""),"Algorithms")</f>
        <v>Algorithms</v>
      </c>
      <c r="I2401" s="20">
        <f>IFERROR(__xludf.DUMMYFUNCTION("""COMPUTED_VALUE"""),0.325)</f>
        <v>0.325</v>
      </c>
      <c r="J2401" s="20">
        <f>IFERROR(__xludf.DUMMYFUNCTION("""COMPUTED_VALUE"""),2400.0)</f>
        <v>2400</v>
      </c>
      <c r="K2401" s="20" t="b">
        <f>IFERROR(__xludf.DUMMYFUNCTION("""COMPUTED_VALUE"""),FALSE)</f>
        <v>0</v>
      </c>
      <c r="L2401" s="20" t="str">
        <f>IFERROR(__xludf.DUMMYFUNCTION("""COMPUTED_VALUE"""),"Math;Dynamic Programming;Combinatorics;")</f>
        <v>Math;Dynamic Programming;Combinatorics;</v>
      </c>
      <c r="M2401" s="20" t="b">
        <f>IFERROR(__xludf.DUMMYFUNCTION("""COMPUTED_VALUE"""),FALSE)</f>
        <v>0</v>
      </c>
      <c r="N2401" s="20" t="b">
        <f>IFERROR(__xludf.DUMMYFUNCTION("""COMPUTED_VALUE"""),FALSE)</f>
        <v>0</v>
      </c>
      <c r="O2401" s="20">
        <f>IFERROR(__xludf.DUMMYFUNCTION("""COMPUTED_VALUE"""),32.5166010314884)</f>
        <v>32.51660103</v>
      </c>
      <c r="P2401" s="20">
        <f>IFERROR(__xludf.DUMMYFUNCTION("""COMPUTED_VALUE"""),19734.0)</f>
        <v>19734</v>
      </c>
      <c r="Q2401" s="20">
        <f>IFERROR(__xludf.DUMMYFUNCTION("""COMPUTED_VALUE"""),60689.0)</f>
        <v>60689</v>
      </c>
    </row>
    <row r="3000">
      <c r="A3000" s="21" t="str">
        <f>IFERROR(__xludf.DUMMYFUNCTION("IMPORTDATA(""https://api.github.com/repos/adixmr/leetcode"", "","")"),"{""id"":467902538")</f>
        <v>{"id":467902538</v>
      </c>
      <c r="B3000" s="20" t="str">
        <f>IFERROR(__xludf.DUMMYFUNCTION("""COMPUTED_VALUE"""),"node_id:""R_kgDOG-OgSg""")</f>
        <v>node_id:"R_kgDOG-OgSg"</v>
      </c>
      <c r="C3000" s="20" t="str">
        <f>IFERROR(__xludf.DUMMYFUNCTION("""COMPUTED_VALUE"""),"name:""leetcode""")</f>
        <v>name:"leetcode"</v>
      </c>
      <c r="D3000" s="20" t="str">
        <f>IFERROR(__xludf.DUMMYFUNCTION("""COMPUTED_VALUE"""),"full_name:""adixmr/leetcode""")</f>
        <v>full_name:"adixmr/leetcode"</v>
      </c>
      <c r="E3000" s="20" t="str">
        <f>IFERROR(__xludf.DUMMYFUNCTION("""COMPUTED_VALUE"""),"private:false")</f>
        <v>private:false</v>
      </c>
      <c r="F3000" s="20" t="str">
        <f>IFERROR(__xludf.DUMMYFUNCTION("""COMPUTED_VALUE"""),"owner:{""login"":""adixmr""")</f>
        <v>owner:{"login":"adixmr"</v>
      </c>
      <c r="G3000" s="20" t="str">
        <f>IFERROR(__xludf.DUMMYFUNCTION("""COMPUTED_VALUE"""),"id:42894359")</f>
        <v>id:42894359</v>
      </c>
      <c r="H3000" s="20" t="str">
        <f>IFERROR(__xludf.DUMMYFUNCTION("""COMPUTED_VALUE"""),"node_id:""MDQ6VXNlcjQyODk0MzU5""")</f>
        <v>node_id:"MDQ6VXNlcjQyODk0MzU5"</v>
      </c>
      <c r="I3000" s="20" t="str">
        <f>IFERROR(__xludf.DUMMYFUNCTION("""COMPUTED_VALUE"""),"avatar_url:""https://avatars.githubusercontent.com/u/42894359?v=4""")</f>
        <v>avatar_url:"https://avatars.githubusercontent.com/u/42894359?v=4"</v>
      </c>
      <c r="J3000" s="20" t="str">
        <f>IFERROR(__xludf.DUMMYFUNCTION("""COMPUTED_VALUE"""),"gravatar_id:""""")</f>
        <v>gravatar_id:""</v>
      </c>
      <c r="K3000" s="20" t="str">
        <f>IFERROR(__xludf.DUMMYFUNCTION("""COMPUTED_VALUE"""),"url:""https://api.github.com/users/adixmr""")</f>
        <v>url:"https://api.github.com/users/adixmr"</v>
      </c>
      <c r="L3000" s="20" t="str">
        <f>IFERROR(__xludf.DUMMYFUNCTION("""COMPUTED_VALUE"""),"html_url:""https://github.com/adixmr""")</f>
        <v>html_url:"https://github.com/adixmr"</v>
      </c>
      <c r="M3000" s="20" t="str">
        <f>IFERROR(__xludf.DUMMYFUNCTION("""COMPUTED_VALUE"""),"followers_url:""https://api.github.com/users/adixmr/followers""")</f>
        <v>followers_url:"https://api.github.com/users/adixmr/followers"</v>
      </c>
      <c r="N3000" s="20" t="str">
        <f>IFERROR(__xludf.DUMMYFUNCTION("""COMPUTED_VALUE"""),"following_url:""https://api.github.com/users/adixmr/following{/other_user}""")</f>
        <v>following_url:"https://api.github.com/users/adixmr/following{/other_user}"</v>
      </c>
      <c r="O3000" s="20" t="str">
        <f>IFERROR(__xludf.DUMMYFUNCTION("""COMPUTED_VALUE"""),"gists_url:""https://api.github.com/users/adixmr/gists{/gist_id}""")</f>
        <v>gists_url:"https://api.github.com/users/adixmr/gists{/gist_id}"</v>
      </c>
      <c r="P3000" s="20" t="str">
        <f>IFERROR(__xludf.DUMMYFUNCTION("""COMPUTED_VALUE"""),"starred_url:""https://api.github.com/users/adixmr/starred{/owner}{/repo}""")</f>
        <v>starred_url:"https://api.github.com/users/adixmr/starred{/owner}{/repo}"</v>
      </c>
      <c r="Q3000" s="20" t="str">
        <f>IFERROR(__xludf.DUMMYFUNCTION("""COMPUTED_VALUE"""),"subscriptions_url:""https://api.github.com/users/adixmr/subscriptions""")</f>
        <v>subscriptions_url:"https://api.github.com/users/adixmr/subscriptions"</v>
      </c>
      <c r="R3000" s="20" t="str">
        <f>IFERROR(__xludf.DUMMYFUNCTION("""COMPUTED_VALUE"""),"organizations_url:""https://api.github.com/users/adixmr/orgs""")</f>
        <v>organizations_url:"https://api.github.com/users/adixmr/orgs"</v>
      </c>
      <c r="S3000" s="20" t="str">
        <f>IFERROR(__xludf.DUMMYFUNCTION("""COMPUTED_VALUE"""),"repos_url:""https://api.github.com/users/adixmr/repos""")</f>
        <v>repos_url:"https://api.github.com/users/adixmr/repos"</v>
      </c>
      <c r="T3000" s="20" t="str">
        <f>IFERROR(__xludf.DUMMYFUNCTION("""COMPUTED_VALUE"""),"events_url:""https://api.github.com/users/adixmr/events{/privacy}""")</f>
        <v>events_url:"https://api.github.com/users/adixmr/events{/privacy}"</v>
      </c>
      <c r="U3000" s="20" t="str">
        <f>IFERROR(__xludf.DUMMYFUNCTION("""COMPUTED_VALUE"""),"received_events_url:""https://api.github.com/users/adixmr/received_events""")</f>
        <v>received_events_url:"https://api.github.com/users/adixmr/received_events"</v>
      </c>
      <c r="V3000" s="20" t="str">
        <f>IFERROR(__xludf.DUMMYFUNCTION("""COMPUTED_VALUE"""),"type:""User""")</f>
        <v>type:"User"</v>
      </c>
      <c r="W3000" s="20" t="str">
        <f>IFERROR(__xludf.DUMMYFUNCTION("""COMPUTED_VALUE"""),"site_admin:false}")</f>
        <v>site_admin:false}</v>
      </c>
      <c r="X3000" s="20" t="str">
        <f>IFERROR(__xludf.DUMMYFUNCTION("""COMPUTED_VALUE"""),"html_url:""https://github.com/adixmr/leetcode""")</f>
        <v>html_url:"https://github.com/adixmr/leetcode"</v>
      </c>
      <c r="Y3000" s="20" t="str">
        <f>IFERROR(__xludf.DUMMYFUNCTION("""COMPUTED_VALUE"""),"description:""Leetcode Questions - Sorted by likes")</f>
        <v>description:"Leetcode Questions - Sorted by likes</v>
      </c>
      <c r="Z3000" s="20" t="str">
        <f>IFERROR(__xludf.DUMMYFUNCTION("""COMPUTED_VALUE"""),"likes-dislikes ratio and much more""")</f>
        <v>likes-dislikes ratio and much more"</v>
      </c>
      <c r="AA3000" s="20" t="str">
        <f>IFERROR(__xludf.DUMMYFUNCTION("""COMPUTED_VALUE"""),"fork:false")</f>
        <v>fork:false</v>
      </c>
      <c r="AB3000" s="20" t="str">
        <f>IFERROR(__xludf.DUMMYFUNCTION("""COMPUTED_VALUE"""),"url:""https://api.github.com/repos/adixmr/leetcode""")</f>
        <v>url:"https://api.github.com/repos/adixmr/leetcode"</v>
      </c>
      <c r="AC3000" s="20" t="str">
        <f>IFERROR(__xludf.DUMMYFUNCTION("""COMPUTED_VALUE"""),"forks_url:""https://api.github.com/repos/adixmr/leetcode/forks""")</f>
        <v>forks_url:"https://api.github.com/repos/adixmr/leetcode/forks"</v>
      </c>
      <c r="AD3000" s="20" t="str">
        <f>IFERROR(__xludf.DUMMYFUNCTION("""COMPUTED_VALUE"""),"keys_url:""https://api.github.com/repos/adixmr/leetcode/keys{/key_id}""")</f>
        <v>keys_url:"https://api.github.com/repos/adixmr/leetcode/keys{/key_id}"</v>
      </c>
      <c r="AE3000" s="20" t="str">
        <f>IFERROR(__xludf.DUMMYFUNCTION("""COMPUTED_VALUE"""),"collaborators_url:""https://api.github.com/repos/adixmr/leetcode/collaborators{/collaborator}""")</f>
        <v>collaborators_url:"https://api.github.com/repos/adixmr/leetcode/collaborators{/collaborator}"</v>
      </c>
      <c r="AF3000" s="20" t="str">
        <f>IFERROR(__xludf.DUMMYFUNCTION("""COMPUTED_VALUE"""),"teams_url:""https://api.github.com/repos/adixmr/leetcode/teams""")</f>
        <v>teams_url:"https://api.github.com/repos/adixmr/leetcode/teams"</v>
      </c>
      <c r="AG3000" s="20" t="str">
        <f>IFERROR(__xludf.DUMMYFUNCTION("""COMPUTED_VALUE"""),"hooks_url:""https://api.github.com/repos/adixmr/leetcode/hooks""")</f>
        <v>hooks_url:"https://api.github.com/repos/adixmr/leetcode/hooks"</v>
      </c>
      <c r="AH3000" s="20" t="str">
        <f>IFERROR(__xludf.DUMMYFUNCTION("""COMPUTED_VALUE"""),"issue_events_url:""https://api.github.com/repos/adixmr/leetcode/issues/events{/number}""")</f>
        <v>issue_events_url:"https://api.github.com/repos/adixmr/leetcode/issues/events{/number}"</v>
      </c>
      <c r="AI3000" s="20" t="str">
        <f>IFERROR(__xludf.DUMMYFUNCTION("""COMPUTED_VALUE"""),"events_url:""https://api.github.com/repos/adixmr/leetcode/events""")</f>
        <v>events_url:"https://api.github.com/repos/adixmr/leetcode/events"</v>
      </c>
      <c r="AJ3000" s="20" t="str">
        <f>IFERROR(__xludf.DUMMYFUNCTION("""COMPUTED_VALUE"""),"assignees_url:""https://api.github.com/repos/adixmr/leetcode/assignees{/user}""")</f>
        <v>assignees_url:"https://api.github.com/repos/adixmr/leetcode/assignees{/user}"</v>
      </c>
      <c r="AK3000" s="20" t="str">
        <f>IFERROR(__xludf.DUMMYFUNCTION("""COMPUTED_VALUE"""),"branches_url:""https://api.github.com/repos/adixmr/leetcode/branches{/branch}""")</f>
        <v>branches_url:"https://api.github.com/repos/adixmr/leetcode/branches{/branch}"</v>
      </c>
      <c r="AL3000" s="20" t="str">
        <f>IFERROR(__xludf.DUMMYFUNCTION("""COMPUTED_VALUE"""),"tags_url:""https://api.github.com/repos/adixmr/leetcode/tags""")</f>
        <v>tags_url:"https://api.github.com/repos/adixmr/leetcode/tags"</v>
      </c>
      <c r="AM3000" s="20" t="str">
        <f>IFERROR(__xludf.DUMMYFUNCTION("""COMPUTED_VALUE"""),"blobs_url:""https://api.github.com/repos/adixmr/leetcode/git/blobs{/sha}""")</f>
        <v>blobs_url:"https://api.github.com/repos/adixmr/leetcode/git/blobs{/sha}"</v>
      </c>
      <c r="AN3000" s="20" t="str">
        <f>IFERROR(__xludf.DUMMYFUNCTION("""COMPUTED_VALUE"""),"git_tags_url:""https://api.github.com/repos/adixmr/leetcode/git/tags{/sha}""")</f>
        <v>git_tags_url:"https://api.github.com/repos/adixmr/leetcode/git/tags{/sha}"</v>
      </c>
      <c r="AO3000" s="20" t="str">
        <f>IFERROR(__xludf.DUMMYFUNCTION("""COMPUTED_VALUE"""),"git_refs_url:""https://api.github.com/repos/adixmr/leetcode/git/refs{/sha}""")</f>
        <v>git_refs_url:"https://api.github.com/repos/adixmr/leetcode/git/refs{/sha}"</v>
      </c>
      <c r="AP3000" s="20" t="str">
        <f>IFERROR(__xludf.DUMMYFUNCTION("""COMPUTED_VALUE"""),"trees_url:""https://api.github.com/repos/adixmr/leetcode/git/trees{/sha}""")</f>
        <v>trees_url:"https://api.github.com/repos/adixmr/leetcode/git/trees{/sha}"</v>
      </c>
      <c r="AQ3000" s="20" t="str">
        <f>IFERROR(__xludf.DUMMYFUNCTION("""COMPUTED_VALUE"""),"statuses_url:""https://api.github.com/repos/adixmr/leetcode/statuses/{sha}""")</f>
        <v>statuses_url:"https://api.github.com/repos/adixmr/leetcode/statuses/{sha}"</v>
      </c>
      <c r="AR3000" s="20" t="str">
        <f>IFERROR(__xludf.DUMMYFUNCTION("""COMPUTED_VALUE"""),"languages_url:""https://api.github.com/repos/adixmr/leetcode/languages""")</f>
        <v>languages_url:"https://api.github.com/repos/adixmr/leetcode/languages"</v>
      </c>
      <c r="AS3000" s="20" t="str">
        <f>IFERROR(__xludf.DUMMYFUNCTION("""COMPUTED_VALUE"""),"stargazers_url:""https://api.github.com/repos/adixmr/leetcode/stargazers""")</f>
        <v>stargazers_url:"https://api.github.com/repos/adixmr/leetcode/stargazers"</v>
      </c>
      <c r="AT3000" s="20" t="str">
        <f>IFERROR(__xludf.DUMMYFUNCTION("""COMPUTED_VALUE"""),"contributors_url:""https://api.github.com/repos/adixmr/leetcode/contributors""")</f>
        <v>contributors_url:"https://api.github.com/repos/adixmr/leetcode/contributors"</v>
      </c>
      <c r="AU3000" s="20" t="str">
        <f>IFERROR(__xludf.DUMMYFUNCTION("""COMPUTED_VALUE"""),"subscribers_url:""https://api.github.com/repos/adixmr/leetcode/subscribers""")</f>
        <v>subscribers_url:"https://api.github.com/repos/adixmr/leetcode/subscribers"</v>
      </c>
      <c r="AV3000" s="20" t="str">
        <f>IFERROR(__xludf.DUMMYFUNCTION("""COMPUTED_VALUE"""),"subscription_url:""https://api.github.com/repos/adixmr/leetcode/subscription""")</f>
        <v>subscription_url:"https://api.github.com/repos/adixmr/leetcode/subscription"</v>
      </c>
      <c r="AW3000" s="20" t="str">
        <f>IFERROR(__xludf.DUMMYFUNCTION("""COMPUTED_VALUE"""),"commits_url:""https://api.github.com/repos/adixmr/leetcode/commits{/sha}""")</f>
        <v>commits_url:"https://api.github.com/repos/adixmr/leetcode/commits{/sha}"</v>
      </c>
      <c r="AX3000" s="20" t="str">
        <f>IFERROR(__xludf.DUMMYFUNCTION("""COMPUTED_VALUE"""),"git_commits_url:""https://api.github.com/repos/adixmr/leetcode/git/commits{/sha}""")</f>
        <v>git_commits_url:"https://api.github.com/repos/adixmr/leetcode/git/commits{/sha}"</v>
      </c>
      <c r="AY3000" s="20" t="str">
        <f>IFERROR(__xludf.DUMMYFUNCTION("""COMPUTED_VALUE"""),"comments_url:""https://api.github.com/repos/adixmr/leetcode/comments{/number}""")</f>
        <v>comments_url:"https://api.github.com/repos/adixmr/leetcode/comments{/number}"</v>
      </c>
      <c r="AZ3000" s="20" t="str">
        <f>IFERROR(__xludf.DUMMYFUNCTION("""COMPUTED_VALUE"""),"issue_comment_url:""https://api.github.com/repos/adixmr/leetcode/issues/comments{/number}""")</f>
        <v>issue_comment_url:"https://api.github.com/repos/adixmr/leetcode/issues/comments{/number}"</v>
      </c>
      <c r="BA3000" s="20" t="str">
        <f>IFERROR(__xludf.DUMMYFUNCTION("""COMPUTED_VALUE"""),"contents_url:""https://api.github.com/repos/adixmr/leetcode/contents/{+path}""")</f>
        <v>contents_url:"https://api.github.com/repos/adixmr/leetcode/contents/{+path}"</v>
      </c>
      <c r="BB3000" s="20" t="str">
        <f>IFERROR(__xludf.DUMMYFUNCTION("""COMPUTED_VALUE"""),"compare_url:""https://api.github.com/repos/adixmr/leetcode/compare/{base}...{head}""")</f>
        <v>compare_url:"https://api.github.com/repos/adixmr/leetcode/compare/{base}...{head}"</v>
      </c>
      <c r="BC3000" s="20" t="str">
        <f>IFERROR(__xludf.DUMMYFUNCTION("""COMPUTED_VALUE"""),"merges_url:""https://api.github.com/repos/adixmr/leetcode/merges""")</f>
        <v>merges_url:"https://api.github.com/repos/adixmr/leetcode/merges"</v>
      </c>
      <c r="BD3000" s="20" t="str">
        <f>IFERROR(__xludf.DUMMYFUNCTION("""COMPUTED_VALUE"""),"archive_url:""https://api.github.com/repos/adixmr/leetcode/{archive_format}{/ref}""")</f>
        <v>archive_url:"https://api.github.com/repos/adixmr/leetcode/{archive_format}{/ref}"</v>
      </c>
      <c r="BE3000" s="20" t="str">
        <f>IFERROR(__xludf.DUMMYFUNCTION("""COMPUTED_VALUE"""),"downloads_url:""https://api.github.com/repos/adixmr/leetcode/downloads""")</f>
        <v>downloads_url:"https://api.github.com/repos/adixmr/leetcode/downloads"</v>
      </c>
      <c r="BF3000" s="20" t="str">
        <f>IFERROR(__xludf.DUMMYFUNCTION("""COMPUTED_VALUE"""),"issues_url:""https://api.github.com/repos/adixmr/leetcode/issues{/number}""")</f>
        <v>issues_url:"https://api.github.com/repos/adixmr/leetcode/issues{/number}"</v>
      </c>
      <c r="BG3000" s="20" t="str">
        <f>IFERROR(__xludf.DUMMYFUNCTION("""COMPUTED_VALUE"""),"pulls_url:""https://api.github.com/repos/adixmr/leetcode/pulls{/number}""")</f>
        <v>pulls_url:"https://api.github.com/repos/adixmr/leetcode/pulls{/number}"</v>
      </c>
      <c r="BH3000" s="20" t="str">
        <f>IFERROR(__xludf.DUMMYFUNCTION("""COMPUTED_VALUE"""),"milestones_url:""https://api.github.com/repos/adixmr/leetcode/milestones{/number}""")</f>
        <v>milestones_url:"https://api.github.com/repos/adixmr/leetcode/milestones{/number}"</v>
      </c>
      <c r="BI3000" s="20" t="str">
        <f>IFERROR(__xludf.DUMMYFUNCTION("""COMPUTED_VALUE"""),"notifications_url:""https://api.github.com/repos/adixmr/leetcode/notifications{?since")</f>
        <v>notifications_url:"https://api.github.com/repos/adixmr/leetcode/notifications{?since</v>
      </c>
      <c r="BJ3000" s="20" t="str">
        <f>IFERROR(__xludf.DUMMYFUNCTION("""COMPUTED_VALUE"""),"all")</f>
        <v>all</v>
      </c>
      <c r="BK3000" s="20" t="str">
        <f>IFERROR(__xludf.DUMMYFUNCTION("""COMPUTED_VALUE"""),"participating}""")</f>
        <v>participating}"</v>
      </c>
      <c r="BL3000" s="20" t="str">
        <f>IFERROR(__xludf.DUMMYFUNCTION("""COMPUTED_VALUE"""),"labels_url:""https://api.github.com/repos/adixmr/leetcode/labels{/name}""")</f>
        <v>labels_url:"https://api.github.com/repos/adixmr/leetcode/labels{/name}"</v>
      </c>
      <c r="BM3000" s="20" t="str">
        <f>IFERROR(__xludf.DUMMYFUNCTION("""COMPUTED_VALUE"""),"releases_url:""https://api.github.com/repos/adixmr/leetcode/releases{/id}""")</f>
        <v>releases_url:"https://api.github.com/repos/adixmr/leetcode/releases{/id}"</v>
      </c>
      <c r="BN3000" s="20" t="str">
        <f>IFERROR(__xludf.DUMMYFUNCTION("""COMPUTED_VALUE"""),"deployments_url:""https://api.github.com/repos/adixmr/leetcode/deployments""")</f>
        <v>deployments_url:"https://api.github.com/repos/adixmr/leetcode/deployments"</v>
      </c>
      <c r="BO3000" s="20" t="str">
        <f>IFERROR(__xludf.DUMMYFUNCTION("""COMPUTED_VALUE"""),"created_at:""2022-03-09T11:40:13Z""")</f>
        <v>created_at:"2022-03-09T11:40:13Z"</v>
      </c>
      <c r="BP3000" s="20" t="str">
        <f>IFERROR(__xludf.DUMMYFUNCTION("""COMPUTED_VALUE"""),"updated_at:""2023-01-02T02:44:07Z""")</f>
        <v>updated_at:"2023-01-02T02:44:07Z"</v>
      </c>
      <c r="BQ3000" s="20" t="str">
        <f>IFERROR(__xludf.DUMMYFUNCTION("""COMPUTED_VALUE"""),"pushed_at:""2023-01-02T12:30:03Z""")</f>
        <v>pushed_at:"2023-01-02T12:30:03Z"</v>
      </c>
      <c r="BR3000" s="20" t="str">
        <f>IFERROR(__xludf.DUMMYFUNCTION("""COMPUTED_VALUE"""),"git_url:""git://github.com/adixmr/leetcode.git""")</f>
        <v>git_url:"git://github.com/adixmr/leetcode.git"</v>
      </c>
      <c r="BS3000" s="20" t="str">
        <f>IFERROR(__xludf.DUMMYFUNCTION("""COMPUTED_VALUE"""),"ssh_url:""git@github.com:adixmr/leetcode.git""")</f>
        <v>ssh_url:"git@github.com:adixmr/leetcode.git"</v>
      </c>
      <c r="BT3000" s="20" t="str">
        <f>IFERROR(__xludf.DUMMYFUNCTION("""COMPUTED_VALUE"""),"clone_url:""https://github.com/adixmr/leetcode.git""")</f>
        <v>clone_url:"https://github.com/adixmr/leetcode.git"</v>
      </c>
      <c r="BU3000" s="20" t="str">
        <f>IFERROR(__xludf.DUMMYFUNCTION("""COMPUTED_VALUE"""),"svn_url:""https://github.com/adixmr/leetcode""")</f>
        <v>svn_url:"https://github.com/adixmr/leetcode"</v>
      </c>
      <c r="BV3000" s="20" t="str">
        <f>IFERROR(__xludf.DUMMYFUNCTION("""COMPUTED_VALUE"""),"homepage:""https://adityarajput.com/leetcode/""")</f>
        <v>homepage:"https://adityarajput.com/leetcode/"</v>
      </c>
      <c r="BW3000" s="20" t="str">
        <f>IFERROR(__xludf.DUMMYFUNCTION("""COMPUTED_VALUE"""),"size:34368")</f>
        <v>size:34368</v>
      </c>
      <c r="BX3000" s="20" t="str">
        <f>IFERROR(__xludf.DUMMYFUNCTION("""COMPUTED_VALUE"""),"stargazers_count:242")</f>
        <v>stargazers_count:242</v>
      </c>
      <c r="BY3000" s="20" t="str">
        <f>IFERROR(__xludf.DUMMYFUNCTION("""COMPUTED_VALUE"""),"watchers_count:242")</f>
        <v>watchers_count:242</v>
      </c>
      <c r="BZ3000" s="20" t="str">
        <f>IFERROR(__xludf.DUMMYFUNCTION("""COMPUTED_VALUE"""),"language:""HTML""")</f>
        <v>language:"HTML"</v>
      </c>
      <c r="CA3000" s="20" t="str">
        <f>IFERROR(__xludf.DUMMYFUNCTION("""COMPUTED_VALUE"""),"has_issues:true")</f>
        <v>has_issues:true</v>
      </c>
      <c r="CB3000" s="20" t="str">
        <f>IFERROR(__xludf.DUMMYFUNCTION("""COMPUTED_VALUE"""),"has_projects:true")</f>
        <v>has_projects:true</v>
      </c>
      <c r="CC3000" s="20" t="str">
        <f>IFERROR(__xludf.DUMMYFUNCTION("""COMPUTED_VALUE"""),"has_downloads:true")</f>
        <v>has_downloads:true</v>
      </c>
      <c r="CD3000" s="20" t="str">
        <f>IFERROR(__xludf.DUMMYFUNCTION("""COMPUTED_VALUE"""),"has_wiki:true")</f>
        <v>has_wiki:true</v>
      </c>
      <c r="CE3000" s="20" t="str">
        <f>IFERROR(__xludf.DUMMYFUNCTION("""COMPUTED_VALUE"""),"has_pages:false")</f>
        <v>has_pages:false</v>
      </c>
      <c r="CF3000" s="20" t="str">
        <f>IFERROR(__xludf.DUMMYFUNCTION("""COMPUTED_VALUE"""),"has_discussions:false")</f>
        <v>has_discussions:false</v>
      </c>
      <c r="CG3000" s="20" t="str">
        <f>IFERROR(__xludf.DUMMYFUNCTION("""COMPUTED_VALUE"""),"forks_count:44")</f>
        <v>forks_count:44</v>
      </c>
      <c r="CH3000" s="20" t="str">
        <f>IFERROR(__xludf.DUMMYFUNCTION("""COMPUTED_VALUE"""),"mirror_url:null")</f>
        <v>mirror_url:null</v>
      </c>
      <c r="CI3000" s="20" t="str">
        <f>IFERROR(__xludf.DUMMYFUNCTION("""COMPUTED_VALUE"""),"archived:false")</f>
        <v>archived:false</v>
      </c>
      <c r="CJ3000" s="20" t="str">
        <f>IFERROR(__xludf.DUMMYFUNCTION("""COMPUTED_VALUE"""),"disabled:false")</f>
        <v>disabled:false</v>
      </c>
      <c r="CK3000" s="20" t="str">
        <f>IFERROR(__xludf.DUMMYFUNCTION("""COMPUTED_VALUE"""),"open_issues_count:1")</f>
        <v>open_issues_count:1</v>
      </c>
      <c r="CL3000" s="20" t="str">
        <f>IFERROR(__xludf.DUMMYFUNCTION("""COMPUTED_VALUE"""),"license:null")</f>
        <v>license:null</v>
      </c>
      <c r="CM3000" s="20" t="str">
        <f>IFERROR(__xludf.DUMMYFUNCTION("""COMPUTED_VALUE"""),"allow_forking:true")</f>
        <v>allow_forking:true</v>
      </c>
      <c r="CN3000" s="20" t="str">
        <f>IFERROR(__xludf.DUMMYFUNCTION("""COMPUTED_VALUE"""),"is_template:false")</f>
        <v>is_template:false</v>
      </c>
      <c r="CO3000" s="20" t="str">
        <f>IFERROR(__xludf.DUMMYFUNCTION("""COMPUTED_VALUE"""),"web_commit_signoff_required:false")</f>
        <v>web_commit_signoff_required:false</v>
      </c>
      <c r="CP3000" s="20" t="str">
        <f>IFERROR(__xludf.DUMMYFUNCTION("""COMPUTED_VALUE"""),"topics:[""data-structures""")</f>
        <v>topics:["data-structures"</v>
      </c>
      <c r="CQ3000" s="20" t="str">
        <f>IFERROR(__xludf.DUMMYFUNCTION("""COMPUTED_VALUE"""),"dsa")</f>
        <v>dsa</v>
      </c>
      <c r="CR3000" s="20" t="str">
        <f>IFERROR(__xludf.DUMMYFUNCTION("""COMPUTED_VALUE"""),"leetcode")</f>
        <v>leetcode</v>
      </c>
      <c r="CS3000" s="20" t="str">
        <f>IFERROR(__xludf.DUMMYFUNCTION("""COMPUTED_VALUE"""),"practice")</f>
        <v>practice</v>
      </c>
      <c r="CT3000" s="20" t="str">
        <f>IFERROR(__xludf.DUMMYFUNCTION("""COMPUTED_VALUE"""),"scraper]")</f>
        <v>scraper]</v>
      </c>
      <c r="CU3000" s="20" t="str">
        <f>IFERROR(__xludf.DUMMYFUNCTION("""COMPUTED_VALUE"""),"visibility:""public""")</f>
        <v>visibility:"public"</v>
      </c>
      <c r="CV3000" s="20" t="str">
        <f>IFERROR(__xludf.DUMMYFUNCTION("""COMPUTED_VALUE"""),"forks:44")</f>
        <v>forks:44</v>
      </c>
      <c r="CW3000" s="20" t="str">
        <f>IFERROR(__xludf.DUMMYFUNCTION("""COMPUTED_VALUE"""),"open_issues:1")</f>
        <v>open_issues:1</v>
      </c>
      <c r="CX3000" s="20" t="str">
        <f>IFERROR(__xludf.DUMMYFUNCTION("""COMPUTED_VALUE"""),"watchers:242")</f>
        <v>watchers:242</v>
      </c>
      <c r="CY3000" s="20" t="str">
        <f>IFERROR(__xludf.DUMMYFUNCTION("""COMPUTED_VALUE"""),"default_branch:""main""")</f>
        <v>default_branch:"main"</v>
      </c>
      <c r="CZ3000" s="20" t="str">
        <f>IFERROR(__xludf.DUMMYFUNCTION("""COMPUTED_VALUE"""),"temp_clone_token:null")</f>
        <v>temp_clone_token:null</v>
      </c>
      <c r="DA3000" s="20" t="str">
        <f>IFERROR(__xludf.DUMMYFUNCTION("""COMPUTED_VALUE"""),"network_count:44")</f>
        <v>network_count:44</v>
      </c>
      <c r="DB3000" s="20" t="str">
        <f>IFERROR(__xludf.DUMMYFUNCTION("""COMPUTED_VALUE"""),"subscribers_count:6}")</f>
        <v>subscribers_count:6}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0" t="str">
        <f>IFERROR(__xludf.DUMMYFUNCTION("IMPORTDATA(""https://raw.githubusercontent.com/adixmr/leetcode/""&amp;Meta!B6&amp;""/data.csv"")"),"questionId")</f>
        <v>questionId</v>
      </c>
      <c r="B1" s="20" t="str">
        <f>IFERROR(__xludf.DUMMYFUNCTION("""COMPUTED_VALUE"""),"title")</f>
        <v>title</v>
      </c>
      <c r="C1" s="20" t="str">
        <f>IFERROR(__xludf.DUMMYFUNCTION("""COMPUTED_VALUE"""),"titleSlug")</f>
        <v>titleSlug</v>
      </c>
      <c r="D1" s="20" t="str">
        <f>IFERROR(__xludf.DUMMYFUNCTION("""COMPUTED_VALUE"""),"isPaidOnly")</f>
        <v>isPaidOnly</v>
      </c>
      <c r="E1" s="20" t="str">
        <f>IFERROR(__xludf.DUMMYFUNCTION("""COMPUTED_VALUE"""),"difficulty")</f>
        <v>difficulty</v>
      </c>
      <c r="F1" s="20" t="str">
        <f>IFERROR(__xludf.DUMMYFUNCTION("""COMPUTED_VALUE"""),"likes")</f>
        <v>likes</v>
      </c>
      <c r="G1" s="20" t="str">
        <f>IFERROR(__xludf.DUMMYFUNCTION("""COMPUTED_VALUE"""),"dislikes")</f>
        <v>dislikes</v>
      </c>
      <c r="H1" s="20" t="str">
        <f>IFERROR(__xludf.DUMMYFUNCTION("""COMPUTED_VALUE"""),"categoryTitle")</f>
        <v>categoryTitle</v>
      </c>
      <c r="I1" s="20" t="str">
        <f>IFERROR(__xludf.DUMMYFUNCTION("""COMPUTED_VALUE"""),"acRate")</f>
        <v>acRate</v>
      </c>
      <c r="J1" s="20" t="str">
        <f>IFERROR(__xludf.DUMMYFUNCTION("""COMPUTED_VALUE"""),"frontendQuestionId")</f>
        <v>frontendQuestionId</v>
      </c>
      <c r="K1" s="20" t="str">
        <f>IFERROR(__xludf.DUMMYFUNCTION("""COMPUTED_VALUE"""),"paidOnly")</f>
        <v>paidOnly</v>
      </c>
      <c r="L1" s="20" t="str">
        <f>IFERROR(__xludf.DUMMYFUNCTION("""COMPUTED_VALUE"""),"topicTags")</f>
        <v>topicTags</v>
      </c>
      <c r="M1" s="20" t="str">
        <f>IFERROR(__xludf.DUMMYFUNCTION("""COMPUTED_VALUE"""),"hasSolution")</f>
        <v>hasSolution</v>
      </c>
      <c r="N1" s="20" t="str">
        <f>IFERROR(__xludf.DUMMYFUNCTION("""COMPUTED_VALUE"""),"hasVideoSolution")</f>
        <v>hasVideoSolution</v>
      </c>
      <c r="O1" s="20" t="str">
        <f>IFERROR(__xludf.DUMMYFUNCTION("""COMPUTED_VALUE"""),"acRateRaw")</f>
        <v>acRateRaw</v>
      </c>
      <c r="P1" s="20" t="str">
        <f>IFERROR(__xludf.DUMMYFUNCTION("""COMPUTED_VALUE"""),"totalAccepted")</f>
        <v>totalAccepted</v>
      </c>
      <c r="Q1" s="20" t="str">
        <f>IFERROR(__xludf.DUMMYFUNCTION("""COMPUTED_VALUE"""),"totalSubmission")</f>
        <v>totalSubmission</v>
      </c>
    </row>
    <row r="2">
      <c r="A2" s="20">
        <f>IFERROR(__xludf.DUMMYFUNCTION("""COMPUTED_VALUE"""),1.0)</f>
        <v>1</v>
      </c>
      <c r="B2" s="20" t="str">
        <f>IFERROR(__xludf.DUMMYFUNCTION("""COMPUTED_VALUE"""),"Two Sum")</f>
        <v>Two Sum</v>
      </c>
      <c r="C2" s="20" t="str">
        <f>IFERROR(__xludf.DUMMYFUNCTION("""COMPUTED_VALUE"""),"two-sum")</f>
        <v>two-sum</v>
      </c>
      <c r="D2" s="20" t="b">
        <f>IFERROR(__xludf.DUMMYFUNCTION("""COMPUTED_VALUE"""),FALSE)</f>
        <v>0</v>
      </c>
      <c r="E2" s="20" t="str">
        <f>IFERROR(__xludf.DUMMYFUNCTION("""COMPUTED_VALUE"""),"Easy")</f>
        <v>Easy</v>
      </c>
      <c r="F2" s="20">
        <f>IFERROR(__xludf.DUMMYFUNCTION("""COMPUTED_VALUE"""),41404.0)</f>
        <v>41404</v>
      </c>
      <c r="G2" s="20">
        <f>IFERROR(__xludf.DUMMYFUNCTION("""COMPUTED_VALUE"""),1339.0)</f>
        <v>1339</v>
      </c>
      <c r="H2" s="20" t="str">
        <f>IFERROR(__xludf.DUMMYFUNCTION("""COMPUTED_VALUE"""),"Algorithms")</f>
        <v>Algorithms</v>
      </c>
      <c r="I2" s="20">
        <f>IFERROR(__xludf.DUMMYFUNCTION("""COMPUTED_VALUE"""),0.492)</f>
        <v>0.492</v>
      </c>
      <c r="J2" s="20">
        <f>IFERROR(__xludf.DUMMYFUNCTION("""COMPUTED_VALUE"""),1.0)</f>
        <v>1</v>
      </c>
      <c r="K2" s="20" t="b">
        <f>IFERROR(__xludf.DUMMYFUNCTION("""COMPUTED_VALUE"""),FALSE)</f>
        <v>0</v>
      </c>
      <c r="L2" s="20" t="str">
        <f>IFERROR(__xludf.DUMMYFUNCTION("""COMPUTED_VALUE"""),"Array;Hash Table;")</f>
        <v>Array;Hash Table;</v>
      </c>
      <c r="M2" s="20" t="b">
        <f>IFERROR(__xludf.DUMMYFUNCTION("""COMPUTED_VALUE"""),TRUE)</f>
        <v>1</v>
      </c>
      <c r="N2" s="20" t="b">
        <f>IFERROR(__xludf.DUMMYFUNCTION("""COMPUTED_VALUE"""),TRUE)</f>
        <v>1</v>
      </c>
      <c r="O2" s="20">
        <f>IFERROR(__xludf.DUMMYFUNCTION("""COMPUTED_VALUE"""),49.1528821541596)</f>
        <v>49.15288215</v>
      </c>
      <c r="P2" s="20">
        <f>IFERROR(__xludf.DUMMYFUNCTION("""COMPUTED_VALUE"""),8539752.0)</f>
        <v>8539752</v>
      </c>
      <c r="Q2" s="20">
        <f>IFERROR(__xludf.DUMMYFUNCTION("""COMPUTED_VALUE"""),1.7373899E7)</f>
        <v>17373899</v>
      </c>
    </row>
    <row r="3">
      <c r="A3" s="20">
        <f>IFERROR(__xludf.DUMMYFUNCTION("""COMPUTED_VALUE"""),2.0)</f>
        <v>2</v>
      </c>
      <c r="B3" s="20" t="str">
        <f>IFERROR(__xludf.DUMMYFUNCTION("""COMPUTED_VALUE"""),"Add Two Numbers")</f>
        <v>Add Two Numbers</v>
      </c>
      <c r="C3" s="20" t="str">
        <f>IFERROR(__xludf.DUMMYFUNCTION("""COMPUTED_VALUE"""),"add-two-numbers")</f>
        <v>add-two-numbers</v>
      </c>
      <c r="D3" s="20" t="b">
        <f>IFERROR(__xludf.DUMMYFUNCTION("""COMPUTED_VALUE"""),FALSE)</f>
        <v>0</v>
      </c>
      <c r="E3" s="20" t="str">
        <f>IFERROR(__xludf.DUMMYFUNCTION("""COMPUTED_VALUE"""),"Medium")</f>
        <v>Medium</v>
      </c>
      <c r="F3" s="20">
        <f>IFERROR(__xludf.DUMMYFUNCTION("""COMPUTED_VALUE"""),23373.0)</f>
        <v>23373</v>
      </c>
      <c r="G3" s="20">
        <f>IFERROR(__xludf.DUMMYFUNCTION("""COMPUTED_VALUE"""),4517.0)</f>
        <v>4517</v>
      </c>
      <c r="H3" s="20" t="str">
        <f>IFERROR(__xludf.DUMMYFUNCTION("""COMPUTED_VALUE"""),"Algorithms")</f>
        <v>Algorithms</v>
      </c>
      <c r="I3" s="20">
        <f>IFERROR(__xludf.DUMMYFUNCTION("""COMPUTED_VALUE"""),0.399)</f>
        <v>0.399</v>
      </c>
      <c r="J3" s="20">
        <f>IFERROR(__xludf.DUMMYFUNCTION("""COMPUTED_VALUE"""),2.0)</f>
        <v>2</v>
      </c>
      <c r="K3" s="20" t="b">
        <f>IFERROR(__xludf.DUMMYFUNCTION("""COMPUTED_VALUE"""),FALSE)</f>
        <v>0</v>
      </c>
      <c r="L3" s="20" t="str">
        <f>IFERROR(__xludf.DUMMYFUNCTION("""COMPUTED_VALUE"""),"Linked List;Math;Recursion;")</f>
        <v>Linked List;Math;Recursion;</v>
      </c>
      <c r="M3" s="20" t="b">
        <f>IFERROR(__xludf.DUMMYFUNCTION("""COMPUTED_VALUE"""),TRUE)</f>
        <v>1</v>
      </c>
      <c r="N3" s="20" t="b">
        <f>IFERROR(__xludf.DUMMYFUNCTION("""COMPUTED_VALUE"""),FALSE)</f>
        <v>0</v>
      </c>
      <c r="O3" s="20">
        <f>IFERROR(__xludf.DUMMYFUNCTION("""COMPUTED_VALUE"""),39.9447299688263)</f>
        <v>39.94472997</v>
      </c>
      <c r="P3" s="20">
        <f>IFERROR(__xludf.DUMMYFUNCTION("""COMPUTED_VALUE"""),3318707.0)</f>
        <v>3318707</v>
      </c>
      <c r="Q3" s="20">
        <f>IFERROR(__xludf.DUMMYFUNCTION("""COMPUTED_VALUE"""),8308255.0)</f>
        <v>8308255</v>
      </c>
    </row>
    <row r="4">
      <c r="A4" s="20">
        <f>IFERROR(__xludf.DUMMYFUNCTION("""COMPUTED_VALUE"""),3.0)</f>
        <v>3</v>
      </c>
      <c r="B4" s="20" t="str">
        <f>IFERROR(__xludf.DUMMYFUNCTION("""COMPUTED_VALUE"""),"Longest Substring Without Repeating Characters")</f>
        <v>Longest Substring Without Repeating Characters</v>
      </c>
      <c r="C4" s="20" t="str">
        <f>IFERROR(__xludf.DUMMYFUNCTION("""COMPUTED_VALUE"""),"longest-substring-without-repeating-characters")</f>
        <v>longest-substring-without-repeating-characters</v>
      </c>
      <c r="D4" s="20" t="b">
        <f>IFERROR(__xludf.DUMMYFUNCTION("""COMPUTED_VALUE"""),FALSE)</f>
        <v>0</v>
      </c>
      <c r="E4" s="20" t="str">
        <f>IFERROR(__xludf.DUMMYFUNCTION("""COMPUTED_VALUE"""),"Medium")</f>
        <v>Medium</v>
      </c>
      <c r="F4" s="20">
        <f>IFERROR(__xludf.DUMMYFUNCTION("""COMPUTED_VALUE"""),30964.0)</f>
        <v>30964</v>
      </c>
      <c r="G4" s="20">
        <f>IFERROR(__xludf.DUMMYFUNCTION("""COMPUTED_VALUE"""),1342.0)</f>
        <v>1342</v>
      </c>
      <c r="H4" s="20" t="str">
        <f>IFERROR(__xludf.DUMMYFUNCTION("""COMPUTED_VALUE"""),"Algorithms")</f>
        <v>Algorithms</v>
      </c>
      <c r="I4" s="20">
        <f>IFERROR(__xludf.DUMMYFUNCTION("""COMPUTED_VALUE"""),0.338)</f>
        <v>0.338</v>
      </c>
      <c r="J4" s="20">
        <f>IFERROR(__xludf.DUMMYFUNCTION("""COMPUTED_VALUE"""),3.0)</f>
        <v>3</v>
      </c>
      <c r="K4" s="20" t="b">
        <f>IFERROR(__xludf.DUMMYFUNCTION("""COMPUTED_VALUE"""),FALSE)</f>
        <v>0</v>
      </c>
      <c r="L4" s="20" t="str">
        <f>IFERROR(__xludf.DUMMYFUNCTION("""COMPUTED_VALUE"""),"Hash Table;String;Sliding Window;")</f>
        <v>Hash Table;String;Sliding Window;</v>
      </c>
      <c r="M4" s="20" t="b">
        <f>IFERROR(__xludf.DUMMYFUNCTION("""COMPUTED_VALUE"""),TRUE)</f>
        <v>1</v>
      </c>
      <c r="N4" s="20" t="b">
        <f>IFERROR(__xludf.DUMMYFUNCTION("""COMPUTED_VALUE"""),TRUE)</f>
        <v>1</v>
      </c>
      <c r="O4" s="20">
        <f>IFERROR(__xludf.DUMMYFUNCTION("""COMPUTED_VALUE"""),33.8066740815649)</f>
        <v>33.80667408</v>
      </c>
      <c r="P4" s="20">
        <f>IFERROR(__xludf.DUMMYFUNCTION("""COMPUTED_VALUE"""),4118229.0)</f>
        <v>4118229</v>
      </c>
      <c r="Q4" s="20">
        <f>IFERROR(__xludf.DUMMYFUNCTION("""COMPUTED_VALUE"""),1.2181715E7)</f>
        <v>12181715</v>
      </c>
    </row>
    <row r="5">
      <c r="A5" s="20">
        <f>IFERROR(__xludf.DUMMYFUNCTION("""COMPUTED_VALUE"""),4.0)</f>
        <v>4</v>
      </c>
      <c r="B5" s="20" t="str">
        <f>IFERROR(__xludf.DUMMYFUNCTION("""COMPUTED_VALUE"""),"Median of Two Sorted Arrays")</f>
        <v>Median of Two Sorted Arrays</v>
      </c>
      <c r="C5" s="20" t="str">
        <f>IFERROR(__xludf.DUMMYFUNCTION("""COMPUTED_VALUE"""),"median-of-two-sorted-arrays")</f>
        <v>median-of-two-sorted-arrays</v>
      </c>
      <c r="D5" s="20" t="b">
        <f>IFERROR(__xludf.DUMMYFUNCTION("""COMPUTED_VALUE"""),FALSE)</f>
        <v>0</v>
      </c>
      <c r="E5" s="20" t="str">
        <f>IFERROR(__xludf.DUMMYFUNCTION("""COMPUTED_VALUE"""),"Hard")</f>
        <v>Hard</v>
      </c>
      <c r="F5" s="20">
        <f>IFERROR(__xludf.DUMMYFUNCTION("""COMPUTED_VALUE"""),21202.0)</f>
        <v>21202</v>
      </c>
      <c r="G5" s="20">
        <f>IFERROR(__xludf.DUMMYFUNCTION("""COMPUTED_VALUE"""),2387.0)</f>
        <v>2387</v>
      </c>
      <c r="H5" s="20" t="str">
        <f>IFERROR(__xludf.DUMMYFUNCTION("""COMPUTED_VALUE"""),"Algorithms")</f>
        <v>Algorithms</v>
      </c>
      <c r="I5" s="20">
        <f>IFERROR(__xludf.DUMMYFUNCTION("""COMPUTED_VALUE"""),0.355)</f>
        <v>0.355</v>
      </c>
      <c r="J5" s="20">
        <f>IFERROR(__xludf.DUMMYFUNCTION("""COMPUTED_VALUE"""),4.0)</f>
        <v>4</v>
      </c>
      <c r="K5" s="20" t="b">
        <f>IFERROR(__xludf.DUMMYFUNCTION("""COMPUTED_VALUE"""),FALSE)</f>
        <v>0</v>
      </c>
      <c r="L5" s="20" t="str">
        <f>IFERROR(__xludf.DUMMYFUNCTION("""COMPUTED_VALUE"""),"Array;Binary Search;Divide and Conquer;")</f>
        <v>Array;Binary Search;Divide and Conquer;</v>
      </c>
      <c r="M5" s="20" t="b">
        <f>IFERROR(__xludf.DUMMYFUNCTION("""COMPUTED_VALUE"""),FALSE)</f>
        <v>0</v>
      </c>
      <c r="N5" s="20" t="b">
        <f>IFERROR(__xludf.DUMMYFUNCTION("""COMPUTED_VALUE"""),FALSE)</f>
        <v>0</v>
      </c>
      <c r="O5" s="20">
        <f>IFERROR(__xludf.DUMMYFUNCTION("""COMPUTED_VALUE"""),35.5006188699719)</f>
        <v>35.50061887</v>
      </c>
      <c r="P5" s="20">
        <f>IFERROR(__xludf.DUMMYFUNCTION("""COMPUTED_VALUE"""),1716871.0)</f>
        <v>1716871</v>
      </c>
      <c r="Q5" s="20">
        <f>IFERROR(__xludf.DUMMYFUNCTION("""COMPUTED_VALUE"""),4836202.0)</f>
        <v>4836202</v>
      </c>
    </row>
    <row r="6">
      <c r="A6" s="20">
        <f>IFERROR(__xludf.DUMMYFUNCTION("""COMPUTED_VALUE"""),5.0)</f>
        <v>5</v>
      </c>
      <c r="B6" s="20" t="str">
        <f>IFERROR(__xludf.DUMMYFUNCTION("""COMPUTED_VALUE"""),"Longest Palindromic Substring")</f>
        <v>Longest Palindromic Substring</v>
      </c>
      <c r="C6" s="20" t="str">
        <f>IFERROR(__xludf.DUMMYFUNCTION("""COMPUTED_VALUE"""),"longest-palindromic-substring")</f>
        <v>longest-palindromic-substring</v>
      </c>
      <c r="D6" s="20" t="b">
        <f>IFERROR(__xludf.DUMMYFUNCTION("""COMPUTED_VALUE"""),FALSE)</f>
        <v>0</v>
      </c>
      <c r="E6" s="20" t="str">
        <f>IFERROR(__xludf.DUMMYFUNCTION("""COMPUTED_VALUE"""),"Medium")</f>
        <v>Medium</v>
      </c>
      <c r="F6" s="20">
        <f>IFERROR(__xludf.DUMMYFUNCTION("""COMPUTED_VALUE"""),23116.0)</f>
        <v>23116</v>
      </c>
      <c r="G6" s="20">
        <f>IFERROR(__xludf.DUMMYFUNCTION("""COMPUTED_VALUE"""),1350.0)</f>
        <v>1350</v>
      </c>
      <c r="H6" s="20" t="str">
        <f>IFERROR(__xludf.DUMMYFUNCTION("""COMPUTED_VALUE"""),"Algorithms")</f>
        <v>Algorithms</v>
      </c>
      <c r="I6" s="20">
        <f>IFERROR(__xludf.DUMMYFUNCTION("""COMPUTED_VALUE"""),0.324)</f>
        <v>0.324</v>
      </c>
      <c r="J6" s="20">
        <f>IFERROR(__xludf.DUMMYFUNCTION("""COMPUTED_VALUE"""),5.0)</f>
        <v>5</v>
      </c>
      <c r="K6" s="20" t="b">
        <f>IFERROR(__xludf.DUMMYFUNCTION("""COMPUTED_VALUE"""),FALSE)</f>
        <v>0</v>
      </c>
      <c r="L6" s="20" t="str">
        <f>IFERROR(__xludf.DUMMYFUNCTION("""COMPUTED_VALUE"""),"String;Dynamic Programming;")</f>
        <v>String;Dynamic Programming;</v>
      </c>
      <c r="M6" s="20" t="b">
        <f>IFERROR(__xludf.DUMMYFUNCTION("""COMPUTED_VALUE"""),TRUE)</f>
        <v>1</v>
      </c>
      <c r="N6" s="20" t="b">
        <f>IFERROR(__xludf.DUMMYFUNCTION("""COMPUTED_VALUE"""),FALSE)</f>
        <v>0</v>
      </c>
      <c r="O6" s="20">
        <f>IFERROR(__xludf.DUMMYFUNCTION("""COMPUTED_VALUE"""),32.4124254022705)</f>
        <v>32.4124254</v>
      </c>
      <c r="P6" s="20">
        <f>IFERROR(__xludf.DUMMYFUNCTION("""COMPUTED_VALUE"""),2229428.0)</f>
        <v>2229428</v>
      </c>
      <c r="Q6" s="20">
        <f>IFERROR(__xludf.DUMMYFUNCTION("""COMPUTED_VALUE"""),6878324.0)</f>
        <v>6878324</v>
      </c>
    </row>
    <row r="7">
      <c r="A7" s="20">
        <f>IFERROR(__xludf.DUMMYFUNCTION("""COMPUTED_VALUE"""),6.0)</f>
        <v>6</v>
      </c>
      <c r="B7" s="20" t="str">
        <f>IFERROR(__xludf.DUMMYFUNCTION("""COMPUTED_VALUE"""),"Zigzag Conversion")</f>
        <v>Zigzag Conversion</v>
      </c>
      <c r="C7" s="20" t="str">
        <f>IFERROR(__xludf.DUMMYFUNCTION("""COMPUTED_VALUE"""),"zigzag-conversion")</f>
        <v>zigzag-conversion</v>
      </c>
      <c r="D7" s="20" t="b">
        <f>IFERROR(__xludf.DUMMYFUNCTION("""COMPUTED_VALUE"""),FALSE)</f>
        <v>0</v>
      </c>
      <c r="E7" s="20" t="str">
        <f>IFERROR(__xludf.DUMMYFUNCTION("""COMPUTED_VALUE"""),"Medium")</f>
        <v>Medium</v>
      </c>
      <c r="F7" s="20">
        <f>IFERROR(__xludf.DUMMYFUNCTION("""COMPUTED_VALUE"""),4781.0)</f>
        <v>4781</v>
      </c>
      <c r="G7" s="20">
        <f>IFERROR(__xludf.DUMMYFUNCTION("""COMPUTED_VALUE"""),10334.0)</f>
        <v>10334</v>
      </c>
      <c r="H7" s="20" t="str">
        <f>IFERROR(__xludf.DUMMYFUNCTION("""COMPUTED_VALUE"""),"Algorithms")</f>
        <v>Algorithms</v>
      </c>
      <c r="I7" s="20">
        <f>IFERROR(__xludf.DUMMYFUNCTION("""COMPUTED_VALUE"""),0.433)</f>
        <v>0.433</v>
      </c>
      <c r="J7" s="20">
        <f>IFERROR(__xludf.DUMMYFUNCTION("""COMPUTED_VALUE"""),6.0)</f>
        <v>6</v>
      </c>
      <c r="K7" s="20" t="b">
        <f>IFERROR(__xludf.DUMMYFUNCTION("""COMPUTED_VALUE"""),FALSE)</f>
        <v>0</v>
      </c>
      <c r="L7" s="20" t="str">
        <f>IFERROR(__xludf.DUMMYFUNCTION("""COMPUTED_VALUE"""),"String;")</f>
        <v>String;</v>
      </c>
      <c r="M7" s="20" t="b">
        <f>IFERROR(__xludf.DUMMYFUNCTION("""COMPUTED_VALUE"""),TRUE)</f>
        <v>1</v>
      </c>
      <c r="N7" s="20" t="b">
        <f>IFERROR(__xludf.DUMMYFUNCTION("""COMPUTED_VALUE"""),FALSE)</f>
        <v>0</v>
      </c>
      <c r="O7" s="20">
        <f>IFERROR(__xludf.DUMMYFUNCTION("""COMPUTED_VALUE"""),43.3383685946222)</f>
        <v>43.33836859</v>
      </c>
      <c r="P7" s="20">
        <f>IFERROR(__xludf.DUMMYFUNCTION("""COMPUTED_VALUE"""),899135.0)</f>
        <v>899135</v>
      </c>
      <c r="Q7" s="20">
        <f>IFERROR(__xludf.DUMMYFUNCTION("""COMPUTED_VALUE"""),2074688.0)</f>
        <v>2074688</v>
      </c>
    </row>
    <row r="8">
      <c r="A8" s="20">
        <f>IFERROR(__xludf.DUMMYFUNCTION("""COMPUTED_VALUE"""),7.0)</f>
        <v>7</v>
      </c>
      <c r="B8" s="20" t="str">
        <f>IFERROR(__xludf.DUMMYFUNCTION("""COMPUTED_VALUE"""),"Reverse Integer")</f>
        <v>Reverse Integer</v>
      </c>
      <c r="C8" s="20" t="str">
        <f>IFERROR(__xludf.DUMMYFUNCTION("""COMPUTED_VALUE"""),"reverse-integer")</f>
        <v>reverse-integer</v>
      </c>
      <c r="D8" s="20" t="b">
        <f>IFERROR(__xludf.DUMMYFUNCTION("""COMPUTED_VALUE"""),FALSE)</f>
        <v>0</v>
      </c>
      <c r="E8" s="20" t="str">
        <f>IFERROR(__xludf.DUMMYFUNCTION("""COMPUTED_VALUE"""),"Medium")</f>
        <v>Medium</v>
      </c>
      <c r="F8" s="20">
        <f>IFERROR(__xludf.DUMMYFUNCTION("""COMPUTED_VALUE"""),9275.0)</f>
        <v>9275</v>
      </c>
      <c r="G8" s="20">
        <f>IFERROR(__xludf.DUMMYFUNCTION("""COMPUTED_VALUE"""),11272.0)</f>
        <v>11272</v>
      </c>
      <c r="H8" s="20" t="str">
        <f>IFERROR(__xludf.DUMMYFUNCTION("""COMPUTED_VALUE"""),"Algorithms")</f>
        <v>Algorithms</v>
      </c>
      <c r="I8" s="20">
        <f>IFERROR(__xludf.DUMMYFUNCTION("""COMPUTED_VALUE"""),0.273)</f>
        <v>0.273</v>
      </c>
      <c r="J8" s="20">
        <f>IFERROR(__xludf.DUMMYFUNCTION("""COMPUTED_VALUE"""),7.0)</f>
        <v>7</v>
      </c>
      <c r="K8" s="20" t="b">
        <f>IFERROR(__xludf.DUMMYFUNCTION("""COMPUTED_VALUE"""),FALSE)</f>
        <v>0</v>
      </c>
      <c r="L8" s="20" t="str">
        <f>IFERROR(__xludf.DUMMYFUNCTION("""COMPUTED_VALUE"""),"Math;")</f>
        <v>Math;</v>
      </c>
      <c r="M8" s="20" t="b">
        <f>IFERROR(__xludf.DUMMYFUNCTION("""COMPUTED_VALUE"""),TRUE)</f>
        <v>1</v>
      </c>
      <c r="N8" s="20" t="b">
        <f>IFERROR(__xludf.DUMMYFUNCTION("""COMPUTED_VALUE"""),FALSE)</f>
        <v>0</v>
      </c>
      <c r="O8" s="20">
        <f>IFERROR(__xludf.DUMMYFUNCTION("""COMPUTED_VALUE"""),27.2948306741963)</f>
        <v>27.29483067</v>
      </c>
      <c r="P8" s="20">
        <f>IFERROR(__xludf.DUMMYFUNCTION("""COMPUTED_VALUE"""),2389567.0)</f>
        <v>2389567</v>
      </c>
      <c r="Q8" s="20">
        <f>IFERROR(__xludf.DUMMYFUNCTION("""COMPUTED_VALUE"""),8754647.0)</f>
        <v>8754647</v>
      </c>
    </row>
    <row r="9">
      <c r="A9" s="20">
        <f>IFERROR(__xludf.DUMMYFUNCTION("""COMPUTED_VALUE"""),8.0)</f>
        <v>8</v>
      </c>
      <c r="B9" s="20" t="str">
        <f>IFERROR(__xludf.DUMMYFUNCTION("""COMPUTED_VALUE"""),"String to Integer (atoi)")</f>
        <v>String to Integer (atoi)</v>
      </c>
      <c r="C9" s="20" t="str">
        <f>IFERROR(__xludf.DUMMYFUNCTION("""COMPUTED_VALUE"""),"string-to-integer-atoi")</f>
        <v>string-to-integer-atoi</v>
      </c>
      <c r="D9" s="20" t="b">
        <f>IFERROR(__xludf.DUMMYFUNCTION("""COMPUTED_VALUE"""),FALSE)</f>
        <v>0</v>
      </c>
      <c r="E9" s="20" t="str">
        <f>IFERROR(__xludf.DUMMYFUNCTION("""COMPUTED_VALUE"""),"Medium")</f>
        <v>Medium</v>
      </c>
      <c r="F9" s="20">
        <f>IFERROR(__xludf.DUMMYFUNCTION("""COMPUTED_VALUE"""),2696.0)</f>
        <v>2696</v>
      </c>
      <c r="G9" s="20">
        <f>IFERROR(__xludf.DUMMYFUNCTION("""COMPUTED_VALUE"""),7996.0)</f>
        <v>7996</v>
      </c>
      <c r="H9" s="20" t="str">
        <f>IFERROR(__xludf.DUMMYFUNCTION("""COMPUTED_VALUE"""),"Algorithms")</f>
        <v>Algorithms</v>
      </c>
      <c r="I9" s="20">
        <f>IFERROR(__xludf.DUMMYFUNCTION("""COMPUTED_VALUE"""),0.166)</f>
        <v>0.166</v>
      </c>
      <c r="J9" s="20">
        <f>IFERROR(__xludf.DUMMYFUNCTION("""COMPUTED_VALUE"""),8.0)</f>
        <v>8</v>
      </c>
      <c r="K9" s="20" t="b">
        <f>IFERROR(__xludf.DUMMYFUNCTION("""COMPUTED_VALUE"""),FALSE)</f>
        <v>0</v>
      </c>
      <c r="L9" s="20" t="str">
        <f>IFERROR(__xludf.DUMMYFUNCTION("""COMPUTED_VALUE"""),"String;")</f>
        <v>String;</v>
      </c>
      <c r="M9" s="20" t="b">
        <f>IFERROR(__xludf.DUMMYFUNCTION("""COMPUTED_VALUE"""),TRUE)</f>
        <v>1</v>
      </c>
      <c r="N9" s="20" t="b">
        <f>IFERROR(__xludf.DUMMYFUNCTION("""COMPUTED_VALUE"""),FALSE)</f>
        <v>0</v>
      </c>
      <c r="O9" s="20">
        <f>IFERROR(__xludf.DUMMYFUNCTION("""COMPUTED_VALUE"""),16.6187082252326)</f>
        <v>16.61870823</v>
      </c>
      <c r="P9" s="20">
        <f>IFERROR(__xludf.DUMMYFUNCTION("""COMPUTED_VALUE"""),1165872.0)</f>
        <v>1165872</v>
      </c>
      <c r="Q9" s="20">
        <f>IFERROR(__xludf.DUMMYFUNCTION("""COMPUTED_VALUE"""),7015413.0)</f>
        <v>7015413</v>
      </c>
    </row>
    <row r="10">
      <c r="A10" s="20">
        <f>IFERROR(__xludf.DUMMYFUNCTION("""COMPUTED_VALUE"""),9.0)</f>
        <v>9</v>
      </c>
      <c r="B10" s="20" t="str">
        <f>IFERROR(__xludf.DUMMYFUNCTION("""COMPUTED_VALUE"""),"Palindrome Number")</f>
        <v>Palindrome Number</v>
      </c>
      <c r="C10" s="20" t="str">
        <f>IFERROR(__xludf.DUMMYFUNCTION("""COMPUTED_VALUE"""),"palindrome-number")</f>
        <v>palindrome-number</v>
      </c>
      <c r="D10" s="20" t="b">
        <f>IFERROR(__xludf.DUMMYFUNCTION("""COMPUTED_VALUE"""),FALSE)</f>
        <v>0</v>
      </c>
      <c r="E10" s="20" t="str">
        <f>IFERROR(__xludf.DUMMYFUNCTION("""COMPUTED_VALUE"""),"Easy")</f>
        <v>Easy</v>
      </c>
      <c r="F10" s="20">
        <f>IFERROR(__xludf.DUMMYFUNCTION("""COMPUTED_VALUE"""),8175.0)</f>
        <v>8175</v>
      </c>
      <c r="G10" s="20">
        <f>IFERROR(__xludf.DUMMYFUNCTION("""COMPUTED_VALUE"""),2385.0)</f>
        <v>2385</v>
      </c>
      <c r="H10" s="20" t="str">
        <f>IFERROR(__xludf.DUMMYFUNCTION("""COMPUTED_VALUE"""),"Algorithms")</f>
        <v>Algorithms</v>
      </c>
      <c r="I10" s="20">
        <f>IFERROR(__xludf.DUMMYFUNCTION("""COMPUTED_VALUE"""),0.531)</f>
        <v>0.531</v>
      </c>
      <c r="J10" s="20">
        <f>IFERROR(__xludf.DUMMYFUNCTION("""COMPUTED_VALUE"""),9.0)</f>
        <v>9</v>
      </c>
      <c r="K10" s="20" t="b">
        <f>IFERROR(__xludf.DUMMYFUNCTION("""COMPUTED_VALUE"""),FALSE)</f>
        <v>0</v>
      </c>
      <c r="L10" s="20" t="str">
        <f>IFERROR(__xludf.DUMMYFUNCTION("""COMPUTED_VALUE"""),"Math;")</f>
        <v>Math;</v>
      </c>
      <c r="M10" s="20" t="b">
        <f>IFERROR(__xludf.DUMMYFUNCTION("""COMPUTED_VALUE"""),TRUE)</f>
        <v>1</v>
      </c>
      <c r="N10" s="20" t="b">
        <f>IFERROR(__xludf.DUMMYFUNCTION("""COMPUTED_VALUE"""),FALSE)</f>
        <v>0</v>
      </c>
      <c r="O10" s="20">
        <f>IFERROR(__xludf.DUMMYFUNCTION("""COMPUTED_VALUE"""),53.0705240555753)</f>
        <v>53.07052406</v>
      </c>
      <c r="P10" s="20">
        <f>IFERROR(__xludf.DUMMYFUNCTION("""COMPUTED_VALUE"""),2754818.0)</f>
        <v>2754818</v>
      </c>
      <c r="Q10" s="20">
        <f>IFERROR(__xludf.DUMMYFUNCTION("""COMPUTED_VALUE"""),5190862.0)</f>
        <v>5190862</v>
      </c>
    </row>
    <row r="11">
      <c r="A11" s="20">
        <f>IFERROR(__xludf.DUMMYFUNCTION("""COMPUTED_VALUE"""),10.0)</f>
        <v>10</v>
      </c>
      <c r="B11" s="20" t="str">
        <f>IFERROR(__xludf.DUMMYFUNCTION("""COMPUTED_VALUE"""),"Regular Expression Matching")</f>
        <v>Regular Expression Matching</v>
      </c>
      <c r="C11" s="20" t="str">
        <f>IFERROR(__xludf.DUMMYFUNCTION("""COMPUTED_VALUE"""),"regular-expression-matching")</f>
        <v>regular-expression-matching</v>
      </c>
      <c r="D11" s="20" t="b">
        <f>IFERROR(__xludf.DUMMYFUNCTION("""COMPUTED_VALUE"""),FALSE)</f>
        <v>0</v>
      </c>
      <c r="E11" s="20" t="str">
        <f>IFERROR(__xludf.DUMMYFUNCTION("""COMPUTED_VALUE"""),"Hard")</f>
        <v>Hard</v>
      </c>
      <c r="F11" s="20">
        <f>IFERROR(__xludf.DUMMYFUNCTION("""COMPUTED_VALUE"""),9760.0)</f>
        <v>9760</v>
      </c>
      <c r="G11" s="20">
        <f>IFERROR(__xludf.DUMMYFUNCTION("""COMPUTED_VALUE"""),1578.0)</f>
        <v>1578</v>
      </c>
      <c r="H11" s="20" t="str">
        <f>IFERROR(__xludf.DUMMYFUNCTION("""COMPUTED_VALUE"""),"Algorithms")</f>
        <v>Algorithms</v>
      </c>
      <c r="I11" s="20">
        <f>IFERROR(__xludf.DUMMYFUNCTION("""COMPUTED_VALUE"""),0.282)</f>
        <v>0.282</v>
      </c>
      <c r="J11" s="20">
        <f>IFERROR(__xludf.DUMMYFUNCTION("""COMPUTED_VALUE"""),10.0)</f>
        <v>10</v>
      </c>
      <c r="K11" s="20" t="b">
        <f>IFERROR(__xludf.DUMMYFUNCTION("""COMPUTED_VALUE"""),FALSE)</f>
        <v>0</v>
      </c>
      <c r="L11" s="20" t="str">
        <f>IFERROR(__xludf.DUMMYFUNCTION("""COMPUTED_VALUE"""),"String;Dynamic Programming;Recursion;")</f>
        <v>String;Dynamic Programming;Recursion;</v>
      </c>
      <c r="M11" s="20" t="b">
        <f>IFERROR(__xludf.DUMMYFUNCTION("""COMPUTED_VALUE"""),TRUE)</f>
        <v>1</v>
      </c>
      <c r="N11" s="20" t="b">
        <f>IFERROR(__xludf.DUMMYFUNCTION("""COMPUTED_VALUE"""),FALSE)</f>
        <v>0</v>
      </c>
      <c r="O11" s="20">
        <f>IFERROR(__xludf.DUMMYFUNCTION("""COMPUTED_VALUE"""),28.2114347198876)</f>
        <v>28.21143472</v>
      </c>
      <c r="P11" s="20">
        <f>IFERROR(__xludf.DUMMYFUNCTION("""COMPUTED_VALUE"""),769534.0)</f>
        <v>769534</v>
      </c>
      <c r="Q11" s="20">
        <f>IFERROR(__xludf.DUMMYFUNCTION("""COMPUTED_VALUE"""),2727715.0)</f>
        <v>2727715</v>
      </c>
    </row>
    <row r="12">
      <c r="A12" s="20">
        <f>IFERROR(__xludf.DUMMYFUNCTION("""COMPUTED_VALUE"""),11.0)</f>
        <v>11</v>
      </c>
      <c r="B12" s="20" t="str">
        <f>IFERROR(__xludf.DUMMYFUNCTION("""COMPUTED_VALUE"""),"Container With Most Water")</f>
        <v>Container With Most Water</v>
      </c>
      <c r="C12" s="20" t="str">
        <f>IFERROR(__xludf.DUMMYFUNCTION("""COMPUTED_VALUE"""),"container-with-most-water")</f>
        <v>container-with-most-water</v>
      </c>
      <c r="D12" s="20" t="b">
        <f>IFERROR(__xludf.DUMMYFUNCTION("""COMPUTED_VALUE"""),FALSE)</f>
        <v>0</v>
      </c>
      <c r="E12" s="20" t="str">
        <f>IFERROR(__xludf.DUMMYFUNCTION("""COMPUTED_VALUE"""),"Medium")</f>
        <v>Medium</v>
      </c>
      <c r="F12" s="20">
        <f>IFERROR(__xludf.DUMMYFUNCTION("""COMPUTED_VALUE"""),21810.0)</f>
        <v>21810</v>
      </c>
      <c r="G12" s="20">
        <f>IFERROR(__xludf.DUMMYFUNCTION("""COMPUTED_VALUE"""),1164.0)</f>
        <v>1164</v>
      </c>
      <c r="H12" s="20" t="str">
        <f>IFERROR(__xludf.DUMMYFUNCTION("""COMPUTED_VALUE"""),"Algorithms")</f>
        <v>Algorithms</v>
      </c>
      <c r="I12" s="20">
        <f>IFERROR(__xludf.DUMMYFUNCTION("""COMPUTED_VALUE"""),0.543)</f>
        <v>0.543</v>
      </c>
      <c r="J12" s="20">
        <f>IFERROR(__xludf.DUMMYFUNCTION("""COMPUTED_VALUE"""),11.0)</f>
        <v>11</v>
      </c>
      <c r="K12" s="20" t="b">
        <f>IFERROR(__xludf.DUMMYFUNCTION("""COMPUTED_VALUE"""),FALSE)</f>
        <v>0</v>
      </c>
      <c r="L12" s="20" t="str">
        <f>IFERROR(__xludf.DUMMYFUNCTION("""COMPUTED_VALUE"""),"Array;Two Pointers;Greedy;")</f>
        <v>Array;Two Pointers;Greedy;</v>
      </c>
      <c r="M12" s="20" t="b">
        <f>IFERROR(__xludf.DUMMYFUNCTION("""COMPUTED_VALUE"""),TRUE)</f>
        <v>1</v>
      </c>
      <c r="N12" s="20" t="b">
        <f>IFERROR(__xludf.DUMMYFUNCTION("""COMPUTED_VALUE"""),TRUE)</f>
        <v>1</v>
      </c>
      <c r="O12" s="20">
        <f>IFERROR(__xludf.DUMMYFUNCTION("""COMPUTED_VALUE"""),54.2546061638347)</f>
        <v>54.25460616</v>
      </c>
      <c r="P12" s="20">
        <f>IFERROR(__xludf.DUMMYFUNCTION("""COMPUTED_VALUE"""),1895887.0)</f>
        <v>1895887</v>
      </c>
      <c r="Q12" s="20">
        <f>IFERROR(__xludf.DUMMYFUNCTION("""COMPUTED_VALUE"""),3494417.0)</f>
        <v>3494417</v>
      </c>
    </row>
    <row r="13">
      <c r="A13" s="20">
        <f>IFERROR(__xludf.DUMMYFUNCTION("""COMPUTED_VALUE"""),12.0)</f>
        <v>12</v>
      </c>
      <c r="B13" s="20" t="str">
        <f>IFERROR(__xludf.DUMMYFUNCTION("""COMPUTED_VALUE"""),"Integer to Roman")</f>
        <v>Integer to Roman</v>
      </c>
      <c r="C13" s="20" t="str">
        <f>IFERROR(__xludf.DUMMYFUNCTION("""COMPUTED_VALUE"""),"integer-to-roman")</f>
        <v>integer-to-roman</v>
      </c>
      <c r="D13" s="20" t="b">
        <f>IFERROR(__xludf.DUMMYFUNCTION("""COMPUTED_VALUE"""),FALSE)</f>
        <v>0</v>
      </c>
      <c r="E13" s="20" t="str">
        <f>IFERROR(__xludf.DUMMYFUNCTION("""COMPUTED_VALUE"""),"Medium")</f>
        <v>Medium</v>
      </c>
      <c r="F13" s="20">
        <f>IFERROR(__xludf.DUMMYFUNCTION("""COMPUTED_VALUE"""),5014.0)</f>
        <v>5014</v>
      </c>
      <c r="G13" s="20">
        <f>IFERROR(__xludf.DUMMYFUNCTION("""COMPUTED_VALUE"""),4911.0)</f>
        <v>4911</v>
      </c>
      <c r="H13" s="20" t="str">
        <f>IFERROR(__xludf.DUMMYFUNCTION("""COMPUTED_VALUE"""),"Algorithms")</f>
        <v>Algorithms</v>
      </c>
      <c r="I13" s="20">
        <f>IFERROR(__xludf.DUMMYFUNCTION("""COMPUTED_VALUE"""),0.616)</f>
        <v>0.616</v>
      </c>
      <c r="J13" s="20">
        <f>IFERROR(__xludf.DUMMYFUNCTION("""COMPUTED_VALUE"""),12.0)</f>
        <v>12</v>
      </c>
      <c r="K13" s="20" t="b">
        <f>IFERROR(__xludf.DUMMYFUNCTION("""COMPUTED_VALUE"""),FALSE)</f>
        <v>0</v>
      </c>
      <c r="L13" s="20" t="str">
        <f>IFERROR(__xludf.DUMMYFUNCTION("""COMPUTED_VALUE"""),"Hash Table;Math;String;")</f>
        <v>Hash Table;Math;String;</v>
      </c>
      <c r="M13" s="20" t="b">
        <f>IFERROR(__xludf.DUMMYFUNCTION("""COMPUTED_VALUE"""),TRUE)</f>
        <v>1</v>
      </c>
      <c r="N13" s="20" t="b">
        <f>IFERROR(__xludf.DUMMYFUNCTION("""COMPUTED_VALUE"""),FALSE)</f>
        <v>0</v>
      </c>
      <c r="O13" s="20">
        <f>IFERROR(__xludf.DUMMYFUNCTION("""COMPUTED_VALUE"""),61.6347918983884)</f>
        <v>61.6347919</v>
      </c>
      <c r="P13" s="20">
        <f>IFERROR(__xludf.DUMMYFUNCTION("""COMPUTED_VALUE"""),911551.0)</f>
        <v>911551</v>
      </c>
      <c r="Q13" s="20">
        <f>IFERROR(__xludf.DUMMYFUNCTION("""COMPUTED_VALUE"""),1478959.0)</f>
        <v>1478959</v>
      </c>
    </row>
    <row r="14">
      <c r="A14" s="20">
        <f>IFERROR(__xludf.DUMMYFUNCTION("""COMPUTED_VALUE"""),13.0)</f>
        <v>13</v>
      </c>
      <c r="B14" s="20" t="str">
        <f>IFERROR(__xludf.DUMMYFUNCTION("""COMPUTED_VALUE"""),"Roman to Integer")</f>
        <v>Roman to Integer</v>
      </c>
      <c r="C14" s="20" t="str">
        <f>IFERROR(__xludf.DUMMYFUNCTION("""COMPUTED_VALUE"""),"roman-to-integer")</f>
        <v>roman-to-integer</v>
      </c>
      <c r="D14" s="20" t="b">
        <f>IFERROR(__xludf.DUMMYFUNCTION("""COMPUTED_VALUE"""),FALSE)</f>
        <v>0</v>
      </c>
      <c r="E14" s="20" t="str">
        <f>IFERROR(__xludf.DUMMYFUNCTION("""COMPUTED_VALUE"""),"Easy")</f>
        <v>Easy</v>
      </c>
      <c r="F14" s="20">
        <f>IFERROR(__xludf.DUMMYFUNCTION("""COMPUTED_VALUE"""),8488.0)</f>
        <v>8488</v>
      </c>
      <c r="G14" s="20">
        <f>IFERROR(__xludf.DUMMYFUNCTION("""COMPUTED_VALUE"""),491.0)</f>
        <v>491</v>
      </c>
      <c r="H14" s="20" t="str">
        <f>IFERROR(__xludf.DUMMYFUNCTION("""COMPUTED_VALUE"""),"Algorithms")</f>
        <v>Algorithms</v>
      </c>
      <c r="I14" s="20">
        <f>IFERROR(__xludf.DUMMYFUNCTION("""COMPUTED_VALUE"""),0.582)</f>
        <v>0.582</v>
      </c>
      <c r="J14" s="20">
        <f>IFERROR(__xludf.DUMMYFUNCTION("""COMPUTED_VALUE"""),13.0)</f>
        <v>13</v>
      </c>
      <c r="K14" s="20" t="b">
        <f>IFERROR(__xludf.DUMMYFUNCTION("""COMPUTED_VALUE"""),FALSE)</f>
        <v>0</v>
      </c>
      <c r="L14" s="20" t="str">
        <f>IFERROR(__xludf.DUMMYFUNCTION("""COMPUTED_VALUE"""),"Hash Table;Math;String;")</f>
        <v>Hash Table;Math;String;</v>
      </c>
      <c r="M14" s="20" t="b">
        <f>IFERROR(__xludf.DUMMYFUNCTION("""COMPUTED_VALUE"""),TRUE)</f>
        <v>1</v>
      </c>
      <c r="N14" s="20" t="b">
        <f>IFERROR(__xludf.DUMMYFUNCTION("""COMPUTED_VALUE"""),FALSE)</f>
        <v>0</v>
      </c>
      <c r="O14" s="20">
        <f>IFERROR(__xludf.DUMMYFUNCTION("""COMPUTED_VALUE"""),58.1986527901218)</f>
        <v>58.19865279</v>
      </c>
      <c r="P14" s="20">
        <f>IFERROR(__xludf.DUMMYFUNCTION("""COMPUTED_VALUE"""),2302324.0)</f>
        <v>2302324</v>
      </c>
      <c r="Q14" s="20">
        <f>IFERROR(__xludf.DUMMYFUNCTION("""COMPUTED_VALUE"""),3955971.0)</f>
        <v>3955971</v>
      </c>
    </row>
    <row r="15">
      <c r="A15" s="20">
        <f>IFERROR(__xludf.DUMMYFUNCTION("""COMPUTED_VALUE"""),14.0)</f>
        <v>14</v>
      </c>
      <c r="B15" s="20" t="str">
        <f>IFERROR(__xludf.DUMMYFUNCTION("""COMPUTED_VALUE"""),"Longest Common Prefix")</f>
        <v>Longest Common Prefix</v>
      </c>
      <c r="C15" s="20" t="str">
        <f>IFERROR(__xludf.DUMMYFUNCTION("""COMPUTED_VALUE"""),"longest-common-prefix")</f>
        <v>longest-common-prefix</v>
      </c>
      <c r="D15" s="20" t="b">
        <f>IFERROR(__xludf.DUMMYFUNCTION("""COMPUTED_VALUE"""),FALSE)</f>
        <v>0</v>
      </c>
      <c r="E15" s="20" t="str">
        <f>IFERROR(__xludf.DUMMYFUNCTION("""COMPUTED_VALUE"""),"Easy")</f>
        <v>Easy</v>
      </c>
      <c r="F15" s="20">
        <f>IFERROR(__xludf.DUMMYFUNCTION("""COMPUTED_VALUE"""),11829.0)</f>
        <v>11829</v>
      </c>
      <c r="G15" s="20">
        <f>IFERROR(__xludf.DUMMYFUNCTION("""COMPUTED_VALUE"""),3602.0)</f>
        <v>3602</v>
      </c>
      <c r="H15" s="20" t="str">
        <f>IFERROR(__xludf.DUMMYFUNCTION("""COMPUTED_VALUE"""),"Algorithms")</f>
        <v>Algorithms</v>
      </c>
      <c r="I15" s="20">
        <f>IFERROR(__xludf.DUMMYFUNCTION("""COMPUTED_VALUE"""),0.408)</f>
        <v>0.408</v>
      </c>
      <c r="J15" s="20">
        <f>IFERROR(__xludf.DUMMYFUNCTION("""COMPUTED_VALUE"""),14.0)</f>
        <v>14</v>
      </c>
      <c r="K15" s="20" t="b">
        <f>IFERROR(__xludf.DUMMYFUNCTION("""COMPUTED_VALUE"""),FALSE)</f>
        <v>0</v>
      </c>
      <c r="L15" s="20" t="str">
        <f>IFERROR(__xludf.DUMMYFUNCTION("""COMPUTED_VALUE"""),"String;")</f>
        <v>String;</v>
      </c>
      <c r="M15" s="20" t="b">
        <f>IFERROR(__xludf.DUMMYFUNCTION("""COMPUTED_VALUE"""),TRUE)</f>
        <v>1</v>
      </c>
      <c r="N15" s="20" t="b">
        <f>IFERROR(__xludf.DUMMYFUNCTION("""COMPUTED_VALUE"""),FALSE)</f>
        <v>0</v>
      </c>
      <c r="O15" s="20">
        <f>IFERROR(__xludf.DUMMYFUNCTION("""COMPUTED_VALUE"""),40.8253161703179)</f>
        <v>40.82531617</v>
      </c>
      <c r="P15" s="20">
        <f>IFERROR(__xludf.DUMMYFUNCTION("""COMPUTED_VALUE"""),2071562.0)</f>
        <v>2071562</v>
      </c>
      <c r="Q15" s="20">
        <f>IFERROR(__xludf.DUMMYFUNCTION("""COMPUTED_VALUE"""),5074231.0)</f>
        <v>5074231</v>
      </c>
    </row>
    <row r="16">
      <c r="A16" s="20">
        <f>IFERROR(__xludf.DUMMYFUNCTION("""COMPUTED_VALUE"""),15.0)</f>
        <v>15</v>
      </c>
      <c r="B16" s="20" t="str">
        <f>IFERROR(__xludf.DUMMYFUNCTION("""COMPUTED_VALUE"""),"3Sum")</f>
        <v>3Sum</v>
      </c>
      <c r="C16" s="20" t="str">
        <f>IFERROR(__xludf.DUMMYFUNCTION("""COMPUTED_VALUE"""),"3sum")</f>
        <v>3sum</v>
      </c>
      <c r="D16" s="20" t="b">
        <f>IFERROR(__xludf.DUMMYFUNCTION("""COMPUTED_VALUE"""),FALSE)</f>
        <v>0</v>
      </c>
      <c r="E16" s="20" t="str">
        <f>IFERROR(__xludf.DUMMYFUNCTION("""COMPUTED_VALUE"""),"Medium")</f>
        <v>Medium</v>
      </c>
      <c r="F16" s="20">
        <f>IFERROR(__xludf.DUMMYFUNCTION("""COMPUTED_VALUE"""),23118.0)</f>
        <v>23118</v>
      </c>
      <c r="G16" s="20">
        <f>IFERROR(__xludf.DUMMYFUNCTION("""COMPUTED_VALUE"""),2120.0)</f>
        <v>2120</v>
      </c>
      <c r="H16" s="20" t="str">
        <f>IFERROR(__xludf.DUMMYFUNCTION("""COMPUTED_VALUE"""),"Algorithms")</f>
        <v>Algorithms</v>
      </c>
      <c r="I16" s="20">
        <f>IFERROR(__xludf.DUMMYFUNCTION("""COMPUTED_VALUE"""),0.324)</f>
        <v>0.324</v>
      </c>
      <c r="J16" s="20">
        <f>IFERROR(__xludf.DUMMYFUNCTION("""COMPUTED_VALUE"""),15.0)</f>
        <v>15</v>
      </c>
      <c r="K16" s="20" t="b">
        <f>IFERROR(__xludf.DUMMYFUNCTION("""COMPUTED_VALUE"""),FALSE)</f>
        <v>0</v>
      </c>
      <c r="L16" s="20" t="str">
        <f>IFERROR(__xludf.DUMMYFUNCTION("""COMPUTED_VALUE"""),"Array;Two Pointers;Sorting;")</f>
        <v>Array;Two Pointers;Sorting;</v>
      </c>
      <c r="M16" s="20" t="b">
        <f>IFERROR(__xludf.DUMMYFUNCTION("""COMPUTED_VALUE"""),TRUE)</f>
        <v>1</v>
      </c>
      <c r="N16" s="20" t="b">
        <f>IFERROR(__xludf.DUMMYFUNCTION("""COMPUTED_VALUE"""),FALSE)</f>
        <v>0</v>
      </c>
      <c r="O16" s="20">
        <f>IFERROR(__xludf.DUMMYFUNCTION("""COMPUTED_VALUE"""),32.3639966468417)</f>
        <v>32.36399665</v>
      </c>
      <c r="P16" s="20">
        <f>IFERROR(__xludf.DUMMYFUNCTION("""COMPUTED_VALUE"""),2419482.0)</f>
        <v>2419482</v>
      </c>
      <c r="Q16" s="20">
        <f>IFERROR(__xludf.DUMMYFUNCTION("""COMPUTED_VALUE"""),7475870.0)</f>
        <v>7475870</v>
      </c>
    </row>
    <row r="17">
      <c r="A17" s="20">
        <f>IFERROR(__xludf.DUMMYFUNCTION("""COMPUTED_VALUE"""),16.0)</f>
        <v>16</v>
      </c>
      <c r="B17" s="20" t="str">
        <f>IFERROR(__xludf.DUMMYFUNCTION("""COMPUTED_VALUE"""),"3Sum Closest")</f>
        <v>3Sum Closest</v>
      </c>
      <c r="C17" s="20" t="str">
        <f>IFERROR(__xludf.DUMMYFUNCTION("""COMPUTED_VALUE"""),"3sum-closest")</f>
        <v>3sum-closest</v>
      </c>
      <c r="D17" s="20" t="b">
        <f>IFERROR(__xludf.DUMMYFUNCTION("""COMPUTED_VALUE"""),FALSE)</f>
        <v>0</v>
      </c>
      <c r="E17" s="20" t="str">
        <f>IFERROR(__xludf.DUMMYFUNCTION("""COMPUTED_VALUE"""),"Medium")</f>
        <v>Medium</v>
      </c>
      <c r="F17" s="20">
        <f>IFERROR(__xludf.DUMMYFUNCTION("""COMPUTED_VALUE"""),8360.0)</f>
        <v>8360</v>
      </c>
      <c r="G17" s="20">
        <f>IFERROR(__xludf.DUMMYFUNCTION("""COMPUTED_VALUE"""),462.0)</f>
        <v>462</v>
      </c>
      <c r="H17" s="20" t="str">
        <f>IFERROR(__xludf.DUMMYFUNCTION("""COMPUTED_VALUE"""),"Algorithms")</f>
        <v>Algorithms</v>
      </c>
      <c r="I17" s="20">
        <f>IFERROR(__xludf.DUMMYFUNCTION("""COMPUTED_VALUE"""),0.461)</f>
        <v>0.461</v>
      </c>
      <c r="J17" s="20">
        <f>IFERROR(__xludf.DUMMYFUNCTION("""COMPUTED_VALUE"""),16.0)</f>
        <v>16</v>
      </c>
      <c r="K17" s="20" t="b">
        <f>IFERROR(__xludf.DUMMYFUNCTION("""COMPUTED_VALUE"""),FALSE)</f>
        <v>0</v>
      </c>
      <c r="L17" s="20" t="str">
        <f>IFERROR(__xludf.DUMMYFUNCTION("""COMPUTED_VALUE"""),"Array;Two Pointers;Sorting;")</f>
        <v>Array;Two Pointers;Sorting;</v>
      </c>
      <c r="M17" s="20" t="b">
        <f>IFERROR(__xludf.DUMMYFUNCTION("""COMPUTED_VALUE"""),TRUE)</f>
        <v>1</v>
      </c>
      <c r="N17" s="20" t="b">
        <f>IFERROR(__xludf.DUMMYFUNCTION("""COMPUTED_VALUE"""),FALSE)</f>
        <v>0</v>
      </c>
      <c r="O17" s="20">
        <f>IFERROR(__xludf.DUMMYFUNCTION("""COMPUTED_VALUE"""),46.0626677411609)</f>
        <v>46.06266774</v>
      </c>
      <c r="P17" s="20">
        <f>IFERROR(__xludf.DUMMYFUNCTION("""COMPUTED_VALUE"""),968840.0)</f>
        <v>968840</v>
      </c>
      <c r="Q17" s="20">
        <f>IFERROR(__xludf.DUMMYFUNCTION("""COMPUTED_VALUE"""),2103307.0)</f>
        <v>2103307</v>
      </c>
    </row>
    <row r="18">
      <c r="A18" s="20">
        <f>IFERROR(__xludf.DUMMYFUNCTION("""COMPUTED_VALUE"""),17.0)</f>
        <v>17</v>
      </c>
      <c r="B18" s="20" t="str">
        <f>IFERROR(__xludf.DUMMYFUNCTION("""COMPUTED_VALUE"""),"Letter Combinations of a Phone Number")</f>
        <v>Letter Combinations of a Phone Number</v>
      </c>
      <c r="C18" s="20" t="str">
        <f>IFERROR(__xludf.DUMMYFUNCTION("""COMPUTED_VALUE"""),"letter-combinations-of-a-phone-number")</f>
        <v>letter-combinations-of-a-phone-number</v>
      </c>
      <c r="D18" s="20" t="b">
        <f>IFERROR(__xludf.DUMMYFUNCTION("""COMPUTED_VALUE"""),FALSE)</f>
        <v>0</v>
      </c>
      <c r="E18" s="20" t="str">
        <f>IFERROR(__xludf.DUMMYFUNCTION("""COMPUTED_VALUE"""),"Medium")</f>
        <v>Medium</v>
      </c>
      <c r="F18" s="20">
        <f>IFERROR(__xludf.DUMMYFUNCTION("""COMPUTED_VALUE"""),13542.0)</f>
        <v>13542</v>
      </c>
      <c r="G18" s="20">
        <f>IFERROR(__xludf.DUMMYFUNCTION("""COMPUTED_VALUE"""),787.0)</f>
        <v>787</v>
      </c>
      <c r="H18" s="20" t="str">
        <f>IFERROR(__xludf.DUMMYFUNCTION("""COMPUTED_VALUE"""),"Algorithms")</f>
        <v>Algorithms</v>
      </c>
      <c r="I18" s="20">
        <f>IFERROR(__xludf.DUMMYFUNCTION("""COMPUTED_VALUE"""),0.559)</f>
        <v>0.559</v>
      </c>
      <c r="J18" s="20">
        <f>IFERROR(__xludf.DUMMYFUNCTION("""COMPUTED_VALUE"""),17.0)</f>
        <v>17</v>
      </c>
      <c r="K18" s="20" t="b">
        <f>IFERROR(__xludf.DUMMYFUNCTION("""COMPUTED_VALUE"""),FALSE)</f>
        <v>0</v>
      </c>
      <c r="L18" s="20" t="str">
        <f>IFERROR(__xludf.DUMMYFUNCTION("""COMPUTED_VALUE"""),"Hash Table;String;Backtracking;")</f>
        <v>Hash Table;String;Backtracking;</v>
      </c>
      <c r="M18" s="20" t="b">
        <f>IFERROR(__xludf.DUMMYFUNCTION("""COMPUTED_VALUE"""),TRUE)</f>
        <v>1</v>
      </c>
      <c r="N18" s="20" t="b">
        <f>IFERROR(__xludf.DUMMYFUNCTION("""COMPUTED_VALUE"""),FALSE)</f>
        <v>0</v>
      </c>
      <c r="O18" s="20">
        <f>IFERROR(__xludf.DUMMYFUNCTION("""COMPUTED_VALUE"""),55.8727582619543)</f>
        <v>55.87275826</v>
      </c>
      <c r="P18" s="20">
        <f>IFERROR(__xludf.DUMMYFUNCTION("""COMPUTED_VALUE"""),1440396.0)</f>
        <v>1440396</v>
      </c>
      <c r="Q18" s="20">
        <f>IFERROR(__xludf.DUMMYFUNCTION("""COMPUTED_VALUE"""),2578002.0)</f>
        <v>2578002</v>
      </c>
    </row>
    <row r="19">
      <c r="A19" s="20">
        <f>IFERROR(__xludf.DUMMYFUNCTION("""COMPUTED_VALUE"""),18.0)</f>
        <v>18</v>
      </c>
      <c r="B19" s="20" t="str">
        <f>IFERROR(__xludf.DUMMYFUNCTION("""COMPUTED_VALUE"""),"4Sum")</f>
        <v>4Sum</v>
      </c>
      <c r="C19" s="20" t="str">
        <f>IFERROR(__xludf.DUMMYFUNCTION("""COMPUTED_VALUE"""),"4sum")</f>
        <v>4sum</v>
      </c>
      <c r="D19" s="20" t="b">
        <f>IFERROR(__xludf.DUMMYFUNCTION("""COMPUTED_VALUE"""),FALSE)</f>
        <v>0</v>
      </c>
      <c r="E19" s="20" t="str">
        <f>IFERROR(__xludf.DUMMYFUNCTION("""COMPUTED_VALUE"""),"Medium")</f>
        <v>Medium</v>
      </c>
      <c r="F19" s="20">
        <f>IFERROR(__xludf.DUMMYFUNCTION("""COMPUTED_VALUE"""),8305.0)</f>
        <v>8305</v>
      </c>
      <c r="G19" s="20">
        <f>IFERROR(__xludf.DUMMYFUNCTION("""COMPUTED_VALUE"""),967.0)</f>
        <v>967</v>
      </c>
      <c r="H19" s="20" t="str">
        <f>IFERROR(__xludf.DUMMYFUNCTION("""COMPUTED_VALUE"""),"Algorithms")</f>
        <v>Algorithms</v>
      </c>
      <c r="I19" s="20">
        <f>IFERROR(__xludf.DUMMYFUNCTION("""COMPUTED_VALUE"""),0.363)</f>
        <v>0.363</v>
      </c>
      <c r="J19" s="20">
        <f>IFERROR(__xludf.DUMMYFUNCTION("""COMPUTED_VALUE"""),18.0)</f>
        <v>18</v>
      </c>
      <c r="K19" s="20" t="b">
        <f>IFERROR(__xludf.DUMMYFUNCTION("""COMPUTED_VALUE"""),FALSE)</f>
        <v>0</v>
      </c>
      <c r="L19" s="20" t="str">
        <f>IFERROR(__xludf.DUMMYFUNCTION("""COMPUTED_VALUE"""),"Array;Two Pointers;Sorting;")</f>
        <v>Array;Two Pointers;Sorting;</v>
      </c>
      <c r="M19" s="20" t="b">
        <f>IFERROR(__xludf.DUMMYFUNCTION("""COMPUTED_VALUE"""),TRUE)</f>
        <v>1</v>
      </c>
      <c r="N19" s="20" t="b">
        <f>IFERROR(__xludf.DUMMYFUNCTION("""COMPUTED_VALUE"""),FALSE)</f>
        <v>0</v>
      </c>
      <c r="O19" s="20">
        <f>IFERROR(__xludf.DUMMYFUNCTION("""COMPUTED_VALUE"""),36.29858062659)</f>
        <v>36.29858063</v>
      </c>
      <c r="P19" s="20">
        <f>IFERROR(__xludf.DUMMYFUNCTION("""COMPUTED_VALUE"""),685985.0)</f>
        <v>685985</v>
      </c>
      <c r="Q19" s="20">
        <f>IFERROR(__xludf.DUMMYFUNCTION("""COMPUTED_VALUE"""),1889837.0)</f>
        <v>1889837</v>
      </c>
    </row>
    <row r="20">
      <c r="A20" s="20">
        <f>IFERROR(__xludf.DUMMYFUNCTION("""COMPUTED_VALUE"""),19.0)</f>
        <v>19</v>
      </c>
      <c r="B20" s="20" t="str">
        <f>IFERROR(__xludf.DUMMYFUNCTION("""COMPUTED_VALUE"""),"Remove Nth Node From End of List")</f>
        <v>Remove Nth Node From End of List</v>
      </c>
      <c r="C20" s="20" t="str">
        <f>IFERROR(__xludf.DUMMYFUNCTION("""COMPUTED_VALUE"""),"remove-nth-node-from-end-of-list")</f>
        <v>remove-nth-node-from-end-of-list</v>
      </c>
      <c r="D20" s="20" t="b">
        <f>IFERROR(__xludf.DUMMYFUNCTION("""COMPUTED_VALUE"""),FALSE)</f>
        <v>0</v>
      </c>
      <c r="E20" s="20" t="str">
        <f>IFERROR(__xludf.DUMMYFUNCTION("""COMPUTED_VALUE"""),"Medium")</f>
        <v>Medium</v>
      </c>
      <c r="F20" s="20">
        <f>IFERROR(__xludf.DUMMYFUNCTION("""COMPUTED_VALUE"""),14167.0)</f>
        <v>14167</v>
      </c>
      <c r="G20" s="20">
        <f>IFERROR(__xludf.DUMMYFUNCTION("""COMPUTED_VALUE"""),590.0)</f>
        <v>590</v>
      </c>
      <c r="H20" s="20" t="str">
        <f>IFERROR(__xludf.DUMMYFUNCTION("""COMPUTED_VALUE"""),"Algorithms")</f>
        <v>Algorithms</v>
      </c>
      <c r="I20" s="20">
        <f>IFERROR(__xludf.DUMMYFUNCTION("""COMPUTED_VALUE"""),0.402)</f>
        <v>0.402</v>
      </c>
      <c r="J20" s="20">
        <f>IFERROR(__xludf.DUMMYFUNCTION("""COMPUTED_VALUE"""),19.0)</f>
        <v>19</v>
      </c>
      <c r="K20" s="20" t="b">
        <f>IFERROR(__xludf.DUMMYFUNCTION("""COMPUTED_VALUE"""),FALSE)</f>
        <v>0</v>
      </c>
      <c r="L20" s="20" t="str">
        <f>IFERROR(__xludf.DUMMYFUNCTION("""COMPUTED_VALUE"""),"Linked List;Two Pointers;")</f>
        <v>Linked List;Two Pointers;</v>
      </c>
      <c r="M20" s="20" t="b">
        <f>IFERROR(__xludf.DUMMYFUNCTION("""COMPUTED_VALUE"""),TRUE)</f>
        <v>1</v>
      </c>
      <c r="N20" s="20" t="b">
        <f>IFERROR(__xludf.DUMMYFUNCTION("""COMPUTED_VALUE"""),TRUE)</f>
        <v>1</v>
      </c>
      <c r="O20" s="20">
        <f>IFERROR(__xludf.DUMMYFUNCTION("""COMPUTED_VALUE"""),40.2367470556774)</f>
        <v>40.23674706</v>
      </c>
      <c r="P20" s="20">
        <f>IFERROR(__xludf.DUMMYFUNCTION("""COMPUTED_VALUE"""),1828855.0)</f>
        <v>1828855</v>
      </c>
      <c r="Q20" s="20">
        <f>IFERROR(__xludf.DUMMYFUNCTION("""COMPUTED_VALUE"""),4545251.0)</f>
        <v>4545251</v>
      </c>
    </row>
    <row r="21">
      <c r="A21" s="20">
        <f>IFERROR(__xludf.DUMMYFUNCTION("""COMPUTED_VALUE"""),20.0)</f>
        <v>20</v>
      </c>
      <c r="B21" s="20" t="str">
        <f>IFERROR(__xludf.DUMMYFUNCTION("""COMPUTED_VALUE"""),"Valid Parentheses")</f>
        <v>Valid Parentheses</v>
      </c>
      <c r="C21" s="20" t="str">
        <f>IFERROR(__xludf.DUMMYFUNCTION("""COMPUTED_VALUE"""),"valid-parentheses")</f>
        <v>valid-parentheses</v>
      </c>
      <c r="D21" s="20" t="b">
        <f>IFERROR(__xludf.DUMMYFUNCTION("""COMPUTED_VALUE"""),FALSE)</f>
        <v>0</v>
      </c>
      <c r="E21" s="20" t="str">
        <f>IFERROR(__xludf.DUMMYFUNCTION("""COMPUTED_VALUE"""),"Easy")</f>
        <v>Easy</v>
      </c>
      <c r="F21" s="20">
        <f>IFERROR(__xludf.DUMMYFUNCTION("""COMPUTED_VALUE"""),17246.0)</f>
        <v>17246</v>
      </c>
      <c r="G21" s="20">
        <f>IFERROR(__xludf.DUMMYFUNCTION("""COMPUTED_VALUE"""),919.0)</f>
        <v>919</v>
      </c>
      <c r="H21" s="20" t="str">
        <f>IFERROR(__xludf.DUMMYFUNCTION("""COMPUTED_VALUE"""),"Algorithms")</f>
        <v>Algorithms</v>
      </c>
      <c r="I21" s="20">
        <f>IFERROR(__xludf.DUMMYFUNCTION("""COMPUTED_VALUE"""),0.405)</f>
        <v>0.405</v>
      </c>
      <c r="J21" s="20">
        <f>IFERROR(__xludf.DUMMYFUNCTION("""COMPUTED_VALUE"""),20.0)</f>
        <v>20</v>
      </c>
      <c r="K21" s="20" t="b">
        <f>IFERROR(__xludf.DUMMYFUNCTION("""COMPUTED_VALUE"""),FALSE)</f>
        <v>0</v>
      </c>
      <c r="L21" s="20" t="str">
        <f>IFERROR(__xludf.DUMMYFUNCTION("""COMPUTED_VALUE"""),"String;Stack;")</f>
        <v>String;Stack;</v>
      </c>
      <c r="M21" s="20" t="b">
        <f>IFERROR(__xludf.DUMMYFUNCTION("""COMPUTED_VALUE"""),TRUE)</f>
        <v>1</v>
      </c>
      <c r="N21" s="20" t="b">
        <f>IFERROR(__xludf.DUMMYFUNCTION("""COMPUTED_VALUE"""),TRUE)</f>
        <v>1</v>
      </c>
      <c r="O21" s="20">
        <f>IFERROR(__xludf.DUMMYFUNCTION("""COMPUTED_VALUE"""),40.5366155428304)</f>
        <v>40.53661554</v>
      </c>
      <c r="P21" s="20">
        <f>IFERROR(__xludf.DUMMYFUNCTION("""COMPUTED_VALUE"""),2907397.0)</f>
        <v>2907397</v>
      </c>
      <c r="Q21" s="20">
        <f>IFERROR(__xludf.DUMMYFUNCTION("""COMPUTED_VALUE"""),7172248.0)</f>
        <v>7172248</v>
      </c>
    </row>
    <row r="22">
      <c r="A22" s="20">
        <f>IFERROR(__xludf.DUMMYFUNCTION("""COMPUTED_VALUE"""),21.0)</f>
        <v>21</v>
      </c>
      <c r="B22" s="20" t="str">
        <f>IFERROR(__xludf.DUMMYFUNCTION("""COMPUTED_VALUE"""),"Merge Two Sorted Lists")</f>
        <v>Merge Two Sorted Lists</v>
      </c>
      <c r="C22" s="20" t="str">
        <f>IFERROR(__xludf.DUMMYFUNCTION("""COMPUTED_VALUE"""),"merge-two-sorted-lists")</f>
        <v>merge-two-sorted-lists</v>
      </c>
      <c r="D22" s="20" t="b">
        <f>IFERROR(__xludf.DUMMYFUNCTION("""COMPUTED_VALUE"""),FALSE)</f>
        <v>0</v>
      </c>
      <c r="E22" s="20" t="str">
        <f>IFERROR(__xludf.DUMMYFUNCTION("""COMPUTED_VALUE"""),"Easy")</f>
        <v>Easy</v>
      </c>
      <c r="F22" s="20">
        <f>IFERROR(__xludf.DUMMYFUNCTION("""COMPUTED_VALUE"""),16439.0)</f>
        <v>16439</v>
      </c>
      <c r="G22" s="20">
        <f>IFERROR(__xludf.DUMMYFUNCTION("""COMPUTED_VALUE"""),1452.0)</f>
        <v>1452</v>
      </c>
      <c r="H22" s="20" t="str">
        <f>IFERROR(__xludf.DUMMYFUNCTION("""COMPUTED_VALUE"""),"Algorithms")</f>
        <v>Algorithms</v>
      </c>
      <c r="I22" s="20">
        <f>IFERROR(__xludf.DUMMYFUNCTION("""COMPUTED_VALUE"""),0.62)</f>
        <v>0.62</v>
      </c>
      <c r="J22" s="20">
        <f>IFERROR(__xludf.DUMMYFUNCTION("""COMPUTED_VALUE"""),21.0)</f>
        <v>21</v>
      </c>
      <c r="K22" s="20" t="b">
        <f>IFERROR(__xludf.DUMMYFUNCTION("""COMPUTED_VALUE"""),FALSE)</f>
        <v>0</v>
      </c>
      <c r="L22" s="20" t="str">
        <f>IFERROR(__xludf.DUMMYFUNCTION("""COMPUTED_VALUE"""),"Linked List;Recursion;")</f>
        <v>Linked List;Recursion;</v>
      </c>
      <c r="M22" s="20" t="b">
        <f>IFERROR(__xludf.DUMMYFUNCTION("""COMPUTED_VALUE"""),TRUE)</f>
        <v>1</v>
      </c>
      <c r="N22" s="20" t="b">
        <f>IFERROR(__xludf.DUMMYFUNCTION("""COMPUTED_VALUE"""),TRUE)</f>
        <v>1</v>
      </c>
      <c r="O22" s="20">
        <f>IFERROR(__xludf.DUMMYFUNCTION("""COMPUTED_VALUE"""),62.0317772367422)</f>
        <v>62.03177724</v>
      </c>
      <c r="P22" s="20">
        <f>IFERROR(__xludf.DUMMYFUNCTION("""COMPUTED_VALUE"""),2865052.0)</f>
        <v>2865052</v>
      </c>
      <c r="Q22" s="20">
        <f>IFERROR(__xludf.DUMMYFUNCTION("""COMPUTED_VALUE"""),4618681.0)</f>
        <v>4618681</v>
      </c>
    </row>
    <row r="23">
      <c r="A23" s="20">
        <f>IFERROR(__xludf.DUMMYFUNCTION("""COMPUTED_VALUE"""),22.0)</f>
        <v>22</v>
      </c>
      <c r="B23" s="20" t="str">
        <f>IFERROR(__xludf.DUMMYFUNCTION("""COMPUTED_VALUE"""),"Generate Parentheses")</f>
        <v>Generate Parentheses</v>
      </c>
      <c r="C23" s="20" t="str">
        <f>IFERROR(__xludf.DUMMYFUNCTION("""COMPUTED_VALUE"""),"generate-parentheses")</f>
        <v>generate-parentheses</v>
      </c>
      <c r="D23" s="20" t="b">
        <f>IFERROR(__xludf.DUMMYFUNCTION("""COMPUTED_VALUE"""),FALSE)</f>
        <v>0</v>
      </c>
      <c r="E23" s="20" t="str">
        <f>IFERROR(__xludf.DUMMYFUNCTION("""COMPUTED_VALUE"""),"Medium")</f>
        <v>Medium</v>
      </c>
      <c r="F23" s="20">
        <f>IFERROR(__xludf.DUMMYFUNCTION("""COMPUTED_VALUE"""),16315.0)</f>
        <v>16315</v>
      </c>
      <c r="G23" s="20">
        <f>IFERROR(__xludf.DUMMYFUNCTION("""COMPUTED_VALUE"""),633.0)</f>
        <v>633</v>
      </c>
      <c r="H23" s="20" t="str">
        <f>IFERROR(__xludf.DUMMYFUNCTION("""COMPUTED_VALUE"""),"Algorithms")</f>
        <v>Algorithms</v>
      </c>
      <c r="I23" s="20">
        <f>IFERROR(__xludf.DUMMYFUNCTION("""COMPUTED_VALUE"""),0.721)</f>
        <v>0.721</v>
      </c>
      <c r="J23" s="20">
        <f>IFERROR(__xludf.DUMMYFUNCTION("""COMPUTED_VALUE"""),22.0)</f>
        <v>22</v>
      </c>
      <c r="K23" s="20" t="b">
        <f>IFERROR(__xludf.DUMMYFUNCTION("""COMPUTED_VALUE"""),FALSE)</f>
        <v>0</v>
      </c>
      <c r="L23" s="20" t="str">
        <f>IFERROR(__xludf.DUMMYFUNCTION("""COMPUTED_VALUE"""),"String;Dynamic Programming;Backtracking;")</f>
        <v>String;Dynamic Programming;Backtracking;</v>
      </c>
      <c r="M23" s="20" t="b">
        <f>IFERROR(__xludf.DUMMYFUNCTION("""COMPUTED_VALUE"""),TRUE)</f>
        <v>1</v>
      </c>
      <c r="N23" s="20" t="b">
        <f>IFERROR(__xludf.DUMMYFUNCTION("""COMPUTED_VALUE"""),FALSE)</f>
        <v>0</v>
      </c>
      <c r="O23" s="20">
        <f>IFERROR(__xludf.DUMMYFUNCTION("""COMPUTED_VALUE"""),72.075051163855)</f>
        <v>72.07505116</v>
      </c>
      <c r="P23" s="20">
        <f>IFERROR(__xludf.DUMMYFUNCTION("""COMPUTED_VALUE"""),1285087.0)</f>
        <v>1285087</v>
      </c>
      <c r="Q23" s="20">
        <f>IFERROR(__xludf.DUMMYFUNCTION("""COMPUTED_VALUE"""),1782988.0)</f>
        <v>1782988</v>
      </c>
    </row>
    <row r="24">
      <c r="A24" s="20">
        <f>IFERROR(__xludf.DUMMYFUNCTION("""COMPUTED_VALUE"""),23.0)</f>
        <v>23</v>
      </c>
      <c r="B24" s="20" t="str">
        <f>IFERROR(__xludf.DUMMYFUNCTION("""COMPUTED_VALUE"""),"Merge k Sorted Lists")</f>
        <v>Merge k Sorted Lists</v>
      </c>
      <c r="C24" s="20" t="str">
        <f>IFERROR(__xludf.DUMMYFUNCTION("""COMPUTED_VALUE"""),"merge-k-sorted-lists")</f>
        <v>merge-k-sorted-lists</v>
      </c>
      <c r="D24" s="20" t="b">
        <f>IFERROR(__xludf.DUMMYFUNCTION("""COMPUTED_VALUE"""),FALSE)</f>
        <v>0</v>
      </c>
      <c r="E24" s="20" t="str">
        <f>IFERROR(__xludf.DUMMYFUNCTION("""COMPUTED_VALUE"""),"Hard")</f>
        <v>Hard</v>
      </c>
      <c r="F24" s="20">
        <f>IFERROR(__xludf.DUMMYFUNCTION("""COMPUTED_VALUE"""),15055.0)</f>
        <v>15055</v>
      </c>
      <c r="G24" s="20">
        <f>IFERROR(__xludf.DUMMYFUNCTION("""COMPUTED_VALUE"""),570.0)</f>
        <v>570</v>
      </c>
      <c r="H24" s="20" t="str">
        <f>IFERROR(__xludf.DUMMYFUNCTION("""COMPUTED_VALUE"""),"Algorithms")</f>
        <v>Algorithms</v>
      </c>
      <c r="I24" s="20">
        <f>IFERROR(__xludf.DUMMYFUNCTION("""COMPUTED_VALUE"""),0.486)</f>
        <v>0.486</v>
      </c>
      <c r="J24" s="20">
        <f>IFERROR(__xludf.DUMMYFUNCTION("""COMPUTED_VALUE"""),23.0)</f>
        <v>23</v>
      </c>
      <c r="K24" s="20" t="b">
        <f>IFERROR(__xludf.DUMMYFUNCTION("""COMPUTED_VALUE"""),FALSE)</f>
        <v>0</v>
      </c>
      <c r="L24" s="20" t="str">
        <f>IFERROR(__xludf.DUMMYFUNCTION("""COMPUTED_VALUE"""),"Linked List;Divide and Conquer;Heap (Priority Queue);Merge Sort;")</f>
        <v>Linked List;Divide and Conquer;Heap (Priority Queue);Merge Sort;</v>
      </c>
      <c r="M24" s="20" t="b">
        <f>IFERROR(__xludf.DUMMYFUNCTION("""COMPUTED_VALUE"""),TRUE)</f>
        <v>1</v>
      </c>
      <c r="N24" s="20" t="b">
        <f>IFERROR(__xludf.DUMMYFUNCTION("""COMPUTED_VALUE"""),FALSE)</f>
        <v>0</v>
      </c>
      <c r="O24" s="20">
        <f>IFERROR(__xludf.DUMMYFUNCTION("""COMPUTED_VALUE"""),48.5943616499768)</f>
        <v>48.59436165</v>
      </c>
      <c r="P24" s="20">
        <f>IFERROR(__xludf.DUMMYFUNCTION("""COMPUTED_VALUE"""),1488895.0)</f>
        <v>1488895</v>
      </c>
      <c r="Q24" s="20">
        <f>IFERROR(__xludf.DUMMYFUNCTION("""COMPUTED_VALUE"""),3063921.0)</f>
        <v>3063921</v>
      </c>
    </row>
    <row r="25">
      <c r="A25" s="20">
        <f>IFERROR(__xludf.DUMMYFUNCTION("""COMPUTED_VALUE"""),24.0)</f>
        <v>24</v>
      </c>
      <c r="B25" s="20" t="str">
        <f>IFERROR(__xludf.DUMMYFUNCTION("""COMPUTED_VALUE"""),"Swap Nodes in Pairs")</f>
        <v>Swap Nodes in Pairs</v>
      </c>
      <c r="C25" s="20" t="str">
        <f>IFERROR(__xludf.DUMMYFUNCTION("""COMPUTED_VALUE"""),"swap-nodes-in-pairs")</f>
        <v>swap-nodes-in-pairs</v>
      </c>
      <c r="D25" s="20" t="b">
        <f>IFERROR(__xludf.DUMMYFUNCTION("""COMPUTED_VALUE"""),FALSE)</f>
        <v>0</v>
      </c>
      <c r="E25" s="20" t="str">
        <f>IFERROR(__xludf.DUMMYFUNCTION("""COMPUTED_VALUE"""),"Medium")</f>
        <v>Medium</v>
      </c>
      <c r="F25" s="20">
        <f>IFERROR(__xludf.DUMMYFUNCTION("""COMPUTED_VALUE"""),8770.0)</f>
        <v>8770</v>
      </c>
      <c r="G25" s="20">
        <f>IFERROR(__xludf.DUMMYFUNCTION("""COMPUTED_VALUE"""),343.0)</f>
        <v>343</v>
      </c>
      <c r="H25" s="20" t="str">
        <f>IFERROR(__xludf.DUMMYFUNCTION("""COMPUTED_VALUE"""),"Algorithms")</f>
        <v>Algorithms</v>
      </c>
      <c r="I25" s="20">
        <f>IFERROR(__xludf.DUMMYFUNCTION("""COMPUTED_VALUE"""),0.607)</f>
        <v>0.607</v>
      </c>
      <c r="J25" s="20">
        <f>IFERROR(__xludf.DUMMYFUNCTION("""COMPUTED_VALUE"""),24.0)</f>
        <v>24</v>
      </c>
      <c r="K25" s="20" t="b">
        <f>IFERROR(__xludf.DUMMYFUNCTION("""COMPUTED_VALUE"""),FALSE)</f>
        <v>0</v>
      </c>
      <c r="L25" s="20" t="str">
        <f>IFERROR(__xludf.DUMMYFUNCTION("""COMPUTED_VALUE"""),"Linked List;Recursion;")</f>
        <v>Linked List;Recursion;</v>
      </c>
      <c r="M25" s="20" t="b">
        <f>IFERROR(__xludf.DUMMYFUNCTION("""COMPUTED_VALUE"""),TRUE)</f>
        <v>1</v>
      </c>
      <c r="N25" s="20" t="b">
        <f>IFERROR(__xludf.DUMMYFUNCTION("""COMPUTED_VALUE"""),FALSE)</f>
        <v>0</v>
      </c>
      <c r="O25" s="20">
        <f>IFERROR(__xludf.DUMMYFUNCTION("""COMPUTED_VALUE"""),60.6965512185265)</f>
        <v>60.69655122</v>
      </c>
      <c r="P25" s="20">
        <f>IFERROR(__xludf.DUMMYFUNCTION("""COMPUTED_VALUE"""),1018313.0)</f>
        <v>1018313</v>
      </c>
      <c r="Q25" s="20">
        <f>IFERROR(__xludf.DUMMYFUNCTION("""COMPUTED_VALUE"""),1677714.0)</f>
        <v>1677714</v>
      </c>
    </row>
    <row r="26">
      <c r="A26" s="20">
        <f>IFERROR(__xludf.DUMMYFUNCTION("""COMPUTED_VALUE"""),25.0)</f>
        <v>25</v>
      </c>
      <c r="B26" s="20" t="str">
        <f>IFERROR(__xludf.DUMMYFUNCTION("""COMPUTED_VALUE"""),"Reverse Nodes in k-Group")</f>
        <v>Reverse Nodes in k-Group</v>
      </c>
      <c r="C26" s="20" t="str">
        <f>IFERROR(__xludf.DUMMYFUNCTION("""COMPUTED_VALUE"""),"reverse-nodes-in-k-group")</f>
        <v>reverse-nodes-in-k-group</v>
      </c>
      <c r="D26" s="20" t="b">
        <f>IFERROR(__xludf.DUMMYFUNCTION("""COMPUTED_VALUE"""),FALSE)</f>
        <v>0</v>
      </c>
      <c r="E26" s="20" t="str">
        <f>IFERROR(__xludf.DUMMYFUNCTION("""COMPUTED_VALUE"""),"Hard")</f>
        <v>Hard</v>
      </c>
      <c r="F26" s="20">
        <f>IFERROR(__xludf.DUMMYFUNCTION("""COMPUTED_VALUE"""),9937.0)</f>
        <v>9937</v>
      </c>
      <c r="G26" s="20">
        <f>IFERROR(__xludf.DUMMYFUNCTION("""COMPUTED_VALUE"""),556.0)</f>
        <v>556</v>
      </c>
      <c r="H26" s="20" t="str">
        <f>IFERROR(__xludf.DUMMYFUNCTION("""COMPUTED_VALUE"""),"Algorithms")</f>
        <v>Algorithms</v>
      </c>
      <c r="I26" s="20">
        <f>IFERROR(__xludf.DUMMYFUNCTION("""COMPUTED_VALUE"""),0.539)</f>
        <v>0.539</v>
      </c>
      <c r="J26" s="20">
        <f>IFERROR(__xludf.DUMMYFUNCTION("""COMPUTED_VALUE"""),25.0)</f>
        <v>25</v>
      </c>
      <c r="K26" s="20" t="b">
        <f>IFERROR(__xludf.DUMMYFUNCTION("""COMPUTED_VALUE"""),FALSE)</f>
        <v>0</v>
      </c>
      <c r="L26" s="20" t="str">
        <f>IFERROR(__xludf.DUMMYFUNCTION("""COMPUTED_VALUE"""),"Linked List;Recursion;")</f>
        <v>Linked List;Recursion;</v>
      </c>
      <c r="M26" s="20" t="b">
        <f>IFERROR(__xludf.DUMMYFUNCTION("""COMPUTED_VALUE"""),TRUE)</f>
        <v>1</v>
      </c>
      <c r="N26" s="20" t="b">
        <f>IFERROR(__xludf.DUMMYFUNCTION("""COMPUTED_VALUE"""),FALSE)</f>
        <v>0</v>
      </c>
      <c r="O26" s="20">
        <f>IFERROR(__xludf.DUMMYFUNCTION("""COMPUTED_VALUE"""),53.9078035808052)</f>
        <v>53.90780358</v>
      </c>
      <c r="P26" s="20">
        <f>IFERROR(__xludf.DUMMYFUNCTION("""COMPUTED_VALUE"""),636509.0)</f>
        <v>636509</v>
      </c>
      <c r="Q26" s="20">
        <f>IFERROR(__xludf.DUMMYFUNCTION("""COMPUTED_VALUE"""),1180737.0)</f>
        <v>1180737</v>
      </c>
    </row>
    <row r="27">
      <c r="A27" s="20">
        <f>IFERROR(__xludf.DUMMYFUNCTION("""COMPUTED_VALUE"""),26.0)</f>
        <v>26</v>
      </c>
      <c r="B27" s="20" t="str">
        <f>IFERROR(__xludf.DUMMYFUNCTION("""COMPUTED_VALUE"""),"Remove Duplicates from Sorted Array")</f>
        <v>Remove Duplicates from Sorted Array</v>
      </c>
      <c r="C27" s="20" t="str">
        <f>IFERROR(__xludf.DUMMYFUNCTION("""COMPUTED_VALUE"""),"remove-duplicates-from-sorted-array")</f>
        <v>remove-duplicates-from-sorted-array</v>
      </c>
      <c r="D27" s="20" t="b">
        <f>IFERROR(__xludf.DUMMYFUNCTION("""COMPUTED_VALUE"""),FALSE)</f>
        <v>0</v>
      </c>
      <c r="E27" s="20" t="str">
        <f>IFERROR(__xludf.DUMMYFUNCTION("""COMPUTED_VALUE"""),"Easy")</f>
        <v>Easy</v>
      </c>
      <c r="F27" s="20">
        <f>IFERROR(__xludf.DUMMYFUNCTION("""COMPUTED_VALUE"""),9568.0)</f>
        <v>9568</v>
      </c>
      <c r="G27" s="20">
        <f>IFERROR(__xludf.DUMMYFUNCTION("""COMPUTED_VALUE"""),13141.0)</f>
        <v>13141</v>
      </c>
      <c r="H27" s="20" t="str">
        <f>IFERROR(__xludf.DUMMYFUNCTION("""COMPUTED_VALUE"""),"Algorithms")</f>
        <v>Algorithms</v>
      </c>
      <c r="I27" s="20">
        <f>IFERROR(__xludf.DUMMYFUNCTION("""COMPUTED_VALUE"""),0.51)</f>
        <v>0.51</v>
      </c>
      <c r="J27" s="20">
        <f>IFERROR(__xludf.DUMMYFUNCTION("""COMPUTED_VALUE"""),26.0)</f>
        <v>26</v>
      </c>
      <c r="K27" s="20" t="b">
        <f>IFERROR(__xludf.DUMMYFUNCTION("""COMPUTED_VALUE"""),FALSE)</f>
        <v>0</v>
      </c>
      <c r="L27" s="20" t="str">
        <f>IFERROR(__xludf.DUMMYFUNCTION("""COMPUTED_VALUE"""),"Array;Two Pointers;")</f>
        <v>Array;Two Pointers;</v>
      </c>
      <c r="M27" s="20" t="b">
        <f>IFERROR(__xludf.DUMMYFUNCTION("""COMPUTED_VALUE"""),TRUE)</f>
        <v>1</v>
      </c>
      <c r="N27" s="20" t="b">
        <f>IFERROR(__xludf.DUMMYFUNCTION("""COMPUTED_VALUE"""),FALSE)</f>
        <v>0</v>
      </c>
      <c r="O27" s="20">
        <f>IFERROR(__xludf.DUMMYFUNCTION("""COMPUTED_VALUE"""),51.0392007756506)</f>
        <v>51.03920078</v>
      </c>
      <c r="P27" s="20">
        <f>IFERROR(__xludf.DUMMYFUNCTION("""COMPUTED_VALUE"""),2684698.0)</f>
        <v>2684698</v>
      </c>
      <c r="Q27" s="20">
        <f>IFERROR(__xludf.DUMMYFUNCTION("""COMPUTED_VALUE"""),5260058.0)</f>
        <v>5260058</v>
      </c>
    </row>
    <row r="28">
      <c r="A28" s="20">
        <f>IFERROR(__xludf.DUMMYFUNCTION("""COMPUTED_VALUE"""),27.0)</f>
        <v>27</v>
      </c>
      <c r="B28" s="20" t="str">
        <f>IFERROR(__xludf.DUMMYFUNCTION("""COMPUTED_VALUE"""),"Remove Element")</f>
        <v>Remove Element</v>
      </c>
      <c r="C28" s="20" t="str">
        <f>IFERROR(__xludf.DUMMYFUNCTION("""COMPUTED_VALUE"""),"remove-element")</f>
        <v>remove-element</v>
      </c>
      <c r="D28" s="20" t="b">
        <f>IFERROR(__xludf.DUMMYFUNCTION("""COMPUTED_VALUE"""),FALSE)</f>
        <v>0</v>
      </c>
      <c r="E28" s="20" t="str">
        <f>IFERROR(__xludf.DUMMYFUNCTION("""COMPUTED_VALUE"""),"Easy")</f>
        <v>Easy</v>
      </c>
      <c r="F28" s="20">
        <f>IFERROR(__xludf.DUMMYFUNCTION("""COMPUTED_VALUE"""),4956.0)</f>
        <v>4956</v>
      </c>
      <c r="G28" s="20">
        <f>IFERROR(__xludf.DUMMYFUNCTION("""COMPUTED_VALUE"""),6650.0)</f>
        <v>6650</v>
      </c>
      <c r="H28" s="20" t="str">
        <f>IFERROR(__xludf.DUMMYFUNCTION("""COMPUTED_VALUE"""),"Algorithms")</f>
        <v>Algorithms</v>
      </c>
      <c r="I28" s="20">
        <f>IFERROR(__xludf.DUMMYFUNCTION("""COMPUTED_VALUE"""),0.524)</f>
        <v>0.524</v>
      </c>
      <c r="J28" s="20">
        <f>IFERROR(__xludf.DUMMYFUNCTION("""COMPUTED_VALUE"""),27.0)</f>
        <v>27</v>
      </c>
      <c r="K28" s="20" t="b">
        <f>IFERROR(__xludf.DUMMYFUNCTION("""COMPUTED_VALUE"""),FALSE)</f>
        <v>0</v>
      </c>
      <c r="L28" s="20" t="str">
        <f>IFERROR(__xludf.DUMMYFUNCTION("""COMPUTED_VALUE"""),"Array;Two Pointers;")</f>
        <v>Array;Two Pointers;</v>
      </c>
      <c r="M28" s="20" t="b">
        <f>IFERROR(__xludf.DUMMYFUNCTION("""COMPUTED_VALUE"""),TRUE)</f>
        <v>1</v>
      </c>
      <c r="N28" s="20" t="b">
        <f>IFERROR(__xludf.DUMMYFUNCTION("""COMPUTED_VALUE"""),TRUE)</f>
        <v>1</v>
      </c>
      <c r="O28" s="20">
        <f>IFERROR(__xludf.DUMMYFUNCTION("""COMPUTED_VALUE"""),52.3756068987788)</f>
        <v>52.3756069</v>
      </c>
      <c r="P28" s="20">
        <f>IFERROR(__xludf.DUMMYFUNCTION("""COMPUTED_VALUE"""),1594278.0)</f>
        <v>1594278</v>
      </c>
      <c r="Q28" s="20">
        <f>IFERROR(__xludf.DUMMYFUNCTION("""COMPUTED_VALUE"""),3043940.0)</f>
        <v>3043940</v>
      </c>
    </row>
    <row r="29">
      <c r="A29" s="20">
        <f>IFERROR(__xludf.DUMMYFUNCTION("""COMPUTED_VALUE"""),28.0)</f>
        <v>28</v>
      </c>
      <c r="B29" s="20" t="str">
        <f>IFERROR(__xludf.DUMMYFUNCTION("""COMPUTED_VALUE"""),"Find the Index of the First Occurrence in a String")</f>
        <v>Find the Index of the First Occurrence in a String</v>
      </c>
      <c r="C29" s="20" t="str">
        <f>IFERROR(__xludf.DUMMYFUNCTION("""COMPUTED_VALUE"""),"find-the-index-of-the-first-occurrence-in-a-string")</f>
        <v>find-the-index-of-the-first-occurrence-in-a-string</v>
      </c>
      <c r="D29" s="20" t="b">
        <f>IFERROR(__xludf.DUMMYFUNCTION("""COMPUTED_VALUE"""),FALSE)</f>
        <v>0</v>
      </c>
      <c r="E29" s="20" t="str">
        <f>IFERROR(__xludf.DUMMYFUNCTION("""COMPUTED_VALUE"""),"Medium")</f>
        <v>Medium</v>
      </c>
      <c r="F29" s="20">
        <f>IFERROR(__xludf.DUMMYFUNCTION("""COMPUTED_VALUE"""),1119.0)</f>
        <v>1119</v>
      </c>
      <c r="G29" s="20">
        <f>IFERROR(__xludf.DUMMYFUNCTION("""COMPUTED_VALUE"""),85.0)</f>
        <v>85</v>
      </c>
      <c r="H29" s="20" t="str">
        <f>IFERROR(__xludf.DUMMYFUNCTION("""COMPUTED_VALUE"""),"Algorithms")</f>
        <v>Algorithms</v>
      </c>
      <c r="I29" s="20">
        <f>IFERROR(__xludf.DUMMYFUNCTION("""COMPUTED_VALUE"""),0.378)</f>
        <v>0.378</v>
      </c>
      <c r="J29" s="20">
        <f>IFERROR(__xludf.DUMMYFUNCTION("""COMPUTED_VALUE"""),28.0)</f>
        <v>28</v>
      </c>
      <c r="K29" s="20" t="b">
        <f>IFERROR(__xludf.DUMMYFUNCTION("""COMPUTED_VALUE"""),FALSE)</f>
        <v>0</v>
      </c>
      <c r="L29" s="20" t="str">
        <f>IFERROR(__xludf.DUMMYFUNCTION("""COMPUTED_VALUE"""),"Two Pointers;String;String Matching;")</f>
        <v>Two Pointers;String;String Matching;</v>
      </c>
      <c r="M29" s="20" t="b">
        <f>IFERROR(__xludf.DUMMYFUNCTION("""COMPUTED_VALUE"""),FALSE)</f>
        <v>0</v>
      </c>
      <c r="N29" s="20" t="b">
        <f>IFERROR(__xludf.DUMMYFUNCTION("""COMPUTED_VALUE"""),FALSE)</f>
        <v>0</v>
      </c>
      <c r="O29" s="20">
        <f>IFERROR(__xludf.DUMMYFUNCTION("""COMPUTED_VALUE"""),37.7807641643072)</f>
        <v>37.78076416</v>
      </c>
      <c r="P29" s="20">
        <f>IFERROR(__xludf.DUMMYFUNCTION("""COMPUTED_VALUE"""),1491682.0)</f>
        <v>1491682</v>
      </c>
      <c r="Q29" s="20">
        <f>IFERROR(__xludf.DUMMYFUNCTION("""COMPUTED_VALUE"""),3948258.0)</f>
        <v>3948258</v>
      </c>
    </row>
    <row r="30">
      <c r="A30" s="20">
        <f>IFERROR(__xludf.DUMMYFUNCTION("""COMPUTED_VALUE"""),29.0)</f>
        <v>29</v>
      </c>
      <c r="B30" s="20" t="str">
        <f>IFERROR(__xludf.DUMMYFUNCTION("""COMPUTED_VALUE"""),"Divide Two Integers")</f>
        <v>Divide Two Integers</v>
      </c>
      <c r="C30" s="20" t="str">
        <f>IFERROR(__xludf.DUMMYFUNCTION("""COMPUTED_VALUE"""),"divide-two-integers")</f>
        <v>divide-two-integers</v>
      </c>
      <c r="D30" s="20" t="b">
        <f>IFERROR(__xludf.DUMMYFUNCTION("""COMPUTED_VALUE"""),FALSE)</f>
        <v>0</v>
      </c>
      <c r="E30" s="20" t="str">
        <f>IFERROR(__xludf.DUMMYFUNCTION("""COMPUTED_VALUE"""),"Medium")</f>
        <v>Medium</v>
      </c>
      <c r="F30" s="20">
        <f>IFERROR(__xludf.DUMMYFUNCTION("""COMPUTED_VALUE"""),3786.0)</f>
        <v>3786</v>
      </c>
      <c r="G30" s="20">
        <f>IFERROR(__xludf.DUMMYFUNCTION("""COMPUTED_VALUE"""),12314.0)</f>
        <v>12314</v>
      </c>
      <c r="H30" s="20" t="str">
        <f>IFERROR(__xludf.DUMMYFUNCTION("""COMPUTED_VALUE"""),"Algorithms")</f>
        <v>Algorithms</v>
      </c>
      <c r="I30" s="20">
        <f>IFERROR(__xludf.DUMMYFUNCTION("""COMPUTED_VALUE"""),0.173)</f>
        <v>0.173</v>
      </c>
      <c r="J30" s="20">
        <f>IFERROR(__xludf.DUMMYFUNCTION("""COMPUTED_VALUE"""),29.0)</f>
        <v>29</v>
      </c>
      <c r="K30" s="20" t="b">
        <f>IFERROR(__xludf.DUMMYFUNCTION("""COMPUTED_VALUE"""),FALSE)</f>
        <v>0</v>
      </c>
      <c r="L30" s="20" t="str">
        <f>IFERROR(__xludf.DUMMYFUNCTION("""COMPUTED_VALUE"""),"Math;Bit Manipulation;")</f>
        <v>Math;Bit Manipulation;</v>
      </c>
      <c r="M30" s="20" t="b">
        <f>IFERROR(__xludf.DUMMYFUNCTION("""COMPUTED_VALUE"""),TRUE)</f>
        <v>1</v>
      </c>
      <c r="N30" s="20" t="b">
        <f>IFERROR(__xludf.DUMMYFUNCTION("""COMPUTED_VALUE"""),FALSE)</f>
        <v>0</v>
      </c>
      <c r="O30" s="20">
        <f>IFERROR(__xludf.DUMMYFUNCTION("""COMPUTED_VALUE"""),17.2831648834301)</f>
        <v>17.28316488</v>
      </c>
      <c r="P30" s="20">
        <f>IFERROR(__xludf.DUMMYFUNCTION("""COMPUTED_VALUE"""),565378.0)</f>
        <v>565378</v>
      </c>
      <c r="Q30" s="20">
        <f>IFERROR(__xludf.DUMMYFUNCTION("""COMPUTED_VALUE"""),3271267.0)</f>
        <v>3271267</v>
      </c>
    </row>
    <row r="31">
      <c r="A31" s="20">
        <f>IFERROR(__xludf.DUMMYFUNCTION("""COMPUTED_VALUE"""),30.0)</f>
        <v>30</v>
      </c>
      <c r="B31" s="20" t="str">
        <f>IFERROR(__xludf.DUMMYFUNCTION("""COMPUTED_VALUE"""),"Substring with Concatenation of All Words")</f>
        <v>Substring with Concatenation of All Words</v>
      </c>
      <c r="C31" s="20" t="str">
        <f>IFERROR(__xludf.DUMMYFUNCTION("""COMPUTED_VALUE"""),"substring-with-concatenation-of-all-words")</f>
        <v>substring-with-concatenation-of-all-words</v>
      </c>
      <c r="D31" s="20" t="b">
        <f>IFERROR(__xludf.DUMMYFUNCTION("""COMPUTED_VALUE"""),FALSE)</f>
        <v>0</v>
      </c>
      <c r="E31" s="20" t="str">
        <f>IFERROR(__xludf.DUMMYFUNCTION("""COMPUTED_VALUE"""),"Hard")</f>
        <v>Hard</v>
      </c>
      <c r="F31" s="20">
        <f>IFERROR(__xludf.DUMMYFUNCTION("""COMPUTED_VALUE"""),443.0)</f>
        <v>443</v>
      </c>
      <c r="G31" s="20">
        <f>IFERROR(__xludf.DUMMYFUNCTION("""COMPUTED_VALUE"""),25.0)</f>
        <v>25</v>
      </c>
      <c r="H31" s="20" t="str">
        <f>IFERROR(__xludf.DUMMYFUNCTION("""COMPUTED_VALUE"""),"Algorithms")</f>
        <v>Algorithms</v>
      </c>
      <c r="I31" s="20">
        <f>IFERROR(__xludf.DUMMYFUNCTION("""COMPUTED_VALUE"""),0.31)</f>
        <v>0.31</v>
      </c>
      <c r="J31" s="20">
        <f>IFERROR(__xludf.DUMMYFUNCTION("""COMPUTED_VALUE"""),30.0)</f>
        <v>30</v>
      </c>
      <c r="K31" s="20" t="b">
        <f>IFERROR(__xludf.DUMMYFUNCTION("""COMPUTED_VALUE"""),FALSE)</f>
        <v>0</v>
      </c>
      <c r="L31" s="20" t="str">
        <f>IFERROR(__xludf.DUMMYFUNCTION("""COMPUTED_VALUE"""),"Hash Table;String;Sliding Window;")</f>
        <v>Hash Table;String;Sliding Window;</v>
      </c>
      <c r="M31" s="20" t="b">
        <f>IFERROR(__xludf.DUMMYFUNCTION("""COMPUTED_VALUE"""),TRUE)</f>
        <v>1</v>
      </c>
      <c r="N31" s="20" t="b">
        <f>IFERROR(__xludf.DUMMYFUNCTION("""COMPUTED_VALUE"""),FALSE)</f>
        <v>0</v>
      </c>
      <c r="O31" s="20">
        <f>IFERROR(__xludf.DUMMYFUNCTION("""COMPUTED_VALUE"""),30.9912874114204)</f>
        <v>30.99128741</v>
      </c>
      <c r="P31" s="20">
        <f>IFERROR(__xludf.DUMMYFUNCTION("""COMPUTED_VALUE"""),327784.0)</f>
        <v>327784</v>
      </c>
      <c r="Q31" s="20">
        <f>IFERROR(__xludf.DUMMYFUNCTION("""COMPUTED_VALUE"""),1057664.0)</f>
        <v>1057664</v>
      </c>
    </row>
    <row r="32">
      <c r="A32" s="20">
        <f>IFERROR(__xludf.DUMMYFUNCTION("""COMPUTED_VALUE"""),31.0)</f>
        <v>31</v>
      </c>
      <c r="B32" s="20" t="str">
        <f>IFERROR(__xludf.DUMMYFUNCTION("""COMPUTED_VALUE"""),"Next Permutation")</f>
        <v>Next Permutation</v>
      </c>
      <c r="C32" s="20" t="str">
        <f>IFERROR(__xludf.DUMMYFUNCTION("""COMPUTED_VALUE"""),"next-permutation")</f>
        <v>next-permutation</v>
      </c>
      <c r="D32" s="20" t="b">
        <f>IFERROR(__xludf.DUMMYFUNCTION("""COMPUTED_VALUE"""),FALSE)</f>
        <v>0</v>
      </c>
      <c r="E32" s="20" t="str">
        <f>IFERROR(__xludf.DUMMYFUNCTION("""COMPUTED_VALUE"""),"Medium")</f>
        <v>Medium</v>
      </c>
      <c r="F32" s="20">
        <f>IFERROR(__xludf.DUMMYFUNCTION("""COMPUTED_VALUE"""),13821.0)</f>
        <v>13821</v>
      </c>
      <c r="G32" s="20">
        <f>IFERROR(__xludf.DUMMYFUNCTION("""COMPUTED_VALUE"""),3934.0)</f>
        <v>3934</v>
      </c>
      <c r="H32" s="20" t="str">
        <f>IFERROR(__xludf.DUMMYFUNCTION("""COMPUTED_VALUE"""),"Algorithms")</f>
        <v>Algorithms</v>
      </c>
      <c r="I32" s="20">
        <f>IFERROR(__xludf.DUMMYFUNCTION("""COMPUTED_VALUE"""),0.372)</f>
        <v>0.372</v>
      </c>
      <c r="J32" s="20">
        <f>IFERROR(__xludf.DUMMYFUNCTION("""COMPUTED_VALUE"""),31.0)</f>
        <v>31</v>
      </c>
      <c r="K32" s="20" t="b">
        <f>IFERROR(__xludf.DUMMYFUNCTION("""COMPUTED_VALUE"""),FALSE)</f>
        <v>0</v>
      </c>
      <c r="L32" s="20" t="str">
        <f>IFERROR(__xludf.DUMMYFUNCTION("""COMPUTED_VALUE"""),"Array;Two Pointers;")</f>
        <v>Array;Two Pointers;</v>
      </c>
      <c r="M32" s="20" t="b">
        <f>IFERROR(__xludf.DUMMYFUNCTION("""COMPUTED_VALUE"""),TRUE)</f>
        <v>1</v>
      </c>
      <c r="N32" s="20" t="b">
        <f>IFERROR(__xludf.DUMMYFUNCTION("""COMPUTED_VALUE"""),FALSE)</f>
        <v>0</v>
      </c>
      <c r="O32" s="20">
        <f>IFERROR(__xludf.DUMMYFUNCTION("""COMPUTED_VALUE"""),37.2266101920484)</f>
        <v>37.22661019</v>
      </c>
      <c r="P32" s="20">
        <f>IFERROR(__xludf.DUMMYFUNCTION("""COMPUTED_VALUE"""),965023.0)</f>
        <v>965023</v>
      </c>
      <c r="Q32" s="20">
        <f>IFERROR(__xludf.DUMMYFUNCTION("""COMPUTED_VALUE"""),2592300.0)</f>
        <v>2592300</v>
      </c>
    </row>
    <row r="33">
      <c r="A33" s="20">
        <f>IFERROR(__xludf.DUMMYFUNCTION("""COMPUTED_VALUE"""),32.0)</f>
        <v>32</v>
      </c>
      <c r="B33" s="20" t="str">
        <f>IFERROR(__xludf.DUMMYFUNCTION("""COMPUTED_VALUE"""),"Longest Valid Parentheses")</f>
        <v>Longest Valid Parentheses</v>
      </c>
      <c r="C33" s="20" t="str">
        <f>IFERROR(__xludf.DUMMYFUNCTION("""COMPUTED_VALUE"""),"longest-valid-parentheses")</f>
        <v>longest-valid-parentheses</v>
      </c>
      <c r="D33" s="20" t="b">
        <f>IFERROR(__xludf.DUMMYFUNCTION("""COMPUTED_VALUE"""),FALSE)</f>
        <v>0</v>
      </c>
      <c r="E33" s="20" t="str">
        <f>IFERROR(__xludf.DUMMYFUNCTION("""COMPUTED_VALUE"""),"Hard")</f>
        <v>Hard</v>
      </c>
      <c r="F33" s="20">
        <f>IFERROR(__xludf.DUMMYFUNCTION("""COMPUTED_VALUE"""),10229.0)</f>
        <v>10229</v>
      </c>
      <c r="G33" s="20">
        <f>IFERROR(__xludf.DUMMYFUNCTION("""COMPUTED_VALUE"""),325.0)</f>
        <v>325</v>
      </c>
      <c r="H33" s="20" t="str">
        <f>IFERROR(__xludf.DUMMYFUNCTION("""COMPUTED_VALUE"""),"Algorithms")</f>
        <v>Algorithms</v>
      </c>
      <c r="I33" s="20">
        <f>IFERROR(__xludf.DUMMYFUNCTION("""COMPUTED_VALUE"""),0.327)</f>
        <v>0.327</v>
      </c>
      <c r="J33" s="20">
        <f>IFERROR(__xludf.DUMMYFUNCTION("""COMPUTED_VALUE"""),32.0)</f>
        <v>32</v>
      </c>
      <c r="K33" s="20" t="b">
        <f>IFERROR(__xludf.DUMMYFUNCTION("""COMPUTED_VALUE"""),FALSE)</f>
        <v>0</v>
      </c>
      <c r="L33" s="20" t="str">
        <f>IFERROR(__xludf.DUMMYFUNCTION("""COMPUTED_VALUE"""),"String;Dynamic Programming;Stack;")</f>
        <v>String;Dynamic Programming;Stack;</v>
      </c>
      <c r="M33" s="20" t="b">
        <f>IFERROR(__xludf.DUMMYFUNCTION("""COMPUTED_VALUE"""),TRUE)</f>
        <v>1</v>
      </c>
      <c r="N33" s="20" t="b">
        <f>IFERROR(__xludf.DUMMYFUNCTION("""COMPUTED_VALUE"""),FALSE)</f>
        <v>0</v>
      </c>
      <c r="O33" s="20">
        <f>IFERROR(__xludf.DUMMYFUNCTION("""COMPUTED_VALUE"""),32.7422545712446)</f>
        <v>32.74225457</v>
      </c>
      <c r="P33" s="20">
        <f>IFERROR(__xludf.DUMMYFUNCTION("""COMPUTED_VALUE"""),585386.0)</f>
        <v>585386</v>
      </c>
      <c r="Q33" s="20">
        <f>IFERROR(__xludf.DUMMYFUNCTION("""COMPUTED_VALUE"""),1787860.0)</f>
        <v>1787860</v>
      </c>
    </row>
    <row r="34">
      <c r="A34" s="20">
        <f>IFERROR(__xludf.DUMMYFUNCTION("""COMPUTED_VALUE"""),33.0)</f>
        <v>33</v>
      </c>
      <c r="B34" s="20" t="str">
        <f>IFERROR(__xludf.DUMMYFUNCTION("""COMPUTED_VALUE"""),"Search in Rotated Sorted Array")</f>
        <v>Search in Rotated Sorted Array</v>
      </c>
      <c r="C34" s="20" t="str">
        <f>IFERROR(__xludf.DUMMYFUNCTION("""COMPUTED_VALUE"""),"search-in-rotated-sorted-array")</f>
        <v>search-in-rotated-sorted-array</v>
      </c>
      <c r="D34" s="20" t="b">
        <f>IFERROR(__xludf.DUMMYFUNCTION("""COMPUTED_VALUE"""),FALSE)</f>
        <v>0</v>
      </c>
      <c r="E34" s="20" t="str">
        <f>IFERROR(__xludf.DUMMYFUNCTION("""COMPUTED_VALUE"""),"Medium")</f>
        <v>Medium</v>
      </c>
      <c r="F34" s="20">
        <f>IFERROR(__xludf.DUMMYFUNCTION("""COMPUTED_VALUE"""),19045.0)</f>
        <v>19045</v>
      </c>
      <c r="G34" s="20">
        <f>IFERROR(__xludf.DUMMYFUNCTION("""COMPUTED_VALUE"""),1135.0)</f>
        <v>1135</v>
      </c>
      <c r="H34" s="20" t="str">
        <f>IFERROR(__xludf.DUMMYFUNCTION("""COMPUTED_VALUE"""),"Algorithms")</f>
        <v>Algorithms</v>
      </c>
      <c r="I34" s="20">
        <f>IFERROR(__xludf.DUMMYFUNCTION("""COMPUTED_VALUE"""),0.388)</f>
        <v>0.388</v>
      </c>
      <c r="J34" s="20">
        <f>IFERROR(__xludf.DUMMYFUNCTION("""COMPUTED_VALUE"""),33.0)</f>
        <v>33</v>
      </c>
      <c r="K34" s="20" t="b">
        <f>IFERROR(__xludf.DUMMYFUNCTION("""COMPUTED_VALUE"""),FALSE)</f>
        <v>0</v>
      </c>
      <c r="L34" s="20" t="str">
        <f>IFERROR(__xludf.DUMMYFUNCTION("""COMPUTED_VALUE"""),"Array;Binary Search;")</f>
        <v>Array;Binary Search;</v>
      </c>
      <c r="M34" s="20" t="b">
        <f>IFERROR(__xludf.DUMMYFUNCTION("""COMPUTED_VALUE"""),TRUE)</f>
        <v>1</v>
      </c>
      <c r="N34" s="20" t="b">
        <f>IFERROR(__xludf.DUMMYFUNCTION("""COMPUTED_VALUE"""),FALSE)</f>
        <v>0</v>
      </c>
      <c r="O34" s="20">
        <f>IFERROR(__xludf.DUMMYFUNCTION("""COMPUTED_VALUE"""),38.7848874863259)</f>
        <v>38.78488749</v>
      </c>
      <c r="P34" s="20">
        <f>IFERROR(__xludf.DUMMYFUNCTION("""COMPUTED_VALUE"""),1852843.0)</f>
        <v>1852843</v>
      </c>
      <c r="Q34" s="20">
        <f>IFERROR(__xludf.DUMMYFUNCTION("""COMPUTED_VALUE"""),4777241.0)</f>
        <v>4777241</v>
      </c>
    </row>
    <row r="35">
      <c r="A35" s="20">
        <f>IFERROR(__xludf.DUMMYFUNCTION("""COMPUTED_VALUE"""),34.0)</f>
        <v>34</v>
      </c>
      <c r="B35" s="20" t="str">
        <f>IFERROR(__xludf.DUMMYFUNCTION("""COMPUTED_VALUE"""),"Find First and Last Position of Element in Sorted Array")</f>
        <v>Find First and Last Position of Element in Sorted Array</v>
      </c>
      <c r="C35" s="20" t="str">
        <f>IFERROR(__xludf.DUMMYFUNCTION("""COMPUTED_VALUE"""),"find-first-and-last-position-of-element-in-sorted-array")</f>
        <v>find-first-and-last-position-of-element-in-sorted-array</v>
      </c>
      <c r="D35" s="20" t="b">
        <f>IFERROR(__xludf.DUMMYFUNCTION("""COMPUTED_VALUE"""),FALSE)</f>
        <v>0</v>
      </c>
      <c r="E35" s="20" t="str">
        <f>IFERROR(__xludf.DUMMYFUNCTION("""COMPUTED_VALUE"""),"Medium")</f>
        <v>Medium</v>
      </c>
      <c r="F35" s="20">
        <f>IFERROR(__xludf.DUMMYFUNCTION("""COMPUTED_VALUE"""),15109.0)</f>
        <v>15109</v>
      </c>
      <c r="G35" s="20">
        <f>IFERROR(__xludf.DUMMYFUNCTION("""COMPUTED_VALUE"""),363.0)</f>
        <v>363</v>
      </c>
      <c r="H35" s="20" t="str">
        <f>IFERROR(__xludf.DUMMYFUNCTION("""COMPUTED_VALUE"""),"Algorithms")</f>
        <v>Algorithms</v>
      </c>
      <c r="I35" s="20">
        <f>IFERROR(__xludf.DUMMYFUNCTION("""COMPUTED_VALUE"""),0.416)</f>
        <v>0.416</v>
      </c>
      <c r="J35" s="20">
        <f>IFERROR(__xludf.DUMMYFUNCTION("""COMPUTED_VALUE"""),34.0)</f>
        <v>34</v>
      </c>
      <c r="K35" s="20" t="b">
        <f>IFERROR(__xludf.DUMMYFUNCTION("""COMPUTED_VALUE"""),FALSE)</f>
        <v>0</v>
      </c>
      <c r="L35" s="20" t="str">
        <f>IFERROR(__xludf.DUMMYFUNCTION("""COMPUTED_VALUE"""),"Array;Binary Search;")</f>
        <v>Array;Binary Search;</v>
      </c>
      <c r="M35" s="20" t="b">
        <f>IFERROR(__xludf.DUMMYFUNCTION("""COMPUTED_VALUE"""),TRUE)</f>
        <v>1</v>
      </c>
      <c r="N35" s="20" t="b">
        <f>IFERROR(__xludf.DUMMYFUNCTION("""COMPUTED_VALUE"""),FALSE)</f>
        <v>0</v>
      </c>
      <c r="O35" s="20">
        <f>IFERROR(__xludf.DUMMYFUNCTION("""COMPUTED_VALUE"""),41.6396560356303)</f>
        <v>41.63965604</v>
      </c>
      <c r="P35" s="20">
        <f>IFERROR(__xludf.DUMMYFUNCTION("""COMPUTED_VALUE"""),1403877.0)</f>
        <v>1403877</v>
      </c>
      <c r="Q35" s="20">
        <f>IFERROR(__xludf.DUMMYFUNCTION("""COMPUTED_VALUE"""),3371490.0)</f>
        <v>3371490</v>
      </c>
    </row>
    <row r="36">
      <c r="A36" s="20">
        <f>IFERROR(__xludf.DUMMYFUNCTION("""COMPUTED_VALUE"""),35.0)</f>
        <v>35</v>
      </c>
      <c r="B36" s="20" t="str">
        <f>IFERROR(__xludf.DUMMYFUNCTION("""COMPUTED_VALUE"""),"Search Insert Position")</f>
        <v>Search Insert Position</v>
      </c>
      <c r="C36" s="20" t="str">
        <f>IFERROR(__xludf.DUMMYFUNCTION("""COMPUTED_VALUE"""),"search-insert-position")</f>
        <v>search-insert-position</v>
      </c>
      <c r="D36" s="20" t="b">
        <f>IFERROR(__xludf.DUMMYFUNCTION("""COMPUTED_VALUE"""),FALSE)</f>
        <v>0</v>
      </c>
      <c r="E36" s="20" t="str">
        <f>IFERROR(__xludf.DUMMYFUNCTION("""COMPUTED_VALUE"""),"Easy")</f>
        <v>Easy</v>
      </c>
      <c r="F36" s="20">
        <f>IFERROR(__xludf.DUMMYFUNCTION("""COMPUTED_VALUE"""),10941.0)</f>
        <v>10941</v>
      </c>
      <c r="G36" s="20">
        <f>IFERROR(__xludf.DUMMYFUNCTION("""COMPUTED_VALUE"""),518.0)</f>
        <v>518</v>
      </c>
      <c r="H36" s="20" t="str">
        <f>IFERROR(__xludf.DUMMYFUNCTION("""COMPUTED_VALUE"""),"Algorithms")</f>
        <v>Algorithms</v>
      </c>
      <c r="I36" s="20">
        <f>IFERROR(__xludf.DUMMYFUNCTION("""COMPUTED_VALUE"""),0.422)</f>
        <v>0.422</v>
      </c>
      <c r="J36" s="20">
        <f>IFERROR(__xludf.DUMMYFUNCTION("""COMPUTED_VALUE"""),35.0)</f>
        <v>35</v>
      </c>
      <c r="K36" s="20" t="b">
        <f>IFERROR(__xludf.DUMMYFUNCTION("""COMPUTED_VALUE"""),FALSE)</f>
        <v>0</v>
      </c>
      <c r="L36" s="20" t="str">
        <f>IFERROR(__xludf.DUMMYFUNCTION("""COMPUTED_VALUE"""),"Array;Binary Search;")</f>
        <v>Array;Binary Search;</v>
      </c>
      <c r="M36" s="20" t="b">
        <f>IFERROR(__xludf.DUMMYFUNCTION("""COMPUTED_VALUE"""),TRUE)</f>
        <v>1</v>
      </c>
      <c r="N36" s="20" t="b">
        <f>IFERROR(__xludf.DUMMYFUNCTION("""COMPUTED_VALUE"""),FALSE)</f>
        <v>0</v>
      </c>
      <c r="O36" s="20">
        <f>IFERROR(__xludf.DUMMYFUNCTION("""COMPUTED_VALUE"""),42.1626492808082)</f>
        <v>42.16264928</v>
      </c>
      <c r="P36" s="20">
        <f>IFERROR(__xludf.DUMMYFUNCTION("""COMPUTED_VALUE"""),1873787.0)</f>
        <v>1873787</v>
      </c>
      <c r="Q36" s="20">
        <f>IFERROR(__xludf.DUMMYFUNCTION("""COMPUTED_VALUE"""),4444203.0)</f>
        <v>4444203</v>
      </c>
    </row>
    <row r="37">
      <c r="A37" s="20">
        <f>IFERROR(__xludf.DUMMYFUNCTION("""COMPUTED_VALUE"""),36.0)</f>
        <v>36</v>
      </c>
      <c r="B37" s="20" t="str">
        <f>IFERROR(__xludf.DUMMYFUNCTION("""COMPUTED_VALUE"""),"Valid Sudoku")</f>
        <v>Valid Sudoku</v>
      </c>
      <c r="C37" s="20" t="str">
        <f>IFERROR(__xludf.DUMMYFUNCTION("""COMPUTED_VALUE"""),"valid-sudoku")</f>
        <v>valid-sudoku</v>
      </c>
      <c r="D37" s="20" t="b">
        <f>IFERROR(__xludf.DUMMYFUNCTION("""COMPUTED_VALUE"""),FALSE)</f>
        <v>0</v>
      </c>
      <c r="E37" s="20" t="str">
        <f>IFERROR(__xludf.DUMMYFUNCTION("""COMPUTED_VALUE"""),"Medium")</f>
        <v>Medium</v>
      </c>
      <c r="F37" s="20">
        <f>IFERROR(__xludf.DUMMYFUNCTION("""COMPUTED_VALUE"""),7610.0)</f>
        <v>7610</v>
      </c>
      <c r="G37" s="20">
        <f>IFERROR(__xludf.DUMMYFUNCTION("""COMPUTED_VALUE"""),848.0)</f>
        <v>848</v>
      </c>
      <c r="H37" s="20" t="str">
        <f>IFERROR(__xludf.DUMMYFUNCTION("""COMPUTED_VALUE"""),"Algorithms")</f>
        <v>Algorithms</v>
      </c>
      <c r="I37" s="20">
        <f>IFERROR(__xludf.DUMMYFUNCTION("""COMPUTED_VALUE"""),0.578)</f>
        <v>0.578</v>
      </c>
      <c r="J37" s="20">
        <f>IFERROR(__xludf.DUMMYFUNCTION("""COMPUTED_VALUE"""),36.0)</f>
        <v>36</v>
      </c>
      <c r="K37" s="20" t="b">
        <f>IFERROR(__xludf.DUMMYFUNCTION("""COMPUTED_VALUE"""),FALSE)</f>
        <v>0</v>
      </c>
      <c r="L37" s="20" t="str">
        <f>IFERROR(__xludf.DUMMYFUNCTION("""COMPUTED_VALUE"""),"Array;Hash Table;Matrix;")</f>
        <v>Array;Hash Table;Matrix;</v>
      </c>
      <c r="M37" s="20" t="b">
        <f>IFERROR(__xludf.DUMMYFUNCTION("""COMPUTED_VALUE"""),TRUE)</f>
        <v>1</v>
      </c>
      <c r="N37" s="20" t="b">
        <f>IFERROR(__xludf.DUMMYFUNCTION("""COMPUTED_VALUE"""),FALSE)</f>
        <v>0</v>
      </c>
      <c r="O37" s="20">
        <f>IFERROR(__xludf.DUMMYFUNCTION("""COMPUTED_VALUE"""),57.7779236674154)</f>
        <v>57.77792367</v>
      </c>
      <c r="P37" s="20">
        <f>IFERROR(__xludf.DUMMYFUNCTION("""COMPUTED_VALUE"""),985681.0)</f>
        <v>985681</v>
      </c>
      <c r="Q37" s="20">
        <f>IFERROR(__xludf.DUMMYFUNCTION("""COMPUTED_VALUE"""),1705990.0)</f>
        <v>1705990</v>
      </c>
    </row>
    <row r="38">
      <c r="A38" s="20">
        <f>IFERROR(__xludf.DUMMYFUNCTION("""COMPUTED_VALUE"""),37.0)</f>
        <v>37</v>
      </c>
      <c r="B38" s="20" t="str">
        <f>IFERROR(__xludf.DUMMYFUNCTION("""COMPUTED_VALUE"""),"Sudoku Solver")</f>
        <v>Sudoku Solver</v>
      </c>
      <c r="C38" s="20" t="str">
        <f>IFERROR(__xludf.DUMMYFUNCTION("""COMPUTED_VALUE"""),"sudoku-solver")</f>
        <v>sudoku-solver</v>
      </c>
      <c r="D38" s="20" t="b">
        <f>IFERROR(__xludf.DUMMYFUNCTION("""COMPUTED_VALUE"""),FALSE)</f>
        <v>0</v>
      </c>
      <c r="E38" s="20" t="str">
        <f>IFERROR(__xludf.DUMMYFUNCTION("""COMPUTED_VALUE"""),"Hard")</f>
        <v>Hard</v>
      </c>
      <c r="F38" s="20">
        <f>IFERROR(__xludf.DUMMYFUNCTION("""COMPUTED_VALUE"""),7080.0)</f>
        <v>7080</v>
      </c>
      <c r="G38" s="20">
        <f>IFERROR(__xludf.DUMMYFUNCTION("""COMPUTED_VALUE"""),189.0)</f>
        <v>189</v>
      </c>
      <c r="H38" s="20" t="str">
        <f>IFERROR(__xludf.DUMMYFUNCTION("""COMPUTED_VALUE"""),"Algorithms")</f>
        <v>Algorithms</v>
      </c>
      <c r="I38" s="20">
        <f>IFERROR(__xludf.DUMMYFUNCTION("""COMPUTED_VALUE"""),0.57)</f>
        <v>0.57</v>
      </c>
      <c r="J38" s="20">
        <f>IFERROR(__xludf.DUMMYFUNCTION("""COMPUTED_VALUE"""),37.0)</f>
        <v>37</v>
      </c>
      <c r="K38" s="20" t="b">
        <f>IFERROR(__xludf.DUMMYFUNCTION("""COMPUTED_VALUE"""),FALSE)</f>
        <v>0</v>
      </c>
      <c r="L38" s="20" t="str">
        <f>IFERROR(__xludf.DUMMYFUNCTION("""COMPUTED_VALUE"""),"Array;Backtracking;Matrix;")</f>
        <v>Array;Backtracking;Matrix;</v>
      </c>
      <c r="M38" s="20" t="b">
        <f>IFERROR(__xludf.DUMMYFUNCTION("""COMPUTED_VALUE"""),TRUE)</f>
        <v>1</v>
      </c>
      <c r="N38" s="20" t="b">
        <f>IFERROR(__xludf.DUMMYFUNCTION("""COMPUTED_VALUE"""),FALSE)</f>
        <v>0</v>
      </c>
      <c r="O38" s="20">
        <f>IFERROR(__xludf.DUMMYFUNCTION("""COMPUTED_VALUE"""),57.0451712598902)</f>
        <v>57.04517126</v>
      </c>
      <c r="P38" s="20">
        <f>IFERROR(__xludf.DUMMYFUNCTION("""COMPUTED_VALUE"""),423788.0)</f>
        <v>423788</v>
      </c>
      <c r="Q38" s="20">
        <f>IFERROR(__xludf.DUMMYFUNCTION("""COMPUTED_VALUE"""),742900.0)</f>
        <v>742900</v>
      </c>
    </row>
    <row r="39">
      <c r="A39" s="20">
        <f>IFERROR(__xludf.DUMMYFUNCTION("""COMPUTED_VALUE"""),38.0)</f>
        <v>38</v>
      </c>
      <c r="B39" s="20" t="str">
        <f>IFERROR(__xludf.DUMMYFUNCTION("""COMPUTED_VALUE"""),"Count and Say")</f>
        <v>Count and Say</v>
      </c>
      <c r="C39" s="20" t="str">
        <f>IFERROR(__xludf.DUMMYFUNCTION("""COMPUTED_VALUE"""),"count-and-say")</f>
        <v>count-and-say</v>
      </c>
      <c r="D39" s="20" t="b">
        <f>IFERROR(__xludf.DUMMYFUNCTION("""COMPUTED_VALUE"""),FALSE)</f>
        <v>0</v>
      </c>
      <c r="E39" s="20" t="str">
        <f>IFERROR(__xludf.DUMMYFUNCTION("""COMPUTED_VALUE"""),"Medium")</f>
        <v>Medium</v>
      </c>
      <c r="F39" s="20">
        <f>IFERROR(__xludf.DUMMYFUNCTION("""COMPUTED_VALUE"""),2812.0)</f>
        <v>2812</v>
      </c>
      <c r="G39" s="20">
        <f>IFERROR(__xludf.DUMMYFUNCTION("""COMPUTED_VALUE"""),5924.0)</f>
        <v>5924</v>
      </c>
      <c r="H39" s="20" t="str">
        <f>IFERROR(__xludf.DUMMYFUNCTION("""COMPUTED_VALUE"""),"Algorithms")</f>
        <v>Algorithms</v>
      </c>
      <c r="I39" s="20">
        <f>IFERROR(__xludf.DUMMYFUNCTION("""COMPUTED_VALUE"""),0.515)</f>
        <v>0.515</v>
      </c>
      <c r="J39" s="20">
        <f>IFERROR(__xludf.DUMMYFUNCTION("""COMPUTED_VALUE"""),38.0)</f>
        <v>38</v>
      </c>
      <c r="K39" s="20" t="b">
        <f>IFERROR(__xludf.DUMMYFUNCTION("""COMPUTED_VALUE"""),FALSE)</f>
        <v>0</v>
      </c>
      <c r="L39" s="20" t="str">
        <f>IFERROR(__xludf.DUMMYFUNCTION("""COMPUTED_VALUE"""),"String;")</f>
        <v>String;</v>
      </c>
      <c r="M39" s="20" t="b">
        <f>IFERROR(__xludf.DUMMYFUNCTION("""COMPUTED_VALUE"""),TRUE)</f>
        <v>1</v>
      </c>
      <c r="N39" s="20" t="b">
        <f>IFERROR(__xludf.DUMMYFUNCTION("""COMPUTED_VALUE"""),FALSE)</f>
        <v>0</v>
      </c>
      <c r="O39" s="20">
        <f>IFERROR(__xludf.DUMMYFUNCTION("""COMPUTED_VALUE"""),51.5064629556089)</f>
        <v>51.50646296</v>
      </c>
      <c r="P39" s="20">
        <f>IFERROR(__xludf.DUMMYFUNCTION("""COMPUTED_VALUE"""),748373.0)</f>
        <v>748373</v>
      </c>
      <c r="Q39" s="20">
        <f>IFERROR(__xludf.DUMMYFUNCTION("""COMPUTED_VALUE"""),1452971.0)</f>
        <v>1452971</v>
      </c>
    </row>
    <row r="40">
      <c r="A40" s="20">
        <f>IFERROR(__xludf.DUMMYFUNCTION("""COMPUTED_VALUE"""),39.0)</f>
        <v>39</v>
      </c>
      <c r="B40" s="20" t="str">
        <f>IFERROR(__xludf.DUMMYFUNCTION("""COMPUTED_VALUE"""),"Combination Sum")</f>
        <v>Combination Sum</v>
      </c>
      <c r="C40" s="20" t="str">
        <f>IFERROR(__xludf.DUMMYFUNCTION("""COMPUTED_VALUE"""),"combination-sum")</f>
        <v>combination-sum</v>
      </c>
      <c r="D40" s="20" t="b">
        <f>IFERROR(__xludf.DUMMYFUNCTION("""COMPUTED_VALUE"""),FALSE)</f>
        <v>0</v>
      </c>
      <c r="E40" s="20" t="str">
        <f>IFERROR(__xludf.DUMMYFUNCTION("""COMPUTED_VALUE"""),"Medium")</f>
        <v>Medium</v>
      </c>
      <c r="F40" s="20">
        <f>IFERROR(__xludf.DUMMYFUNCTION("""COMPUTED_VALUE"""),14458.0)</f>
        <v>14458</v>
      </c>
      <c r="G40" s="20">
        <f>IFERROR(__xludf.DUMMYFUNCTION("""COMPUTED_VALUE"""),291.0)</f>
        <v>291</v>
      </c>
      <c r="H40" s="20" t="str">
        <f>IFERROR(__xludf.DUMMYFUNCTION("""COMPUTED_VALUE"""),"Algorithms")</f>
        <v>Algorithms</v>
      </c>
      <c r="I40" s="20">
        <f>IFERROR(__xludf.DUMMYFUNCTION("""COMPUTED_VALUE"""),0.68)</f>
        <v>0.68</v>
      </c>
      <c r="J40" s="20">
        <f>IFERROR(__xludf.DUMMYFUNCTION("""COMPUTED_VALUE"""),39.0)</f>
        <v>39</v>
      </c>
      <c r="K40" s="20" t="b">
        <f>IFERROR(__xludf.DUMMYFUNCTION("""COMPUTED_VALUE"""),FALSE)</f>
        <v>0</v>
      </c>
      <c r="L40" s="20" t="str">
        <f>IFERROR(__xludf.DUMMYFUNCTION("""COMPUTED_VALUE"""),"Array;Backtracking;")</f>
        <v>Array;Backtracking;</v>
      </c>
      <c r="M40" s="20" t="b">
        <f>IFERROR(__xludf.DUMMYFUNCTION("""COMPUTED_VALUE"""),TRUE)</f>
        <v>1</v>
      </c>
      <c r="N40" s="20" t="b">
        <f>IFERROR(__xludf.DUMMYFUNCTION("""COMPUTED_VALUE"""),FALSE)</f>
        <v>0</v>
      </c>
      <c r="O40" s="20">
        <f>IFERROR(__xludf.DUMMYFUNCTION("""COMPUTED_VALUE"""),67.9914915891696)</f>
        <v>67.99149159</v>
      </c>
      <c r="P40" s="20">
        <f>IFERROR(__xludf.DUMMYFUNCTION("""COMPUTED_VALUE"""),1348252.0)</f>
        <v>1348252</v>
      </c>
      <c r="Q40" s="20">
        <f>IFERROR(__xludf.DUMMYFUNCTION("""COMPUTED_VALUE"""),1982971.0)</f>
        <v>1982971</v>
      </c>
    </row>
    <row r="41">
      <c r="A41" s="20">
        <f>IFERROR(__xludf.DUMMYFUNCTION("""COMPUTED_VALUE"""),40.0)</f>
        <v>40</v>
      </c>
      <c r="B41" s="20" t="str">
        <f>IFERROR(__xludf.DUMMYFUNCTION("""COMPUTED_VALUE"""),"Combination Sum II")</f>
        <v>Combination Sum II</v>
      </c>
      <c r="C41" s="20" t="str">
        <f>IFERROR(__xludf.DUMMYFUNCTION("""COMPUTED_VALUE"""),"combination-sum-ii")</f>
        <v>combination-sum-ii</v>
      </c>
      <c r="D41" s="20" t="b">
        <f>IFERROR(__xludf.DUMMYFUNCTION("""COMPUTED_VALUE"""),FALSE)</f>
        <v>0</v>
      </c>
      <c r="E41" s="20" t="str">
        <f>IFERROR(__xludf.DUMMYFUNCTION("""COMPUTED_VALUE"""),"Medium")</f>
        <v>Medium</v>
      </c>
      <c r="F41" s="20">
        <f>IFERROR(__xludf.DUMMYFUNCTION("""COMPUTED_VALUE"""),7524.0)</f>
        <v>7524</v>
      </c>
      <c r="G41" s="20">
        <f>IFERROR(__xludf.DUMMYFUNCTION("""COMPUTED_VALUE"""),182.0)</f>
        <v>182</v>
      </c>
      <c r="H41" s="20" t="str">
        <f>IFERROR(__xludf.DUMMYFUNCTION("""COMPUTED_VALUE"""),"Algorithms")</f>
        <v>Algorithms</v>
      </c>
      <c r="I41" s="20">
        <f>IFERROR(__xludf.DUMMYFUNCTION("""COMPUTED_VALUE"""),0.534)</f>
        <v>0.534</v>
      </c>
      <c r="J41" s="20">
        <f>IFERROR(__xludf.DUMMYFUNCTION("""COMPUTED_VALUE"""),40.0)</f>
        <v>40</v>
      </c>
      <c r="K41" s="20" t="b">
        <f>IFERROR(__xludf.DUMMYFUNCTION("""COMPUTED_VALUE"""),FALSE)</f>
        <v>0</v>
      </c>
      <c r="L41" s="20" t="str">
        <f>IFERROR(__xludf.DUMMYFUNCTION("""COMPUTED_VALUE"""),"Array;Backtracking;")</f>
        <v>Array;Backtracking;</v>
      </c>
      <c r="M41" s="20" t="b">
        <f>IFERROR(__xludf.DUMMYFUNCTION("""COMPUTED_VALUE"""),TRUE)</f>
        <v>1</v>
      </c>
      <c r="N41" s="20" t="b">
        <f>IFERROR(__xludf.DUMMYFUNCTION("""COMPUTED_VALUE"""),FALSE)</f>
        <v>0</v>
      </c>
      <c r="O41" s="20">
        <f>IFERROR(__xludf.DUMMYFUNCTION("""COMPUTED_VALUE"""),53.3578830472839)</f>
        <v>53.35788305</v>
      </c>
      <c r="P41" s="20">
        <f>IFERROR(__xludf.DUMMYFUNCTION("""COMPUTED_VALUE"""),684201.0)</f>
        <v>684201</v>
      </c>
      <c r="Q41" s="20">
        <f>IFERROR(__xludf.DUMMYFUNCTION("""COMPUTED_VALUE"""),1282288.0)</f>
        <v>1282288</v>
      </c>
    </row>
    <row r="42">
      <c r="A42" s="20">
        <f>IFERROR(__xludf.DUMMYFUNCTION("""COMPUTED_VALUE"""),41.0)</f>
        <v>41</v>
      </c>
      <c r="B42" s="20" t="str">
        <f>IFERROR(__xludf.DUMMYFUNCTION("""COMPUTED_VALUE"""),"First Missing Positive")</f>
        <v>First Missing Positive</v>
      </c>
      <c r="C42" s="20" t="str">
        <f>IFERROR(__xludf.DUMMYFUNCTION("""COMPUTED_VALUE"""),"first-missing-positive")</f>
        <v>first-missing-positive</v>
      </c>
      <c r="D42" s="20" t="b">
        <f>IFERROR(__xludf.DUMMYFUNCTION("""COMPUTED_VALUE"""),FALSE)</f>
        <v>0</v>
      </c>
      <c r="E42" s="20" t="str">
        <f>IFERROR(__xludf.DUMMYFUNCTION("""COMPUTED_VALUE"""),"Hard")</f>
        <v>Hard</v>
      </c>
      <c r="F42" s="20">
        <f>IFERROR(__xludf.DUMMYFUNCTION("""COMPUTED_VALUE"""),12669.0)</f>
        <v>12669</v>
      </c>
      <c r="G42" s="20">
        <f>IFERROR(__xludf.DUMMYFUNCTION("""COMPUTED_VALUE"""),1512.0)</f>
        <v>1512</v>
      </c>
      <c r="H42" s="20" t="str">
        <f>IFERROR(__xludf.DUMMYFUNCTION("""COMPUTED_VALUE"""),"Algorithms")</f>
        <v>Algorithms</v>
      </c>
      <c r="I42" s="20">
        <f>IFERROR(__xludf.DUMMYFUNCTION("""COMPUTED_VALUE"""),0.366)</f>
        <v>0.366</v>
      </c>
      <c r="J42" s="20">
        <f>IFERROR(__xludf.DUMMYFUNCTION("""COMPUTED_VALUE"""),41.0)</f>
        <v>41</v>
      </c>
      <c r="K42" s="20" t="b">
        <f>IFERROR(__xludf.DUMMYFUNCTION("""COMPUTED_VALUE"""),FALSE)</f>
        <v>0</v>
      </c>
      <c r="L42" s="20" t="str">
        <f>IFERROR(__xludf.DUMMYFUNCTION("""COMPUTED_VALUE"""),"Array;Hash Table;")</f>
        <v>Array;Hash Table;</v>
      </c>
      <c r="M42" s="20" t="b">
        <f>IFERROR(__xludf.DUMMYFUNCTION("""COMPUTED_VALUE"""),TRUE)</f>
        <v>1</v>
      </c>
      <c r="N42" s="20" t="b">
        <f>IFERROR(__xludf.DUMMYFUNCTION("""COMPUTED_VALUE"""),FALSE)</f>
        <v>0</v>
      </c>
      <c r="O42" s="20">
        <f>IFERROR(__xludf.DUMMYFUNCTION("""COMPUTED_VALUE"""),36.5942024088069)</f>
        <v>36.59420241</v>
      </c>
      <c r="P42" s="20">
        <f>IFERROR(__xludf.DUMMYFUNCTION("""COMPUTED_VALUE"""),812180.0)</f>
        <v>812180</v>
      </c>
      <c r="Q42" s="20">
        <f>IFERROR(__xludf.DUMMYFUNCTION("""COMPUTED_VALUE"""),2219421.0)</f>
        <v>2219421</v>
      </c>
    </row>
    <row r="43">
      <c r="A43" s="20">
        <f>IFERROR(__xludf.DUMMYFUNCTION("""COMPUTED_VALUE"""),42.0)</f>
        <v>42</v>
      </c>
      <c r="B43" s="20" t="str">
        <f>IFERROR(__xludf.DUMMYFUNCTION("""COMPUTED_VALUE"""),"Trapping Rain Water")</f>
        <v>Trapping Rain Water</v>
      </c>
      <c r="C43" s="20" t="str">
        <f>IFERROR(__xludf.DUMMYFUNCTION("""COMPUTED_VALUE"""),"trapping-rain-water")</f>
        <v>trapping-rain-water</v>
      </c>
      <c r="D43" s="20" t="b">
        <f>IFERROR(__xludf.DUMMYFUNCTION("""COMPUTED_VALUE"""),FALSE)</f>
        <v>0</v>
      </c>
      <c r="E43" s="20" t="str">
        <f>IFERROR(__xludf.DUMMYFUNCTION("""COMPUTED_VALUE"""),"Hard")</f>
        <v>Hard</v>
      </c>
      <c r="F43" s="20">
        <f>IFERROR(__xludf.DUMMYFUNCTION("""COMPUTED_VALUE"""),24290.0)</f>
        <v>24290</v>
      </c>
      <c r="G43" s="20">
        <f>IFERROR(__xludf.DUMMYFUNCTION("""COMPUTED_VALUE"""),338.0)</f>
        <v>338</v>
      </c>
      <c r="H43" s="20" t="str">
        <f>IFERROR(__xludf.DUMMYFUNCTION("""COMPUTED_VALUE"""),"Algorithms")</f>
        <v>Algorithms</v>
      </c>
      <c r="I43" s="20">
        <f>IFERROR(__xludf.DUMMYFUNCTION("""COMPUTED_VALUE"""),0.589)</f>
        <v>0.589</v>
      </c>
      <c r="J43" s="20">
        <f>IFERROR(__xludf.DUMMYFUNCTION("""COMPUTED_VALUE"""),42.0)</f>
        <v>42</v>
      </c>
      <c r="K43" s="20" t="b">
        <f>IFERROR(__xludf.DUMMYFUNCTION("""COMPUTED_VALUE"""),FALSE)</f>
        <v>0</v>
      </c>
      <c r="L43" s="20" t="str">
        <f>IFERROR(__xludf.DUMMYFUNCTION("""COMPUTED_VALUE"""),"Array;Two Pointers;Dynamic Programming;Stack;Monotonic Stack;")</f>
        <v>Array;Two Pointers;Dynamic Programming;Stack;Monotonic Stack;</v>
      </c>
      <c r="M43" s="20" t="b">
        <f>IFERROR(__xludf.DUMMYFUNCTION("""COMPUTED_VALUE"""),TRUE)</f>
        <v>1</v>
      </c>
      <c r="N43" s="20" t="b">
        <f>IFERROR(__xludf.DUMMYFUNCTION("""COMPUTED_VALUE"""),FALSE)</f>
        <v>0</v>
      </c>
      <c r="O43" s="20">
        <f>IFERROR(__xludf.DUMMYFUNCTION("""COMPUTED_VALUE"""),58.9393372703001)</f>
        <v>58.93933727</v>
      </c>
      <c r="P43" s="20">
        <f>IFERROR(__xludf.DUMMYFUNCTION("""COMPUTED_VALUE"""),1413529.0)</f>
        <v>1413529</v>
      </c>
      <c r="Q43" s="20">
        <f>IFERROR(__xludf.DUMMYFUNCTION("""COMPUTED_VALUE"""),2398278.0)</f>
        <v>2398278</v>
      </c>
    </row>
    <row r="44">
      <c r="A44" s="20">
        <f>IFERROR(__xludf.DUMMYFUNCTION("""COMPUTED_VALUE"""),43.0)</f>
        <v>43</v>
      </c>
      <c r="B44" s="20" t="str">
        <f>IFERROR(__xludf.DUMMYFUNCTION("""COMPUTED_VALUE"""),"Multiply Strings")</f>
        <v>Multiply Strings</v>
      </c>
      <c r="C44" s="20" t="str">
        <f>IFERROR(__xludf.DUMMYFUNCTION("""COMPUTED_VALUE"""),"multiply-strings")</f>
        <v>multiply-strings</v>
      </c>
      <c r="D44" s="20" t="b">
        <f>IFERROR(__xludf.DUMMYFUNCTION("""COMPUTED_VALUE"""),FALSE)</f>
        <v>0</v>
      </c>
      <c r="E44" s="20" t="str">
        <f>IFERROR(__xludf.DUMMYFUNCTION("""COMPUTED_VALUE"""),"Medium")</f>
        <v>Medium</v>
      </c>
      <c r="F44" s="20">
        <f>IFERROR(__xludf.DUMMYFUNCTION("""COMPUTED_VALUE"""),5557.0)</f>
        <v>5557</v>
      </c>
      <c r="G44" s="20">
        <f>IFERROR(__xludf.DUMMYFUNCTION("""COMPUTED_VALUE"""),2429.0)</f>
        <v>2429</v>
      </c>
      <c r="H44" s="20" t="str">
        <f>IFERROR(__xludf.DUMMYFUNCTION("""COMPUTED_VALUE"""),"Algorithms")</f>
        <v>Algorithms</v>
      </c>
      <c r="I44" s="20">
        <f>IFERROR(__xludf.DUMMYFUNCTION("""COMPUTED_VALUE"""),0.389)</f>
        <v>0.389</v>
      </c>
      <c r="J44" s="20">
        <f>IFERROR(__xludf.DUMMYFUNCTION("""COMPUTED_VALUE"""),43.0)</f>
        <v>43</v>
      </c>
      <c r="K44" s="20" t="b">
        <f>IFERROR(__xludf.DUMMYFUNCTION("""COMPUTED_VALUE"""),FALSE)</f>
        <v>0</v>
      </c>
      <c r="L44" s="20" t="str">
        <f>IFERROR(__xludf.DUMMYFUNCTION("""COMPUTED_VALUE"""),"Math;String;Simulation;")</f>
        <v>Math;String;Simulation;</v>
      </c>
      <c r="M44" s="20" t="b">
        <f>IFERROR(__xludf.DUMMYFUNCTION("""COMPUTED_VALUE"""),TRUE)</f>
        <v>1</v>
      </c>
      <c r="N44" s="20" t="b">
        <f>IFERROR(__xludf.DUMMYFUNCTION("""COMPUTED_VALUE"""),FALSE)</f>
        <v>0</v>
      </c>
      <c r="O44" s="20">
        <f>IFERROR(__xludf.DUMMYFUNCTION("""COMPUTED_VALUE"""),38.9015639772433)</f>
        <v>38.90156398</v>
      </c>
      <c r="P44" s="20">
        <f>IFERROR(__xludf.DUMMYFUNCTION("""COMPUTED_VALUE"""),611438.0)</f>
        <v>611438</v>
      </c>
      <c r="Q44" s="20">
        <f>IFERROR(__xludf.DUMMYFUNCTION("""COMPUTED_VALUE"""),1571758.0)</f>
        <v>1571758</v>
      </c>
    </row>
    <row r="45">
      <c r="A45" s="20">
        <f>IFERROR(__xludf.DUMMYFUNCTION("""COMPUTED_VALUE"""),44.0)</f>
        <v>44</v>
      </c>
      <c r="B45" s="20" t="str">
        <f>IFERROR(__xludf.DUMMYFUNCTION("""COMPUTED_VALUE"""),"Wildcard Matching")</f>
        <v>Wildcard Matching</v>
      </c>
      <c r="C45" s="20" t="str">
        <f>IFERROR(__xludf.DUMMYFUNCTION("""COMPUTED_VALUE"""),"wildcard-matching")</f>
        <v>wildcard-matching</v>
      </c>
      <c r="D45" s="20" t="b">
        <f>IFERROR(__xludf.DUMMYFUNCTION("""COMPUTED_VALUE"""),FALSE)</f>
        <v>0</v>
      </c>
      <c r="E45" s="20" t="str">
        <f>IFERROR(__xludf.DUMMYFUNCTION("""COMPUTED_VALUE"""),"Hard")</f>
        <v>Hard</v>
      </c>
      <c r="F45" s="20">
        <f>IFERROR(__xludf.DUMMYFUNCTION("""COMPUTED_VALUE"""),6248.0)</f>
        <v>6248</v>
      </c>
      <c r="G45" s="20">
        <f>IFERROR(__xludf.DUMMYFUNCTION("""COMPUTED_VALUE"""),265.0)</f>
        <v>265</v>
      </c>
      <c r="H45" s="20" t="str">
        <f>IFERROR(__xludf.DUMMYFUNCTION("""COMPUTED_VALUE"""),"Algorithms")</f>
        <v>Algorithms</v>
      </c>
      <c r="I45" s="20">
        <f>IFERROR(__xludf.DUMMYFUNCTION("""COMPUTED_VALUE"""),0.268)</f>
        <v>0.268</v>
      </c>
      <c r="J45" s="20">
        <f>IFERROR(__xludf.DUMMYFUNCTION("""COMPUTED_VALUE"""),44.0)</f>
        <v>44</v>
      </c>
      <c r="K45" s="20" t="b">
        <f>IFERROR(__xludf.DUMMYFUNCTION("""COMPUTED_VALUE"""),FALSE)</f>
        <v>0</v>
      </c>
      <c r="L45" s="20" t="str">
        <f>IFERROR(__xludf.DUMMYFUNCTION("""COMPUTED_VALUE"""),"String;Dynamic Programming;Greedy;Recursion;")</f>
        <v>String;Dynamic Programming;Greedy;Recursion;</v>
      </c>
      <c r="M45" s="20" t="b">
        <f>IFERROR(__xludf.DUMMYFUNCTION("""COMPUTED_VALUE"""),TRUE)</f>
        <v>1</v>
      </c>
      <c r="N45" s="20" t="b">
        <f>IFERROR(__xludf.DUMMYFUNCTION("""COMPUTED_VALUE"""),FALSE)</f>
        <v>0</v>
      </c>
      <c r="O45" s="20">
        <f>IFERROR(__xludf.DUMMYFUNCTION("""COMPUTED_VALUE"""),26.8498230237653)</f>
        <v>26.84982302</v>
      </c>
      <c r="P45" s="20">
        <f>IFERROR(__xludf.DUMMYFUNCTION("""COMPUTED_VALUE"""),444446.0)</f>
        <v>444446</v>
      </c>
      <c r="Q45" s="20">
        <f>IFERROR(__xludf.DUMMYFUNCTION("""COMPUTED_VALUE"""),1655305.0)</f>
        <v>1655305</v>
      </c>
    </row>
    <row r="46">
      <c r="A46" s="20">
        <f>IFERROR(__xludf.DUMMYFUNCTION("""COMPUTED_VALUE"""),45.0)</f>
        <v>45</v>
      </c>
      <c r="B46" s="20" t="str">
        <f>IFERROR(__xludf.DUMMYFUNCTION("""COMPUTED_VALUE"""),"Jump Game II")</f>
        <v>Jump Game II</v>
      </c>
      <c r="C46" s="20" t="str">
        <f>IFERROR(__xludf.DUMMYFUNCTION("""COMPUTED_VALUE"""),"jump-game-ii")</f>
        <v>jump-game-ii</v>
      </c>
      <c r="D46" s="20" t="b">
        <f>IFERROR(__xludf.DUMMYFUNCTION("""COMPUTED_VALUE"""),FALSE)</f>
        <v>0</v>
      </c>
      <c r="E46" s="20" t="str">
        <f>IFERROR(__xludf.DUMMYFUNCTION("""COMPUTED_VALUE"""),"Medium")</f>
        <v>Medium</v>
      </c>
      <c r="F46" s="20">
        <f>IFERROR(__xludf.DUMMYFUNCTION("""COMPUTED_VALUE"""),10307.0)</f>
        <v>10307</v>
      </c>
      <c r="G46" s="20">
        <f>IFERROR(__xludf.DUMMYFUNCTION("""COMPUTED_VALUE"""),362.0)</f>
        <v>362</v>
      </c>
      <c r="H46" s="20" t="str">
        <f>IFERROR(__xludf.DUMMYFUNCTION("""COMPUTED_VALUE"""),"Algorithms")</f>
        <v>Algorithms</v>
      </c>
      <c r="I46" s="20">
        <f>IFERROR(__xludf.DUMMYFUNCTION("""COMPUTED_VALUE"""),0.387)</f>
        <v>0.387</v>
      </c>
      <c r="J46" s="20">
        <f>IFERROR(__xludf.DUMMYFUNCTION("""COMPUTED_VALUE"""),45.0)</f>
        <v>45</v>
      </c>
      <c r="K46" s="20" t="b">
        <f>IFERROR(__xludf.DUMMYFUNCTION("""COMPUTED_VALUE"""),FALSE)</f>
        <v>0</v>
      </c>
      <c r="L46" s="20" t="str">
        <f>IFERROR(__xludf.DUMMYFUNCTION("""COMPUTED_VALUE"""),"Array;Dynamic Programming;Greedy;")</f>
        <v>Array;Dynamic Programming;Greedy;</v>
      </c>
      <c r="M46" s="20" t="b">
        <f>IFERROR(__xludf.DUMMYFUNCTION("""COMPUTED_VALUE"""),FALSE)</f>
        <v>0</v>
      </c>
      <c r="N46" s="20" t="b">
        <f>IFERROR(__xludf.DUMMYFUNCTION("""COMPUTED_VALUE"""),FALSE)</f>
        <v>0</v>
      </c>
      <c r="O46" s="20">
        <f>IFERROR(__xludf.DUMMYFUNCTION("""COMPUTED_VALUE"""),38.7042744650584)</f>
        <v>38.70427447</v>
      </c>
      <c r="P46" s="20">
        <f>IFERROR(__xludf.DUMMYFUNCTION("""COMPUTED_VALUE"""),756094.0)</f>
        <v>756094</v>
      </c>
      <c r="Q46" s="20">
        <f>IFERROR(__xludf.DUMMYFUNCTION("""COMPUTED_VALUE"""),1953517.0)</f>
        <v>1953517</v>
      </c>
    </row>
    <row r="47">
      <c r="A47" s="20">
        <f>IFERROR(__xludf.DUMMYFUNCTION("""COMPUTED_VALUE"""),46.0)</f>
        <v>46</v>
      </c>
      <c r="B47" s="20" t="str">
        <f>IFERROR(__xludf.DUMMYFUNCTION("""COMPUTED_VALUE"""),"Permutations")</f>
        <v>Permutations</v>
      </c>
      <c r="C47" s="20" t="str">
        <f>IFERROR(__xludf.DUMMYFUNCTION("""COMPUTED_VALUE"""),"permutations")</f>
        <v>permutations</v>
      </c>
      <c r="D47" s="20" t="b">
        <f>IFERROR(__xludf.DUMMYFUNCTION("""COMPUTED_VALUE"""),FALSE)</f>
        <v>0</v>
      </c>
      <c r="E47" s="20" t="str">
        <f>IFERROR(__xludf.DUMMYFUNCTION("""COMPUTED_VALUE"""),"Medium")</f>
        <v>Medium</v>
      </c>
      <c r="F47" s="20">
        <f>IFERROR(__xludf.DUMMYFUNCTION("""COMPUTED_VALUE"""),14059.0)</f>
        <v>14059</v>
      </c>
      <c r="G47" s="20">
        <f>IFERROR(__xludf.DUMMYFUNCTION("""COMPUTED_VALUE"""),237.0)</f>
        <v>237</v>
      </c>
      <c r="H47" s="20" t="str">
        <f>IFERROR(__xludf.DUMMYFUNCTION("""COMPUTED_VALUE"""),"Algorithms")</f>
        <v>Algorithms</v>
      </c>
      <c r="I47" s="20">
        <f>IFERROR(__xludf.DUMMYFUNCTION("""COMPUTED_VALUE"""),0.751)</f>
        <v>0.751</v>
      </c>
      <c r="J47" s="20">
        <f>IFERROR(__xludf.DUMMYFUNCTION("""COMPUTED_VALUE"""),46.0)</f>
        <v>46</v>
      </c>
      <c r="K47" s="20" t="b">
        <f>IFERROR(__xludf.DUMMYFUNCTION("""COMPUTED_VALUE"""),FALSE)</f>
        <v>0</v>
      </c>
      <c r="L47" s="20" t="str">
        <f>IFERROR(__xludf.DUMMYFUNCTION("""COMPUTED_VALUE"""),"Array;Backtracking;")</f>
        <v>Array;Backtracking;</v>
      </c>
      <c r="M47" s="20" t="b">
        <f>IFERROR(__xludf.DUMMYFUNCTION("""COMPUTED_VALUE"""),TRUE)</f>
        <v>1</v>
      </c>
      <c r="N47" s="20" t="b">
        <f>IFERROR(__xludf.DUMMYFUNCTION("""COMPUTED_VALUE"""),FALSE)</f>
        <v>0</v>
      </c>
      <c r="O47" s="20">
        <f>IFERROR(__xludf.DUMMYFUNCTION("""COMPUTED_VALUE"""),75.0528238444135)</f>
        <v>75.05282384</v>
      </c>
      <c r="P47" s="20">
        <f>IFERROR(__xludf.DUMMYFUNCTION("""COMPUTED_VALUE"""),1446378.0)</f>
        <v>1446378</v>
      </c>
      <c r="Q47" s="20">
        <f>IFERROR(__xludf.DUMMYFUNCTION("""COMPUTED_VALUE"""),1927150.0)</f>
        <v>1927150</v>
      </c>
    </row>
    <row r="48">
      <c r="A48" s="20">
        <f>IFERROR(__xludf.DUMMYFUNCTION("""COMPUTED_VALUE"""),47.0)</f>
        <v>47</v>
      </c>
      <c r="B48" s="20" t="str">
        <f>IFERROR(__xludf.DUMMYFUNCTION("""COMPUTED_VALUE"""),"Permutations II")</f>
        <v>Permutations II</v>
      </c>
      <c r="C48" s="20" t="str">
        <f>IFERROR(__xludf.DUMMYFUNCTION("""COMPUTED_VALUE"""),"permutations-ii")</f>
        <v>permutations-ii</v>
      </c>
      <c r="D48" s="20" t="b">
        <f>IFERROR(__xludf.DUMMYFUNCTION("""COMPUTED_VALUE"""),FALSE)</f>
        <v>0</v>
      </c>
      <c r="E48" s="20" t="str">
        <f>IFERROR(__xludf.DUMMYFUNCTION("""COMPUTED_VALUE"""),"Medium")</f>
        <v>Medium</v>
      </c>
      <c r="F48" s="20">
        <f>IFERROR(__xludf.DUMMYFUNCTION("""COMPUTED_VALUE"""),6858.0)</f>
        <v>6858</v>
      </c>
      <c r="G48" s="20">
        <f>IFERROR(__xludf.DUMMYFUNCTION("""COMPUTED_VALUE"""),122.0)</f>
        <v>122</v>
      </c>
      <c r="H48" s="20" t="str">
        <f>IFERROR(__xludf.DUMMYFUNCTION("""COMPUTED_VALUE"""),"Algorithms")</f>
        <v>Algorithms</v>
      </c>
      <c r="I48" s="20">
        <f>IFERROR(__xludf.DUMMYFUNCTION("""COMPUTED_VALUE"""),0.569)</f>
        <v>0.569</v>
      </c>
      <c r="J48" s="20">
        <f>IFERROR(__xludf.DUMMYFUNCTION("""COMPUTED_VALUE"""),47.0)</f>
        <v>47</v>
      </c>
      <c r="K48" s="20" t="b">
        <f>IFERROR(__xludf.DUMMYFUNCTION("""COMPUTED_VALUE"""),FALSE)</f>
        <v>0</v>
      </c>
      <c r="L48" s="20" t="str">
        <f>IFERROR(__xludf.DUMMYFUNCTION("""COMPUTED_VALUE"""),"Array;Backtracking;")</f>
        <v>Array;Backtracking;</v>
      </c>
      <c r="M48" s="20" t="b">
        <f>IFERROR(__xludf.DUMMYFUNCTION("""COMPUTED_VALUE"""),TRUE)</f>
        <v>1</v>
      </c>
      <c r="N48" s="20" t="b">
        <f>IFERROR(__xludf.DUMMYFUNCTION("""COMPUTED_VALUE"""),FALSE)</f>
        <v>0</v>
      </c>
      <c r="O48" s="20">
        <f>IFERROR(__xludf.DUMMYFUNCTION("""COMPUTED_VALUE"""),56.9327417934599)</f>
        <v>56.93274179</v>
      </c>
      <c r="P48" s="20">
        <f>IFERROR(__xludf.DUMMYFUNCTION("""COMPUTED_VALUE"""),740956.0)</f>
        <v>740956</v>
      </c>
      <c r="Q48" s="20">
        <f>IFERROR(__xludf.DUMMYFUNCTION("""COMPUTED_VALUE"""),1301460.0)</f>
        <v>1301460</v>
      </c>
    </row>
    <row r="49">
      <c r="A49" s="20">
        <f>IFERROR(__xludf.DUMMYFUNCTION("""COMPUTED_VALUE"""),48.0)</f>
        <v>48</v>
      </c>
      <c r="B49" s="20" t="str">
        <f>IFERROR(__xludf.DUMMYFUNCTION("""COMPUTED_VALUE"""),"Rotate Image")</f>
        <v>Rotate Image</v>
      </c>
      <c r="C49" s="20" t="str">
        <f>IFERROR(__xludf.DUMMYFUNCTION("""COMPUTED_VALUE"""),"rotate-image")</f>
        <v>rotate-image</v>
      </c>
      <c r="D49" s="20" t="b">
        <f>IFERROR(__xludf.DUMMYFUNCTION("""COMPUTED_VALUE"""),FALSE)</f>
        <v>0</v>
      </c>
      <c r="E49" s="20" t="str">
        <f>IFERROR(__xludf.DUMMYFUNCTION("""COMPUTED_VALUE"""),"Medium")</f>
        <v>Medium</v>
      </c>
      <c r="F49" s="20">
        <f>IFERROR(__xludf.DUMMYFUNCTION("""COMPUTED_VALUE"""),13228.0)</f>
        <v>13228</v>
      </c>
      <c r="G49" s="20">
        <f>IFERROR(__xludf.DUMMYFUNCTION("""COMPUTED_VALUE"""),609.0)</f>
        <v>609</v>
      </c>
      <c r="H49" s="20" t="str">
        <f>IFERROR(__xludf.DUMMYFUNCTION("""COMPUTED_VALUE"""),"Algorithms")</f>
        <v>Algorithms</v>
      </c>
      <c r="I49" s="20">
        <f>IFERROR(__xludf.DUMMYFUNCTION("""COMPUTED_VALUE"""),0.703)</f>
        <v>0.703</v>
      </c>
      <c r="J49" s="20">
        <f>IFERROR(__xludf.DUMMYFUNCTION("""COMPUTED_VALUE"""),48.0)</f>
        <v>48</v>
      </c>
      <c r="K49" s="20" t="b">
        <f>IFERROR(__xludf.DUMMYFUNCTION("""COMPUTED_VALUE"""),FALSE)</f>
        <v>0</v>
      </c>
      <c r="L49" s="20" t="str">
        <f>IFERROR(__xludf.DUMMYFUNCTION("""COMPUTED_VALUE"""),"Array;Math;Matrix;")</f>
        <v>Array;Math;Matrix;</v>
      </c>
      <c r="M49" s="20" t="b">
        <f>IFERROR(__xludf.DUMMYFUNCTION("""COMPUTED_VALUE"""),TRUE)</f>
        <v>1</v>
      </c>
      <c r="N49" s="20" t="b">
        <f>IFERROR(__xludf.DUMMYFUNCTION("""COMPUTED_VALUE"""),FALSE)</f>
        <v>0</v>
      </c>
      <c r="O49" s="20">
        <f>IFERROR(__xludf.DUMMYFUNCTION("""COMPUTED_VALUE"""),70.2942901397013)</f>
        <v>70.29429014</v>
      </c>
      <c r="P49" s="20">
        <f>IFERROR(__xludf.DUMMYFUNCTION("""COMPUTED_VALUE"""),1168615.0)</f>
        <v>1168615</v>
      </c>
      <c r="Q49" s="20">
        <f>IFERROR(__xludf.DUMMYFUNCTION("""COMPUTED_VALUE"""),1662464.0)</f>
        <v>1662464</v>
      </c>
    </row>
    <row r="50">
      <c r="A50" s="20">
        <f>IFERROR(__xludf.DUMMYFUNCTION("""COMPUTED_VALUE"""),49.0)</f>
        <v>49</v>
      </c>
      <c r="B50" s="20" t="str">
        <f>IFERROR(__xludf.DUMMYFUNCTION("""COMPUTED_VALUE"""),"Group Anagrams")</f>
        <v>Group Anagrams</v>
      </c>
      <c r="C50" s="20" t="str">
        <f>IFERROR(__xludf.DUMMYFUNCTION("""COMPUTED_VALUE"""),"group-anagrams")</f>
        <v>group-anagrams</v>
      </c>
      <c r="D50" s="20" t="b">
        <f>IFERROR(__xludf.DUMMYFUNCTION("""COMPUTED_VALUE"""),FALSE)</f>
        <v>0</v>
      </c>
      <c r="E50" s="20" t="str">
        <f>IFERROR(__xludf.DUMMYFUNCTION("""COMPUTED_VALUE"""),"Medium")</f>
        <v>Medium</v>
      </c>
      <c r="F50" s="20">
        <f>IFERROR(__xludf.DUMMYFUNCTION("""COMPUTED_VALUE"""),13612.0)</f>
        <v>13612</v>
      </c>
      <c r="G50" s="20">
        <f>IFERROR(__xludf.DUMMYFUNCTION("""COMPUTED_VALUE"""),403.0)</f>
        <v>403</v>
      </c>
      <c r="H50" s="20" t="str">
        <f>IFERROR(__xludf.DUMMYFUNCTION("""COMPUTED_VALUE"""),"Algorithms")</f>
        <v>Algorithms</v>
      </c>
      <c r="I50" s="20">
        <f>IFERROR(__xludf.DUMMYFUNCTION("""COMPUTED_VALUE"""),0.666)</f>
        <v>0.666</v>
      </c>
      <c r="J50" s="20">
        <f>IFERROR(__xludf.DUMMYFUNCTION("""COMPUTED_VALUE"""),49.0)</f>
        <v>49</v>
      </c>
      <c r="K50" s="20" t="b">
        <f>IFERROR(__xludf.DUMMYFUNCTION("""COMPUTED_VALUE"""),FALSE)</f>
        <v>0</v>
      </c>
      <c r="L50" s="20" t="str">
        <f>IFERROR(__xludf.DUMMYFUNCTION("""COMPUTED_VALUE"""),"Array;Hash Table;String;Sorting;")</f>
        <v>Array;Hash Table;String;Sorting;</v>
      </c>
      <c r="M50" s="20" t="b">
        <f>IFERROR(__xludf.DUMMYFUNCTION("""COMPUTED_VALUE"""),TRUE)</f>
        <v>1</v>
      </c>
      <c r="N50" s="20" t="b">
        <f>IFERROR(__xludf.DUMMYFUNCTION("""COMPUTED_VALUE"""),TRUE)</f>
        <v>1</v>
      </c>
      <c r="O50" s="20">
        <f>IFERROR(__xludf.DUMMYFUNCTION("""COMPUTED_VALUE"""),66.5738609827874)</f>
        <v>66.57386098</v>
      </c>
      <c r="P50" s="20">
        <f>IFERROR(__xludf.DUMMYFUNCTION("""COMPUTED_VALUE"""),1774697.0)</f>
        <v>1774697</v>
      </c>
      <c r="Q50" s="20">
        <f>IFERROR(__xludf.DUMMYFUNCTION("""COMPUTED_VALUE"""),2665760.0)</f>
        <v>2665760</v>
      </c>
    </row>
    <row r="51">
      <c r="A51" s="20">
        <f>IFERROR(__xludf.DUMMYFUNCTION("""COMPUTED_VALUE"""),50.0)</f>
        <v>50</v>
      </c>
      <c r="B51" s="20" t="str">
        <f>IFERROR(__xludf.DUMMYFUNCTION("""COMPUTED_VALUE"""),"Pow(x, n)")</f>
        <v>Pow(x, n)</v>
      </c>
      <c r="C51" s="20" t="str">
        <f>IFERROR(__xludf.DUMMYFUNCTION("""COMPUTED_VALUE"""),"powx-n")</f>
        <v>powx-n</v>
      </c>
      <c r="D51" s="20" t="b">
        <f>IFERROR(__xludf.DUMMYFUNCTION("""COMPUTED_VALUE"""),FALSE)</f>
        <v>0</v>
      </c>
      <c r="E51" s="20" t="str">
        <f>IFERROR(__xludf.DUMMYFUNCTION("""COMPUTED_VALUE"""),"Medium")</f>
        <v>Medium</v>
      </c>
      <c r="F51" s="20">
        <f>IFERROR(__xludf.DUMMYFUNCTION("""COMPUTED_VALUE"""),6322.0)</f>
        <v>6322</v>
      </c>
      <c r="G51" s="20">
        <f>IFERROR(__xludf.DUMMYFUNCTION("""COMPUTED_VALUE"""),6733.0)</f>
        <v>6733</v>
      </c>
      <c r="H51" s="20" t="str">
        <f>IFERROR(__xludf.DUMMYFUNCTION("""COMPUTED_VALUE"""),"Algorithms")</f>
        <v>Algorithms</v>
      </c>
      <c r="I51" s="20">
        <f>IFERROR(__xludf.DUMMYFUNCTION("""COMPUTED_VALUE"""),0.329)</f>
        <v>0.329</v>
      </c>
      <c r="J51" s="20">
        <f>IFERROR(__xludf.DUMMYFUNCTION("""COMPUTED_VALUE"""),50.0)</f>
        <v>50</v>
      </c>
      <c r="K51" s="20" t="b">
        <f>IFERROR(__xludf.DUMMYFUNCTION("""COMPUTED_VALUE"""),FALSE)</f>
        <v>0</v>
      </c>
      <c r="L51" s="20" t="str">
        <f>IFERROR(__xludf.DUMMYFUNCTION("""COMPUTED_VALUE"""),"Math;Recursion;")</f>
        <v>Math;Recursion;</v>
      </c>
      <c r="M51" s="20" t="b">
        <f>IFERROR(__xludf.DUMMYFUNCTION("""COMPUTED_VALUE"""),TRUE)</f>
        <v>1</v>
      </c>
      <c r="N51" s="20" t="b">
        <f>IFERROR(__xludf.DUMMYFUNCTION("""COMPUTED_VALUE"""),FALSE)</f>
        <v>0</v>
      </c>
      <c r="O51" s="20">
        <f>IFERROR(__xludf.DUMMYFUNCTION("""COMPUTED_VALUE"""),32.8564830950771)</f>
        <v>32.8564831</v>
      </c>
      <c r="P51" s="20">
        <f>IFERROR(__xludf.DUMMYFUNCTION("""COMPUTED_VALUE"""),1102006.0)</f>
        <v>1102006</v>
      </c>
      <c r="Q51" s="20">
        <f>IFERROR(__xludf.DUMMYFUNCTION("""COMPUTED_VALUE"""),3353988.0)</f>
        <v>3353988</v>
      </c>
    </row>
    <row r="52">
      <c r="A52" s="20">
        <f>IFERROR(__xludf.DUMMYFUNCTION("""COMPUTED_VALUE"""),51.0)</f>
        <v>51</v>
      </c>
      <c r="B52" s="20" t="str">
        <f>IFERROR(__xludf.DUMMYFUNCTION("""COMPUTED_VALUE"""),"N-Queens")</f>
        <v>N-Queens</v>
      </c>
      <c r="C52" s="20" t="str">
        <f>IFERROR(__xludf.DUMMYFUNCTION("""COMPUTED_VALUE"""),"n-queens")</f>
        <v>n-queens</v>
      </c>
      <c r="D52" s="20" t="b">
        <f>IFERROR(__xludf.DUMMYFUNCTION("""COMPUTED_VALUE"""),FALSE)</f>
        <v>0</v>
      </c>
      <c r="E52" s="20" t="str">
        <f>IFERROR(__xludf.DUMMYFUNCTION("""COMPUTED_VALUE"""),"Hard")</f>
        <v>Hard</v>
      </c>
      <c r="F52" s="20">
        <f>IFERROR(__xludf.DUMMYFUNCTION("""COMPUTED_VALUE"""),8979.0)</f>
        <v>8979</v>
      </c>
      <c r="G52" s="20">
        <f>IFERROR(__xludf.DUMMYFUNCTION("""COMPUTED_VALUE"""),199.0)</f>
        <v>199</v>
      </c>
      <c r="H52" s="20" t="str">
        <f>IFERROR(__xludf.DUMMYFUNCTION("""COMPUTED_VALUE"""),"Algorithms")</f>
        <v>Algorithms</v>
      </c>
      <c r="I52" s="20">
        <f>IFERROR(__xludf.DUMMYFUNCTION("""COMPUTED_VALUE"""),0.634)</f>
        <v>0.634</v>
      </c>
      <c r="J52" s="20">
        <f>IFERROR(__xludf.DUMMYFUNCTION("""COMPUTED_VALUE"""),51.0)</f>
        <v>51</v>
      </c>
      <c r="K52" s="20" t="b">
        <f>IFERROR(__xludf.DUMMYFUNCTION("""COMPUTED_VALUE"""),FALSE)</f>
        <v>0</v>
      </c>
      <c r="L52" s="20" t="str">
        <f>IFERROR(__xludf.DUMMYFUNCTION("""COMPUTED_VALUE"""),"Array;Backtracking;")</f>
        <v>Array;Backtracking;</v>
      </c>
      <c r="M52" s="20" t="b">
        <f>IFERROR(__xludf.DUMMYFUNCTION("""COMPUTED_VALUE"""),TRUE)</f>
        <v>1</v>
      </c>
      <c r="N52" s="20" t="b">
        <f>IFERROR(__xludf.DUMMYFUNCTION("""COMPUTED_VALUE"""),FALSE)</f>
        <v>0</v>
      </c>
      <c r="O52" s="20">
        <f>IFERROR(__xludf.DUMMYFUNCTION("""COMPUTED_VALUE"""),63.3613351496216)</f>
        <v>63.36133515</v>
      </c>
      <c r="P52" s="20">
        <f>IFERROR(__xludf.DUMMYFUNCTION("""COMPUTED_VALUE"""),499081.0)</f>
        <v>499081</v>
      </c>
      <c r="Q52" s="20">
        <f>IFERROR(__xludf.DUMMYFUNCTION("""COMPUTED_VALUE"""),787679.0)</f>
        <v>787679</v>
      </c>
    </row>
    <row r="53">
      <c r="A53" s="20">
        <f>IFERROR(__xludf.DUMMYFUNCTION("""COMPUTED_VALUE"""),52.0)</f>
        <v>52</v>
      </c>
      <c r="B53" s="20" t="str">
        <f>IFERROR(__xludf.DUMMYFUNCTION("""COMPUTED_VALUE"""),"N-Queens II")</f>
        <v>N-Queens II</v>
      </c>
      <c r="C53" s="20" t="str">
        <f>IFERROR(__xludf.DUMMYFUNCTION("""COMPUTED_VALUE"""),"n-queens-ii")</f>
        <v>n-queens-ii</v>
      </c>
      <c r="D53" s="20" t="b">
        <f>IFERROR(__xludf.DUMMYFUNCTION("""COMPUTED_VALUE"""),FALSE)</f>
        <v>0</v>
      </c>
      <c r="E53" s="20" t="str">
        <f>IFERROR(__xludf.DUMMYFUNCTION("""COMPUTED_VALUE"""),"Hard")</f>
        <v>Hard</v>
      </c>
      <c r="F53" s="20">
        <f>IFERROR(__xludf.DUMMYFUNCTION("""COMPUTED_VALUE"""),2965.0)</f>
        <v>2965</v>
      </c>
      <c r="G53" s="20">
        <f>IFERROR(__xludf.DUMMYFUNCTION("""COMPUTED_VALUE"""),236.0)</f>
        <v>236</v>
      </c>
      <c r="H53" s="20" t="str">
        <f>IFERROR(__xludf.DUMMYFUNCTION("""COMPUTED_VALUE"""),"Algorithms")</f>
        <v>Algorithms</v>
      </c>
      <c r="I53" s="20">
        <f>IFERROR(__xludf.DUMMYFUNCTION("""COMPUTED_VALUE"""),0.711)</f>
        <v>0.711</v>
      </c>
      <c r="J53" s="20">
        <f>IFERROR(__xludf.DUMMYFUNCTION("""COMPUTED_VALUE"""),52.0)</f>
        <v>52</v>
      </c>
      <c r="K53" s="20" t="b">
        <f>IFERROR(__xludf.DUMMYFUNCTION("""COMPUTED_VALUE"""),FALSE)</f>
        <v>0</v>
      </c>
      <c r="L53" s="20" t="str">
        <f>IFERROR(__xludf.DUMMYFUNCTION("""COMPUTED_VALUE"""),"Backtracking;")</f>
        <v>Backtracking;</v>
      </c>
      <c r="M53" s="20" t="b">
        <f>IFERROR(__xludf.DUMMYFUNCTION("""COMPUTED_VALUE"""),TRUE)</f>
        <v>1</v>
      </c>
      <c r="N53" s="20" t="b">
        <f>IFERROR(__xludf.DUMMYFUNCTION("""COMPUTED_VALUE"""),FALSE)</f>
        <v>0</v>
      </c>
      <c r="O53" s="20">
        <f>IFERROR(__xludf.DUMMYFUNCTION("""COMPUTED_VALUE"""),71.1373625571309)</f>
        <v>71.13736256</v>
      </c>
      <c r="P53" s="20">
        <f>IFERROR(__xludf.DUMMYFUNCTION("""COMPUTED_VALUE"""),292301.0)</f>
        <v>292301</v>
      </c>
      <c r="Q53" s="20">
        <f>IFERROR(__xludf.DUMMYFUNCTION("""COMPUTED_VALUE"""),410897.0)</f>
        <v>410897</v>
      </c>
    </row>
    <row r="54">
      <c r="A54" s="20">
        <f>IFERROR(__xludf.DUMMYFUNCTION("""COMPUTED_VALUE"""),53.0)</f>
        <v>53</v>
      </c>
      <c r="B54" s="20" t="str">
        <f>IFERROR(__xludf.DUMMYFUNCTION("""COMPUTED_VALUE"""),"Maximum Subarray")</f>
        <v>Maximum Subarray</v>
      </c>
      <c r="C54" s="20" t="str">
        <f>IFERROR(__xludf.DUMMYFUNCTION("""COMPUTED_VALUE"""),"maximum-subarray")</f>
        <v>maximum-subarray</v>
      </c>
      <c r="D54" s="20" t="b">
        <f>IFERROR(__xludf.DUMMYFUNCTION("""COMPUTED_VALUE"""),FALSE)</f>
        <v>0</v>
      </c>
      <c r="E54" s="20" t="str">
        <f>IFERROR(__xludf.DUMMYFUNCTION("""COMPUTED_VALUE"""),"Medium")</f>
        <v>Medium</v>
      </c>
      <c r="F54" s="20">
        <f>IFERROR(__xludf.DUMMYFUNCTION("""COMPUTED_VALUE"""),27001.0)</f>
        <v>27001</v>
      </c>
      <c r="G54" s="20">
        <f>IFERROR(__xludf.DUMMYFUNCTION("""COMPUTED_VALUE"""),1207.0)</f>
        <v>1207</v>
      </c>
      <c r="H54" s="20" t="str">
        <f>IFERROR(__xludf.DUMMYFUNCTION("""COMPUTED_VALUE"""),"Algorithms")</f>
        <v>Algorithms</v>
      </c>
      <c r="I54" s="20">
        <f>IFERROR(__xludf.DUMMYFUNCTION("""COMPUTED_VALUE"""),0.501)</f>
        <v>0.501</v>
      </c>
      <c r="J54" s="20">
        <f>IFERROR(__xludf.DUMMYFUNCTION("""COMPUTED_VALUE"""),53.0)</f>
        <v>53</v>
      </c>
      <c r="K54" s="20" t="b">
        <f>IFERROR(__xludf.DUMMYFUNCTION("""COMPUTED_VALUE"""),FALSE)</f>
        <v>0</v>
      </c>
      <c r="L54" s="20" t="str">
        <f>IFERROR(__xludf.DUMMYFUNCTION("""COMPUTED_VALUE"""),"Array;Divide and Conquer;Dynamic Programming;")</f>
        <v>Array;Divide and Conquer;Dynamic Programming;</v>
      </c>
      <c r="M54" s="20" t="b">
        <f>IFERROR(__xludf.DUMMYFUNCTION("""COMPUTED_VALUE"""),TRUE)</f>
        <v>1</v>
      </c>
      <c r="N54" s="20" t="b">
        <f>IFERROR(__xludf.DUMMYFUNCTION("""COMPUTED_VALUE"""),FALSE)</f>
        <v>0</v>
      </c>
      <c r="O54" s="20">
        <f>IFERROR(__xludf.DUMMYFUNCTION("""COMPUTED_VALUE"""),50.1032247224243)</f>
        <v>50.10322472</v>
      </c>
      <c r="P54" s="20">
        <f>IFERROR(__xludf.DUMMYFUNCTION("""COMPUTED_VALUE"""),2910317.0)</f>
        <v>2910317</v>
      </c>
      <c r="Q54" s="20">
        <f>IFERROR(__xludf.DUMMYFUNCTION("""COMPUTED_VALUE"""),5808635.0)</f>
        <v>5808635</v>
      </c>
    </row>
    <row r="55">
      <c r="A55" s="20">
        <f>IFERROR(__xludf.DUMMYFUNCTION("""COMPUTED_VALUE"""),54.0)</f>
        <v>54</v>
      </c>
      <c r="B55" s="20" t="str">
        <f>IFERROR(__xludf.DUMMYFUNCTION("""COMPUTED_VALUE"""),"Spiral Matrix")</f>
        <v>Spiral Matrix</v>
      </c>
      <c r="C55" s="20" t="str">
        <f>IFERROR(__xludf.DUMMYFUNCTION("""COMPUTED_VALUE"""),"spiral-matrix")</f>
        <v>spiral-matrix</v>
      </c>
      <c r="D55" s="20" t="b">
        <f>IFERROR(__xludf.DUMMYFUNCTION("""COMPUTED_VALUE"""),FALSE)</f>
        <v>0</v>
      </c>
      <c r="E55" s="20" t="str">
        <f>IFERROR(__xludf.DUMMYFUNCTION("""COMPUTED_VALUE"""),"Medium")</f>
        <v>Medium</v>
      </c>
      <c r="F55" s="20">
        <f>IFERROR(__xludf.DUMMYFUNCTION("""COMPUTED_VALUE"""),9910.0)</f>
        <v>9910</v>
      </c>
      <c r="G55" s="20">
        <f>IFERROR(__xludf.DUMMYFUNCTION("""COMPUTED_VALUE"""),969.0)</f>
        <v>969</v>
      </c>
      <c r="H55" s="20" t="str">
        <f>IFERROR(__xludf.DUMMYFUNCTION("""COMPUTED_VALUE"""),"Algorithms")</f>
        <v>Algorithms</v>
      </c>
      <c r="I55" s="20">
        <f>IFERROR(__xludf.DUMMYFUNCTION("""COMPUTED_VALUE"""),0.441)</f>
        <v>0.441</v>
      </c>
      <c r="J55" s="20">
        <f>IFERROR(__xludf.DUMMYFUNCTION("""COMPUTED_VALUE"""),54.0)</f>
        <v>54</v>
      </c>
      <c r="K55" s="20" t="b">
        <f>IFERROR(__xludf.DUMMYFUNCTION("""COMPUTED_VALUE"""),FALSE)</f>
        <v>0</v>
      </c>
      <c r="L55" s="20" t="str">
        <f>IFERROR(__xludf.DUMMYFUNCTION("""COMPUTED_VALUE"""),"Array;Matrix;Simulation;")</f>
        <v>Array;Matrix;Simulation;</v>
      </c>
      <c r="M55" s="20" t="b">
        <f>IFERROR(__xludf.DUMMYFUNCTION("""COMPUTED_VALUE"""),TRUE)</f>
        <v>1</v>
      </c>
      <c r="N55" s="20" t="b">
        <f>IFERROR(__xludf.DUMMYFUNCTION("""COMPUTED_VALUE"""),FALSE)</f>
        <v>0</v>
      </c>
      <c r="O55" s="20">
        <f>IFERROR(__xludf.DUMMYFUNCTION("""COMPUTED_VALUE"""),44.096286603928)</f>
        <v>44.0962866</v>
      </c>
      <c r="P55" s="20">
        <f>IFERROR(__xludf.DUMMYFUNCTION("""COMPUTED_VALUE"""),925751.0)</f>
        <v>925751</v>
      </c>
      <c r="Q55" s="20">
        <f>IFERROR(__xludf.DUMMYFUNCTION("""COMPUTED_VALUE"""),2099384.0)</f>
        <v>2099384</v>
      </c>
    </row>
    <row r="56">
      <c r="A56" s="20">
        <f>IFERROR(__xludf.DUMMYFUNCTION("""COMPUTED_VALUE"""),55.0)</f>
        <v>55</v>
      </c>
      <c r="B56" s="20" t="str">
        <f>IFERROR(__xludf.DUMMYFUNCTION("""COMPUTED_VALUE"""),"Jump Game")</f>
        <v>Jump Game</v>
      </c>
      <c r="C56" s="20" t="str">
        <f>IFERROR(__xludf.DUMMYFUNCTION("""COMPUTED_VALUE"""),"jump-game")</f>
        <v>jump-game</v>
      </c>
      <c r="D56" s="20" t="b">
        <f>IFERROR(__xludf.DUMMYFUNCTION("""COMPUTED_VALUE"""),FALSE)</f>
        <v>0</v>
      </c>
      <c r="E56" s="20" t="str">
        <f>IFERROR(__xludf.DUMMYFUNCTION("""COMPUTED_VALUE"""),"Medium")</f>
        <v>Medium</v>
      </c>
      <c r="F56" s="20">
        <f>IFERROR(__xludf.DUMMYFUNCTION("""COMPUTED_VALUE"""),14005.0)</f>
        <v>14005</v>
      </c>
      <c r="G56" s="20">
        <f>IFERROR(__xludf.DUMMYFUNCTION("""COMPUTED_VALUE"""),740.0)</f>
        <v>740</v>
      </c>
      <c r="H56" s="20" t="str">
        <f>IFERROR(__xludf.DUMMYFUNCTION("""COMPUTED_VALUE"""),"Algorithms")</f>
        <v>Algorithms</v>
      </c>
      <c r="I56" s="20">
        <f>IFERROR(__xludf.DUMMYFUNCTION("""COMPUTED_VALUE"""),0.385)</f>
        <v>0.385</v>
      </c>
      <c r="J56" s="20">
        <f>IFERROR(__xludf.DUMMYFUNCTION("""COMPUTED_VALUE"""),55.0)</f>
        <v>55</v>
      </c>
      <c r="K56" s="20" t="b">
        <f>IFERROR(__xludf.DUMMYFUNCTION("""COMPUTED_VALUE"""),FALSE)</f>
        <v>0</v>
      </c>
      <c r="L56" s="20" t="str">
        <f>IFERROR(__xludf.DUMMYFUNCTION("""COMPUTED_VALUE"""),"Array;Dynamic Programming;Greedy;")</f>
        <v>Array;Dynamic Programming;Greedy;</v>
      </c>
      <c r="M56" s="20" t="b">
        <f>IFERROR(__xludf.DUMMYFUNCTION("""COMPUTED_VALUE"""),TRUE)</f>
        <v>1</v>
      </c>
      <c r="N56" s="20" t="b">
        <f>IFERROR(__xludf.DUMMYFUNCTION("""COMPUTED_VALUE"""),FALSE)</f>
        <v>0</v>
      </c>
      <c r="O56" s="20">
        <f>IFERROR(__xludf.DUMMYFUNCTION("""COMPUTED_VALUE"""),38.4765992648493)</f>
        <v>38.47659926</v>
      </c>
      <c r="P56" s="20">
        <f>IFERROR(__xludf.DUMMYFUNCTION("""COMPUTED_VALUE"""),1232560.0)</f>
        <v>1232560</v>
      </c>
      <c r="Q56" s="20">
        <f>IFERROR(__xludf.DUMMYFUNCTION("""COMPUTED_VALUE"""),3203404.0)</f>
        <v>3203404</v>
      </c>
    </row>
    <row r="57">
      <c r="A57" s="20">
        <f>IFERROR(__xludf.DUMMYFUNCTION("""COMPUTED_VALUE"""),56.0)</f>
        <v>56</v>
      </c>
      <c r="B57" s="20" t="str">
        <f>IFERROR(__xludf.DUMMYFUNCTION("""COMPUTED_VALUE"""),"Merge Intervals")</f>
        <v>Merge Intervals</v>
      </c>
      <c r="C57" s="20" t="str">
        <f>IFERROR(__xludf.DUMMYFUNCTION("""COMPUTED_VALUE"""),"merge-intervals")</f>
        <v>merge-intervals</v>
      </c>
      <c r="D57" s="20" t="b">
        <f>IFERROR(__xludf.DUMMYFUNCTION("""COMPUTED_VALUE"""),FALSE)</f>
        <v>0</v>
      </c>
      <c r="E57" s="20" t="str">
        <f>IFERROR(__xludf.DUMMYFUNCTION("""COMPUTED_VALUE"""),"Medium")</f>
        <v>Medium</v>
      </c>
      <c r="F57" s="20">
        <f>IFERROR(__xludf.DUMMYFUNCTION("""COMPUTED_VALUE"""),17379.0)</f>
        <v>17379</v>
      </c>
      <c r="G57" s="20">
        <f>IFERROR(__xludf.DUMMYFUNCTION("""COMPUTED_VALUE"""),610.0)</f>
        <v>610</v>
      </c>
      <c r="H57" s="20" t="str">
        <f>IFERROR(__xludf.DUMMYFUNCTION("""COMPUTED_VALUE"""),"Algorithms")</f>
        <v>Algorithms</v>
      </c>
      <c r="I57" s="20">
        <f>IFERROR(__xludf.DUMMYFUNCTION("""COMPUTED_VALUE"""),0.46)</f>
        <v>0.46</v>
      </c>
      <c r="J57" s="20">
        <f>IFERROR(__xludf.DUMMYFUNCTION("""COMPUTED_VALUE"""),56.0)</f>
        <v>56</v>
      </c>
      <c r="K57" s="20" t="b">
        <f>IFERROR(__xludf.DUMMYFUNCTION("""COMPUTED_VALUE"""),FALSE)</f>
        <v>0</v>
      </c>
      <c r="L57" s="20" t="str">
        <f>IFERROR(__xludf.DUMMYFUNCTION("""COMPUTED_VALUE"""),"Array;Sorting;")</f>
        <v>Array;Sorting;</v>
      </c>
      <c r="M57" s="20" t="b">
        <f>IFERROR(__xludf.DUMMYFUNCTION("""COMPUTED_VALUE"""),TRUE)</f>
        <v>1</v>
      </c>
      <c r="N57" s="20" t="b">
        <f>IFERROR(__xludf.DUMMYFUNCTION("""COMPUTED_VALUE"""),TRUE)</f>
        <v>1</v>
      </c>
      <c r="O57" s="20">
        <f>IFERROR(__xludf.DUMMYFUNCTION("""COMPUTED_VALUE"""),46.031848493072)</f>
        <v>46.03184849</v>
      </c>
      <c r="P57" s="20">
        <f>IFERROR(__xludf.DUMMYFUNCTION("""COMPUTED_VALUE"""),1747119.0)</f>
        <v>1747119</v>
      </c>
      <c r="Q57" s="20">
        <f>IFERROR(__xludf.DUMMYFUNCTION("""COMPUTED_VALUE"""),3795454.0)</f>
        <v>3795454</v>
      </c>
    </row>
    <row r="58">
      <c r="A58" s="20">
        <f>IFERROR(__xludf.DUMMYFUNCTION("""COMPUTED_VALUE"""),57.0)</f>
        <v>57</v>
      </c>
      <c r="B58" s="20" t="str">
        <f>IFERROR(__xludf.DUMMYFUNCTION("""COMPUTED_VALUE"""),"Insert Interval")</f>
        <v>Insert Interval</v>
      </c>
      <c r="C58" s="20" t="str">
        <f>IFERROR(__xludf.DUMMYFUNCTION("""COMPUTED_VALUE"""),"insert-interval")</f>
        <v>insert-interval</v>
      </c>
      <c r="D58" s="20" t="b">
        <f>IFERROR(__xludf.DUMMYFUNCTION("""COMPUTED_VALUE"""),FALSE)</f>
        <v>0</v>
      </c>
      <c r="E58" s="20" t="str">
        <f>IFERROR(__xludf.DUMMYFUNCTION("""COMPUTED_VALUE"""),"Medium")</f>
        <v>Medium</v>
      </c>
      <c r="F58" s="20">
        <f>IFERROR(__xludf.DUMMYFUNCTION("""COMPUTED_VALUE"""),6454.0)</f>
        <v>6454</v>
      </c>
      <c r="G58" s="20">
        <f>IFERROR(__xludf.DUMMYFUNCTION("""COMPUTED_VALUE"""),459.0)</f>
        <v>459</v>
      </c>
      <c r="H58" s="20" t="str">
        <f>IFERROR(__xludf.DUMMYFUNCTION("""COMPUTED_VALUE"""),"Algorithms")</f>
        <v>Algorithms</v>
      </c>
      <c r="I58" s="20">
        <f>IFERROR(__xludf.DUMMYFUNCTION("""COMPUTED_VALUE"""),0.38)</f>
        <v>0.38</v>
      </c>
      <c r="J58" s="20">
        <f>IFERROR(__xludf.DUMMYFUNCTION("""COMPUTED_VALUE"""),57.0)</f>
        <v>57</v>
      </c>
      <c r="K58" s="20" t="b">
        <f>IFERROR(__xludf.DUMMYFUNCTION("""COMPUTED_VALUE"""),FALSE)</f>
        <v>0</v>
      </c>
      <c r="L58" s="20" t="str">
        <f>IFERROR(__xludf.DUMMYFUNCTION("""COMPUTED_VALUE"""),"Array;")</f>
        <v>Array;</v>
      </c>
      <c r="M58" s="20" t="b">
        <f>IFERROR(__xludf.DUMMYFUNCTION("""COMPUTED_VALUE"""),TRUE)</f>
        <v>1</v>
      </c>
      <c r="N58" s="20" t="b">
        <f>IFERROR(__xludf.DUMMYFUNCTION("""COMPUTED_VALUE"""),FALSE)</f>
        <v>0</v>
      </c>
      <c r="O58" s="20">
        <f>IFERROR(__xludf.DUMMYFUNCTION("""COMPUTED_VALUE"""),38.0243638402433)</f>
        <v>38.02436384</v>
      </c>
      <c r="P58" s="20">
        <f>IFERROR(__xludf.DUMMYFUNCTION("""COMPUTED_VALUE"""),646996.0)</f>
        <v>646996</v>
      </c>
      <c r="Q58" s="20">
        <f>IFERROR(__xludf.DUMMYFUNCTION("""COMPUTED_VALUE"""),1701533.0)</f>
        <v>1701533</v>
      </c>
    </row>
    <row r="59">
      <c r="A59" s="20">
        <f>IFERROR(__xludf.DUMMYFUNCTION("""COMPUTED_VALUE"""),58.0)</f>
        <v>58</v>
      </c>
      <c r="B59" s="20" t="str">
        <f>IFERROR(__xludf.DUMMYFUNCTION("""COMPUTED_VALUE"""),"Length of Last Word")</f>
        <v>Length of Last Word</v>
      </c>
      <c r="C59" s="20" t="str">
        <f>IFERROR(__xludf.DUMMYFUNCTION("""COMPUTED_VALUE"""),"length-of-last-word")</f>
        <v>length-of-last-word</v>
      </c>
      <c r="D59" s="20" t="b">
        <f>IFERROR(__xludf.DUMMYFUNCTION("""COMPUTED_VALUE"""),FALSE)</f>
        <v>0</v>
      </c>
      <c r="E59" s="20" t="str">
        <f>IFERROR(__xludf.DUMMYFUNCTION("""COMPUTED_VALUE"""),"Easy")</f>
        <v>Easy</v>
      </c>
      <c r="F59" s="20">
        <f>IFERROR(__xludf.DUMMYFUNCTION("""COMPUTED_VALUE"""),2349.0)</f>
        <v>2349</v>
      </c>
      <c r="G59" s="20">
        <f>IFERROR(__xludf.DUMMYFUNCTION("""COMPUTED_VALUE"""),137.0)</f>
        <v>137</v>
      </c>
      <c r="H59" s="20" t="str">
        <f>IFERROR(__xludf.DUMMYFUNCTION("""COMPUTED_VALUE"""),"Algorithms")</f>
        <v>Algorithms</v>
      </c>
      <c r="I59" s="20">
        <f>IFERROR(__xludf.DUMMYFUNCTION("""COMPUTED_VALUE"""),0.413)</f>
        <v>0.413</v>
      </c>
      <c r="J59" s="20">
        <f>IFERROR(__xludf.DUMMYFUNCTION("""COMPUTED_VALUE"""),58.0)</f>
        <v>58</v>
      </c>
      <c r="K59" s="20" t="b">
        <f>IFERROR(__xludf.DUMMYFUNCTION("""COMPUTED_VALUE"""),FALSE)</f>
        <v>0</v>
      </c>
      <c r="L59" s="20" t="str">
        <f>IFERROR(__xludf.DUMMYFUNCTION("""COMPUTED_VALUE"""),"String;")</f>
        <v>String;</v>
      </c>
      <c r="M59" s="20" t="b">
        <f>IFERROR(__xludf.DUMMYFUNCTION("""COMPUTED_VALUE"""),TRUE)</f>
        <v>1</v>
      </c>
      <c r="N59" s="20" t="b">
        <f>IFERROR(__xludf.DUMMYFUNCTION("""COMPUTED_VALUE"""),FALSE)</f>
        <v>0</v>
      </c>
      <c r="O59" s="20">
        <f>IFERROR(__xludf.DUMMYFUNCTION("""COMPUTED_VALUE"""),41.3335885981706)</f>
        <v>41.3335886</v>
      </c>
      <c r="P59" s="20">
        <f>IFERROR(__xludf.DUMMYFUNCTION("""COMPUTED_VALUE"""),971537.0)</f>
        <v>971537</v>
      </c>
      <c r="Q59" s="20">
        <f>IFERROR(__xludf.DUMMYFUNCTION("""COMPUTED_VALUE"""),2350481.0)</f>
        <v>2350481</v>
      </c>
    </row>
    <row r="60">
      <c r="A60" s="20">
        <f>IFERROR(__xludf.DUMMYFUNCTION("""COMPUTED_VALUE"""),59.0)</f>
        <v>59</v>
      </c>
      <c r="B60" s="20" t="str">
        <f>IFERROR(__xludf.DUMMYFUNCTION("""COMPUTED_VALUE"""),"Spiral Matrix II")</f>
        <v>Spiral Matrix II</v>
      </c>
      <c r="C60" s="20" t="str">
        <f>IFERROR(__xludf.DUMMYFUNCTION("""COMPUTED_VALUE"""),"spiral-matrix-ii")</f>
        <v>spiral-matrix-ii</v>
      </c>
      <c r="D60" s="20" t="b">
        <f>IFERROR(__xludf.DUMMYFUNCTION("""COMPUTED_VALUE"""),FALSE)</f>
        <v>0</v>
      </c>
      <c r="E60" s="20" t="str">
        <f>IFERROR(__xludf.DUMMYFUNCTION("""COMPUTED_VALUE"""),"Medium")</f>
        <v>Medium</v>
      </c>
      <c r="F60" s="20">
        <f>IFERROR(__xludf.DUMMYFUNCTION("""COMPUTED_VALUE"""),4464.0)</f>
        <v>4464</v>
      </c>
      <c r="G60" s="20">
        <f>IFERROR(__xludf.DUMMYFUNCTION("""COMPUTED_VALUE"""),201.0)</f>
        <v>201</v>
      </c>
      <c r="H60" s="20" t="str">
        <f>IFERROR(__xludf.DUMMYFUNCTION("""COMPUTED_VALUE"""),"Algorithms")</f>
        <v>Algorithms</v>
      </c>
      <c r="I60" s="20">
        <f>IFERROR(__xludf.DUMMYFUNCTION("""COMPUTED_VALUE"""),0.669)</f>
        <v>0.669</v>
      </c>
      <c r="J60" s="20">
        <f>IFERROR(__xludf.DUMMYFUNCTION("""COMPUTED_VALUE"""),59.0)</f>
        <v>59</v>
      </c>
      <c r="K60" s="20" t="b">
        <f>IFERROR(__xludf.DUMMYFUNCTION("""COMPUTED_VALUE"""),FALSE)</f>
        <v>0</v>
      </c>
      <c r="L60" s="20" t="str">
        <f>IFERROR(__xludf.DUMMYFUNCTION("""COMPUTED_VALUE"""),"Array;Matrix;Simulation;")</f>
        <v>Array;Matrix;Simulation;</v>
      </c>
      <c r="M60" s="20" t="b">
        <f>IFERROR(__xludf.DUMMYFUNCTION("""COMPUTED_VALUE"""),TRUE)</f>
        <v>1</v>
      </c>
      <c r="N60" s="20" t="b">
        <f>IFERROR(__xludf.DUMMYFUNCTION("""COMPUTED_VALUE"""),FALSE)</f>
        <v>0</v>
      </c>
      <c r="O60" s="20">
        <f>IFERROR(__xludf.DUMMYFUNCTION("""COMPUTED_VALUE"""),66.8527305318312)</f>
        <v>66.85273053</v>
      </c>
      <c r="P60" s="20">
        <f>IFERROR(__xludf.DUMMYFUNCTION("""COMPUTED_VALUE"""),412117.0)</f>
        <v>412117</v>
      </c>
      <c r="Q60" s="20">
        <f>IFERROR(__xludf.DUMMYFUNCTION("""COMPUTED_VALUE"""),616455.0)</f>
        <v>616455</v>
      </c>
    </row>
    <row r="61">
      <c r="A61" s="20">
        <f>IFERROR(__xludf.DUMMYFUNCTION("""COMPUTED_VALUE"""),60.0)</f>
        <v>60</v>
      </c>
      <c r="B61" s="20" t="str">
        <f>IFERROR(__xludf.DUMMYFUNCTION("""COMPUTED_VALUE"""),"Permutation Sequence")</f>
        <v>Permutation Sequence</v>
      </c>
      <c r="C61" s="20" t="str">
        <f>IFERROR(__xludf.DUMMYFUNCTION("""COMPUTED_VALUE"""),"permutation-sequence")</f>
        <v>permutation-sequence</v>
      </c>
      <c r="D61" s="20" t="b">
        <f>IFERROR(__xludf.DUMMYFUNCTION("""COMPUTED_VALUE"""),FALSE)</f>
        <v>0</v>
      </c>
      <c r="E61" s="20" t="str">
        <f>IFERROR(__xludf.DUMMYFUNCTION("""COMPUTED_VALUE"""),"Hard")</f>
        <v>Hard</v>
      </c>
      <c r="F61" s="20">
        <f>IFERROR(__xludf.DUMMYFUNCTION("""COMPUTED_VALUE"""),5123.0)</f>
        <v>5123</v>
      </c>
      <c r="G61" s="20">
        <f>IFERROR(__xludf.DUMMYFUNCTION("""COMPUTED_VALUE"""),427.0)</f>
        <v>427</v>
      </c>
      <c r="H61" s="20" t="str">
        <f>IFERROR(__xludf.DUMMYFUNCTION("""COMPUTED_VALUE"""),"Algorithms")</f>
        <v>Algorithms</v>
      </c>
      <c r="I61" s="20">
        <f>IFERROR(__xludf.DUMMYFUNCTION("""COMPUTED_VALUE"""),0.44)</f>
        <v>0.44</v>
      </c>
      <c r="J61" s="20">
        <f>IFERROR(__xludf.DUMMYFUNCTION("""COMPUTED_VALUE"""),60.0)</f>
        <v>60</v>
      </c>
      <c r="K61" s="20" t="b">
        <f>IFERROR(__xludf.DUMMYFUNCTION("""COMPUTED_VALUE"""),FALSE)</f>
        <v>0</v>
      </c>
      <c r="L61" s="20" t="str">
        <f>IFERROR(__xludf.DUMMYFUNCTION("""COMPUTED_VALUE"""),"Math;Recursion;")</f>
        <v>Math;Recursion;</v>
      </c>
      <c r="M61" s="20" t="b">
        <f>IFERROR(__xludf.DUMMYFUNCTION("""COMPUTED_VALUE"""),TRUE)</f>
        <v>1</v>
      </c>
      <c r="N61" s="20" t="b">
        <f>IFERROR(__xludf.DUMMYFUNCTION("""COMPUTED_VALUE"""),FALSE)</f>
        <v>0</v>
      </c>
      <c r="O61" s="20">
        <f>IFERROR(__xludf.DUMMYFUNCTION("""COMPUTED_VALUE"""),43.9585398905116)</f>
        <v>43.95853989</v>
      </c>
      <c r="P61" s="20">
        <f>IFERROR(__xludf.DUMMYFUNCTION("""COMPUTED_VALUE"""),309468.0)</f>
        <v>309468</v>
      </c>
      <c r="Q61" s="20">
        <f>IFERROR(__xludf.DUMMYFUNCTION("""COMPUTED_VALUE"""),704001.0)</f>
        <v>704001</v>
      </c>
    </row>
    <row r="62">
      <c r="A62" s="20">
        <f>IFERROR(__xludf.DUMMYFUNCTION("""COMPUTED_VALUE"""),61.0)</f>
        <v>61</v>
      </c>
      <c r="B62" s="20" t="str">
        <f>IFERROR(__xludf.DUMMYFUNCTION("""COMPUTED_VALUE"""),"Rotate List")</f>
        <v>Rotate List</v>
      </c>
      <c r="C62" s="20" t="str">
        <f>IFERROR(__xludf.DUMMYFUNCTION("""COMPUTED_VALUE"""),"rotate-list")</f>
        <v>rotate-list</v>
      </c>
      <c r="D62" s="20" t="b">
        <f>IFERROR(__xludf.DUMMYFUNCTION("""COMPUTED_VALUE"""),FALSE)</f>
        <v>0</v>
      </c>
      <c r="E62" s="20" t="str">
        <f>IFERROR(__xludf.DUMMYFUNCTION("""COMPUTED_VALUE"""),"Medium")</f>
        <v>Medium</v>
      </c>
      <c r="F62" s="20">
        <f>IFERROR(__xludf.DUMMYFUNCTION("""COMPUTED_VALUE"""),6932.0)</f>
        <v>6932</v>
      </c>
      <c r="G62" s="20">
        <f>IFERROR(__xludf.DUMMYFUNCTION("""COMPUTED_VALUE"""),1327.0)</f>
        <v>1327</v>
      </c>
      <c r="H62" s="20" t="str">
        <f>IFERROR(__xludf.DUMMYFUNCTION("""COMPUTED_VALUE"""),"Algorithms")</f>
        <v>Algorithms</v>
      </c>
      <c r="I62" s="20">
        <f>IFERROR(__xludf.DUMMYFUNCTION("""COMPUTED_VALUE"""),0.359)</f>
        <v>0.359</v>
      </c>
      <c r="J62" s="20">
        <f>IFERROR(__xludf.DUMMYFUNCTION("""COMPUTED_VALUE"""),61.0)</f>
        <v>61</v>
      </c>
      <c r="K62" s="20" t="b">
        <f>IFERROR(__xludf.DUMMYFUNCTION("""COMPUTED_VALUE"""),FALSE)</f>
        <v>0</v>
      </c>
      <c r="L62" s="20" t="str">
        <f>IFERROR(__xludf.DUMMYFUNCTION("""COMPUTED_VALUE"""),"Linked List;Two Pointers;")</f>
        <v>Linked List;Two Pointers;</v>
      </c>
      <c r="M62" s="20" t="b">
        <f>IFERROR(__xludf.DUMMYFUNCTION("""COMPUTED_VALUE"""),TRUE)</f>
        <v>1</v>
      </c>
      <c r="N62" s="20" t="b">
        <f>IFERROR(__xludf.DUMMYFUNCTION("""COMPUTED_VALUE"""),FALSE)</f>
        <v>0</v>
      </c>
      <c r="O62" s="20">
        <f>IFERROR(__xludf.DUMMYFUNCTION("""COMPUTED_VALUE"""),35.8897630867709)</f>
        <v>35.88976309</v>
      </c>
      <c r="P62" s="20">
        <f>IFERROR(__xludf.DUMMYFUNCTION("""COMPUTED_VALUE"""),669001.0)</f>
        <v>669001</v>
      </c>
      <c r="Q62" s="20">
        <f>IFERROR(__xludf.DUMMYFUNCTION("""COMPUTED_VALUE"""),1864052.0)</f>
        <v>1864052</v>
      </c>
    </row>
    <row r="63">
      <c r="A63" s="20">
        <f>IFERROR(__xludf.DUMMYFUNCTION("""COMPUTED_VALUE"""),62.0)</f>
        <v>62</v>
      </c>
      <c r="B63" s="20" t="str">
        <f>IFERROR(__xludf.DUMMYFUNCTION("""COMPUTED_VALUE"""),"Unique Paths")</f>
        <v>Unique Paths</v>
      </c>
      <c r="C63" s="20" t="str">
        <f>IFERROR(__xludf.DUMMYFUNCTION("""COMPUTED_VALUE"""),"unique-paths")</f>
        <v>unique-paths</v>
      </c>
      <c r="D63" s="20" t="b">
        <f>IFERROR(__xludf.DUMMYFUNCTION("""COMPUTED_VALUE"""),FALSE)</f>
        <v>0</v>
      </c>
      <c r="E63" s="20" t="str">
        <f>IFERROR(__xludf.DUMMYFUNCTION("""COMPUTED_VALUE"""),"Medium")</f>
        <v>Medium</v>
      </c>
      <c r="F63" s="20">
        <f>IFERROR(__xludf.DUMMYFUNCTION("""COMPUTED_VALUE"""),12544.0)</f>
        <v>12544</v>
      </c>
      <c r="G63" s="20">
        <f>IFERROR(__xludf.DUMMYFUNCTION("""COMPUTED_VALUE"""),365.0)</f>
        <v>365</v>
      </c>
      <c r="H63" s="20" t="str">
        <f>IFERROR(__xludf.DUMMYFUNCTION("""COMPUTED_VALUE"""),"Algorithms")</f>
        <v>Algorithms</v>
      </c>
      <c r="I63" s="20">
        <f>IFERROR(__xludf.DUMMYFUNCTION("""COMPUTED_VALUE"""),0.624)</f>
        <v>0.624</v>
      </c>
      <c r="J63" s="20">
        <f>IFERROR(__xludf.DUMMYFUNCTION("""COMPUTED_VALUE"""),62.0)</f>
        <v>62</v>
      </c>
      <c r="K63" s="20" t="b">
        <f>IFERROR(__xludf.DUMMYFUNCTION("""COMPUTED_VALUE"""),FALSE)</f>
        <v>0</v>
      </c>
      <c r="L63" s="20" t="str">
        <f>IFERROR(__xludf.DUMMYFUNCTION("""COMPUTED_VALUE"""),"Math;Dynamic Programming;Combinatorics;")</f>
        <v>Math;Dynamic Programming;Combinatorics;</v>
      </c>
      <c r="M63" s="20" t="b">
        <f>IFERROR(__xludf.DUMMYFUNCTION("""COMPUTED_VALUE"""),TRUE)</f>
        <v>1</v>
      </c>
      <c r="N63" s="20" t="b">
        <f>IFERROR(__xludf.DUMMYFUNCTION("""COMPUTED_VALUE"""),FALSE)</f>
        <v>0</v>
      </c>
      <c r="O63" s="20">
        <f>IFERROR(__xludf.DUMMYFUNCTION("""COMPUTED_VALUE"""),62.4403996581283)</f>
        <v>62.44039966</v>
      </c>
      <c r="P63" s="20">
        <f>IFERROR(__xludf.DUMMYFUNCTION("""COMPUTED_VALUE"""),1257306.0)</f>
        <v>1257306</v>
      </c>
      <c r="Q63" s="20">
        <f>IFERROR(__xludf.DUMMYFUNCTION("""COMPUTED_VALUE"""),2013610.0)</f>
        <v>2013610</v>
      </c>
    </row>
    <row r="64">
      <c r="A64" s="20">
        <f>IFERROR(__xludf.DUMMYFUNCTION("""COMPUTED_VALUE"""),63.0)</f>
        <v>63</v>
      </c>
      <c r="B64" s="20" t="str">
        <f>IFERROR(__xludf.DUMMYFUNCTION("""COMPUTED_VALUE"""),"Unique Paths II")</f>
        <v>Unique Paths II</v>
      </c>
      <c r="C64" s="20" t="str">
        <f>IFERROR(__xludf.DUMMYFUNCTION("""COMPUTED_VALUE"""),"unique-paths-ii")</f>
        <v>unique-paths-ii</v>
      </c>
      <c r="D64" s="20" t="b">
        <f>IFERROR(__xludf.DUMMYFUNCTION("""COMPUTED_VALUE"""),FALSE)</f>
        <v>0</v>
      </c>
      <c r="E64" s="20" t="str">
        <f>IFERROR(__xludf.DUMMYFUNCTION("""COMPUTED_VALUE"""),"Medium")</f>
        <v>Medium</v>
      </c>
      <c r="F64" s="20">
        <f>IFERROR(__xludf.DUMMYFUNCTION("""COMPUTED_VALUE"""),6348.0)</f>
        <v>6348</v>
      </c>
      <c r="G64" s="20">
        <f>IFERROR(__xludf.DUMMYFUNCTION("""COMPUTED_VALUE"""),423.0)</f>
        <v>423</v>
      </c>
      <c r="H64" s="20" t="str">
        <f>IFERROR(__xludf.DUMMYFUNCTION("""COMPUTED_VALUE"""),"Algorithms")</f>
        <v>Algorithms</v>
      </c>
      <c r="I64" s="20">
        <f>IFERROR(__xludf.DUMMYFUNCTION("""COMPUTED_VALUE"""),0.392)</f>
        <v>0.392</v>
      </c>
      <c r="J64" s="20">
        <f>IFERROR(__xludf.DUMMYFUNCTION("""COMPUTED_VALUE"""),63.0)</f>
        <v>63</v>
      </c>
      <c r="K64" s="20" t="b">
        <f>IFERROR(__xludf.DUMMYFUNCTION("""COMPUTED_VALUE"""),FALSE)</f>
        <v>0</v>
      </c>
      <c r="L64" s="20" t="str">
        <f>IFERROR(__xludf.DUMMYFUNCTION("""COMPUTED_VALUE"""),"Array;Dynamic Programming;Matrix;")</f>
        <v>Array;Dynamic Programming;Matrix;</v>
      </c>
      <c r="M64" s="20" t="b">
        <f>IFERROR(__xludf.DUMMYFUNCTION("""COMPUTED_VALUE"""),TRUE)</f>
        <v>1</v>
      </c>
      <c r="N64" s="20" t="b">
        <f>IFERROR(__xludf.DUMMYFUNCTION("""COMPUTED_VALUE"""),FALSE)</f>
        <v>0</v>
      </c>
      <c r="O64" s="20">
        <f>IFERROR(__xludf.DUMMYFUNCTION("""COMPUTED_VALUE"""),39.2099459905673)</f>
        <v>39.20994599</v>
      </c>
      <c r="P64" s="20">
        <f>IFERROR(__xludf.DUMMYFUNCTION("""COMPUTED_VALUE"""),634578.0)</f>
        <v>634578</v>
      </c>
      <c r="Q64" s="20">
        <f>IFERROR(__xludf.DUMMYFUNCTION("""COMPUTED_VALUE"""),1618414.0)</f>
        <v>1618414</v>
      </c>
    </row>
    <row r="65">
      <c r="A65" s="20">
        <f>IFERROR(__xludf.DUMMYFUNCTION("""COMPUTED_VALUE"""),64.0)</f>
        <v>64</v>
      </c>
      <c r="B65" s="20" t="str">
        <f>IFERROR(__xludf.DUMMYFUNCTION("""COMPUTED_VALUE"""),"Minimum Path Sum")</f>
        <v>Minimum Path Sum</v>
      </c>
      <c r="C65" s="20" t="str">
        <f>IFERROR(__xludf.DUMMYFUNCTION("""COMPUTED_VALUE"""),"minimum-path-sum")</f>
        <v>minimum-path-sum</v>
      </c>
      <c r="D65" s="20" t="b">
        <f>IFERROR(__xludf.DUMMYFUNCTION("""COMPUTED_VALUE"""),FALSE)</f>
        <v>0</v>
      </c>
      <c r="E65" s="20" t="str">
        <f>IFERROR(__xludf.DUMMYFUNCTION("""COMPUTED_VALUE"""),"Medium")</f>
        <v>Medium</v>
      </c>
      <c r="F65" s="20">
        <f>IFERROR(__xludf.DUMMYFUNCTION("""COMPUTED_VALUE"""),9175.0)</f>
        <v>9175</v>
      </c>
      <c r="G65" s="20">
        <f>IFERROR(__xludf.DUMMYFUNCTION("""COMPUTED_VALUE"""),120.0)</f>
        <v>120</v>
      </c>
      <c r="H65" s="20" t="str">
        <f>IFERROR(__xludf.DUMMYFUNCTION("""COMPUTED_VALUE"""),"Algorithms")</f>
        <v>Algorithms</v>
      </c>
      <c r="I65" s="20">
        <f>IFERROR(__xludf.DUMMYFUNCTION("""COMPUTED_VALUE"""),0.608)</f>
        <v>0.608</v>
      </c>
      <c r="J65" s="20">
        <f>IFERROR(__xludf.DUMMYFUNCTION("""COMPUTED_VALUE"""),64.0)</f>
        <v>64</v>
      </c>
      <c r="K65" s="20" t="b">
        <f>IFERROR(__xludf.DUMMYFUNCTION("""COMPUTED_VALUE"""),FALSE)</f>
        <v>0</v>
      </c>
      <c r="L65" s="20" t="str">
        <f>IFERROR(__xludf.DUMMYFUNCTION("""COMPUTED_VALUE"""),"Array;Dynamic Programming;Matrix;")</f>
        <v>Array;Dynamic Programming;Matrix;</v>
      </c>
      <c r="M65" s="20" t="b">
        <f>IFERROR(__xludf.DUMMYFUNCTION("""COMPUTED_VALUE"""),TRUE)</f>
        <v>1</v>
      </c>
      <c r="N65" s="20" t="b">
        <f>IFERROR(__xludf.DUMMYFUNCTION("""COMPUTED_VALUE"""),FALSE)</f>
        <v>0</v>
      </c>
      <c r="O65" s="20">
        <f>IFERROR(__xludf.DUMMYFUNCTION("""COMPUTED_VALUE"""),60.8065323548718)</f>
        <v>60.80653235</v>
      </c>
      <c r="P65" s="20">
        <f>IFERROR(__xludf.DUMMYFUNCTION("""COMPUTED_VALUE"""),827187.0)</f>
        <v>827187</v>
      </c>
      <c r="Q65" s="20">
        <f>IFERROR(__xludf.DUMMYFUNCTION("""COMPUTED_VALUE"""),1360359.0)</f>
        <v>1360359</v>
      </c>
    </row>
    <row r="66">
      <c r="A66" s="20">
        <f>IFERROR(__xludf.DUMMYFUNCTION("""COMPUTED_VALUE"""),65.0)</f>
        <v>65</v>
      </c>
      <c r="B66" s="20" t="str">
        <f>IFERROR(__xludf.DUMMYFUNCTION("""COMPUTED_VALUE"""),"Valid Number")</f>
        <v>Valid Number</v>
      </c>
      <c r="C66" s="20" t="str">
        <f>IFERROR(__xludf.DUMMYFUNCTION("""COMPUTED_VALUE"""),"valid-number")</f>
        <v>valid-number</v>
      </c>
      <c r="D66" s="20" t="b">
        <f>IFERROR(__xludf.DUMMYFUNCTION("""COMPUTED_VALUE"""),FALSE)</f>
        <v>0</v>
      </c>
      <c r="E66" s="20" t="str">
        <f>IFERROR(__xludf.DUMMYFUNCTION("""COMPUTED_VALUE"""),"Hard")</f>
        <v>Hard</v>
      </c>
      <c r="F66" s="20">
        <f>IFERROR(__xludf.DUMMYFUNCTION("""COMPUTED_VALUE"""),820.0)</f>
        <v>820</v>
      </c>
      <c r="G66" s="20">
        <f>IFERROR(__xludf.DUMMYFUNCTION("""COMPUTED_VALUE"""),1413.0)</f>
        <v>1413</v>
      </c>
      <c r="H66" s="20" t="str">
        <f>IFERROR(__xludf.DUMMYFUNCTION("""COMPUTED_VALUE"""),"Algorithms")</f>
        <v>Algorithms</v>
      </c>
      <c r="I66" s="20">
        <f>IFERROR(__xludf.DUMMYFUNCTION("""COMPUTED_VALUE"""),0.186)</f>
        <v>0.186</v>
      </c>
      <c r="J66" s="20">
        <f>IFERROR(__xludf.DUMMYFUNCTION("""COMPUTED_VALUE"""),65.0)</f>
        <v>65</v>
      </c>
      <c r="K66" s="20" t="b">
        <f>IFERROR(__xludf.DUMMYFUNCTION("""COMPUTED_VALUE"""),FALSE)</f>
        <v>0</v>
      </c>
      <c r="L66" s="20" t="str">
        <f>IFERROR(__xludf.DUMMYFUNCTION("""COMPUTED_VALUE"""),"String;")</f>
        <v>String;</v>
      </c>
      <c r="M66" s="20" t="b">
        <f>IFERROR(__xludf.DUMMYFUNCTION("""COMPUTED_VALUE"""),TRUE)</f>
        <v>1</v>
      </c>
      <c r="N66" s="20" t="b">
        <f>IFERROR(__xludf.DUMMYFUNCTION("""COMPUTED_VALUE"""),FALSE)</f>
        <v>0</v>
      </c>
      <c r="O66" s="20">
        <f>IFERROR(__xludf.DUMMYFUNCTION("""COMPUTED_VALUE"""),18.6334534292924)</f>
        <v>18.63345343</v>
      </c>
      <c r="P66" s="20">
        <f>IFERROR(__xludf.DUMMYFUNCTION("""COMPUTED_VALUE"""),295518.0)</f>
        <v>295518</v>
      </c>
      <c r="Q66" s="20">
        <f>IFERROR(__xludf.DUMMYFUNCTION("""COMPUTED_VALUE"""),1585954.0)</f>
        <v>1585954</v>
      </c>
    </row>
    <row r="67">
      <c r="A67" s="20">
        <f>IFERROR(__xludf.DUMMYFUNCTION("""COMPUTED_VALUE"""),66.0)</f>
        <v>66</v>
      </c>
      <c r="B67" s="20" t="str">
        <f>IFERROR(__xludf.DUMMYFUNCTION("""COMPUTED_VALUE"""),"Plus One")</f>
        <v>Plus One</v>
      </c>
      <c r="C67" s="20" t="str">
        <f>IFERROR(__xludf.DUMMYFUNCTION("""COMPUTED_VALUE"""),"plus-one")</f>
        <v>plus-one</v>
      </c>
      <c r="D67" s="20" t="b">
        <f>IFERROR(__xludf.DUMMYFUNCTION("""COMPUTED_VALUE"""),FALSE)</f>
        <v>0</v>
      </c>
      <c r="E67" s="20" t="str">
        <f>IFERROR(__xludf.DUMMYFUNCTION("""COMPUTED_VALUE"""),"Easy")</f>
        <v>Easy</v>
      </c>
      <c r="F67" s="20">
        <f>IFERROR(__xludf.DUMMYFUNCTION("""COMPUTED_VALUE"""),6089.0)</f>
        <v>6089</v>
      </c>
      <c r="G67" s="20">
        <f>IFERROR(__xludf.DUMMYFUNCTION("""COMPUTED_VALUE"""),4638.0)</f>
        <v>4638</v>
      </c>
      <c r="H67" s="20" t="str">
        <f>IFERROR(__xludf.DUMMYFUNCTION("""COMPUTED_VALUE"""),"Algorithms")</f>
        <v>Algorithms</v>
      </c>
      <c r="I67" s="20">
        <f>IFERROR(__xludf.DUMMYFUNCTION("""COMPUTED_VALUE"""),0.435)</f>
        <v>0.435</v>
      </c>
      <c r="J67" s="20">
        <f>IFERROR(__xludf.DUMMYFUNCTION("""COMPUTED_VALUE"""),66.0)</f>
        <v>66</v>
      </c>
      <c r="K67" s="20" t="b">
        <f>IFERROR(__xludf.DUMMYFUNCTION("""COMPUTED_VALUE"""),FALSE)</f>
        <v>0</v>
      </c>
      <c r="L67" s="20" t="str">
        <f>IFERROR(__xludf.DUMMYFUNCTION("""COMPUTED_VALUE"""),"Array;Math;")</f>
        <v>Array;Math;</v>
      </c>
      <c r="M67" s="20" t="b">
        <f>IFERROR(__xludf.DUMMYFUNCTION("""COMPUTED_VALUE"""),TRUE)</f>
        <v>1</v>
      </c>
      <c r="N67" s="20" t="b">
        <f>IFERROR(__xludf.DUMMYFUNCTION("""COMPUTED_VALUE"""),FALSE)</f>
        <v>0</v>
      </c>
      <c r="O67" s="20">
        <f>IFERROR(__xludf.DUMMYFUNCTION("""COMPUTED_VALUE"""),43.4643459707671)</f>
        <v>43.46434597</v>
      </c>
      <c r="P67" s="20">
        <f>IFERROR(__xludf.DUMMYFUNCTION("""COMPUTED_VALUE"""),1499308.0)</f>
        <v>1499308</v>
      </c>
      <c r="Q67" s="20">
        <f>IFERROR(__xludf.DUMMYFUNCTION("""COMPUTED_VALUE"""),3449492.0)</f>
        <v>3449492</v>
      </c>
    </row>
    <row r="68">
      <c r="A68" s="20">
        <f>IFERROR(__xludf.DUMMYFUNCTION("""COMPUTED_VALUE"""),67.0)</f>
        <v>67</v>
      </c>
      <c r="B68" s="20" t="str">
        <f>IFERROR(__xludf.DUMMYFUNCTION("""COMPUTED_VALUE"""),"Add Binary")</f>
        <v>Add Binary</v>
      </c>
      <c r="C68" s="20" t="str">
        <f>IFERROR(__xludf.DUMMYFUNCTION("""COMPUTED_VALUE"""),"add-binary")</f>
        <v>add-binary</v>
      </c>
      <c r="D68" s="20" t="b">
        <f>IFERROR(__xludf.DUMMYFUNCTION("""COMPUTED_VALUE"""),FALSE)</f>
        <v>0</v>
      </c>
      <c r="E68" s="20" t="str">
        <f>IFERROR(__xludf.DUMMYFUNCTION("""COMPUTED_VALUE"""),"Easy")</f>
        <v>Easy</v>
      </c>
      <c r="F68" s="20">
        <f>IFERROR(__xludf.DUMMYFUNCTION("""COMPUTED_VALUE"""),6447.0)</f>
        <v>6447</v>
      </c>
      <c r="G68" s="20">
        <f>IFERROR(__xludf.DUMMYFUNCTION("""COMPUTED_VALUE"""),678.0)</f>
        <v>678</v>
      </c>
      <c r="H68" s="20" t="str">
        <f>IFERROR(__xludf.DUMMYFUNCTION("""COMPUTED_VALUE"""),"Algorithms")</f>
        <v>Algorithms</v>
      </c>
      <c r="I68" s="20">
        <f>IFERROR(__xludf.DUMMYFUNCTION("""COMPUTED_VALUE"""),0.514)</f>
        <v>0.514</v>
      </c>
      <c r="J68" s="20">
        <f>IFERROR(__xludf.DUMMYFUNCTION("""COMPUTED_VALUE"""),67.0)</f>
        <v>67</v>
      </c>
      <c r="K68" s="20" t="b">
        <f>IFERROR(__xludf.DUMMYFUNCTION("""COMPUTED_VALUE"""),FALSE)</f>
        <v>0</v>
      </c>
      <c r="L68" s="20" t="str">
        <f>IFERROR(__xludf.DUMMYFUNCTION("""COMPUTED_VALUE"""),"Math;String;Bit Manipulation;Simulation;")</f>
        <v>Math;String;Bit Manipulation;Simulation;</v>
      </c>
      <c r="M68" s="20" t="b">
        <f>IFERROR(__xludf.DUMMYFUNCTION("""COMPUTED_VALUE"""),TRUE)</f>
        <v>1</v>
      </c>
      <c r="N68" s="20" t="b">
        <f>IFERROR(__xludf.DUMMYFUNCTION("""COMPUTED_VALUE"""),FALSE)</f>
        <v>0</v>
      </c>
      <c r="O68" s="20">
        <f>IFERROR(__xludf.DUMMYFUNCTION("""COMPUTED_VALUE"""),51.4265972423502)</f>
        <v>51.42659724</v>
      </c>
      <c r="P68" s="20">
        <f>IFERROR(__xludf.DUMMYFUNCTION("""COMPUTED_VALUE"""),993595.0)</f>
        <v>993595</v>
      </c>
      <c r="Q68" s="20">
        <f>IFERROR(__xludf.DUMMYFUNCTION("""COMPUTED_VALUE"""),1932069.0)</f>
        <v>1932069</v>
      </c>
    </row>
    <row r="69">
      <c r="A69" s="20">
        <f>IFERROR(__xludf.DUMMYFUNCTION("""COMPUTED_VALUE"""),68.0)</f>
        <v>68</v>
      </c>
      <c r="B69" s="20" t="str">
        <f>IFERROR(__xludf.DUMMYFUNCTION("""COMPUTED_VALUE"""),"Text Justification")</f>
        <v>Text Justification</v>
      </c>
      <c r="C69" s="20" t="str">
        <f>IFERROR(__xludf.DUMMYFUNCTION("""COMPUTED_VALUE"""),"text-justification")</f>
        <v>text-justification</v>
      </c>
      <c r="D69" s="20" t="b">
        <f>IFERROR(__xludf.DUMMYFUNCTION("""COMPUTED_VALUE"""),FALSE)</f>
        <v>0</v>
      </c>
      <c r="E69" s="20" t="str">
        <f>IFERROR(__xludf.DUMMYFUNCTION("""COMPUTED_VALUE"""),"Hard")</f>
        <v>Hard</v>
      </c>
      <c r="F69" s="20">
        <f>IFERROR(__xludf.DUMMYFUNCTION("""COMPUTED_VALUE"""),2158.0)</f>
        <v>2158</v>
      </c>
      <c r="G69" s="20">
        <f>IFERROR(__xludf.DUMMYFUNCTION("""COMPUTED_VALUE"""),3355.0)</f>
        <v>3355</v>
      </c>
      <c r="H69" s="20" t="str">
        <f>IFERROR(__xludf.DUMMYFUNCTION("""COMPUTED_VALUE"""),"Algorithms")</f>
        <v>Algorithms</v>
      </c>
      <c r="I69" s="20">
        <f>IFERROR(__xludf.DUMMYFUNCTION("""COMPUTED_VALUE"""),0.37)</f>
        <v>0.37</v>
      </c>
      <c r="J69" s="20">
        <f>IFERROR(__xludf.DUMMYFUNCTION("""COMPUTED_VALUE"""),68.0)</f>
        <v>68</v>
      </c>
      <c r="K69" s="20" t="b">
        <f>IFERROR(__xludf.DUMMYFUNCTION("""COMPUTED_VALUE"""),FALSE)</f>
        <v>0</v>
      </c>
      <c r="L69" s="20" t="str">
        <f>IFERROR(__xludf.DUMMYFUNCTION("""COMPUTED_VALUE"""),"Array;String;Simulation;")</f>
        <v>Array;String;Simulation;</v>
      </c>
      <c r="M69" s="20" t="b">
        <f>IFERROR(__xludf.DUMMYFUNCTION("""COMPUTED_VALUE"""),FALSE)</f>
        <v>0</v>
      </c>
      <c r="N69" s="20" t="b">
        <f>IFERROR(__xludf.DUMMYFUNCTION("""COMPUTED_VALUE"""),FALSE)</f>
        <v>0</v>
      </c>
      <c r="O69" s="20">
        <f>IFERROR(__xludf.DUMMYFUNCTION("""COMPUTED_VALUE"""),36.9773996795644)</f>
        <v>36.97739968</v>
      </c>
      <c r="P69" s="20">
        <f>IFERROR(__xludf.DUMMYFUNCTION("""COMPUTED_VALUE"""),280877.0)</f>
        <v>280877</v>
      </c>
      <c r="Q69" s="20">
        <f>IFERROR(__xludf.DUMMYFUNCTION("""COMPUTED_VALUE"""),759591.0)</f>
        <v>759591</v>
      </c>
    </row>
    <row r="70">
      <c r="A70" s="20">
        <f>IFERROR(__xludf.DUMMYFUNCTION("""COMPUTED_VALUE"""),69.0)</f>
        <v>69</v>
      </c>
      <c r="B70" s="20" t="str">
        <f>IFERROR(__xludf.DUMMYFUNCTION("""COMPUTED_VALUE"""),"Sqrt(x)")</f>
        <v>Sqrt(x)</v>
      </c>
      <c r="C70" s="20" t="str">
        <f>IFERROR(__xludf.DUMMYFUNCTION("""COMPUTED_VALUE"""),"sqrtx")</f>
        <v>sqrtx</v>
      </c>
      <c r="D70" s="20" t="b">
        <f>IFERROR(__xludf.DUMMYFUNCTION("""COMPUTED_VALUE"""),FALSE)</f>
        <v>0</v>
      </c>
      <c r="E70" s="20" t="str">
        <f>IFERROR(__xludf.DUMMYFUNCTION("""COMPUTED_VALUE"""),"Easy")</f>
        <v>Easy</v>
      </c>
      <c r="F70" s="20">
        <f>IFERROR(__xludf.DUMMYFUNCTION("""COMPUTED_VALUE"""),5478.0)</f>
        <v>5478</v>
      </c>
      <c r="G70" s="20">
        <f>IFERROR(__xludf.DUMMYFUNCTION("""COMPUTED_VALUE"""),3756.0)</f>
        <v>3756</v>
      </c>
      <c r="H70" s="20" t="str">
        <f>IFERROR(__xludf.DUMMYFUNCTION("""COMPUTED_VALUE"""),"Algorithms")</f>
        <v>Algorithms</v>
      </c>
      <c r="I70" s="20">
        <f>IFERROR(__xludf.DUMMYFUNCTION("""COMPUTED_VALUE"""),0.371)</f>
        <v>0.371</v>
      </c>
      <c r="J70" s="20">
        <f>IFERROR(__xludf.DUMMYFUNCTION("""COMPUTED_VALUE"""),69.0)</f>
        <v>69</v>
      </c>
      <c r="K70" s="20" t="b">
        <f>IFERROR(__xludf.DUMMYFUNCTION("""COMPUTED_VALUE"""),FALSE)</f>
        <v>0</v>
      </c>
      <c r="L70" s="20" t="str">
        <f>IFERROR(__xludf.DUMMYFUNCTION("""COMPUTED_VALUE"""),"Math;Binary Search;")</f>
        <v>Math;Binary Search;</v>
      </c>
      <c r="M70" s="20" t="b">
        <f>IFERROR(__xludf.DUMMYFUNCTION("""COMPUTED_VALUE"""),TRUE)</f>
        <v>1</v>
      </c>
      <c r="N70" s="20" t="b">
        <f>IFERROR(__xludf.DUMMYFUNCTION("""COMPUTED_VALUE"""),FALSE)</f>
        <v>0</v>
      </c>
      <c r="O70" s="20">
        <f>IFERROR(__xludf.DUMMYFUNCTION("""COMPUTED_VALUE"""),37.1369919022362)</f>
        <v>37.1369919</v>
      </c>
      <c r="P70" s="20">
        <f>IFERROR(__xludf.DUMMYFUNCTION("""COMPUTED_VALUE"""),1307937.0)</f>
        <v>1307937</v>
      </c>
      <c r="Q70" s="20">
        <f>IFERROR(__xludf.DUMMYFUNCTION("""COMPUTED_VALUE"""),3521918.0)</f>
        <v>3521918</v>
      </c>
    </row>
    <row r="71">
      <c r="A71" s="20">
        <f>IFERROR(__xludf.DUMMYFUNCTION("""COMPUTED_VALUE"""),70.0)</f>
        <v>70</v>
      </c>
      <c r="B71" s="20" t="str">
        <f>IFERROR(__xludf.DUMMYFUNCTION("""COMPUTED_VALUE"""),"Climbing Stairs")</f>
        <v>Climbing Stairs</v>
      </c>
      <c r="C71" s="20" t="str">
        <f>IFERROR(__xludf.DUMMYFUNCTION("""COMPUTED_VALUE"""),"climbing-stairs")</f>
        <v>climbing-stairs</v>
      </c>
      <c r="D71" s="20" t="b">
        <f>IFERROR(__xludf.DUMMYFUNCTION("""COMPUTED_VALUE"""),FALSE)</f>
        <v>0</v>
      </c>
      <c r="E71" s="20" t="str">
        <f>IFERROR(__xludf.DUMMYFUNCTION("""COMPUTED_VALUE"""),"Easy")</f>
        <v>Easy</v>
      </c>
      <c r="F71" s="20">
        <f>IFERROR(__xludf.DUMMYFUNCTION("""COMPUTED_VALUE"""),16341.0)</f>
        <v>16341</v>
      </c>
      <c r="G71" s="20">
        <f>IFERROR(__xludf.DUMMYFUNCTION("""COMPUTED_VALUE"""),494.0)</f>
        <v>494</v>
      </c>
      <c r="H71" s="20" t="str">
        <f>IFERROR(__xludf.DUMMYFUNCTION("""COMPUTED_VALUE"""),"Algorithms")</f>
        <v>Algorithms</v>
      </c>
      <c r="I71" s="20">
        <f>IFERROR(__xludf.DUMMYFUNCTION("""COMPUTED_VALUE"""),0.521)</f>
        <v>0.521</v>
      </c>
      <c r="J71" s="20">
        <f>IFERROR(__xludf.DUMMYFUNCTION("""COMPUTED_VALUE"""),70.0)</f>
        <v>70</v>
      </c>
      <c r="K71" s="20" t="b">
        <f>IFERROR(__xludf.DUMMYFUNCTION("""COMPUTED_VALUE"""),FALSE)</f>
        <v>0</v>
      </c>
      <c r="L71" s="20" t="str">
        <f>IFERROR(__xludf.DUMMYFUNCTION("""COMPUTED_VALUE"""),"Math;Dynamic Programming;Memoization;")</f>
        <v>Math;Dynamic Programming;Memoization;</v>
      </c>
      <c r="M71" s="20" t="b">
        <f>IFERROR(__xludf.DUMMYFUNCTION("""COMPUTED_VALUE"""),TRUE)</f>
        <v>1</v>
      </c>
      <c r="N71" s="20" t="b">
        <f>IFERROR(__xludf.DUMMYFUNCTION("""COMPUTED_VALUE"""),FALSE)</f>
        <v>0</v>
      </c>
      <c r="O71" s="20">
        <f>IFERROR(__xludf.DUMMYFUNCTION("""COMPUTED_VALUE"""),52.1096581054126)</f>
        <v>52.10965811</v>
      </c>
      <c r="P71" s="20">
        <f>IFERROR(__xludf.DUMMYFUNCTION("""COMPUTED_VALUE"""),2107239.0)</f>
        <v>2107239</v>
      </c>
      <c r="Q71" s="20">
        <f>IFERROR(__xludf.DUMMYFUNCTION("""COMPUTED_VALUE"""),4043847.0)</f>
        <v>4043847</v>
      </c>
    </row>
    <row r="72">
      <c r="A72" s="20">
        <f>IFERROR(__xludf.DUMMYFUNCTION("""COMPUTED_VALUE"""),71.0)</f>
        <v>71</v>
      </c>
      <c r="B72" s="20" t="str">
        <f>IFERROR(__xludf.DUMMYFUNCTION("""COMPUTED_VALUE"""),"Simplify Path")</f>
        <v>Simplify Path</v>
      </c>
      <c r="C72" s="20" t="str">
        <f>IFERROR(__xludf.DUMMYFUNCTION("""COMPUTED_VALUE"""),"simplify-path")</f>
        <v>simplify-path</v>
      </c>
      <c r="D72" s="20" t="b">
        <f>IFERROR(__xludf.DUMMYFUNCTION("""COMPUTED_VALUE"""),FALSE)</f>
        <v>0</v>
      </c>
      <c r="E72" s="20" t="str">
        <f>IFERROR(__xludf.DUMMYFUNCTION("""COMPUTED_VALUE"""),"Medium")</f>
        <v>Medium</v>
      </c>
      <c r="F72" s="20">
        <f>IFERROR(__xludf.DUMMYFUNCTION("""COMPUTED_VALUE"""),3096.0)</f>
        <v>3096</v>
      </c>
      <c r="G72" s="20">
        <f>IFERROR(__xludf.DUMMYFUNCTION("""COMPUTED_VALUE"""),619.0)</f>
        <v>619</v>
      </c>
      <c r="H72" s="20" t="str">
        <f>IFERROR(__xludf.DUMMYFUNCTION("""COMPUTED_VALUE"""),"Algorithms")</f>
        <v>Algorithms</v>
      </c>
      <c r="I72" s="20">
        <f>IFERROR(__xludf.DUMMYFUNCTION("""COMPUTED_VALUE"""),0.392)</f>
        <v>0.392</v>
      </c>
      <c r="J72" s="20">
        <f>IFERROR(__xludf.DUMMYFUNCTION("""COMPUTED_VALUE"""),71.0)</f>
        <v>71</v>
      </c>
      <c r="K72" s="20" t="b">
        <f>IFERROR(__xludf.DUMMYFUNCTION("""COMPUTED_VALUE"""),FALSE)</f>
        <v>0</v>
      </c>
      <c r="L72" s="20" t="str">
        <f>IFERROR(__xludf.DUMMYFUNCTION("""COMPUTED_VALUE"""),"String;Stack;")</f>
        <v>String;Stack;</v>
      </c>
      <c r="M72" s="20" t="b">
        <f>IFERROR(__xludf.DUMMYFUNCTION("""COMPUTED_VALUE"""),TRUE)</f>
        <v>1</v>
      </c>
      <c r="N72" s="20" t="b">
        <f>IFERROR(__xludf.DUMMYFUNCTION("""COMPUTED_VALUE"""),FALSE)</f>
        <v>0</v>
      </c>
      <c r="O72" s="20">
        <f>IFERROR(__xludf.DUMMYFUNCTION("""COMPUTED_VALUE"""),39.2495031936382)</f>
        <v>39.24950319</v>
      </c>
      <c r="P72" s="20">
        <f>IFERROR(__xludf.DUMMYFUNCTION("""COMPUTED_VALUE"""),479549.0)</f>
        <v>479549</v>
      </c>
      <c r="Q72" s="20">
        <f>IFERROR(__xludf.DUMMYFUNCTION("""COMPUTED_VALUE"""),1221799.0)</f>
        <v>1221799</v>
      </c>
    </row>
    <row r="73">
      <c r="A73" s="20">
        <f>IFERROR(__xludf.DUMMYFUNCTION("""COMPUTED_VALUE"""),72.0)</f>
        <v>72</v>
      </c>
      <c r="B73" s="20" t="str">
        <f>IFERROR(__xludf.DUMMYFUNCTION("""COMPUTED_VALUE"""),"Edit Distance")</f>
        <v>Edit Distance</v>
      </c>
      <c r="C73" s="20" t="str">
        <f>IFERROR(__xludf.DUMMYFUNCTION("""COMPUTED_VALUE"""),"edit-distance")</f>
        <v>edit-distance</v>
      </c>
      <c r="D73" s="20" t="b">
        <f>IFERROR(__xludf.DUMMYFUNCTION("""COMPUTED_VALUE"""),FALSE)</f>
        <v>0</v>
      </c>
      <c r="E73" s="20" t="str">
        <f>IFERROR(__xludf.DUMMYFUNCTION("""COMPUTED_VALUE"""),"Hard")</f>
        <v>Hard</v>
      </c>
      <c r="F73" s="20">
        <f>IFERROR(__xludf.DUMMYFUNCTION("""COMPUTED_VALUE"""),10698.0)</f>
        <v>10698</v>
      </c>
      <c r="G73" s="20">
        <f>IFERROR(__xludf.DUMMYFUNCTION("""COMPUTED_VALUE"""),122.0)</f>
        <v>122</v>
      </c>
      <c r="H73" s="20" t="str">
        <f>IFERROR(__xludf.DUMMYFUNCTION("""COMPUTED_VALUE"""),"Algorithms")</f>
        <v>Algorithms</v>
      </c>
      <c r="I73" s="20">
        <f>IFERROR(__xludf.DUMMYFUNCTION("""COMPUTED_VALUE"""),0.529)</f>
        <v>0.529</v>
      </c>
      <c r="J73" s="20">
        <f>IFERROR(__xludf.DUMMYFUNCTION("""COMPUTED_VALUE"""),72.0)</f>
        <v>72</v>
      </c>
      <c r="K73" s="20" t="b">
        <f>IFERROR(__xludf.DUMMYFUNCTION("""COMPUTED_VALUE"""),FALSE)</f>
        <v>0</v>
      </c>
      <c r="L73" s="20" t="str">
        <f>IFERROR(__xludf.DUMMYFUNCTION("""COMPUTED_VALUE"""),"String;Dynamic Programming;")</f>
        <v>String;Dynamic Programming;</v>
      </c>
      <c r="M73" s="20" t="b">
        <f>IFERROR(__xludf.DUMMYFUNCTION("""COMPUTED_VALUE"""),TRUE)</f>
        <v>1</v>
      </c>
      <c r="N73" s="20" t="b">
        <f>IFERROR(__xludf.DUMMYFUNCTION("""COMPUTED_VALUE"""),FALSE)</f>
        <v>0</v>
      </c>
      <c r="O73" s="20">
        <f>IFERROR(__xludf.DUMMYFUNCTION("""COMPUTED_VALUE"""),52.897955805833)</f>
        <v>52.89795581</v>
      </c>
      <c r="P73" s="20">
        <f>IFERROR(__xludf.DUMMYFUNCTION("""COMPUTED_VALUE"""),562488.0)</f>
        <v>562488</v>
      </c>
      <c r="Q73" s="20">
        <f>IFERROR(__xludf.DUMMYFUNCTION("""COMPUTED_VALUE"""),1063347.0)</f>
        <v>1063347</v>
      </c>
    </row>
    <row r="74">
      <c r="A74" s="20">
        <f>IFERROR(__xludf.DUMMYFUNCTION("""COMPUTED_VALUE"""),73.0)</f>
        <v>73</v>
      </c>
      <c r="B74" s="20" t="str">
        <f>IFERROR(__xludf.DUMMYFUNCTION("""COMPUTED_VALUE"""),"Set Matrix Zeroes")</f>
        <v>Set Matrix Zeroes</v>
      </c>
      <c r="C74" s="20" t="str">
        <f>IFERROR(__xludf.DUMMYFUNCTION("""COMPUTED_VALUE"""),"set-matrix-zeroes")</f>
        <v>set-matrix-zeroes</v>
      </c>
      <c r="D74" s="20" t="b">
        <f>IFERROR(__xludf.DUMMYFUNCTION("""COMPUTED_VALUE"""),FALSE)</f>
        <v>0</v>
      </c>
      <c r="E74" s="20" t="str">
        <f>IFERROR(__xludf.DUMMYFUNCTION("""COMPUTED_VALUE"""),"Medium")</f>
        <v>Medium</v>
      </c>
      <c r="F74" s="20">
        <f>IFERROR(__xludf.DUMMYFUNCTION("""COMPUTED_VALUE"""),10099.0)</f>
        <v>10099</v>
      </c>
      <c r="G74" s="20">
        <f>IFERROR(__xludf.DUMMYFUNCTION("""COMPUTED_VALUE"""),586.0)</f>
        <v>586</v>
      </c>
      <c r="H74" s="20" t="str">
        <f>IFERROR(__xludf.DUMMYFUNCTION("""COMPUTED_VALUE"""),"Algorithms")</f>
        <v>Algorithms</v>
      </c>
      <c r="I74" s="20">
        <f>IFERROR(__xludf.DUMMYFUNCTION("""COMPUTED_VALUE"""),0.504)</f>
        <v>0.504</v>
      </c>
      <c r="J74" s="20">
        <f>IFERROR(__xludf.DUMMYFUNCTION("""COMPUTED_VALUE"""),73.0)</f>
        <v>73</v>
      </c>
      <c r="K74" s="20" t="b">
        <f>IFERROR(__xludf.DUMMYFUNCTION("""COMPUTED_VALUE"""),FALSE)</f>
        <v>0</v>
      </c>
      <c r="L74" s="20" t="str">
        <f>IFERROR(__xludf.DUMMYFUNCTION("""COMPUTED_VALUE"""),"Array;Hash Table;Matrix;")</f>
        <v>Array;Hash Table;Matrix;</v>
      </c>
      <c r="M74" s="20" t="b">
        <f>IFERROR(__xludf.DUMMYFUNCTION("""COMPUTED_VALUE"""),TRUE)</f>
        <v>1</v>
      </c>
      <c r="N74" s="20" t="b">
        <f>IFERROR(__xludf.DUMMYFUNCTION("""COMPUTED_VALUE"""),FALSE)</f>
        <v>0</v>
      </c>
      <c r="O74" s="20">
        <f>IFERROR(__xludf.DUMMYFUNCTION("""COMPUTED_VALUE"""),50.3822047714951)</f>
        <v>50.38220477</v>
      </c>
      <c r="P74" s="20">
        <f>IFERROR(__xludf.DUMMYFUNCTION("""COMPUTED_VALUE"""),893074.0)</f>
        <v>893074</v>
      </c>
      <c r="Q74" s="20">
        <f>IFERROR(__xludf.DUMMYFUNCTION("""COMPUTED_VALUE"""),1772601.0)</f>
        <v>1772601</v>
      </c>
    </row>
    <row r="75">
      <c r="A75" s="20">
        <f>IFERROR(__xludf.DUMMYFUNCTION("""COMPUTED_VALUE"""),74.0)</f>
        <v>74</v>
      </c>
      <c r="B75" s="20" t="str">
        <f>IFERROR(__xludf.DUMMYFUNCTION("""COMPUTED_VALUE"""),"Search a 2D Matrix")</f>
        <v>Search a 2D Matrix</v>
      </c>
      <c r="C75" s="20" t="str">
        <f>IFERROR(__xludf.DUMMYFUNCTION("""COMPUTED_VALUE"""),"search-a-2d-matrix")</f>
        <v>search-a-2d-matrix</v>
      </c>
      <c r="D75" s="20" t="b">
        <f>IFERROR(__xludf.DUMMYFUNCTION("""COMPUTED_VALUE"""),FALSE)</f>
        <v>0</v>
      </c>
      <c r="E75" s="20" t="str">
        <f>IFERROR(__xludf.DUMMYFUNCTION("""COMPUTED_VALUE"""),"Medium")</f>
        <v>Medium</v>
      </c>
      <c r="F75" s="20">
        <f>IFERROR(__xludf.DUMMYFUNCTION("""COMPUTED_VALUE"""),10787.0)</f>
        <v>10787</v>
      </c>
      <c r="G75" s="20">
        <f>IFERROR(__xludf.DUMMYFUNCTION("""COMPUTED_VALUE"""),323.0)</f>
        <v>323</v>
      </c>
      <c r="H75" s="20" t="str">
        <f>IFERROR(__xludf.DUMMYFUNCTION("""COMPUTED_VALUE"""),"Algorithms")</f>
        <v>Algorithms</v>
      </c>
      <c r="I75" s="20">
        <f>IFERROR(__xludf.DUMMYFUNCTION("""COMPUTED_VALUE"""),0.472)</f>
        <v>0.472</v>
      </c>
      <c r="J75" s="20">
        <f>IFERROR(__xludf.DUMMYFUNCTION("""COMPUTED_VALUE"""),74.0)</f>
        <v>74</v>
      </c>
      <c r="K75" s="20" t="b">
        <f>IFERROR(__xludf.DUMMYFUNCTION("""COMPUTED_VALUE"""),FALSE)</f>
        <v>0</v>
      </c>
      <c r="L75" s="20" t="str">
        <f>IFERROR(__xludf.DUMMYFUNCTION("""COMPUTED_VALUE"""),"Array;Binary Search;Matrix;")</f>
        <v>Array;Binary Search;Matrix;</v>
      </c>
      <c r="M75" s="20" t="b">
        <f>IFERROR(__xludf.DUMMYFUNCTION("""COMPUTED_VALUE"""),TRUE)</f>
        <v>1</v>
      </c>
      <c r="N75" s="20" t="b">
        <f>IFERROR(__xludf.DUMMYFUNCTION("""COMPUTED_VALUE"""),FALSE)</f>
        <v>0</v>
      </c>
      <c r="O75" s="20">
        <f>IFERROR(__xludf.DUMMYFUNCTION("""COMPUTED_VALUE"""),47.1620854191988)</f>
        <v>47.16208542</v>
      </c>
      <c r="P75" s="20">
        <f>IFERROR(__xludf.DUMMYFUNCTION("""COMPUTED_VALUE"""),1077934.0)</f>
        <v>1077934</v>
      </c>
      <c r="Q75" s="20">
        <f>IFERROR(__xludf.DUMMYFUNCTION("""COMPUTED_VALUE"""),2285604.0)</f>
        <v>2285604</v>
      </c>
    </row>
    <row r="76">
      <c r="A76" s="20">
        <f>IFERROR(__xludf.DUMMYFUNCTION("""COMPUTED_VALUE"""),75.0)</f>
        <v>75</v>
      </c>
      <c r="B76" s="20" t="str">
        <f>IFERROR(__xludf.DUMMYFUNCTION("""COMPUTED_VALUE"""),"Sort Colors")</f>
        <v>Sort Colors</v>
      </c>
      <c r="C76" s="20" t="str">
        <f>IFERROR(__xludf.DUMMYFUNCTION("""COMPUTED_VALUE"""),"sort-colors")</f>
        <v>sort-colors</v>
      </c>
      <c r="D76" s="20" t="b">
        <f>IFERROR(__xludf.DUMMYFUNCTION("""COMPUTED_VALUE"""),FALSE)</f>
        <v>0</v>
      </c>
      <c r="E76" s="20" t="str">
        <f>IFERROR(__xludf.DUMMYFUNCTION("""COMPUTED_VALUE"""),"Medium")</f>
        <v>Medium</v>
      </c>
      <c r="F76" s="20">
        <f>IFERROR(__xludf.DUMMYFUNCTION("""COMPUTED_VALUE"""),13329.0)</f>
        <v>13329</v>
      </c>
      <c r="G76" s="20">
        <f>IFERROR(__xludf.DUMMYFUNCTION("""COMPUTED_VALUE"""),484.0)</f>
        <v>484</v>
      </c>
      <c r="H76" s="20" t="str">
        <f>IFERROR(__xludf.DUMMYFUNCTION("""COMPUTED_VALUE"""),"Algorithms")</f>
        <v>Algorithms</v>
      </c>
      <c r="I76" s="20">
        <f>IFERROR(__xludf.DUMMYFUNCTION("""COMPUTED_VALUE"""),0.576)</f>
        <v>0.576</v>
      </c>
      <c r="J76" s="20">
        <f>IFERROR(__xludf.DUMMYFUNCTION("""COMPUTED_VALUE"""),75.0)</f>
        <v>75</v>
      </c>
      <c r="K76" s="20" t="b">
        <f>IFERROR(__xludf.DUMMYFUNCTION("""COMPUTED_VALUE"""),FALSE)</f>
        <v>0</v>
      </c>
      <c r="L76" s="20" t="str">
        <f>IFERROR(__xludf.DUMMYFUNCTION("""COMPUTED_VALUE"""),"Array;Two Pointers;Sorting;")</f>
        <v>Array;Two Pointers;Sorting;</v>
      </c>
      <c r="M76" s="20" t="b">
        <f>IFERROR(__xludf.DUMMYFUNCTION("""COMPUTED_VALUE"""),TRUE)</f>
        <v>1</v>
      </c>
      <c r="N76" s="20" t="b">
        <f>IFERROR(__xludf.DUMMYFUNCTION("""COMPUTED_VALUE"""),FALSE)</f>
        <v>0</v>
      </c>
      <c r="O76" s="20">
        <f>IFERROR(__xludf.DUMMYFUNCTION("""COMPUTED_VALUE"""),57.6271757742453)</f>
        <v>57.62717577</v>
      </c>
      <c r="P76" s="20">
        <f>IFERROR(__xludf.DUMMYFUNCTION("""COMPUTED_VALUE"""),1282230.0)</f>
        <v>1282230</v>
      </c>
      <c r="Q76" s="20">
        <f>IFERROR(__xludf.DUMMYFUNCTION("""COMPUTED_VALUE"""),2225051.0)</f>
        <v>2225051</v>
      </c>
    </row>
    <row r="77">
      <c r="A77" s="20">
        <f>IFERROR(__xludf.DUMMYFUNCTION("""COMPUTED_VALUE"""),76.0)</f>
        <v>76</v>
      </c>
      <c r="B77" s="20" t="str">
        <f>IFERROR(__xludf.DUMMYFUNCTION("""COMPUTED_VALUE"""),"Minimum Window Substring")</f>
        <v>Minimum Window Substring</v>
      </c>
      <c r="C77" s="20" t="str">
        <f>IFERROR(__xludf.DUMMYFUNCTION("""COMPUTED_VALUE"""),"minimum-window-substring")</f>
        <v>minimum-window-substring</v>
      </c>
      <c r="D77" s="20" t="b">
        <f>IFERROR(__xludf.DUMMYFUNCTION("""COMPUTED_VALUE"""),FALSE)</f>
        <v>0</v>
      </c>
      <c r="E77" s="20" t="str">
        <f>IFERROR(__xludf.DUMMYFUNCTION("""COMPUTED_VALUE"""),"Hard")</f>
        <v>Hard</v>
      </c>
      <c r="F77" s="20">
        <f>IFERROR(__xludf.DUMMYFUNCTION("""COMPUTED_VALUE"""),13901.0)</f>
        <v>13901</v>
      </c>
      <c r="G77" s="20">
        <f>IFERROR(__xludf.DUMMYFUNCTION("""COMPUTED_VALUE"""),606.0)</f>
        <v>606</v>
      </c>
      <c r="H77" s="20" t="str">
        <f>IFERROR(__xludf.DUMMYFUNCTION("""COMPUTED_VALUE"""),"Algorithms")</f>
        <v>Algorithms</v>
      </c>
      <c r="I77" s="20">
        <f>IFERROR(__xludf.DUMMYFUNCTION("""COMPUTED_VALUE"""),0.408)</f>
        <v>0.408</v>
      </c>
      <c r="J77" s="20">
        <f>IFERROR(__xludf.DUMMYFUNCTION("""COMPUTED_VALUE"""),76.0)</f>
        <v>76</v>
      </c>
      <c r="K77" s="20" t="b">
        <f>IFERROR(__xludf.DUMMYFUNCTION("""COMPUTED_VALUE"""),FALSE)</f>
        <v>0</v>
      </c>
      <c r="L77" s="20" t="str">
        <f>IFERROR(__xludf.DUMMYFUNCTION("""COMPUTED_VALUE"""),"Hash Table;String;Sliding Window;")</f>
        <v>Hash Table;String;Sliding Window;</v>
      </c>
      <c r="M77" s="20" t="b">
        <f>IFERROR(__xludf.DUMMYFUNCTION("""COMPUTED_VALUE"""),TRUE)</f>
        <v>1</v>
      </c>
      <c r="N77" s="20" t="b">
        <f>IFERROR(__xludf.DUMMYFUNCTION("""COMPUTED_VALUE"""),FALSE)</f>
        <v>0</v>
      </c>
      <c r="O77" s="20">
        <f>IFERROR(__xludf.DUMMYFUNCTION("""COMPUTED_VALUE"""),40.7648813994809)</f>
        <v>40.7648814</v>
      </c>
      <c r="P77" s="20">
        <f>IFERROR(__xludf.DUMMYFUNCTION("""COMPUTED_VALUE"""),944319.0)</f>
        <v>944319</v>
      </c>
      <c r="Q77" s="20">
        <f>IFERROR(__xludf.DUMMYFUNCTION("""COMPUTED_VALUE"""),2316509.0)</f>
        <v>2316509</v>
      </c>
    </row>
    <row r="78">
      <c r="A78" s="20">
        <f>IFERROR(__xludf.DUMMYFUNCTION("""COMPUTED_VALUE"""),77.0)</f>
        <v>77</v>
      </c>
      <c r="B78" s="20" t="str">
        <f>IFERROR(__xludf.DUMMYFUNCTION("""COMPUTED_VALUE"""),"Combinations")</f>
        <v>Combinations</v>
      </c>
      <c r="C78" s="20" t="str">
        <f>IFERROR(__xludf.DUMMYFUNCTION("""COMPUTED_VALUE"""),"combinations")</f>
        <v>combinations</v>
      </c>
      <c r="D78" s="20" t="b">
        <f>IFERROR(__xludf.DUMMYFUNCTION("""COMPUTED_VALUE"""),FALSE)</f>
        <v>0</v>
      </c>
      <c r="E78" s="20" t="str">
        <f>IFERROR(__xludf.DUMMYFUNCTION("""COMPUTED_VALUE"""),"Medium")</f>
        <v>Medium</v>
      </c>
      <c r="F78" s="20">
        <f>IFERROR(__xludf.DUMMYFUNCTION("""COMPUTED_VALUE"""),5463.0)</f>
        <v>5463</v>
      </c>
      <c r="G78" s="20">
        <f>IFERROR(__xludf.DUMMYFUNCTION("""COMPUTED_VALUE"""),173.0)</f>
        <v>173</v>
      </c>
      <c r="H78" s="20" t="str">
        <f>IFERROR(__xludf.DUMMYFUNCTION("""COMPUTED_VALUE"""),"Algorithms")</f>
        <v>Algorithms</v>
      </c>
      <c r="I78" s="20">
        <f>IFERROR(__xludf.DUMMYFUNCTION("""COMPUTED_VALUE"""),0.664)</f>
        <v>0.664</v>
      </c>
      <c r="J78" s="20">
        <f>IFERROR(__xludf.DUMMYFUNCTION("""COMPUTED_VALUE"""),77.0)</f>
        <v>77</v>
      </c>
      <c r="K78" s="20" t="b">
        <f>IFERROR(__xludf.DUMMYFUNCTION("""COMPUTED_VALUE"""),FALSE)</f>
        <v>0</v>
      </c>
      <c r="L78" s="20" t="str">
        <f>IFERROR(__xludf.DUMMYFUNCTION("""COMPUTED_VALUE"""),"Backtracking;")</f>
        <v>Backtracking;</v>
      </c>
      <c r="M78" s="20" t="b">
        <f>IFERROR(__xludf.DUMMYFUNCTION("""COMPUTED_VALUE"""),TRUE)</f>
        <v>1</v>
      </c>
      <c r="N78" s="20" t="b">
        <f>IFERROR(__xludf.DUMMYFUNCTION("""COMPUTED_VALUE"""),FALSE)</f>
        <v>0</v>
      </c>
      <c r="O78" s="20">
        <f>IFERROR(__xludf.DUMMYFUNCTION("""COMPUTED_VALUE"""),66.3955904846176)</f>
        <v>66.39559048</v>
      </c>
      <c r="P78" s="20">
        <f>IFERROR(__xludf.DUMMYFUNCTION("""COMPUTED_VALUE"""),622044.0)</f>
        <v>622044</v>
      </c>
      <c r="Q78" s="20">
        <f>IFERROR(__xludf.DUMMYFUNCTION("""COMPUTED_VALUE"""),936878.0)</f>
        <v>936878</v>
      </c>
    </row>
    <row r="79">
      <c r="A79" s="20">
        <f>IFERROR(__xludf.DUMMYFUNCTION("""COMPUTED_VALUE"""),78.0)</f>
        <v>78</v>
      </c>
      <c r="B79" s="20" t="str">
        <f>IFERROR(__xludf.DUMMYFUNCTION("""COMPUTED_VALUE"""),"Subsets")</f>
        <v>Subsets</v>
      </c>
      <c r="C79" s="20" t="str">
        <f>IFERROR(__xludf.DUMMYFUNCTION("""COMPUTED_VALUE"""),"subsets")</f>
        <v>subsets</v>
      </c>
      <c r="D79" s="20" t="b">
        <f>IFERROR(__xludf.DUMMYFUNCTION("""COMPUTED_VALUE"""),FALSE)</f>
        <v>0</v>
      </c>
      <c r="E79" s="20" t="str">
        <f>IFERROR(__xludf.DUMMYFUNCTION("""COMPUTED_VALUE"""),"Medium")</f>
        <v>Medium</v>
      </c>
      <c r="F79" s="20">
        <f>IFERROR(__xludf.DUMMYFUNCTION("""COMPUTED_VALUE"""),13031.0)</f>
        <v>13031</v>
      </c>
      <c r="G79" s="20">
        <f>IFERROR(__xludf.DUMMYFUNCTION("""COMPUTED_VALUE"""),184.0)</f>
        <v>184</v>
      </c>
      <c r="H79" s="20" t="str">
        <f>IFERROR(__xludf.DUMMYFUNCTION("""COMPUTED_VALUE"""),"Algorithms")</f>
        <v>Algorithms</v>
      </c>
      <c r="I79" s="20">
        <f>IFERROR(__xludf.DUMMYFUNCTION("""COMPUTED_VALUE"""),0.742)</f>
        <v>0.742</v>
      </c>
      <c r="J79" s="20">
        <f>IFERROR(__xludf.DUMMYFUNCTION("""COMPUTED_VALUE"""),78.0)</f>
        <v>78</v>
      </c>
      <c r="K79" s="20" t="b">
        <f>IFERROR(__xludf.DUMMYFUNCTION("""COMPUTED_VALUE"""),FALSE)</f>
        <v>0</v>
      </c>
      <c r="L79" s="20" t="str">
        <f>IFERROR(__xludf.DUMMYFUNCTION("""COMPUTED_VALUE"""),"Array;Backtracking;Bit Manipulation;")</f>
        <v>Array;Backtracking;Bit Manipulation;</v>
      </c>
      <c r="M79" s="20" t="b">
        <f>IFERROR(__xludf.DUMMYFUNCTION("""COMPUTED_VALUE"""),TRUE)</f>
        <v>1</v>
      </c>
      <c r="N79" s="20" t="b">
        <f>IFERROR(__xludf.DUMMYFUNCTION("""COMPUTED_VALUE"""),FALSE)</f>
        <v>0</v>
      </c>
      <c r="O79" s="20">
        <f>IFERROR(__xludf.DUMMYFUNCTION("""COMPUTED_VALUE"""),74.2129258222944)</f>
        <v>74.21292582</v>
      </c>
      <c r="P79" s="20">
        <f>IFERROR(__xludf.DUMMYFUNCTION("""COMPUTED_VALUE"""),1327464.0)</f>
        <v>1327464</v>
      </c>
      <c r="Q79" s="20">
        <f>IFERROR(__xludf.DUMMYFUNCTION("""COMPUTED_VALUE"""),1788719.0)</f>
        <v>1788719</v>
      </c>
    </row>
    <row r="80">
      <c r="A80" s="20">
        <f>IFERROR(__xludf.DUMMYFUNCTION("""COMPUTED_VALUE"""),79.0)</f>
        <v>79</v>
      </c>
      <c r="B80" s="20" t="str">
        <f>IFERROR(__xludf.DUMMYFUNCTION("""COMPUTED_VALUE"""),"Word Search")</f>
        <v>Word Search</v>
      </c>
      <c r="C80" s="20" t="str">
        <f>IFERROR(__xludf.DUMMYFUNCTION("""COMPUTED_VALUE"""),"word-search")</f>
        <v>word-search</v>
      </c>
      <c r="D80" s="20" t="b">
        <f>IFERROR(__xludf.DUMMYFUNCTION("""COMPUTED_VALUE"""),FALSE)</f>
        <v>0</v>
      </c>
      <c r="E80" s="20" t="str">
        <f>IFERROR(__xludf.DUMMYFUNCTION("""COMPUTED_VALUE"""),"Medium")</f>
        <v>Medium</v>
      </c>
      <c r="F80" s="20">
        <f>IFERROR(__xludf.DUMMYFUNCTION("""COMPUTED_VALUE"""),12394.0)</f>
        <v>12394</v>
      </c>
      <c r="G80" s="20">
        <f>IFERROR(__xludf.DUMMYFUNCTION("""COMPUTED_VALUE"""),499.0)</f>
        <v>499</v>
      </c>
      <c r="H80" s="20" t="str">
        <f>IFERROR(__xludf.DUMMYFUNCTION("""COMPUTED_VALUE"""),"Algorithms")</f>
        <v>Algorithms</v>
      </c>
      <c r="I80" s="20">
        <f>IFERROR(__xludf.DUMMYFUNCTION("""COMPUTED_VALUE"""),0.401)</f>
        <v>0.401</v>
      </c>
      <c r="J80" s="20">
        <f>IFERROR(__xludf.DUMMYFUNCTION("""COMPUTED_VALUE"""),79.0)</f>
        <v>79</v>
      </c>
      <c r="K80" s="20" t="b">
        <f>IFERROR(__xludf.DUMMYFUNCTION("""COMPUTED_VALUE"""),FALSE)</f>
        <v>0</v>
      </c>
      <c r="L80" s="20" t="str">
        <f>IFERROR(__xludf.DUMMYFUNCTION("""COMPUTED_VALUE"""),"Array;Backtracking;Matrix;")</f>
        <v>Array;Backtracking;Matrix;</v>
      </c>
      <c r="M80" s="20" t="b">
        <f>IFERROR(__xludf.DUMMYFUNCTION("""COMPUTED_VALUE"""),TRUE)</f>
        <v>1</v>
      </c>
      <c r="N80" s="20" t="b">
        <f>IFERROR(__xludf.DUMMYFUNCTION("""COMPUTED_VALUE"""),FALSE)</f>
        <v>0</v>
      </c>
      <c r="O80" s="20">
        <f>IFERROR(__xludf.DUMMYFUNCTION("""COMPUTED_VALUE"""),40.1209694300825)</f>
        <v>40.12096943</v>
      </c>
      <c r="P80" s="20">
        <f>IFERROR(__xludf.DUMMYFUNCTION("""COMPUTED_VALUE"""),1197888.0)</f>
        <v>1197888</v>
      </c>
      <c r="Q80" s="20">
        <f>IFERROR(__xludf.DUMMYFUNCTION("""COMPUTED_VALUE"""),2985695.0)</f>
        <v>2985695</v>
      </c>
    </row>
    <row r="81">
      <c r="A81" s="20">
        <f>IFERROR(__xludf.DUMMYFUNCTION("""COMPUTED_VALUE"""),80.0)</f>
        <v>80</v>
      </c>
      <c r="B81" s="20" t="str">
        <f>IFERROR(__xludf.DUMMYFUNCTION("""COMPUTED_VALUE"""),"Remove Duplicates from Sorted Array II")</f>
        <v>Remove Duplicates from Sorted Array II</v>
      </c>
      <c r="C81" s="20" t="str">
        <f>IFERROR(__xludf.DUMMYFUNCTION("""COMPUTED_VALUE"""),"remove-duplicates-from-sorted-array-ii")</f>
        <v>remove-duplicates-from-sorted-array-ii</v>
      </c>
      <c r="D81" s="20" t="b">
        <f>IFERROR(__xludf.DUMMYFUNCTION("""COMPUTED_VALUE"""),FALSE)</f>
        <v>0</v>
      </c>
      <c r="E81" s="20" t="str">
        <f>IFERROR(__xludf.DUMMYFUNCTION("""COMPUTED_VALUE"""),"Medium")</f>
        <v>Medium</v>
      </c>
      <c r="F81" s="20">
        <f>IFERROR(__xludf.DUMMYFUNCTION("""COMPUTED_VALUE"""),4372.0)</f>
        <v>4372</v>
      </c>
      <c r="G81" s="20">
        <f>IFERROR(__xludf.DUMMYFUNCTION("""COMPUTED_VALUE"""),964.0)</f>
        <v>964</v>
      </c>
      <c r="H81" s="20" t="str">
        <f>IFERROR(__xludf.DUMMYFUNCTION("""COMPUTED_VALUE"""),"Algorithms")</f>
        <v>Algorithms</v>
      </c>
      <c r="I81" s="20">
        <f>IFERROR(__xludf.DUMMYFUNCTION("""COMPUTED_VALUE"""),0.518)</f>
        <v>0.518</v>
      </c>
      <c r="J81" s="20">
        <f>IFERROR(__xludf.DUMMYFUNCTION("""COMPUTED_VALUE"""),80.0)</f>
        <v>80</v>
      </c>
      <c r="K81" s="20" t="b">
        <f>IFERROR(__xludf.DUMMYFUNCTION("""COMPUTED_VALUE"""),FALSE)</f>
        <v>0</v>
      </c>
      <c r="L81" s="20" t="str">
        <f>IFERROR(__xludf.DUMMYFUNCTION("""COMPUTED_VALUE"""),"Array;Two Pointers;")</f>
        <v>Array;Two Pointers;</v>
      </c>
      <c r="M81" s="20" t="b">
        <f>IFERROR(__xludf.DUMMYFUNCTION("""COMPUTED_VALUE"""),TRUE)</f>
        <v>1</v>
      </c>
      <c r="N81" s="20" t="b">
        <f>IFERROR(__xludf.DUMMYFUNCTION("""COMPUTED_VALUE"""),FALSE)</f>
        <v>0</v>
      </c>
      <c r="O81" s="20">
        <f>IFERROR(__xludf.DUMMYFUNCTION("""COMPUTED_VALUE"""),51.8426871586638)</f>
        <v>51.84268716</v>
      </c>
      <c r="P81" s="20">
        <f>IFERROR(__xludf.DUMMYFUNCTION("""COMPUTED_VALUE"""),478520.0)</f>
        <v>478520</v>
      </c>
      <c r="Q81" s="20">
        <f>IFERROR(__xludf.DUMMYFUNCTION("""COMPUTED_VALUE"""),923025.0)</f>
        <v>923025</v>
      </c>
    </row>
    <row r="82">
      <c r="A82" s="20">
        <f>IFERROR(__xludf.DUMMYFUNCTION("""COMPUTED_VALUE"""),81.0)</f>
        <v>81</v>
      </c>
      <c r="B82" s="20" t="str">
        <f>IFERROR(__xludf.DUMMYFUNCTION("""COMPUTED_VALUE"""),"Search in Rotated Sorted Array II")</f>
        <v>Search in Rotated Sorted Array II</v>
      </c>
      <c r="C82" s="20" t="str">
        <f>IFERROR(__xludf.DUMMYFUNCTION("""COMPUTED_VALUE"""),"search-in-rotated-sorted-array-ii")</f>
        <v>search-in-rotated-sorted-array-ii</v>
      </c>
      <c r="D82" s="20" t="b">
        <f>IFERROR(__xludf.DUMMYFUNCTION("""COMPUTED_VALUE"""),FALSE)</f>
        <v>0</v>
      </c>
      <c r="E82" s="20" t="str">
        <f>IFERROR(__xludf.DUMMYFUNCTION("""COMPUTED_VALUE"""),"Medium")</f>
        <v>Medium</v>
      </c>
      <c r="F82" s="20">
        <f>IFERROR(__xludf.DUMMYFUNCTION("""COMPUTED_VALUE"""),5477.0)</f>
        <v>5477</v>
      </c>
      <c r="G82" s="20">
        <f>IFERROR(__xludf.DUMMYFUNCTION("""COMPUTED_VALUE"""),809.0)</f>
        <v>809</v>
      </c>
      <c r="H82" s="20" t="str">
        <f>IFERROR(__xludf.DUMMYFUNCTION("""COMPUTED_VALUE"""),"Algorithms")</f>
        <v>Algorithms</v>
      </c>
      <c r="I82" s="20">
        <f>IFERROR(__xludf.DUMMYFUNCTION("""COMPUTED_VALUE"""),0.358)</f>
        <v>0.358</v>
      </c>
      <c r="J82" s="20">
        <f>IFERROR(__xludf.DUMMYFUNCTION("""COMPUTED_VALUE"""),81.0)</f>
        <v>81</v>
      </c>
      <c r="K82" s="20" t="b">
        <f>IFERROR(__xludf.DUMMYFUNCTION("""COMPUTED_VALUE"""),FALSE)</f>
        <v>0</v>
      </c>
      <c r="L82" s="20" t="str">
        <f>IFERROR(__xludf.DUMMYFUNCTION("""COMPUTED_VALUE"""),"Array;Binary Search;")</f>
        <v>Array;Binary Search;</v>
      </c>
      <c r="M82" s="20" t="b">
        <f>IFERROR(__xludf.DUMMYFUNCTION("""COMPUTED_VALUE"""),TRUE)</f>
        <v>1</v>
      </c>
      <c r="N82" s="20" t="b">
        <f>IFERROR(__xludf.DUMMYFUNCTION("""COMPUTED_VALUE"""),FALSE)</f>
        <v>0</v>
      </c>
      <c r="O82" s="20">
        <f>IFERROR(__xludf.DUMMYFUNCTION("""COMPUTED_VALUE"""),35.7582774857741)</f>
        <v>35.75827749</v>
      </c>
      <c r="P82" s="20">
        <f>IFERROR(__xludf.DUMMYFUNCTION("""COMPUTED_VALUE"""),480851.0)</f>
        <v>480851</v>
      </c>
      <c r="Q82" s="20">
        <f>IFERROR(__xludf.DUMMYFUNCTION("""COMPUTED_VALUE"""),1344722.0)</f>
        <v>1344722</v>
      </c>
    </row>
    <row r="83">
      <c r="A83" s="20">
        <f>IFERROR(__xludf.DUMMYFUNCTION("""COMPUTED_VALUE"""),82.0)</f>
        <v>82</v>
      </c>
      <c r="B83" s="20" t="str">
        <f>IFERROR(__xludf.DUMMYFUNCTION("""COMPUTED_VALUE"""),"Remove Duplicates from Sorted List II")</f>
        <v>Remove Duplicates from Sorted List II</v>
      </c>
      <c r="C83" s="20" t="str">
        <f>IFERROR(__xludf.DUMMYFUNCTION("""COMPUTED_VALUE"""),"remove-duplicates-from-sorted-list-ii")</f>
        <v>remove-duplicates-from-sorted-list-ii</v>
      </c>
      <c r="D83" s="20" t="b">
        <f>IFERROR(__xludf.DUMMYFUNCTION("""COMPUTED_VALUE"""),FALSE)</f>
        <v>0</v>
      </c>
      <c r="E83" s="20" t="str">
        <f>IFERROR(__xludf.DUMMYFUNCTION("""COMPUTED_VALUE"""),"Medium")</f>
        <v>Medium</v>
      </c>
      <c r="F83" s="20">
        <f>IFERROR(__xludf.DUMMYFUNCTION("""COMPUTED_VALUE"""),7041.0)</f>
        <v>7041</v>
      </c>
      <c r="G83" s="20">
        <f>IFERROR(__xludf.DUMMYFUNCTION("""COMPUTED_VALUE"""),186.0)</f>
        <v>186</v>
      </c>
      <c r="H83" s="20" t="str">
        <f>IFERROR(__xludf.DUMMYFUNCTION("""COMPUTED_VALUE"""),"Algorithms")</f>
        <v>Algorithms</v>
      </c>
      <c r="I83" s="20">
        <f>IFERROR(__xludf.DUMMYFUNCTION("""COMPUTED_VALUE"""),0.456)</f>
        <v>0.456</v>
      </c>
      <c r="J83" s="20">
        <f>IFERROR(__xludf.DUMMYFUNCTION("""COMPUTED_VALUE"""),82.0)</f>
        <v>82</v>
      </c>
      <c r="K83" s="20" t="b">
        <f>IFERROR(__xludf.DUMMYFUNCTION("""COMPUTED_VALUE"""),FALSE)</f>
        <v>0</v>
      </c>
      <c r="L83" s="20" t="str">
        <f>IFERROR(__xludf.DUMMYFUNCTION("""COMPUTED_VALUE"""),"Linked List;Two Pointers;")</f>
        <v>Linked List;Two Pointers;</v>
      </c>
      <c r="M83" s="20" t="b">
        <f>IFERROR(__xludf.DUMMYFUNCTION("""COMPUTED_VALUE"""),TRUE)</f>
        <v>1</v>
      </c>
      <c r="N83" s="20" t="b">
        <f>IFERROR(__xludf.DUMMYFUNCTION("""COMPUTED_VALUE"""),FALSE)</f>
        <v>0</v>
      </c>
      <c r="O83" s="20">
        <f>IFERROR(__xludf.DUMMYFUNCTION("""COMPUTED_VALUE"""),45.6051646582513)</f>
        <v>45.60516466</v>
      </c>
      <c r="P83" s="20">
        <f>IFERROR(__xludf.DUMMYFUNCTION("""COMPUTED_VALUE"""),564000.0)</f>
        <v>564000</v>
      </c>
      <c r="Q83" s="20">
        <f>IFERROR(__xludf.DUMMYFUNCTION("""COMPUTED_VALUE"""),1236704.0)</f>
        <v>1236704</v>
      </c>
    </row>
    <row r="84">
      <c r="A84" s="20">
        <f>IFERROR(__xludf.DUMMYFUNCTION("""COMPUTED_VALUE"""),83.0)</f>
        <v>83</v>
      </c>
      <c r="B84" s="20" t="str">
        <f>IFERROR(__xludf.DUMMYFUNCTION("""COMPUTED_VALUE"""),"Remove Duplicates from Sorted List")</f>
        <v>Remove Duplicates from Sorted List</v>
      </c>
      <c r="C84" s="20" t="str">
        <f>IFERROR(__xludf.DUMMYFUNCTION("""COMPUTED_VALUE"""),"remove-duplicates-from-sorted-list")</f>
        <v>remove-duplicates-from-sorted-list</v>
      </c>
      <c r="D84" s="20" t="b">
        <f>IFERROR(__xludf.DUMMYFUNCTION("""COMPUTED_VALUE"""),FALSE)</f>
        <v>0</v>
      </c>
      <c r="E84" s="20" t="str">
        <f>IFERROR(__xludf.DUMMYFUNCTION("""COMPUTED_VALUE"""),"Easy")</f>
        <v>Easy</v>
      </c>
      <c r="F84" s="20">
        <f>IFERROR(__xludf.DUMMYFUNCTION("""COMPUTED_VALUE"""),6430.0)</f>
        <v>6430</v>
      </c>
      <c r="G84" s="20">
        <f>IFERROR(__xludf.DUMMYFUNCTION("""COMPUTED_VALUE"""),223.0)</f>
        <v>223</v>
      </c>
      <c r="H84" s="20" t="str">
        <f>IFERROR(__xludf.DUMMYFUNCTION("""COMPUTED_VALUE"""),"Algorithms")</f>
        <v>Algorithms</v>
      </c>
      <c r="I84" s="20">
        <f>IFERROR(__xludf.DUMMYFUNCTION("""COMPUTED_VALUE"""),0.501)</f>
        <v>0.501</v>
      </c>
      <c r="J84" s="20">
        <f>IFERROR(__xludf.DUMMYFUNCTION("""COMPUTED_VALUE"""),83.0)</f>
        <v>83</v>
      </c>
      <c r="K84" s="20" t="b">
        <f>IFERROR(__xludf.DUMMYFUNCTION("""COMPUTED_VALUE"""),FALSE)</f>
        <v>0</v>
      </c>
      <c r="L84" s="20" t="str">
        <f>IFERROR(__xludf.DUMMYFUNCTION("""COMPUTED_VALUE"""),"Linked List;")</f>
        <v>Linked List;</v>
      </c>
      <c r="M84" s="20" t="b">
        <f>IFERROR(__xludf.DUMMYFUNCTION("""COMPUTED_VALUE"""),TRUE)</f>
        <v>1</v>
      </c>
      <c r="N84" s="20" t="b">
        <f>IFERROR(__xludf.DUMMYFUNCTION("""COMPUTED_VALUE"""),FALSE)</f>
        <v>0</v>
      </c>
      <c r="O84" s="20">
        <f>IFERROR(__xludf.DUMMYFUNCTION("""COMPUTED_VALUE"""),50.0851818395985)</f>
        <v>50.08518184</v>
      </c>
      <c r="P84" s="20">
        <f>IFERROR(__xludf.DUMMYFUNCTION("""COMPUTED_VALUE"""),1065117.0)</f>
        <v>1065117</v>
      </c>
      <c r="Q84" s="20">
        <f>IFERROR(__xludf.DUMMYFUNCTION("""COMPUTED_VALUE"""),2126612.0)</f>
        <v>2126612</v>
      </c>
    </row>
    <row r="85">
      <c r="A85" s="20">
        <f>IFERROR(__xludf.DUMMYFUNCTION("""COMPUTED_VALUE"""),84.0)</f>
        <v>84</v>
      </c>
      <c r="B85" s="20" t="str">
        <f>IFERROR(__xludf.DUMMYFUNCTION("""COMPUTED_VALUE"""),"Largest Rectangle in Histogram")</f>
        <v>Largest Rectangle in Histogram</v>
      </c>
      <c r="C85" s="20" t="str">
        <f>IFERROR(__xludf.DUMMYFUNCTION("""COMPUTED_VALUE"""),"largest-rectangle-in-histogram")</f>
        <v>largest-rectangle-in-histogram</v>
      </c>
      <c r="D85" s="20" t="b">
        <f>IFERROR(__xludf.DUMMYFUNCTION("""COMPUTED_VALUE"""),FALSE)</f>
        <v>0</v>
      </c>
      <c r="E85" s="20" t="str">
        <f>IFERROR(__xludf.DUMMYFUNCTION("""COMPUTED_VALUE"""),"Hard")</f>
        <v>Hard</v>
      </c>
      <c r="F85" s="20">
        <f>IFERROR(__xludf.DUMMYFUNCTION("""COMPUTED_VALUE"""),12903.0)</f>
        <v>12903</v>
      </c>
      <c r="G85" s="20">
        <f>IFERROR(__xludf.DUMMYFUNCTION("""COMPUTED_VALUE"""),182.0)</f>
        <v>182</v>
      </c>
      <c r="H85" s="20" t="str">
        <f>IFERROR(__xludf.DUMMYFUNCTION("""COMPUTED_VALUE"""),"Algorithms")</f>
        <v>Algorithms</v>
      </c>
      <c r="I85" s="20">
        <f>IFERROR(__xludf.DUMMYFUNCTION("""COMPUTED_VALUE"""),0.423)</f>
        <v>0.423</v>
      </c>
      <c r="J85" s="20">
        <f>IFERROR(__xludf.DUMMYFUNCTION("""COMPUTED_VALUE"""),84.0)</f>
        <v>84</v>
      </c>
      <c r="K85" s="20" t="b">
        <f>IFERROR(__xludf.DUMMYFUNCTION("""COMPUTED_VALUE"""),FALSE)</f>
        <v>0</v>
      </c>
      <c r="L85" s="20" t="str">
        <f>IFERROR(__xludf.DUMMYFUNCTION("""COMPUTED_VALUE"""),"Array;Stack;Monotonic Stack;")</f>
        <v>Array;Stack;Monotonic Stack;</v>
      </c>
      <c r="M85" s="20" t="b">
        <f>IFERROR(__xludf.DUMMYFUNCTION("""COMPUTED_VALUE"""),TRUE)</f>
        <v>1</v>
      </c>
      <c r="N85" s="20" t="b">
        <f>IFERROR(__xludf.DUMMYFUNCTION("""COMPUTED_VALUE"""),TRUE)</f>
        <v>1</v>
      </c>
      <c r="O85" s="20">
        <f>IFERROR(__xludf.DUMMYFUNCTION("""COMPUTED_VALUE"""),42.2919991444694)</f>
        <v>42.29199914</v>
      </c>
      <c r="P85" s="20">
        <f>IFERROR(__xludf.DUMMYFUNCTION("""COMPUTED_VALUE"""),616926.0)</f>
        <v>616926</v>
      </c>
      <c r="Q85" s="20">
        <f>IFERROR(__xludf.DUMMYFUNCTION("""COMPUTED_VALUE"""),1458732.0)</f>
        <v>1458732</v>
      </c>
    </row>
    <row r="86">
      <c r="A86" s="20">
        <f>IFERROR(__xludf.DUMMYFUNCTION("""COMPUTED_VALUE"""),85.0)</f>
        <v>85</v>
      </c>
      <c r="B86" s="20" t="str">
        <f>IFERROR(__xludf.DUMMYFUNCTION("""COMPUTED_VALUE"""),"Maximal Rectangle")</f>
        <v>Maximal Rectangle</v>
      </c>
      <c r="C86" s="20" t="str">
        <f>IFERROR(__xludf.DUMMYFUNCTION("""COMPUTED_VALUE"""),"maximal-rectangle")</f>
        <v>maximal-rectangle</v>
      </c>
      <c r="D86" s="20" t="b">
        <f>IFERROR(__xludf.DUMMYFUNCTION("""COMPUTED_VALUE"""),FALSE)</f>
        <v>0</v>
      </c>
      <c r="E86" s="20" t="str">
        <f>IFERROR(__xludf.DUMMYFUNCTION("""COMPUTED_VALUE"""),"Hard")</f>
        <v>Hard</v>
      </c>
      <c r="F86" s="20">
        <f>IFERROR(__xludf.DUMMYFUNCTION("""COMPUTED_VALUE"""),8017.0)</f>
        <v>8017</v>
      </c>
      <c r="G86" s="20">
        <f>IFERROR(__xludf.DUMMYFUNCTION("""COMPUTED_VALUE"""),129.0)</f>
        <v>129</v>
      </c>
      <c r="H86" s="20" t="str">
        <f>IFERROR(__xludf.DUMMYFUNCTION("""COMPUTED_VALUE"""),"Algorithms")</f>
        <v>Algorithms</v>
      </c>
      <c r="I86" s="20">
        <f>IFERROR(__xludf.DUMMYFUNCTION("""COMPUTED_VALUE"""),0.443)</f>
        <v>0.443</v>
      </c>
      <c r="J86" s="20">
        <f>IFERROR(__xludf.DUMMYFUNCTION("""COMPUTED_VALUE"""),85.0)</f>
        <v>85</v>
      </c>
      <c r="K86" s="20" t="b">
        <f>IFERROR(__xludf.DUMMYFUNCTION("""COMPUTED_VALUE"""),FALSE)</f>
        <v>0</v>
      </c>
      <c r="L86" s="20" t="str">
        <f>IFERROR(__xludf.DUMMYFUNCTION("""COMPUTED_VALUE"""),"Array;Dynamic Programming;Stack;Matrix;Monotonic Stack;")</f>
        <v>Array;Dynamic Programming;Stack;Matrix;Monotonic Stack;</v>
      </c>
      <c r="M86" s="20" t="b">
        <f>IFERROR(__xludf.DUMMYFUNCTION("""COMPUTED_VALUE"""),TRUE)</f>
        <v>1</v>
      </c>
      <c r="N86" s="20" t="b">
        <f>IFERROR(__xludf.DUMMYFUNCTION("""COMPUTED_VALUE"""),FALSE)</f>
        <v>0</v>
      </c>
      <c r="O86" s="20">
        <f>IFERROR(__xludf.DUMMYFUNCTION("""COMPUTED_VALUE"""),44.3222584919685)</f>
        <v>44.32225849</v>
      </c>
      <c r="P86" s="20">
        <f>IFERROR(__xludf.DUMMYFUNCTION("""COMPUTED_VALUE"""),329130.0)</f>
        <v>329130</v>
      </c>
      <c r="Q86" s="20">
        <f>IFERROR(__xludf.DUMMYFUNCTION("""COMPUTED_VALUE"""),742584.0)</f>
        <v>742584</v>
      </c>
    </row>
    <row r="87">
      <c r="A87" s="20">
        <f>IFERROR(__xludf.DUMMYFUNCTION("""COMPUTED_VALUE"""),86.0)</f>
        <v>86</v>
      </c>
      <c r="B87" s="20" t="str">
        <f>IFERROR(__xludf.DUMMYFUNCTION("""COMPUTED_VALUE"""),"Partition List")</f>
        <v>Partition List</v>
      </c>
      <c r="C87" s="20" t="str">
        <f>IFERROR(__xludf.DUMMYFUNCTION("""COMPUTED_VALUE"""),"partition-list")</f>
        <v>partition-list</v>
      </c>
      <c r="D87" s="20" t="b">
        <f>IFERROR(__xludf.DUMMYFUNCTION("""COMPUTED_VALUE"""),FALSE)</f>
        <v>0</v>
      </c>
      <c r="E87" s="20" t="str">
        <f>IFERROR(__xludf.DUMMYFUNCTION("""COMPUTED_VALUE"""),"Medium")</f>
        <v>Medium</v>
      </c>
      <c r="F87" s="20">
        <f>IFERROR(__xludf.DUMMYFUNCTION("""COMPUTED_VALUE"""),5038.0)</f>
        <v>5038</v>
      </c>
      <c r="G87" s="20">
        <f>IFERROR(__xludf.DUMMYFUNCTION("""COMPUTED_VALUE"""),598.0)</f>
        <v>598</v>
      </c>
      <c r="H87" s="20" t="str">
        <f>IFERROR(__xludf.DUMMYFUNCTION("""COMPUTED_VALUE"""),"Algorithms")</f>
        <v>Algorithms</v>
      </c>
      <c r="I87" s="20">
        <f>IFERROR(__xludf.DUMMYFUNCTION("""COMPUTED_VALUE"""),0.516)</f>
        <v>0.516</v>
      </c>
      <c r="J87" s="20">
        <f>IFERROR(__xludf.DUMMYFUNCTION("""COMPUTED_VALUE"""),86.0)</f>
        <v>86</v>
      </c>
      <c r="K87" s="20" t="b">
        <f>IFERROR(__xludf.DUMMYFUNCTION("""COMPUTED_VALUE"""),FALSE)</f>
        <v>0</v>
      </c>
      <c r="L87" s="20" t="str">
        <f>IFERROR(__xludf.DUMMYFUNCTION("""COMPUTED_VALUE"""),"Linked List;Two Pointers;")</f>
        <v>Linked List;Two Pointers;</v>
      </c>
      <c r="M87" s="20" t="b">
        <f>IFERROR(__xludf.DUMMYFUNCTION("""COMPUTED_VALUE"""),TRUE)</f>
        <v>1</v>
      </c>
      <c r="N87" s="20" t="b">
        <f>IFERROR(__xludf.DUMMYFUNCTION("""COMPUTED_VALUE"""),FALSE)</f>
        <v>0</v>
      </c>
      <c r="O87" s="20">
        <f>IFERROR(__xludf.DUMMYFUNCTION("""COMPUTED_VALUE"""),51.5723564936546)</f>
        <v>51.57235649</v>
      </c>
      <c r="P87" s="20">
        <f>IFERROR(__xludf.DUMMYFUNCTION("""COMPUTED_VALUE"""),429540.0)</f>
        <v>429540</v>
      </c>
      <c r="Q87" s="20">
        <f>IFERROR(__xludf.DUMMYFUNCTION("""COMPUTED_VALUE"""),832889.0)</f>
        <v>832889</v>
      </c>
    </row>
    <row r="88">
      <c r="A88" s="20">
        <f>IFERROR(__xludf.DUMMYFUNCTION("""COMPUTED_VALUE"""),87.0)</f>
        <v>87</v>
      </c>
      <c r="B88" s="20" t="str">
        <f>IFERROR(__xludf.DUMMYFUNCTION("""COMPUTED_VALUE"""),"Scramble String")</f>
        <v>Scramble String</v>
      </c>
      <c r="C88" s="20" t="str">
        <f>IFERROR(__xludf.DUMMYFUNCTION("""COMPUTED_VALUE"""),"scramble-string")</f>
        <v>scramble-string</v>
      </c>
      <c r="D88" s="20" t="b">
        <f>IFERROR(__xludf.DUMMYFUNCTION("""COMPUTED_VALUE"""),FALSE)</f>
        <v>0</v>
      </c>
      <c r="E88" s="20" t="str">
        <f>IFERROR(__xludf.DUMMYFUNCTION("""COMPUTED_VALUE"""),"Hard")</f>
        <v>Hard</v>
      </c>
      <c r="F88" s="20">
        <f>IFERROR(__xludf.DUMMYFUNCTION("""COMPUTED_VALUE"""),1917.0)</f>
        <v>1917</v>
      </c>
      <c r="G88" s="20">
        <f>IFERROR(__xludf.DUMMYFUNCTION("""COMPUTED_VALUE"""),977.0)</f>
        <v>977</v>
      </c>
      <c r="H88" s="20" t="str">
        <f>IFERROR(__xludf.DUMMYFUNCTION("""COMPUTED_VALUE"""),"Algorithms")</f>
        <v>Algorithms</v>
      </c>
      <c r="I88" s="20">
        <f>IFERROR(__xludf.DUMMYFUNCTION("""COMPUTED_VALUE"""),0.361)</f>
        <v>0.361</v>
      </c>
      <c r="J88" s="20">
        <f>IFERROR(__xludf.DUMMYFUNCTION("""COMPUTED_VALUE"""),87.0)</f>
        <v>87</v>
      </c>
      <c r="K88" s="20" t="b">
        <f>IFERROR(__xludf.DUMMYFUNCTION("""COMPUTED_VALUE"""),FALSE)</f>
        <v>0</v>
      </c>
      <c r="L88" s="20" t="str">
        <f>IFERROR(__xludf.DUMMYFUNCTION("""COMPUTED_VALUE"""),"String;Dynamic Programming;")</f>
        <v>String;Dynamic Programming;</v>
      </c>
      <c r="M88" s="20" t="b">
        <f>IFERROR(__xludf.DUMMYFUNCTION("""COMPUTED_VALUE"""),FALSE)</f>
        <v>0</v>
      </c>
      <c r="N88" s="20" t="b">
        <f>IFERROR(__xludf.DUMMYFUNCTION("""COMPUTED_VALUE"""),FALSE)</f>
        <v>0</v>
      </c>
      <c r="O88" s="20">
        <f>IFERROR(__xludf.DUMMYFUNCTION("""COMPUTED_VALUE"""),36.0933941292261)</f>
        <v>36.09339413</v>
      </c>
      <c r="P88" s="20">
        <f>IFERROR(__xludf.DUMMYFUNCTION("""COMPUTED_VALUE"""),158790.0)</f>
        <v>158790</v>
      </c>
      <c r="Q88" s="20">
        <f>IFERROR(__xludf.DUMMYFUNCTION("""COMPUTED_VALUE"""),439942.0)</f>
        <v>439942</v>
      </c>
    </row>
    <row r="89">
      <c r="A89" s="20">
        <f>IFERROR(__xludf.DUMMYFUNCTION("""COMPUTED_VALUE"""),88.0)</f>
        <v>88</v>
      </c>
      <c r="B89" s="20" t="str">
        <f>IFERROR(__xludf.DUMMYFUNCTION("""COMPUTED_VALUE"""),"Merge Sorted Array")</f>
        <v>Merge Sorted Array</v>
      </c>
      <c r="C89" s="20" t="str">
        <f>IFERROR(__xludf.DUMMYFUNCTION("""COMPUTED_VALUE"""),"merge-sorted-array")</f>
        <v>merge-sorted-array</v>
      </c>
      <c r="D89" s="20" t="b">
        <f>IFERROR(__xludf.DUMMYFUNCTION("""COMPUTED_VALUE"""),FALSE)</f>
        <v>0</v>
      </c>
      <c r="E89" s="20" t="str">
        <f>IFERROR(__xludf.DUMMYFUNCTION("""COMPUTED_VALUE"""),"Easy")</f>
        <v>Easy</v>
      </c>
      <c r="F89" s="20">
        <f>IFERROR(__xludf.DUMMYFUNCTION("""COMPUTED_VALUE"""),8696.0)</f>
        <v>8696</v>
      </c>
      <c r="G89" s="20">
        <f>IFERROR(__xludf.DUMMYFUNCTION("""COMPUTED_VALUE"""),791.0)</f>
        <v>791</v>
      </c>
      <c r="H89" s="20" t="str">
        <f>IFERROR(__xludf.DUMMYFUNCTION("""COMPUTED_VALUE"""),"Algorithms")</f>
        <v>Algorithms</v>
      </c>
      <c r="I89" s="20">
        <f>IFERROR(__xludf.DUMMYFUNCTION("""COMPUTED_VALUE"""),0.46)</f>
        <v>0.46</v>
      </c>
      <c r="J89" s="20">
        <f>IFERROR(__xludf.DUMMYFUNCTION("""COMPUTED_VALUE"""),88.0)</f>
        <v>88</v>
      </c>
      <c r="K89" s="20" t="b">
        <f>IFERROR(__xludf.DUMMYFUNCTION("""COMPUTED_VALUE"""),FALSE)</f>
        <v>0</v>
      </c>
      <c r="L89" s="20" t="str">
        <f>IFERROR(__xludf.DUMMYFUNCTION("""COMPUTED_VALUE"""),"Array;Two Pointers;Sorting;")</f>
        <v>Array;Two Pointers;Sorting;</v>
      </c>
      <c r="M89" s="20" t="b">
        <f>IFERROR(__xludf.DUMMYFUNCTION("""COMPUTED_VALUE"""),TRUE)</f>
        <v>1</v>
      </c>
      <c r="N89" s="20" t="b">
        <f>IFERROR(__xludf.DUMMYFUNCTION("""COMPUTED_VALUE"""),TRUE)</f>
        <v>1</v>
      </c>
      <c r="O89" s="20">
        <f>IFERROR(__xludf.DUMMYFUNCTION("""COMPUTED_VALUE"""),45.9849262244964)</f>
        <v>45.98492622</v>
      </c>
      <c r="P89" s="20">
        <f>IFERROR(__xludf.DUMMYFUNCTION("""COMPUTED_VALUE"""),1809511.0)</f>
        <v>1809511</v>
      </c>
      <c r="Q89" s="20">
        <f>IFERROR(__xludf.DUMMYFUNCTION("""COMPUTED_VALUE"""),3934997.0)</f>
        <v>3934997</v>
      </c>
    </row>
    <row r="90">
      <c r="A90" s="20">
        <f>IFERROR(__xludf.DUMMYFUNCTION("""COMPUTED_VALUE"""),89.0)</f>
        <v>89</v>
      </c>
      <c r="B90" s="20" t="str">
        <f>IFERROR(__xludf.DUMMYFUNCTION("""COMPUTED_VALUE"""),"Gray Code")</f>
        <v>Gray Code</v>
      </c>
      <c r="C90" s="20" t="str">
        <f>IFERROR(__xludf.DUMMYFUNCTION("""COMPUTED_VALUE"""),"gray-code")</f>
        <v>gray-code</v>
      </c>
      <c r="D90" s="20" t="b">
        <f>IFERROR(__xludf.DUMMYFUNCTION("""COMPUTED_VALUE"""),FALSE)</f>
        <v>0</v>
      </c>
      <c r="E90" s="20" t="str">
        <f>IFERROR(__xludf.DUMMYFUNCTION("""COMPUTED_VALUE"""),"Medium")</f>
        <v>Medium</v>
      </c>
      <c r="F90" s="20">
        <f>IFERROR(__xludf.DUMMYFUNCTION("""COMPUTED_VALUE"""),1748.0)</f>
        <v>1748</v>
      </c>
      <c r="G90" s="20">
        <f>IFERROR(__xludf.DUMMYFUNCTION("""COMPUTED_VALUE"""),2433.0)</f>
        <v>2433</v>
      </c>
      <c r="H90" s="20" t="str">
        <f>IFERROR(__xludf.DUMMYFUNCTION("""COMPUTED_VALUE"""),"Algorithms")</f>
        <v>Algorithms</v>
      </c>
      <c r="I90" s="20">
        <f>IFERROR(__xludf.DUMMYFUNCTION("""COMPUTED_VALUE"""),0.567)</f>
        <v>0.567</v>
      </c>
      <c r="J90" s="20">
        <f>IFERROR(__xludf.DUMMYFUNCTION("""COMPUTED_VALUE"""),89.0)</f>
        <v>89</v>
      </c>
      <c r="K90" s="20" t="b">
        <f>IFERROR(__xludf.DUMMYFUNCTION("""COMPUTED_VALUE"""),FALSE)</f>
        <v>0</v>
      </c>
      <c r="L90" s="20" t="str">
        <f>IFERROR(__xludf.DUMMYFUNCTION("""COMPUTED_VALUE"""),"Math;Backtracking;Bit Manipulation;")</f>
        <v>Math;Backtracking;Bit Manipulation;</v>
      </c>
      <c r="M90" s="20" t="b">
        <f>IFERROR(__xludf.DUMMYFUNCTION("""COMPUTED_VALUE"""),TRUE)</f>
        <v>1</v>
      </c>
      <c r="N90" s="20" t="b">
        <f>IFERROR(__xludf.DUMMYFUNCTION("""COMPUTED_VALUE"""),FALSE)</f>
        <v>0</v>
      </c>
      <c r="O90" s="20">
        <f>IFERROR(__xludf.DUMMYFUNCTION("""COMPUTED_VALUE"""),56.7220063422999)</f>
        <v>56.72200634</v>
      </c>
      <c r="P90" s="20">
        <f>IFERROR(__xludf.DUMMYFUNCTION("""COMPUTED_VALUE"""),252383.0)</f>
        <v>252383</v>
      </c>
      <c r="Q90" s="20">
        <f>IFERROR(__xludf.DUMMYFUNCTION("""COMPUTED_VALUE"""),444948.0)</f>
        <v>444948</v>
      </c>
    </row>
    <row r="91">
      <c r="A91" s="20">
        <f>IFERROR(__xludf.DUMMYFUNCTION("""COMPUTED_VALUE"""),90.0)</f>
        <v>90</v>
      </c>
      <c r="B91" s="20" t="str">
        <f>IFERROR(__xludf.DUMMYFUNCTION("""COMPUTED_VALUE"""),"Subsets II")</f>
        <v>Subsets II</v>
      </c>
      <c r="C91" s="20" t="str">
        <f>IFERROR(__xludf.DUMMYFUNCTION("""COMPUTED_VALUE"""),"subsets-ii")</f>
        <v>subsets-ii</v>
      </c>
      <c r="D91" s="20" t="b">
        <f>IFERROR(__xludf.DUMMYFUNCTION("""COMPUTED_VALUE"""),FALSE)</f>
        <v>0</v>
      </c>
      <c r="E91" s="20" t="str">
        <f>IFERROR(__xludf.DUMMYFUNCTION("""COMPUTED_VALUE"""),"Medium")</f>
        <v>Medium</v>
      </c>
      <c r="F91" s="20">
        <f>IFERROR(__xludf.DUMMYFUNCTION("""COMPUTED_VALUE"""),7211.0)</f>
        <v>7211</v>
      </c>
      <c r="G91" s="20">
        <f>IFERROR(__xludf.DUMMYFUNCTION("""COMPUTED_VALUE"""),201.0)</f>
        <v>201</v>
      </c>
      <c r="H91" s="20" t="str">
        <f>IFERROR(__xludf.DUMMYFUNCTION("""COMPUTED_VALUE"""),"Algorithms")</f>
        <v>Algorithms</v>
      </c>
      <c r="I91" s="20">
        <f>IFERROR(__xludf.DUMMYFUNCTION("""COMPUTED_VALUE"""),0.555)</f>
        <v>0.555</v>
      </c>
      <c r="J91" s="20">
        <f>IFERROR(__xludf.DUMMYFUNCTION("""COMPUTED_VALUE"""),90.0)</f>
        <v>90</v>
      </c>
      <c r="K91" s="20" t="b">
        <f>IFERROR(__xludf.DUMMYFUNCTION("""COMPUTED_VALUE"""),FALSE)</f>
        <v>0</v>
      </c>
      <c r="L91" s="20" t="str">
        <f>IFERROR(__xludf.DUMMYFUNCTION("""COMPUTED_VALUE"""),"Array;Backtracking;Bit Manipulation;")</f>
        <v>Array;Backtracking;Bit Manipulation;</v>
      </c>
      <c r="M91" s="20" t="b">
        <f>IFERROR(__xludf.DUMMYFUNCTION("""COMPUTED_VALUE"""),TRUE)</f>
        <v>1</v>
      </c>
      <c r="N91" s="20" t="b">
        <f>IFERROR(__xludf.DUMMYFUNCTION("""COMPUTED_VALUE"""),FALSE)</f>
        <v>0</v>
      </c>
      <c r="O91" s="20">
        <f>IFERROR(__xludf.DUMMYFUNCTION("""COMPUTED_VALUE"""),55.5232956804171)</f>
        <v>55.52329568</v>
      </c>
      <c r="P91" s="20">
        <f>IFERROR(__xludf.DUMMYFUNCTION("""COMPUTED_VALUE"""),639677.0)</f>
        <v>639677</v>
      </c>
      <c r="Q91" s="20">
        <f>IFERROR(__xludf.DUMMYFUNCTION("""COMPUTED_VALUE"""),1152091.0)</f>
        <v>1152091</v>
      </c>
    </row>
    <row r="92">
      <c r="A92" s="20">
        <f>IFERROR(__xludf.DUMMYFUNCTION("""COMPUTED_VALUE"""),91.0)</f>
        <v>91</v>
      </c>
      <c r="B92" s="20" t="str">
        <f>IFERROR(__xludf.DUMMYFUNCTION("""COMPUTED_VALUE"""),"Decode Ways")</f>
        <v>Decode Ways</v>
      </c>
      <c r="C92" s="20" t="str">
        <f>IFERROR(__xludf.DUMMYFUNCTION("""COMPUTED_VALUE"""),"decode-ways")</f>
        <v>decode-ways</v>
      </c>
      <c r="D92" s="20" t="b">
        <f>IFERROR(__xludf.DUMMYFUNCTION("""COMPUTED_VALUE"""),FALSE)</f>
        <v>0</v>
      </c>
      <c r="E92" s="20" t="str">
        <f>IFERROR(__xludf.DUMMYFUNCTION("""COMPUTED_VALUE"""),"Medium")</f>
        <v>Medium</v>
      </c>
      <c r="F92" s="20">
        <f>IFERROR(__xludf.DUMMYFUNCTION("""COMPUTED_VALUE"""),9295.0)</f>
        <v>9295</v>
      </c>
      <c r="G92" s="20">
        <f>IFERROR(__xludf.DUMMYFUNCTION("""COMPUTED_VALUE"""),4158.0)</f>
        <v>4158</v>
      </c>
      <c r="H92" s="20" t="str">
        <f>IFERROR(__xludf.DUMMYFUNCTION("""COMPUTED_VALUE"""),"Algorithms")</f>
        <v>Algorithms</v>
      </c>
      <c r="I92" s="20">
        <f>IFERROR(__xludf.DUMMYFUNCTION("""COMPUTED_VALUE"""),0.324)</f>
        <v>0.324</v>
      </c>
      <c r="J92" s="20">
        <f>IFERROR(__xludf.DUMMYFUNCTION("""COMPUTED_VALUE"""),91.0)</f>
        <v>91</v>
      </c>
      <c r="K92" s="20" t="b">
        <f>IFERROR(__xludf.DUMMYFUNCTION("""COMPUTED_VALUE"""),FALSE)</f>
        <v>0</v>
      </c>
      <c r="L92" s="20" t="str">
        <f>IFERROR(__xludf.DUMMYFUNCTION("""COMPUTED_VALUE"""),"String;Dynamic Programming;")</f>
        <v>String;Dynamic Programming;</v>
      </c>
      <c r="M92" s="20" t="b">
        <f>IFERROR(__xludf.DUMMYFUNCTION("""COMPUTED_VALUE"""),TRUE)</f>
        <v>1</v>
      </c>
      <c r="N92" s="20" t="b">
        <f>IFERROR(__xludf.DUMMYFUNCTION("""COMPUTED_VALUE"""),TRUE)</f>
        <v>1</v>
      </c>
      <c r="O92" s="20">
        <f>IFERROR(__xludf.DUMMYFUNCTION("""COMPUTED_VALUE"""),32.416315222327)</f>
        <v>32.41631522</v>
      </c>
      <c r="P92" s="20">
        <f>IFERROR(__xludf.DUMMYFUNCTION("""COMPUTED_VALUE"""),958721.0)</f>
        <v>958721</v>
      </c>
      <c r="Q92" s="20">
        <f>IFERROR(__xludf.DUMMYFUNCTION("""COMPUTED_VALUE"""),2957532.0)</f>
        <v>2957532</v>
      </c>
    </row>
    <row r="93">
      <c r="A93" s="20">
        <f>IFERROR(__xludf.DUMMYFUNCTION("""COMPUTED_VALUE"""),92.0)</f>
        <v>92</v>
      </c>
      <c r="B93" s="20" t="str">
        <f>IFERROR(__xludf.DUMMYFUNCTION("""COMPUTED_VALUE"""),"Reverse Linked List II")</f>
        <v>Reverse Linked List II</v>
      </c>
      <c r="C93" s="20" t="str">
        <f>IFERROR(__xludf.DUMMYFUNCTION("""COMPUTED_VALUE"""),"reverse-linked-list-ii")</f>
        <v>reverse-linked-list-ii</v>
      </c>
      <c r="D93" s="20" t="b">
        <f>IFERROR(__xludf.DUMMYFUNCTION("""COMPUTED_VALUE"""),FALSE)</f>
        <v>0</v>
      </c>
      <c r="E93" s="20" t="str">
        <f>IFERROR(__xludf.DUMMYFUNCTION("""COMPUTED_VALUE"""),"Medium")</f>
        <v>Medium</v>
      </c>
      <c r="F93" s="20">
        <f>IFERROR(__xludf.DUMMYFUNCTION("""COMPUTED_VALUE"""),8447.0)</f>
        <v>8447</v>
      </c>
      <c r="G93" s="20">
        <f>IFERROR(__xludf.DUMMYFUNCTION("""COMPUTED_VALUE"""),377.0)</f>
        <v>377</v>
      </c>
      <c r="H93" s="20" t="str">
        <f>IFERROR(__xludf.DUMMYFUNCTION("""COMPUTED_VALUE"""),"Algorithms")</f>
        <v>Algorithms</v>
      </c>
      <c r="I93" s="20">
        <f>IFERROR(__xludf.DUMMYFUNCTION("""COMPUTED_VALUE"""),0.454)</f>
        <v>0.454</v>
      </c>
      <c r="J93" s="20">
        <f>IFERROR(__xludf.DUMMYFUNCTION("""COMPUTED_VALUE"""),92.0)</f>
        <v>92</v>
      </c>
      <c r="K93" s="20" t="b">
        <f>IFERROR(__xludf.DUMMYFUNCTION("""COMPUTED_VALUE"""),FALSE)</f>
        <v>0</v>
      </c>
      <c r="L93" s="20" t="str">
        <f>IFERROR(__xludf.DUMMYFUNCTION("""COMPUTED_VALUE"""),"Linked List;")</f>
        <v>Linked List;</v>
      </c>
      <c r="M93" s="20" t="b">
        <f>IFERROR(__xludf.DUMMYFUNCTION("""COMPUTED_VALUE"""),TRUE)</f>
        <v>1</v>
      </c>
      <c r="N93" s="20" t="b">
        <f>IFERROR(__xludf.DUMMYFUNCTION("""COMPUTED_VALUE"""),TRUE)</f>
        <v>1</v>
      </c>
      <c r="O93" s="20">
        <f>IFERROR(__xludf.DUMMYFUNCTION("""COMPUTED_VALUE"""),45.4069475177348)</f>
        <v>45.40694752</v>
      </c>
      <c r="P93" s="20">
        <f>IFERROR(__xludf.DUMMYFUNCTION("""COMPUTED_VALUE"""),597964.0)</f>
        <v>597964</v>
      </c>
      <c r="Q93" s="20">
        <f>IFERROR(__xludf.DUMMYFUNCTION("""COMPUTED_VALUE"""),1316901.0)</f>
        <v>1316901</v>
      </c>
    </row>
    <row r="94">
      <c r="A94" s="20">
        <f>IFERROR(__xludf.DUMMYFUNCTION("""COMPUTED_VALUE"""),93.0)</f>
        <v>93</v>
      </c>
      <c r="B94" s="20" t="str">
        <f>IFERROR(__xludf.DUMMYFUNCTION("""COMPUTED_VALUE"""),"Restore IP Addresses")</f>
        <v>Restore IP Addresses</v>
      </c>
      <c r="C94" s="20" t="str">
        <f>IFERROR(__xludf.DUMMYFUNCTION("""COMPUTED_VALUE"""),"restore-ip-addresses")</f>
        <v>restore-ip-addresses</v>
      </c>
      <c r="D94" s="20" t="b">
        <f>IFERROR(__xludf.DUMMYFUNCTION("""COMPUTED_VALUE"""),FALSE)</f>
        <v>0</v>
      </c>
      <c r="E94" s="20" t="str">
        <f>IFERROR(__xludf.DUMMYFUNCTION("""COMPUTED_VALUE"""),"Medium")</f>
        <v>Medium</v>
      </c>
      <c r="F94" s="20">
        <f>IFERROR(__xludf.DUMMYFUNCTION("""COMPUTED_VALUE"""),3289.0)</f>
        <v>3289</v>
      </c>
      <c r="G94" s="20">
        <f>IFERROR(__xludf.DUMMYFUNCTION("""COMPUTED_VALUE"""),663.0)</f>
        <v>663</v>
      </c>
      <c r="H94" s="20" t="str">
        <f>IFERROR(__xludf.DUMMYFUNCTION("""COMPUTED_VALUE"""),"Algorithms")</f>
        <v>Algorithms</v>
      </c>
      <c r="I94" s="20">
        <f>IFERROR(__xludf.DUMMYFUNCTION("""COMPUTED_VALUE"""),0.438)</f>
        <v>0.438</v>
      </c>
      <c r="J94" s="20">
        <f>IFERROR(__xludf.DUMMYFUNCTION("""COMPUTED_VALUE"""),93.0)</f>
        <v>93</v>
      </c>
      <c r="K94" s="20" t="b">
        <f>IFERROR(__xludf.DUMMYFUNCTION("""COMPUTED_VALUE"""),FALSE)</f>
        <v>0</v>
      </c>
      <c r="L94" s="20" t="str">
        <f>IFERROR(__xludf.DUMMYFUNCTION("""COMPUTED_VALUE"""),"String;Backtracking;")</f>
        <v>String;Backtracking;</v>
      </c>
      <c r="M94" s="20" t="b">
        <f>IFERROR(__xludf.DUMMYFUNCTION("""COMPUTED_VALUE"""),TRUE)</f>
        <v>1</v>
      </c>
      <c r="N94" s="20" t="b">
        <f>IFERROR(__xludf.DUMMYFUNCTION("""COMPUTED_VALUE"""),FALSE)</f>
        <v>0</v>
      </c>
      <c r="O94" s="20">
        <f>IFERROR(__xludf.DUMMYFUNCTION("""COMPUTED_VALUE"""),43.7860784768737)</f>
        <v>43.78607848</v>
      </c>
      <c r="P94" s="20">
        <f>IFERROR(__xludf.DUMMYFUNCTION("""COMPUTED_VALUE"""),333976.0)</f>
        <v>333976</v>
      </c>
      <c r="Q94" s="20">
        <f>IFERROR(__xludf.DUMMYFUNCTION("""COMPUTED_VALUE"""),762746.0)</f>
        <v>762746</v>
      </c>
    </row>
    <row r="95">
      <c r="A95" s="20">
        <f>IFERROR(__xludf.DUMMYFUNCTION("""COMPUTED_VALUE"""),94.0)</f>
        <v>94</v>
      </c>
      <c r="B95" s="20" t="str">
        <f>IFERROR(__xludf.DUMMYFUNCTION("""COMPUTED_VALUE"""),"Binary Tree Inorder Traversal")</f>
        <v>Binary Tree Inorder Traversal</v>
      </c>
      <c r="C95" s="20" t="str">
        <f>IFERROR(__xludf.DUMMYFUNCTION("""COMPUTED_VALUE"""),"binary-tree-inorder-traversal")</f>
        <v>binary-tree-inorder-traversal</v>
      </c>
      <c r="D95" s="20" t="b">
        <f>IFERROR(__xludf.DUMMYFUNCTION("""COMPUTED_VALUE"""),FALSE)</f>
        <v>0</v>
      </c>
      <c r="E95" s="20" t="str">
        <f>IFERROR(__xludf.DUMMYFUNCTION("""COMPUTED_VALUE"""),"Easy")</f>
        <v>Easy</v>
      </c>
      <c r="F95" s="20">
        <f>IFERROR(__xludf.DUMMYFUNCTION("""COMPUTED_VALUE"""),10431.0)</f>
        <v>10431</v>
      </c>
      <c r="G95" s="20">
        <f>IFERROR(__xludf.DUMMYFUNCTION("""COMPUTED_VALUE"""),495.0)</f>
        <v>495</v>
      </c>
      <c r="H95" s="20" t="str">
        <f>IFERROR(__xludf.DUMMYFUNCTION("""COMPUTED_VALUE"""),"Algorithms")</f>
        <v>Algorithms</v>
      </c>
      <c r="I95" s="20">
        <f>IFERROR(__xludf.DUMMYFUNCTION("""COMPUTED_VALUE"""),0.732)</f>
        <v>0.732</v>
      </c>
      <c r="J95" s="20">
        <f>IFERROR(__xludf.DUMMYFUNCTION("""COMPUTED_VALUE"""),94.0)</f>
        <v>94</v>
      </c>
      <c r="K95" s="20" t="b">
        <f>IFERROR(__xludf.DUMMYFUNCTION("""COMPUTED_VALUE"""),FALSE)</f>
        <v>0</v>
      </c>
      <c r="L95" s="20" t="str">
        <f>IFERROR(__xludf.DUMMYFUNCTION("""COMPUTED_VALUE"""),"Stack;Tree;Depth-First Search;Binary Tree;")</f>
        <v>Stack;Tree;Depth-First Search;Binary Tree;</v>
      </c>
      <c r="M95" s="20" t="b">
        <f>IFERROR(__xludf.DUMMYFUNCTION("""COMPUTED_VALUE"""),TRUE)</f>
        <v>1</v>
      </c>
      <c r="N95" s="20" t="b">
        <f>IFERROR(__xludf.DUMMYFUNCTION("""COMPUTED_VALUE"""),FALSE)</f>
        <v>0</v>
      </c>
      <c r="O95" s="20">
        <f>IFERROR(__xludf.DUMMYFUNCTION("""COMPUTED_VALUE"""),73.232889097387)</f>
        <v>73.2328891</v>
      </c>
      <c r="P95" s="20">
        <f>IFERROR(__xludf.DUMMYFUNCTION("""COMPUTED_VALUE"""),1845165.0)</f>
        <v>1845165</v>
      </c>
      <c r="Q95" s="20">
        <f>IFERROR(__xludf.DUMMYFUNCTION("""COMPUTED_VALUE"""),2519589.0)</f>
        <v>2519589</v>
      </c>
    </row>
    <row r="96">
      <c r="A96" s="20">
        <f>IFERROR(__xludf.DUMMYFUNCTION("""COMPUTED_VALUE"""),95.0)</f>
        <v>95</v>
      </c>
      <c r="B96" s="20" t="str">
        <f>IFERROR(__xludf.DUMMYFUNCTION("""COMPUTED_VALUE"""),"Unique Binary Search Trees II")</f>
        <v>Unique Binary Search Trees II</v>
      </c>
      <c r="C96" s="20" t="str">
        <f>IFERROR(__xludf.DUMMYFUNCTION("""COMPUTED_VALUE"""),"unique-binary-search-trees-ii")</f>
        <v>unique-binary-search-trees-ii</v>
      </c>
      <c r="D96" s="20" t="b">
        <f>IFERROR(__xludf.DUMMYFUNCTION("""COMPUTED_VALUE"""),FALSE)</f>
        <v>0</v>
      </c>
      <c r="E96" s="20" t="str">
        <f>IFERROR(__xludf.DUMMYFUNCTION("""COMPUTED_VALUE"""),"Medium")</f>
        <v>Medium</v>
      </c>
      <c r="F96" s="20">
        <f>IFERROR(__xludf.DUMMYFUNCTION("""COMPUTED_VALUE"""),5587.0)</f>
        <v>5587</v>
      </c>
      <c r="G96" s="20">
        <f>IFERROR(__xludf.DUMMYFUNCTION("""COMPUTED_VALUE"""),363.0)</f>
        <v>363</v>
      </c>
      <c r="H96" s="20" t="str">
        <f>IFERROR(__xludf.DUMMYFUNCTION("""COMPUTED_VALUE"""),"Algorithms")</f>
        <v>Algorithms</v>
      </c>
      <c r="I96" s="20">
        <f>IFERROR(__xludf.DUMMYFUNCTION("""COMPUTED_VALUE"""),0.518)</f>
        <v>0.518</v>
      </c>
      <c r="J96" s="20">
        <f>IFERROR(__xludf.DUMMYFUNCTION("""COMPUTED_VALUE"""),95.0)</f>
        <v>95</v>
      </c>
      <c r="K96" s="20" t="b">
        <f>IFERROR(__xludf.DUMMYFUNCTION("""COMPUTED_VALUE"""),FALSE)</f>
        <v>0</v>
      </c>
      <c r="L96" s="20" t="str">
        <f>IFERROR(__xludf.DUMMYFUNCTION("""COMPUTED_VALUE"""),"Dynamic Programming;Backtracking;Tree;Binary Search Tree;Binary Tree;")</f>
        <v>Dynamic Programming;Backtracking;Tree;Binary Search Tree;Binary Tree;</v>
      </c>
      <c r="M96" s="20" t="b">
        <f>IFERROR(__xludf.DUMMYFUNCTION("""COMPUTED_VALUE"""),TRUE)</f>
        <v>1</v>
      </c>
      <c r="N96" s="20" t="b">
        <f>IFERROR(__xludf.DUMMYFUNCTION("""COMPUTED_VALUE"""),FALSE)</f>
        <v>0</v>
      </c>
      <c r="O96" s="20">
        <f>IFERROR(__xludf.DUMMYFUNCTION("""COMPUTED_VALUE"""),51.8399878085949)</f>
        <v>51.83998781</v>
      </c>
      <c r="P96" s="20">
        <f>IFERROR(__xludf.DUMMYFUNCTION("""COMPUTED_VALUE"""),340172.0)</f>
        <v>340172</v>
      </c>
      <c r="Q96" s="20">
        <f>IFERROR(__xludf.DUMMYFUNCTION("""COMPUTED_VALUE"""),656198.0)</f>
        <v>656198</v>
      </c>
    </row>
    <row r="97">
      <c r="A97" s="20">
        <f>IFERROR(__xludf.DUMMYFUNCTION("""COMPUTED_VALUE"""),96.0)</f>
        <v>96</v>
      </c>
      <c r="B97" s="20" t="str">
        <f>IFERROR(__xludf.DUMMYFUNCTION("""COMPUTED_VALUE"""),"Unique Binary Search Trees")</f>
        <v>Unique Binary Search Trees</v>
      </c>
      <c r="C97" s="20" t="str">
        <f>IFERROR(__xludf.DUMMYFUNCTION("""COMPUTED_VALUE"""),"unique-binary-search-trees")</f>
        <v>unique-binary-search-trees</v>
      </c>
      <c r="D97" s="20" t="b">
        <f>IFERROR(__xludf.DUMMYFUNCTION("""COMPUTED_VALUE"""),FALSE)</f>
        <v>0</v>
      </c>
      <c r="E97" s="20" t="str">
        <f>IFERROR(__xludf.DUMMYFUNCTION("""COMPUTED_VALUE"""),"Medium")</f>
        <v>Medium</v>
      </c>
      <c r="F97" s="20">
        <f>IFERROR(__xludf.DUMMYFUNCTION("""COMPUTED_VALUE"""),8559.0)</f>
        <v>8559</v>
      </c>
      <c r="G97" s="20">
        <f>IFERROR(__xludf.DUMMYFUNCTION("""COMPUTED_VALUE"""),340.0)</f>
        <v>340</v>
      </c>
      <c r="H97" s="20" t="str">
        <f>IFERROR(__xludf.DUMMYFUNCTION("""COMPUTED_VALUE"""),"Algorithms")</f>
        <v>Algorithms</v>
      </c>
      <c r="I97" s="20">
        <f>IFERROR(__xludf.DUMMYFUNCTION("""COMPUTED_VALUE"""),0.594)</f>
        <v>0.594</v>
      </c>
      <c r="J97" s="20">
        <f>IFERROR(__xludf.DUMMYFUNCTION("""COMPUTED_VALUE"""),96.0)</f>
        <v>96</v>
      </c>
      <c r="K97" s="20" t="b">
        <f>IFERROR(__xludf.DUMMYFUNCTION("""COMPUTED_VALUE"""),FALSE)</f>
        <v>0</v>
      </c>
      <c r="L97" s="20" t="str">
        <f>IFERROR(__xludf.DUMMYFUNCTION("""COMPUTED_VALUE"""),"Math;Dynamic Programming;Tree;Binary Search Tree;Binary Tree;")</f>
        <v>Math;Dynamic Programming;Tree;Binary Search Tree;Binary Tree;</v>
      </c>
      <c r="M97" s="20" t="b">
        <f>IFERROR(__xludf.DUMMYFUNCTION("""COMPUTED_VALUE"""),TRUE)</f>
        <v>1</v>
      </c>
      <c r="N97" s="20" t="b">
        <f>IFERROR(__xludf.DUMMYFUNCTION("""COMPUTED_VALUE"""),FALSE)</f>
        <v>0</v>
      </c>
      <c r="O97" s="20">
        <f>IFERROR(__xludf.DUMMYFUNCTION("""COMPUTED_VALUE"""),59.3716556349306)</f>
        <v>59.37165563</v>
      </c>
      <c r="P97" s="20">
        <f>IFERROR(__xludf.DUMMYFUNCTION("""COMPUTED_VALUE"""),543119.0)</f>
        <v>543119</v>
      </c>
      <c r="Q97" s="20">
        <f>IFERROR(__xludf.DUMMYFUNCTION("""COMPUTED_VALUE"""),914781.0)</f>
        <v>914781</v>
      </c>
    </row>
    <row r="98">
      <c r="A98" s="20">
        <f>IFERROR(__xludf.DUMMYFUNCTION("""COMPUTED_VALUE"""),97.0)</f>
        <v>97</v>
      </c>
      <c r="B98" s="20" t="str">
        <f>IFERROR(__xludf.DUMMYFUNCTION("""COMPUTED_VALUE"""),"Interleaving String")</f>
        <v>Interleaving String</v>
      </c>
      <c r="C98" s="20" t="str">
        <f>IFERROR(__xludf.DUMMYFUNCTION("""COMPUTED_VALUE"""),"interleaving-string")</f>
        <v>interleaving-string</v>
      </c>
      <c r="D98" s="20" t="b">
        <f>IFERROR(__xludf.DUMMYFUNCTION("""COMPUTED_VALUE"""),FALSE)</f>
        <v>0</v>
      </c>
      <c r="E98" s="20" t="str">
        <f>IFERROR(__xludf.DUMMYFUNCTION("""COMPUTED_VALUE"""),"Medium")</f>
        <v>Medium</v>
      </c>
      <c r="F98" s="20">
        <f>IFERROR(__xludf.DUMMYFUNCTION("""COMPUTED_VALUE"""),6070.0)</f>
        <v>6070</v>
      </c>
      <c r="G98" s="20">
        <f>IFERROR(__xludf.DUMMYFUNCTION("""COMPUTED_VALUE"""),371.0)</f>
        <v>371</v>
      </c>
      <c r="H98" s="20" t="str">
        <f>IFERROR(__xludf.DUMMYFUNCTION("""COMPUTED_VALUE"""),"Algorithms")</f>
        <v>Algorithms</v>
      </c>
      <c r="I98" s="20">
        <f>IFERROR(__xludf.DUMMYFUNCTION("""COMPUTED_VALUE"""),0.372)</f>
        <v>0.372</v>
      </c>
      <c r="J98" s="20">
        <f>IFERROR(__xludf.DUMMYFUNCTION("""COMPUTED_VALUE"""),97.0)</f>
        <v>97</v>
      </c>
      <c r="K98" s="20" t="b">
        <f>IFERROR(__xludf.DUMMYFUNCTION("""COMPUTED_VALUE"""),FALSE)</f>
        <v>0</v>
      </c>
      <c r="L98" s="20" t="str">
        <f>IFERROR(__xludf.DUMMYFUNCTION("""COMPUTED_VALUE"""),"String;Dynamic Programming;")</f>
        <v>String;Dynamic Programming;</v>
      </c>
      <c r="M98" s="20" t="b">
        <f>IFERROR(__xludf.DUMMYFUNCTION("""COMPUTED_VALUE"""),TRUE)</f>
        <v>1</v>
      </c>
      <c r="N98" s="20" t="b">
        <f>IFERROR(__xludf.DUMMYFUNCTION("""COMPUTED_VALUE"""),FALSE)</f>
        <v>0</v>
      </c>
      <c r="O98" s="20">
        <f>IFERROR(__xludf.DUMMYFUNCTION("""COMPUTED_VALUE"""),37.1757709886139)</f>
        <v>37.17577099</v>
      </c>
      <c r="P98" s="20">
        <f>IFERROR(__xludf.DUMMYFUNCTION("""COMPUTED_VALUE"""),358465.0)</f>
        <v>358465</v>
      </c>
      <c r="Q98" s="20">
        <f>IFERROR(__xludf.DUMMYFUNCTION("""COMPUTED_VALUE"""),964247.0)</f>
        <v>964247</v>
      </c>
    </row>
    <row r="99">
      <c r="A99" s="20">
        <f>IFERROR(__xludf.DUMMYFUNCTION("""COMPUTED_VALUE"""),98.0)</f>
        <v>98</v>
      </c>
      <c r="B99" s="20" t="str">
        <f>IFERROR(__xludf.DUMMYFUNCTION("""COMPUTED_VALUE"""),"Validate Binary Search Tree")</f>
        <v>Validate Binary Search Tree</v>
      </c>
      <c r="C99" s="20" t="str">
        <f>IFERROR(__xludf.DUMMYFUNCTION("""COMPUTED_VALUE"""),"validate-binary-search-tree")</f>
        <v>validate-binary-search-tree</v>
      </c>
      <c r="D99" s="20" t="b">
        <f>IFERROR(__xludf.DUMMYFUNCTION("""COMPUTED_VALUE"""),FALSE)</f>
        <v>0</v>
      </c>
      <c r="E99" s="20" t="str">
        <f>IFERROR(__xludf.DUMMYFUNCTION("""COMPUTED_VALUE"""),"Medium")</f>
        <v>Medium</v>
      </c>
      <c r="F99" s="20">
        <f>IFERROR(__xludf.DUMMYFUNCTION("""COMPUTED_VALUE"""),13401.0)</f>
        <v>13401</v>
      </c>
      <c r="G99" s="20">
        <f>IFERROR(__xludf.DUMMYFUNCTION("""COMPUTED_VALUE"""),1087.0)</f>
        <v>1087</v>
      </c>
      <c r="H99" s="20" t="str">
        <f>IFERROR(__xludf.DUMMYFUNCTION("""COMPUTED_VALUE"""),"Algorithms")</f>
        <v>Algorithms</v>
      </c>
      <c r="I99" s="20">
        <f>IFERROR(__xludf.DUMMYFUNCTION("""COMPUTED_VALUE"""),0.318)</f>
        <v>0.318</v>
      </c>
      <c r="J99" s="20">
        <f>IFERROR(__xludf.DUMMYFUNCTION("""COMPUTED_VALUE"""),98.0)</f>
        <v>98</v>
      </c>
      <c r="K99" s="20" t="b">
        <f>IFERROR(__xludf.DUMMYFUNCTION("""COMPUTED_VALUE"""),FALSE)</f>
        <v>0</v>
      </c>
      <c r="L99" s="20" t="str">
        <f>IFERROR(__xludf.DUMMYFUNCTION("""COMPUTED_VALUE"""),"Tree;Depth-First Search;Binary Search Tree;Binary Tree;")</f>
        <v>Tree;Depth-First Search;Binary Search Tree;Binary Tree;</v>
      </c>
      <c r="M99" s="20" t="b">
        <f>IFERROR(__xludf.DUMMYFUNCTION("""COMPUTED_VALUE"""),TRUE)</f>
        <v>1</v>
      </c>
      <c r="N99" s="20" t="b">
        <f>IFERROR(__xludf.DUMMYFUNCTION("""COMPUTED_VALUE"""),TRUE)</f>
        <v>1</v>
      </c>
      <c r="O99" s="20">
        <f>IFERROR(__xludf.DUMMYFUNCTION("""COMPUTED_VALUE"""),31.81842696565)</f>
        <v>31.81842697</v>
      </c>
      <c r="P99" s="20">
        <f>IFERROR(__xludf.DUMMYFUNCTION("""COMPUTED_VALUE"""),1781694.0)</f>
        <v>1781694</v>
      </c>
      <c r="Q99" s="20">
        <f>IFERROR(__xludf.DUMMYFUNCTION("""COMPUTED_VALUE"""),5599557.0)</f>
        <v>5599557</v>
      </c>
    </row>
    <row r="100">
      <c r="A100" s="20">
        <f>IFERROR(__xludf.DUMMYFUNCTION("""COMPUTED_VALUE"""),99.0)</f>
        <v>99</v>
      </c>
      <c r="B100" s="20" t="str">
        <f>IFERROR(__xludf.DUMMYFUNCTION("""COMPUTED_VALUE"""),"Recover Binary Search Tree")</f>
        <v>Recover Binary Search Tree</v>
      </c>
      <c r="C100" s="20" t="str">
        <f>IFERROR(__xludf.DUMMYFUNCTION("""COMPUTED_VALUE"""),"recover-binary-search-tree")</f>
        <v>recover-binary-search-tree</v>
      </c>
      <c r="D100" s="20" t="b">
        <f>IFERROR(__xludf.DUMMYFUNCTION("""COMPUTED_VALUE"""),FALSE)</f>
        <v>0</v>
      </c>
      <c r="E100" s="20" t="str">
        <f>IFERROR(__xludf.DUMMYFUNCTION("""COMPUTED_VALUE"""),"Medium")</f>
        <v>Medium</v>
      </c>
      <c r="F100" s="20">
        <f>IFERROR(__xludf.DUMMYFUNCTION("""COMPUTED_VALUE"""),6461.0)</f>
        <v>6461</v>
      </c>
      <c r="G100" s="20">
        <f>IFERROR(__xludf.DUMMYFUNCTION("""COMPUTED_VALUE"""),217.0)</f>
        <v>217</v>
      </c>
      <c r="H100" s="20" t="str">
        <f>IFERROR(__xludf.DUMMYFUNCTION("""COMPUTED_VALUE"""),"Algorithms")</f>
        <v>Algorithms</v>
      </c>
      <c r="I100" s="20">
        <f>IFERROR(__xludf.DUMMYFUNCTION("""COMPUTED_VALUE"""),0.505)</f>
        <v>0.505</v>
      </c>
      <c r="J100" s="20">
        <f>IFERROR(__xludf.DUMMYFUNCTION("""COMPUTED_VALUE"""),99.0)</f>
        <v>99</v>
      </c>
      <c r="K100" s="20" t="b">
        <f>IFERROR(__xludf.DUMMYFUNCTION("""COMPUTED_VALUE"""),FALSE)</f>
        <v>0</v>
      </c>
      <c r="L100" s="20" t="str">
        <f>IFERROR(__xludf.DUMMYFUNCTION("""COMPUTED_VALUE"""),"Tree;Depth-First Search;Binary Search Tree;Binary Tree;")</f>
        <v>Tree;Depth-First Search;Binary Search Tree;Binary Tree;</v>
      </c>
      <c r="M100" s="20" t="b">
        <f>IFERROR(__xludf.DUMMYFUNCTION("""COMPUTED_VALUE"""),TRUE)</f>
        <v>1</v>
      </c>
      <c r="N100" s="20" t="b">
        <f>IFERROR(__xludf.DUMMYFUNCTION("""COMPUTED_VALUE"""),FALSE)</f>
        <v>0</v>
      </c>
      <c r="O100" s="20">
        <f>IFERROR(__xludf.DUMMYFUNCTION("""COMPUTED_VALUE"""),50.5158017821427)</f>
        <v>50.51580178</v>
      </c>
      <c r="P100" s="20">
        <f>IFERROR(__xludf.DUMMYFUNCTION("""COMPUTED_VALUE"""),374558.0)</f>
        <v>374558</v>
      </c>
      <c r="Q100" s="20">
        <f>IFERROR(__xludf.DUMMYFUNCTION("""COMPUTED_VALUE"""),741467.0)</f>
        <v>741467</v>
      </c>
    </row>
    <row r="101">
      <c r="A101" s="20">
        <f>IFERROR(__xludf.DUMMYFUNCTION("""COMPUTED_VALUE"""),100.0)</f>
        <v>100</v>
      </c>
      <c r="B101" s="20" t="str">
        <f>IFERROR(__xludf.DUMMYFUNCTION("""COMPUTED_VALUE"""),"Same Tree")</f>
        <v>Same Tree</v>
      </c>
      <c r="C101" s="20" t="str">
        <f>IFERROR(__xludf.DUMMYFUNCTION("""COMPUTED_VALUE"""),"same-tree")</f>
        <v>same-tree</v>
      </c>
      <c r="D101" s="20" t="b">
        <f>IFERROR(__xludf.DUMMYFUNCTION("""COMPUTED_VALUE"""),FALSE)</f>
        <v>0</v>
      </c>
      <c r="E101" s="20" t="str">
        <f>IFERROR(__xludf.DUMMYFUNCTION("""COMPUTED_VALUE"""),"Easy")</f>
        <v>Easy</v>
      </c>
      <c r="F101" s="20">
        <f>IFERROR(__xludf.DUMMYFUNCTION("""COMPUTED_VALUE"""),7818.0)</f>
        <v>7818</v>
      </c>
      <c r="G101" s="20">
        <f>IFERROR(__xludf.DUMMYFUNCTION("""COMPUTED_VALUE"""),162.0)</f>
        <v>162</v>
      </c>
      <c r="H101" s="20" t="str">
        <f>IFERROR(__xludf.DUMMYFUNCTION("""COMPUTED_VALUE"""),"Algorithms")</f>
        <v>Algorithms</v>
      </c>
      <c r="I101" s="20">
        <f>IFERROR(__xludf.DUMMYFUNCTION("""COMPUTED_VALUE"""),0.566)</f>
        <v>0.566</v>
      </c>
      <c r="J101" s="20">
        <f>IFERROR(__xludf.DUMMYFUNCTION("""COMPUTED_VALUE"""),100.0)</f>
        <v>100</v>
      </c>
      <c r="K101" s="20" t="b">
        <f>IFERROR(__xludf.DUMMYFUNCTION("""COMPUTED_VALUE"""),FALSE)</f>
        <v>0</v>
      </c>
      <c r="L101" s="20" t="str">
        <f>IFERROR(__xludf.DUMMYFUNCTION("""COMPUTED_VALUE"""),"Tree;Depth-First Search;Breadth-First Search;Binary Tree;")</f>
        <v>Tree;Depth-First Search;Breadth-First Search;Binary Tree;</v>
      </c>
      <c r="M101" s="20" t="b">
        <f>IFERROR(__xludf.DUMMYFUNCTION("""COMPUTED_VALUE"""),TRUE)</f>
        <v>1</v>
      </c>
      <c r="N101" s="20" t="b">
        <f>IFERROR(__xludf.DUMMYFUNCTION("""COMPUTED_VALUE"""),FALSE)</f>
        <v>0</v>
      </c>
      <c r="O101" s="20">
        <f>IFERROR(__xludf.DUMMYFUNCTION("""COMPUTED_VALUE"""),56.6008795935582)</f>
        <v>56.60087959</v>
      </c>
      <c r="P101" s="20">
        <f>IFERROR(__xludf.DUMMYFUNCTION("""COMPUTED_VALUE"""),1318494.0)</f>
        <v>1318494</v>
      </c>
      <c r="Q101" s="20">
        <f>IFERROR(__xludf.DUMMYFUNCTION("""COMPUTED_VALUE"""),2329470.0)</f>
        <v>2329470</v>
      </c>
    </row>
    <row r="102">
      <c r="A102" s="20">
        <f>IFERROR(__xludf.DUMMYFUNCTION("""COMPUTED_VALUE"""),101.0)</f>
        <v>101</v>
      </c>
      <c r="B102" s="20" t="str">
        <f>IFERROR(__xludf.DUMMYFUNCTION("""COMPUTED_VALUE"""),"Symmetric Tree")</f>
        <v>Symmetric Tree</v>
      </c>
      <c r="C102" s="20" t="str">
        <f>IFERROR(__xludf.DUMMYFUNCTION("""COMPUTED_VALUE"""),"symmetric-tree")</f>
        <v>symmetric-tree</v>
      </c>
      <c r="D102" s="20" t="b">
        <f>IFERROR(__xludf.DUMMYFUNCTION("""COMPUTED_VALUE"""),FALSE)</f>
        <v>0</v>
      </c>
      <c r="E102" s="20" t="str">
        <f>IFERROR(__xludf.DUMMYFUNCTION("""COMPUTED_VALUE"""),"Easy")</f>
        <v>Easy</v>
      </c>
      <c r="F102" s="20">
        <f>IFERROR(__xludf.DUMMYFUNCTION("""COMPUTED_VALUE"""),11797.0)</f>
        <v>11797</v>
      </c>
      <c r="G102" s="20">
        <f>IFERROR(__xludf.DUMMYFUNCTION("""COMPUTED_VALUE"""),264.0)</f>
        <v>264</v>
      </c>
      <c r="H102" s="20" t="str">
        <f>IFERROR(__xludf.DUMMYFUNCTION("""COMPUTED_VALUE"""),"Algorithms")</f>
        <v>Algorithms</v>
      </c>
      <c r="I102" s="20">
        <f>IFERROR(__xludf.DUMMYFUNCTION("""COMPUTED_VALUE"""),0.531)</f>
        <v>0.531</v>
      </c>
      <c r="J102" s="20">
        <f>IFERROR(__xludf.DUMMYFUNCTION("""COMPUTED_VALUE"""),101.0)</f>
        <v>101</v>
      </c>
      <c r="K102" s="20" t="b">
        <f>IFERROR(__xludf.DUMMYFUNCTION("""COMPUTED_VALUE"""),FALSE)</f>
        <v>0</v>
      </c>
      <c r="L102" s="20" t="str">
        <f>IFERROR(__xludf.DUMMYFUNCTION("""COMPUTED_VALUE"""),"Tree;Depth-First Search;Breadth-First Search;Binary Tree;")</f>
        <v>Tree;Depth-First Search;Breadth-First Search;Binary Tree;</v>
      </c>
      <c r="M102" s="20" t="b">
        <f>IFERROR(__xludf.DUMMYFUNCTION("""COMPUTED_VALUE"""),TRUE)</f>
        <v>1</v>
      </c>
      <c r="N102" s="20" t="b">
        <f>IFERROR(__xludf.DUMMYFUNCTION("""COMPUTED_VALUE"""),TRUE)</f>
        <v>1</v>
      </c>
      <c r="O102" s="20">
        <f>IFERROR(__xludf.DUMMYFUNCTION("""COMPUTED_VALUE"""),53.1328877242608)</f>
        <v>53.13288772</v>
      </c>
      <c r="P102" s="20">
        <f>IFERROR(__xludf.DUMMYFUNCTION("""COMPUTED_VALUE"""),1466996.0)</f>
        <v>1466996</v>
      </c>
      <c r="Q102" s="20">
        <f>IFERROR(__xludf.DUMMYFUNCTION("""COMPUTED_VALUE"""),2761000.0)</f>
        <v>2761000</v>
      </c>
    </row>
    <row r="103">
      <c r="A103" s="20">
        <f>IFERROR(__xludf.DUMMYFUNCTION("""COMPUTED_VALUE"""),102.0)</f>
        <v>102</v>
      </c>
      <c r="B103" s="20" t="str">
        <f>IFERROR(__xludf.DUMMYFUNCTION("""COMPUTED_VALUE"""),"Binary Tree Level Order Traversal")</f>
        <v>Binary Tree Level Order Traversal</v>
      </c>
      <c r="C103" s="20" t="str">
        <f>IFERROR(__xludf.DUMMYFUNCTION("""COMPUTED_VALUE"""),"binary-tree-level-order-traversal")</f>
        <v>binary-tree-level-order-traversal</v>
      </c>
      <c r="D103" s="20" t="b">
        <f>IFERROR(__xludf.DUMMYFUNCTION("""COMPUTED_VALUE"""),FALSE)</f>
        <v>0</v>
      </c>
      <c r="E103" s="20" t="str">
        <f>IFERROR(__xludf.DUMMYFUNCTION("""COMPUTED_VALUE"""),"Medium")</f>
        <v>Medium</v>
      </c>
      <c r="F103" s="20">
        <f>IFERROR(__xludf.DUMMYFUNCTION("""COMPUTED_VALUE"""),11837.0)</f>
        <v>11837</v>
      </c>
      <c r="G103" s="20">
        <f>IFERROR(__xludf.DUMMYFUNCTION("""COMPUTED_VALUE"""),231.0)</f>
        <v>231</v>
      </c>
      <c r="H103" s="20" t="str">
        <f>IFERROR(__xludf.DUMMYFUNCTION("""COMPUTED_VALUE"""),"Algorithms")</f>
        <v>Algorithms</v>
      </c>
      <c r="I103" s="20">
        <f>IFERROR(__xludf.DUMMYFUNCTION("""COMPUTED_VALUE"""),0.636)</f>
        <v>0.636</v>
      </c>
      <c r="J103" s="20">
        <f>IFERROR(__xludf.DUMMYFUNCTION("""COMPUTED_VALUE"""),102.0)</f>
        <v>102</v>
      </c>
      <c r="K103" s="20" t="b">
        <f>IFERROR(__xludf.DUMMYFUNCTION("""COMPUTED_VALUE"""),FALSE)</f>
        <v>0</v>
      </c>
      <c r="L103" s="20" t="str">
        <f>IFERROR(__xludf.DUMMYFUNCTION("""COMPUTED_VALUE"""),"Tree;Breadth-First Search;Binary Tree;")</f>
        <v>Tree;Breadth-First Search;Binary Tree;</v>
      </c>
      <c r="M103" s="20" t="b">
        <f>IFERROR(__xludf.DUMMYFUNCTION("""COMPUTED_VALUE"""),TRUE)</f>
        <v>1</v>
      </c>
      <c r="N103" s="20" t="b">
        <f>IFERROR(__xludf.DUMMYFUNCTION("""COMPUTED_VALUE"""),FALSE)</f>
        <v>0</v>
      </c>
      <c r="O103" s="20">
        <f>IFERROR(__xludf.DUMMYFUNCTION("""COMPUTED_VALUE"""),63.5666428389691)</f>
        <v>63.56664284</v>
      </c>
      <c r="P103" s="20">
        <f>IFERROR(__xludf.DUMMYFUNCTION("""COMPUTED_VALUE"""),1626431.0)</f>
        <v>1626431</v>
      </c>
      <c r="Q103" s="20">
        <f>IFERROR(__xludf.DUMMYFUNCTION("""COMPUTED_VALUE"""),2558629.0)</f>
        <v>2558629</v>
      </c>
    </row>
    <row r="104">
      <c r="A104" s="20">
        <f>IFERROR(__xludf.DUMMYFUNCTION("""COMPUTED_VALUE"""),103.0)</f>
        <v>103</v>
      </c>
      <c r="B104" s="20" t="str">
        <f>IFERROR(__xludf.DUMMYFUNCTION("""COMPUTED_VALUE"""),"Binary Tree Zigzag Level Order Traversal")</f>
        <v>Binary Tree Zigzag Level Order Traversal</v>
      </c>
      <c r="C104" s="20" t="str">
        <f>IFERROR(__xludf.DUMMYFUNCTION("""COMPUTED_VALUE"""),"binary-tree-zigzag-level-order-traversal")</f>
        <v>binary-tree-zigzag-level-order-traversal</v>
      </c>
      <c r="D104" s="20" t="b">
        <f>IFERROR(__xludf.DUMMYFUNCTION("""COMPUTED_VALUE"""),FALSE)</f>
        <v>0</v>
      </c>
      <c r="E104" s="20" t="str">
        <f>IFERROR(__xludf.DUMMYFUNCTION("""COMPUTED_VALUE"""),"Medium")</f>
        <v>Medium</v>
      </c>
      <c r="F104" s="20">
        <f>IFERROR(__xludf.DUMMYFUNCTION("""COMPUTED_VALUE"""),7797.0)</f>
        <v>7797</v>
      </c>
      <c r="G104" s="20">
        <f>IFERROR(__xludf.DUMMYFUNCTION("""COMPUTED_VALUE"""),206.0)</f>
        <v>206</v>
      </c>
      <c r="H104" s="20" t="str">
        <f>IFERROR(__xludf.DUMMYFUNCTION("""COMPUTED_VALUE"""),"Algorithms")</f>
        <v>Algorithms</v>
      </c>
      <c r="I104" s="20">
        <f>IFERROR(__xludf.DUMMYFUNCTION("""COMPUTED_VALUE"""),0.553)</f>
        <v>0.553</v>
      </c>
      <c r="J104" s="20">
        <f>IFERROR(__xludf.DUMMYFUNCTION("""COMPUTED_VALUE"""),103.0)</f>
        <v>103</v>
      </c>
      <c r="K104" s="20" t="b">
        <f>IFERROR(__xludf.DUMMYFUNCTION("""COMPUTED_VALUE"""),FALSE)</f>
        <v>0</v>
      </c>
      <c r="L104" s="20" t="str">
        <f>IFERROR(__xludf.DUMMYFUNCTION("""COMPUTED_VALUE"""),"Tree;Breadth-First Search;Binary Tree;")</f>
        <v>Tree;Breadth-First Search;Binary Tree;</v>
      </c>
      <c r="M104" s="20" t="b">
        <f>IFERROR(__xludf.DUMMYFUNCTION("""COMPUTED_VALUE"""),TRUE)</f>
        <v>1</v>
      </c>
      <c r="N104" s="20" t="b">
        <f>IFERROR(__xludf.DUMMYFUNCTION("""COMPUTED_VALUE"""),FALSE)</f>
        <v>0</v>
      </c>
      <c r="O104" s="20">
        <f>IFERROR(__xludf.DUMMYFUNCTION("""COMPUTED_VALUE"""),55.346561444835)</f>
        <v>55.34656144</v>
      </c>
      <c r="P104" s="20">
        <f>IFERROR(__xludf.DUMMYFUNCTION("""COMPUTED_VALUE"""),846784.0)</f>
        <v>846784</v>
      </c>
      <c r="Q104" s="20">
        <f>IFERROR(__xludf.DUMMYFUNCTION("""COMPUTED_VALUE"""),1529970.0)</f>
        <v>1529970</v>
      </c>
    </row>
    <row r="105">
      <c r="A105" s="20">
        <f>IFERROR(__xludf.DUMMYFUNCTION("""COMPUTED_VALUE"""),104.0)</f>
        <v>104</v>
      </c>
      <c r="B105" s="20" t="str">
        <f>IFERROR(__xludf.DUMMYFUNCTION("""COMPUTED_VALUE"""),"Maximum Depth of Binary Tree")</f>
        <v>Maximum Depth of Binary Tree</v>
      </c>
      <c r="C105" s="20" t="str">
        <f>IFERROR(__xludf.DUMMYFUNCTION("""COMPUTED_VALUE"""),"maximum-depth-of-binary-tree")</f>
        <v>maximum-depth-of-binary-tree</v>
      </c>
      <c r="D105" s="20" t="b">
        <f>IFERROR(__xludf.DUMMYFUNCTION("""COMPUTED_VALUE"""),FALSE)</f>
        <v>0</v>
      </c>
      <c r="E105" s="20" t="str">
        <f>IFERROR(__xludf.DUMMYFUNCTION("""COMPUTED_VALUE"""),"Easy")</f>
        <v>Easy</v>
      </c>
      <c r="F105" s="20">
        <f>IFERROR(__xludf.DUMMYFUNCTION("""COMPUTED_VALUE"""),9239.0)</f>
        <v>9239</v>
      </c>
      <c r="G105" s="20">
        <f>IFERROR(__xludf.DUMMYFUNCTION("""COMPUTED_VALUE"""),154.0)</f>
        <v>154</v>
      </c>
      <c r="H105" s="20" t="str">
        <f>IFERROR(__xludf.DUMMYFUNCTION("""COMPUTED_VALUE"""),"Algorithms")</f>
        <v>Algorithms</v>
      </c>
      <c r="I105" s="20">
        <f>IFERROR(__xludf.DUMMYFUNCTION("""COMPUTED_VALUE"""),0.732)</f>
        <v>0.732</v>
      </c>
      <c r="J105" s="20">
        <f>IFERROR(__xludf.DUMMYFUNCTION("""COMPUTED_VALUE"""),104.0)</f>
        <v>104</v>
      </c>
      <c r="K105" s="20" t="b">
        <f>IFERROR(__xludf.DUMMYFUNCTION("""COMPUTED_VALUE"""),FALSE)</f>
        <v>0</v>
      </c>
      <c r="L105" s="20" t="str">
        <f>IFERROR(__xludf.DUMMYFUNCTION("""COMPUTED_VALUE"""),"Tree;Depth-First Search;Breadth-First Search;Binary Tree;")</f>
        <v>Tree;Depth-First Search;Breadth-First Search;Binary Tree;</v>
      </c>
      <c r="M105" s="20" t="b">
        <f>IFERROR(__xludf.DUMMYFUNCTION("""COMPUTED_VALUE"""),TRUE)</f>
        <v>1</v>
      </c>
      <c r="N105" s="20" t="b">
        <f>IFERROR(__xludf.DUMMYFUNCTION("""COMPUTED_VALUE"""),FALSE)</f>
        <v>0</v>
      </c>
      <c r="O105" s="20">
        <f>IFERROR(__xludf.DUMMYFUNCTION("""COMPUTED_VALUE"""),73.2452176293496)</f>
        <v>73.24521763</v>
      </c>
      <c r="P105" s="20">
        <f>IFERROR(__xludf.DUMMYFUNCTION("""COMPUTED_VALUE"""),2076254.0)</f>
        <v>2076254</v>
      </c>
      <c r="Q105" s="20">
        <f>IFERROR(__xludf.DUMMYFUNCTION("""COMPUTED_VALUE"""),2834663.0)</f>
        <v>2834663</v>
      </c>
    </row>
    <row r="106">
      <c r="A106" s="20">
        <f>IFERROR(__xludf.DUMMYFUNCTION("""COMPUTED_VALUE"""),105.0)</f>
        <v>105</v>
      </c>
      <c r="B106" s="20" t="str">
        <f>IFERROR(__xludf.DUMMYFUNCTION("""COMPUTED_VALUE"""),"Construct Binary Tree from Preorder and Inorder Traversal")</f>
        <v>Construct Binary Tree from Preorder and Inorder Traversal</v>
      </c>
      <c r="C106" s="20" t="str">
        <f>IFERROR(__xludf.DUMMYFUNCTION("""COMPUTED_VALUE"""),"construct-binary-tree-from-preorder-and-inorder-traversal")</f>
        <v>construct-binary-tree-from-preorder-and-inorder-traversal</v>
      </c>
      <c r="D106" s="20" t="b">
        <f>IFERROR(__xludf.DUMMYFUNCTION("""COMPUTED_VALUE"""),FALSE)</f>
        <v>0</v>
      </c>
      <c r="E106" s="20" t="str">
        <f>IFERROR(__xludf.DUMMYFUNCTION("""COMPUTED_VALUE"""),"Medium")</f>
        <v>Medium</v>
      </c>
      <c r="F106" s="20">
        <f>IFERROR(__xludf.DUMMYFUNCTION("""COMPUTED_VALUE"""),11746.0)</f>
        <v>11746</v>
      </c>
      <c r="G106" s="20">
        <f>IFERROR(__xludf.DUMMYFUNCTION("""COMPUTED_VALUE"""),337.0)</f>
        <v>337</v>
      </c>
      <c r="H106" s="20" t="str">
        <f>IFERROR(__xludf.DUMMYFUNCTION("""COMPUTED_VALUE"""),"Algorithms")</f>
        <v>Algorithms</v>
      </c>
      <c r="I106" s="20">
        <f>IFERROR(__xludf.DUMMYFUNCTION("""COMPUTED_VALUE"""),0.61)</f>
        <v>0.61</v>
      </c>
      <c r="J106" s="20">
        <f>IFERROR(__xludf.DUMMYFUNCTION("""COMPUTED_VALUE"""),105.0)</f>
        <v>105</v>
      </c>
      <c r="K106" s="20" t="b">
        <f>IFERROR(__xludf.DUMMYFUNCTION("""COMPUTED_VALUE"""),FALSE)</f>
        <v>0</v>
      </c>
      <c r="L106" s="20" t="str">
        <f>IFERROR(__xludf.DUMMYFUNCTION("""COMPUTED_VALUE"""),"Array;Hash Table;Divide and Conquer;Tree;Binary Tree;")</f>
        <v>Array;Hash Table;Divide and Conquer;Tree;Binary Tree;</v>
      </c>
      <c r="M106" s="20" t="b">
        <f>IFERROR(__xludf.DUMMYFUNCTION("""COMPUTED_VALUE"""),TRUE)</f>
        <v>1</v>
      </c>
      <c r="N106" s="20" t="b">
        <f>IFERROR(__xludf.DUMMYFUNCTION("""COMPUTED_VALUE"""),FALSE)</f>
        <v>0</v>
      </c>
      <c r="O106" s="20">
        <f>IFERROR(__xludf.DUMMYFUNCTION("""COMPUTED_VALUE"""),61.0129618524839)</f>
        <v>61.01296185</v>
      </c>
      <c r="P106" s="20">
        <f>IFERROR(__xludf.DUMMYFUNCTION("""COMPUTED_VALUE"""),899434.0)</f>
        <v>899434</v>
      </c>
      <c r="Q106" s="20">
        <f>IFERROR(__xludf.DUMMYFUNCTION("""COMPUTED_VALUE"""),1474169.0)</f>
        <v>1474169</v>
      </c>
    </row>
    <row r="107">
      <c r="A107" s="20">
        <f>IFERROR(__xludf.DUMMYFUNCTION("""COMPUTED_VALUE"""),106.0)</f>
        <v>106</v>
      </c>
      <c r="B107" s="20" t="str">
        <f>IFERROR(__xludf.DUMMYFUNCTION("""COMPUTED_VALUE"""),"Construct Binary Tree from Inorder and Postorder Traversal")</f>
        <v>Construct Binary Tree from Inorder and Postorder Traversal</v>
      </c>
      <c r="C107" s="20" t="str">
        <f>IFERROR(__xludf.DUMMYFUNCTION("""COMPUTED_VALUE"""),"construct-binary-tree-from-inorder-and-postorder-traversal")</f>
        <v>construct-binary-tree-from-inorder-and-postorder-traversal</v>
      </c>
      <c r="D107" s="20" t="b">
        <f>IFERROR(__xludf.DUMMYFUNCTION("""COMPUTED_VALUE"""),FALSE)</f>
        <v>0</v>
      </c>
      <c r="E107" s="20" t="str">
        <f>IFERROR(__xludf.DUMMYFUNCTION("""COMPUTED_VALUE"""),"Medium")</f>
        <v>Medium</v>
      </c>
      <c r="F107" s="20">
        <f>IFERROR(__xludf.DUMMYFUNCTION("""COMPUTED_VALUE"""),5595.0)</f>
        <v>5595</v>
      </c>
      <c r="G107" s="20">
        <f>IFERROR(__xludf.DUMMYFUNCTION("""COMPUTED_VALUE"""),84.0)</f>
        <v>84</v>
      </c>
      <c r="H107" s="20" t="str">
        <f>IFERROR(__xludf.DUMMYFUNCTION("""COMPUTED_VALUE"""),"Algorithms")</f>
        <v>Algorithms</v>
      </c>
      <c r="I107" s="20">
        <f>IFERROR(__xludf.DUMMYFUNCTION("""COMPUTED_VALUE"""),0.577)</f>
        <v>0.577</v>
      </c>
      <c r="J107" s="20">
        <f>IFERROR(__xludf.DUMMYFUNCTION("""COMPUTED_VALUE"""),106.0)</f>
        <v>106</v>
      </c>
      <c r="K107" s="20" t="b">
        <f>IFERROR(__xludf.DUMMYFUNCTION("""COMPUTED_VALUE"""),FALSE)</f>
        <v>0</v>
      </c>
      <c r="L107" s="20" t="str">
        <f>IFERROR(__xludf.DUMMYFUNCTION("""COMPUTED_VALUE"""),"Array;Hash Table;Divide and Conquer;Tree;Binary Tree;")</f>
        <v>Array;Hash Table;Divide and Conquer;Tree;Binary Tree;</v>
      </c>
      <c r="M107" s="20" t="b">
        <f>IFERROR(__xludf.DUMMYFUNCTION("""COMPUTED_VALUE"""),TRUE)</f>
        <v>1</v>
      </c>
      <c r="N107" s="20" t="b">
        <f>IFERROR(__xludf.DUMMYFUNCTION("""COMPUTED_VALUE"""),FALSE)</f>
        <v>0</v>
      </c>
      <c r="O107" s="20">
        <f>IFERROR(__xludf.DUMMYFUNCTION("""COMPUTED_VALUE"""),57.6757760949866)</f>
        <v>57.67577609</v>
      </c>
      <c r="P107" s="20">
        <f>IFERROR(__xludf.DUMMYFUNCTION("""COMPUTED_VALUE"""),452338.0)</f>
        <v>452338</v>
      </c>
      <c r="Q107" s="20">
        <f>IFERROR(__xludf.DUMMYFUNCTION("""COMPUTED_VALUE"""),784278.0)</f>
        <v>784278</v>
      </c>
    </row>
    <row r="108">
      <c r="A108" s="20">
        <f>IFERROR(__xludf.DUMMYFUNCTION("""COMPUTED_VALUE"""),107.0)</f>
        <v>107</v>
      </c>
      <c r="B108" s="20" t="str">
        <f>IFERROR(__xludf.DUMMYFUNCTION("""COMPUTED_VALUE"""),"Binary Tree Level Order Traversal II")</f>
        <v>Binary Tree Level Order Traversal II</v>
      </c>
      <c r="C108" s="20" t="str">
        <f>IFERROR(__xludf.DUMMYFUNCTION("""COMPUTED_VALUE"""),"binary-tree-level-order-traversal-ii")</f>
        <v>binary-tree-level-order-traversal-ii</v>
      </c>
      <c r="D108" s="20" t="b">
        <f>IFERROR(__xludf.DUMMYFUNCTION("""COMPUTED_VALUE"""),FALSE)</f>
        <v>0</v>
      </c>
      <c r="E108" s="20" t="str">
        <f>IFERROR(__xludf.DUMMYFUNCTION("""COMPUTED_VALUE"""),"Medium")</f>
        <v>Medium</v>
      </c>
      <c r="F108" s="20">
        <f>IFERROR(__xludf.DUMMYFUNCTION("""COMPUTED_VALUE"""),3969.0)</f>
        <v>3969</v>
      </c>
      <c r="G108" s="20">
        <f>IFERROR(__xludf.DUMMYFUNCTION("""COMPUTED_VALUE"""),306.0)</f>
        <v>306</v>
      </c>
      <c r="H108" s="20" t="str">
        <f>IFERROR(__xludf.DUMMYFUNCTION("""COMPUTED_VALUE"""),"Algorithms")</f>
        <v>Algorithms</v>
      </c>
      <c r="I108" s="20">
        <f>IFERROR(__xludf.DUMMYFUNCTION("""COMPUTED_VALUE"""),0.606)</f>
        <v>0.606</v>
      </c>
      <c r="J108" s="20">
        <f>IFERROR(__xludf.DUMMYFUNCTION("""COMPUTED_VALUE"""),107.0)</f>
        <v>107</v>
      </c>
      <c r="K108" s="20" t="b">
        <f>IFERROR(__xludf.DUMMYFUNCTION("""COMPUTED_VALUE"""),FALSE)</f>
        <v>0</v>
      </c>
      <c r="L108" s="20" t="str">
        <f>IFERROR(__xludf.DUMMYFUNCTION("""COMPUTED_VALUE"""),"Tree;Breadth-First Search;Binary Tree;")</f>
        <v>Tree;Breadth-First Search;Binary Tree;</v>
      </c>
      <c r="M108" s="20" t="b">
        <f>IFERROR(__xludf.DUMMYFUNCTION("""COMPUTED_VALUE"""),TRUE)</f>
        <v>1</v>
      </c>
      <c r="N108" s="20" t="b">
        <f>IFERROR(__xludf.DUMMYFUNCTION("""COMPUTED_VALUE"""),FALSE)</f>
        <v>0</v>
      </c>
      <c r="O108" s="20">
        <f>IFERROR(__xludf.DUMMYFUNCTION("""COMPUTED_VALUE"""),60.5761356467394)</f>
        <v>60.57613565</v>
      </c>
      <c r="P108" s="20">
        <f>IFERROR(__xludf.DUMMYFUNCTION("""COMPUTED_VALUE"""),554035.0)</f>
        <v>554035</v>
      </c>
      <c r="Q108" s="20">
        <f>IFERROR(__xludf.DUMMYFUNCTION("""COMPUTED_VALUE"""),914610.0)</f>
        <v>914610</v>
      </c>
    </row>
    <row r="109">
      <c r="A109" s="20">
        <f>IFERROR(__xludf.DUMMYFUNCTION("""COMPUTED_VALUE"""),108.0)</f>
        <v>108</v>
      </c>
      <c r="B109" s="20" t="str">
        <f>IFERROR(__xludf.DUMMYFUNCTION("""COMPUTED_VALUE"""),"Convert Sorted Array to Binary Search Tree")</f>
        <v>Convert Sorted Array to Binary Search Tree</v>
      </c>
      <c r="C109" s="20" t="str">
        <f>IFERROR(__xludf.DUMMYFUNCTION("""COMPUTED_VALUE"""),"convert-sorted-array-to-binary-search-tree")</f>
        <v>convert-sorted-array-to-binary-search-tree</v>
      </c>
      <c r="D109" s="20" t="b">
        <f>IFERROR(__xludf.DUMMYFUNCTION("""COMPUTED_VALUE"""),FALSE)</f>
        <v>0</v>
      </c>
      <c r="E109" s="20" t="str">
        <f>IFERROR(__xludf.DUMMYFUNCTION("""COMPUTED_VALUE"""),"Easy")</f>
        <v>Easy</v>
      </c>
      <c r="F109" s="20">
        <f>IFERROR(__xludf.DUMMYFUNCTION("""COMPUTED_VALUE"""),8785.0)</f>
        <v>8785</v>
      </c>
      <c r="G109" s="20">
        <f>IFERROR(__xludf.DUMMYFUNCTION("""COMPUTED_VALUE"""),440.0)</f>
        <v>440</v>
      </c>
      <c r="H109" s="20" t="str">
        <f>IFERROR(__xludf.DUMMYFUNCTION("""COMPUTED_VALUE"""),"Algorithms")</f>
        <v>Algorithms</v>
      </c>
      <c r="I109" s="20">
        <f>IFERROR(__xludf.DUMMYFUNCTION("""COMPUTED_VALUE"""),0.693)</f>
        <v>0.693</v>
      </c>
      <c r="J109" s="20">
        <f>IFERROR(__xludf.DUMMYFUNCTION("""COMPUTED_VALUE"""),108.0)</f>
        <v>108</v>
      </c>
      <c r="K109" s="20" t="b">
        <f>IFERROR(__xludf.DUMMYFUNCTION("""COMPUTED_VALUE"""),FALSE)</f>
        <v>0</v>
      </c>
      <c r="L109" s="20" t="str">
        <f>IFERROR(__xludf.DUMMYFUNCTION("""COMPUTED_VALUE"""),"Array;Divide and Conquer;Tree;Binary Search Tree;Binary Tree;")</f>
        <v>Array;Divide and Conquer;Tree;Binary Search Tree;Binary Tree;</v>
      </c>
      <c r="M109" s="20" t="b">
        <f>IFERROR(__xludf.DUMMYFUNCTION("""COMPUTED_VALUE"""),TRUE)</f>
        <v>1</v>
      </c>
      <c r="N109" s="20" t="b">
        <f>IFERROR(__xludf.DUMMYFUNCTION("""COMPUTED_VALUE"""),FALSE)</f>
        <v>0</v>
      </c>
      <c r="O109" s="20">
        <f>IFERROR(__xludf.DUMMYFUNCTION("""COMPUTED_VALUE"""),69.3030041290975)</f>
        <v>69.30300413</v>
      </c>
      <c r="P109" s="20">
        <f>IFERROR(__xludf.DUMMYFUNCTION("""COMPUTED_VALUE"""),921107.0)</f>
        <v>921107</v>
      </c>
      <c r="Q109" s="20">
        <f>IFERROR(__xludf.DUMMYFUNCTION("""COMPUTED_VALUE"""),1329100.0)</f>
        <v>1329100</v>
      </c>
    </row>
    <row r="110">
      <c r="A110" s="20">
        <f>IFERROR(__xludf.DUMMYFUNCTION("""COMPUTED_VALUE"""),109.0)</f>
        <v>109</v>
      </c>
      <c r="B110" s="20" t="str">
        <f>IFERROR(__xludf.DUMMYFUNCTION("""COMPUTED_VALUE"""),"Convert Sorted List to Binary Search Tree")</f>
        <v>Convert Sorted List to Binary Search Tree</v>
      </c>
      <c r="C110" s="20" t="str">
        <f>IFERROR(__xludf.DUMMYFUNCTION("""COMPUTED_VALUE"""),"convert-sorted-list-to-binary-search-tree")</f>
        <v>convert-sorted-list-to-binary-search-tree</v>
      </c>
      <c r="D110" s="20" t="b">
        <f>IFERROR(__xludf.DUMMYFUNCTION("""COMPUTED_VALUE"""),FALSE)</f>
        <v>0</v>
      </c>
      <c r="E110" s="20" t="str">
        <f>IFERROR(__xludf.DUMMYFUNCTION("""COMPUTED_VALUE"""),"Medium")</f>
        <v>Medium</v>
      </c>
      <c r="F110" s="20">
        <f>IFERROR(__xludf.DUMMYFUNCTION("""COMPUTED_VALUE"""),5463.0)</f>
        <v>5463</v>
      </c>
      <c r="G110" s="20">
        <f>IFERROR(__xludf.DUMMYFUNCTION("""COMPUTED_VALUE"""),125.0)</f>
        <v>125</v>
      </c>
      <c r="H110" s="20" t="str">
        <f>IFERROR(__xludf.DUMMYFUNCTION("""COMPUTED_VALUE"""),"Algorithms")</f>
        <v>Algorithms</v>
      </c>
      <c r="I110" s="20">
        <f>IFERROR(__xludf.DUMMYFUNCTION("""COMPUTED_VALUE"""),0.575)</f>
        <v>0.575</v>
      </c>
      <c r="J110" s="20">
        <f>IFERROR(__xludf.DUMMYFUNCTION("""COMPUTED_VALUE"""),109.0)</f>
        <v>109</v>
      </c>
      <c r="K110" s="20" t="b">
        <f>IFERROR(__xludf.DUMMYFUNCTION("""COMPUTED_VALUE"""),FALSE)</f>
        <v>0</v>
      </c>
      <c r="L110" s="20" t="str">
        <f>IFERROR(__xludf.DUMMYFUNCTION("""COMPUTED_VALUE"""),"Linked List;Divide and Conquer;Tree;Binary Search Tree;Binary Tree;")</f>
        <v>Linked List;Divide and Conquer;Tree;Binary Search Tree;Binary Tree;</v>
      </c>
      <c r="M110" s="20" t="b">
        <f>IFERROR(__xludf.DUMMYFUNCTION("""COMPUTED_VALUE"""),TRUE)</f>
        <v>1</v>
      </c>
      <c r="N110" s="20" t="b">
        <f>IFERROR(__xludf.DUMMYFUNCTION("""COMPUTED_VALUE"""),FALSE)</f>
        <v>0</v>
      </c>
      <c r="O110" s="20">
        <f>IFERROR(__xludf.DUMMYFUNCTION("""COMPUTED_VALUE"""),57.5373941565901)</f>
        <v>57.53739416</v>
      </c>
      <c r="P110" s="20">
        <f>IFERROR(__xludf.DUMMYFUNCTION("""COMPUTED_VALUE"""),411172.0)</f>
        <v>411172</v>
      </c>
      <c r="Q110" s="20">
        <f>IFERROR(__xludf.DUMMYFUNCTION("""COMPUTED_VALUE"""),714617.0)</f>
        <v>714617</v>
      </c>
    </row>
    <row r="111">
      <c r="A111" s="20">
        <f>IFERROR(__xludf.DUMMYFUNCTION("""COMPUTED_VALUE"""),110.0)</f>
        <v>110</v>
      </c>
      <c r="B111" s="20" t="str">
        <f>IFERROR(__xludf.DUMMYFUNCTION("""COMPUTED_VALUE"""),"Balanced Binary Tree")</f>
        <v>Balanced Binary Tree</v>
      </c>
      <c r="C111" s="20" t="str">
        <f>IFERROR(__xludf.DUMMYFUNCTION("""COMPUTED_VALUE"""),"balanced-binary-tree")</f>
        <v>balanced-binary-tree</v>
      </c>
      <c r="D111" s="20" t="b">
        <f>IFERROR(__xludf.DUMMYFUNCTION("""COMPUTED_VALUE"""),FALSE)</f>
        <v>0</v>
      </c>
      <c r="E111" s="20" t="str">
        <f>IFERROR(__xludf.DUMMYFUNCTION("""COMPUTED_VALUE"""),"Easy")</f>
        <v>Easy</v>
      </c>
      <c r="F111" s="20">
        <f>IFERROR(__xludf.DUMMYFUNCTION("""COMPUTED_VALUE"""),7979.0)</f>
        <v>7979</v>
      </c>
      <c r="G111" s="20">
        <f>IFERROR(__xludf.DUMMYFUNCTION("""COMPUTED_VALUE"""),448.0)</f>
        <v>448</v>
      </c>
      <c r="H111" s="20" t="str">
        <f>IFERROR(__xludf.DUMMYFUNCTION("""COMPUTED_VALUE"""),"Algorithms")</f>
        <v>Algorithms</v>
      </c>
      <c r="I111" s="20">
        <f>IFERROR(__xludf.DUMMYFUNCTION("""COMPUTED_VALUE"""),0.484)</f>
        <v>0.484</v>
      </c>
      <c r="J111" s="20">
        <f>IFERROR(__xludf.DUMMYFUNCTION("""COMPUTED_VALUE"""),110.0)</f>
        <v>110</v>
      </c>
      <c r="K111" s="20" t="b">
        <f>IFERROR(__xludf.DUMMYFUNCTION("""COMPUTED_VALUE"""),FALSE)</f>
        <v>0</v>
      </c>
      <c r="L111" s="20" t="str">
        <f>IFERROR(__xludf.DUMMYFUNCTION("""COMPUTED_VALUE"""),"Tree;Depth-First Search;Binary Tree;")</f>
        <v>Tree;Depth-First Search;Binary Tree;</v>
      </c>
      <c r="M111" s="20" t="b">
        <f>IFERROR(__xludf.DUMMYFUNCTION("""COMPUTED_VALUE"""),TRUE)</f>
        <v>1</v>
      </c>
      <c r="N111" s="20" t="b">
        <f>IFERROR(__xludf.DUMMYFUNCTION("""COMPUTED_VALUE"""),FALSE)</f>
        <v>0</v>
      </c>
      <c r="O111" s="20">
        <f>IFERROR(__xludf.DUMMYFUNCTION("""COMPUTED_VALUE"""),48.386845065494)</f>
        <v>48.38684507</v>
      </c>
      <c r="P111" s="20">
        <f>IFERROR(__xludf.DUMMYFUNCTION("""COMPUTED_VALUE"""),998368.0)</f>
        <v>998368</v>
      </c>
      <c r="Q111" s="20">
        <f>IFERROR(__xludf.DUMMYFUNCTION("""COMPUTED_VALUE"""),2063303.0)</f>
        <v>2063303</v>
      </c>
    </row>
    <row r="112">
      <c r="A112" s="20">
        <f>IFERROR(__xludf.DUMMYFUNCTION("""COMPUTED_VALUE"""),111.0)</f>
        <v>111</v>
      </c>
      <c r="B112" s="20" t="str">
        <f>IFERROR(__xludf.DUMMYFUNCTION("""COMPUTED_VALUE"""),"Minimum Depth of Binary Tree")</f>
        <v>Minimum Depth of Binary Tree</v>
      </c>
      <c r="C112" s="20" t="str">
        <f>IFERROR(__xludf.DUMMYFUNCTION("""COMPUTED_VALUE"""),"minimum-depth-of-binary-tree")</f>
        <v>minimum-depth-of-binary-tree</v>
      </c>
      <c r="D112" s="20" t="b">
        <f>IFERROR(__xludf.DUMMYFUNCTION("""COMPUTED_VALUE"""),FALSE)</f>
        <v>0</v>
      </c>
      <c r="E112" s="20" t="str">
        <f>IFERROR(__xludf.DUMMYFUNCTION("""COMPUTED_VALUE"""),"Easy")</f>
        <v>Easy</v>
      </c>
      <c r="F112" s="20">
        <f>IFERROR(__xludf.DUMMYFUNCTION("""COMPUTED_VALUE"""),5194.0)</f>
        <v>5194</v>
      </c>
      <c r="G112" s="20">
        <f>IFERROR(__xludf.DUMMYFUNCTION("""COMPUTED_VALUE"""),1048.0)</f>
        <v>1048</v>
      </c>
      <c r="H112" s="20" t="str">
        <f>IFERROR(__xludf.DUMMYFUNCTION("""COMPUTED_VALUE"""),"Algorithms")</f>
        <v>Algorithms</v>
      </c>
      <c r="I112" s="20">
        <f>IFERROR(__xludf.DUMMYFUNCTION("""COMPUTED_VALUE"""),0.438)</f>
        <v>0.438</v>
      </c>
      <c r="J112" s="20">
        <f>IFERROR(__xludf.DUMMYFUNCTION("""COMPUTED_VALUE"""),111.0)</f>
        <v>111</v>
      </c>
      <c r="K112" s="20" t="b">
        <f>IFERROR(__xludf.DUMMYFUNCTION("""COMPUTED_VALUE"""),FALSE)</f>
        <v>0</v>
      </c>
      <c r="L112" s="20" t="str">
        <f>IFERROR(__xludf.DUMMYFUNCTION("""COMPUTED_VALUE"""),"Tree;Depth-First Search;Breadth-First Search;Binary Tree;")</f>
        <v>Tree;Depth-First Search;Breadth-First Search;Binary Tree;</v>
      </c>
      <c r="M112" s="20" t="b">
        <f>IFERROR(__xludf.DUMMYFUNCTION("""COMPUTED_VALUE"""),TRUE)</f>
        <v>1</v>
      </c>
      <c r="N112" s="20" t="b">
        <f>IFERROR(__xludf.DUMMYFUNCTION("""COMPUTED_VALUE"""),FALSE)</f>
        <v>0</v>
      </c>
      <c r="O112" s="20">
        <f>IFERROR(__xludf.DUMMYFUNCTION("""COMPUTED_VALUE"""),43.8114540153533)</f>
        <v>43.81145402</v>
      </c>
      <c r="P112" s="20">
        <f>IFERROR(__xludf.DUMMYFUNCTION("""COMPUTED_VALUE"""),877861.0)</f>
        <v>877861</v>
      </c>
      <c r="Q112" s="20">
        <f>IFERROR(__xludf.DUMMYFUNCTION("""COMPUTED_VALUE"""),2003727.0)</f>
        <v>2003727</v>
      </c>
    </row>
    <row r="113">
      <c r="A113" s="20">
        <f>IFERROR(__xludf.DUMMYFUNCTION("""COMPUTED_VALUE"""),112.0)</f>
        <v>112</v>
      </c>
      <c r="B113" s="20" t="str">
        <f>IFERROR(__xludf.DUMMYFUNCTION("""COMPUTED_VALUE"""),"Path Sum")</f>
        <v>Path Sum</v>
      </c>
      <c r="C113" s="20" t="str">
        <f>IFERROR(__xludf.DUMMYFUNCTION("""COMPUTED_VALUE"""),"path-sum")</f>
        <v>path-sum</v>
      </c>
      <c r="D113" s="20" t="b">
        <f>IFERROR(__xludf.DUMMYFUNCTION("""COMPUTED_VALUE"""),FALSE)</f>
        <v>0</v>
      </c>
      <c r="E113" s="20" t="str">
        <f>IFERROR(__xludf.DUMMYFUNCTION("""COMPUTED_VALUE"""),"Easy")</f>
        <v>Easy</v>
      </c>
      <c r="F113" s="20">
        <f>IFERROR(__xludf.DUMMYFUNCTION("""COMPUTED_VALUE"""),7623.0)</f>
        <v>7623</v>
      </c>
      <c r="G113" s="20">
        <f>IFERROR(__xludf.DUMMYFUNCTION("""COMPUTED_VALUE"""),903.0)</f>
        <v>903</v>
      </c>
      <c r="H113" s="20" t="str">
        <f>IFERROR(__xludf.DUMMYFUNCTION("""COMPUTED_VALUE"""),"Algorithms")</f>
        <v>Algorithms</v>
      </c>
      <c r="I113" s="20">
        <f>IFERROR(__xludf.DUMMYFUNCTION("""COMPUTED_VALUE"""),0.478)</f>
        <v>0.478</v>
      </c>
      <c r="J113" s="20">
        <f>IFERROR(__xludf.DUMMYFUNCTION("""COMPUTED_VALUE"""),112.0)</f>
        <v>112</v>
      </c>
      <c r="K113" s="20" t="b">
        <f>IFERROR(__xludf.DUMMYFUNCTION("""COMPUTED_VALUE"""),FALSE)</f>
        <v>0</v>
      </c>
      <c r="L113" s="20" t="str">
        <f>IFERROR(__xludf.DUMMYFUNCTION("""COMPUTED_VALUE"""),"Tree;Depth-First Search;Breadth-First Search;Binary Tree;")</f>
        <v>Tree;Depth-First Search;Breadth-First Search;Binary Tree;</v>
      </c>
      <c r="M113" s="20" t="b">
        <f>IFERROR(__xludf.DUMMYFUNCTION("""COMPUTED_VALUE"""),TRUE)</f>
        <v>1</v>
      </c>
      <c r="N113" s="20" t="b">
        <f>IFERROR(__xludf.DUMMYFUNCTION("""COMPUTED_VALUE"""),FALSE)</f>
        <v>0</v>
      </c>
      <c r="O113" s="20">
        <f>IFERROR(__xludf.DUMMYFUNCTION("""COMPUTED_VALUE"""),47.805253315904)</f>
        <v>47.80525332</v>
      </c>
      <c r="P113" s="20">
        <f>IFERROR(__xludf.DUMMYFUNCTION("""COMPUTED_VALUE"""),1094929.0)</f>
        <v>1094929</v>
      </c>
      <c r="Q113" s="20">
        <f>IFERROR(__xludf.DUMMYFUNCTION("""COMPUTED_VALUE"""),2290393.0)</f>
        <v>2290393</v>
      </c>
    </row>
    <row r="114">
      <c r="A114" s="20">
        <f>IFERROR(__xludf.DUMMYFUNCTION("""COMPUTED_VALUE"""),113.0)</f>
        <v>113</v>
      </c>
      <c r="B114" s="20" t="str">
        <f>IFERROR(__xludf.DUMMYFUNCTION("""COMPUTED_VALUE"""),"Path Sum II")</f>
        <v>Path Sum II</v>
      </c>
      <c r="C114" s="20" t="str">
        <f>IFERROR(__xludf.DUMMYFUNCTION("""COMPUTED_VALUE"""),"path-sum-ii")</f>
        <v>path-sum-ii</v>
      </c>
      <c r="D114" s="20" t="b">
        <f>IFERROR(__xludf.DUMMYFUNCTION("""COMPUTED_VALUE"""),FALSE)</f>
        <v>0</v>
      </c>
      <c r="E114" s="20" t="str">
        <f>IFERROR(__xludf.DUMMYFUNCTION("""COMPUTED_VALUE"""),"Medium")</f>
        <v>Medium</v>
      </c>
      <c r="F114" s="20">
        <f>IFERROR(__xludf.DUMMYFUNCTION("""COMPUTED_VALUE"""),6560.0)</f>
        <v>6560</v>
      </c>
      <c r="G114" s="20">
        <f>IFERROR(__xludf.DUMMYFUNCTION("""COMPUTED_VALUE"""),135.0)</f>
        <v>135</v>
      </c>
      <c r="H114" s="20" t="str">
        <f>IFERROR(__xludf.DUMMYFUNCTION("""COMPUTED_VALUE"""),"Algorithms")</f>
        <v>Algorithms</v>
      </c>
      <c r="I114" s="20">
        <f>IFERROR(__xludf.DUMMYFUNCTION("""COMPUTED_VALUE"""),0.568)</f>
        <v>0.568</v>
      </c>
      <c r="J114" s="20">
        <f>IFERROR(__xludf.DUMMYFUNCTION("""COMPUTED_VALUE"""),113.0)</f>
        <v>113</v>
      </c>
      <c r="K114" s="20" t="b">
        <f>IFERROR(__xludf.DUMMYFUNCTION("""COMPUTED_VALUE"""),FALSE)</f>
        <v>0</v>
      </c>
      <c r="L114" s="20" t="str">
        <f>IFERROR(__xludf.DUMMYFUNCTION("""COMPUTED_VALUE"""),"Backtracking;Tree;Depth-First Search;Binary Tree;")</f>
        <v>Backtracking;Tree;Depth-First Search;Binary Tree;</v>
      </c>
      <c r="M114" s="20" t="b">
        <f>IFERROR(__xludf.DUMMYFUNCTION("""COMPUTED_VALUE"""),TRUE)</f>
        <v>1</v>
      </c>
      <c r="N114" s="20" t="b">
        <f>IFERROR(__xludf.DUMMYFUNCTION("""COMPUTED_VALUE"""),FALSE)</f>
        <v>0</v>
      </c>
      <c r="O114" s="20">
        <f>IFERROR(__xludf.DUMMYFUNCTION("""COMPUTED_VALUE"""),56.7757186731548)</f>
        <v>56.77571867</v>
      </c>
      <c r="P114" s="20">
        <f>IFERROR(__xludf.DUMMYFUNCTION("""COMPUTED_VALUE"""),710433.0)</f>
        <v>710433</v>
      </c>
      <c r="Q114" s="20">
        <f>IFERROR(__xludf.DUMMYFUNCTION("""COMPUTED_VALUE"""),1251298.0)</f>
        <v>1251298</v>
      </c>
    </row>
    <row r="115">
      <c r="A115" s="20">
        <f>IFERROR(__xludf.DUMMYFUNCTION("""COMPUTED_VALUE"""),114.0)</f>
        <v>114</v>
      </c>
      <c r="B115" s="20" t="str">
        <f>IFERROR(__xludf.DUMMYFUNCTION("""COMPUTED_VALUE"""),"Flatten Binary Tree to Linked List")</f>
        <v>Flatten Binary Tree to Linked List</v>
      </c>
      <c r="C115" s="20" t="str">
        <f>IFERROR(__xludf.DUMMYFUNCTION("""COMPUTED_VALUE"""),"flatten-binary-tree-to-linked-list")</f>
        <v>flatten-binary-tree-to-linked-list</v>
      </c>
      <c r="D115" s="20" t="b">
        <f>IFERROR(__xludf.DUMMYFUNCTION("""COMPUTED_VALUE"""),FALSE)</f>
        <v>0</v>
      </c>
      <c r="E115" s="20" t="str">
        <f>IFERROR(__xludf.DUMMYFUNCTION("""COMPUTED_VALUE"""),"Medium")</f>
        <v>Medium</v>
      </c>
      <c r="F115" s="20">
        <f>IFERROR(__xludf.DUMMYFUNCTION("""COMPUTED_VALUE"""),9771.0)</f>
        <v>9771</v>
      </c>
      <c r="G115" s="20">
        <f>IFERROR(__xludf.DUMMYFUNCTION("""COMPUTED_VALUE"""),497.0)</f>
        <v>497</v>
      </c>
      <c r="H115" s="20" t="str">
        <f>IFERROR(__xludf.DUMMYFUNCTION("""COMPUTED_VALUE"""),"Algorithms")</f>
        <v>Algorithms</v>
      </c>
      <c r="I115" s="20">
        <f>IFERROR(__xludf.DUMMYFUNCTION("""COMPUTED_VALUE"""),0.613)</f>
        <v>0.613</v>
      </c>
      <c r="J115" s="20">
        <f>IFERROR(__xludf.DUMMYFUNCTION("""COMPUTED_VALUE"""),114.0)</f>
        <v>114</v>
      </c>
      <c r="K115" s="20" t="b">
        <f>IFERROR(__xludf.DUMMYFUNCTION("""COMPUTED_VALUE"""),FALSE)</f>
        <v>0</v>
      </c>
      <c r="L115" s="20" t="str">
        <f>IFERROR(__xludf.DUMMYFUNCTION("""COMPUTED_VALUE"""),"Linked List;Stack;Tree;Depth-First Search;Binary Tree;")</f>
        <v>Linked List;Stack;Tree;Depth-First Search;Binary Tree;</v>
      </c>
      <c r="M115" s="20" t="b">
        <f>IFERROR(__xludf.DUMMYFUNCTION("""COMPUTED_VALUE"""),TRUE)</f>
        <v>1</v>
      </c>
      <c r="N115" s="20" t="b">
        <f>IFERROR(__xludf.DUMMYFUNCTION("""COMPUTED_VALUE"""),FALSE)</f>
        <v>0</v>
      </c>
      <c r="O115" s="20">
        <f>IFERROR(__xludf.DUMMYFUNCTION("""COMPUTED_VALUE"""),61.3389908070205)</f>
        <v>61.33899081</v>
      </c>
      <c r="P115" s="20">
        <f>IFERROR(__xludf.DUMMYFUNCTION("""COMPUTED_VALUE"""),738562.0)</f>
        <v>738562</v>
      </c>
      <c r="Q115" s="20">
        <f>IFERROR(__xludf.DUMMYFUNCTION("""COMPUTED_VALUE"""),1204068.0)</f>
        <v>1204068</v>
      </c>
    </row>
    <row r="116">
      <c r="A116" s="20">
        <f>IFERROR(__xludf.DUMMYFUNCTION("""COMPUTED_VALUE"""),115.0)</f>
        <v>115</v>
      </c>
      <c r="B116" s="20" t="str">
        <f>IFERROR(__xludf.DUMMYFUNCTION("""COMPUTED_VALUE"""),"Distinct Subsequences")</f>
        <v>Distinct Subsequences</v>
      </c>
      <c r="C116" s="20" t="str">
        <f>IFERROR(__xludf.DUMMYFUNCTION("""COMPUTED_VALUE"""),"distinct-subsequences")</f>
        <v>distinct-subsequences</v>
      </c>
      <c r="D116" s="20" t="b">
        <f>IFERROR(__xludf.DUMMYFUNCTION("""COMPUTED_VALUE"""),FALSE)</f>
        <v>0</v>
      </c>
      <c r="E116" s="20" t="str">
        <f>IFERROR(__xludf.DUMMYFUNCTION("""COMPUTED_VALUE"""),"Hard")</f>
        <v>Hard</v>
      </c>
      <c r="F116" s="20">
        <f>IFERROR(__xludf.DUMMYFUNCTION("""COMPUTED_VALUE"""),4772.0)</f>
        <v>4772</v>
      </c>
      <c r="G116" s="20">
        <f>IFERROR(__xludf.DUMMYFUNCTION("""COMPUTED_VALUE"""),191.0)</f>
        <v>191</v>
      </c>
      <c r="H116" s="20" t="str">
        <f>IFERROR(__xludf.DUMMYFUNCTION("""COMPUTED_VALUE"""),"Algorithms")</f>
        <v>Algorithms</v>
      </c>
      <c r="I116" s="20">
        <f>IFERROR(__xludf.DUMMYFUNCTION("""COMPUTED_VALUE"""),0.44)</f>
        <v>0.44</v>
      </c>
      <c r="J116" s="20">
        <f>IFERROR(__xludf.DUMMYFUNCTION("""COMPUTED_VALUE"""),115.0)</f>
        <v>115</v>
      </c>
      <c r="K116" s="20" t="b">
        <f>IFERROR(__xludf.DUMMYFUNCTION("""COMPUTED_VALUE"""),FALSE)</f>
        <v>0</v>
      </c>
      <c r="L116" s="20" t="str">
        <f>IFERROR(__xludf.DUMMYFUNCTION("""COMPUTED_VALUE"""),"String;Dynamic Programming;")</f>
        <v>String;Dynamic Programming;</v>
      </c>
      <c r="M116" s="20" t="b">
        <f>IFERROR(__xludf.DUMMYFUNCTION("""COMPUTED_VALUE"""),TRUE)</f>
        <v>1</v>
      </c>
      <c r="N116" s="20" t="b">
        <f>IFERROR(__xludf.DUMMYFUNCTION("""COMPUTED_VALUE"""),FALSE)</f>
        <v>0</v>
      </c>
      <c r="O116" s="20">
        <f>IFERROR(__xludf.DUMMYFUNCTION("""COMPUTED_VALUE"""),43.9642689816953)</f>
        <v>43.96426898</v>
      </c>
      <c r="P116" s="20">
        <f>IFERROR(__xludf.DUMMYFUNCTION("""COMPUTED_VALUE"""),269314.0)</f>
        <v>269314</v>
      </c>
      <c r="Q116" s="20">
        <f>IFERROR(__xludf.DUMMYFUNCTION("""COMPUTED_VALUE"""),612573.0)</f>
        <v>612573</v>
      </c>
    </row>
    <row r="117">
      <c r="A117" s="20">
        <f>IFERROR(__xludf.DUMMYFUNCTION("""COMPUTED_VALUE"""),116.0)</f>
        <v>116</v>
      </c>
      <c r="B117" s="20" t="str">
        <f>IFERROR(__xludf.DUMMYFUNCTION("""COMPUTED_VALUE"""),"Populating Next Right Pointers in Each Node")</f>
        <v>Populating Next Right Pointers in Each Node</v>
      </c>
      <c r="C117" s="20" t="str">
        <f>IFERROR(__xludf.DUMMYFUNCTION("""COMPUTED_VALUE"""),"populating-next-right-pointers-in-each-node")</f>
        <v>populating-next-right-pointers-in-each-node</v>
      </c>
      <c r="D117" s="20" t="b">
        <f>IFERROR(__xludf.DUMMYFUNCTION("""COMPUTED_VALUE"""),FALSE)</f>
        <v>0</v>
      </c>
      <c r="E117" s="20" t="str">
        <f>IFERROR(__xludf.DUMMYFUNCTION("""COMPUTED_VALUE"""),"Medium")</f>
        <v>Medium</v>
      </c>
      <c r="F117" s="20">
        <f>IFERROR(__xludf.DUMMYFUNCTION("""COMPUTED_VALUE"""),8093.0)</f>
        <v>8093</v>
      </c>
      <c r="G117" s="20">
        <f>IFERROR(__xludf.DUMMYFUNCTION("""COMPUTED_VALUE"""),273.0)</f>
        <v>273</v>
      </c>
      <c r="H117" s="20" t="str">
        <f>IFERROR(__xludf.DUMMYFUNCTION("""COMPUTED_VALUE"""),"Algorithms")</f>
        <v>Algorithms</v>
      </c>
      <c r="I117" s="20">
        <f>IFERROR(__xludf.DUMMYFUNCTION("""COMPUTED_VALUE"""),0.597)</f>
        <v>0.597</v>
      </c>
      <c r="J117" s="20">
        <f>IFERROR(__xludf.DUMMYFUNCTION("""COMPUTED_VALUE"""),116.0)</f>
        <v>116</v>
      </c>
      <c r="K117" s="20" t="b">
        <f>IFERROR(__xludf.DUMMYFUNCTION("""COMPUTED_VALUE"""),FALSE)</f>
        <v>0</v>
      </c>
      <c r="L117" s="20" t="str">
        <f>IFERROR(__xludf.DUMMYFUNCTION("""COMPUTED_VALUE"""),"Linked List;Tree;Depth-First Search;Breadth-First Search;Binary Tree;")</f>
        <v>Linked List;Tree;Depth-First Search;Breadth-First Search;Binary Tree;</v>
      </c>
      <c r="M117" s="20" t="b">
        <f>IFERROR(__xludf.DUMMYFUNCTION("""COMPUTED_VALUE"""),TRUE)</f>
        <v>1</v>
      </c>
      <c r="N117" s="20" t="b">
        <f>IFERROR(__xludf.DUMMYFUNCTION("""COMPUTED_VALUE"""),FALSE)</f>
        <v>0</v>
      </c>
      <c r="O117" s="20">
        <f>IFERROR(__xludf.DUMMYFUNCTION("""COMPUTED_VALUE"""),59.7414760548612)</f>
        <v>59.74147605</v>
      </c>
      <c r="P117" s="20">
        <f>IFERROR(__xludf.DUMMYFUNCTION("""COMPUTED_VALUE"""),875167.0)</f>
        <v>875167</v>
      </c>
      <c r="Q117" s="20">
        <f>IFERROR(__xludf.DUMMYFUNCTION("""COMPUTED_VALUE"""),1464927.0)</f>
        <v>1464927</v>
      </c>
    </row>
    <row r="118">
      <c r="A118" s="20">
        <f>IFERROR(__xludf.DUMMYFUNCTION("""COMPUTED_VALUE"""),117.0)</f>
        <v>117</v>
      </c>
      <c r="B118" s="20" t="str">
        <f>IFERROR(__xludf.DUMMYFUNCTION("""COMPUTED_VALUE"""),"Populating Next Right Pointers in Each Node II")</f>
        <v>Populating Next Right Pointers in Each Node II</v>
      </c>
      <c r="C118" s="20" t="str">
        <f>IFERROR(__xludf.DUMMYFUNCTION("""COMPUTED_VALUE"""),"populating-next-right-pointers-in-each-node-ii")</f>
        <v>populating-next-right-pointers-in-each-node-ii</v>
      </c>
      <c r="D118" s="20" t="b">
        <f>IFERROR(__xludf.DUMMYFUNCTION("""COMPUTED_VALUE"""),FALSE)</f>
        <v>0</v>
      </c>
      <c r="E118" s="20" t="str">
        <f>IFERROR(__xludf.DUMMYFUNCTION("""COMPUTED_VALUE"""),"Medium")</f>
        <v>Medium</v>
      </c>
      <c r="F118" s="20">
        <f>IFERROR(__xludf.DUMMYFUNCTION("""COMPUTED_VALUE"""),5024.0)</f>
        <v>5024</v>
      </c>
      <c r="G118" s="20">
        <f>IFERROR(__xludf.DUMMYFUNCTION("""COMPUTED_VALUE"""),292.0)</f>
        <v>292</v>
      </c>
      <c r="H118" s="20" t="str">
        <f>IFERROR(__xludf.DUMMYFUNCTION("""COMPUTED_VALUE"""),"Algorithms")</f>
        <v>Algorithms</v>
      </c>
      <c r="I118" s="20">
        <f>IFERROR(__xludf.DUMMYFUNCTION("""COMPUTED_VALUE"""),0.499)</f>
        <v>0.499</v>
      </c>
      <c r="J118" s="20">
        <f>IFERROR(__xludf.DUMMYFUNCTION("""COMPUTED_VALUE"""),117.0)</f>
        <v>117</v>
      </c>
      <c r="K118" s="20" t="b">
        <f>IFERROR(__xludf.DUMMYFUNCTION("""COMPUTED_VALUE"""),FALSE)</f>
        <v>0</v>
      </c>
      <c r="L118" s="20" t="str">
        <f>IFERROR(__xludf.DUMMYFUNCTION("""COMPUTED_VALUE"""),"Linked List;Tree;Depth-First Search;Breadth-First Search;Binary Tree;")</f>
        <v>Linked List;Tree;Depth-First Search;Breadth-First Search;Binary Tree;</v>
      </c>
      <c r="M118" s="20" t="b">
        <f>IFERROR(__xludf.DUMMYFUNCTION("""COMPUTED_VALUE"""),TRUE)</f>
        <v>1</v>
      </c>
      <c r="N118" s="20" t="b">
        <f>IFERROR(__xludf.DUMMYFUNCTION("""COMPUTED_VALUE"""),FALSE)</f>
        <v>0</v>
      </c>
      <c r="O118" s="20">
        <f>IFERROR(__xludf.DUMMYFUNCTION("""COMPUTED_VALUE"""),49.8878232226239)</f>
        <v>49.88782322</v>
      </c>
      <c r="P118" s="20">
        <f>IFERROR(__xludf.DUMMYFUNCTION("""COMPUTED_VALUE"""),528107.0)</f>
        <v>528107</v>
      </c>
      <c r="Q118" s="20">
        <f>IFERROR(__xludf.DUMMYFUNCTION("""COMPUTED_VALUE"""),1058591.0)</f>
        <v>1058591</v>
      </c>
    </row>
    <row r="119">
      <c r="A119" s="20">
        <f>IFERROR(__xludf.DUMMYFUNCTION("""COMPUTED_VALUE"""),118.0)</f>
        <v>118</v>
      </c>
      <c r="B119" s="20" t="str">
        <f>IFERROR(__xludf.DUMMYFUNCTION("""COMPUTED_VALUE"""),"Pascal's Triangle")</f>
        <v>Pascal's Triangle</v>
      </c>
      <c r="C119" s="20" t="str">
        <f>IFERROR(__xludf.DUMMYFUNCTION("""COMPUTED_VALUE"""),"pascals-triangle")</f>
        <v>pascals-triangle</v>
      </c>
      <c r="D119" s="20" t="b">
        <f>IFERROR(__xludf.DUMMYFUNCTION("""COMPUTED_VALUE"""),FALSE)</f>
        <v>0</v>
      </c>
      <c r="E119" s="20" t="str">
        <f>IFERROR(__xludf.DUMMYFUNCTION("""COMPUTED_VALUE"""),"Easy")</f>
        <v>Easy</v>
      </c>
      <c r="F119" s="20">
        <f>IFERROR(__xludf.DUMMYFUNCTION("""COMPUTED_VALUE"""),8721.0)</f>
        <v>8721</v>
      </c>
      <c r="G119" s="20">
        <f>IFERROR(__xludf.DUMMYFUNCTION("""COMPUTED_VALUE"""),288.0)</f>
        <v>288</v>
      </c>
      <c r="H119" s="20" t="str">
        <f>IFERROR(__xludf.DUMMYFUNCTION("""COMPUTED_VALUE"""),"Algorithms")</f>
        <v>Algorithms</v>
      </c>
      <c r="I119" s="20">
        <f>IFERROR(__xludf.DUMMYFUNCTION("""COMPUTED_VALUE"""),0.696)</f>
        <v>0.696</v>
      </c>
      <c r="J119" s="20">
        <f>IFERROR(__xludf.DUMMYFUNCTION("""COMPUTED_VALUE"""),118.0)</f>
        <v>118</v>
      </c>
      <c r="K119" s="20" t="b">
        <f>IFERROR(__xludf.DUMMYFUNCTION("""COMPUTED_VALUE"""),FALSE)</f>
        <v>0</v>
      </c>
      <c r="L119" s="20" t="str">
        <f>IFERROR(__xludf.DUMMYFUNCTION("""COMPUTED_VALUE"""),"Array;Dynamic Programming;")</f>
        <v>Array;Dynamic Programming;</v>
      </c>
      <c r="M119" s="20" t="b">
        <f>IFERROR(__xludf.DUMMYFUNCTION("""COMPUTED_VALUE"""),TRUE)</f>
        <v>1</v>
      </c>
      <c r="N119" s="20" t="b">
        <f>IFERROR(__xludf.DUMMYFUNCTION("""COMPUTED_VALUE"""),TRUE)</f>
        <v>1</v>
      </c>
      <c r="O119" s="20">
        <f>IFERROR(__xludf.DUMMYFUNCTION("""COMPUTED_VALUE"""),69.6444698368127)</f>
        <v>69.64446984</v>
      </c>
      <c r="P119" s="20">
        <f>IFERROR(__xludf.DUMMYFUNCTION("""COMPUTED_VALUE"""),1087329.0)</f>
        <v>1087329</v>
      </c>
      <c r="Q119" s="20">
        <f>IFERROR(__xludf.DUMMYFUNCTION("""COMPUTED_VALUE"""),1561259.0)</f>
        <v>1561259</v>
      </c>
    </row>
    <row r="120">
      <c r="A120" s="20">
        <f>IFERROR(__xludf.DUMMYFUNCTION("""COMPUTED_VALUE"""),119.0)</f>
        <v>119</v>
      </c>
      <c r="B120" s="20" t="str">
        <f>IFERROR(__xludf.DUMMYFUNCTION("""COMPUTED_VALUE"""),"Pascal's Triangle II")</f>
        <v>Pascal's Triangle II</v>
      </c>
      <c r="C120" s="20" t="str">
        <f>IFERROR(__xludf.DUMMYFUNCTION("""COMPUTED_VALUE"""),"pascals-triangle-ii")</f>
        <v>pascals-triangle-ii</v>
      </c>
      <c r="D120" s="20" t="b">
        <f>IFERROR(__xludf.DUMMYFUNCTION("""COMPUTED_VALUE"""),FALSE)</f>
        <v>0</v>
      </c>
      <c r="E120" s="20" t="str">
        <f>IFERROR(__xludf.DUMMYFUNCTION("""COMPUTED_VALUE"""),"Easy")</f>
        <v>Easy</v>
      </c>
      <c r="F120" s="20">
        <f>IFERROR(__xludf.DUMMYFUNCTION("""COMPUTED_VALUE"""),3385.0)</f>
        <v>3385</v>
      </c>
      <c r="G120" s="20">
        <f>IFERROR(__xludf.DUMMYFUNCTION("""COMPUTED_VALUE"""),289.0)</f>
        <v>289</v>
      </c>
      <c r="H120" s="20" t="str">
        <f>IFERROR(__xludf.DUMMYFUNCTION("""COMPUTED_VALUE"""),"Algorithms")</f>
        <v>Algorithms</v>
      </c>
      <c r="I120" s="20">
        <f>IFERROR(__xludf.DUMMYFUNCTION("""COMPUTED_VALUE"""),0.6)</f>
        <v>0.6</v>
      </c>
      <c r="J120" s="20">
        <f>IFERROR(__xludf.DUMMYFUNCTION("""COMPUTED_VALUE"""),119.0)</f>
        <v>119</v>
      </c>
      <c r="K120" s="20" t="b">
        <f>IFERROR(__xludf.DUMMYFUNCTION("""COMPUTED_VALUE"""),FALSE)</f>
        <v>0</v>
      </c>
      <c r="L120" s="20" t="str">
        <f>IFERROR(__xludf.DUMMYFUNCTION("""COMPUTED_VALUE"""),"Array;Dynamic Programming;")</f>
        <v>Array;Dynamic Programming;</v>
      </c>
      <c r="M120" s="20" t="b">
        <f>IFERROR(__xludf.DUMMYFUNCTION("""COMPUTED_VALUE"""),TRUE)</f>
        <v>1</v>
      </c>
      <c r="N120" s="20" t="b">
        <f>IFERROR(__xludf.DUMMYFUNCTION("""COMPUTED_VALUE"""),FALSE)</f>
        <v>0</v>
      </c>
      <c r="O120" s="20">
        <f>IFERROR(__xludf.DUMMYFUNCTION("""COMPUTED_VALUE"""),60.0167920962133)</f>
        <v>60.0167921</v>
      </c>
      <c r="P120" s="20">
        <f>IFERROR(__xludf.DUMMYFUNCTION("""COMPUTED_VALUE"""),626182.0)</f>
        <v>626182</v>
      </c>
      <c r="Q120" s="20">
        <f>IFERROR(__xludf.DUMMYFUNCTION("""COMPUTED_VALUE"""),1043346.0)</f>
        <v>1043346</v>
      </c>
    </row>
    <row r="121">
      <c r="A121" s="20">
        <f>IFERROR(__xludf.DUMMYFUNCTION("""COMPUTED_VALUE"""),120.0)</f>
        <v>120</v>
      </c>
      <c r="B121" s="20" t="str">
        <f>IFERROR(__xludf.DUMMYFUNCTION("""COMPUTED_VALUE"""),"Triangle")</f>
        <v>Triangle</v>
      </c>
      <c r="C121" s="20" t="str">
        <f>IFERROR(__xludf.DUMMYFUNCTION("""COMPUTED_VALUE"""),"triangle")</f>
        <v>triangle</v>
      </c>
      <c r="D121" s="20" t="b">
        <f>IFERROR(__xludf.DUMMYFUNCTION("""COMPUTED_VALUE"""),FALSE)</f>
        <v>0</v>
      </c>
      <c r="E121" s="20" t="str">
        <f>IFERROR(__xludf.DUMMYFUNCTION("""COMPUTED_VALUE"""),"Medium")</f>
        <v>Medium</v>
      </c>
      <c r="F121" s="20">
        <f>IFERROR(__xludf.DUMMYFUNCTION("""COMPUTED_VALUE"""),7360.0)</f>
        <v>7360</v>
      </c>
      <c r="G121" s="20">
        <f>IFERROR(__xludf.DUMMYFUNCTION("""COMPUTED_VALUE"""),454.0)</f>
        <v>454</v>
      </c>
      <c r="H121" s="20" t="str">
        <f>IFERROR(__xludf.DUMMYFUNCTION("""COMPUTED_VALUE"""),"Algorithms")</f>
        <v>Algorithms</v>
      </c>
      <c r="I121" s="20">
        <f>IFERROR(__xludf.DUMMYFUNCTION("""COMPUTED_VALUE"""),0.541)</f>
        <v>0.541</v>
      </c>
      <c r="J121" s="20">
        <f>IFERROR(__xludf.DUMMYFUNCTION("""COMPUTED_VALUE"""),120.0)</f>
        <v>120</v>
      </c>
      <c r="K121" s="20" t="b">
        <f>IFERROR(__xludf.DUMMYFUNCTION("""COMPUTED_VALUE"""),FALSE)</f>
        <v>0</v>
      </c>
      <c r="L121" s="20" t="str">
        <f>IFERROR(__xludf.DUMMYFUNCTION("""COMPUTED_VALUE"""),"Array;Dynamic Programming;")</f>
        <v>Array;Dynamic Programming;</v>
      </c>
      <c r="M121" s="20" t="b">
        <f>IFERROR(__xludf.DUMMYFUNCTION("""COMPUTED_VALUE"""),TRUE)</f>
        <v>1</v>
      </c>
      <c r="N121" s="20" t="b">
        <f>IFERROR(__xludf.DUMMYFUNCTION("""COMPUTED_VALUE"""),FALSE)</f>
        <v>0</v>
      </c>
      <c r="O121" s="20">
        <f>IFERROR(__xludf.DUMMYFUNCTION("""COMPUTED_VALUE"""),54.107429466098)</f>
        <v>54.10742947</v>
      </c>
      <c r="P121" s="20">
        <f>IFERROR(__xludf.DUMMYFUNCTION("""COMPUTED_VALUE"""),550167.0)</f>
        <v>550167</v>
      </c>
      <c r="Q121" s="20">
        <f>IFERROR(__xludf.DUMMYFUNCTION("""COMPUTED_VALUE"""),1016804.0)</f>
        <v>1016804</v>
      </c>
    </row>
    <row r="122">
      <c r="A122" s="20">
        <f>IFERROR(__xludf.DUMMYFUNCTION("""COMPUTED_VALUE"""),121.0)</f>
        <v>121</v>
      </c>
      <c r="B122" s="20" t="str">
        <f>IFERROR(__xludf.DUMMYFUNCTION("""COMPUTED_VALUE"""),"Best Time to Buy and Sell Stock")</f>
        <v>Best Time to Buy and Sell Stock</v>
      </c>
      <c r="C122" s="20" t="str">
        <f>IFERROR(__xludf.DUMMYFUNCTION("""COMPUTED_VALUE"""),"best-time-to-buy-and-sell-stock")</f>
        <v>best-time-to-buy-and-sell-stock</v>
      </c>
      <c r="D122" s="20" t="b">
        <f>IFERROR(__xludf.DUMMYFUNCTION("""COMPUTED_VALUE"""),FALSE)</f>
        <v>0</v>
      </c>
      <c r="E122" s="20" t="str">
        <f>IFERROR(__xludf.DUMMYFUNCTION("""COMPUTED_VALUE"""),"Easy")</f>
        <v>Easy</v>
      </c>
      <c r="F122" s="20">
        <f>IFERROR(__xludf.DUMMYFUNCTION("""COMPUTED_VALUE"""),22043.0)</f>
        <v>22043</v>
      </c>
      <c r="G122" s="20">
        <f>IFERROR(__xludf.DUMMYFUNCTION("""COMPUTED_VALUE"""),696.0)</f>
        <v>696</v>
      </c>
      <c r="H122" s="20" t="str">
        <f>IFERROR(__xludf.DUMMYFUNCTION("""COMPUTED_VALUE"""),"Algorithms")</f>
        <v>Algorithms</v>
      </c>
      <c r="I122" s="20">
        <f>IFERROR(__xludf.DUMMYFUNCTION("""COMPUTED_VALUE"""),0.544)</f>
        <v>0.544</v>
      </c>
      <c r="J122" s="20">
        <f>IFERROR(__xludf.DUMMYFUNCTION("""COMPUTED_VALUE"""),121.0)</f>
        <v>121</v>
      </c>
      <c r="K122" s="20" t="b">
        <f>IFERROR(__xludf.DUMMYFUNCTION("""COMPUTED_VALUE"""),FALSE)</f>
        <v>0</v>
      </c>
      <c r="L122" s="20" t="str">
        <f>IFERROR(__xludf.DUMMYFUNCTION("""COMPUTED_VALUE"""),"Array;Dynamic Programming;")</f>
        <v>Array;Dynamic Programming;</v>
      </c>
      <c r="M122" s="20" t="b">
        <f>IFERROR(__xludf.DUMMYFUNCTION("""COMPUTED_VALUE"""),TRUE)</f>
        <v>1</v>
      </c>
      <c r="N122" s="20" t="b">
        <f>IFERROR(__xludf.DUMMYFUNCTION("""COMPUTED_VALUE"""),TRUE)</f>
        <v>1</v>
      </c>
      <c r="O122" s="20">
        <f>IFERROR(__xludf.DUMMYFUNCTION("""COMPUTED_VALUE"""),54.3871524745024)</f>
        <v>54.38715247</v>
      </c>
      <c r="P122" s="20">
        <f>IFERROR(__xludf.DUMMYFUNCTION("""COMPUTED_VALUE"""),2914114.0)</f>
        <v>2914114</v>
      </c>
      <c r="Q122" s="20">
        <f>IFERROR(__xludf.DUMMYFUNCTION("""COMPUTED_VALUE"""),5358101.0)</f>
        <v>5358101</v>
      </c>
    </row>
    <row r="123">
      <c r="A123" s="20">
        <f>IFERROR(__xludf.DUMMYFUNCTION("""COMPUTED_VALUE"""),122.0)</f>
        <v>122</v>
      </c>
      <c r="B123" s="20" t="str">
        <f>IFERROR(__xludf.DUMMYFUNCTION("""COMPUTED_VALUE"""),"Best Time to Buy and Sell Stock II")</f>
        <v>Best Time to Buy and Sell Stock II</v>
      </c>
      <c r="C123" s="20" t="str">
        <f>IFERROR(__xludf.DUMMYFUNCTION("""COMPUTED_VALUE"""),"best-time-to-buy-and-sell-stock-ii")</f>
        <v>best-time-to-buy-and-sell-stock-ii</v>
      </c>
      <c r="D123" s="20" t="b">
        <f>IFERROR(__xludf.DUMMYFUNCTION("""COMPUTED_VALUE"""),FALSE)</f>
        <v>0</v>
      </c>
      <c r="E123" s="20" t="str">
        <f>IFERROR(__xludf.DUMMYFUNCTION("""COMPUTED_VALUE"""),"Medium")</f>
        <v>Medium</v>
      </c>
      <c r="F123" s="20">
        <f>IFERROR(__xludf.DUMMYFUNCTION("""COMPUTED_VALUE"""),9981.0)</f>
        <v>9981</v>
      </c>
      <c r="G123" s="20">
        <f>IFERROR(__xludf.DUMMYFUNCTION("""COMPUTED_VALUE"""),2485.0)</f>
        <v>2485</v>
      </c>
      <c r="H123" s="20" t="str">
        <f>IFERROR(__xludf.DUMMYFUNCTION("""COMPUTED_VALUE"""),"Algorithms")</f>
        <v>Algorithms</v>
      </c>
      <c r="I123" s="20">
        <f>IFERROR(__xludf.DUMMYFUNCTION("""COMPUTED_VALUE"""),0.635)</f>
        <v>0.635</v>
      </c>
      <c r="J123" s="20">
        <f>IFERROR(__xludf.DUMMYFUNCTION("""COMPUTED_VALUE"""),122.0)</f>
        <v>122</v>
      </c>
      <c r="K123" s="20" t="b">
        <f>IFERROR(__xludf.DUMMYFUNCTION("""COMPUTED_VALUE"""),FALSE)</f>
        <v>0</v>
      </c>
      <c r="L123" s="20" t="str">
        <f>IFERROR(__xludf.DUMMYFUNCTION("""COMPUTED_VALUE"""),"Array;Dynamic Programming;Greedy;")</f>
        <v>Array;Dynamic Programming;Greedy;</v>
      </c>
      <c r="M123" s="20" t="b">
        <f>IFERROR(__xludf.DUMMYFUNCTION("""COMPUTED_VALUE"""),TRUE)</f>
        <v>1</v>
      </c>
      <c r="N123" s="20" t="b">
        <f>IFERROR(__xludf.DUMMYFUNCTION("""COMPUTED_VALUE"""),TRUE)</f>
        <v>1</v>
      </c>
      <c r="O123" s="20">
        <f>IFERROR(__xludf.DUMMYFUNCTION("""COMPUTED_VALUE"""),63.5075734681832)</f>
        <v>63.50757347</v>
      </c>
      <c r="P123" s="20">
        <f>IFERROR(__xludf.DUMMYFUNCTION("""COMPUTED_VALUE"""),1340753.0)</f>
        <v>1340753</v>
      </c>
      <c r="Q123" s="20">
        <f>IFERROR(__xludf.DUMMYFUNCTION("""COMPUTED_VALUE"""),2111171.0)</f>
        <v>2111171</v>
      </c>
    </row>
    <row r="124">
      <c r="A124" s="20">
        <f>IFERROR(__xludf.DUMMYFUNCTION("""COMPUTED_VALUE"""),123.0)</f>
        <v>123</v>
      </c>
      <c r="B124" s="20" t="str">
        <f>IFERROR(__xludf.DUMMYFUNCTION("""COMPUTED_VALUE"""),"Best Time to Buy and Sell Stock III")</f>
        <v>Best Time to Buy and Sell Stock III</v>
      </c>
      <c r="C124" s="20" t="str">
        <f>IFERROR(__xludf.DUMMYFUNCTION("""COMPUTED_VALUE"""),"best-time-to-buy-and-sell-stock-iii")</f>
        <v>best-time-to-buy-and-sell-stock-iii</v>
      </c>
      <c r="D124" s="20" t="b">
        <f>IFERROR(__xludf.DUMMYFUNCTION("""COMPUTED_VALUE"""),FALSE)</f>
        <v>0</v>
      </c>
      <c r="E124" s="20" t="str">
        <f>IFERROR(__xludf.DUMMYFUNCTION("""COMPUTED_VALUE"""),"Hard")</f>
        <v>Hard</v>
      </c>
      <c r="F124" s="20">
        <f>IFERROR(__xludf.DUMMYFUNCTION("""COMPUTED_VALUE"""),7471.0)</f>
        <v>7471</v>
      </c>
      <c r="G124" s="20">
        <f>IFERROR(__xludf.DUMMYFUNCTION("""COMPUTED_VALUE"""),143.0)</f>
        <v>143</v>
      </c>
      <c r="H124" s="20" t="str">
        <f>IFERROR(__xludf.DUMMYFUNCTION("""COMPUTED_VALUE"""),"Algorithms")</f>
        <v>Algorithms</v>
      </c>
      <c r="I124" s="20">
        <f>IFERROR(__xludf.DUMMYFUNCTION("""COMPUTED_VALUE"""),0.451)</f>
        <v>0.451</v>
      </c>
      <c r="J124" s="20">
        <f>IFERROR(__xludf.DUMMYFUNCTION("""COMPUTED_VALUE"""),123.0)</f>
        <v>123</v>
      </c>
      <c r="K124" s="20" t="b">
        <f>IFERROR(__xludf.DUMMYFUNCTION("""COMPUTED_VALUE"""),FALSE)</f>
        <v>0</v>
      </c>
      <c r="L124" s="20" t="str">
        <f>IFERROR(__xludf.DUMMYFUNCTION("""COMPUTED_VALUE"""),"Array;Dynamic Programming;")</f>
        <v>Array;Dynamic Programming;</v>
      </c>
      <c r="M124" s="20" t="b">
        <f>IFERROR(__xludf.DUMMYFUNCTION("""COMPUTED_VALUE"""),TRUE)</f>
        <v>1</v>
      </c>
      <c r="N124" s="20" t="b">
        <f>IFERROR(__xludf.DUMMYFUNCTION("""COMPUTED_VALUE"""),FALSE)</f>
        <v>0</v>
      </c>
      <c r="O124" s="20">
        <f>IFERROR(__xludf.DUMMYFUNCTION("""COMPUTED_VALUE"""),45.0531935168708)</f>
        <v>45.05319352</v>
      </c>
      <c r="P124" s="20">
        <f>IFERROR(__xludf.DUMMYFUNCTION("""COMPUTED_VALUE"""),449138.0)</f>
        <v>449138</v>
      </c>
      <c r="Q124" s="20">
        <f>IFERROR(__xludf.DUMMYFUNCTION("""COMPUTED_VALUE"""),996915.0)</f>
        <v>996915</v>
      </c>
    </row>
    <row r="125">
      <c r="A125" s="20">
        <f>IFERROR(__xludf.DUMMYFUNCTION("""COMPUTED_VALUE"""),124.0)</f>
        <v>124</v>
      </c>
      <c r="B125" s="20" t="str">
        <f>IFERROR(__xludf.DUMMYFUNCTION("""COMPUTED_VALUE"""),"Binary Tree Maximum Path Sum")</f>
        <v>Binary Tree Maximum Path Sum</v>
      </c>
      <c r="C125" s="20" t="str">
        <f>IFERROR(__xludf.DUMMYFUNCTION("""COMPUTED_VALUE"""),"binary-tree-maximum-path-sum")</f>
        <v>binary-tree-maximum-path-sum</v>
      </c>
      <c r="D125" s="20" t="b">
        <f>IFERROR(__xludf.DUMMYFUNCTION("""COMPUTED_VALUE"""),FALSE)</f>
        <v>0</v>
      </c>
      <c r="E125" s="20" t="str">
        <f>IFERROR(__xludf.DUMMYFUNCTION("""COMPUTED_VALUE"""),"Hard")</f>
        <v>Hard</v>
      </c>
      <c r="F125" s="20">
        <f>IFERROR(__xludf.DUMMYFUNCTION("""COMPUTED_VALUE"""),13150.0)</f>
        <v>13150</v>
      </c>
      <c r="G125" s="20">
        <f>IFERROR(__xludf.DUMMYFUNCTION("""COMPUTED_VALUE"""),617.0)</f>
        <v>617</v>
      </c>
      <c r="H125" s="20" t="str">
        <f>IFERROR(__xludf.DUMMYFUNCTION("""COMPUTED_VALUE"""),"Algorithms")</f>
        <v>Algorithms</v>
      </c>
      <c r="I125" s="20">
        <f>IFERROR(__xludf.DUMMYFUNCTION("""COMPUTED_VALUE"""),0.391)</f>
        <v>0.391</v>
      </c>
      <c r="J125" s="20">
        <f>IFERROR(__xludf.DUMMYFUNCTION("""COMPUTED_VALUE"""),124.0)</f>
        <v>124</v>
      </c>
      <c r="K125" s="20" t="b">
        <f>IFERROR(__xludf.DUMMYFUNCTION("""COMPUTED_VALUE"""),FALSE)</f>
        <v>0</v>
      </c>
      <c r="L125" s="20" t="str">
        <f>IFERROR(__xludf.DUMMYFUNCTION("""COMPUTED_VALUE"""),"Dynamic Programming;Tree;Depth-First Search;Binary Tree;")</f>
        <v>Dynamic Programming;Tree;Depth-First Search;Binary Tree;</v>
      </c>
      <c r="M125" s="20" t="b">
        <f>IFERROR(__xludf.DUMMYFUNCTION("""COMPUTED_VALUE"""),TRUE)</f>
        <v>1</v>
      </c>
      <c r="N125" s="20" t="b">
        <f>IFERROR(__xludf.DUMMYFUNCTION("""COMPUTED_VALUE"""),FALSE)</f>
        <v>0</v>
      </c>
      <c r="O125" s="20">
        <f>IFERROR(__xludf.DUMMYFUNCTION("""COMPUTED_VALUE"""),39.0927550035898)</f>
        <v>39.092755</v>
      </c>
      <c r="P125" s="20">
        <f>IFERROR(__xludf.DUMMYFUNCTION("""COMPUTED_VALUE"""),918540.0)</f>
        <v>918540</v>
      </c>
      <c r="Q125" s="20">
        <f>IFERROR(__xludf.DUMMYFUNCTION("""COMPUTED_VALUE"""),2349642.0)</f>
        <v>2349642</v>
      </c>
    </row>
    <row r="126">
      <c r="A126" s="20">
        <f>IFERROR(__xludf.DUMMYFUNCTION("""COMPUTED_VALUE"""),125.0)</f>
        <v>125</v>
      </c>
      <c r="B126" s="20" t="str">
        <f>IFERROR(__xludf.DUMMYFUNCTION("""COMPUTED_VALUE"""),"Valid Palindrome")</f>
        <v>Valid Palindrome</v>
      </c>
      <c r="C126" s="20" t="str">
        <f>IFERROR(__xludf.DUMMYFUNCTION("""COMPUTED_VALUE"""),"valid-palindrome")</f>
        <v>valid-palindrome</v>
      </c>
      <c r="D126" s="20" t="b">
        <f>IFERROR(__xludf.DUMMYFUNCTION("""COMPUTED_VALUE"""),FALSE)</f>
        <v>0</v>
      </c>
      <c r="E126" s="20" t="str">
        <f>IFERROR(__xludf.DUMMYFUNCTION("""COMPUTED_VALUE"""),"Easy")</f>
        <v>Easy</v>
      </c>
      <c r="F126" s="20">
        <f>IFERROR(__xludf.DUMMYFUNCTION("""COMPUTED_VALUE"""),5602.0)</f>
        <v>5602</v>
      </c>
      <c r="G126" s="20">
        <f>IFERROR(__xludf.DUMMYFUNCTION("""COMPUTED_VALUE"""),6411.0)</f>
        <v>6411</v>
      </c>
      <c r="H126" s="20" t="str">
        <f>IFERROR(__xludf.DUMMYFUNCTION("""COMPUTED_VALUE"""),"Algorithms")</f>
        <v>Algorithms</v>
      </c>
      <c r="I126" s="20">
        <f>IFERROR(__xludf.DUMMYFUNCTION("""COMPUTED_VALUE"""),0.439)</f>
        <v>0.439</v>
      </c>
      <c r="J126" s="20">
        <f>IFERROR(__xludf.DUMMYFUNCTION("""COMPUTED_VALUE"""),125.0)</f>
        <v>125</v>
      </c>
      <c r="K126" s="20" t="b">
        <f>IFERROR(__xludf.DUMMYFUNCTION("""COMPUTED_VALUE"""),FALSE)</f>
        <v>0</v>
      </c>
      <c r="L126" s="20" t="str">
        <f>IFERROR(__xludf.DUMMYFUNCTION("""COMPUTED_VALUE"""),"Two Pointers;String;")</f>
        <v>Two Pointers;String;</v>
      </c>
      <c r="M126" s="20" t="b">
        <f>IFERROR(__xludf.DUMMYFUNCTION("""COMPUTED_VALUE"""),TRUE)</f>
        <v>1</v>
      </c>
      <c r="N126" s="20" t="b">
        <f>IFERROR(__xludf.DUMMYFUNCTION("""COMPUTED_VALUE"""),FALSE)</f>
        <v>0</v>
      </c>
      <c r="O126" s="20">
        <f>IFERROR(__xludf.DUMMYFUNCTION("""COMPUTED_VALUE"""),43.852927455247)</f>
        <v>43.85292746</v>
      </c>
      <c r="P126" s="20">
        <f>IFERROR(__xludf.DUMMYFUNCTION("""COMPUTED_VALUE"""),1702324.0)</f>
        <v>1702324</v>
      </c>
      <c r="Q126" s="20">
        <f>IFERROR(__xludf.DUMMYFUNCTION("""COMPUTED_VALUE"""),3881905.0)</f>
        <v>3881905</v>
      </c>
    </row>
    <row r="127">
      <c r="A127" s="20">
        <f>IFERROR(__xludf.DUMMYFUNCTION("""COMPUTED_VALUE"""),126.0)</f>
        <v>126</v>
      </c>
      <c r="B127" s="20" t="str">
        <f>IFERROR(__xludf.DUMMYFUNCTION("""COMPUTED_VALUE"""),"Word Ladder II")</f>
        <v>Word Ladder II</v>
      </c>
      <c r="C127" s="20" t="str">
        <f>IFERROR(__xludf.DUMMYFUNCTION("""COMPUTED_VALUE"""),"word-ladder-ii")</f>
        <v>word-ladder-ii</v>
      </c>
      <c r="D127" s="20" t="b">
        <f>IFERROR(__xludf.DUMMYFUNCTION("""COMPUTED_VALUE"""),FALSE)</f>
        <v>0</v>
      </c>
      <c r="E127" s="20" t="str">
        <f>IFERROR(__xludf.DUMMYFUNCTION("""COMPUTED_VALUE"""),"Hard")</f>
        <v>Hard</v>
      </c>
      <c r="F127" s="20">
        <f>IFERROR(__xludf.DUMMYFUNCTION("""COMPUTED_VALUE"""),4996.0)</f>
        <v>4996</v>
      </c>
      <c r="G127" s="20">
        <f>IFERROR(__xludf.DUMMYFUNCTION("""COMPUTED_VALUE"""),639.0)</f>
        <v>639</v>
      </c>
      <c r="H127" s="20" t="str">
        <f>IFERROR(__xludf.DUMMYFUNCTION("""COMPUTED_VALUE"""),"Algorithms")</f>
        <v>Algorithms</v>
      </c>
      <c r="I127" s="20">
        <f>IFERROR(__xludf.DUMMYFUNCTION("""COMPUTED_VALUE"""),0.276)</f>
        <v>0.276</v>
      </c>
      <c r="J127" s="20">
        <f>IFERROR(__xludf.DUMMYFUNCTION("""COMPUTED_VALUE"""),126.0)</f>
        <v>126</v>
      </c>
      <c r="K127" s="20" t="b">
        <f>IFERROR(__xludf.DUMMYFUNCTION("""COMPUTED_VALUE"""),FALSE)</f>
        <v>0</v>
      </c>
      <c r="L127" s="20" t="str">
        <f>IFERROR(__xludf.DUMMYFUNCTION("""COMPUTED_VALUE"""),"Hash Table;String;Backtracking;Breadth-First Search;")</f>
        <v>Hash Table;String;Backtracking;Breadth-First Search;</v>
      </c>
      <c r="M127" s="20" t="b">
        <f>IFERROR(__xludf.DUMMYFUNCTION("""COMPUTED_VALUE"""),TRUE)</f>
        <v>1</v>
      </c>
      <c r="N127" s="20" t="b">
        <f>IFERROR(__xludf.DUMMYFUNCTION("""COMPUTED_VALUE"""),FALSE)</f>
        <v>0</v>
      </c>
      <c r="O127" s="20">
        <f>IFERROR(__xludf.DUMMYFUNCTION("""COMPUTED_VALUE"""),27.565332951755)</f>
        <v>27.56533295</v>
      </c>
      <c r="P127" s="20">
        <f>IFERROR(__xludf.DUMMYFUNCTION("""COMPUTED_VALUE"""),335193.0)</f>
        <v>335193</v>
      </c>
      <c r="Q127" s="20">
        <f>IFERROR(__xludf.DUMMYFUNCTION("""COMPUTED_VALUE"""),1215999.0)</f>
        <v>1215999</v>
      </c>
    </row>
    <row r="128">
      <c r="A128" s="20">
        <f>IFERROR(__xludf.DUMMYFUNCTION("""COMPUTED_VALUE"""),127.0)</f>
        <v>127</v>
      </c>
      <c r="B128" s="20" t="str">
        <f>IFERROR(__xludf.DUMMYFUNCTION("""COMPUTED_VALUE"""),"Word Ladder")</f>
        <v>Word Ladder</v>
      </c>
      <c r="C128" s="20" t="str">
        <f>IFERROR(__xludf.DUMMYFUNCTION("""COMPUTED_VALUE"""),"word-ladder")</f>
        <v>word-ladder</v>
      </c>
      <c r="D128" s="20" t="b">
        <f>IFERROR(__xludf.DUMMYFUNCTION("""COMPUTED_VALUE"""),FALSE)</f>
        <v>0</v>
      </c>
      <c r="E128" s="20" t="str">
        <f>IFERROR(__xludf.DUMMYFUNCTION("""COMPUTED_VALUE"""),"Hard")</f>
        <v>Hard</v>
      </c>
      <c r="F128" s="20">
        <f>IFERROR(__xludf.DUMMYFUNCTION("""COMPUTED_VALUE"""),9619.0)</f>
        <v>9619</v>
      </c>
      <c r="G128" s="20">
        <f>IFERROR(__xludf.DUMMYFUNCTION("""COMPUTED_VALUE"""),1751.0)</f>
        <v>1751</v>
      </c>
      <c r="H128" s="20" t="str">
        <f>IFERROR(__xludf.DUMMYFUNCTION("""COMPUTED_VALUE"""),"Algorithms")</f>
        <v>Algorithms</v>
      </c>
      <c r="I128" s="20">
        <f>IFERROR(__xludf.DUMMYFUNCTION("""COMPUTED_VALUE"""),0.368)</f>
        <v>0.368</v>
      </c>
      <c r="J128" s="20">
        <f>IFERROR(__xludf.DUMMYFUNCTION("""COMPUTED_VALUE"""),127.0)</f>
        <v>127</v>
      </c>
      <c r="K128" s="20" t="b">
        <f>IFERROR(__xludf.DUMMYFUNCTION("""COMPUTED_VALUE"""),FALSE)</f>
        <v>0</v>
      </c>
      <c r="L128" s="20" t="str">
        <f>IFERROR(__xludf.DUMMYFUNCTION("""COMPUTED_VALUE"""),"Hash Table;String;Breadth-First Search;")</f>
        <v>Hash Table;String;Breadth-First Search;</v>
      </c>
      <c r="M128" s="20" t="b">
        <f>IFERROR(__xludf.DUMMYFUNCTION("""COMPUTED_VALUE"""),TRUE)</f>
        <v>1</v>
      </c>
      <c r="N128" s="20" t="b">
        <f>IFERROR(__xludf.DUMMYFUNCTION("""COMPUTED_VALUE"""),TRUE)</f>
        <v>1</v>
      </c>
      <c r="O128" s="20">
        <f>IFERROR(__xludf.DUMMYFUNCTION("""COMPUTED_VALUE"""),36.8279572162706)</f>
        <v>36.82795722</v>
      </c>
      <c r="P128" s="20">
        <f>IFERROR(__xludf.DUMMYFUNCTION("""COMPUTED_VALUE"""),872150.0)</f>
        <v>872150</v>
      </c>
      <c r="Q128" s="20">
        <f>IFERROR(__xludf.DUMMYFUNCTION("""COMPUTED_VALUE"""),2368184.0)</f>
        <v>2368184</v>
      </c>
    </row>
    <row r="129">
      <c r="A129" s="20">
        <f>IFERROR(__xludf.DUMMYFUNCTION("""COMPUTED_VALUE"""),128.0)</f>
        <v>128</v>
      </c>
      <c r="B129" s="20" t="str">
        <f>IFERROR(__xludf.DUMMYFUNCTION("""COMPUTED_VALUE"""),"Longest Consecutive Sequence")</f>
        <v>Longest Consecutive Sequence</v>
      </c>
      <c r="C129" s="20" t="str">
        <f>IFERROR(__xludf.DUMMYFUNCTION("""COMPUTED_VALUE"""),"longest-consecutive-sequence")</f>
        <v>longest-consecutive-sequence</v>
      </c>
      <c r="D129" s="20" t="b">
        <f>IFERROR(__xludf.DUMMYFUNCTION("""COMPUTED_VALUE"""),FALSE)</f>
        <v>0</v>
      </c>
      <c r="E129" s="20" t="str">
        <f>IFERROR(__xludf.DUMMYFUNCTION("""COMPUTED_VALUE"""),"Medium")</f>
        <v>Medium</v>
      </c>
      <c r="F129" s="20">
        <f>IFERROR(__xludf.DUMMYFUNCTION("""COMPUTED_VALUE"""),14327.0)</f>
        <v>14327</v>
      </c>
      <c r="G129" s="20">
        <f>IFERROR(__xludf.DUMMYFUNCTION("""COMPUTED_VALUE"""),588.0)</f>
        <v>588</v>
      </c>
      <c r="H129" s="20" t="str">
        <f>IFERROR(__xludf.DUMMYFUNCTION("""COMPUTED_VALUE"""),"Algorithms")</f>
        <v>Algorithms</v>
      </c>
      <c r="I129" s="20">
        <f>IFERROR(__xludf.DUMMYFUNCTION("""COMPUTED_VALUE"""),0.488)</f>
        <v>0.488</v>
      </c>
      <c r="J129" s="20">
        <f>IFERROR(__xludf.DUMMYFUNCTION("""COMPUTED_VALUE"""),128.0)</f>
        <v>128</v>
      </c>
      <c r="K129" s="20" t="b">
        <f>IFERROR(__xludf.DUMMYFUNCTION("""COMPUTED_VALUE"""),FALSE)</f>
        <v>0</v>
      </c>
      <c r="L129" s="20" t="str">
        <f>IFERROR(__xludf.DUMMYFUNCTION("""COMPUTED_VALUE"""),"Array;Hash Table;Union Find;")</f>
        <v>Array;Hash Table;Union Find;</v>
      </c>
      <c r="M129" s="20" t="b">
        <f>IFERROR(__xludf.DUMMYFUNCTION("""COMPUTED_VALUE"""),TRUE)</f>
        <v>1</v>
      </c>
      <c r="N129" s="20" t="b">
        <f>IFERROR(__xludf.DUMMYFUNCTION("""COMPUTED_VALUE"""),FALSE)</f>
        <v>0</v>
      </c>
      <c r="O129" s="20">
        <f>IFERROR(__xludf.DUMMYFUNCTION("""COMPUTED_VALUE"""),48.8380798503841)</f>
        <v>48.83807985</v>
      </c>
      <c r="P129" s="20">
        <f>IFERROR(__xludf.DUMMYFUNCTION("""COMPUTED_VALUE"""),990228.0)</f>
        <v>990228</v>
      </c>
      <c r="Q129" s="20">
        <f>IFERROR(__xludf.DUMMYFUNCTION("""COMPUTED_VALUE"""),2027577.0)</f>
        <v>2027577</v>
      </c>
    </row>
    <row r="130">
      <c r="A130" s="20">
        <f>IFERROR(__xludf.DUMMYFUNCTION("""COMPUTED_VALUE"""),129.0)</f>
        <v>129</v>
      </c>
      <c r="B130" s="20" t="str">
        <f>IFERROR(__xludf.DUMMYFUNCTION("""COMPUTED_VALUE"""),"Sum Root to Leaf Numbers")</f>
        <v>Sum Root to Leaf Numbers</v>
      </c>
      <c r="C130" s="20" t="str">
        <f>IFERROR(__xludf.DUMMYFUNCTION("""COMPUTED_VALUE"""),"sum-root-to-leaf-numbers")</f>
        <v>sum-root-to-leaf-numbers</v>
      </c>
      <c r="D130" s="20" t="b">
        <f>IFERROR(__xludf.DUMMYFUNCTION("""COMPUTED_VALUE"""),FALSE)</f>
        <v>0</v>
      </c>
      <c r="E130" s="20" t="str">
        <f>IFERROR(__xludf.DUMMYFUNCTION("""COMPUTED_VALUE"""),"Medium")</f>
        <v>Medium</v>
      </c>
      <c r="F130" s="20">
        <f>IFERROR(__xludf.DUMMYFUNCTION("""COMPUTED_VALUE"""),5218.0)</f>
        <v>5218</v>
      </c>
      <c r="G130" s="20">
        <f>IFERROR(__xludf.DUMMYFUNCTION("""COMPUTED_VALUE"""),95.0)</f>
        <v>95</v>
      </c>
      <c r="H130" s="20" t="str">
        <f>IFERROR(__xludf.DUMMYFUNCTION("""COMPUTED_VALUE"""),"Algorithms")</f>
        <v>Algorithms</v>
      </c>
      <c r="I130" s="20">
        <f>IFERROR(__xludf.DUMMYFUNCTION("""COMPUTED_VALUE"""),0.589)</f>
        <v>0.589</v>
      </c>
      <c r="J130" s="20">
        <f>IFERROR(__xludf.DUMMYFUNCTION("""COMPUTED_VALUE"""),129.0)</f>
        <v>129</v>
      </c>
      <c r="K130" s="20" t="b">
        <f>IFERROR(__xludf.DUMMYFUNCTION("""COMPUTED_VALUE"""),FALSE)</f>
        <v>0</v>
      </c>
      <c r="L130" s="20" t="str">
        <f>IFERROR(__xludf.DUMMYFUNCTION("""COMPUTED_VALUE"""),"Tree;Depth-First Search;Binary Tree;")</f>
        <v>Tree;Depth-First Search;Binary Tree;</v>
      </c>
      <c r="M130" s="20" t="b">
        <f>IFERROR(__xludf.DUMMYFUNCTION("""COMPUTED_VALUE"""),TRUE)</f>
        <v>1</v>
      </c>
      <c r="N130" s="20" t="b">
        <f>IFERROR(__xludf.DUMMYFUNCTION("""COMPUTED_VALUE"""),FALSE)</f>
        <v>0</v>
      </c>
      <c r="O130" s="20">
        <f>IFERROR(__xludf.DUMMYFUNCTION("""COMPUTED_VALUE"""),58.9247552182291)</f>
        <v>58.92475522</v>
      </c>
      <c r="P130" s="20">
        <f>IFERROR(__xludf.DUMMYFUNCTION("""COMPUTED_VALUE"""),521948.0)</f>
        <v>521948</v>
      </c>
      <c r="Q130" s="20">
        <f>IFERROR(__xludf.DUMMYFUNCTION("""COMPUTED_VALUE"""),885788.0)</f>
        <v>885788</v>
      </c>
    </row>
    <row r="131">
      <c r="A131" s="20">
        <f>IFERROR(__xludf.DUMMYFUNCTION("""COMPUTED_VALUE"""),130.0)</f>
        <v>130</v>
      </c>
      <c r="B131" s="20" t="str">
        <f>IFERROR(__xludf.DUMMYFUNCTION("""COMPUTED_VALUE"""),"Surrounded Regions")</f>
        <v>Surrounded Regions</v>
      </c>
      <c r="C131" s="20" t="str">
        <f>IFERROR(__xludf.DUMMYFUNCTION("""COMPUTED_VALUE"""),"surrounded-regions")</f>
        <v>surrounded-regions</v>
      </c>
      <c r="D131" s="20" t="b">
        <f>IFERROR(__xludf.DUMMYFUNCTION("""COMPUTED_VALUE"""),FALSE)</f>
        <v>0</v>
      </c>
      <c r="E131" s="20" t="str">
        <f>IFERROR(__xludf.DUMMYFUNCTION("""COMPUTED_VALUE"""),"Medium")</f>
        <v>Medium</v>
      </c>
      <c r="F131" s="20">
        <f>IFERROR(__xludf.DUMMYFUNCTION("""COMPUTED_VALUE"""),6304.0)</f>
        <v>6304</v>
      </c>
      <c r="G131" s="20">
        <f>IFERROR(__xludf.DUMMYFUNCTION("""COMPUTED_VALUE"""),1408.0)</f>
        <v>1408</v>
      </c>
      <c r="H131" s="20" t="str">
        <f>IFERROR(__xludf.DUMMYFUNCTION("""COMPUTED_VALUE"""),"Algorithms")</f>
        <v>Algorithms</v>
      </c>
      <c r="I131" s="20">
        <f>IFERROR(__xludf.DUMMYFUNCTION("""COMPUTED_VALUE"""),0.363)</f>
        <v>0.363</v>
      </c>
      <c r="J131" s="20">
        <f>IFERROR(__xludf.DUMMYFUNCTION("""COMPUTED_VALUE"""),130.0)</f>
        <v>130</v>
      </c>
      <c r="K131" s="20" t="b">
        <f>IFERROR(__xludf.DUMMYFUNCTION("""COMPUTED_VALUE"""),FALSE)</f>
        <v>0</v>
      </c>
      <c r="L131" s="20" t="str">
        <f>IFERROR(__xludf.DUMMYFUNCTION("""COMPUTED_VALUE"""),"Array;Depth-First Search;Breadth-First Search;Union Find;Matrix;")</f>
        <v>Array;Depth-First Search;Breadth-First Search;Union Find;Matrix;</v>
      </c>
      <c r="M131" s="20" t="b">
        <f>IFERROR(__xludf.DUMMYFUNCTION("""COMPUTED_VALUE"""),TRUE)</f>
        <v>1</v>
      </c>
      <c r="N131" s="20" t="b">
        <f>IFERROR(__xludf.DUMMYFUNCTION("""COMPUTED_VALUE"""),FALSE)</f>
        <v>0</v>
      </c>
      <c r="O131" s="20">
        <f>IFERROR(__xludf.DUMMYFUNCTION("""COMPUTED_VALUE"""),36.2548029525981)</f>
        <v>36.25480295</v>
      </c>
      <c r="P131" s="20">
        <f>IFERROR(__xludf.DUMMYFUNCTION("""COMPUTED_VALUE"""),494981.0)</f>
        <v>494981</v>
      </c>
      <c r="Q131" s="20">
        <f>IFERROR(__xludf.DUMMYFUNCTION("""COMPUTED_VALUE"""),1365297.0)</f>
        <v>1365297</v>
      </c>
    </row>
    <row r="132">
      <c r="A132" s="20">
        <f>IFERROR(__xludf.DUMMYFUNCTION("""COMPUTED_VALUE"""),131.0)</f>
        <v>131</v>
      </c>
      <c r="B132" s="20" t="str">
        <f>IFERROR(__xludf.DUMMYFUNCTION("""COMPUTED_VALUE"""),"Palindrome Partitioning")</f>
        <v>Palindrome Partitioning</v>
      </c>
      <c r="C132" s="20" t="str">
        <f>IFERROR(__xludf.DUMMYFUNCTION("""COMPUTED_VALUE"""),"palindrome-partitioning")</f>
        <v>palindrome-partitioning</v>
      </c>
      <c r="D132" s="20" t="b">
        <f>IFERROR(__xludf.DUMMYFUNCTION("""COMPUTED_VALUE"""),FALSE)</f>
        <v>0</v>
      </c>
      <c r="E132" s="20" t="str">
        <f>IFERROR(__xludf.DUMMYFUNCTION("""COMPUTED_VALUE"""),"Medium")</f>
        <v>Medium</v>
      </c>
      <c r="F132" s="20">
        <f>IFERROR(__xludf.DUMMYFUNCTION("""COMPUTED_VALUE"""),8897.0)</f>
        <v>8897</v>
      </c>
      <c r="G132" s="20">
        <f>IFERROR(__xludf.DUMMYFUNCTION("""COMPUTED_VALUE"""),280.0)</f>
        <v>280</v>
      </c>
      <c r="H132" s="20" t="str">
        <f>IFERROR(__xludf.DUMMYFUNCTION("""COMPUTED_VALUE"""),"Algorithms")</f>
        <v>Algorithms</v>
      </c>
      <c r="I132" s="20">
        <f>IFERROR(__xludf.DUMMYFUNCTION("""COMPUTED_VALUE"""),0.628)</f>
        <v>0.628</v>
      </c>
      <c r="J132" s="20">
        <f>IFERROR(__xludf.DUMMYFUNCTION("""COMPUTED_VALUE"""),131.0)</f>
        <v>131</v>
      </c>
      <c r="K132" s="20" t="b">
        <f>IFERROR(__xludf.DUMMYFUNCTION("""COMPUTED_VALUE"""),FALSE)</f>
        <v>0</v>
      </c>
      <c r="L132" s="20" t="str">
        <f>IFERROR(__xludf.DUMMYFUNCTION("""COMPUTED_VALUE"""),"String;Dynamic Programming;Backtracking;")</f>
        <v>String;Dynamic Programming;Backtracking;</v>
      </c>
      <c r="M132" s="20" t="b">
        <f>IFERROR(__xludf.DUMMYFUNCTION("""COMPUTED_VALUE"""),TRUE)</f>
        <v>1</v>
      </c>
      <c r="N132" s="20" t="b">
        <f>IFERROR(__xludf.DUMMYFUNCTION("""COMPUTED_VALUE"""),FALSE)</f>
        <v>0</v>
      </c>
      <c r="O132" s="20">
        <f>IFERROR(__xludf.DUMMYFUNCTION("""COMPUTED_VALUE"""),62.7620608744355)</f>
        <v>62.76206087</v>
      </c>
      <c r="P132" s="20">
        <f>IFERROR(__xludf.DUMMYFUNCTION("""COMPUTED_VALUE"""),550206.0)</f>
        <v>550206</v>
      </c>
      <c r="Q132" s="20">
        <f>IFERROR(__xludf.DUMMYFUNCTION("""COMPUTED_VALUE"""),876655.0)</f>
        <v>876655</v>
      </c>
    </row>
    <row r="133">
      <c r="A133" s="20">
        <f>IFERROR(__xludf.DUMMYFUNCTION("""COMPUTED_VALUE"""),132.0)</f>
        <v>132</v>
      </c>
      <c r="B133" s="20" t="str">
        <f>IFERROR(__xludf.DUMMYFUNCTION("""COMPUTED_VALUE"""),"Palindrome Partitioning II")</f>
        <v>Palindrome Partitioning II</v>
      </c>
      <c r="C133" s="20" t="str">
        <f>IFERROR(__xludf.DUMMYFUNCTION("""COMPUTED_VALUE"""),"palindrome-partitioning-ii")</f>
        <v>palindrome-partitioning-ii</v>
      </c>
      <c r="D133" s="20" t="b">
        <f>IFERROR(__xludf.DUMMYFUNCTION("""COMPUTED_VALUE"""),FALSE)</f>
        <v>0</v>
      </c>
      <c r="E133" s="20" t="str">
        <f>IFERROR(__xludf.DUMMYFUNCTION("""COMPUTED_VALUE"""),"Hard")</f>
        <v>Hard</v>
      </c>
      <c r="F133" s="20">
        <f>IFERROR(__xludf.DUMMYFUNCTION("""COMPUTED_VALUE"""),4317.0)</f>
        <v>4317</v>
      </c>
      <c r="G133" s="20">
        <f>IFERROR(__xludf.DUMMYFUNCTION("""COMPUTED_VALUE"""),99.0)</f>
        <v>99</v>
      </c>
      <c r="H133" s="20" t="str">
        <f>IFERROR(__xludf.DUMMYFUNCTION("""COMPUTED_VALUE"""),"Algorithms")</f>
        <v>Algorithms</v>
      </c>
      <c r="I133" s="20">
        <f>IFERROR(__xludf.DUMMYFUNCTION("""COMPUTED_VALUE"""),0.337)</f>
        <v>0.337</v>
      </c>
      <c r="J133" s="20">
        <f>IFERROR(__xludf.DUMMYFUNCTION("""COMPUTED_VALUE"""),132.0)</f>
        <v>132</v>
      </c>
      <c r="K133" s="20" t="b">
        <f>IFERROR(__xludf.DUMMYFUNCTION("""COMPUTED_VALUE"""),FALSE)</f>
        <v>0</v>
      </c>
      <c r="L133" s="20" t="str">
        <f>IFERROR(__xludf.DUMMYFUNCTION("""COMPUTED_VALUE"""),"String;Dynamic Programming;")</f>
        <v>String;Dynamic Programming;</v>
      </c>
      <c r="M133" s="20" t="b">
        <f>IFERROR(__xludf.DUMMYFUNCTION("""COMPUTED_VALUE"""),TRUE)</f>
        <v>1</v>
      </c>
      <c r="N133" s="20" t="b">
        <f>IFERROR(__xludf.DUMMYFUNCTION("""COMPUTED_VALUE"""),FALSE)</f>
        <v>0</v>
      </c>
      <c r="O133" s="20">
        <f>IFERROR(__xludf.DUMMYFUNCTION("""COMPUTED_VALUE"""),33.6769296347781)</f>
        <v>33.67692963</v>
      </c>
      <c r="P133" s="20">
        <f>IFERROR(__xludf.DUMMYFUNCTION("""COMPUTED_VALUE"""),229906.0)</f>
        <v>229906</v>
      </c>
      <c r="Q133" s="20">
        <f>IFERROR(__xludf.DUMMYFUNCTION("""COMPUTED_VALUE"""),682679.0)</f>
        <v>682679</v>
      </c>
    </row>
    <row r="134">
      <c r="A134" s="20">
        <f>IFERROR(__xludf.DUMMYFUNCTION("""COMPUTED_VALUE"""),133.0)</f>
        <v>133</v>
      </c>
      <c r="B134" s="20" t="str">
        <f>IFERROR(__xludf.DUMMYFUNCTION("""COMPUTED_VALUE"""),"Clone Graph")</f>
        <v>Clone Graph</v>
      </c>
      <c r="C134" s="20" t="str">
        <f>IFERROR(__xludf.DUMMYFUNCTION("""COMPUTED_VALUE"""),"clone-graph")</f>
        <v>clone-graph</v>
      </c>
      <c r="D134" s="20" t="b">
        <f>IFERROR(__xludf.DUMMYFUNCTION("""COMPUTED_VALUE"""),FALSE)</f>
        <v>0</v>
      </c>
      <c r="E134" s="20" t="str">
        <f>IFERROR(__xludf.DUMMYFUNCTION("""COMPUTED_VALUE"""),"Medium")</f>
        <v>Medium</v>
      </c>
      <c r="F134" s="20">
        <f>IFERROR(__xludf.DUMMYFUNCTION("""COMPUTED_VALUE"""),7151.0)</f>
        <v>7151</v>
      </c>
      <c r="G134" s="20">
        <f>IFERROR(__xludf.DUMMYFUNCTION("""COMPUTED_VALUE"""),2919.0)</f>
        <v>2919</v>
      </c>
      <c r="H134" s="20" t="str">
        <f>IFERROR(__xludf.DUMMYFUNCTION("""COMPUTED_VALUE"""),"Algorithms")</f>
        <v>Algorithms</v>
      </c>
      <c r="I134" s="20">
        <f>IFERROR(__xludf.DUMMYFUNCTION("""COMPUTED_VALUE"""),0.511)</f>
        <v>0.511</v>
      </c>
      <c r="J134" s="20">
        <f>IFERROR(__xludf.DUMMYFUNCTION("""COMPUTED_VALUE"""),133.0)</f>
        <v>133</v>
      </c>
      <c r="K134" s="20" t="b">
        <f>IFERROR(__xludf.DUMMYFUNCTION("""COMPUTED_VALUE"""),FALSE)</f>
        <v>0</v>
      </c>
      <c r="L134" s="20" t="str">
        <f>IFERROR(__xludf.DUMMYFUNCTION("""COMPUTED_VALUE"""),"Hash Table;Depth-First Search;Breadth-First Search;Graph;")</f>
        <v>Hash Table;Depth-First Search;Breadth-First Search;Graph;</v>
      </c>
      <c r="M134" s="20" t="b">
        <f>IFERROR(__xludf.DUMMYFUNCTION("""COMPUTED_VALUE"""),TRUE)</f>
        <v>1</v>
      </c>
      <c r="N134" s="20" t="b">
        <f>IFERROR(__xludf.DUMMYFUNCTION("""COMPUTED_VALUE"""),FALSE)</f>
        <v>0</v>
      </c>
      <c r="O134" s="20">
        <f>IFERROR(__xludf.DUMMYFUNCTION("""COMPUTED_VALUE"""),51.0918088201982)</f>
        <v>51.09180882</v>
      </c>
      <c r="P134" s="20">
        <f>IFERROR(__xludf.DUMMYFUNCTION("""COMPUTED_VALUE"""),879660.0)</f>
        <v>879660</v>
      </c>
      <c r="Q134" s="20">
        <f>IFERROR(__xludf.DUMMYFUNCTION("""COMPUTED_VALUE"""),1721727.0)</f>
        <v>1721727</v>
      </c>
    </row>
    <row r="135">
      <c r="A135" s="20">
        <f>IFERROR(__xludf.DUMMYFUNCTION("""COMPUTED_VALUE"""),134.0)</f>
        <v>134</v>
      </c>
      <c r="B135" s="20" t="str">
        <f>IFERROR(__xludf.DUMMYFUNCTION("""COMPUTED_VALUE"""),"Gas Station")</f>
        <v>Gas Station</v>
      </c>
      <c r="C135" s="20" t="str">
        <f>IFERROR(__xludf.DUMMYFUNCTION("""COMPUTED_VALUE"""),"gas-station")</f>
        <v>gas-station</v>
      </c>
      <c r="D135" s="20" t="b">
        <f>IFERROR(__xludf.DUMMYFUNCTION("""COMPUTED_VALUE"""),FALSE)</f>
        <v>0</v>
      </c>
      <c r="E135" s="20" t="str">
        <f>IFERROR(__xludf.DUMMYFUNCTION("""COMPUTED_VALUE"""),"Medium")</f>
        <v>Medium</v>
      </c>
      <c r="F135" s="20">
        <f>IFERROR(__xludf.DUMMYFUNCTION("""COMPUTED_VALUE"""),7529.0)</f>
        <v>7529</v>
      </c>
      <c r="G135" s="20">
        <f>IFERROR(__xludf.DUMMYFUNCTION("""COMPUTED_VALUE"""),697.0)</f>
        <v>697</v>
      </c>
      <c r="H135" s="20" t="str">
        <f>IFERROR(__xludf.DUMMYFUNCTION("""COMPUTED_VALUE"""),"Algorithms")</f>
        <v>Algorithms</v>
      </c>
      <c r="I135" s="20">
        <f>IFERROR(__xludf.DUMMYFUNCTION("""COMPUTED_VALUE"""),0.451)</f>
        <v>0.451</v>
      </c>
      <c r="J135" s="20">
        <f>IFERROR(__xludf.DUMMYFUNCTION("""COMPUTED_VALUE"""),134.0)</f>
        <v>134</v>
      </c>
      <c r="K135" s="20" t="b">
        <f>IFERROR(__xludf.DUMMYFUNCTION("""COMPUTED_VALUE"""),FALSE)</f>
        <v>0</v>
      </c>
      <c r="L135" s="20" t="str">
        <f>IFERROR(__xludf.DUMMYFUNCTION("""COMPUTED_VALUE"""),"Array;Greedy;")</f>
        <v>Array;Greedy;</v>
      </c>
      <c r="M135" s="20" t="b">
        <f>IFERROR(__xludf.DUMMYFUNCTION("""COMPUTED_VALUE"""),TRUE)</f>
        <v>1</v>
      </c>
      <c r="N135" s="20" t="b">
        <f>IFERROR(__xludf.DUMMYFUNCTION("""COMPUTED_VALUE"""),FALSE)</f>
        <v>0</v>
      </c>
      <c r="O135" s="20">
        <f>IFERROR(__xludf.DUMMYFUNCTION("""COMPUTED_VALUE"""),45.1414252714123)</f>
        <v>45.14142527</v>
      </c>
      <c r="P135" s="20">
        <f>IFERROR(__xludf.DUMMYFUNCTION("""COMPUTED_VALUE"""),484238.0)</f>
        <v>484238</v>
      </c>
      <c r="Q135" s="20">
        <f>IFERROR(__xludf.DUMMYFUNCTION("""COMPUTED_VALUE"""),1072718.0)</f>
        <v>1072718</v>
      </c>
    </row>
    <row r="136">
      <c r="A136" s="20">
        <f>IFERROR(__xludf.DUMMYFUNCTION("""COMPUTED_VALUE"""),135.0)</f>
        <v>135</v>
      </c>
      <c r="B136" s="20" t="str">
        <f>IFERROR(__xludf.DUMMYFUNCTION("""COMPUTED_VALUE"""),"Candy")</f>
        <v>Candy</v>
      </c>
      <c r="C136" s="20" t="str">
        <f>IFERROR(__xludf.DUMMYFUNCTION("""COMPUTED_VALUE"""),"candy")</f>
        <v>candy</v>
      </c>
      <c r="D136" s="20" t="b">
        <f>IFERROR(__xludf.DUMMYFUNCTION("""COMPUTED_VALUE"""),FALSE)</f>
        <v>0</v>
      </c>
      <c r="E136" s="20" t="str">
        <f>IFERROR(__xludf.DUMMYFUNCTION("""COMPUTED_VALUE"""),"Hard")</f>
        <v>Hard</v>
      </c>
      <c r="F136" s="20">
        <f>IFERROR(__xludf.DUMMYFUNCTION("""COMPUTED_VALUE"""),4961.0)</f>
        <v>4961</v>
      </c>
      <c r="G136" s="20">
        <f>IFERROR(__xludf.DUMMYFUNCTION("""COMPUTED_VALUE"""),330.0)</f>
        <v>330</v>
      </c>
      <c r="H136" s="20" t="str">
        <f>IFERROR(__xludf.DUMMYFUNCTION("""COMPUTED_VALUE"""),"Algorithms")</f>
        <v>Algorithms</v>
      </c>
      <c r="I136" s="20">
        <f>IFERROR(__xludf.DUMMYFUNCTION("""COMPUTED_VALUE"""),0.408)</f>
        <v>0.408</v>
      </c>
      <c r="J136" s="20">
        <f>IFERROR(__xludf.DUMMYFUNCTION("""COMPUTED_VALUE"""),135.0)</f>
        <v>135</v>
      </c>
      <c r="K136" s="20" t="b">
        <f>IFERROR(__xludf.DUMMYFUNCTION("""COMPUTED_VALUE"""),FALSE)</f>
        <v>0</v>
      </c>
      <c r="L136" s="20" t="str">
        <f>IFERROR(__xludf.DUMMYFUNCTION("""COMPUTED_VALUE"""),"Array;Greedy;")</f>
        <v>Array;Greedy;</v>
      </c>
      <c r="M136" s="20" t="b">
        <f>IFERROR(__xludf.DUMMYFUNCTION("""COMPUTED_VALUE"""),TRUE)</f>
        <v>1</v>
      </c>
      <c r="N136" s="20" t="b">
        <f>IFERROR(__xludf.DUMMYFUNCTION("""COMPUTED_VALUE"""),FALSE)</f>
        <v>0</v>
      </c>
      <c r="O136" s="20">
        <f>IFERROR(__xludf.DUMMYFUNCTION("""COMPUTED_VALUE"""),40.8176075131652)</f>
        <v>40.81760751</v>
      </c>
      <c r="P136" s="20">
        <f>IFERROR(__xludf.DUMMYFUNCTION("""COMPUTED_VALUE"""),291979.0)</f>
        <v>291979</v>
      </c>
      <c r="Q136" s="20">
        <f>IFERROR(__xludf.DUMMYFUNCTION("""COMPUTED_VALUE"""),715329.0)</f>
        <v>715329</v>
      </c>
    </row>
    <row r="137">
      <c r="A137" s="20">
        <f>IFERROR(__xludf.DUMMYFUNCTION("""COMPUTED_VALUE"""),136.0)</f>
        <v>136</v>
      </c>
      <c r="B137" s="20" t="str">
        <f>IFERROR(__xludf.DUMMYFUNCTION("""COMPUTED_VALUE"""),"Single Number")</f>
        <v>Single Number</v>
      </c>
      <c r="C137" s="20" t="str">
        <f>IFERROR(__xludf.DUMMYFUNCTION("""COMPUTED_VALUE"""),"single-number")</f>
        <v>single-number</v>
      </c>
      <c r="D137" s="20" t="b">
        <f>IFERROR(__xludf.DUMMYFUNCTION("""COMPUTED_VALUE"""),FALSE)</f>
        <v>0</v>
      </c>
      <c r="E137" s="20" t="str">
        <f>IFERROR(__xludf.DUMMYFUNCTION("""COMPUTED_VALUE"""),"Easy")</f>
        <v>Easy</v>
      </c>
      <c r="F137" s="20">
        <f>IFERROR(__xludf.DUMMYFUNCTION("""COMPUTED_VALUE"""),12425.0)</f>
        <v>12425</v>
      </c>
      <c r="G137" s="20">
        <f>IFERROR(__xludf.DUMMYFUNCTION("""COMPUTED_VALUE"""),474.0)</f>
        <v>474</v>
      </c>
      <c r="H137" s="20" t="str">
        <f>IFERROR(__xludf.DUMMYFUNCTION("""COMPUTED_VALUE"""),"Algorithms")</f>
        <v>Algorithms</v>
      </c>
      <c r="I137" s="20">
        <f>IFERROR(__xludf.DUMMYFUNCTION("""COMPUTED_VALUE"""),0.702)</f>
        <v>0.702</v>
      </c>
      <c r="J137" s="20">
        <f>IFERROR(__xludf.DUMMYFUNCTION("""COMPUTED_VALUE"""),136.0)</f>
        <v>136</v>
      </c>
      <c r="K137" s="20" t="b">
        <f>IFERROR(__xludf.DUMMYFUNCTION("""COMPUTED_VALUE"""),FALSE)</f>
        <v>0</v>
      </c>
      <c r="L137" s="20" t="str">
        <f>IFERROR(__xludf.DUMMYFUNCTION("""COMPUTED_VALUE"""),"Array;Bit Manipulation;")</f>
        <v>Array;Bit Manipulation;</v>
      </c>
      <c r="M137" s="20" t="b">
        <f>IFERROR(__xludf.DUMMYFUNCTION("""COMPUTED_VALUE"""),TRUE)</f>
        <v>1</v>
      </c>
      <c r="N137" s="20" t="b">
        <f>IFERROR(__xludf.DUMMYFUNCTION("""COMPUTED_VALUE"""),FALSE)</f>
        <v>0</v>
      </c>
      <c r="O137" s="20">
        <f>IFERROR(__xludf.DUMMYFUNCTION("""COMPUTED_VALUE"""),70.2128980089798)</f>
        <v>70.21289801</v>
      </c>
      <c r="P137" s="20">
        <f>IFERROR(__xludf.DUMMYFUNCTION("""COMPUTED_VALUE"""),1979751.0)</f>
        <v>1979751</v>
      </c>
      <c r="Q137" s="20">
        <f>IFERROR(__xludf.DUMMYFUNCTION("""COMPUTED_VALUE"""),2819644.0)</f>
        <v>2819644</v>
      </c>
    </row>
    <row r="138">
      <c r="A138" s="20">
        <f>IFERROR(__xludf.DUMMYFUNCTION("""COMPUTED_VALUE"""),137.0)</f>
        <v>137</v>
      </c>
      <c r="B138" s="20" t="str">
        <f>IFERROR(__xludf.DUMMYFUNCTION("""COMPUTED_VALUE"""),"Single Number II")</f>
        <v>Single Number II</v>
      </c>
      <c r="C138" s="20" t="str">
        <f>IFERROR(__xludf.DUMMYFUNCTION("""COMPUTED_VALUE"""),"single-number-ii")</f>
        <v>single-number-ii</v>
      </c>
      <c r="D138" s="20" t="b">
        <f>IFERROR(__xludf.DUMMYFUNCTION("""COMPUTED_VALUE"""),FALSE)</f>
        <v>0</v>
      </c>
      <c r="E138" s="20" t="str">
        <f>IFERROR(__xludf.DUMMYFUNCTION("""COMPUTED_VALUE"""),"Medium")</f>
        <v>Medium</v>
      </c>
      <c r="F138" s="20">
        <f>IFERROR(__xludf.DUMMYFUNCTION("""COMPUTED_VALUE"""),5049.0)</f>
        <v>5049</v>
      </c>
      <c r="G138" s="20">
        <f>IFERROR(__xludf.DUMMYFUNCTION("""COMPUTED_VALUE"""),525.0)</f>
        <v>525</v>
      </c>
      <c r="H138" s="20" t="str">
        <f>IFERROR(__xludf.DUMMYFUNCTION("""COMPUTED_VALUE"""),"Algorithms")</f>
        <v>Algorithms</v>
      </c>
      <c r="I138" s="20">
        <f>IFERROR(__xludf.DUMMYFUNCTION("""COMPUTED_VALUE"""),0.58)</f>
        <v>0.58</v>
      </c>
      <c r="J138" s="20">
        <f>IFERROR(__xludf.DUMMYFUNCTION("""COMPUTED_VALUE"""),137.0)</f>
        <v>137</v>
      </c>
      <c r="K138" s="20" t="b">
        <f>IFERROR(__xludf.DUMMYFUNCTION("""COMPUTED_VALUE"""),FALSE)</f>
        <v>0</v>
      </c>
      <c r="L138" s="20" t="str">
        <f>IFERROR(__xludf.DUMMYFUNCTION("""COMPUTED_VALUE"""),"Array;Bit Manipulation;")</f>
        <v>Array;Bit Manipulation;</v>
      </c>
      <c r="M138" s="20" t="b">
        <f>IFERROR(__xludf.DUMMYFUNCTION("""COMPUTED_VALUE"""),TRUE)</f>
        <v>1</v>
      </c>
      <c r="N138" s="20" t="b">
        <f>IFERROR(__xludf.DUMMYFUNCTION("""COMPUTED_VALUE"""),FALSE)</f>
        <v>0</v>
      </c>
      <c r="O138" s="20">
        <f>IFERROR(__xludf.DUMMYFUNCTION("""COMPUTED_VALUE"""),57.9924477511496)</f>
        <v>57.99244775</v>
      </c>
      <c r="P138" s="20">
        <f>IFERROR(__xludf.DUMMYFUNCTION("""COMPUTED_VALUE"""),387777.0)</f>
        <v>387777</v>
      </c>
      <c r="Q138" s="20">
        <f>IFERROR(__xludf.DUMMYFUNCTION("""COMPUTED_VALUE"""),668669.0)</f>
        <v>668669</v>
      </c>
    </row>
    <row r="139">
      <c r="A139" s="20">
        <f>IFERROR(__xludf.DUMMYFUNCTION("""COMPUTED_VALUE"""),138.0)</f>
        <v>138</v>
      </c>
      <c r="B139" s="20" t="str">
        <f>IFERROR(__xludf.DUMMYFUNCTION("""COMPUTED_VALUE"""),"Copy List with Random Pointer")</f>
        <v>Copy List with Random Pointer</v>
      </c>
      <c r="C139" s="20" t="str">
        <f>IFERROR(__xludf.DUMMYFUNCTION("""COMPUTED_VALUE"""),"copy-list-with-random-pointer")</f>
        <v>copy-list-with-random-pointer</v>
      </c>
      <c r="D139" s="20" t="b">
        <f>IFERROR(__xludf.DUMMYFUNCTION("""COMPUTED_VALUE"""),FALSE)</f>
        <v>0</v>
      </c>
      <c r="E139" s="20" t="str">
        <f>IFERROR(__xludf.DUMMYFUNCTION("""COMPUTED_VALUE"""),"Medium")</f>
        <v>Medium</v>
      </c>
      <c r="F139" s="20">
        <f>IFERROR(__xludf.DUMMYFUNCTION("""COMPUTED_VALUE"""),10427.0)</f>
        <v>10427</v>
      </c>
      <c r="G139" s="20">
        <f>IFERROR(__xludf.DUMMYFUNCTION("""COMPUTED_VALUE"""),1110.0)</f>
        <v>1110</v>
      </c>
      <c r="H139" s="20" t="str">
        <f>IFERROR(__xludf.DUMMYFUNCTION("""COMPUTED_VALUE"""),"Algorithms")</f>
        <v>Algorithms</v>
      </c>
      <c r="I139" s="20">
        <f>IFERROR(__xludf.DUMMYFUNCTION("""COMPUTED_VALUE"""),0.508)</f>
        <v>0.508</v>
      </c>
      <c r="J139" s="20">
        <f>IFERROR(__xludf.DUMMYFUNCTION("""COMPUTED_VALUE"""),138.0)</f>
        <v>138</v>
      </c>
      <c r="K139" s="20" t="b">
        <f>IFERROR(__xludf.DUMMYFUNCTION("""COMPUTED_VALUE"""),FALSE)</f>
        <v>0</v>
      </c>
      <c r="L139" s="20" t="str">
        <f>IFERROR(__xludf.DUMMYFUNCTION("""COMPUTED_VALUE"""),"Hash Table;Linked List;")</f>
        <v>Hash Table;Linked List;</v>
      </c>
      <c r="M139" s="20" t="b">
        <f>IFERROR(__xludf.DUMMYFUNCTION("""COMPUTED_VALUE"""),TRUE)</f>
        <v>1</v>
      </c>
      <c r="N139" s="20" t="b">
        <f>IFERROR(__xludf.DUMMYFUNCTION("""COMPUTED_VALUE"""),FALSE)</f>
        <v>0</v>
      </c>
      <c r="O139" s="20">
        <f>IFERROR(__xludf.DUMMYFUNCTION("""COMPUTED_VALUE"""),50.7830130923428)</f>
        <v>50.78301309</v>
      </c>
      <c r="P139" s="20">
        <f>IFERROR(__xludf.DUMMYFUNCTION("""COMPUTED_VALUE"""),904153.0)</f>
        <v>904153</v>
      </c>
      <c r="Q139" s="20">
        <f>IFERROR(__xludf.DUMMYFUNCTION("""COMPUTED_VALUE"""),1780427.0)</f>
        <v>1780427</v>
      </c>
    </row>
    <row r="140">
      <c r="A140" s="20">
        <f>IFERROR(__xludf.DUMMYFUNCTION("""COMPUTED_VALUE"""),139.0)</f>
        <v>139</v>
      </c>
      <c r="B140" s="20" t="str">
        <f>IFERROR(__xludf.DUMMYFUNCTION("""COMPUTED_VALUE"""),"Word Break")</f>
        <v>Word Break</v>
      </c>
      <c r="C140" s="20" t="str">
        <f>IFERROR(__xludf.DUMMYFUNCTION("""COMPUTED_VALUE"""),"word-break")</f>
        <v>word-break</v>
      </c>
      <c r="D140" s="20" t="b">
        <f>IFERROR(__xludf.DUMMYFUNCTION("""COMPUTED_VALUE"""),FALSE)</f>
        <v>0</v>
      </c>
      <c r="E140" s="20" t="str">
        <f>IFERROR(__xludf.DUMMYFUNCTION("""COMPUTED_VALUE"""),"Medium")</f>
        <v>Medium</v>
      </c>
      <c r="F140" s="20">
        <f>IFERROR(__xludf.DUMMYFUNCTION("""COMPUTED_VALUE"""),13014.0)</f>
        <v>13014</v>
      </c>
      <c r="G140" s="20">
        <f>IFERROR(__xludf.DUMMYFUNCTION("""COMPUTED_VALUE"""),549.0)</f>
        <v>549</v>
      </c>
      <c r="H140" s="20" t="str">
        <f>IFERROR(__xludf.DUMMYFUNCTION("""COMPUTED_VALUE"""),"Algorithms")</f>
        <v>Algorithms</v>
      </c>
      <c r="I140" s="20">
        <f>IFERROR(__xludf.DUMMYFUNCTION("""COMPUTED_VALUE"""),0.455)</f>
        <v>0.455</v>
      </c>
      <c r="J140" s="20">
        <f>IFERROR(__xludf.DUMMYFUNCTION("""COMPUTED_VALUE"""),139.0)</f>
        <v>139</v>
      </c>
      <c r="K140" s="20" t="b">
        <f>IFERROR(__xludf.DUMMYFUNCTION("""COMPUTED_VALUE"""),FALSE)</f>
        <v>0</v>
      </c>
      <c r="L140" s="20" t="str">
        <f>IFERROR(__xludf.DUMMYFUNCTION("""COMPUTED_VALUE"""),"Hash Table;String;Dynamic Programming;Trie;Memoization;")</f>
        <v>Hash Table;String;Dynamic Programming;Trie;Memoization;</v>
      </c>
      <c r="M140" s="20" t="b">
        <f>IFERROR(__xludf.DUMMYFUNCTION("""COMPUTED_VALUE"""),TRUE)</f>
        <v>1</v>
      </c>
      <c r="N140" s="20" t="b">
        <f>IFERROR(__xludf.DUMMYFUNCTION("""COMPUTED_VALUE"""),TRUE)</f>
        <v>1</v>
      </c>
      <c r="O140" s="20">
        <f>IFERROR(__xludf.DUMMYFUNCTION("""COMPUTED_VALUE"""),45.4974273642145)</f>
        <v>45.49742736</v>
      </c>
      <c r="P140" s="20">
        <f>IFERROR(__xludf.DUMMYFUNCTION("""COMPUTED_VALUE"""),1261035.0)</f>
        <v>1261035</v>
      </c>
      <c r="Q140" s="20">
        <f>IFERROR(__xludf.DUMMYFUNCTION("""COMPUTED_VALUE"""),2771657.0)</f>
        <v>2771657</v>
      </c>
    </row>
    <row r="141">
      <c r="A141" s="20">
        <f>IFERROR(__xludf.DUMMYFUNCTION("""COMPUTED_VALUE"""),140.0)</f>
        <v>140</v>
      </c>
      <c r="B141" s="20" t="str">
        <f>IFERROR(__xludf.DUMMYFUNCTION("""COMPUTED_VALUE"""),"Word Break II")</f>
        <v>Word Break II</v>
      </c>
      <c r="C141" s="20" t="str">
        <f>IFERROR(__xludf.DUMMYFUNCTION("""COMPUTED_VALUE"""),"word-break-ii")</f>
        <v>word-break-ii</v>
      </c>
      <c r="D141" s="20" t="b">
        <f>IFERROR(__xludf.DUMMYFUNCTION("""COMPUTED_VALUE"""),FALSE)</f>
        <v>0</v>
      </c>
      <c r="E141" s="20" t="str">
        <f>IFERROR(__xludf.DUMMYFUNCTION("""COMPUTED_VALUE"""),"Hard")</f>
        <v>Hard</v>
      </c>
      <c r="F141" s="20">
        <f>IFERROR(__xludf.DUMMYFUNCTION("""COMPUTED_VALUE"""),5682.0)</f>
        <v>5682</v>
      </c>
      <c r="G141" s="20">
        <f>IFERROR(__xludf.DUMMYFUNCTION("""COMPUTED_VALUE"""),495.0)</f>
        <v>495</v>
      </c>
      <c r="H141" s="20" t="str">
        <f>IFERROR(__xludf.DUMMYFUNCTION("""COMPUTED_VALUE"""),"Algorithms")</f>
        <v>Algorithms</v>
      </c>
      <c r="I141" s="20">
        <f>IFERROR(__xludf.DUMMYFUNCTION("""COMPUTED_VALUE"""),0.448)</f>
        <v>0.448</v>
      </c>
      <c r="J141" s="20">
        <f>IFERROR(__xludf.DUMMYFUNCTION("""COMPUTED_VALUE"""),140.0)</f>
        <v>140</v>
      </c>
      <c r="K141" s="20" t="b">
        <f>IFERROR(__xludf.DUMMYFUNCTION("""COMPUTED_VALUE"""),FALSE)</f>
        <v>0</v>
      </c>
      <c r="L141" s="20" t="str">
        <f>IFERROR(__xludf.DUMMYFUNCTION("""COMPUTED_VALUE"""),"Hash Table;String;Dynamic Programming;Backtracking;Trie;Memoization;")</f>
        <v>Hash Table;String;Dynamic Programming;Backtracking;Trie;Memoization;</v>
      </c>
      <c r="M141" s="20" t="b">
        <f>IFERROR(__xludf.DUMMYFUNCTION("""COMPUTED_VALUE"""),TRUE)</f>
        <v>1</v>
      </c>
      <c r="N141" s="20" t="b">
        <f>IFERROR(__xludf.DUMMYFUNCTION("""COMPUTED_VALUE"""),FALSE)</f>
        <v>0</v>
      </c>
      <c r="O141" s="20">
        <f>IFERROR(__xludf.DUMMYFUNCTION("""COMPUTED_VALUE"""),44.7533999273552)</f>
        <v>44.75339993</v>
      </c>
      <c r="P141" s="20">
        <f>IFERROR(__xludf.DUMMYFUNCTION("""COMPUTED_VALUE"""),496543.0)</f>
        <v>496543</v>
      </c>
      <c r="Q141" s="20">
        <f>IFERROR(__xludf.DUMMYFUNCTION("""COMPUTED_VALUE"""),1109509.0)</f>
        <v>1109509</v>
      </c>
    </row>
    <row r="142">
      <c r="A142" s="20">
        <f>IFERROR(__xludf.DUMMYFUNCTION("""COMPUTED_VALUE"""),141.0)</f>
        <v>141</v>
      </c>
      <c r="B142" s="20" t="str">
        <f>IFERROR(__xludf.DUMMYFUNCTION("""COMPUTED_VALUE"""),"Linked List Cycle")</f>
        <v>Linked List Cycle</v>
      </c>
      <c r="C142" s="20" t="str">
        <f>IFERROR(__xludf.DUMMYFUNCTION("""COMPUTED_VALUE"""),"linked-list-cycle")</f>
        <v>linked-list-cycle</v>
      </c>
      <c r="D142" s="20" t="b">
        <f>IFERROR(__xludf.DUMMYFUNCTION("""COMPUTED_VALUE"""),FALSE)</f>
        <v>0</v>
      </c>
      <c r="E142" s="20" t="str">
        <f>IFERROR(__xludf.DUMMYFUNCTION("""COMPUTED_VALUE"""),"Easy")</f>
        <v>Easy</v>
      </c>
      <c r="F142" s="20">
        <f>IFERROR(__xludf.DUMMYFUNCTION("""COMPUTED_VALUE"""),10938.0)</f>
        <v>10938</v>
      </c>
      <c r="G142" s="20">
        <f>IFERROR(__xludf.DUMMYFUNCTION("""COMPUTED_VALUE"""),928.0)</f>
        <v>928</v>
      </c>
      <c r="H142" s="20" t="str">
        <f>IFERROR(__xludf.DUMMYFUNCTION("""COMPUTED_VALUE"""),"Algorithms")</f>
        <v>Algorithms</v>
      </c>
      <c r="I142" s="20">
        <f>IFERROR(__xludf.DUMMYFUNCTION("""COMPUTED_VALUE"""),0.471)</f>
        <v>0.471</v>
      </c>
      <c r="J142" s="20">
        <f>IFERROR(__xludf.DUMMYFUNCTION("""COMPUTED_VALUE"""),141.0)</f>
        <v>141</v>
      </c>
      <c r="K142" s="20" t="b">
        <f>IFERROR(__xludf.DUMMYFUNCTION("""COMPUTED_VALUE"""),FALSE)</f>
        <v>0</v>
      </c>
      <c r="L142" s="20" t="str">
        <f>IFERROR(__xludf.DUMMYFUNCTION("""COMPUTED_VALUE"""),"Hash Table;Linked List;Two Pointers;")</f>
        <v>Hash Table;Linked List;Two Pointers;</v>
      </c>
      <c r="M142" s="20" t="b">
        <f>IFERROR(__xludf.DUMMYFUNCTION("""COMPUTED_VALUE"""),TRUE)</f>
        <v>1</v>
      </c>
      <c r="N142" s="20" t="b">
        <f>IFERROR(__xludf.DUMMYFUNCTION("""COMPUTED_VALUE"""),TRUE)</f>
        <v>1</v>
      </c>
      <c r="O142" s="20">
        <f>IFERROR(__xludf.DUMMYFUNCTION("""COMPUTED_VALUE"""),47.066989657116)</f>
        <v>47.06698966</v>
      </c>
      <c r="P142" s="20">
        <f>IFERROR(__xludf.DUMMYFUNCTION("""COMPUTED_VALUE"""),1850458.0)</f>
        <v>1850458</v>
      </c>
      <c r="Q142" s="20">
        <f>IFERROR(__xludf.DUMMYFUNCTION("""COMPUTED_VALUE"""),3931557.0)</f>
        <v>3931557</v>
      </c>
    </row>
    <row r="143">
      <c r="A143" s="20">
        <f>IFERROR(__xludf.DUMMYFUNCTION("""COMPUTED_VALUE"""),142.0)</f>
        <v>142</v>
      </c>
      <c r="B143" s="20" t="str">
        <f>IFERROR(__xludf.DUMMYFUNCTION("""COMPUTED_VALUE"""),"Linked List Cycle II")</f>
        <v>Linked List Cycle II</v>
      </c>
      <c r="C143" s="20" t="str">
        <f>IFERROR(__xludf.DUMMYFUNCTION("""COMPUTED_VALUE"""),"linked-list-cycle-ii")</f>
        <v>linked-list-cycle-ii</v>
      </c>
      <c r="D143" s="20" t="b">
        <f>IFERROR(__xludf.DUMMYFUNCTION("""COMPUTED_VALUE"""),FALSE)</f>
        <v>0</v>
      </c>
      <c r="E143" s="20" t="str">
        <f>IFERROR(__xludf.DUMMYFUNCTION("""COMPUTED_VALUE"""),"Medium")</f>
        <v>Medium</v>
      </c>
      <c r="F143" s="20">
        <f>IFERROR(__xludf.DUMMYFUNCTION("""COMPUTED_VALUE"""),9722.0)</f>
        <v>9722</v>
      </c>
      <c r="G143" s="20">
        <f>IFERROR(__xludf.DUMMYFUNCTION("""COMPUTED_VALUE"""),691.0)</f>
        <v>691</v>
      </c>
      <c r="H143" s="20" t="str">
        <f>IFERROR(__xludf.DUMMYFUNCTION("""COMPUTED_VALUE"""),"Algorithms")</f>
        <v>Algorithms</v>
      </c>
      <c r="I143" s="20">
        <f>IFERROR(__xludf.DUMMYFUNCTION("""COMPUTED_VALUE"""),0.467)</f>
        <v>0.467</v>
      </c>
      <c r="J143" s="20">
        <f>IFERROR(__xludf.DUMMYFUNCTION("""COMPUTED_VALUE"""),142.0)</f>
        <v>142</v>
      </c>
      <c r="K143" s="20" t="b">
        <f>IFERROR(__xludf.DUMMYFUNCTION("""COMPUTED_VALUE"""),FALSE)</f>
        <v>0</v>
      </c>
      <c r="L143" s="20" t="str">
        <f>IFERROR(__xludf.DUMMYFUNCTION("""COMPUTED_VALUE"""),"Hash Table;Linked List;Two Pointers;")</f>
        <v>Hash Table;Linked List;Two Pointers;</v>
      </c>
      <c r="M143" s="20" t="b">
        <f>IFERROR(__xludf.DUMMYFUNCTION("""COMPUTED_VALUE"""),TRUE)</f>
        <v>1</v>
      </c>
      <c r="N143" s="20" t="b">
        <f>IFERROR(__xludf.DUMMYFUNCTION("""COMPUTED_VALUE"""),FALSE)</f>
        <v>0</v>
      </c>
      <c r="O143" s="20">
        <f>IFERROR(__xludf.DUMMYFUNCTION("""COMPUTED_VALUE"""),46.7457820047883)</f>
        <v>46.745782</v>
      </c>
      <c r="P143" s="20">
        <f>IFERROR(__xludf.DUMMYFUNCTION("""COMPUTED_VALUE"""),894421.0)</f>
        <v>894421</v>
      </c>
      <c r="Q143" s="20">
        <f>IFERROR(__xludf.DUMMYFUNCTION("""COMPUTED_VALUE"""),1913387.0)</f>
        <v>1913387</v>
      </c>
    </row>
    <row r="144">
      <c r="A144" s="20">
        <f>IFERROR(__xludf.DUMMYFUNCTION("""COMPUTED_VALUE"""),143.0)</f>
        <v>143</v>
      </c>
      <c r="B144" s="20" t="str">
        <f>IFERROR(__xludf.DUMMYFUNCTION("""COMPUTED_VALUE"""),"Reorder List")</f>
        <v>Reorder List</v>
      </c>
      <c r="C144" s="20" t="str">
        <f>IFERROR(__xludf.DUMMYFUNCTION("""COMPUTED_VALUE"""),"reorder-list")</f>
        <v>reorder-list</v>
      </c>
      <c r="D144" s="20" t="b">
        <f>IFERROR(__xludf.DUMMYFUNCTION("""COMPUTED_VALUE"""),FALSE)</f>
        <v>0</v>
      </c>
      <c r="E144" s="20" t="str">
        <f>IFERROR(__xludf.DUMMYFUNCTION("""COMPUTED_VALUE"""),"Medium")</f>
        <v>Medium</v>
      </c>
      <c r="F144" s="20">
        <f>IFERROR(__xludf.DUMMYFUNCTION("""COMPUTED_VALUE"""),7817.0)</f>
        <v>7817</v>
      </c>
      <c r="G144" s="20">
        <f>IFERROR(__xludf.DUMMYFUNCTION("""COMPUTED_VALUE"""),270.0)</f>
        <v>270</v>
      </c>
      <c r="H144" s="20" t="str">
        <f>IFERROR(__xludf.DUMMYFUNCTION("""COMPUTED_VALUE"""),"Algorithms")</f>
        <v>Algorithms</v>
      </c>
      <c r="I144" s="20">
        <f>IFERROR(__xludf.DUMMYFUNCTION("""COMPUTED_VALUE"""),0.515)</f>
        <v>0.515</v>
      </c>
      <c r="J144" s="20">
        <f>IFERROR(__xludf.DUMMYFUNCTION("""COMPUTED_VALUE"""),143.0)</f>
        <v>143</v>
      </c>
      <c r="K144" s="20" t="b">
        <f>IFERROR(__xludf.DUMMYFUNCTION("""COMPUTED_VALUE"""),FALSE)</f>
        <v>0</v>
      </c>
      <c r="L144" s="20" t="str">
        <f>IFERROR(__xludf.DUMMYFUNCTION("""COMPUTED_VALUE"""),"Linked List;Two Pointers;Stack;Recursion;")</f>
        <v>Linked List;Two Pointers;Stack;Recursion;</v>
      </c>
      <c r="M144" s="20" t="b">
        <f>IFERROR(__xludf.DUMMYFUNCTION("""COMPUTED_VALUE"""),TRUE)</f>
        <v>1</v>
      </c>
      <c r="N144" s="20" t="b">
        <f>IFERROR(__xludf.DUMMYFUNCTION("""COMPUTED_VALUE"""),FALSE)</f>
        <v>0</v>
      </c>
      <c r="O144" s="20">
        <f>IFERROR(__xludf.DUMMYFUNCTION("""COMPUTED_VALUE"""),51.5281841635982)</f>
        <v>51.52818416</v>
      </c>
      <c r="P144" s="20">
        <f>IFERROR(__xludf.DUMMYFUNCTION("""COMPUTED_VALUE"""),610553.0)</f>
        <v>610553</v>
      </c>
      <c r="Q144" s="20">
        <f>IFERROR(__xludf.DUMMYFUNCTION("""COMPUTED_VALUE"""),1184895.0)</f>
        <v>1184895</v>
      </c>
    </row>
    <row r="145">
      <c r="A145" s="20">
        <f>IFERROR(__xludf.DUMMYFUNCTION("""COMPUTED_VALUE"""),144.0)</f>
        <v>144</v>
      </c>
      <c r="B145" s="20" t="str">
        <f>IFERROR(__xludf.DUMMYFUNCTION("""COMPUTED_VALUE"""),"Binary Tree Preorder Traversal")</f>
        <v>Binary Tree Preorder Traversal</v>
      </c>
      <c r="C145" s="20" t="str">
        <f>IFERROR(__xludf.DUMMYFUNCTION("""COMPUTED_VALUE"""),"binary-tree-preorder-traversal")</f>
        <v>binary-tree-preorder-traversal</v>
      </c>
      <c r="D145" s="20" t="b">
        <f>IFERROR(__xludf.DUMMYFUNCTION("""COMPUTED_VALUE"""),FALSE)</f>
        <v>0</v>
      </c>
      <c r="E145" s="20" t="str">
        <f>IFERROR(__xludf.DUMMYFUNCTION("""COMPUTED_VALUE"""),"Easy")</f>
        <v>Easy</v>
      </c>
      <c r="F145" s="20">
        <f>IFERROR(__xludf.DUMMYFUNCTION("""COMPUTED_VALUE"""),5504.0)</f>
        <v>5504</v>
      </c>
      <c r="G145" s="20">
        <f>IFERROR(__xludf.DUMMYFUNCTION("""COMPUTED_VALUE"""),148.0)</f>
        <v>148</v>
      </c>
      <c r="H145" s="20" t="str">
        <f>IFERROR(__xludf.DUMMYFUNCTION("""COMPUTED_VALUE"""),"Algorithms")</f>
        <v>Algorithms</v>
      </c>
      <c r="I145" s="20">
        <f>IFERROR(__xludf.DUMMYFUNCTION("""COMPUTED_VALUE"""),0.65)</f>
        <v>0.65</v>
      </c>
      <c r="J145" s="20">
        <f>IFERROR(__xludf.DUMMYFUNCTION("""COMPUTED_VALUE"""),144.0)</f>
        <v>144</v>
      </c>
      <c r="K145" s="20" t="b">
        <f>IFERROR(__xludf.DUMMYFUNCTION("""COMPUTED_VALUE"""),FALSE)</f>
        <v>0</v>
      </c>
      <c r="L145" s="20" t="str">
        <f>IFERROR(__xludf.DUMMYFUNCTION("""COMPUTED_VALUE"""),"Stack;Tree;Depth-First Search;Binary Tree;")</f>
        <v>Stack;Tree;Depth-First Search;Binary Tree;</v>
      </c>
      <c r="M145" s="20" t="b">
        <f>IFERROR(__xludf.DUMMYFUNCTION("""COMPUTED_VALUE"""),TRUE)</f>
        <v>1</v>
      </c>
      <c r="N145" s="20" t="b">
        <f>IFERROR(__xludf.DUMMYFUNCTION("""COMPUTED_VALUE"""),FALSE)</f>
        <v>0</v>
      </c>
      <c r="O145" s="20">
        <f>IFERROR(__xludf.DUMMYFUNCTION("""COMPUTED_VALUE"""),65.0288083037664)</f>
        <v>65.0288083</v>
      </c>
      <c r="P145" s="20">
        <f>IFERROR(__xludf.DUMMYFUNCTION("""COMPUTED_VALUE"""),1148612.0)</f>
        <v>1148612</v>
      </c>
      <c r="Q145" s="20">
        <f>IFERROR(__xludf.DUMMYFUNCTION("""COMPUTED_VALUE"""),1766317.0)</f>
        <v>1766317</v>
      </c>
    </row>
    <row r="146">
      <c r="A146" s="20">
        <f>IFERROR(__xludf.DUMMYFUNCTION("""COMPUTED_VALUE"""),145.0)</f>
        <v>145</v>
      </c>
      <c r="B146" s="20" t="str">
        <f>IFERROR(__xludf.DUMMYFUNCTION("""COMPUTED_VALUE"""),"Binary Tree Postorder Traversal")</f>
        <v>Binary Tree Postorder Traversal</v>
      </c>
      <c r="C146" s="20" t="str">
        <f>IFERROR(__xludf.DUMMYFUNCTION("""COMPUTED_VALUE"""),"binary-tree-postorder-traversal")</f>
        <v>binary-tree-postorder-traversal</v>
      </c>
      <c r="D146" s="20" t="b">
        <f>IFERROR(__xludf.DUMMYFUNCTION("""COMPUTED_VALUE"""),FALSE)</f>
        <v>0</v>
      </c>
      <c r="E146" s="20" t="str">
        <f>IFERROR(__xludf.DUMMYFUNCTION("""COMPUTED_VALUE"""),"Easy")</f>
        <v>Easy</v>
      </c>
      <c r="F146" s="20">
        <f>IFERROR(__xludf.DUMMYFUNCTION("""COMPUTED_VALUE"""),5366.0)</f>
        <v>5366</v>
      </c>
      <c r="G146" s="20">
        <f>IFERROR(__xludf.DUMMYFUNCTION("""COMPUTED_VALUE"""),161.0)</f>
        <v>161</v>
      </c>
      <c r="H146" s="20" t="str">
        <f>IFERROR(__xludf.DUMMYFUNCTION("""COMPUTED_VALUE"""),"Algorithms")</f>
        <v>Algorithms</v>
      </c>
      <c r="I146" s="20">
        <f>IFERROR(__xludf.DUMMYFUNCTION("""COMPUTED_VALUE"""),0.67)</f>
        <v>0.67</v>
      </c>
      <c r="J146" s="20">
        <f>IFERROR(__xludf.DUMMYFUNCTION("""COMPUTED_VALUE"""),145.0)</f>
        <v>145</v>
      </c>
      <c r="K146" s="20" t="b">
        <f>IFERROR(__xludf.DUMMYFUNCTION("""COMPUTED_VALUE"""),FALSE)</f>
        <v>0</v>
      </c>
      <c r="L146" s="20" t="str">
        <f>IFERROR(__xludf.DUMMYFUNCTION("""COMPUTED_VALUE"""),"Stack;Tree;Depth-First Search;Binary Tree;")</f>
        <v>Stack;Tree;Depth-First Search;Binary Tree;</v>
      </c>
      <c r="M146" s="20" t="b">
        <f>IFERROR(__xludf.DUMMYFUNCTION("""COMPUTED_VALUE"""),FALSE)</f>
        <v>0</v>
      </c>
      <c r="N146" s="20" t="b">
        <f>IFERROR(__xludf.DUMMYFUNCTION("""COMPUTED_VALUE"""),FALSE)</f>
        <v>0</v>
      </c>
      <c r="O146" s="20">
        <f>IFERROR(__xludf.DUMMYFUNCTION("""COMPUTED_VALUE"""),67.0081371694275)</f>
        <v>67.00813717</v>
      </c>
      <c r="P146" s="20">
        <f>IFERROR(__xludf.DUMMYFUNCTION("""COMPUTED_VALUE"""),876179.0)</f>
        <v>876179</v>
      </c>
      <c r="Q146" s="20">
        <f>IFERROR(__xludf.DUMMYFUNCTION("""COMPUTED_VALUE"""),1307570.0)</f>
        <v>1307570</v>
      </c>
    </row>
    <row r="147">
      <c r="A147" s="20">
        <f>IFERROR(__xludf.DUMMYFUNCTION("""COMPUTED_VALUE"""),146.0)</f>
        <v>146</v>
      </c>
      <c r="B147" s="20" t="str">
        <f>IFERROR(__xludf.DUMMYFUNCTION("""COMPUTED_VALUE"""),"LRU Cache")</f>
        <v>LRU Cache</v>
      </c>
      <c r="C147" s="20" t="str">
        <f>IFERROR(__xludf.DUMMYFUNCTION("""COMPUTED_VALUE"""),"lru-cache")</f>
        <v>lru-cache</v>
      </c>
      <c r="D147" s="20" t="b">
        <f>IFERROR(__xludf.DUMMYFUNCTION("""COMPUTED_VALUE"""),FALSE)</f>
        <v>0</v>
      </c>
      <c r="E147" s="20" t="str">
        <f>IFERROR(__xludf.DUMMYFUNCTION("""COMPUTED_VALUE"""),"Medium")</f>
        <v>Medium</v>
      </c>
      <c r="F147" s="20">
        <f>IFERROR(__xludf.DUMMYFUNCTION("""COMPUTED_VALUE"""),16081.0)</f>
        <v>16081</v>
      </c>
      <c r="G147" s="20">
        <f>IFERROR(__xludf.DUMMYFUNCTION("""COMPUTED_VALUE"""),695.0)</f>
        <v>695</v>
      </c>
      <c r="H147" s="20" t="str">
        <f>IFERROR(__xludf.DUMMYFUNCTION("""COMPUTED_VALUE"""),"Algorithms")</f>
        <v>Algorithms</v>
      </c>
      <c r="I147" s="20">
        <f>IFERROR(__xludf.DUMMYFUNCTION("""COMPUTED_VALUE"""),0.405)</f>
        <v>0.405</v>
      </c>
      <c r="J147" s="20">
        <f>IFERROR(__xludf.DUMMYFUNCTION("""COMPUTED_VALUE"""),146.0)</f>
        <v>146</v>
      </c>
      <c r="K147" s="20" t="b">
        <f>IFERROR(__xludf.DUMMYFUNCTION("""COMPUTED_VALUE"""),FALSE)</f>
        <v>0</v>
      </c>
      <c r="L147" s="20" t="str">
        <f>IFERROR(__xludf.DUMMYFUNCTION("""COMPUTED_VALUE"""),"Hash Table;Linked List;Design;Doubly-Linked List;")</f>
        <v>Hash Table;Linked List;Design;Doubly-Linked List;</v>
      </c>
      <c r="M147" s="20" t="b">
        <f>IFERROR(__xludf.DUMMYFUNCTION("""COMPUTED_VALUE"""),TRUE)</f>
        <v>1</v>
      </c>
      <c r="N147" s="20" t="b">
        <f>IFERROR(__xludf.DUMMYFUNCTION("""COMPUTED_VALUE"""),FALSE)</f>
        <v>0</v>
      </c>
      <c r="O147" s="20">
        <f>IFERROR(__xludf.DUMMYFUNCTION("""COMPUTED_VALUE"""),40.4822725860924)</f>
        <v>40.48227259</v>
      </c>
      <c r="P147" s="20">
        <f>IFERROR(__xludf.DUMMYFUNCTION("""COMPUTED_VALUE"""),1236897.0)</f>
        <v>1236897</v>
      </c>
      <c r="Q147" s="20">
        <f>IFERROR(__xludf.DUMMYFUNCTION("""COMPUTED_VALUE"""),3055399.0)</f>
        <v>3055399</v>
      </c>
    </row>
    <row r="148">
      <c r="A148" s="20">
        <f>IFERROR(__xludf.DUMMYFUNCTION("""COMPUTED_VALUE"""),147.0)</f>
        <v>147</v>
      </c>
      <c r="B148" s="20" t="str">
        <f>IFERROR(__xludf.DUMMYFUNCTION("""COMPUTED_VALUE"""),"Insertion Sort List")</f>
        <v>Insertion Sort List</v>
      </c>
      <c r="C148" s="20" t="str">
        <f>IFERROR(__xludf.DUMMYFUNCTION("""COMPUTED_VALUE"""),"insertion-sort-list")</f>
        <v>insertion-sort-list</v>
      </c>
      <c r="D148" s="20" t="b">
        <f>IFERROR(__xludf.DUMMYFUNCTION("""COMPUTED_VALUE"""),FALSE)</f>
        <v>0</v>
      </c>
      <c r="E148" s="20" t="str">
        <f>IFERROR(__xludf.DUMMYFUNCTION("""COMPUTED_VALUE"""),"Medium")</f>
        <v>Medium</v>
      </c>
      <c r="F148" s="20">
        <f>IFERROR(__xludf.DUMMYFUNCTION("""COMPUTED_VALUE"""),2432.0)</f>
        <v>2432</v>
      </c>
      <c r="G148" s="20">
        <f>IFERROR(__xludf.DUMMYFUNCTION("""COMPUTED_VALUE"""),823.0)</f>
        <v>823</v>
      </c>
      <c r="H148" s="20" t="str">
        <f>IFERROR(__xludf.DUMMYFUNCTION("""COMPUTED_VALUE"""),"Algorithms")</f>
        <v>Algorithms</v>
      </c>
      <c r="I148" s="20">
        <f>IFERROR(__xludf.DUMMYFUNCTION("""COMPUTED_VALUE"""),0.504)</f>
        <v>0.504</v>
      </c>
      <c r="J148" s="20">
        <f>IFERROR(__xludf.DUMMYFUNCTION("""COMPUTED_VALUE"""),147.0)</f>
        <v>147</v>
      </c>
      <c r="K148" s="20" t="b">
        <f>IFERROR(__xludf.DUMMYFUNCTION("""COMPUTED_VALUE"""),FALSE)</f>
        <v>0</v>
      </c>
      <c r="L148" s="20" t="str">
        <f>IFERROR(__xludf.DUMMYFUNCTION("""COMPUTED_VALUE"""),"Linked List;Sorting;")</f>
        <v>Linked List;Sorting;</v>
      </c>
      <c r="M148" s="20" t="b">
        <f>IFERROR(__xludf.DUMMYFUNCTION("""COMPUTED_VALUE"""),TRUE)</f>
        <v>1</v>
      </c>
      <c r="N148" s="20" t="b">
        <f>IFERROR(__xludf.DUMMYFUNCTION("""COMPUTED_VALUE"""),TRUE)</f>
        <v>1</v>
      </c>
      <c r="O148" s="20">
        <f>IFERROR(__xludf.DUMMYFUNCTION("""COMPUTED_VALUE"""),50.4220045337579)</f>
        <v>50.42200453</v>
      </c>
      <c r="P148" s="20">
        <f>IFERROR(__xludf.DUMMYFUNCTION("""COMPUTED_VALUE"""),309397.0)</f>
        <v>309397</v>
      </c>
      <c r="Q148" s="20">
        <f>IFERROR(__xludf.DUMMYFUNCTION("""COMPUTED_VALUE"""),613617.0)</f>
        <v>613617</v>
      </c>
    </row>
    <row r="149">
      <c r="A149" s="20">
        <f>IFERROR(__xludf.DUMMYFUNCTION("""COMPUTED_VALUE"""),148.0)</f>
        <v>148</v>
      </c>
      <c r="B149" s="20" t="str">
        <f>IFERROR(__xludf.DUMMYFUNCTION("""COMPUTED_VALUE"""),"Sort List")</f>
        <v>Sort List</v>
      </c>
      <c r="C149" s="20" t="str">
        <f>IFERROR(__xludf.DUMMYFUNCTION("""COMPUTED_VALUE"""),"sort-list")</f>
        <v>sort-list</v>
      </c>
      <c r="D149" s="20" t="b">
        <f>IFERROR(__xludf.DUMMYFUNCTION("""COMPUTED_VALUE"""),FALSE)</f>
        <v>0</v>
      </c>
      <c r="E149" s="20" t="str">
        <f>IFERROR(__xludf.DUMMYFUNCTION("""COMPUTED_VALUE"""),"Medium")</f>
        <v>Medium</v>
      </c>
      <c r="F149" s="20">
        <f>IFERROR(__xludf.DUMMYFUNCTION("""COMPUTED_VALUE"""),8862.0)</f>
        <v>8862</v>
      </c>
      <c r="G149" s="20">
        <f>IFERROR(__xludf.DUMMYFUNCTION("""COMPUTED_VALUE"""),271.0)</f>
        <v>271</v>
      </c>
      <c r="H149" s="20" t="str">
        <f>IFERROR(__xludf.DUMMYFUNCTION("""COMPUTED_VALUE"""),"Algorithms")</f>
        <v>Algorithms</v>
      </c>
      <c r="I149" s="20">
        <f>IFERROR(__xludf.DUMMYFUNCTION("""COMPUTED_VALUE"""),0.544)</f>
        <v>0.544</v>
      </c>
      <c r="J149" s="20">
        <f>IFERROR(__xludf.DUMMYFUNCTION("""COMPUTED_VALUE"""),148.0)</f>
        <v>148</v>
      </c>
      <c r="K149" s="20" t="b">
        <f>IFERROR(__xludf.DUMMYFUNCTION("""COMPUTED_VALUE"""),FALSE)</f>
        <v>0</v>
      </c>
      <c r="L149" s="20" t="str">
        <f>IFERROR(__xludf.DUMMYFUNCTION("""COMPUTED_VALUE"""),"Linked List;Two Pointers;Divide and Conquer;Sorting;Merge Sort;")</f>
        <v>Linked List;Two Pointers;Divide and Conquer;Sorting;Merge Sort;</v>
      </c>
      <c r="M149" s="20" t="b">
        <f>IFERROR(__xludf.DUMMYFUNCTION("""COMPUTED_VALUE"""),TRUE)</f>
        <v>1</v>
      </c>
      <c r="N149" s="20" t="b">
        <f>IFERROR(__xludf.DUMMYFUNCTION("""COMPUTED_VALUE"""),FALSE)</f>
        <v>0</v>
      </c>
      <c r="O149" s="20">
        <f>IFERROR(__xludf.DUMMYFUNCTION("""COMPUTED_VALUE"""),54.4412056161966)</f>
        <v>54.44120562</v>
      </c>
      <c r="P149" s="20">
        <f>IFERROR(__xludf.DUMMYFUNCTION("""COMPUTED_VALUE"""),582892.0)</f>
        <v>582892</v>
      </c>
      <c r="Q149" s="20">
        <f>IFERROR(__xludf.DUMMYFUNCTION("""COMPUTED_VALUE"""),1070685.0)</f>
        <v>1070685</v>
      </c>
    </row>
    <row r="150">
      <c r="A150" s="20">
        <f>IFERROR(__xludf.DUMMYFUNCTION("""COMPUTED_VALUE"""),149.0)</f>
        <v>149</v>
      </c>
      <c r="B150" s="20" t="str">
        <f>IFERROR(__xludf.DUMMYFUNCTION("""COMPUTED_VALUE"""),"Max Points on a Line")</f>
        <v>Max Points on a Line</v>
      </c>
      <c r="C150" s="20" t="str">
        <f>IFERROR(__xludf.DUMMYFUNCTION("""COMPUTED_VALUE"""),"max-points-on-a-line")</f>
        <v>max-points-on-a-line</v>
      </c>
      <c r="D150" s="20" t="b">
        <f>IFERROR(__xludf.DUMMYFUNCTION("""COMPUTED_VALUE"""),FALSE)</f>
        <v>0</v>
      </c>
      <c r="E150" s="20" t="str">
        <f>IFERROR(__xludf.DUMMYFUNCTION("""COMPUTED_VALUE"""),"Hard")</f>
        <v>Hard</v>
      </c>
      <c r="F150" s="20">
        <f>IFERROR(__xludf.DUMMYFUNCTION("""COMPUTED_VALUE"""),1702.0)</f>
        <v>1702</v>
      </c>
      <c r="G150" s="20">
        <f>IFERROR(__xludf.DUMMYFUNCTION("""COMPUTED_VALUE"""),256.0)</f>
        <v>256</v>
      </c>
      <c r="H150" s="20" t="str">
        <f>IFERROR(__xludf.DUMMYFUNCTION("""COMPUTED_VALUE"""),"Algorithms")</f>
        <v>Algorithms</v>
      </c>
      <c r="I150" s="20">
        <f>IFERROR(__xludf.DUMMYFUNCTION("""COMPUTED_VALUE"""),0.219)</f>
        <v>0.219</v>
      </c>
      <c r="J150" s="20">
        <f>IFERROR(__xludf.DUMMYFUNCTION("""COMPUTED_VALUE"""),149.0)</f>
        <v>149</v>
      </c>
      <c r="K150" s="20" t="b">
        <f>IFERROR(__xludf.DUMMYFUNCTION("""COMPUTED_VALUE"""),FALSE)</f>
        <v>0</v>
      </c>
      <c r="L150" s="20" t="str">
        <f>IFERROR(__xludf.DUMMYFUNCTION("""COMPUTED_VALUE"""),"Array;Hash Table;Math;Geometry;")</f>
        <v>Array;Hash Table;Math;Geometry;</v>
      </c>
      <c r="M150" s="20" t="b">
        <f>IFERROR(__xludf.DUMMYFUNCTION("""COMPUTED_VALUE"""),TRUE)</f>
        <v>1</v>
      </c>
      <c r="N150" s="20" t="b">
        <f>IFERROR(__xludf.DUMMYFUNCTION("""COMPUTED_VALUE"""),FALSE)</f>
        <v>0</v>
      </c>
      <c r="O150" s="20">
        <f>IFERROR(__xludf.DUMMYFUNCTION("""COMPUTED_VALUE"""),21.908105279401)</f>
        <v>21.90810528</v>
      </c>
      <c r="P150" s="20">
        <f>IFERROR(__xludf.DUMMYFUNCTION("""COMPUTED_VALUE"""),261230.0)</f>
        <v>261230</v>
      </c>
      <c r="Q150" s="20">
        <f>IFERROR(__xludf.DUMMYFUNCTION("""COMPUTED_VALUE"""),1192404.0)</f>
        <v>1192404</v>
      </c>
    </row>
    <row r="151">
      <c r="A151" s="20">
        <f>IFERROR(__xludf.DUMMYFUNCTION("""COMPUTED_VALUE"""),150.0)</f>
        <v>150</v>
      </c>
      <c r="B151" s="20" t="str">
        <f>IFERROR(__xludf.DUMMYFUNCTION("""COMPUTED_VALUE"""),"Evaluate Reverse Polish Notation")</f>
        <v>Evaluate Reverse Polish Notation</v>
      </c>
      <c r="C151" s="20" t="str">
        <f>IFERROR(__xludf.DUMMYFUNCTION("""COMPUTED_VALUE"""),"evaluate-reverse-polish-notation")</f>
        <v>evaluate-reverse-polish-notation</v>
      </c>
      <c r="D151" s="20" t="b">
        <f>IFERROR(__xludf.DUMMYFUNCTION("""COMPUTED_VALUE"""),FALSE)</f>
        <v>0</v>
      </c>
      <c r="E151" s="20" t="str">
        <f>IFERROR(__xludf.DUMMYFUNCTION("""COMPUTED_VALUE"""),"Medium")</f>
        <v>Medium</v>
      </c>
      <c r="F151" s="20">
        <f>IFERROR(__xludf.DUMMYFUNCTION("""COMPUTED_VALUE"""),5162.0)</f>
        <v>5162</v>
      </c>
      <c r="G151" s="20">
        <f>IFERROR(__xludf.DUMMYFUNCTION("""COMPUTED_VALUE"""),831.0)</f>
        <v>831</v>
      </c>
      <c r="H151" s="20" t="str">
        <f>IFERROR(__xludf.DUMMYFUNCTION("""COMPUTED_VALUE"""),"Algorithms")</f>
        <v>Algorithms</v>
      </c>
      <c r="I151" s="20">
        <f>IFERROR(__xludf.DUMMYFUNCTION("""COMPUTED_VALUE"""),0.448)</f>
        <v>0.448</v>
      </c>
      <c r="J151" s="20">
        <f>IFERROR(__xludf.DUMMYFUNCTION("""COMPUTED_VALUE"""),150.0)</f>
        <v>150</v>
      </c>
      <c r="K151" s="20" t="b">
        <f>IFERROR(__xludf.DUMMYFUNCTION("""COMPUTED_VALUE"""),FALSE)</f>
        <v>0</v>
      </c>
      <c r="L151" s="20" t="str">
        <f>IFERROR(__xludf.DUMMYFUNCTION("""COMPUTED_VALUE"""),"Array;Math;Stack;")</f>
        <v>Array;Math;Stack;</v>
      </c>
      <c r="M151" s="20" t="b">
        <f>IFERROR(__xludf.DUMMYFUNCTION("""COMPUTED_VALUE"""),TRUE)</f>
        <v>1</v>
      </c>
      <c r="N151" s="20" t="b">
        <f>IFERROR(__xludf.DUMMYFUNCTION("""COMPUTED_VALUE"""),FALSE)</f>
        <v>0</v>
      </c>
      <c r="O151" s="20">
        <f>IFERROR(__xludf.DUMMYFUNCTION("""COMPUTED_VALUE"""),44.8011024234072)</f>
        <v>44.80110242</v>
      </c>
      <c r="P151" s="20">
        <f>IFERROR(__xludf.DUMMYFUNCTION("""COMPUTED_VALUE"""),591369.0)</f>
        <v>591369</v>
      </c>
      <c r="Q151" s="20">
        <f>IFERROR(__xludf.DUMMYFUNCTION("""COMPUTED_VALUE"""),1319993.0)</f>
        <v>1319993</v>
      </c>
    </row>
    <row r="152">
      <c r="A152" s="20">
        <f>IFERROR(__xludf.DUMMYFUNCTION("""COMPUTED_VALUE"""),151.0)</f>
        <v>151</v>
      </c>
      <c r="B152" s="20" t="str">
        <f>IFERROR(__xludf.DUMMYFUNCTION("""COMPUTED_VALUE"""),"Reverse Words in a String")</f>
        <v>Reverse Words in a String</v>
      </c>
      <c r="C152" s="20" t="str">
        <f>IFERROR(__xludf.DUMMYFUNCTION("""COMPUTED_VALUE"""),"reverse-words-in-a-string")</f>
        <v>reverse-words-in-a-string</v>
      </c>
      <c r="D152" s="20" t="b">
        <f>IFERROR(__xludf.DUMMYFUNCTION("""COMPUTED_VALUE"""),FALSE)</f>
        <v>0</v>
      </c>
      <c r="E152" s="20" t="str">
        <f>IFERROR(__xludf.DUMMYFUNCTION("""COMPUTED_VALUE"""),"Medium")</f>
        <v>Medium</v>
      </c>
      <c r="F152" s="20">
        <f>IFERROR(__xludf.DUMMYFUNCTION("""COMPUTED_VALUE"""),5213.0)</f>
        <v>5213</v>
      </c>
      <c r="G152" s="20">
        <f>IFERROR(__xludf.DUMMYFUNCTION("""COMPUTED_VALUE"""),4439.0)</f>
        <v>4439</v>
      </c>
      <c r="H152" s="20" t="str">
        <f>IFERROR(__xludf.DUMMYFUNCTION("""COMPUTED_VALUE"""),"Algorithms")</f>
        <v>Algorithms</v>
      </c>
      <c r="I152" s="20">
        <f>IFERROR(__xludf.DUMMYFUNCTION("""COMPUTED_VALUE"""),0.32)</f>
        <v>0.32</v>
      </c>
      <c r="J152" s="20">
        <f>IFERROR(__xludf.DUMMYFUNCTION("""COMPUTED_VALUE"""),151.0)</f>
        <v>151</v>
      </c>
      <c r="K152" s="20" t="b">
        <f>IFERROR(__xludf.DUMMYFUNCTION("""COMPUTED_VALUE"""),FALSE)</f>
        <v>0</v>
      </c>
      <c r="L152" s="20" t="str">
        <f>IFERROR(__xludf.DUMMYFUNCTION("""COMPUTED_VALUE"""),"Two Pointers;String;")</f>
        <v>Two Pointers;String;</v>
      </c>
      <c r="M152" s="20" t="b">
        <f>IFERROR(__xludf.DUMMYFUNCTION("""COMPUTED_VALUE"""),TRUE)</f>
        <v>1</v>
      </c>
      <c r="N152" s="20" t="b">
        <f>IFERROR(__xludf.DUMMYFUNCTION("""COMPUTED_VALUE"""),FALSE)</f>
        <v>0</v>
      </c>
      <c r="O152" s="20">
        <f>IFERROR(__xludf.DUMMYFUNCTION("""COMPUTED_VALUE"""),32.025111309388)</f>
        <v>32.02511131</v>
      </c>
      <c r="P152" s="20">
        <f>IFERROR(__xludf.DUMMYFUNCTION("""COMPUTED_VALUE"""),867879.0)</f>
        <v>867879</v>
      </c>
      <c r="Q152" s="20">
        <f>IFERROR(__xludf.DUMMYFUNCTION("""COMPUTED_VALUE"""),2710007.0)</f>
        <v>2710007</v>
      </c>
    </row>
    <row r="153">
      <c r="A153" s="20">
        <f>IFERROR(__xludf.DUMMYFUNCTION("""COMPUTED_VALUE"""),152.0)</f>
        <v>152</v>
      </c>
      <c r="B153" s="20" t="str">
        <f>IFERROR(__xludf.DUMMYFUNCTION("""COMPUTED_VALUE"""),"Maximum Product Subarray")</f>
        <v>Maximum Product Subarray</v>
      </c>
      <c r="C153" s="20" t="str">
        <f>IFERROR(__xludf.DUMMYFUNCTION("""COMPUTED_VALUE"""),"maximum-product-subarray")</f>
        <v>maximum-product-subarray</v>
      </c>
      <c r="D153" s="20" t="b">
        <f>IFERROR(__xludf.DUMMYFUNCTION("""COMPUTED_VALUE"""),FALSE)</f>
        <v>0</v>
      </c>
      <c r="E153" s="20" t="str">
        <f>IFERROR(__xludf.DUMMYFUNCTION("""COMPUTED_VALUE"""),"Medium")</f>
        <v>Medium</v>
      </c>
      <c r="F153" s="20">
        <f>IFERROR(__xludf.DUMMYFUNCTION("""COMPUTED_VALUE"""),14654.0)</f>
        <v>14654</v>
      </c>
      <c r="G153" s="20">
        <f>IFERROR(__xludf.DUMMYFUNCTION("""COMPUTED_VALUE"""),433.0)</f>
        <v>433</v>
      </c>
      <c r="H153" s="20" t="str">
        <f>IFERROR(__xludf.DUMMYFUNCTION("""COMPUTED_VALUE"""),"Algorithms")</f>
        <v>Algorithms</v>
      </c>
      <c r="I153" s="20">
        <f>IFERROR(__xludf.DUMMYFUNCTION("""COMPUTED_VALUE"""),0.349)</f>
        <v>0.349</v>
      </c>
      <c r="J153" s="20">
        <f>IFERROR(__xludf.DUMMYFUNCTION("""COMPUTED_VALUE"""),152.0)</f>
        <v>152</v>
      </c>
      <c r="K153" s="20" t="b">
        <f>IFERROR(__xludf.DUMMYFUNCTION("""COMPUTED_VALUE"""),FALSE)</f>
        <v>0</v>
      </c>
      <c r="L153" s="20" t="str">
        <f>IFERROR(__xludf.DUMMYFUNCTION("""COMPUTED_VALUE"""),"Array;Dynamic Programming;")</f>
        <v>Array;Dynamic Programming;</v>
      </c>
      <c r="M153" s="20" t="b">
        <f>IFERROR(__xludf.DUMMYFUNCTION("""COMPUTED_VALUE"""),TRUE)</f>
        <v>1</v>
      </c>
      <c r="N153" s="20" t="b">
        <f>IFERROR(__xludf.DUMMYFUNCTION("""COMPUTED_VALUE"""),FALSE)</f>
        <v>0</v>
      </c>
      <c r="O153" s="20">
        <f>IFERROR(__xludf.DUMMYFUNCTION("""COMPUTED_VALUE"""),34.916698220371)</f>
        <v>34.91669822</v>
      </c>
      <c r="P153" s="20">
        <f>IFERROR(__xludf.DUMMYFUNCTION("""COMPUTED_VALUE"""),922146.0)</f>
        <v>922146</v>
      </c>
      <c r="Q153" s="20">
        <f>IFERROR(__xludf.DUMMYFUNCTION("""COMPUTED_VALUE"""),2640983.0)</f>
        <v>2640983</v>
      </c>
    </row>
    <row r="154">
      <c r="A154" s="20">
        <f>IFERROR(__xludf.DUMMYFUNCTION("""COMPUTED_VALUE"""),153.0)</f>
        <v>153</v>
      </c>
      <c r="B154" s="20" t="str">
        <f>IFERROR(__xludf.DUMMYFUNCTION("""COMPUTED_VALUE"""),"Find Minimum in Rotated Sorted Array")</f>
        <v>Find Minimum in Rotated Sorted Array</v>
      </c>
      <c r="C154" s="20" t="str">
        <f>IFERROR(__xludf.DUMMYFUNCTION("""COMPUTED_VALUE"""),"find-minimum-in-rotated-sorted-array")</f>
        <v>find-minimum-in-rotated-sorted-array</v>
      </c>
      <c r="D154" s="20" t="b">
        <f>IFERROR(__xludf.DUMMYFUNCTION("""COMPUTED_VALUE"""),FALSE)</f>
        <v>0</v>
      </c>
      <c r="E154" s="20" t="str">
        <f>IFERROR(__xludf.DUMMYFUNCTION("""COMPUTED_VALUE"""),"Medium")</f>
        <v>Medium</v>
      </c>
      <c r="F154" s="20">
        <f>IFERROR(__xludf.DUMMYFUNCTION("""COMPUTED_VALUE"""),9243.0)</f>
        <v>9243</v>
      </c>
      <c r="G154" s="20">
        <f>IFERROR(__xludf.DUMMYFUNCTION("""COMPUTED_VALUE"""),446.0)</f>
        <v>446</v>
      </c>
      <c r="H154" s="20" t="str">
        <f>IFERROR(__xludf.DUMMYFUNCTION("""COMPUTED_VALUE"""),"Algorithms")</f>
        <v>Algorithms</v>
      </c>
      <c r="I154" s="20">
        <f>IFERROR(__xludf.DUMMYFUNCTION("""COMPUTED_VALUE"""),0.486)</f>
        <v>0.486</v>
      </c>
      <c r="J154" s="20">
        <f>IFERROR(__xludf.DUMMYFUNCTION("""COMPUTED_VALUE"""),153.0)</f>
        <v>153</v>
      </c>
      <c r="K154" s="20" t="b">
        <f>IFERROR(__xludf.DUMMYFUNCTION("""COMPUTED_VALUE"""),FALSE)</f>
        <v>0</v>
      </c>
      <c r="L154" s="20" t="str">
        <f>IFERROR(__xludf.DUMMYFUNCTION("""COMPUTED_VALUE"""),"Array;Binary Search;")</f>
        <v>Array;Binary Search;</v>
      </c>
      <c r="M154" s="20" t="b">
        <f>IFERROR(__xludf.DUMMYFUNCTION("""COMPUTED_VALUE"""),TRUE)</f>
        <v>1</v>
      </c>
      <c r="N154" s="20" t="b">
        <f>IFERROR(__xludf.DUMMYFUNCTION("""COMPUTED_VALUE"""),FALSE)</f>
        <v>0</v>
      </c>
      <c r="O154" s="20">
        <f>IFERROR(__xludf.DUMMYFUNCTION("""COMPUTED_VALUE"""),48.6158034728808)</f>
        <v>48.61580347</v>
      </c>
      <c r="P154" s="20">
        <f>IFERROR(__xludf.DUMMYFUNCTION("""COMPUTED_VALUE"""),1170310.0)</f>
        <v>1170310</v>
      </c>
      <c r="Q154" s="20">
        <f>IFERROR(__xludf.DUMMYFUNCTION("""COMPUTED_VALUE"""),2407271.0)</f>
        <v>2407271</v>
      </c>
    </row>
    <row r="155">
      <c r="A155" s="20">
        <f>IFERROR(__xludf.DUMMYFUNCTION("""COMPUTED_VALUE"""),154.0)</f>
        <v>154</v>
      </c>
      <c r="B155" s="20" t="str">
        <f>IFERROR(__xludf.DUMMYFUNCTION("""COMPUTED_VALUE"""),"Find Minimum in Rotated Sorted Array II")</f>
        <v>Find Minimum in Rotated Sorted Array II</v>
      </c>
      <c r="C155" s="20" t="str">
        <f>IFERROR(__xludf.DUMMYFUNCTION("""COMPUTED_VALUE"""),"find-minimum-in-rotated-sorted-array-ii")</f>
        <v>find-minimum-in-rotated-sorted-array-ii</v>
      </c>
      <c r="D155" s="20" t="b">
        <f>IFERROR(__xludf.DUMMYFUNCTION("""COMPUTED_VALUE"""),FALSE)</f>
        <v>0</v>
      </c>
      <c r="E155" s="20" t="str">
        <f>IFERROR(__xludf.DUMMYFUNCTION("""COMPUTED_VALUE"""),"Hard")</f>
        <v>Hard</v>
      </c>
      <c r="F155" s="20">
        <f>IFERROR(__xludf.DUMMYFUNCTION("""COMPUTED_VALUE"""),3633.0)</f>
        <v>3633</v>
      </c>
      <c r="G155" s="20">
        <f>IFERROR(__xludf.DUMMYFUNCTION("""COMPUTED_VALUE"""),407.0)</f>
        <v>407</v>
      </c>
      <c r="H155" s="20" t="str">
        <f>IFERROR(__xludf.DUMMYFUNCTION("""COMPUTED_VALUE"""),"Algorithms")</f>
        <v>Algorithms</v>
      </c>
      <c r="I155" s="20">
        <f>IFERROR(__xludf.DUMMYFUNCTION("""COMPUTED_VALUE"""),0.435)</f>
        <v>0.435</v>
      </c>
      <c r="J155" s="20">
        <f>IFERROR(__xludf.DUMMYFUNCTION("""COMPUTED_VALUE"""),154.0)</f>
        <v>154</v>
      </c>
      <c r="K155" s="20" t="b">
        <f>IFERROR(__xludf.DUMMYFUNCTION("""COMPUTED_VALUE"""),FALSE)</f>
        <v>0</v>
      </c>
      <c r="L155" s="20" t="str">
        <f>IFERROR(__xludf.DUMMYFUNCTION("""COMPUTED_VALUE"""),"Array;Binary Search;")</f>
        <v>Array;Binary Search;</v>
      </c>
      <c r="M155" s="20" t="b">
        <f>IFERROR(__xludf.DUMMYFUNCTION("""COMPUTED_VALUE"""),TRUE)</f>
        <v>1</v>
      </c>
      <c r="N155" s="20" t="b">
        <f>IFERROR(__xludf.DUMMYFUNCTION("""COMPUTED_VALUE"""),FALSE)</f>
        <v>0</v>
      </c>
      <c r="O155" s="20">
        <f>IFERROR(__xludf.DUMMYFUNCTION("""COMPUTED_VALUE"""),43.459138321349)</f>
        <v>43.45913832</v>
      </c>
      <c r="P155" s="20">
        <f>IFERROR(__xludf.DUMMYFUNCTION("""COMPUTED_VALUE"""),365896.0)</f>
        <v>365896</v>
      </c>
      <c r="Q155" s="20">
        <f>IFERROR(__xludf.DUMMYFUNCTION("""COMPUTED_VALUE"""),841934.0)</f>
        <v>841934</v>
      </c>
    </row>
    <row r="156">
      <c r="A156" s="20">
        <f>IFERROR(__xludf.DUMMYFUNCTION("""COMPUTED_VALUE"""),155.0)</f>
        <v>155</v>
      </c>
      <c r="B156" s="20" t="str">
        <f>IFERROR(__xludf.DUMMYFUNCTION("""COMPUTED_VALUE"""),"Min Stack")</f>
        <v>Min Stack</v>
      </c>
      <c r="C156" s="20" t="str">
        <f>IFERROR(__xludf.DUMMYFUNCTION("""COMPUTED_VALUE"""),"min-stack")</f>
        <v>min-stack</v>
      </c>
      <c r="D156" s="20" t="b">
        <f>IFERROR(__xludf.DUMMYFUNCTION("""COMPUTED_VALUE"""),FALSE)</f>
        <v>0</v>
      </c>
      <c r="E156" s="20" t="str">
        <f>IFERROR(__xludf.DUMMYFUNCTION("""COMPUTED_VALUE"""),"Medium")</f>
        <v>Medium</v>
      </c>
      <c r="F156" s="20">
        <f>IFERROR(__xludf.DUMMYFUNCTION("""COMPUTED_VALUE"""),10372.0)</f>
        <v>10372</v>
      </c>
      <c r="G156" s="20">
        <f>IFERROR(__xludf.DUMMYFUNCTION("""COMPUTED_VALUE"""),695.0)</f>
        <v>695</v>
      </c>
      <c r="H156" s="20" t="str">
        <f>IFERROR(__xludf.DUMMYFUNCTION("""COMPUTED_VALUE"""),"Algorithms")</f>
        <v>Algorithms</v>
      </c>
      <c r="I156" s="20">
        <f>IFERROR(__xludf.DUMMYFUNCTION("""COMPUTED_VALUE"""),0.52)</f>
        <v>0.52</v>
      </c>
      <c r="J156" s="20">
        <f>IFERROR(__xludf.DUMMYFUNCTION("""COMPUTED_VALUE"""),155.0)</f>
        <v>155</v>
      </c>
      <c r="K156" s="20" t="b">
        <f>IFERROR(__xludf.DUMMYFUNCTION("""COMPUTED_VALUE"""),FALSE)</f>
        <v>0</v>
      </c>
      <c r="L156" s="20" t="str">
        <f>IFERROR(__xludf.DUMMYFUNCTION("""COMPUTED_VALUE"""),"Stack;Design;")</f>
        <v>Stack;Design;</v>
      </c>
      <c r="M156" s="20" t="b">
        <f>IFERROR(__xludf.DUMMYFUNCTION("""COMPUTED_VALUE"""),TRUE)</f>
        <v>1</v>
      </c>
      <c r="N156" s="20" t="b">
        <f>IFERROR(__xludf.DUMMYFUNCTION("""COMPUTED_VALUE"""),FALSE)</f>
        <v>0</v>
      </c>
      <c r="O156" s="20">
        <f>IFERROR(__xludf.DUMMYFUNCTION("""COMPUTED_VALUE"""),51.9992604549624)</f>
        <v>51.99926045</v>
      </c>
      <c r="P156" s="20">
        <f>IFERROR(__xludf.DUMMYFUNCTION("""COMPUTED_VALUE"""),1169988.0)</f>
        <v>1169988</v>
      </c>
      <c r="Q156" s="20">
        <f>IFERROR(__xludf.DUMMYFUNCTION("""COMPUTED_VALUE"""),2250012.0)</f>
        <v>2250012</v>
      </c>
    </row>
    <row r="157">
      <c r="A157" s="20">
        <f>IFERROR(__xludf.DUMMYFUNCTION("""COMPUTED_VALUE"""),156.0)</f>
        <v>156</v>
      </c>
      <c r="B157" s="20" t="str">
        <f>IFERROR(__xludf.DUMMYFUNCTION("""COMPUTED_VALUE"""),"Binary Tree Upside Down")</f>
        <v>Binary Tree Upside Down</v>
      </c>
      <c r="C157" s="20" t="str">
        <f>IFERROR(__xludf.DUMMYFUNCTION("""COMPUTED_VALUE"""),"binary-tree-upside-down")</f>
        <v>binary-tree-upside-down</v>
      </c>
      <c r="D157" s="20" t="b">
        <f>IFERROR(__xludf.DUMMYFUNCTION("""COMPUTED_VALUE"""),TRUE)</f>
        <v>1</v>
      </c>
      <c r="E157" s="20" t="str">
        <f>IFERROR(__xludf.DUMMYFUNCTION("""COMPUTED_VALUE"""),"Medium")</f>
        <v>Medium</v>
      </c>
      <c r="F157" s="20">
        <f>IFERROR(__xludf.DUMMYFUNCTION("""COMPUTED_VALUE"""),202.0)</f>
        <v>202</v>
      </c>
      <c r="G157" s="20">
        <f>IFERROR(__xludf.DUMMYFUNCTION("""COMPUTED_VALUE"""),291.0)</f>
        <v>291</v>
      </c>
      <c r="H157" s="20" t="str">
        <f>IFERROR(__xludf.DUMMYFUNCTION("""COMPUTED_VALUE"""),"Algorithms")</f>
        <v>Algorithms</v>
      </c>
      <c r="I157" s="20">
        <f>IFERROR(__xludf.DUMMYFUNCTION("""COMPUTED_VALUE"""),0.617)</f>
        <v>0.617</v>
      </c>
      <c r="J157" s="20">
        <f>IFERROR(__xludf.DUMMYFUNCTION("""COMPUTED_VALUE"""),156.0)</f>
        <v>156</v>
      </c>
      <c r="K157" s="20" t="b">
        <f>IFERROR(__xludf.DUMMYFUNCTION("""COMPUTED_VALUE"""),TRUE)</f>
        <v>1</v>
      </c>
      <c r="L157" s="20" t="str">
        <f>IFERROR(__xludf.DUMMYFUNCTION("""COMPUTED_VALUE"""),"Tree;Depth-First Search;Binary Tree;")</f>
        <v>Tree;Depth-First Search;Binary Tree;</v>
      </c>
      <c r="M157" s="20" t="b">
        <f>IFERROR(__xludf.DUMMYFUNCTION("""COMPUTED_VALUE"""),FALSE)</f>
        <v>0</v>
      </c>
      <c r="N157" s="20" t="b">
        <f>IFERROR(__xludf.DUMMYFUNCTION("""COMPUTED_VALUE"""),FALSE)</f>
        <v>0</v>
      </c>
      <c r="O157" s="20">
        <f>IFERROR(__xludf.DUMMYFUNCTION("""COMPUTED_VALUE"""),61.7089305402425)</f>
        <v>61.70893054</v>
      </c>
      <c r="P157" s="20">
        <f>IFERROR(__xludf.DUMMYFUNCTION("""COMPUTED_VALUE"""),95149.0)</f>
        <v>95149</v>
      </c>
      <c r="Q157" s="20">
        <f>IFERROR(__xludf.DUMMYFUNCTION("""COMPUTED_VALUE"""),154190.0)</f>
        <v>154190</v>
      </c>
    </row>
    <row r="158">
      <c r="A158" s="20">
        <f>IFERROR(__xludf.DUMMYFUNCTION("""COMPUTED_VALUE"""),157.0)</f>
        <v>157</v>
      </c>
      <c r="B158" s="20" t="str">
        <f>IFERROR(__xludf.DUMMYFUNCTION("""COMPUTED_VALUE"""),"Read N Characters Given Read4")</f>
        <v>Read N Characters Given Read4</v>
      </c>
      <c r="C158" s="20" t="str">
        <f>IFERROR(__xludf.DUMMYFUNCTION("""COMPUTED_VALUE"""),"read-n-characters-given-read4")</f>
        <v>read-n-characters-given-read4</v>
      </c>
      <c r="D158" s="20" t="b">
        <f>IFERROR(__xludf.DUMMYFUNCTION("""COMPUTED_VALUE"""),TRUE)</f>
        <v>1</v>
      </c>
      <c r="E158" s="20" t="str">
        <f>IFERROR(__xludf.DUMMYFUNCTION("""COMPUTED_VALUE"""),"Easy")</f>
        <v>Easy</v>
      </c>
      <c r="F158" s="20">
        <f>IFERROR(__xludf.DUMMYFUNCTION("""COMPUTED_VALUE"""),527.0)</f>
        <v>527</v>
      </c>
      <c r="G158" s="20">
        <f>IFERROR(__xludf.DUMMYFUNCTION("""COMPUTED_VALUE"""),3221.0)</f>
        <v>3221</v>
      </c>
      <c r="H158" s="20" t="str">
        <f>IFERROR(__xludf.DUMMYFUNCTION("""COMPUTED_VALUE"""),"Algorithms")</f>
        <v>Algorithms</v>
      </c>
      <c r="I158" s="20">
        <f>IFERROR(__xludf.DUMMYFUNCTION("""COMPUTED_VALUE"""),0.408)</f>
        <v>0.408</v>
      </c>
      <c r="J158" s="20">
        <f>IFERROR(__xludf.DUMMYFUNCTION("""COMPUTED_VALUE"""),157.0)</f>
        <v>157</v>
      </c>
      <c r="K158" s="20" t="b">
        <f>IFERROR(__xludf.DUMMYFUNCTION("""COMPUTED_VALUE"""),TRUE)</f>
        <v>1</v>
      </c>
      <c r="L158" s="20" t="str">
        <f>IFERROR(__xludf.DUMMYFUNCTION("""COMPUTED_VALUE"""),"String;Simulation;Interactive;")</f>
        <v>String;Simulation;Interactive;</v>
      </c>
      <c r="M158" s="20" t="b">
        <f>IFERROR(__xludf.DUMMYFUNCTION("""COMPUTED_VALUE"""),TRUE)</f>
        <v>1</v>
      </c>
      <c r="N158" s="20" t="b">
        <f>IFERROR(__xludf.DUMMYFUNCTION("""COMPUTED_VALUE"""),FALSE)</f>
        <v>0</v>
      </c>
      <c r="O158" s="20">
        <f>IFERROR(__xludf.DUMMYFUNCTION("""COMPUTED_VALUE"""),40.8260748692097)</f>
        <v>40.82607487</v>
      </c>
      <c r="P158" s="20">
        <f>IFERROR(__xludf.DUMMYFUNCTION("""COMPUTED_VALUE"""),177691.0)</f>
        <v>177691</v>
      </c>
      <c r="Q158" s="20">
        <f>IFERROR(__xludf.DUMMYFUNCTION("""COMPUTED_VALUE"""),435239.0)</f>
        <v>435239</v>
      </c>
    </row>
    <row r="159">
      <c r="A159" s="20">
        <f>IFERROR(__xludf.DUMMYFUNCTION("""COMPUTED_VALUE"""),158.0)</f>
        <v>158</v>
      </c>
      <c r="B159" s="20" t="str">
        <f>IFERROR(__xludf.DUMMYFUNCTION("""COMPUTED_VALUE"""),"Read N Characters Given read4 II - Call Multiple Times")</f>
        <v>Read N Characters Given read4 II - Call Multiple Times</v>
      </c>
      <c r="C159" s="20" t="str">
        <f>IFERROR(__xludf.DUMMYFUNCTION("""COMPUTED_VALUE"""),"read-n-characters-given-read4-ii-call-multiple-times")</f>
        <v>read-n-characters-given-read4-ii-call-multiple-times</v>
      </c>
      <c r="D159" s="20" t="b">
        <f>IFERROR(__xludf.DUMMYFUNCTION("""COMPUTED_VALUE"""),TRUE)</f>
        <v>1</v>
      </c>
      <c r="E159" s="20" t="str">
        <f>IFERROR(__xludf.DUMMYFUNCTION("""COMPUTED_VALUE"""),"Hard")</f>
        <v>Hard</v>
      </c>
      <c r="F159" s="20">
        <f>IFERROR(__xludf.DUMMYFUNCTION("""COMPUTED_VALUE"""),831.0)</f>
        <v>831</v>
      </c>
      <c r="G159" s="20">
        <f>IFERROR(__xludf.DUMMYFUNCTION("""COMPUTED_VALUE"""),1733.0)</f>
        <v>1733</v>
      </c>
      <c r="H159" s="20" t="str">
        <f>IFERROR(__xludf.DUMMYFUNCTION("""COMPUTED_VALUE"""),"Algorithms")</f>
        <v>Algorithms</v>
      </c>
      <c r="I159" s="20">
        <f>IFERROR(__xludf.DUMMYFUNCTION("""COMPUTED_VALUE"""),0.415)</f>
        <v>0.415</v>
      </c>
      <c r="J159" s="20">
        <f>IFERROR(__xludf.DUMMYFUNCTION("""COMPUTED_VALUE"""),158.0)</f>
        <v>158</v>
      </c>
      <c r="K159" s="20" t="b">
        <f>IFERROR(__xludf.DUMMYFUNCTION("""COMPUTED_VALUE"""),TRUE)</f>
        <v>1</v>
      </c>
      <c r="L159" s="20" t="str">
        <f>IFERROR(__xludf.DUMMYFUNCTION("""COMPUTED_VALUE"""),"String;Simulation;Interactive;")</f>
        <v>String;Simulation;Interactive;</v>
      </c>
      <c r="M159" s="20" t="b">
        <f>IFERROR(__xludf.DUMMYFUNCTION("""COMPUTED_VALUE"""),FALSE)</f>
        <v>0</v>
      </c>
      <c r="N159" s="20" t="b">
        <f>IFERROR(__xludf.DUMMYFUNCTION("""COMPUTED_VALUE"""),FALSE)</f>
        <v>0</v>
      </c>
      <c r="O159" s="20">
        <f>IFERROR(__xludf.DUMMYFUNCTION("""COMPUTED_VALUE"""),41.4886413934181)</f>
        <v>41.48864139</v>
      </c>
      <c r="P159" s="20">
        <f>IFERROR(__xludf.DUMMYFUNCTION("""COMPUTED_VALUE"""),173408.0)</f>
        <v>173408</v>
      </c>
      <c r="Q159" s="20">
        <f>IFERROR(__xludf.DUMMYFUNCTION("""COMPUTED_VALUE"""),417965.0)</f>
        <v>417965</v>
      </c>
    </row>
    <row r="160">
      <c r="A160" s="20">
        <f>IFERROR(__xludf.DUMMYFUNCTION("""COMPUTED_VALUE"""),159.0)</f>
        <v>159</v>
      </c>
      <c r="B160" s="20" t="str">
        <f>IFERROR(__xludf.DUMMYFUNCTION("""COMPUTED_VALUE"""),"Longest Substring with At Most Two Distinct Characters")</f>
        <v>Longest Substring with At Most Two Distinct Characters</v>
      </c>
      <c r="C160" s="20" t="str">
        <f>IFERROR(__xludf.DUMMYFUNCTION("""COMPUTED_VALUE"""),"longest-substring-with-at-most-two-distinct-characters")</f>
        <v>longest-substring-with-at-most-two-distinct-characters</v>
      </c>
      <c r="D160" s="20" t="b">
        <f>IFERROR(__xludf.DUMMYFUNCTION("""COMPUTED_VALUE"""),TRUE)</f>
        <v>1</v>
      </c>
      <c r="E160" s="20" t="str">
        <f>IFERROR(__xludf.DUMMYFUNCTION("""COMPUTED_VALUE"""),"Medium")</f>
        <v>Medium</v>
      </c>
      <c r="F160" s="20">
        <f>IFERROR(__xludf.DUMMYFUNCTION("""COMPUTED_VALUE"""),1983.0)</f>
        <v>1983</v>
      </c>
      <c r="G160" s="20">
        <f>IFERROR(__xludf.DUMMYFUNCTION("""COMPUTED_VALUE"""),31.0)</f>
        <v>31</v>
      </c>
      <c r="H160" s="20" t="str">
        <f>IFERROR(__xludf.DUMMYFUNCTION("""COMPUTED_VALUE"""),"Algorithms")</f>
        <v>Algorithms</v>
      </c>
      <c r="I160" s="20">
        <f>IFERROR(__xludf.DUMMYFUNCTION("""COMPUTED_VALUE"""),0.536)</f>
        <v>0.536</v>
      </c>
      <c r="J160" s="20">
        <f>IFERROR(__xludf.DUMMYFUNCTION("""COMPUTED_VALUE"""),159.0)</f>
        <v>159</v>
      </c>
      <c r="K160" s="20" t="b">
        <f>IFERROR(__xludf.DUMMYFUNCTION("""COMPUTED_VALUE"""),TRUE)</f>
        <v>1</v>
      </c>
      <c r="L160" s="20" t="str">
        <f>IFERROR(__xludf.DUMMYFUNCTION("""COMPUTED_VALUE"""),"Hash Table;String;Sliding Window;")</f>
        <v>Hash Table;String;Sliding Window;</v>
      </c>
      <c r="M160" s="20" t="b">
        <f>IFERROR(__xludf.DUMMYFUNCTION("""COMPUTED_VALUE"""),TRUE)</f>
        <v>1</v>
      </c>
      <c r="N160" s="20" t="b">
        <f>IFERROR(__xludf.DUMMYFUNCTION("""COMPUTED_VALUE"""),TRUE)</f>
        <v>1</v>
      </c>
      <c r="O160" s="20">
        <f>IFERROR(__xludf.DUMMYFUNCTION("""COMPUTED_VALUE"""),53.59902250578)</f>
        <v>53.59902251</v>
      </c>
      <c r="P160" s="20">
        <f>IFERROR(__xludf.DUMMYFUNCTION("""COMPUTED_VALUE"""),219771.0)</f>
        <v>219771</v>
      </c>
      <c r="Q160" s="20">
        <f>IFERROR(__xludf.DUMMYFUNCTION("""COMPUTED_VALUE"""),410028.0)</f>
        <v>410028</v>
      </c>
    </row>
    <row r="161">
      <c r="A161" s="20">
        <f>IFERROR(__xludf.DUMMYFUNCTION("""COMPUTED_VALUE"""),160.0)</f>
        <v>160</v>
      </c>
      <c r="B161" s="20" t="str">
        <f>IFERROR(__xludf.DUMMYFUNCTION("""COMPUTED_VALUE"""),"Intersection of Two Linked Lists")</f>
        <v>Intersection of Two Linked Lists</v>
      </c>
      <c r="C161" s="20" t="str">
        <f>IFERROR(__xludf.DUMMYFUNCTION("""COMPUTED_VALUE"""),"intersection-of-two-linked-lists")</f>
        <v>intersection-of-two-linked-lists</v>
      </c>
      <c r="D161" s="20" t="b">
        <f>IFERROR(__xludf.DUMMYFUNCTION("""COMPUTED_VALUE"""),FALSE)</f>
        <v>0</v>
      </c>
      <c r="E161" s="20" t="str">
        <f>IFERROR(__xludf.DUMMYFUNCTION("""COMPUTED_VALUE"""),"Easy")</f>
        <v>Easy</v>
      </c>
      <c r="F161" s="20">
        <f>IFERROR(__xludf.DUMMYFUNCTION("""COMPUTED_VALUE"""),11915.0)</f>
        <v>11915</v>
      </c>
      <c r="G161" s="20">
        <f>IFERROR(__xludf.DUMMYFUNCTION("""COMPUTED_VALUE"""),1078.0)</f>
        <v>1078</v>
      </c>
      <c r="H161" s="20" t="str">
        <f>IFERROR(__xludf.DUMMYFUNCTION("""COMPUTED_VALUE"""),"Algorithms")</f>
        <v>Algorithms</v>
      </c>
      <c r="I161" s="20">
        <f>IFERROR(__xludf.DUMMYFUNCTION("""COMPUTED_VALUE"""),0.536)</f>
        <v>0.536</v>
      </c>
      <c r="J161" s="20">
        <f>IFERROR(__xludf.DUMMYFUNCTION("""COMPUTED_VALUE"""),160.0)</f>
        <v>160</v>
      </c>
      <c r="K161" s="20" t="b">
        <f>IFERROR(__xludf.DUMMYFUNCTION("""COMPUTED_VALUE"""),FALSE)</f>
        <v>0</v>
      </c>
      <c r="L161" s="20" t="str">
        <f>IFERROR(__xludf.DUMMYFUNCTION("""COMPUTED_VALUE"""),"Hash Table;Linked List;Two Pointers;")</f>
        <v>Hash Table;Linked List;Two Pointers;</v>
      </c>
      <c r="M161" s="20" t="b">
        <f>IFERROR(__xludf.DUMMYFUNCTION("""COMPUTED_VALUE"""),TRUE)</f>
        <v>1</v>
      </c>
      <c r="N161" s="20" t="b">
        <f>IFERROR(__xludf.DUMMYFUNCTION("""COMPUTED_VALUE"""),TRUE)</f>
        <v>1</v>
      </c>
      <c r="O161" s="20">
        <f>IFERROR(__xludf.DUMMYFUNCTION("""COMPUTED_VALUE"""),53.58245978162)</f>
        <v>53.58245978</v>
      </c>
      <c r="P161" s="20">
        <f>IFERROR(__xludf.DUMMYFUNCTION("""COMPUTED_VALUE"""),1178764.0)</f>
        <v>1178764</v>
      </c>
      <c r="Q161" s="20">
        <f>IFERROR(__xludf.DUMMYFUNCTION("""COMPUTED_VALUE"""),2199913.0)</f>
        <v>2199913</v>
      </c>
    </row>
    <row r="162">
      <c r="A162" s="20">
        <f>IFERROR(__xludf.DUMMYFUNCTION("""COMPUTED_VALUE"""),161.0)</f>
        <v>161</v>
      </c>
      <c r="B162" s="20" t="str">
        <f>IFERROR(__xludf.DUMMYFUNCTION("""COMPUTED_VALUE"""),"One Edit Distance")</f>
        <v>One Edit Distance</v>
      </c>
      <c r="C162" s="20" t="str">
        <f>IFERROR(__xludf.DUMMYFUNCTION("""COMPUTED_VALUE"""),"one-edit-distance")</f>
        <v>one-edit-distance</v>
      </c>
      <c r="D162" s="20" t="b">
        <f>IFERROR(__xludf.DUMMYFUNCTION("""COMPUTED_VALUE"""),TRUE)</f>
        <v>1</v>
      </c>
      <c r="E162" s="20" t="str">
        <f>IFERROR(__xludf.DUMMYFUNCTION("""COMPUTED_VALUE"""),"Medium")</f>
        <v>Medium</v>
      </c>
      <c r="F162" s="20">
        <f>IFERROR(__xludf.DUMMYFUNCTION("""COMPUTED_VALUE"""),1235.0)</f>
        <v>1235</v>
      </c>
      <c r="G162" s="20">
        <f>IFERROR(__xludf.DUMMYFUNCTION("""COMPUTED_VALUE"""),171.0)</f>
        <v>171</v>
      </c>
      <c r="H162" s="20" t="str">
        <f>IFERROR(__xludf.DUMMYFUNCTION("""COMPUTED_VALUE"""),"Algorithms")</f>
        <v>Algorithms</v>
      </c>
      <c r="I162" s="20">
        <f>IFERROR(__xludf.DUMMYFUNCTION("""COMPUTED_VALUE"""),0.341)</f>
        <v>0.341</v>
      </c>
      <c r="J162" s="20">
        <f>IFERROR(__xludf.DUMMYFUNCTION("""COMPUTED_VALUE"""),161.0)</f>
        <v>161</v>
      </c>
      <c r="K162" s="20" t="b">
        <f>IFERROR(__xludf.DUMMYFUNCTION("""COMPUTED_VALUE"""),TRUE)</f>
        <v>1</v>
      </c>
      <c r="L162" s="20" t="str">
        <f>IFERROR(__xludf.DUMMYFUNCTION("""COMPUTED_VALUE"""),"Two Pointers;String;")</f>
        <v>Two Pointers;String;</v>
      </c>
      <c r="M162" s="20" t="b">
        <f>IFERROR(__xludf.DUMMYFUNCTION("""COMPUTED_VALUE"""),TRUE)</f>
        <v>1</v>
      </c>
      <c r="N162" s="20" t="b">
        <f>IFERROR(__xludf.DUMMYFUNCTION("""COMPUTED_VALUE"""),FALSE)</f>
        <v>0</v>
      </c>
      <c r="O162" s="20">
        <f>IFERROR(__xludf.DUMMYFUNCTION("""COMPUTED_VALUE"""),34.1240497709087)</f>
        <v>34.12404977</v>
      </c>
      <c r="P162" s="20">
        <f>IFERROR(__xludf.DUMMYFUNCTION("""COMPUTED_VALUE"""),184405.0)</f>
        <v>184405</v>
      </c>
      <c r="Q162" s="20">
        <f>IFERROR(__xludf.DUMMYFUNCTION("""COMPUTED_VALUE"""),540396.0)</f>
        <v>540396</v>
      </c>
    </row>
    <row r="163">
      <c r="A163" s="20">
        <f>IFERROR(__xludf.DUMMYFUNCTION("""COMPUTED_VALUE"""),162.0)</f>
        <v>162</v>
      </c>
      <c r="B163" s="20" t="str">
        <f>IFERROR(__xludf.DUMMYFUNCTION("""COMPUTED_VALUE"""),"Find Peak Element")</f>
        <v>Find Peak Element</v>
      </c>
      <c r="C163" s="20" t="str">
        <f>IFERROR(__xludf.DUMMYFUNCTION("""COMPUTED_VALUE"""),"find-peak-element")</f>
        <v>find-peak-element</v>
      </c>
      <c r="D163" s="20" t="b">
        <f>IFERROR(__xludf.DUMMYFUNCTION("""COMPUTED_VALUE"""),FALSE)</f>
        <v>0</v>
      </c>
      <c r="E163" s="20" t="str">
        <f>IFERROR(__xludf.DUMMYFUNCTION("""COMPUTED_VALUE"""),"Medium")</f>
        <v>Medium</v>
      </c>
      <c r="F163" s="20">
        <f>IFERROR(__xludf.DUMMYFUNCTION("""COMPUTED_VALUE"""),8095.0)</f>
        <v>8095</v>
      </c>
      <c r="G163" s="20">
        <f>IFERROR(__xludf.DUMMYFUNCTION("""COMPUTED_VALUE"""),4137.0)</f>
        <v>4137</v>
      </c>
      <c r="H163" s="20" t="str">
        <f>IFERROR(__xludf.DUMMYFUNCTION("""COMPUTED_VALUE"""),"Algorithms")</f>
        <v>Algorithms</v>
      </c>
      <c r="I163" s="20">
        <f>IFERROR(__xludf.DUMMYFUNCTION("""COMPUTED_VALUE"""),0.462)</f>
        <v>0.462</v>
      </c>
      <c r="J163" s="20">
        <f>IFERROR(__xludf.DUMMYFUNCTION("""COMPUTED_VALUE"""),162.0)</f>
        <v>162</v>
      </c>
      <c r="K163" s="20" t="b">
        <f>IFERROR(__xludf.DUMMYFUNCTION("""COMPUTED_VALUE"""),FALSE)</f>
        <v>0</v>
      </c>
      <c r="L163" s="20" t="str">
        <f>IFERROR(__xludf.DUMMYFUNCTION("""COMPUTED_VALUE"""),"Array;Binary Search;")</f>
        <v>Array;Binary Search;</v>
      </c>
      <c r="M163" s="20" t="b">
        <f>IFERROR(__xludf.DUMMYFUNCTION("""COMPUTED_VALUE"""),TRUE)</f>
        <v>1</v>
      </c>
      <c r="N163" s="20" t="b">
        <f>IFERROR(__xludf.DUMMYFUNCTION("""COMPUTED_VALUE"""),FALSE)</f>
        <v>0</v>
      </c>
      <c r="O163" s="20">
        <f>IFERROR(__xludf.DUMMYFUNCTION("""COMPUTED_VALUE"""),46.1812355962465)</f>
        <v>46.1812356</v>
      </c>
      <c r="P163" s="20">
        <f>IFERROR(__xludf.DUMMYFUNCTION("""COMPUTED_VALUE"""),939408.0)</f>
        <v>939408</v>
      </c>
      <c r="Q163" s="20">
        <f>IFERROR(__xludf.DUMMYFUNCTION("""COMPUTED_VALUE"""),2034170.0)</f>
        <v>2034170</v>
      </c>
    </row>
    <row r="164">
      <c r="A164" s="20">
        <f>IFERROR(__xludf.DUMMYFUNCTION("""COMPUTED_VALUE"""),163.0)</f>
        <v>163</v>
      </c>
      <c r="B164" s="20" t="str">
        <f>IFERROR(__xludf.DUMMYFUNCTION("""COMPUTED_VALUE"""),"Missing Ranges")</f>
        <v>Missing Ranges</v>
      </c>
      <c r="C164" s="20" t="str">
        <f>IFERROR(__xludf.DUMMYFUNCTION("""COMPUTED_VALUE"""),"missing-ranges")</f>
        <v>missing-ranges</v>
      </c>
      <c r="D164" s="20" t="b">
        <f>IFERROR(__xludf.DUMMYFUNCTION("""COMPUTED_VALUE"""),TRUE)</f>
        <v>1</v>
      </c>
      <c r="E164" s="20" t="str">
        <f>IFERROR(__xludf.DUMMYFUNCTION("""COMPUTED_VALUE"""),"Easy")</f>
        <v>Easy</v>
      </c>
      <c r="F164" s="20">
        <f>IFERROR(__xludf.DUMMYFUNCTION("""COMPUTED_VALUE"""),880.0)</f>
        <v>880</v>
      </c>
      <c r="G164" s="20">
        <f>IFERROR(__xludf.DUMMYFUNCTION("""COMPUTED_VALUE"""),2730.0)</f>
        <v>2730</v>
      </c>
      <c r="H164" s="20" t="str">
        <f>IFERROR(__xludf.DUMMYFUNCTION("""COMPUTED_VALUE"""),"Algorithms")</f>
        <v>Algorithms</v>
      </c>
      <c r="I164" s="20">
        <f>IFERROR(__xludf.DUMMYFUNCTION("""COMPUTED_VALUE"""),0.321)</f>
        <v>0.321</v>
      </c>
      <c r="J164" s="20">
        <f>IFERROR(__xludf.DUMMYFUNCTION("""COMPUTED_VALUE"""),163.0)</f>
        <v>163</v>
      </c>
      <c r="K164" s="20" t="b">
        <f>IFERROR(__xludf.DUMMYFUNCTION("""COMPUTED_VALUE"""),TRUE)</f>
        <v>1</v>
      </c>
      <c r="L164" s="20" t="str">
        <f>IFERROR(__xludf.DUMMYFUNCTION("""COMPUTED_VALUE"""),"Array;")</f>
        <v>Array;</v>
      </c>
      <c r="M164" s="20" t="b">
        <f>IFERROR(__xludf.DUMMYFUNCTION("""COMPUTED_VALUE"""),TRUE)</f>
        <v>1</v>
      </c>
      <c r="N164" s="20" t="b">
        <f>IFERROR(__xludf.DUMMYFUNCTION("""COMPUTED_VALUE"""),TRUE)</f>
        <v>1</v>
      </c>
      <c r="O164" s="20">
        <f>IFERROR(__xludf.DUMMYFUNCTION("""COMPUTED_VALUE"""),32.0773806233532)</f>
        <v>32.07738062</v>
      </c>
      <c r="P164" s="20">
        <f>IFERROR(__xludf.DUMMYFUNCTION("""COMPUTED_VALUE"""),191500.0)</f>
        <v>191500</v>
      </c>
      <c r="Q164" s="20">
        <f>IFERROR(__xludf.DUMMYFUNCTION("""COMPUTED_VALUE"""),596996.0)</f>
        <v>596996</v>
      </c>
    </row>
    <row r="165">
      <c r="A165" s="20">
        <f>IFERROR(__xludf.DUMMYFUNCTION("""COMPUTED_VALUE"""),164.0)</f>
        <v>164</v>
      </c>
      <c r="B165" s="20" t="str">
        <f>IFERROR(__xludf.DUMMYFUNCTION("""COMPUTED_VALUE"""),"Maximum Gap")</f>
        <v>Maximum Gap</v>
      </c>
      <c r="C165" s="20" t="str">
        <f>IFERROR(__xludf.DUMMYFUNCTION("""COMPUTED_VALUE"""),"maximum-gap")</f>
        <v>maximum-gap</v>
      </c>
      <c r="D165" s="20" t="b">
        <f>IFERROR(__xludf.DUMMYFUNCTION("""COMPUTED_VALUE"""),FALSE)</f>
        <v>0</v>
      </c>
      <c r="E165" s="20" t="str">
        <f>IFERROR(__xludf.DUMMYFUNCTION("""COMPUTED_VALUE"""),"Hard")</f>
        <v>Hard</v>
      </c>
      <c r="F165" s="20">
        <f>IFERROR(__xludf.DUMMYFUNCTION("""COMPUTED_VALUE"""),2573.0)</f>
        <v>2573</v>
      </c>
      <c r="G165" s="20">
        <f>IFERROR(__xludf.DUMMYFUNCTION("""COMPUTED_VALUE"""),318.0)</f>
        <v>318</v>
      </c>
      <c r="H165" s="20" t="str">
        <f>IFERROR(__xludf.DUMMYFUNCTION("""COMPUTED_VALUE"""),"Algorithms")</f>
        <v>Algorithms</v>
      </c>
      <c r="I165" s="20">
        <f>IFERROR(__xludf.DUMMYFUNCTION("""COMPUTED_VALUE"""),0.429)</f>
        <v>0.429</v>
      </c>
      <c r="J165" s="20">
        <f>IFERROR(__xludf.DUMMYFUNCTION("""COMPUTED_VALUE"""),164.0)</f>
        <v>164</v>
      </c>
      <c r="K165" s="20" t="b">
        <f>IFERROR(__xludf.DUMMYFUNCTION("""COMPUTED_VALUE"""),FALSE)</f>
        <v>0</v>
      </c>
      <c r="L165" s="20" t="str">
        <f>IFERROR(__xludf.DUMMYFUNCTION("""COMPUTED_VALUE"""),"Array;Sorting;Bucket Sort;Radix Sort;")</f>
        <v>Array;Sorting;Bucket Sort;Radix Sort;</v>
      </c>
      <c r="M165" s="20" t="b">
        <f>IFERROR(__xludf.DUMMYFUNCTION("""COMPUTED_VALUE"""),TRUE)</f>
        <v>1</v>
      </c>
      <c r="N165" s="20" t="b">
        <f>IFERROR(__xludf.DUMMYFUNCTION("""COMPUTED_VALUE"""),FALSE)</f>
        <v>0</v>
      </c>
      <c r="O165" s="20">
        <f>IFERROR(__xludf.DUMMYFUNCTION("""COMPUTED_VALUE"""),42.8782416054906)</f>
        <v>42.87824161</v>
      </c>
      <c r="P165" s="20">
        <f>IFERROR(__xludf.DUMMYFUNCTION("""COMPUTED_VALUE"""),157935.0)</f>
        <v>157935</v>
      </c>
      <c r="Q165" s="20">
        <f>IFERROR(__xludf.DUMMYFUNCTION("""COMPUTED_VALUE"""),368335.0)</f>
        <v>368335</v>
      </c>
    </row>
    <row r="166">
      <c r="A166" s="20">
        <f>IFERROR(__xludf.DUMMYFUNCTION("""COMPUTED_VALUE"""),165.0)</f>
        <v>165</v>
      </c>
      <c r="B166" s="20" t="str">
        <f>IFERROR(__xludf.DUMMYFUNCTION("""COMPUTED_VALUE"""),"Compare Version Numbers")</f>
        <v>Compare Version Numbers</v>
      </c>
      <c r="C166" s="20" t="str">
        <f>IFERROR(__xludf.DUMMYFUNCTION("""COMPUTED_VALUE"""),"compare-version-numbers")</f>
        <v>compare-version-numbers</v>
      </c>
      <c r="D166" s="20" t="b">
        <f>IFERROR(__xludf.DUMMYFUNCTION("""COMPUTED_VALUE"""),FALSE)</f>
        <v>0</v>
      </c>
      <c r="E166" s="20" t="str">
        <f>IFERROR(__xludf.DUMMYFUNCTION("""COMPUTED_VALUE"""),"Medium")</f>
        <v>Medium</v>
      </c>
      <c r="F166" s="20">
        <f>IFERROR(__xludf.DUMMYFUNCTION("""COMPUTED_VALUE"""),1825.0)</f>
        <v>1825</v>
      </c>
      <c r="G166" s="20">
        <f>IFERROR(__xludf.DUMMYFUNCTION("""COMPUTED_VALUE"""),2399.0)</f>
        <v>2399</v>
      </c>
      <c r="H166" s="20" t="str">
        <f>IFERROR(__xludf.DUMMYFUNCTION("""COMPUTED_VALUE"""),"Algorithms")</f>
        <v>Algorithms</v>
      </c>
      <c r="I166" s="20">
        <f>IFERROR(__xludf.DUMMYFUNCTION("""COMPUTED_VALUE"""),0.355)</f>
        <v>0.355</v>
      </c>
      <c r="J166" s="20">
        <f>IFERROR(__xludf.DUMMYFUNCTION("""COMPUTED_VALUE"""),165.0)</f>
        <v>165</v>
      </c>
      <c r="K166" s="20" t="b">
        <f>IFERROR(__xludf.DUMMYFUNCTION("""COMPUTED_VALUE"""),FALSE)</f>
        <v>0</v>
      </c>
      <c r="L166" s="20" t="str">
        <f>IFERROR(__xludf.DUMMYFUNCTION("""COMPUTED_VALUE"""),"Two Pointers;String;")</f>
        <v>Two Pointers;String;</v>
      </c>
      <c r="M166" s="20" t="b">
        <f>IFERROR(__xludf.DUMMYFUNCTION("""COMPUTED_VALUE"""),TRUE)</f>
        <v>1</v>
      </c>
      <c r="N166" s="20" t="b">
        <f>IFERROR(__xludf.DUMMYFUNCTION("""COMPUTED_VALUE"""),FALSE)</f>
        <v>0</v>
      </c>
      <c r="O166" s="20">
        <f>IFERROR(__xludf.DUMMYFUNCTION("""COMPUTED_VALUE"""),35.5047245873208)</f>
        <v>35.50472459</v>
      </c>
      <c r="P166" s="20">
        <f>IFERROR(__xludf.DUMMYFUNCTION("""COMPUTED_VALUE"""),341063.0)</f>
        <v>341063</v>
      </c>
      <c r="Q166" s="20">
        <f>IFERROR(__xludf.DUMMYFUNCTION("""COMPUTED_VALUE"""),960613.0)</f>
        <v>960613</v>
      </c>
    </row>
    <row r="167">
      <c r="A167" s="20">
        <f>IFERROR(__xludf.DUMMYFUNCTION("""COMPUTED_VALUE"""),166.0)</f>
        <v>166</v>
      </c>
      <c r="B167" s="20" t="str">
        <f>IFERROR(__xludf.DUMMYFUNCTION("""COMPUTED_VALUE"""),"Fraction to Recurring Decimal")</f>
        <v>Fraction to Recurring Decimal</v>
      </c>
      <c r="C167" s="20" t="str">
        <f>IFERROR(__xludf.DUMMYFUNCTION("""COMPUTED_VALUE"""),"fraction-to-recurring-decimal")</f>
        <v>fraction-to-recurring-decimal</v>
      </c>
      <c r="D167" s="20" t="b">
        <f>IFERROR(__xludf.DUMMYFUNCTION("""COMPUTED_VALUE"""),FALSE)</f>
        <v>0</v>
      </c>
      <c r="E167" s="20" t="str">
        <f>IFERROR(__xludf.DUMMYFUNCTION("""COMPUTED_VALUE"""),"Medium")</f>
        <v>Medium</v>
      </c>
      <c r="F167" s="20">
        <f>IFERROR(__xludf.DUMMYFUNCTION("""COMPUTED_VALUE"""),1811.0)</f>
        <v>1811</v>
      </c>
      <c r="G167" s="20">
        <f>IFERROR(__xludf.DUMMYFUNCTION("""COMPUTED_VALUE"""),3303.0)</f>
        <v>3303</v>
      </c>
      <c r="H167" s="20" t="str">
        <f>IFERROR(__xludf.DUMMYFUNCTION("""COMPUTED_VALUE"""),"Algorithms")</f>
        <v>Algorithms</v>
      </c>
      <c r="I167" s="20">
        <f>IFERROR(__xludf.DUMMYFUNCTION("""COMPUTED_VALUE"""),0.241)</f>
        <v>0.241</v>
      </c>
      <c r="J167" s="20">
        <f>IFERROR(__xludf.DUMMYFUNCTION("""COMPUTED_VALUE"""),166.0)</f>
        <v>166</v>
      </c>
      <c r="K167" s="20" t="b">
        <f>IFERROR(__xludf.DUMMYFUNCTION("""COMPUTED_VALUE"""),FALSE)</f>
        <v>0</v>
      </c>
      <c r="L167" s="20" t="str">
        <f>IFERROR(__xludf.DUMMYFUNCTION("""COMPUTED_VALUE"""),"Hash Table;Math;String;")</f>
        <v>Hash Table;Math;String;</v>
      </c>
      <c r="M167" s="20" t="b">
        <f>IFERROR(__xludf.DUMMYFUNCTION("""COMPUTED_VALUE"""),TRUE)</f>
        <v>1</v>
      </c>
      <c r="N167" s="20" t="b">
        <f>IFERROR(__xludf.DUMMYFUNCTION("""COMPUTED_VALUE"""),FALSE)</f>
        <v>0</v>
      </c>
      <c r="O167" s="20">
        <f>IFERROR(__xludf.DUMMYFUNCTION("""COMPUTED_VALUE"""),24.1381521633917)</f>
        <v>24.13815216</v>
      </c>
      <c r="P167" s="20">
        <f>IFERROR(__xludf.DUMMYFUNCTION("""COMPUTED_VALUE"""),199497.0)</f>
        <v>199497</v>
      </c>
      <c r="Q167" s="20">
        <f>IFERROR(__xludf.DUMMYFUNCTION("""COMPUTED_VALUE"""),826480.0)</f>
        <v>826480</v>
      </c>
    </row>
    <row r="168">
      <c r="A168" s="20">
        <f>IFERROR(__xludf.DUMMYFUNCTION("""COMPUTED_VALUE"""),167.0)</f>
        <v>167</v>
      </c>
      <c r="B168" s="20" t="str">
        <f>IFERROR(__xludf.DUMMYFUNCTION("""COMPUTED_VALUE"""),"Two Sum II - Input Array Is Sorted")</f>
        <v>Two Sum II - Input Array Is Sorted</v>
      </c>
      <c r="C168" s="20" t="str">
        <f>IFERROR(__xludf.DUMMYFUNCTION("""COMPUTED_VALUE"""),"two-sum-ii-input-array-is-sorted")</f>
        <v>two-sum-ii-input-array-is-sorted</v>
      </c>
      <c r="D168" s="20" t="b">
        <f>IFERROR(__xludf.DUMMYFUNCTION("""COMPUTED_VALUE"""),FALSE)</f>
        <v>0</v>
      </c>
      <c r="E168" s="20" t="str">
        <f>IFERROR(__xludf.DUMMYFUNCTION("""COMPUTED_VALUE"""),"Medium")</f>
        <v>Medium</v>
      </c>
      <c r="F168" s="20">
        <f>IFERROR(__xludf.DUMMYFUNCTION("""COMPUTED_VALUE"""),8413.0)</f>
        <v>8413</v>
      </c>
      <c r="G168" s="20">
        <f>IFERROR(__xludf.DUMMYFUNCTION("""COMPUTED_VALUE"""),1132.0)</f>
        <v>1132</v>
      </c>
      <c r="H168" s="20" t="str">
        <f>IFERROR(__xludf.DUMMYFUNCTION("""COMPUTED_VALUE"""),"Algorithms")</f>
        <v>Algorithms</v>
      </c>
      <c r="I168" s="20">
        <f>IFERROR(__xludf.DUMMYFUNCTION("""COMPUTED_VALUE"""),0.6)</f>
        <v>0.6</v>
      </c>
      <c r="J168" s="20">
        <f>IFERROR(__xludf.DUMMYFUNCTION("""COMPUTED_VALUE"""),167.0)</f>
        <v>167</v>
      </c>
      <c r="K168" s="20" t="b">
        <f>IFERROR(__xludf.DUMMYFUNCTION("""COMPUTED_VALUE"""),FALSE)</f>
        <v>0</v>
      </c>
      <c r="L168" s="20" t="str">
        <f>IFERROR(__xludf.DUMMYFUNCTION("""COMPUTED_VALUE"""),"Array;Two Pointers;Binary Search;")</f>
        <v>Array;Two Pointers;Binary Search;</v>
      </c>
      <c r="M168" s="20" t="b">
        <f>IFERROR(__xludf.DUMMYFUNCTION("""COMPUTED_VALUE"""),TRUE)</f>
        <v>1</v>
      </c>
      <c r="N168" s="20" t="b">
        <f>IFERROR(__xludf.DUMMYFUNCTION("""COMPUTED_VALUE"""),FALSE)</f>
        <v>0</v>
      </c>
      <c r="O168" s="20">
        <f>IFERROR(__xludf.DUMMYFUNCTION("""COMPUTED_VALUE"""),60.0452108469498)</f>
        <v>60.04521085</v>
      </c>
      <c r="P168" s="20">
        <f>IFERROR(__xludf.DUMMYFUNCTION("""COMPUTED_VALUE"""),1314818.0)</f>
        <v>1314818</v>
      </c>
      <c r="Q168" s="20">
        <f>IFERROR(__xludf.DUMMYFUNCTION("""COMPUTED_VALUE"""),2189717.0)</f>
        <v>2189717</v>
      </c>
    </row>
    <row r="169">
      <c r="A169" s="20">
        <f>IFERROR(__xludf.DUMMYFUNCTION("""COMPUTED_VALUE"""),168.0)</f>
        <v>168</v>
      </c>
      <c r="B169" s="20" t="str">
        <f>IFERROR(__xludf.DUMMYFUNCTION("""COMPUTED_VALUE"""),"Excel Sheet Column Title")</f>
        <v>Excel Sheet Column Title</v>
      </c>
      <c r="C169" s="20" t="str">
        <f>IFERROR(__xludf.DUMMYFUNCTION("""COMPUTED_VALUE"""),"excel-sheet-column-title")</f>
        <v>excel-sheet-column-title</v>
      </c>
      <c r="D169" s="20" t="b">
        <f>IFERROR(__xludf.DUMMYFUNCTION("""COMPUTED_VALUE"""),FALSE)</f>
        <v>0</v>
      </c>
      <c r="E169" s="20" t="str">
        <f>IFERROR(__xludf.DUMMYFUNCTION("""COMPUTED_VALUE"""),"Easy")</f>
        <v>Easy</v>
      </c>
      <c r="F169" s="20">
        <f>IFERROR(__xludf.DUMMYFUNCTION("""COMPUTED_VALUE"""),3434.0)</f>
        <v>3434</v>
      </c>
      <c r="G169" s="20">
        <f>IFERROR(__xludf.DUMMYFUNCTION("""COMPUTED_VALUE"""),499.0)</f>
        <v>499</v>
      </c>
      <c r="H169" s="20" t="str">
        <f>IFERROR(__xludf.DUMMYFUNCTION("""COMPUTED_VALUE"""),"Algorithms")</f>
        <v>Algorithms</v>
      </c>
      <c r="I169" s="20">
        <f>IFERROR(__xludf.DUMMYFUNCTION("""COMPUTED_VALUE"""),0.349)</f>
        <v>0.349</v>
      </c>
      <c r="J169" s="20">
        <f>IFERROR(__xludf.DUMMYFUNCTION("""COMPUTED_VALUE"""),168.0)</f>
        <v>168</v>
      </c>
      <c r="K169" s="20" t="b">
        <f>IFERROR(__xludf.DUMMYFUNCTION("""COMPUTED_VALUE"""),FALSE)</f>
        <v>0</v>
      </c>
      <c r="L169" s="20" t="str">
        <f>IFERROR(__xludf.DUMMYFUNCTION("""COMPUTED_VALUE"""),"Math;String;")</f>
        <v>Math;String;</v>
      </c>
      <c r="M169" s="20" t="b">
        <f>IFERROR(__xludf.DUMMYFUNCTION("""COMPUTED_VALUE"""),FALSE)</f>
        <v>0</v>
      </c>
      <c r="N169" s="20" t="b">
        <f>IFERROR(__xludf.DUMMYFUNCTION("""COMPUTED_VALUE"""),FALSE)</f>
        <v>0</v>
      </c>
      <c r="O169" s="20">
        <f>IFERROR(__xludf.DUMMYFUNCTION("""COMPUTED_VALUE"""),34.9419453130473)</f>
        <v>34.94194531</v>
      </c>
      <c r="P169" s="20">
        <f>IFERROR(__xludf.DUMMYFUNCTION("""COMPUTED_VALUE"""),354115.0)</f>
        <v>354115</v>
      </c>
      <c r="Q169" s="20">
        <f>IFERROR(__xludf.DUMMYFUNCTION("""COMPUTED_VALUE"""),1013439.0)</f>
        <v>1013439</v>
      </c>
    </row>
    <row r="170">
      <c r="A170" s="20">
        <f>IFERROR(__xludf.DUMMYFUNCTION("""COMPUTED_VALUE"""),169.0)</f>
        <v>169</v>
      </c>
      <c r="B170" s="20" t="str">
        <f>IFERROR(__xludf.DUMMYFUNCTION("""COMPUTED_VALUE"""),"Majority Element")</f>
        <v>Majority Element</v>
      </c>
      <c r="C170" s="20" t="str">
        <f>IFERROR(__xludf.DUMMYFUNCTION("""COMPUTED_VALUE"""),"majority-element")</f>
        <v>majority-element</v>
      </c>
      <c r="D170" s="20" t="b">
        <f>IFERROR(__xludf.DUMMYFUNCTION("""COMPUTED_VALUE"""),FALSE)</f>
        <v>0</v>
      </c>
      <c r="E170" s="20" t="str">
        <f>IFERROR(__xludf.DUMMYFUNCTION("""COMPUTED_VALUE"""),"Easy")</f>
        <v>Easy</v>
      </c>
      <c r="F170" s="20">
        <f>IFERROR(__xludf.DUMMYFUNCTION("""COMPUTED_VALUE"""),13112.0)</f>
        <v>13112</v>
      </c>
      <c r="G170" s="20">
        <f>IFERROR(__xludf.DUMMYFUNCTION("""COMPUTED_VALUE"""),421.0)</f>
        <v>421</v>
      </c>
      <c r="H170" s="20" t="str">
        <f>IFERROR(__xludf.DUMMYFUNCTION("""COMPUTED_VALUE"""),"Algorithms")</f>
        <v>Algorithms</v>
      </c>
      <c r="I170" s="20">
        <f>IFERROR(__xludf.DUMMYFUNCTION("""COMPUTED_VALUE"""),0.639)</f>
        <v>0.639</v>
      </c>
      <c r="J170" s="20">
        <f>IFERROR(__xludf.DUMMYFUNCTION("""COMPUTED_VALUE"""),169.0)</f>
        <v>169</v>
      </c>
      <c r="K170" s="20" t="b">
        <f>IFERROR(__xludf.DUMMYFUNCTION("""COMPUTED_VALUE"""),FALSE)</f>
        <v>0</v>
      </c>
      <c r="L170" s="20" t="str">
        <f>IFERROR(__xludf.DUMMYFUNCTION("""COMPUTED_VALUE"""),"Array;Hash Table;Divide and Conquer;Sorting;Counting;")</f>
        <v>Array;Hash Table;Divide and Conquer;Sorting;Counting;</v>
      </c>
      <c r="M170" s="20" t="b">
        <f>IFERROR(__xludf.DUMMYFUNCTION("""COMPUTED_VALUE"""),TRUE)</f>
        <v>1</v>
      </c>
      <c r="N170" s="20" t="b">
        <f>IFERROR(__xludf.DUMMYFUNCTION("""COMPUTED_VALUE"""),FALSE)</f>
        <v>0</v>
      </c>
      <c r="O170" s="20">
        <f>IFERROR(__xludf.DUMMYFUNCTION("""COMPUTED_VALUE"""),63.910131195757)</f>
        <v>63.9101312</v>
      </c>
      <c r="P170" s="20">
        <f>IFERROR(__xludf.DUMMYFUNCTION("""COMPUTED_VALUE"""),1546250.0)</f>
        <v>1546250</v>
      </c>
      <c r="Q170" s="20">
        <f>IFERROR(__xludf.DUMMYFUNCTION("""COMPUTED_VALUE"""),2419417.0)</f>
        <v>2419417</v>
      </c>
    </row>
    <row r="171">
      <c r="A171" s="20">
        <f>IFERROR(__xludf.DUMMYFUNCTION("""COMPUTED_VALUE"""),170.0)</f>
        <v>170</v>
      </c>
      <c r="B171" s="20" t="str">
        <f>IFERROR(__xludf.DUMMYFUNCTION("""COMPUTED_VALUE"""),"Two Sum III - Data structure design")</f>
        <v>Two Sum III - Data structure design</v>
      </c>
      <c r="C171" s="20" t="str">
        <f>IFERROR(__xludf.DUMMYFUNCTION("""COMPUTED_VALUE"""),"two-sum-iii-data-structure-design")</f>
        <v>two-sum-iii-data-structure-design</v>
      </c>
      <c r="D171" s="20" t="b">
        <f>IFERROR(__xludf.DUMMYFUNCTION("""COMPUTED_VALUE"""),TRUE)</f>
        <v>1</v>
      </c>
      <c r="E171" s="20" t="str">
        <f>IFERROR(__xludf.DUMMYFUNCTION("""COMPUTED_VALUE"""),"Easy")</f>
        <v>Easy</v>
      </c>
      <c r="F171" s="20">
        <f>IFERROR(__xludf.DUMMYFUNCTION("""COMPUTED_VALUE"""),602.0)</f>
        <v>602</v>
      </c>
      <c r="G171" s="20">
        <f>IFERROR(__xludf.DUMMYFUNCTION("""COMPUTED_VALUE"""),405.0)</f>
        <v>405</v>
      </c>
      <c r="H171" s="20" t="str">
        <f>IFERROR(__xludf.DUMMYFUNCTION("""COMPUTED_VALUE"""),"Algorithms")</f>
        <v>Algorithms</v>
      </c>
      <c r="I171" s="20">
        <f>IFERROR(__xludf.DUMMYFUNCTION("""COMPUTED_VALUE"""),0.374)</f>
        <v>0.374</v>
      </c>
      <c r="J171" s="20">
        <f>IFERROR(__xludf.DUMMYFUNCTION("""COMPUTED_VALUE"""),170.0)</f>
        <v>170</v>
      </c>
      <c r="K171" s="20" t="b">
        <f>IFERROR(__xludf.DUMMYFUNCTION("""COMPUTED_VALUE"""),TRUE)</f>
        <v>1</v>
      </c>
      <c r="L171" s="20" t="str">
        <f>IFERROR(__xludf.DUMMYFUNCTION("""COMPUTED_VALUE"""),"Array;Hash Table;Two Pointers;Design;Data Stream;")</f>
        <v>Array;Hash Table;Two Pointers;Design;Data Stream;</v>
      </c>
      <c r="M171" s="20" t="b">
        <f>IFERROR(__xludf.DUMMYFUNCTION("""COMPUTED_VALUE"""),TRUE)</f>
        <v>1</v>
      </c>
      <c r="N171" s="20" t="b">
        <f>IFERROR(__xludf.DUMMYFUNCTION("""COMPUTED_VALUE"""),FALSE)</f>
        <v>0</v>
      </c>
      <c r="O171" s="20">
        <f>IFERROR(__xludf.DUMMYFUNCTION("""COMPUTED_VALUE"""),37.3646465528533)</f>
        <v>37.36464655</v>
      </c>
      <c r="P171" s="20">
        <f>IFERROR(__xludf.DUMMYFUNCTION("""COMPUTED_VALUE"""),136922.0)</f>
        <v>136922</v>
      </c>
      <c r="Q171" s="20">
        <f>IFERROR(__xludf.DUMMYFUNCTION("""COMPUTED_VALUE"""),366448.0)</f>
        <v>366448</v>
      </c>
    </row>
    <row r="172">
      <c r="A172" s="20">
        <f>IFERROR(__xludf.DUMMYFUNCTION("""COMPUTED_VALUE"""),171.0)</f>
        <v>171</v>
      </c>
      <c r="B172" s="20" t="str">
        <f>IFERROR(__xludf.DUMMYFUNCTION("""COMPUTED_VALUE"""),"Excel Sheet Column Number")</f>
        <v>Excel Sheet Column Number</v>
      </c>
      <c r="C172" s="20" t="str">
        <f>IFERROR(__xludf.DUMMYFUNCTION("""COMPUTED_VALUE"""),"excel-sheet-column-number")</f>
        <v>excel-sheet-column-number</v>
      </c>
      <c r="D172" s="20" t="b">
        <f>IFERROR(__xludf.DUMMYFUNCTION("""COMPUTED_VALUE"""),FALSE)</f>
        <v>0</v>
      </c>
      <c r="E172" s="20" t="str">
        <f>IFERROR(__xludf.DUMMYFUNCTION("""COMPUTED_VALUE"""),"Easy")</f>
        <v>Easy</v>
      </c>
      <c r="F172" s="20">
        <f>IFERROR(__xludf.DUMMYFUNCTION("""COMPUTED_VALUE"""),3863.0)</f>
        <v>3863</v>
      </c>
      <c r="G172" s="20">
        <f>IFERROR(__xludf.DUMMYFUNCTION("""COMPUTED_VALUE"""),311.0)</f>
        <v>311</v>
      </c>
      <c r="H172" s="20" t="str">
        <f>IFERROR(__xludf.DUMMYFUNCTION("""COMPUTED_VALUE"""),"Algorithms")</f>
        <v>Algorithms</v>
      </c>
      <c r="I172" s="20">
        <f>IFERROR(__xludf.DUMMYFUNCTION("""COMPUTED_VALUE"""),0.616)</f>
        <v>0.616</v>
      </c>
      <c r="J172" s="20">
        <f>IFERROR(__xludf.DUMMYFUNCTION("""COMPUTED_VALUE"""),171.0)</f>
        <v>171</v>
      </c>
      <c r="K172" s="20" t="b">
        <f>IFERROR(__xludf.DUMMYFUNCTION("""COMPUTED_VALUE"""),FALSE)</f>
        <v>0</v>
      </c>
      <c r="L172" s="20" t="str">
        <f>IFERROR(__xludf.DUMMYFUNCTION("""COMPUTED_VALUE"""),"Math;String;")</f>
        <v>Math;String;</v>
      </c>
      <c r="M172" s="20" t="b">
        <f>IFERROR(__xludf.DUMMYFUNCTION("""COMPUTED_VALUE"""),TRUE)</f>
        <v>1</v>
      </c>
      <c r="N172" s="20" t="b">
        <f>IFERROR(__xludf.DUMMYFUNCTION("""COMPUTED_VALUE"""),FALSE)</f>
        <v>0</v>
      </c>
      <c r="O172" s="20">
        <f>IFERROR(__xludf.DUMMYFUNCTION("""COMPUTED_VALUE"""),61.5655933553305)</f>
        <v>61.56559336</v>
      </c>
      <c r="P172" s="20">
        <f>IFERROR(__xludf.DUMMYFUNCTION("""COMPUTED_VALUE"""),562739.0)</f>
        <v>562739</v>
      </c>
      <c r="Q172" s="20">
        <f>IFERROR(__xludf.DUMMYFUNCTION("""COMPUTED_VALUE"""),914051.0)</f>
        <v>914051</v>
      </c>
    </row>
    <row r="173">
      <c r="A173" s="20">
        <f>IFERROR(__xludf.DUMMYFUNCTION("""COMPUTED_VALUE"""),172.0)</f>
        <v>172</v>
      </c>
      <c r="B173" s="20" t="str">
        <f>IFERROR(__xludf.DUMMYFUNCTION("""COMPUTED_VALUE"""),"Factorial Trailing Zeroes")</f>
        <v>Factorial Trailing Zeroes</v>
      </c>
      <c r="C173" s="20" t="str">
        <f>IFERROR(__xludf.DUMMYFUNCTION("""COMPUTED_VALUE"""),"factorial-trailing-zeroes")</f>
        <v>factorial-trailing-zeroes</v>
      </c>
      <c r="D173" s="20" t="b">
        <f>IFERROR(__xludf.DUMMYFUNCTION("""COMPUTED_VALUE"""),FALSE)</f>
        <v>0</v>
      </c>
      <c r="E173" s="20" t="str">
        <f>IFERROR(__xludf.DUMMYFUNCTION("""COMPUTED_VALUE"""),"Medium")</f>
        <v>Medium</v>
      </c>
      <c r="F173" s="20">
        <f>IFERROR(__xludf.DUMMYFUNCTION("""COMPUTED_VALUE"""),2401.0)</f>
        <v>2401</v>
      </c>
      <c r="G173" s="20">
        <f>IFERROR(__xludf.DUMMYFUNCTION("""COMPUTED_VALUE"""),1783.0)</f>
        <v>1783</v>
      </c>
      <c r="H173" s="20" t="str">
        <f>IFERROR(__xludf.DUMMYFUNCTION("""COMPUTED_VALUE"""),"Algorithms")</f>
        <v>Algorithms</v>
      </c>
      <c r="I173" s="20">
        <f>IFERROR(__xludf.DUMMYFUNCTION("""COMPUTED_VALUE"""),0.418)</f>
        <v>0.418</v>
      </c>
      <c r="J173" s="20">
        <f>IFERROR(__xludf.DUMMYFUNCTION("""COMPUTED_VALUE"""),172.0)</f>
        <v>172</v>
      </c>
      <c r="K173" s="20" t="b">
        <f>IFERROR(__xludf.DUMMYFUNCTION("""COMPUTED_VALUE"""),FALSE)</f>
        <v>0</v>
      </c>
      <c r="L173" s="20" t="str">
        <f>IFERROR(__xludf.DUMMYFUNCTION("""COMPUTED_VALUE"""),"Math;")</f>
        <v>Math;</v>
      </c>
      <c r="M173" s="20" t="b">
        <f>IFERROR(__xludf.DUMMYFUNCTION("""COMPUTED_VALUE"""),TRUE)</f>
        <v>1</v>
      </c>
      <c r="N173" s="20" t="b">
        <f>IFERROR(__xludf.DUMMYFUNCTION("""COMPUTED_VALUE"""),FALSE)</f>
        <v>0</v>
      </c>
      <c r="O173" s="20">
        <f>IFERROR(__xludf.DUMMYFUNCTION("""COMPUTED_VALUE"""),41.8473405295076)</f>
        <v>41.84734053</v>
      </c>
      <c r="P173" s="20">
        <f>IFERROR(__xludf.DUMMYFUNCTION("""COMPUTED_VALUE"""),348950.0)</f>
        <v>348950</v>
      </c>
      <c r="Q173" s="20">
        <f>IFERROR(__xludf.DUMMYFUNCTION("""COMPUTED_VALUE"""),833867.0)</f>
        <v>833867</v>
      </c>
    </row>
    <row r="174">
      <c r="A174" s="20">
        <f>IFERROR(__xludf.DUMMYFUNCTION("""COMPUTED_VALUE"""),173.0)</f>
        <v>173</v>
      </c>
      <c r="B174" s="20" t="str">
        <f>IFERROR(__xludf.DUMMYFUNCTION("""COMPUTED_VALUE"""),"Binary Search Tree Iterator")</f>
        <v>Binary Search Tree Iterator</v>
      </c>
      <c r="C174" s="20" t="str">
        <f>IFERROR(__xludf.DUMMYFUNCTION("""COMPUTED_VALUE"""),"binary-search-tree-iterator")</f>
        <v>binary-search-tree-iterator</v>
      </c>
      <c r="D174" s="20" t="b">
        <f>IFERROR(__xludf.DUMMYFUNCTION("""COMPUTED_VALUE"""),FALSE)</f>
        <v>0</v>
      </c>
      <c r="E174" s="20" t="str">
        <f>IFERROR(__xludf.DUMMYFUNCTION("""COMPUTED_VALUE"""),"Medium")</f>
        <v>Medium</v>
      </c>
      <c r="F174" s="20">
        <f>IFERROR(__xludf.DUMMYFUNCTION("""COMPUTED_VALUE"""),7133.0)</f>
        <v>7133</v>
      </c>
      <c r="G174" s="20">
        <f>IFERROR(__xludf.DUMMYFUNCTION("""COMPUTED_VALUE"""),433.0)</f>
        <v>433</v>
      </c>
      <c r="H174" s="20" t="str">
        <f>IFERROR(__xludf.DUMMYFUNCTION("""COMPUTED_VALUE"""),"Algorithms")</f>
        <v>Algorithms</v>
      </c>
      <c r="I174" s="20">
        <f>IFERROR(__xludf.DUMMYFUNCTION("""COMPUTED_VALUE"""),0.693)</f>
        <v>0.693</v>
      </c>
      <c r="J174" s="20">
        <f>IFERROR(__xludf.DUMMYFUNCTION("""COMPUTED_VALUE"""),173.0)</f>
        <v>173</v>
      </c>
      <c r="K174" s="20" t="b">
        <f>IFERROR(__xludf.DUMMYFUNCTION("""COMPUTED_VALUE"""),FALSE)</f>
        <v>0</v>
      </c>
      <c r="L174" s="20" t="str">
        <f>IFERROR(__xludf.DUMMYFUNCTION("""COMPUTED_VALUE"""),"Stack;Tree;Design;Binary Search Tree;Binary Tree;Iterator;")</f>
        <v>Stack;Tree;Design;Binary Search Tree;Binary Tree;Iterator;</v>
      </c>
      <c r="M174" s="20" t="b">
        <f>IFERROR(__xludf.DUMMYFUNCTION("""COMPUTED_VALUE"""),TRUE)</f>
        <v>1</v>
      </c>
      <c r="N174" s="20" t="b">
        <f>IFERROR(__xludf.DUMMYFUNCTION("""COMPUTED_VALUE"""),FALSE)</f>
        <v>0</v>
      </c>
      <c r="O174" s="20">
        <f>IFERROR(__xludf.DUMMYFUNCTION("""COMPUTED_VALUE"""),69.2984277646456)</f>
        <v>69.29842776</v>
      </c>
      <c r="P174" s="20">
        <f>IFERROR(__xludf.DUMMYFUNCTION("""COMPUTED_VALUE"""),644083.0)</f>
        <v>644083</v>
      </c>
      <c r="Q174" s="20">
        <f>IFERROR(__xludf.DUMMYFUNCTION("""COMPUTED_VALUE"""),929436.0)</f>
        <v>929436</v>
      </c>
    </row>
    <row r="175">
      <c r="A175" s="20">
        <f>IFERROR(__xludf.DUMMYFUNCTION("""COMPUTED_VALUE"""),174.0)</f>
        <v>174</v>
      </c>
      <c r="B175" s="20" t="str">
        <f>IFERROR(__xludf.DUMMYFUNCTION("""COMPUTED_VALUE"""),"Dungeon Game")</f>
        <v>Dungeon Game</v>
      </c>
      <c r="C175" s="20" t="str">
        <f>IFERROR(__xludf.DUMMYFUNCTION("""COMPUTED_VALUE"""),"dungeon-game")</f>
        <v>dungeon-game</v>
      </c>
      <c r="D175" s="20" t="b">
        <f>IFERROR(__xludf.DUMMYFUNCTION("""COMPUTED_VALUE"""),FALSE)</f>
        <v>0</v>
      </c>
      <c r="E175" s="20" t="str">
        <f>IFERROR(__xludf.DUMMYFUNCTION("""COMPUTED_VALUE"""),"Hard")</f>
        <v>Hard</v>
      </c>
      <c r="F175" s="20">
        <f>IFERROR(__xludf.DUMMYFUNCTION("""COMPUTED_VALUE"""),4792.0)</f>
        <v>4792</v>
      </c>
      <c r="G175" s="20">
        <f>IFERROR(__xludf.DUMMYFUNCTION("""COMPUTED_VALUE"""),87.0)</f>
        <v>87</v>
      </c>
      <c r="H175" s="20" t="str">
        <f>IFERROR(__xludf.DUMMYFUNCTION("""COMPUTED_VALUE"""),"Algorithms")</f>
        <v>Algorithms</v>
      </c>
      <c r="I175" s="20">
        <f>IFERROR(__xludf.DUMMYFUNCTION("""COMPUTED_VALUE"""),0.373)</f>
        <v>0.373</v>
      </c>
      <c r="J175" s="20">
        <f>IFERROR(__xludf.DUMMYFUNCTION("""COMPUTED_VALUE"""),174.0)</f>
        <v>174</v>
      </c>
      <c r="K175" s="20" t="b">
        <f>IFERROR(__xludf.DUMMYFUNCTION("""COMPUTED_VALUE"""),FALSE)</f>
        <v>0</v>
      </c>
      <c r="L175" s="20" t="str">
        <f>IFERROR(__xludf.DUMMYFUNCTION("""COMPUTED_VALUE"""),"Array;Dynamic Programming;Matrix;")</f>
        <v>Array;Dynamic Programming;Matrix;</v>
      </c>
      <c r="M175" s="20" t="b">
        <f>IFERROR(__xludf.DUMMYFUNCTION("""COMPUTED_VALUE"""),TRUE)</f>
        <v>1</v>
      </c>
      <c r="N175" s="20" t="b">
        <f>IFERROR(__xludf.DUMMYFUNCTION("""COMPUTED_VALUE"""),FALSE)</f>
        <v>0</v>
      </c>
      <c r="O175" s="20">
        <f>IFERROR(__xludf.DUMMYFUNCTION("""COMPUTED_VALUE"""),37.3449860707862)</f>
        <v>37.34498607</v>
      </c>
      <c r="P175" s="20">
        <f>IFERROR(__xludf.DUMMYFUNCTION("""COMPUTED_VALUE"""),190623.0)</f>
        <v>190623</v>
      </c>
      <c r="Q175" s="20">
        <f>IFERROR(__xludf.DUMMYFUNCTION("""COMPUTED_VALUE"""),510438.0)</f>
        <v>510438</v>
      </c>
    </row>
    <row r="176">
      <c r="A176" s="20">
        <f>IFERROR(__xludf.DUMMYFUNCTION("""COMPUTED_VALUE"""),175.0)</f>
        <v>175</v>
      </c>
      <c r="B176" s="20" t="str">
        <f>IFERROR(__xludf.DUMMYFUNCTION("""COMPUTED_VALUE"""),"Combine Two Tables")</f>
        <v>Combine Two Tables</v>
      </c>
      <c r="C176" s="20" t="str">
        <f>IFERROR(__xludf.DUMMYFUNCTION("""COMPUTED_VALUE"""),"combine-two-tables")</f>
        <v>combine-two-tables</v>
      </c>
      <c r="D176" s="20" t="b">
        <f>IFERROR(__xludf.DUMMYFUNCTION("""COMPUTED_VALUE"""),FALSE)</f>
        <v>0</v>
      </c>
      <c r="E176" s="20" t="str">
        <f>IFERROR(__xludf.DUMMYFUNCTION("""COMPUTED_VALUE"""),"Easy")</f>
        <v>Easy</v>
      </c>
      <c r="F176" s="20">
        <f>IFERROR(__xludf.DUMMYFUNCTION("""COMPUTED_VALUE"""),2572.0)</f>
        <v>2572</v>
      </c>
      <c r="G176" s="20">
        <f>IFERROR(__xludf.DUMMYFUNCTION("""COMPUTED_VALUE"""),204.0)</f>
        <v>204</v>
      </c>
      <c r="H176" s="20" t="str">
        <f>IFERROR(__xludf.DUMMYFUNCTION("""COMPUTED_VALUE"""),"Database")</f>
        <v>Database</v>
      </c>
      <c r="I176" s="20">
        <f>IFERROR(__xludf.DUMMYFUNCTION("""COMPUTED_VALUE"""),0.734)</f>
        <v>0.734</v>
      </c>
      <c r="J176" s="20">
        <f>IFERROR(__xludf.DUMMYFUNCTION("""COMPUTED_VALUE"""),175.0)</f>
        <v>175</v>
      </c>
      <c r="K176" s="20" t="b">
        <f>IFERROR(__xludf.DUMMYFUNCTION("""COMPUTED_VALUE"""),FALSE)</f>
        <v>0</v>
      </c>
      <c r="L176" s="20" t="str">
        <f>IFERROR(__xludf.DUMMYFUNCTION("""COMPUTED_VALUE"""),"Database;")</f>
        <v>Database;</v>
      </c>
      <c r="M176" s="20" t="b">
        <f>IFERROR(__xludf.DUMMYFUNCTION("""COMPUTED_VALUE"""),TRUE)</f>
        <v>1</v>
      </c>
      <c r="N176" s="20" t="b">
        <f>IFERROR(__xludf.DUMMYFUNCTION("""COMPUTED_VALUE"""),FALSE)</f>
        <v>0</v>
      </c>
      <c r="O176" s="20">
        <f>IFERROR(__xludf.DUMMYFUNCTION("""COMPUTED_VALUE"""),73.3871220887124)</f>
        <v>73.38712209</v>
      </c>
      <c r="P176" s="20">
        <f>IFERROR(__xludf.DUMMYFUNCTION("""COMPUTED_VALUE"""),677990.0)</f>
        <v>677990</v>
      </c>
      <c r="Q176" s="20">
        <f>IFERROR(__xludf.DUMMYFUNCTION("""COMPUTED_VALUE"""),923854.0)</f>
        <v>923854</v>
      </c>
    </row>
    <row r="177">
      <c r="A177" s="20">
        <f>IFERROR(__xludf.DUMMYFUNCTION("""COMPUTED_VALUE"""),176.0)</f>
        <v>176</v>
      </c>
      <c r="B177" s="20" t="str">
        <f>IFERROR(__xludf.DUMMYFUNCTION("""COMPUTED_VALUE"""),"Second Highest Salary")</f>
        <v>Second Highest Salary</v>
      </c>
      <c r="C177" s="20" t="str">
        <f>IFERROR(__xludf.DUMMYFUNCTION("""COMPUTED_VALUE"""),"second-highest-salary")</f>
        <v>second-highest-salary</v>
      </c>
      <c r="D177" s="20" t="b">
        <f>IFERROR(__xludf.DUMMYFUNCTION("""COMPUTED_VALUE"""),FALSE)</f>
        <v>0</v>
      </c>
      <c r="E177" s="20" t="str">
        <f>IFERROR(__xludf.DUMMYFUNCTION("""COMPUTED_VALUE"""),"Medium")</f>
        <v>Medium</v>
      </c>
      <c r="F177" s="20">
        <f>IFERROR(__xludf.DUMMYFUNCTION("""COMPUTED_VALUE"""),2537.0)</f>
        <v>2537</v>
      </c>
      <c r="G177" s="20">
        <f>IFERROR(__xludf.DUMMYFUNCTION("""COMPUTED_VALUE"""),798.0)</f>
        <v>798</v>
      </c>
      <c r="H177" s="20" t="str">
        <f>IFERROR(__xludf.DUMMYFUNCTION("""COMPUTED_VALUE"""),"Database")</f>
        <v>Database</v>
      </c>
      <c r="I177" s="20">
        <f>IFERROR(__xludf.DUMMYFUNCTION("""COMPUTED_VALUE"""),0.368)</f>
        <v>0.368</v>
      </c>
      <c r="J177" s="20">
        <f>IFERROR(__xludf.DUMMYFUNCTION("""COMPUTED_VALUE"""),176.0)</f>
        <v>176</v>
      </c>
      <c r="K177" s="20" t="b">
        <f>IFERROR(__xludf.DUMMYFUNCTION("""COMPUTED_VALUE"""),FALSE)</f>
        <v>0</v>
      </c>
      <c r="L177" s="20" t="str">
        <f>IFERROR(__xludf.DUMMYFUNCTION("""COMPUTED_VALUE"""),"Database;")</f>
        <v>Database;</v>
      </c>
      <c r="M177" s="20" t="b">
        <f>IFERROR(__xludf.DUMMYFUNCTION("""COMPUTED_VALUE"""),TRUE)</f>
        <v>1</v>
      </c>
      <c r="N177" s="20" t="b">
        <f>IFERROR(__xludf.DUMMYFUNCTION("""COMPUTED_VALUE"""),FALSE)</f>
        <v>0</v>
      </c>
      <c r="O177" s="20">
        <f>IFERROR(__xludf.DUMMYFUNCTION("""COMPUTED_VALUE"""),36.8301528636797)</f>
        <v>36.83015286</v>
      </c>
      <c r="P177" s="20">
        <f>IFERROR(__xludf.DUMMYFUNCTION("""COMPUTED_VALUE"""),585948.0)</f>
        <v>585948</v>
      </c>
      <c r="Q177" s="20">
        <f>IFERROR(__xludf.DUMMYFUNCTION("""COMPUTED_VALUE"""),1590941.0)</f>
        <v>1590941</v>
      </c>
    </row>
    <row r="178">
      <c r="A178" s="20">
        <f>IFERROR(__xludf.DUMMYFUNCTION("""COMPUTED_VALUE"""),177.0)</f>
        <v>177</v>
      </c>
      <c r="B178" s="20" t="str">
        <f>IFERROR(__xludf.DUMMYFUNCTION("""COMPUTED_VALUE"""),"Nth Highest Salary")</f>
        <v>Nth Highest Salary</v>
      </c>
      <c r="C178" s="20" t="str">
        <f>IFERROR(__xludf.DUMMYFUNCTION("""COMPUTED_VALUE"""),"nth-highest-salary")</f>
        <v>nth-highest-salary</v>
      </c>
      <c r="D178" s="20" t="b">
        <f>IFERROR(__xludf.DUMMYFUNCTION("""COMPUTED_VALUE"""),FALSE)</f>
        <v>0</v>
      </c>
      <c r="E178" s="20" t="str">
        <f>IFERROR(__xludf.DUMMYFUNCTION("""COMPUTED_VALUE"""),"Medium")</f>
        <v>Medium</v>
      </c>
      <c r="F178" s="20">
        <f>IFERROR(__xludf.DUMMYFUNCTION("""COMPUTED_VALUE"""),1434.0)</f>
        <v>1434</v>
      </c>
      <c r="G178" s="20">
        <f>IFERROR(__xludf.DUMMYFUNCTION("""COMPUTED_VALUE"""),766.0)</f>
        <v>766</v>
      </c>
      <c r="H178" s="20" t="str">
        <f>IFERROR(__xludf.DUMMYFUNCTION("""COMPUTED_VALUE"""),"Database")</f>
        <v>Database</v>
      </c>
      <c r="I178" s="20">
        <f>IFERROR(__xludf.DUMMYFUNCTION("""COMPUTED_VALUE"""),0.375)</f>
        <v>0.375</v>
      </c>
      <c r="J178" s="20">
        <f>IFERROR(__xludf.DUMMYFUNCTION("""COMPUTED_VALUE"""),177.0)</f>
        <v>177</v>
      </c>
      <c r="K178" s="20" t="b">
        <f>IFERROR(__xludf.DUMMYFUNCTION("""COMPUTED_VALUE"""),FALSE)</f>
        <v>0</v>
      </c>
      <c r="L178" s="20" t="str">
        <f>IFERROR(__xludf.DUMMYFUNCTION("""COMPUTED_VALUE"""),"Database;")</f>
        <v>Database;</v>
      </c>
      <c r="M178" s="20" t="b">
        <f>IFERROR(__xludf.DUMMYFUNCTION("""COMPUTED_VALUE"""),FALSE)</f>
        <v>0</v>
      </c>
      <c r="N178" s="20" t="b">
        <f>IFERROR(__xludf.DUMMYFUNCTION("""COMPUTED_VALUE"""),FALSE)</f>
        <v>0</v>
      </c>
      <c r="O178" s="20">
        <f>IFERROR(__xludf.DUMMYFUNCTION("""COMPUTED_VALUE"""),37.4912251423182)</f>
        <v>37.49122514</v>
      </c>
      <c r="P178" s="20">
        <f>IFERROR(__xludf.DUMMYFUNCTION("""COMPUTED_VALUE"""),283058.0)</f>
        <v>283058</v>
      </c>
      <c r="Q178" s="20">
        <f>IFERROR(__xludf.DUMMYFUNCTION("""COMPUTED_VALUE"""),754998.0)</f>
        <v>754998</v>
      </c>
    </row>
    <row r="179">
      <c r="A179" s="20">
        <f>IFERROR(__xludf.DUMMYFUNCTION("""COMPUTED_VALUE"""),178.0)</f>
        <v>178</v>
      </c>
      <c r="B179" s="20" t="str">
        <f>IFERROR(__xludf.DUMMYFUNCTION("""COMPUTED_VALUE"""),"Rank Scores")</f>
        <v>Rank Scores</v>
      </c>
      <c r="C179" s="20" t="str">
        <f>IFERROR(__xludf.DUMMYFUNCTION("""COMPUTED_VALUE"""),"rank-scores")</f>
        <v>rank-scores</v>
      </c>
      <c r="D179" s="20" t="b">
        <f>IFERROR(__xludf.DUMMYFUNCTION("""COMPUTED_VALUE"""),FALSE)</f>
        <v>0</v>
      </c>
      <c r="E179" s="20" t="str">
        <f>IFERROR(__xludf.DUMMYFUNCTION("""COMPUTED_VALUE"""),"Medium")</f>
        <v>Medium</v>
      </c>
      <c r="F179" s="20">
        <f>IFERROR(__xludf.DUMMYFUNCTION("""COMPUTED_VALUE"""),1659.0)</f>
        <v>1659</v>
      </c>
      <c r="G179" s="20">
        <f>IFERROR(__xludf.DUMMYFUNCTION("""COMPUTED_VALUE"""),227.0)</f>
        <v>227</v>
      </c>
      <c r="H179" s="20" t="str">
        <f>IFERROR(__xludf.DUMMYFUNCTION("""COMPUTED_VALUE"""),"Database")</f>
        <v>Database</v>
      </c>
      <c r="I179" s="20">
        <f>IFERROR(__xludf.DUMMYFUNCTION("""COMPUTED_VALUE"""),0.602)</f>
        <v>0.602</v>
      </c>
      <c r="J179" s="20">
        <f>IFERROR(__xludf.DUMMYFUNCTION("""COMPUTED_VALUE"""),178.0)</f>
        <v>178</v>
      </c>
      <c r="K179" s="20" t="b">
        <f>IFERROR(__xludf.DUMMYFUNCTION("""COMPUTED_VALUE"""),FALSE)</f>
        <v>0</v>
      </c>
      <c r="L179" s="20" t="str">
        <f>IFERROR(__xludf.DUMMYFUNCTION("""COMPUTED_VALUE"""),"Database;")</f>
        <v>Database;</v>
      </c>
      <c r="M179" s="20" t="b">
        <f>IFERROR(__xludf.DUMMYFUNCTION("""COMPUTED_VALUE"""),TRUE)</f>
        <v>1</v>
      </c>
      <c r="N179" s="20" t="b">
        <f>IFERROR(__xludf.DUMMYFUNCTION("""COMPUTED_VALUE"""),FALSE)</f>
        <v>0</v>
      </c>
      <c r="O179" s="20">
        <f>IFERROR(__xludf.DUMMYFUNCTION("""COMPUTED_VALUE"""),60.1549271833408)</f>
        <v>60.15492718</v>
      </c>
      <c r="P179" s="20">
        <f>IFERROR(__xludf.DUMMYFUNCTION("""COMPUTED_VALUE"""),272494.0)</f>
        <v>272494</v>
      </c>
      <c r="Q179" s="20">
        <f>IFERROR(__xludf.DUMMYFUNCTION("""COMPUTED_VALUE"""),452987.0)</f>
        <v>452987</v>
      </c>
    </row>
    <row r="180">
      <c r="A180" s="20">
        <f>IFERROR(__xludf.DUMMYFUNCTION("""COMPUTED_VALUE"""),179.0)</f>
        <v>179</v>
      </c>
      <c r="B180" s="20" t="str">
        <f>IFERROR(__xludf.DUMMYFUNCTION("""COMPUTED_VALUE"""),"Largest Number")</f>
        <v>Largest Number</v>
      </c>
      <c r="C180" s="20" t="str">
        <f>IFERROR(__xludf.DUMMYFUNCTION("""COMPUTED_VALUE"""),"largest-number")</f>
        <v>largest-number</v>
      </c>
      <c r="D180" s="20" t="b">
        <f>IFERROR(__xludf.DUMMYFUNCTION("""COMPUTED_VALUE"""),FALSE)</f>
        <v>0</v>
      </c>
      <c r="E180" s="20" t="str">
        <f>IFERROR(__xludf.DUMMYFUNCTION("""COMPUTED_VALUE"""),"Medium")</f>
        <v>Medium</v>
      </c>
      <c r="F180" s="20">
        <f>IFERROR(__xludf.DUMMYFUNCTION("""COMPUTED_VALUE"""),6194.0)</f>
        <v>6194</v>
      </c>
      <c r="G180" s="20">
        <f>IFERROR(__xludf.DUMMYFUNCTION("""COMPUTED_VALUE"""),517.0)</f>
        <v>517</v>
      </c>
      <c r="H180" s="20" t="str">
        <f>IFERROR(__xludf.DUMMYFUNCTION("""COMPUTED_VALUE"""),"Algorithms")</f>
        <v>Algorithms</v>
      </c>
      <c r="I180" s="20">
        <f>IFERROR(__xludf.DUMMYFUNCTION("""COMPUTED_VALUE"""),0.342)</f>
        <v>0.342</v>
      </c>
      <c r="J180" s="20">
        <f>IFERROR(__xludf.DUMMYFUNCTION("""COMPUTED_VALUE"""),179.0)</f>
        <v>179</v>
      </c>
      <c r="K180" s="20" t="b">
        <f>IFERROR(__xludf.DUMMYFUNCTION("""COMPUTED_VALUE"""),FALSE)</f>
        <v>0</v>
      </c>
      <c r="L180" s="20" t="str">
        <f>IFERROR(__xludf.DUMMYFUNCTION("""COMPUTED_VALUE"""),"Array;String;Greedy;Sorting;")</f>
        <v>Array;String;Greedy;Sorting;</v>
      </c>
      <c r="M180" s="20" t="b">
        <f>IFERROR(__xludf.DUMMYFUNCTION("""COMPUTED_VALUE"""),TRUE)</f>
        <v>1</v>
      </c>
      <c r="N180" s="20" t="b">
        <f>IFERROR(__xludf.DUMMYFUNCTION("""COMPUTED_VALUE"""),FALSE)</f>
        <v>0</v>
      </c>
      <c r="O180" s="20">
        <f>IFERROR(__xludf.DUMMYFUNCTION("""COMPUTED_VALUE"""),34.1681035204312)</f>
        <v>34.16810352</v>
      </c>
      <c r="P180" s="20">
        <f>IFERROR(__xludf.DUMMYFUNCTION("""COMPUTED_VALUE"""),367394.0)</f>
        <v>367394</v>
      </c>
      <c r="Q180" s="20">
        <f>IFERROR(__xludf.DUMMYFUNCTION("""COMPUTED_VALUE"""),1075255.0)</f>
        <v>1075255</v>
      </c>
    </row>
    <row r="181">
      <c r="A181" s="20">
        <f>IFERROR(__xludf.DUMMYFUNCTION("""COMPUTED_VALUE"""),180.0)</f>
        <v>180</v>
      </c>
      <c r="B181" s="20" t="str">
        <f>IFERROR(__xludf.DUMMYFUNCTION("""COMPUTED_VALUE"""),"Consecutive Numbers")</f>
        <v>Consecutive Numbers</v>
      </c>
      <c r="C181" s="20" t="str">
        <f>IFERROR(__xludf.DUMMYFUNCTION("""COMPUTED_VALUE"""),"consecutive-numbers")</f>
        <v>consecutive-numbers</v>
      </c>
      <c r="D181" s="20" t="b">
        <f>IFERROR(__xludf.DUMMYFUNCTION("""COMPUTED_VALUE"""),FALSE)</f>
        <v>0</v>
      </c>
      <c r="E181" s="20" t="str">
        <f>IFERROR(__xludf.DUMMYFUNCTION("""COMPUTED_VALUE"""),"Medium")</f>
        <v>Medium</v>
      </c>
      <c r="F181" s="20">
        <f>IFERROR(__xludf.DUMMYFUNCTION("""COMPUTED_VALUE"""),1349.0)</f>
        <v>1349</v>
      </c>
      <c r="G181" s="20">
        <f>IFERROR(__xludf.DUMMYFUNCTION("""COMPUTED_VALUE"""),215.0)</f>
        <v>215</v>
      </c>
      <c r="H181" s="20" t="str">
        <f>IFERROR(__xludf.DUMMYFUNCTION("""COMPUTED_VALUE"""),"Database")</f>
        <v>Database</v>
      </c>
      <c r="I181" s="20">
        <f>IFERROR(__xludf.DUMMYFUNCTION("""COMPUTED_VALUE"""),0.468)</f>
        <v>0.468</v>
      </c>
      <c r="J181" s="20">
        <f>IFERROR(__xludf.DUMMYFUNCTION("""COMPUTED_VALUE"""),180.0)</f>
        <v>180</v>
      </c>
      <c r="K181" s="20" t="b">
        <f>IFERROR(__xludf.DUMMYFUNCTION("""COMPUTED_VALUE"""),FALSE)</f>
        <v>0</v>
      </c>
      <c r="L181" s="20" t="str">
        <f>IFERROR(__xludf.DUMMYFUNCTION("""COMPUTED_VALUE"""),"Database;")</f>
        <v>Database;</v>
      </c>
      <c r="M181" s="20" t="b">
        <f>IFERROR(__xludf.DUMMYFUNCTION("""COMPUTED_VALUE"""),TRUE)</f>
        <v>1</v>
      </c>
      <c r="N181" s="20" t="b">
        <f>IFERROR(__xludf.DUMMYFUNCTION("""COMPUTED_VALUE"""),FALSE)</f>
        <v>0</v>
      </c>
      <c r="O181" s="20">
        <f>IFERROR(__xludf.DUMMYFUNCTION("""COMPUTED_VALUE"""),46.7757297785626)</f>
        <v>46.77572978</v>
      </c>
      <c r="P181" s="20">
        <f>IFERROR(__xludf.DUMMYFUNCTION("""COMPUTED_VALUE"""),228853.0)</f>
        <v>228853</v>
      </c>
      <c r="Q181" s="20">
        <f>IFERROR(__xludf.DUMMYFUNCTION("""COMPUTED_VALUE"""),489257.0)</f>
        <v>489257</v>
      </c>
    </row>
    <row r="182">
      <c r="A182" s="20">
        <f>IFERROR(__xludf.DUMMYFUNCTION("""COMPUTED_VALUE"""),181.0)</f>
        <v>181</v>
      </c>
      <c r="B182" s="20" t="str">
        <f>IFERROR(__xludf.DUMMYFUNCTION("""COMPUTED_VALUE"""),"Employees Earning More Than Their Managers")</f>
        <v>Employees Earning More Than Their Managers</v>
      </c>
      <c r="C182" s="20" t="str">
        <f>IFERROR(__xludf.DUMMYFUNCTION("""COMPUTED_VALUE"""),"employees-earning-more-than-their-managers")</f>
        <v>employees-earning-more-than-their-managers</v>
      </c>
      <c r="D182" s="20" t="b">
        <f>IFERROR(__xludf.DUMMYFUNCTION("""COMPUTED_VALUE"""),FALSE)</f>
        <v>0</v>
      </c>
      <c r="E182" s="20" t="str">
        <f>IFERROR(__xludf.DUMMYFUNCTION("""COMPUTED_VALUE"""),"Easy")</f>
        <v>Easy</v>
      </c>
      <c r="F182" s="20">
        <f>IFERROR(__xludf.DUMMYFUNCTION("""COMPUTED_VALUE"""),1865.0)</f>
        <v>1865</v>
      </c>
      <c r="G182" s="20">
        <f>IFERROR(__xludf.DUMMYFUNCTION("""COMPUTED_VALUE"""),190.0)</f>
        <v>190</v>
      </c>
      <c r="H182" s="20" t="str">
        <f>IFERROR(__xludf.DUMMYFUNCTION("""COMPUTED_VALUE"""),"Database")</f>
        <v>Database</v>
      </c>
      <c r="I182" s="20">
        <f>IFERROR(__xludf.DUMMYFUNCTION("""COMPUTED_VALUE"""),0.688)</f>
        <v>0.688</v>
      </c>
      <c r="J182" s="20">
        <f>IFERROR(__xludf.DUMMYFUNCTION("""COMPUTED_VALUE"""),181.0)</f>
        <v>181</v>
      </c>
      <c r="K182" s="20" t="b">
        <f>IFERROR(__xludf.DUMMYFUNCTION("""COMPUTED_VALUE"""),FALSE)</f>
        <v>0</v>
      </c>
      <c r="L182" s="20" t="str">
        <f>IFERROR(__xludf.DUMMYFUNCTION("""COMPUTED_VALUE"""),"Database;")</f>
        <v>Database;</v>
      </c>
      <c r="M182" s="20" t="b">
        <f>IFERROR(__xludf.DUMMYFUNCTION("""COMPUTED_VALUE"""),TRUE)</f>
        <v>1</v>
      </c>
      <c r="N182" s="20" t="b">
        <f>IFERROR(__xludf.DUMMYFUNCTION("""COMPUTED_VALUE"""),FALSE)</f>
        <v>0</v>
      </c>
      <c r="O182" s="20">
        <f>IFERROR(__xludf.DUMMYFUNCTION("""COMPUTED_VALUE"""),68.7821093514904)</f>
        <v>68.78210935</v>
      </c>
      <c r="P182" s="20">
        <f>IFERROR(__xludf.DUMMYFUNCTION("""COMPUTED_VALUE"""),441137.0)</f>
        <v>441137</v>
      </c>
      <c r="Q182" s="20">
        <f>IFERROR(__xludf.DUMMYFUNCTION("""COMPUTED_VALUE"""),641357.0)</f>
        <v>641357</v>
      </c>
    </row>
    <row r="183">
      <c r="A183" s="20">
        <f>IFERROR(__xludf.DUMMYFUNCTION("""COMPUTED_VALUE"""),182.0)</f>
        <v>182</v>
      </c>
      <c r="B183" s="20" t="str">
        <f>IFERROR(__xludf.DUMMYFUNCTION("""COMPUTED_VALUE"""),"Duplicate Emails")</f>
        <v>Duplicate Emails</v>
      </c>
      <c r="C183" s="20" t="str">
        <f>IFERROR(__xludf.DUMMYFUNCTION("""COMPUTED_VALUE"""),"duplicate-emails")</f>
        <v>duplicate-emails</v>
      </c>
      <c r="D183" s="20" t="b">
        <f>IFERROR(__xludf.DUMMYFUNCTION("""COMPUTED_VALUE"""),FALSE)</f>
        <v>0</v>
      </c>
      <c r="E183" s="20" t="str">
        <f>IFERROR(__xludf.DUMMYFUNCTION("""COMPUTED_VALUE"""),"Easy")</f>
        <v>Easy</v>
      </c>
      <c r="F183" s="20">
        <f>IFERROR(__xludf.DUMMYFUNCTION("""COMPUTED_VALUE"""),1489.0)</f>
        <v>1489</v>
      </c>
      <c r="G183" s="20">
        <f>IFERROR(__xludf.DUMMYFUNCTION("""COMPUTED_VALUE"""),53.0)</f>
        <v>53</v>
      </c>
      <c r="H183" s="20" t="str">
        <f>IFERROR(__xludf.DUMMYFUNCTION("""COMPUTED_VALUE"""),"Database")</f>
        <v>Database</v>
      </c>
      <c r="I183" s="20">
        <f>IFERROR(__xludf.DUMMYFUNCTION("""COMPUTED_VALUE"""),0.708)</f>
        <v>0.708</v>
      </c>
      <c r="J183" s="20">
        <f>IFERROR(__xludf.DUMMYFUNCTION("""COMPUTED_VALUE"""),182.0)</f>
        <v>182</v>
      </c>
      <c r="K183" s="20" t="b">
        <f>IFERROR(__xludf.DUMMYFUNCTION("""COMPUTED_VALUE"""),FALSE)</f>
        <v>0</v>
      </c>
      <c r="L183" s="20" t="str">
        <f>IFERROR(__xludf.DUMMYFUNCTION("""COMPUTED_VALUE"""),"Database;")</f>
        <v>Database;</v>
      </c>
      <c r="M183" s="20" t="b">
        <f>IFERROR(__xludf.DUMMYFUNCTION("""COMPUTED_VALUE"""),TRUE)</f>
        <v>1</v>
      </c>
      <c r="N183" s="20" t="b">
        <f>IFERROR(__xludf.DUMMYFUNCTION("""COMPUTED_VALUE"""),FALSE)</f>
        <v>0</v>
      </c>
      <c r="O183" s="20">
        <f>IFERROR(__xludf.DUMMYFUNCTION("""COMPUTED_VALUE"""),70.7562623549651)</f>
        <v>70.75626235</v>
      </c>
      <c r="P183" s="20">
        <f>IFERROR(__xludf.DUMMYFUNCTION("""COMPUTED_VALUE"""),447053.0)</f>
        <v>447053</v>
      </c>
      <c r="Q183" s="20">
        <f>IFERROR(__xludf.DUMMYFUNCTION("""COMPUTED_VALUE"""),631822.0)</f>
        <v>631822</v>
      </c>
    </row>
    <row r="184">
      <c r="A184" s="20">
        <f>IFERROR(__xludf.DUMMYFUNCTION("""COMPUTED_VALUE"""),183.0)</f>
        <v>183</v>
      </c>
      <c r="B184" s="20" t="str">
        <f>IFERROR(__xludf.DUMMYFUNCTION("""COMPUTED_VALUE"""),"Customers Who Never Order")</f>
        <v>Customers Who Never Order</v>
      </c>
      <c r="C184" s="20" t="str">
        <f>IFERROR(__xludf.DUMMYFUNCTION("""COMPUTED_VALUE"""),"customers-who-never-order")</f>
        <v>customers-who-never-order</v>
      </c>
      <c r="D184" s="20" t="b">
        <f>IFERROR(__xludf.DUMMYFUNCTION("""COMPUTED_VALUE"""),FALSE)</f>
        <v>0</v>
      </c>
      <c r="E184" s="20" t="str">
        <f>IFERROR(__xludf.DUMMYFUNCTION("""COMPUTED_VALUE"""),"Easy")</f>
        <v>Easy</v>
      </c>
      <c r="F184" s="20">
        <f>IFERROR(__xludf.DUMMYFUNCTION("""COMPUTED_VALUE"""),1798.0)</f>
        <v>1798</v>
      </c>
      <c r="G184" s="20">
        <f>IFERROR(__xludf.DUMMYFUNCTION("""COMPUTED_VALUE"""),102.0)</f>
        <v>102</v>
      </c>
      <c r="H184" s="20" t="str">
        <f>IFERROR(__xludf.DUMMYFUNCTION("""COMPUTED_VALUE"""),"Database")</f>
        <v>Database</v>
      </c>
      <c r="I184" s="20">
        <f>IFERROR(__xludf.DUMMYFUNCTION("""COMPUTED_VALUE"""),0.683)</f>
        <v>0.683</v>
      </c>
      <c r="J184" s="20">
        <f>IFERROR(__xludf.DUMMYFUNCTION("""COMPUTED_VALUE"""),183.0)</f>
        <v>183</v>
      </c>
      <c r="K184" s="20" t="b">
        <f>IFERROR(__xludf.DUMMYFUNCTION("""COMPUTED_VALUE"""),FALSE)</f>
        <v>0</v>
      </c>
      <c r="L184" s="20" t="str">
        <f>IFERROR(__xludf.DUMMYFUNCTION("""COMPUTED_VALUE"""),"Database;")</f>
        <v>Database;</v>
      </c>
      <c r="M184" s="20" t="b">
        <f>IFERROR(__xludf.DUMMYFUNCTION("""COMPUTED_VALUE"""),TRUE)</f>
        <v>1</v>
      </c>
      <c r="N184" s="20" t="b">
        <f>IFERROR(__xludf.DUMMYFUNCTION("""COMPUTED_VALUE"""),FALSE)</f>
        <v>0</v>
      </c>
      <c r="O184" s="20">
        <f>IFERROR(__xludf.DUMMYFUNCTION("""COMPUTED_VALUE"""),68.2625246387924)</f>
        <v>68.26252464</v>
      </c>
      <c r="P184" s="20">
        <f>IFERROR(__xludf.DUMMYFUNCTION("""COMPUTED_VALUE"""),528811.0)</f>
        <v>528811</v>
      </c>
      <c r="Q184" s="20">
        <f>IFERROR(__xludf.DUMMYFUNCTION("""COMPUTED_VALUE"""),774675.0)</f>
        <v>774675</v>
      </c>
    </row>
    <row r="185">
      <c r="A185" s="20">
        <f>IFERROR(__xludf.DUMMYFUNCTION("""COMPUTED_VALUE"""),184.0)</f>
        <v>184</v>
      </c>
      <c r="B185" s="20" t="str">
        <f>IFERROR(__xludf.DUMMYFUNCTION("""COMPUTED_VALUE"""),"Department Highest Salary")</f>
        <v>Department Highest Salary</v>
      </c>
      <c r="C185" s="20" t="str">
        <f>IFERROR(__xludf.DUMMYFUNCTION("""COMPUTED_VALUE"""),"department-highest-salary")</f>
        <v>department-highest-salary</v>
      </c>
      <c r="D185" s="20" t="b">
        <f>IFERROR(__xludf.DUMMYFUNCTION("""COMPUTED_VALUE"""),FALSE)</f>
        <v>0</v>
      </c>
      <c r="E185" s="20" t="str">
        <f>IFERROR(__xludf.DUMMYFUNCTION("""COMPUTED_VALUE"""),"Medium")</f>
        <v>Medium</v>
      </c>
      <c r="F185" s="20">
        <f>IFERROR(__xludf.DUMMYFUNCTION("""COMPUTED_VALUE"""),1502.0)</f>
        <v>1502</v>
      </c>
      <c r="G185" s="20">
        <f>IFERROR(__xludf.DUMMYFUNCTION("""COMPUTED_VALUE"""),167.0)</f>
        <v>167</v>
      </c>
      <c r="H185" s="20" t="str">
        <f>IFERROR(__xludf.DUMMYFUNCTION("""COMPUTED_VALUE"""),"Database")</f>
        <v>Database</v>
      </c>
      <c r="I185" s="20">
        <f>IFERROR(__xludf.DUMMYFUNCTION("""COMPUTED_VALUE"""),0.498)</f>
        <v>0.498</v>
      </c>
      <c r="J185" s="20">
        <f>IFERROR(__xludf.DUMMYFUNCTION("""COMPUTED_VALUE"""),184.0)</f>
        <v>184</v>
      </c>
      <c r="K185" s="20" t="b">
        <f>IFERROR(__xludf.DUMMYFUNCTION("""COMPUTED_VALUE"""),FALSE)</f>
        <v>0</v>
      </c>
      <c r="L185" s="20" t="str">
        <f>IFERROR(__xludf.DUMMYFUNCTION("""COMPUTED_VALUE"""),"Database;")</f>
        <v>Database;</v>
      </c>
      <c r="M185" s="20" t="b">
        <f>IFERROR(__xludf.DUMMYFUNCTION("""COMPUTED_VALUE"""),TRUE)</f>
        <v>1</v>
      </c>
      <c r="N185" s="20" t="b">
        <f>IFERROR(__xludf.DUMMYFUNCTION("""COMPUTED_VALUE"""),FALSE)</f>
        <v>0</v>
      </c>
      <c r="O185" s="20">
        <f>IFERROR(__xludf.DUMMYFUNCTION("""COMPUTED_VALUE"""),49.828950436943)</f>
        <v>49.82895044</v>
      </c>
      <c r="P185" s="20">
        <f>IFERROR(__xludf.DUMMYFUNCTION("""COMPUTED_VALUE"""),271357.0)</f>
        <v>271357</v>
      </c>
      <c r="Q185" s="20">
        <f>IFERROR(__xludf.DUMMYFUNCTION("""COMPUTED_VALUE"""),544578.0)</f>
        <v>544578</v>
      </c>
    </row>
    <row r="186">
      <c r="A186" s="20">
        <f>IFERROR(__xludf.DUMMYFUNCTION("""COMPUTED_VALUE"""),185.0)</f>
        <v>185</v>
      </c>
      <c r="B186" s="20" t="str">
        <f>IFERROR(__xludf.DUMMYFUNCTION("""COMPUTED_VALUE"""),"Department Top Three Salaries")</f>
        <v>Department Top Three Salaries</v>
      </c>
      <c r="C186" s="20" t="str">
        <f>IFERROR(__xludf.DUMMYFUNCTION("""COMPUTED_VALUE"""),"department-top-three-salaries")</f>
        <v>department-top-three-salaries</v>
      </c>
      <c r="D186" s="20" t="b">
        <f>IFERROR(__xludf.DUMMYFUNCTION("""COMPUTED_VALUE"""),FALSE)</f>
        <v>0</v>
      </c>
      <c r="E186" s="20" t="str">
        <f>IFERROR(__xludf.DUMMYFUNCTION("""COMPUTED_VALUE"""),"Hard")</f>
        <v>Hard</v>
      </c>
      <c r="F186" s="20">
        <f>IFERROR(__xludf.DUMMYFUNCTION("""COMPUTED_VALUE"""),1346.0)</f>
        <v>1346</v>
      </c>
      <c r="G186" s="20">
        <f>IFERROR(__xludf.DUMMYFUNCTION("""COMPUTED_VALUE"""),197.0)</f>
        <v>197</v>
      </c>
      <c r="H186" s="20" t="str">
        <f>IFERROR(__xludf.DUMMYFUNCTION("""COMPUTED_VALUE"""),"Database")</f>
        <v>Database</v>
      </c>
      <c r="I186" s="20">
        <f>IFERROR(__xludf.DUMMYFUNCTION("""COMPUTED_VALUE"""),0.502)</f>
        <v>0.502</v>
      </c>
      <c r="J186" s="20">
        <f>IFERROR(__xludf.DUMMYFUNCTION("""COMPUTED_VALUE"""),185.0)</f>
        <v>185</v>
      </c>
      <c r="K186" s="20" t="b">
        <f>IFERROR(__xludf.DUMMYFUNCTION("""COMPUTED_VALUE"""),FALSE)</f>
        <v>0</v>
      </c>
      <c r="L186" s="20" t="str">
        <f>IFERROR(__xludf.DUMMYFUNCTION("""COMPUTED_VALUE"""),"Database;")</f>
        <v>Database;</v>
      </c>
      <c r="M186" s="20" t="b">
        <f>IFERROR(__xludf.DUMMYFUNCTION("""COMPUTED_VALUE"""),TRUE)</f>
        <v>1</v>
      </c>
      <c r="N186" s="20" t="b">
        <f>IFERROR(__xludf.DUMMYFUNCTION("""COMPUTED_VALUE"""),FALSE)</f>
        <v>0</v>
      </c>
      <c r="O186" s="20">
        <f>IFERROR(__xludf.DUMMYFUNCTION("""COMPUTED_VALUE"""),50.2174333083236)</f>
        <v>50.21743331</v>
      </c>
      <c r="P186" s="20">
        <f>IFERROR(__xludf.DUMMYFUNCTION("""COMPUTED_VALUE"""),200123.0)</f>
        <v>200123</v>
      </c>
      <c r="Q186" s="20">
        <f>IFERROR(__xludf.DUMMYFUNCTION("""COMPUTED_VALUE"""),398513.0)</f>
        <v>398513</v>
      </c>
    </row>
    <row r="187">
      <c r="A187" s="20">
        <f>IFERROR(__xludf.DUMMYFUNCTION("""COMPUTED_VALUE"""),186.0)</f>
        <v>186</v>
      </c>
      <c r="B187" s="20" t="str">
        <f>IFERROR(__xludf.DUMMYFUNCTION("""COMPUTED_VALUE"""),"Reverse Words in a String II")</f>
        <v>Reverse Words in a String II</v>
      </c>
      <c r="C187" s="20" t="str">
        <f>IFERROR(__xludf.DUMMYFUNCTION("""COMPUTED_VALUE"""),"reverse-words-in-a-string-ii")</f>
        <v>reverse-words-in-a-string-ii</v>
      </c>
      <c r="D187" s="20" t="b">
        <f>IFERROR(__xludf.DUMMYFUNCTION("""COMPUTED_VALUE"""),TRUE)</f>
        <v>1</v>
      </c>
      <c r="E187" s="20" t="str">
        <f>IFERROR(__xludf.DUMMYFUNCTION("""COMPUTED_VALUE"""),"Medium")</f>
        <v>Medium</v>
      </c>
      <c r="F187" s="20">
        <f>IFERROR(__xludf.DUMMYFUNCTION("""COMPUTED_VALUE"""),934.0)</f>
        <v>934</v>
      </c>
      <c r="G187" s="20">
        <f>IFERROR(__xludf.DUMMYFUNCTION("""COMPUTED_VALUE"""),135.0)</f>
        <v>135</v>
      </c>
      <c r="H187" s="20" t="str">
        <f>IFERROR(__xludf.DUMMYFUNCTION("""COMPUTED_VALUE"""),"Algorithms")</f>
        <v>Algorithms</v>
      </c>
      <c r="I187" s="20">
        <f>IFERROR(__xludf.DUMMYFUNCTION("""COMPUTED_VALUE"""),0.526)</f>
        <v>0.526</v>
      </c>
      <c r="J187" s="20">
        <f>IFERROR(__xludf.DUMMYFUNCTION("""COMPUTED_VALUE"""),186.0)</f>
        <v>186</v>
      </c>
      <c r="K187" s="20" t="b">
        <f>IFERROR(__xludf.DUMMYFUNCTION("""COMPUTED_VALUE"""),TRUE)</f>
        <v>1</v>
      </c>
      <c r="L187" s="20" t="str">
        <f>IFERROR(__xludf.DUMMYFUNCTION("""COMPUTED_VALUE"""),"Two Pointers;String;")</f>
        <v>Two Pointers;String;</v>
      </c>
      <c r="M187" s="20" t="b">
        <f>IFERROR(__xludf.DUMMYFUNCTION("""COMPUTED_VALUE"""),TRUE)</f>
        <v>1</v>
      </c>
      <c r="N187" s="20" t="b">
        <f>IFERROR(__xludf.DUMMYFUNCTION("""COMPUTED_VALUE"""),FALSE)</f>
        <v>0</v>
      </c>
      <c r="O187" s="20">
        <f>IFERROR(__xludf.DUMMYFUNCTION("""COMPUTED_VALUE"""),52.57961203916)</f>
        <v>52.57961204</v>
      </c>
      <c r="P187" s="20">
        <f>IFERROR(__xludf.DUMMYFUNCTION("""COMPUTED_VALUE"""),144472.0)</f>
        <v>144472</v>
      </c>
      <c r="Q187" s="20">
        <f>IFERROR(__xludf.DUMMYFUNCTION("""COMPUTED_VALUE"""),274769.0)</f>
        <v>274769</v>
      </c>
    </row>
    <row r="188">
      <c r="A188" s="20">
        <f>IFERROR(__xludf.DUMMYFUNCTION("""COMPUTED_VALUE"""),187.0)</f>
        <v>187</v>
      </c>
      <c r="B188" s="20" t="str">
        <f>IFERROR(__xludf.DUMMYFUNCTION("""COMPUTED_VALUE"""),"Repeated DNA Sequences")</f>
        <v>Repeated DNA Sequences</v>
      </c>
      <c r="C188" s="20" t="str">
        <f>IFERROR(__xludf.DUMMYFUNCTION("""COMPUTED_VALUE"""),"repeated-dna-sequences")</f>
        <v>repeated-dna-sequences</v>
      </c>
      <c r="D188" s="20" t="b">
        <f>IFERROR(__xludf.DUMMYFUNCTION("""COMPUTED_VALUE"""),FALSE)</f>
        <v>0</v>
      </c>
      <c r="E188" s="20" t="str">
        <f>IFERROR(__xludf.DUMMYFUNCTION("""COMPUTED_VALUE"""),"Medium")</f>
        <v>Medium</v>
      </c>
      <c r="F188" s="20">
        <f>IFERROR(__xludf.DUMMYFUNCTION("""COMPUTED_VALUE"""),2586.0)</f>
        <v>2586</v>
      </c>
      <c r="G188" s="20">
        <f>IFERROR(__xludf.DUMMYFUNCTION("""COMPUTED_VALUE"""),460.0)</f>
        <v>460</v>
      </c>
      <c r="H188" s="20" t="str">
        <f>IFERROR(__xludf.DUMMYFUNCTION("""COMPUTED_VALUE"""),"Algorithms")</f>
        <v>Algorithms</v>
      </c>
      <c r="I188" s="20">
        <f>IFERROR(__xludf.DUMMYFUNCTION("""COMPUTED_VALUE"""),0.465)</f>
        <v>0.465</v>
      </c>
      <c r="J188" s="20">
        <f>IFERROR(__xludf.DUMMYFUNCTION("""COMPUTED_VALUE"""),187.0)</f>
        <v>187</v>
      </c>
      <c r="K188" s="20" t="b">
        <f>IFERROR(__xludf.DUMMYFUNCTION("""COMPUTED_VALUE"""),FALSE)</f>
        <v>0</v>
      </c>
      <c r="L188" s="20" t="str">
        <f>IFERROR(__xludf.DUMMYFUNCTION("""COMPUTED_VALUE"""),"Hash Table;String;Bit Manipulation;Sliding Window;Rolling Hash;Hash Function;")</f>
        <v>Hash Table;String;Bit Manipulation;Sliding Window;Rolling Hash;Hash Function;</v>
      </c>
      <c r="M188" s="20" t="b">
        <f>IFERROR(__xludf.DUMMYFUNCTION("""COMPUTED_VALUE"""),TRUE)</f>
        <v>1</v>
      </c>
      <c r="N188" s="20" t="b">
        <f>IFERROR(__xludf.DUMMYFUNCTION("""COMPUTED_VALUE"""),FALSE)</f>
        <v>0</v>
      </c>
      <c r="O188" s="20">
        <f>IFERROR(__xludf.DUMMYFUNCTION("""COMPUTED_VALUE"""),46.453051336375)</f>
        <v>46.45305134</v>
      </c>
      <c r="P188" s="20">
        <f>IFERROR(__xludf.DUMMYFUNCTION("""COMPUTED_VALUE"""),305647.0)</f>
        <v>305647</v>
      </c>
      <c r="Q188" s="20">
        <f>IFERROR(__xludf.DUMMYFUNCTION("""COMPUTED_VALUE"""),657972.0)</f>
        <v>657972</v>
      </c>
    </row>
    <row r="189">
      <c r="A189" s="20">
        <f>IFERROR(__xludf.DUMMYFUNCTION("""COMPUTED_VALUE"""),188.0)</f>
        <v>188</v>
      </c>
      <c r="B189" s="20" t="str">
        <f>IFERROR(__xludf.DUMMYFUNCTION("""COMPUTED_VALUE"""),"Best Time to Buy and Sell Stock IV")</f>
        <v>Best Time to Buy and Sell Stock IV</v>
      </c>
      <c r="C189" s="20" t="str">
        <f>IFERROR(__xludf.DUMMYFUNCTION("""COMPUTED_VALUE"""),"best-time-to-buy-and-sell-stock-iv")</f>
        <v>best-time-to-buy-and-sell-stock-iv</v>
      </c>
      <c r="D189" s="20" t="b">
        <f>IFERROR(__xludf.DUMMYFUNCTION("""COMPUTED_VALUE"""),FALSE)</f>
        <v>0</v>
      </c>
      <c r="E189" s="20" t="str">
        <f>IFERROR(__xludf.DUMMYFUNCTION("""COMPUTED_VALUE"""),"Hard")</f>
        <v>Hard</v>
      </c>
      <c r="F189" s="20">
        <f>IFERROR(__xludf.DUMMYFUNCTION("""COMPUTED_VALUE"""),5948.0)</f>
        <v>5948</v>
      </c>
      <c r="G189" s="20">
        <f>IFERROR(__xludf.DUMMYFUNCTION("""COMPUTED_VALUE"""),194.0)</f>
        <v>194</v>
      </c>
      <c r="H189" s="20" t="str">
        <f>IFERROR(__xludf.DUMMYFUNCTION("""COMPUTED_VALUE"""),"Algorithms")</f>
        <v>Algorithms</v>
      </c>
      <c r="I189" s="20">
        <f>IFERROR(__xludf.DUMMYFUNCTION("""COMPUTED_VALUE"""),0.383)</f>
        <v>0.383</v>
      </c>
      <c r="J189" s="20">
        <f>IFERROR(__xludf.DUMMYFUNCTION("""COMPUTED_VALUE"""),188.0)</f>
        <v>188</v>
      </c>
      <c r="K189" s="20" t="b">
        <f>IFERROR(__xludf.DUMMYFUNCTION("""COMPUTED_VALUE"""),FALSE)</f>
        <v>0</v>
      </c>
      <c r="L189" s="20" t="str">
        <f>IFERROR(__xludf.DUMMYFUNCTION("""COMPUTED_VALUE"""),"Array;Dynamic Programming;")</f>
        <v>Array;Dynamic Programming;</v>
      </c>
      <c r="M189" s="20" t="b">
        <f>IFERROR(__xludf.DUMMYFUNCTION("""COMPUTED_VALUE"""),TRUE)</f>
        <v>1</v>
      </c>
      <c r="N189" s="20" t="b">
        <f>IFERROR(__xludf.DUMMYFUNCTION("""COMPUTED_VALUE"""),FALSE)</f>
        <v>0</v>
      </c>
      <c r="O189" s="20">
        <f>IFERROR(__xludf.DUMMYFUNCTION("""COMPUTED_VALUE"""),38.2674597848737)</f>
        <v>38.26745978</v>
      </c>
      <c r="P189" s="20">
        <f>IFERROR(__xludf.DUMMYFUNCTION("""COMPUTED_VALUE"""),335873.0)</f>
        <v>335873</v>
      </c>
      <c r="Q189" s="20">
        <f>IFERROR(__xludf.DUMMYFUNCTION("""COMPUTED_VALUE"""),877709.0)</f>
        <v>877709</v>
      </c>
    </row>
    <row r="190">
      <c r="A190" s="20">
        <f>IFERROR(__xludf.DUMMYFUNCTION("""COMPUTED_VALUE"""),189.0)</f>
        <v>189</v>
      </c>
      <c r="B190" s="20" t="str">
        <f>IFERROR(__xludf.DUMMYFUNCTION("""COMPUTED_VALUE"""),"Rotate Array")</f>
        <v>Rotate Array</v>
      </c>
      <c r="C190" s="20" t="str">
        <f>IFERROR(__xludf.DUMMYFUNCTION("""COMPUTED_VALUE"""),"rotate-array")</f>
        <v>rotate-array</v>
      </c>
      <c r="D190" s="20" t="b">
        <f>IFERROR(__xludf.DUMMYFUNCTION("""COMPUTED_VALUE"""),FALSE)</f>
        <v>0</v>
      </c>
      <c r="E190" s="20" t="str">
        <f>IFERROR(__xludf.DUMMYFUNCTION("""COMPUTED_VALUE"""),"Medium")</f>
        <v>Medium</v>
      </c>
      <c r="F190" s="20">
        <f>IFERROR(__xludf.DUMMYFUNCTION("""COMPUTED_VALUE"""),12472.0)</f>
        <v>12472</v>
      </c>
      <c r="G190" s="20">
        <f>IFERROR(__xludf.DUMMYFUNCTION("""COMPUTED_VALUE"""),1475.0)</f>
        <v>1475</v>
      </c>
      <c r="H190" s="20" t="str">
        <f>IFERROR(__xludf.DUMMYFUNCTION("""COMPUTED_VALUE"""),"Algorithms")</f>
        <v>Algorithms</v>
      </c>
      <c r="I190" s="20">
        <f>IFERROR(__xludf.DUMMYFUNCTION("""COMPUTED_VALUE"""),0.392)</f>
        <v>0.392</v>
      </c>
      <c r="J190" s="20">
        <f>IFERROR(__xludf.DUMMYFUNCTION("""COMPUTED_VALUE"""),189.0)</f>
        <v>189</v>
      </c>
      <c r="K190" s="20" t="b">
        <f>IFERROR(__xludf.DUMMYFUNCTION("""COMPUTED_VALUE"""),FALSE)</f>
        <v>0</v>
      </c>
      <c r="L190" s="20" t="str">
        <f>IFERROR(__xludf.DUMMYFUNCTION("""COMPUTED_VALUE"""),"Array;Math;Two Pointers;")</f>
        <v>Array;Math;Two Pointers;</v>
      </c>
      <c r="M190" s="20" t="b">
        <f>IFERROR(__xludf.DUMMYFUNCTION("""COMPUTED_VALUE"""),TRUE)</f>
        <v>1</v>
      </c>
      <c r="N190" s="20" t="b">
        <f>IFERROR(__xludf.DUMMYFUNCTION("""COMPUTED_VALUE"""),FALSE)</f>
        <v>0</v>
      </c>
      <c r="O190" s="20">
        <f>IFERROR(__xludf.DUMMYFUNCTION("""COMPUTED_VALUE"""),39.2488106390324)</f>
        <v>39.24881064</v>
      </c>
      <c r="P190" s="20">
        <f>IFERROR(__xludf.DUMMYFUNCTION("""COMPUTED_VALUE"""),1356197.0)</f>
        <v>1356197</v>
      </c>
      <c r="Q190" s="20">
        <f>IFERROR(__xludf.DUMMYFUNCTION("""COMPUTED_VALUE"""),3455387.0)</f>
        <v>3455387</v>
      </c>
    </row>
    <row r="191">
      <c r="A191" s="20">
        <f>IFERROR(__xludf.DUMMYFUNCTION("""COMPUTED_VALUE"""),190.0)</f>
        <v>190</v>
      </c>
      <c r="B191" s="20" t="str">
        <f>IFERROR(__xludf.DUMMYFUNCTION("""COMPUTED_VALUE"""),"Reverse Bits")</f>
        <v>Reverse Bits</v>
      </c>
      <c r="C191" s="20" t="str">
        <f>IFERROR(__xludf.DUMMYFUNCTION("""COMPUTED_VALUE"""),"reverse-bits")</f>
        <v>reverse-bits</v>
      </c>
      <c r="D191" s="20" t="b">
        <f>IFERROR(__xludf.DUMMYFUNCTION("""COMPUTED_VALUE"""),FALSE)</f>
        <v>0</v>
      </c>
      <c r="E191" s="20" t="str">
        <f>IFERROR(__xludf.DUMMYFUNCTION("""COMPUTED_VALUE"""),"Easy")</f>
        <v>Easy</v>
      </c>
      <c r="F191" s="20">
        <f>IFERROR(__xludf.DUMMYFUNCTION("""COMPUTED_VALUE"""),3965.0)</f>
        <v>3965</v>
      </c>
      <c r="G191" s="20">
        <f>IFERROR(__xludf.DUMMYFUNCTION("""COMPUTED_VALUE"""),1009.0)</f>
        <v>1009</v>
      </c>
      <c r="H191" s="20" t="str">
        <f>IFERROR(__xludf.DUMMYFUNCTION("""COMPUTED_VALUE"""),"Algorithms")</f>
        <v>Algorithms</v>
      </c>
      <c r="I191" s="20">
        <f>IFERROR(__xludf.DUMMYFUNCTION("""COMPUTED_VALUE"""),0.528)</f>
        <v>0.528</v>
      </c>
      <c r="J191" s="20">
        <f>IFERROR(__xludf.DUMMYFUNCTION("""COMPUTED_VALUE"""),190.0)</f>
        <v>190</v>
      </c>
      <c r="K191" s="20" t="b">
        <f>IFERROR(__xludf.DUMMYFUNCTION("""COMPUTED_VALUE"""),FALSE)</f>
        <v>0</v>
      </c>
      <c r="L191" s="20" t="str">
        <f>IFERROR(__xludf.DUMMYFUNCTION("""COMPUTED_VALUE"""),"Divide and Conquer;Bit Manipulation;")</f>
        <v>Divide and Conquer;Bit Manipulation;</v>
      </c>
      <c r="M191" s="20" t="b">
        <f>IFERROR(__xludf.DUMMYFUNCTION("""COMPUTED_VALUE"""),TRUE)</f>
        <v>1</v>
      </c>
      <c r="N191" s="20" t="b">
        <f>IFERROR(__xludf.DUMMYFUNCTION("""COMPUTED_VALUE"""),FALSE)</f>
        <v>0</v>
      </c>
      <c r="O191" s="20">
        <f>IFERROR(__xludf.DUMMYFUNCTION("""COMPUTED_VALUE"""),52.782825643997)</f>
        <v>52.78282564</v>
      </c>
      <c r="P191" s="20">
        <f>IFERROR(__xludf.DUMMYFUNCTION("""COMPUTED_VALUE"""),574811.0)</f>
        <v>574811</v>
      </c>
      <c r="Q191" s="20">
        <f>IFERROR(__xludf.DUMMYFUNCTION("""COMPUTED_VALUE"""),1089015.0)</f>
        <v>1089015</v>
      </c>
    </row>
    <row r="192">
      <c r="A192" s="20">
        <f>IFERROR(__xludf.DUMMYFUNCTION("""COMPUTED_VALUE"""),191.0)</f>
        <v>191</v>
      </c>
      <c r="B192" s="20" t="str">
        <f>IFERROR(__xludf.DUMMYFUNCTION("""COMPUTED_VALUE"""),"Number of 1 Bits")</f>
        <v>Number of 1 Bits</v>
      </c>
      <c r="C192" s="20" t="str">
        <f>IFERROR(__xludf.DUMMYFUNCTION("""COMPUTED_VALUE"""),"number-of-1-bits")</f>
        <v>number-of-1-bits</v>
      </c>
      <c r="D192" s="20" t="b">
        <f>IFERROR(__xludf.DUMMYFUNCTION("""COMPUTED_VALUE"""),FALSE)</f>
        <v>0</v>
      </c>
      <c r="E192" s="20" t="str">
        <f>IFERROR(__xludf.DUMMYFUNCTION("""COMPUTED_VALUE"""),"Easy")</f>
        <v>Easy</v>
      </c>
      <c r="F192" s="20">
        <f>IFERROR(__xludf.DUMMYFUNCTION("""COMPUTED_VALUE"""),4740.0)</f>
        <v>4740</v>
      </c>
      <c r="G192" s="20">
        <f>IFERROR(__xludf.DUMMYFUNCTION("""COMPUTED_VALUE"""),1011.0)</f>
        <v>1011</v>
      </c>
      <c r="H192" s="20" t="str">
        <f>IFERROR(__xludf.DUMMYFUNCTION("""COMPUTED_VALUE"""),"Algorithms")</f>
        <v>Algorithms</v>
      </c>
      <c r="I192" s="20">
        <f>IFERROR(__xludf.DUMMYFUNCTION("""COMPUTED_VALUE"""),0.654)</f>
        <v>0.654</v>
      </c>
      <c r="J192" s="20">
        <f>IFERROR(__xludf.DUMMYFUNCTION("""COMPUTED_VALUE"""),191.0)</f>
        <v>191</v>
      </c>
      <c r="K192" s="20" t="b">
        <f>IFERROR(__xludf.DUMMYFUNCTION("""COMPUTED_VALUE"""),FALSE)</f>
        <v>0</v>
      </c>
      <c r="L192" s="20" t="str">
        <f>IFERROR(__xludf.DUMMYFUNCTION("""COMPUTED_VALUE"""),"Divide and Conquer;Bit Manipulation;")</f>
        <v>Divide and Conquer;Bit Manipulation;</v>
      </c>
      <c r="M192" s="20" t="b">
        <f>IFERROR(__xludf.DUMMYFUNCTION("""COMPUTED_VALUE"""),TRUE)</f>
        <v>1</v>
      </c>
      <c r="N192" s="20" t="b">
        <f>IFERROR(__xludf.DUMMYFUNCTION("""COMPUTED_VALUE"""),FALSE)</f>
        <v>0</v>
      </c>
      <c r="O192" s="20">
        <f>IFERROR(__xludf.DUMMYFUNCTION("""COMPUTED_VALUE"""),65.3569920286307)</f>
        <v>65.35699203</v>
      </c>
      <c r="P192" s="20">
        <f>IFERROR(__xludf.DUMMYFUNCTION("""COMPUTED_VALUE"""),991984.0)</f>
        <v>991984</v>
      </c>
      <c r="Q192" s="20">
        <f>IFERROR(__xludf.DUMMYFUNCTION("""COMPUTED_VALUE"""),1517798.0)</f>
        <v>1517798</v>
      </c>
    </row>
    <row r="193">
      <c r="A193" s="20">
        <f>IFERROR(__xludf.DUMMYFUNCTION("""COMPUTED_VALUE"""),192.0)</f>
        <v>192</v>
      </c>
      <c r="B193" s="20" t="str">
        <f>IFERROR(__xludf.DUMMYFUNCTION("""COMPUTED_VALUE"""),"Word Frequency")</f>
        <v>Word Frequency</v>
      </c>
      <c r="C193" s="20" t="str">
        <f>IFERROR(__xludf.DUMMYFUNCTION("""COMPUTED_VALUE"""),"word-frequency")</f>
        <v>word-frequency</v>
      </c>
      <c r="D193" s="20" t="b">
        <f>IFERROR(__xludf.DUMMYFUNCTION("""COMPUTED_VALUE"""),FALSE)</f>
        <v>0</v>
      </c>
      <c r="E193" s="20" t="str">
        <f>IFERROR(__xludf.DUMMYFUNCTION("""COMPUTED_VALUE"""),"Medium")</f>
        <v>Medium</v>
      </c>
      <c r="F193" s="20">
        <f>IFERROR(__xludf.DUMMYFUNCTION("""COMPUTED_VALUE"""),442.0)</f>
        <v>442</v>
      </c>
      <c r="G193" s="20">
        <f>IFERROR(__xludf.DUMMYFUNCTION("""COMPUTED_VALUE"""),276.0)</f>
        <v>276</v>
      </c>
      <c r="H193" s="20" t="str">
        <f>IFERROR(__xludf.DUMMYFUNCTION("""COMPUTED_VALUE"""),"Shell")</f>
        <v>Shell</v>
      </c>
      <c r="I193" s="20">
        <f>IFERROR(__xludf.DUMMYFUNCTION("""COMPUTED_VALUE"""),0.256)</f>
        <v>0.256</v>
      </c>
      <c r="J193" s="20">
        <f>IFERROR(__xludf.DUMMYFUNCTION("""COMPUTED_VALUE"""),192.0)</f>
        <v>192</v>
      </c>
      <c r="K193" s="20" t="b">
        <f>IFERROR(__xludf.DUMMYFUNCTION("""COMPUTED_VALUE"""),FALSE)</f>
        <v>0</v>
      </c>
      <c r="L193" s="20" t="str">
        <f>IFERROR(__xludf.DUMMYFUNCTION("""COMPUTED_VALUE"""),"Shell;")</f>
        <v>Shell;</v>
      </c>
      <c r="M193" s="20" t="b">
        <f>IFERROR(__xludf.DUMMYFUNCTION("""COMPUTED_VALUE"""),FALSE)</f>
        <v>0</v>
      </c>
      <c r="N193" s="20" t="b">
        <f>IFERROR(__xludf.DUMMYFUNCTION("""COMPUTED_VALUE"""),FALSE)</f>
        <v>0</v>
      </c>
      <c r="O193" s="20">
        <f>IFERROR(__xludf.DUMMYFUNCTION("""COMPUTED_VALUE"""),25.6327345560027)</f>
        <v>25.63273456</v>
      </c>
      <c r="P193" s="20">
        <f>IFERROR(__xludf.DUMMYFUNCTION("""COMPUTED_VALUE"""),40825.0)</f>
        <v>40825</v>
      </c>
      <c r="Q193" s="20">
        <f>IFERROR(__xludf.DUMMYFUNCTION("""COMPUTED_VALUE"""),159269.0)</f>
        <v>159269</v>
      </c>
    </row>
    <row r="194">
      <c r="A194" s="20">
        <f>IFERROR(__xludf.DUMMYFUNCTION("""COMPUTED_VALUE"""),193.0)</f>
        <v>193</v>
      </c>
      <c r="B194" s="20" t="str">
        <f>IFERROR(__xludf.DUMMYFUNCTION("""COMPUTED_VALUE"""),"Valid Phone Numbers")</f>
        <v>Valid Phone Numbers</v>
      </c>
      <c r="C194" s="20" t="str">
        <f>IFERROR(__xludf.DUMMYFUNCTION("""COMPUTED_VALUE"""),"valid-phone-numbers")</f>
        <v>valid-phone-numbers</v>
      </c>
      <c r="D194" s="20" t="b">
        <f>IFERROR(__xludf.DUMMYFUNCTION("""COMPUTED_VALUE"""),FALSE)</f>
        <v>0</v>
      </c>
      <c r="E194" s="20" t="str">
        <f>IFERROR(__xludf.DUMMYFUNCTION("""COMPUTED_VALUE"""),"Easy")</f>
        <v>Easy</v>
      </c>
      <c r="F194" s="20">
        <f>IFERROR(__xludf.DUMMYFUNCTION("""COMPUTED_VALUE"""),331.0)</f>
        <v>331</v>
      </c>
      <c r="G194" s="20">
        <f>IFERROR(__xludf.DUMMYFUNCTION("""COMPUTED_VALUE"""),819.0)</f>
        <v>819</v>
      </c>
      <c r="H194" s="20" t="str">
        <f>IFERROR(__xludf.DUMMYFUNCTION("""COMPUTED_VALUE"""),"Shell")</f>
        <v>Shell</v>
      </c>
      <c r="I194" s="20">
        <f>IFERROR(__xludf.DUMMYFUNCTION("""COMPUTED_VALUE"""),0.26)</f>
        <v>0.26</v>
      </c>
      <c r="J194" s="20">
        <f>IFERROR(__xludf.DUMMYFUNCTION("""COMPUTED_VALUE"""),193.0)</f>
        <v>193</v>
      </c>
      <c r="K194" s="20" t="b">
        <f>IFERROR(__xludf.DUMMYFUNCTION("""COMPUTED_VALUE"""),FALSE)</f>
        <v>0</v>
      </c>
      <c r="L194" s="20" t="str">
        <f>IFERROR(__xludf.DUMMYFUNCTION("""COMPUTED_VALUE"""),"Shell;")</f>
        <v>Shell;</v>
      </c>
      <c r="M194" s="20" t="b">
        <f>IFERROR(__xludf.DUMMYFUNCTION("""COMPUTED_VALUE"""),FALSE)</f>
        <v>0</v>
      </c>
      <c r="N194" s="20" t="b">
        <f>IFERROR(__xludf.DUMMYFUNCTION("""COMPUTED_VALUE"""),FALSE)</f>
        <v>0</v>
      </c>
      <c r="O194" s="20">
        <f>IFERROR(__xludf.DUMMYFUNCTION("""COMPUTED_VALUE"""),26.0282655456411)</f>
        <v>26.02826555</v>
      </c>
      <c r="P194" s="20">
        <f>IFERROR(__xludf.DUMMYFUNCTION("""COMPUTED_VALUE"""),63649.0)</f>
        <v>63649</v>
      </c>
      <c r="Q194" s="20">
        <f>IFERROR(__xludf.DUMMYFUNCTION("""COMPUTED_VALUE"""),244538.0)</f>
        <v>244538</v>
      </c>
    </row>
    <row r="195">
      <c r="A195" s="20">
        <f>IFERROR(__xludf.DUMMYFUNCTION("""COMPUTED_VALUE"""),194.0)</f>
        <v>194</v>
      </c>
      <c r="B195" s="20" t="str">
        <f>IFERROR(__xludf.DUMMYFUNCTION("""COMPUTED_VALUE"""),"Transpose File")</f>
        <v>Transpose File</v>
      </c>
      <c r="C195" s="20" t="str">
        <f>IFERROR(__xludf.DUMMYFUNCTION("""COMPUTED_VALUE"""),"transpose-file")</f>
        <v>transpose-file</v>
      </c>
      <c r="D195" s="20" t="b">
        <f>IFERROR(__xludf.DUMMYFUNCTION("""COMPUTED_VALUE"""),FALSE)</f>
        <v>0</v>
      </c>
      <c r="E195" s="20" t="str">
        <f>IFERROR(__xludf.DUMMYFUNCTION("""COMPUTED_VALUE"""),"Medium")</f>
        <v>Medium</v>
      </c>
      <c r="F195" s="20">
        <f>IFERROR(__xludf.DUMMYFUNCTION("""COMPUTED_VALUE"""),125.0)</f>
        <v>125</v>
      </c>
      <c r="G195" s="20">
        <f>IFERROR(__xludf.DUMMYFUNCTION("""COMPUTED_VALUE"""),259.0)</f>
        <v>259</v>
      </c>
      <c r="H195" s="20" t="str">
        <f>IFERROR(__xludf.DUMMYFUNCTION("""COMPUTED_VALUE"""),"Shell")</f>
        <v>Shell</v>
      </c>
      <c r="I195" s="20">
        <f>IFERROR(__xludf.DUMMYFUNCTION("""COMPUTED_VALUE"""),0.253)</f>
        <v>0.253</v>
      </c>
      <c r="J195" s="20">
        <f>IFERROR(__xludf.DUMMYFUNCTION("""COMPUTED_VALUE"""),194.0)</f>
        <v>194</v>
      </c>
      <c r="K195" s="20" t="b">
        <f>IFERROR(__xludf.DUMMYFUNCTION("""COMPUTED_VALUE"""),FALSE)</f>
        <v>0</v>
      </c>
      <c r="L195" s="20" t="str">
        <f>IFERROR(__xludf.DUMMYFUNCTION("""COMPUTED_VALUE"""),"Shell;")</f>
        <v>Shell;</v>
      </c>
      <c r="M195" s="20" t="b">
        <f>IFERROR(__xludf.DUMMYFUNCTION("""COMPUTED_VALUE"""),FALSE)</f>
        <v>0</v>
      </c>
      <c r="N195" s="20" t="b">
        <f>IFERROR(__xludf.DUMMYFUNCTION("""COMPUTED_VALUE"""),FALSE)</f>
        <v>0</v>
      </c>
      <c r="O195" s="20">
        <f>IFERROR(__xludf.DUMMYFUNCTION("""COMPUTED_VALUE"""),25.2739990773182)</f>
        <v>25.27399908</v>
      </c>
      <c r="P195" s="20">
        <f>IFERROR(__xludf.DUMMYFUNCTION("""COMPUTED_VALUE"""),20270.0)</f>
        <v>20270</v>
      </c>
      <c r="Q195" s="20">
        <f>IFERROR(__xludf.DUMMYFUNCTION("""COMPUTED_VALUE"""),80201.0)</f>
        <v>80201</v>
      </c>
    </row>
    <row r="196">
      <c r="A196" s="20">
        <f>IFERROR(__xludf.DUMMYFUNCTION("""COMPUTED_VALUE"""),195.0)</f>
        <v>195</v>
      </c>
      <c r="B196" s="20" t="str">
        <f>IFERROR(__xludf.DUMMYFUNCTION("""COMPUTED_VALUE"""),"Tenth Line")</f>
        <v>Tenth Line</v>
      </c>
      <c r="C196" s="20" t="str">
        <f>IFERROR(__xludf.DUMMYFUNCTION("""COMPUTED_VALUE"""),"tenth-line")</f>
        <v>tenth-line</v>
      </c>
      <c r="D196" s="20" t="b">
        <f>IFERROR(__xludf.DUMMYFUNCTION("""COMPUTED_VALUE"""),FALSE)</f>
        <v>0</v>
      </c>
      <c r="E196" s="20" t="str">
        <f>IFERROR(__xludf.DUMMYFUNCTION("""COMPUTED_VALUE"""),"Easy")</f>
        <v>Easy</v>
      </c>
      <c r="F196" s="20">
        <f>IFERROR(__xludf.DUMMYFUNCTION("""COMPUTED_VALUE"""),307.0)</f>
        <v>307</v>
      </c>
      <c r="G196" s="20">
        <f>IFERROR(__xludf.DUMMYFUNCTION("""COMPUTED_VALUE"""),397.0)</f>
        <v>397</v>
      </c>
      <c r="H196" s="20" t="str">
        <f>IFERROR(__xludf.DUMMYFUNCTION("""COMPUTED_VALUE"""),"Shell")</f>
        <v>Shell</v>
      </c>
      <c r="I196" s="20">
        <f>IFERROR(__xludf.DUMMYFUNCTION("""COMPUTED_VALUE"""),0.329)</f>
        <v>0.329</v>
      </c>
      <c r="J196" s="20">
        <f>IFERROR(__xludf.DUMMYFUNCTION("""COMPUTED_VALUE"""),195.0)</f>
        <v>195</v>
      </c>
      <c r="K196" s="20" t="b">
        <f>IFERROR(__xludf.DUMMYFUNCTION("""COMPUTED_VALUE"""),FALSE)</f>
        <v>0</v>
      </c>
      <c r="L196" s="20" t="str">
        <f>IFERROR(__xludf.DUMMYFUNCTION("""COMPUTED_VALUE"""),"Shell;")</f>
        <v>Shell;</v>
      </c>
      <c r="M196" s="20" t="b">
        <f>IFERROR(__xludf.DUMMYFUNCTION("""COMPUTED_VALUE"""),FALSE)</f>
        <v>0</v>
      </c>
      <c r="N196" s="20" t="b">
        <f>IFERROR(__xludf.DUMMYFUNCTION("""COMPUTED_VALUE"""),FALSE)</f>
        <v>0</v>
      </c>
      <c r="O196" s="20">
        <f>IFERROR(__xludf.DUMMYFUNCTION("""COMPUTED_VALUE"""),32.940417311284)</f>
        <v>32.94041731</v>
      </c>
      <c r="P196" s="20">
        <f>IFERROR(__xludf.DUMMYFUNCTION("""COMPUTED_VALUE"""),82187.0)</f>
        <v>82187</v>
      </c>
      <c r="Q196" s="20">
        <f>IFERROR(__xludf.DUMMYFUNCTION("""COMPUTED_VALUE"""),249502.0)</f>
        <v>249502</v>
      </c>
    </row>
    <row r="197">
      <c r="A197" s="20">
        <f>IFERROR(__xludf.DUMMYFUNCTION("""COMPUTED_VALUE"""),196.0)</f>
        <v>196</v>
      </c>
      <c r="B197" s="20" t="str">
        <f>IFERROR(__xludf.DUMMYFUNCTION("""COMPUTED_VALUE"""),"Delete Duplicate Emails")</f>
        <v>Delete Duplicate Emails</v>
      </c>
      <c r="C197" s="20" t="str">
        <f>IFERROR(__xludf.DUMMYFUNCTION("""COMPUTED_VALUE"""),"delete-duplicate-emails")</f>
        <v>delete-duplicate-emails</v>
      </c>
      <c r="D197" s="20" t="b">
        <f>IFERROR(__xludf.DUMMYFUNCTION("""COMPUTED_VALUE"""),FALSE)</f>
        <v>0</v>
      </c>
      <c r="E197" s="20" t="str">
        <f>IFERROR(__xludf.DUMMYFUNCTION("""COMPUTED_VALUE"""),"Easy")</f>
        <v>Easy</v>
      </c>
      <c r="F197" s="20">
        <f>IFERROR(__xludf.DUMMYFUNCTION("""COMPUTED_VALUE"""),776.0)</f>
        <v>776</v>
      </c>
      <c r="G197" s="20">
        <f>IFERROR(__xludf.DUMMYFUNCTION("""COMPUTED_VALUE"""),149.0)</f>
        <v>149</v>
      </c>
      <c r="H197" s="20" t="str">
        <f>IFERROR(__xludf.DUMMYFUNCTION("""COMPUTED_VALUE"""),"Database")</f>
        <v>Database</v>
      </c>
      <c r="I197" s="20">
        <f>IFERROR(__xludf.DUMMYFUNCTION("""COMPUTED_VALUE"""),0.594)</f>
        <v>0.594</v>
      </c>
      <c r="J197" s="20">
        <f>IFERROR(__xludf.DUMMYFUNCTION("""COMPUTED_VALUE"""),196.0)</f>
        <v>196</v>
      </c>
      <c r="K197" s="20" t="b">
        <f>IFERROR(__xludf.DUMMYFUNCTION("""COMPUTED_VALUE"""),FALSE)</f>
        <v>0</v>
      </c>
      <c r="L197" s="20" t="str">
        <f>IFERROR(__xludf.DUMMYFUNCTION("""COMPUTED_VALUE"""),"Database;")</f>
        <v>Database;</v>
      </c>
      <c r="M197" s="20" t="b">
        <f>IFERROR(__xludf.DUMMYFUNCTION("""COMPUTED_VALUE"""),TRUE)</f>
        <v>1</v>
      </c>
      <c r="N197" s="20" t="b">
        <f>IFERROR(__xludf.DUMMYFUNCTION("""COMPUTED_VALUE"""),FALSE)</f>
        <v>0</v>
      </c>
      <c r="O197" s="20">
        <f>IFERROR(__xludf.DUMMYFUNCTION("""COMPUTED_VALUE"""),59.438714584382)</f>
        <v>59.43871458</v>
      </c>
      <c r="P197" s="20">
        <f>IFERROR(__xludf.DUMMYFUNCTION("""COMPUTED_VALUE"""),323532.0)</f>
        <v>323532</v>
      </c>
      <c r="Q197" s="20">
        <f>IFERROR(__xludf.DUMMYFUNCTION("""COMPUTED_VALUE"""),544316.0)</f>
        <v>544316</v>
      </c>
    </row>
    <row r="198">
      <c r="A198" s="20">
        <f>IFERROR(__xludf.DUMMYFUNCTION("""COMPUTED_VALUE"""),197.0)</f>
        <v>197</v>
      </c>
      <c r="B198" s="20" t="str">
        <f>IFERROR(__xludf.DUMMYFUNCTION("""COMPUTED_VALUE"""),"Rising Temperature")</f>
        <v>Rising Temperature</v>
      </c>
      <c r="C198" s="20" t="str">
        <f>IFERROR(__xludf.DUMMYFUNCTION("""COMPUTED_VALUE"""),"rising-temperature")</f>
        <v>rising-temperature</v>
      </c>
      <c r="D198" s="20" t="b">
        <f>IFERROR(__xludf.DUMMYFUNCTION("""COMPUTED_VALUE"""),FALSE)</f>
        <v>0</v>
      </c>
      <c r="E198" s="20" t="str">
        <f>IFERROR(__xludf.DUMMYFUNCTION("""COMPUTED_VALUE"""),"Easy")</f>
        <v>Easy</v>
      </c>
      <c r="F198" s="20">
        <f>IFERROR(__xludf.DUMMYFUNCTION("""COMPUTED_VALUE"""),1331.0)</f>
        <v>1331</v>
      </c>
      <c r="G198" s="20">
        <f>IFERROR(__xludf.DUMMYFUNCTION("""COMPUTED_VALUE"""),432.0)</f>
        <v>432</v>
      </c>
      <c r="H198" s="20" t="str">
        <f>IFERROR(__xludf.DUMMYFUNCTION("""COMPUTED_VALUE"""),"Database")</f>
        <v>Database</v>
      </c>
      <c r="I198" s="20">
        <f>IFERROR(__xludf.DUMMYFUNCTION("""COMPUTED_VALUE"""),0.447)</f>
        <v>0.447</v>
      </c>
      <c r="J198" s="20">
        <f>IFERROR(__xludf.DUMMYFUNCTION("""COMPUTED_VALUE"""),197.0)</f>
        <v>197</v>
      </c>
      <c r="K198" s="20" t="b">
        <f>IFERROR(__xludf.DUMMYFUNCTION("""COMPUTED_VALUE"""),FALSE)</f>
        <v>0</v>
      </c>
      <c r="L198" s="20" t="str">
        <f>IFERROR(__xludf.DUMMYFUNCTION("""COMPUTED_VALUE"""),"Database;")</f>
        <v>Database;</v>
      </c>
      <c r="M198" s="20" t="b">
        <f>IFERROR(__xludf.DUMMYFUNCTION("""COMPUTED_VALUE"""),TRUE)</f>
        <v>1</v>
      </c>
      <c r="N198" s="20" t="b">
        <f>IFERROR(__xludf.DUMMYFUNCTION("""COMPUTED_VALUE"""),FALSE)</f>
        <v>0</v>
      </c>
      <c r="O198" s="20">
        <f>IFERROR(__xludf.DUMMYFUNCTION("""COMPUTED_VALUE"""),44.6668753884615)</f>
        <v>44.66687539</v>
      </c>
      <c r="P198" s="20">
        <f>IFERROR(__xludf.DUMMYFUNCTION("""COMPUTED_VALUE"""),289615.0)</f>
        <v>289615</v>
      </c>
      <c r="Q198" s="20">
        <f>IFERROR(__xludf.DUMMYFUNCTION("""COMPUTED_VALUE"""),648381.0)</f>
        <v>648381</v>
      </c>
    </row>
    <row r="199">
      <c r="A199" s="20">
        <f>IFERROR(__xludf.DUMMYFUNCTION("""COMPUTED_VALUE"""),198.0)</f>
        <v>198</v>
      </c>
      <c r="B199" s="20" t="str">
        <f>IFERROR(__xludf.DUMMYFUNCTION("""COMPUTED_VALUE"""),"House Robber")</f>
        <v>House Robber</v>
      </c>
      <c r="C199" s="20" t="str">
        <f>IFERROR(__xludf.DUMMYFUNCTION("""COMPUTED_VALUE"""),"house-robber")</f>
        <v>house-robber</v>
      </c>
      <c r="D199" s="20" t="b">
        <f>IFERROR(__xludf.DUMMYFUNCTION("""COMPUTED_VALUE"""),FALSE)</f>
        <v>0</v>
      </c>
      <c r="E199" s="20" t="str">
        <f>IFERROR(__xludf.DUMMYFUNCTION("""COMPUTED_VALUE"""),"Medium")</f>
        <v>Medium</v>
      </c>
      <c r="F199" s="20">
        <f>IFERROR(__xludf.DUMMYFUNCTION("""COMPUTED_VALUE"""),16356.0)</f>
        <v>16356</v>
      </c>
      <c r="G199" s="20">
        <f>IFERROR(__xludf.DUMMYFUNCTION("""COMPUTED_VALUE"""),321.0)</f>
        <v>321</v>
      </c>
      <c r="H199" s="20" t="str">
        <f>IFERROR(__xludf.DUMMYFUNCTION("""COMPUTED_VALUE"""),"Algorithms")</f>
        <v>Algorithms</v>
      </c>
      <c r="I199" s="20">
        <f>IFERROR(__xludf.DUMMYFUNCTION("""COMPUTED_VALUE"""),0.492)</f>
        <v>0.492</v>
      </c>
      <c r="J199" s="20">
        <f>IFERROR(__xludf.DUMMYFUNCTION("""COMPUTED_VALUE"""),198.0)</f>
        <v>198</v>
      </c>
      <c r="K199" s="20" t="b">
        <f>IFERROR(__xludf.DUMMYFUNCTION("""COMPUTED_VALUE"""),FALSE)</f>
        <v>0</v>
      </c>
      <c r="L199" s="20" t="str">
        <f>IFERROR(__xludf.DUMMYFUNCTION("""COMPUTED_VALUE"""),"Array;Dynamic Programming;")</f>
        <v>Array;Dynamic Programming;</v>
      </c>
      <c r="M199" s="20" t="b">
        <f>IFERROR(__xludf.DUMMYFUNCTION("""COMPUTED_VALUE"""),TRUE)</f>
        <v>1</v>
      </c>
      <c r="N199" s="20" t="b">
        <f>IFERROR(__xludf.DUMMYFUNCTION("""COMPUTED_VALUE"""),FALSE)</f>
        <v>0</v>
      </c>
      <c r="O199" s="20">
        <f>IFERROR(__xludf.DUMMYFUNCTION("""COMPUTED_VALUE"""),49.1529220260213)</f>
        <v>49.15292203</v>
      </c>
      <c r="P199" s="20">
        <f>IFERROR(__xludf.DUMMYFUNCTION("""COMPUTED_VALUE"""),1478992.0)</f>
        <v>1478992</v>
      </c>
      <c r="Q199" s="20">
        <f>IFERROR(__xludf.DUMMYFUNCTION("""COMPUTED_VALUE"""),3008962.0)</f>
        <v>3008962</v>
      </c>
    </row>
    <row r="200">
      <c r="A200" s="20">
        <f>IFERROR(__xludf.DUMMYFUNCTION("""COMPUTED_VALUE"""),199.0)</f>
        <v>199</v>
      </c>
      <c r="B200" s="20" t="str">
        <f>IFERROR(__xludf.DUMMYFUNCTION("""COMPUTED_VALUE"""),"Binary Tree Right Side View")</f>
        <v>Binary Tree Right Side View</v>
      </c>
      <c r="C200" s="20" t="str">
        <f>IFERROR(__xludf.DUMMYFUNCTION("""COMPUTED_VALUE"""),"binary-tree-right-side-view")</f>
        <v>binary-tree-right-side-view</v>
      </c>
      <c r="D200" s="20" t="b">
        <f>IFERROR(__xludf.DUMMYFUNCTION("""COMPUTED_VALUE"""),FALSE)</f>
        <v>0</v>
      </c>
      <c r="E200" s="20" t="str">
        <f>IFERROR(__xludf.DUMMYFUNCTION("""COMPUTED_VALUE"""),"Medium")</f>
        <v>Medium</v>
      </c>
      <c r="F200" s="20">
        <f>IFERROR(__xludf.DUMMYFUNCTION("""COMPUTED_VALUE"""),9141.0)</f>
        <v>9141</v>
      </c>
      <c r="G200" s="20">
        <f>IFERROR(__xludf.DUMMYFUNCTION("""COMPUTED_VALUE"""),545.0)</f>
        <v>545</v>
      </c>
      <c r="H200" s="20" t="str">
        <f>IFERROR(__xludf.DUMMYFUNCTION("""COMPUTED_VALUE"""),"Algorithms")</f>
        <v>Algorithms</v>
      </c>
      <c r="I200" s="20">
        <f>IFERROR(__xludf.DUMMYFUNCTION("""COMPUTED_VALUE"""),0.613)</f>
        <v>0.613</v>
      </c>
      <c r="J200" s="20">
        <f>IFERROR(__xludf.DUMMYFUNCTION("""COMPUTED_VALUE"""),199.0)</f>
        <v>199</v>
      </c>
      <c r="K200" s="20" t="b">
        <f>IFERROR(__xludf.DUMMYFUNCTION("""COMPUTED_VALUE"""),FALSE)</f>
        <v>0</v>
      </c>
      <c r="L200" s="20" t="str">
        <f>IFERROR(__xludf.DUMMYFUNCTION("""COMPUTED_VALUE"""),"Tree;Depth-First Search;Breadth-First Search;Binary Tree;")</f>
        <v>Tree;Depth-First Search;Breadth-First Search;Binary Tree;</v>
      </c>
      <c r="M200" s="20" t="b">
        <f>IFERROR(__xludf.DUMMYFUNCTION("""COMPUTED_VALUE"""),TRUE)</f>
        <v>1</v>
      </c>
      <c r="N200" s="20" t="b">
        <f>IFERROR(__xludf.DUMMYFUNCTION("""COMPUTED_VALUE"""),TRUE)</f>
        <v>1</v>
      </c>
      <c r="O200" s="20">
        <f>IFERROR(__xludf.DUMMYFUNCTION("""COMPUTED_VALUE"""),61.3170917237171)</f>
        <v>61.31709172</v>
      </c>
      <c r="P200" s="20">
        <f>IFERROR(__xludf.DUMMYFUNCTION("""COMPUTED_VALUE"""),880247.0)</f>
        <v>880247</v>
      </c>
      <c r="Q200" s="20">
        <f>IFERROR(__xludf.DUMMYFUNCTION("""COMPUTED_VALUE"""),1435565.0)</f>
        <v>1435565</v>
      </c>
    </row>
    <row r="201">
      <c r="A201" s="20">
        <f>IFERROR(__xludf.DUMMYFUNCTION("""COMPUTED_VALUE"""),200.0)</f>
        <v>200</v>
      </c>
      <c r="B201" s="20" t="str">
        <f>IFERROR(__xludf.DUMMYFUNCTION("""COMPUTED_VALUE"""),"Number of Islands")</f>
        <v>Number of Islands</v>
      </c>
      <c r="C201" s="20" t="str">
        <f>IFERROR(__xludf.DUMMYFUNCTION("""COMPUTED_VALUE"""),"number-of-islands")</f>
        <v>number-of-islands</v>
      </c>
      <c r="D201" s="20" t="b">
        <f>IFERROR(__xludf.DUMMYFUNCTION("""COMPUTED_VALUE"""),FALSE)</f>
        <v>0</v>
      </c>
      <c r="E201" s="20" t="str">
        <f>IFERROR(__xludf.DUMMYFUNCTION("""COMPUTED_VALUE"""),"Medium")</f>
        <v>Medium</v>
      </c>
      <c r="F201" s="20">
        <f>IFERROR(__xludf.DUMMYFUNCTION("""COMPUTED_VALUE"""),18284.0)</f>
        <v>18284</v>
      </c>
      <c r="G201" s="20">
        <f>IFERROR(__xludf.DUMMYFUNCTION("""COMPUTED_VALUE"""),408.0)</f>
        <v>408</v>
      </c>
      <c r="H201" s="20" t="str">
        <f>IFERROR(__xludf.DUMMYFUNCTION("""COMPUTED_VALUE"""),"Algorithms")</f>
        <v>Algorithms</v>
      </c>
      <c r="I201" s="20">
        <f>IFERROR(__xludf.DUMMYFUNCTION("""COMPUTED_VALUE"""),0.565)</f>
        <v>0.565</v>
      </c>
      <c r="J201" s="20">
        <f>IFERROR(__xludf.DUMMYFUNCTION("""COMPUTED_VALUE"""),200.0)</f>
        <v>200</v>
      </c>
      <c r="K201" s="20" t="b">
        <f>IFERROR(__xludf.DUMMYFUNCTION("""COMPUTED_VALUE"""),FALSE)</f>
        <v>0</v>
      </c>
      <c r="L201" s="20" t="str">
        <f>IFERROR(__xludf.DUMMYFUNCTION("""COMPUTED_VALUE"""),"Array;Depth-First Search;Breadth-First Search;Union Find;Matrix;")</f>
        <v>Array;Depth-First Search;Breadth-First Search;Union Find;Matrix;</v>
      </c>
      <c r="M201" s="20" t="b">
        <f>IFERROR(__xludf.DUMMYFUNCTION("""COMPUTED_VALUE"""),TRUE)</f>
        <v>1</v>
      </c>
      <c r="N201" s="20" t="b">
        <f>IFERROR(__xludf.DUMMYFUNCTION("""COMPUTED_VALUE"""),FALSE)</f>
        <v>0</v>
      </c>
      <c r="O201" s="20">
        <f>IFERROR(__xludf.DUMMYFUNCTION("""COMPUTED_VALUE"""),56.5130746502595)</f>
        <v>56.51307465</v>
      </c>
      <c r="P201" s="20">
        <f>IFERROR(__xludf.DUMMYFUNCTION("""COMPUTED_VALUE"""),2001792.0)</f>
        <v>2001792</v>
      </c>
      <c r="Q201" s="20">
        <f>IFERROR(__xludf.DUMMYFUNCTION("""COMPUTED_VALUE"""),3542182.0)</f>
        <v>3542182</v>
      </c>
    </row>
    <row r="202">
      <c r="A202" s="20">
        <f>IFERROR(__xludf.DUMMYFUNCTION("""COMPUTED_VALUE"""),201.0)</f>
        <v>201</v>
      </c>
      <c r="B202" s="20" t="str">
        <f>IFERROR(__xludf.DUMMYFUNCTION("""COMPUTED_VALUE"""),"Bitwise AND of Numbers Range")</f>
        <v>Bitwise AND of Numbers Range</v>
      </c>
      <c r="C202" s="20" t="str">
        <f>IFERROR(__xludf.DUMMYFUNCTION("""COMPUTED_VALUE"""),"bitwise-and-of-numbers-range")</f>
        <v>bitwise-and-of-numbers-range</v>
      </c>
      <c r="D202" s="20" t="b">
        <f>IFERROR(__xludf.DUMMYFUNCTION("""COMPUTED_VALUE"""),FALSE)</f>
        <v>0</v>
      </c>
      <c r="E202" s="20" t="str">
        <f>IFERROR(__xludf.DUMMYFUNCTION("""COMPUTED_VALUE"""),"Medium")</f>
        <v>Medium</v>
      </c>
      <c r="F202" s="20">
        <f>IFERROR(__xludf.DUMMYFUNCTION("""COMPUTED_VALUE"""),2609.0)</f>
        <v>2609</v>
      </c>
      <c r="G202" s="20">
        <f>IFERROR(__xludf.DUMMYFUNCTION("""COMPUTED_VALUE"""),192.0)</f>
        <v>192</v>
      </c>
      <c r="H202" s="20" t="str">
        <f>IFERROR(__xludf.DUMMYFUNCTION("""COMPUTED_VALUE"""),"Algorithms")</f>
        <v>Algorithms</v>
      </c>
      <c r="I202" s="20">
        <f>IFERROR(__xludf.DUMMYFUNCTION("""COMPUTED_VALUE"""),0.423)</f>
        <v>0.423</v>
      </c>
      <c r="J202" s="20">
        <f>IFERROR(__xludf.DUMMYFUNCTION("""COMPUTED_VALUE"""),201.0)</f>
        <v>201</v>
      </c>
      <c r="K202" s="20" t="b">
        <f>IFERROR(__xludf.DUMMYFUNCTION("""COMPUTED_VALUE"""),FALSE)</f>
        <v>0</v>
      </c>
      <c r="L202" s="20" t="str">
        <f>IFERROR(__xludf.DUMMYFUNCTION("""COMPUTED_VALUE"""),"Bit Manipulation;")</f>
        <v>Bit Manipulation;</v>
      </c>
      <c r="M202" s="20" t="b">
        <f>IFERROR(__xludf.DUMMYFUNCTION("""COMPUTED_VALUE"""),TRUE)</f>
        <v>1</v>
      </c>
      <c r="N202" s="20" t="b">
        <f>IFERROR(__xludf.DUMMYFUNCTION("""COMPUTED_VALUE"""),FALSE)</f>
        <v>0</v>
      </c>
      <c r="O202" s="20">
        <f>IFERROR(__xludf.DUMMYFUNCTION("""COMPUTED_VALUE"""),42.3370522607163)</f>
        <v>42.33705226</v>
      </c>
      <c r="P202" s="20">
        <f>IFERROR(__xludf.DUMMYFUNCTION("""COMPUTED_VALUE"""),232162.0)</f>
        <v>232162</v>
      </c>
      <c r="Q202" s="20">
        <f>IFERROR(__xludf.DUMMYFUNCTION("""COMPUTED_VALUE"""),548366.0)</f>
        <v>548366</v>
      </c>
    </row>
    <row r="203">
      <c r="A203" s="20">
        <f>IFERROR(__xludf.DUMMYFUNCTION("""COMPUTED_VALUE"""),202.0)</f>
        <v>202</v>
      </c>
      <c r="B203" s="20" t="str">
        <f>IFERROR(__xludf.DUMMYFUNCTION("""COMPUTED_VALUE"""),"Happy Number")</f>
        <v>Happy Number</v>
      </c>
      <c r="C203" s="20" t="str">
        <f>IFERROR(__xludf.DUMMYFUNCTION("""COMPUTED_VALUE"""),"happy-number")</f>
        <v>happy-number</v>
      </c>
      <c r="D203" s="20" t="b">
        <f>IFERROR(__xludf.DUMMYFUNCTION("""COMPUTED_VALUE"""),FALSE)</f>
        <v>0</v>
      </c>
      <c r="E203" s="20" t="str">
        <f>IFERROR(__xludf.DUMMYFUNCTION("""COMPUTED_VALUE"""),"Easy")</f>
        <v>Easy</v>
      </c>
      <c r="F203" s="20">
        <f>IFERROR(__xludf.DUMMYFUNCTION("""COMPUTED_VALUE"""),7569.0)</f>
        <v>7569</v>
      </c>
      <c r="G203" s="20">
        <f>IFERROR(__xludf.DUMMYFUNCTION("""COMPUTED_VALUE"""),952.0)</f>
        <v>952</v>
      </c>
      <c r="H203" s="20" t="str">
        <f>IFERROR(__xludf.DUMMYFUNCTION("""COMPUTED_VALUE"""),"Algorithms")</f>
        <v>Algorithms</v>
      </c>
      <c r="I203" s="20">
        <f>IFERROR(__xludf.DUMMYFUNCTION("""COMPUTED_VALUE"""),0.545)</f>
        <v>0.545</v>
      </c>
      <c r="J203" s="20">
        <f>IFERROR(__xludf.DUMMYFUNCTION("""COMPUTED_VALUE"""),202.0)</f>
        <v>202</v>
      </c>
      <c r="K203" s="20" t="b">
        <f>IFERROR(__xludf.DUMMYFUNCTION("""COMPUTED_VALUE"""),FALSE)</f>
        <v>0</v>
      </c>
      <c r="L203" s="20" t="str">
        <f>IFERROR(__xludf.DUMMYFUNCTION("""COMPUTED_VALUE"""),"Hash Table;Math;Two Pointers;")</f>
        <v>Hash Table;Math;Two Pointers;</v>
      </c>
      <c r="M203" s="20" t="b">
        <f>IFERROR(__xludf.DUMMYFUNCTION("""COMPUTED_VALUE"""),TRUE)</f>
        <v>1</v>
      </c>
      <c r="N203" s="20" t="b">
        <f>IFERROR(__xludf.DUMMYFUNCTION("""COMPUTED_VALUE"""),FALSE)</f>
        <v>0</v>
      </c>
      <c r="O203" s="20">
        <f>IFERROR(__xludf.DUMMYFUNCTION("""COMPUTED_VALUE"""),54.5417982214602)</f>
        <v>54.54179822</v>
      </c>
      <c r="P203" s="20">
        <f>IFERROR(__xludf.DUMMYFUNCTION("""COMPUTED_VALUE"""),1031978.0)</f>
        <v>1031978</v>
      </c>
      <c r="Q203" s="20">
        <f>IFERROR(__xludf.DUMMYFUNCTION("""COMPUTED_VALUE"""),1892077.0)</f>
        <v>1892077</v>
      </c>
    </row>
    <row r="204">
      <c r="A204" s="20">
        <f>IFERROR(__xludf.DUMMYFUNCTION("""COMPUTED_VALUE"""),203.0)</f>
        <v>203</v>
      </c>
      <c r="B204" s="20" t="str">
        <f>IFERROR(__xludf.DUMMYFUNCTION("""COMPUTED_VALUE"""),"Remove Linked List Elements")</f>
        <v>Remove Linked List Elements</v>
      </c>
      <c r="C204" s="20" t="str">
        <f>IFERROR(__xludf.DUMMYFUNCTION("""COMPUTED_VALUE"""),"remove-linked-list-elements")</f>
        <v>remove-linked-list-elements</v>
      </c>
      <c r="D204" s="20" t="b">
        <f>IFERROR(__xludf.DUMMYFUNCTION("""COMPUTED_VALUE"""),FALSE)</f>
        <v>0</v>
      </c>
      <c r="E204" s="20" t="str">
        <f>IFERROR(__xludf.DUMMYFUNCTION("""COMPUTED_VALUE"""),"Easy")</f>
        <v>Easy</v>
      </c>
      <c r="F204" s="20">
        <f>IFERROR(__xludf.DUMMYFUNCTION("""COMPUTED_VALUE"""),6515.0)</f>
        <v>6515</v>
      </c>
      <c r="G204" s="20">
        <f>IFERROR(__xludf.DUMMYFUNCTION("""COMPUTED_VALUE"""),194.0)</f>
        <v>194</v>
      </c>
      <c r="H204" s="20" t="str">
        <f>IFERROR(__xludf.DUMMYFUNCTION("""COMPUTED_VALUE"""),"Algorithms")</f>
        <v>Algorithms</v>
      </c>
      <c r="I204" s="20">
        <f>IFERROR(__xludf.DUMMYFUNCTION("""COMPUTED_VALUE"""),0.451)</f>
        <v>0.451</v>
      </c>
      <c r="J204" s="20">
        <f>IFERROR(__xludf.DUMMYFUNCTION("""COMPUTED_VALUE"""),203.0)</f>
        <v>203</v>
      </c>
      <c r="K204" s="20" t="b">
        <f>IFERROR(__xludf.DUMMYFUNCTION("""COMPUTED_VALUE"""),FALSE)</f>
        <v>0</v>
      </c>
      <c r="L204" s="20" t="str">
        <f>IFERROR(__xludf.DUMMYFUNCTION("""COMPUTED_VALUE"""),"Linked List;Recursion;")</f>
        <v>Linked List;Recursion;</v>
      </c>
      <c r="M204" s="20" t="b">
        <f>IFERROR(__xludf.DUMMYFUNCTION("""COMPUTED_VALUE"""),TRUE)</f>
        <v>1</v>
      </c>
      <c r="N204" s="20" t="b">
        <f>IFERROR(__xludf.DUMMYFUNCTION("""COMPUTED_VALUE"""),FALSE)</f>
        <v>0</v>
      </c>
      <c r="O204" s="20">
        <f>IFERROR(__xludf.DUMMYFUNCTION("""COMPUTED_VALUE"""),45.1218527550316)</f>
        <v>45.12185276</v>
      </c>
      <c r="P204" s="20">
        <f>IFERROR(__xludf.DUMMYFUNCTION("""COMPUTED_VALUE"""),855029.0)</f>
        <v>855029</v>
      </c>
      <c r="Q204" s="20">
        <f>IFERROR(__xludf.DUMMYFUNCTION("""COMPUTED_VALUE"""),1894940.0)</f>
        <v>1894940</v>
      </c>
    </row>
    <row r="205">
      <c r="A205" s="20">
        <f>IFERROR(__xludf.DUMMYFUNCTION("""COMPUTED_VALUE"""),204.0)</f>
        <v>204</v>
      </c>
      <c r="B205" s="20" t="str">
        <f>IFERROR(__xludf.DUMMYFUNCTION("""COMPUTED_VALUE"""),"Count Primes")</f>
        <v>Count Primes</v>
      </c>
      <c r="C205" s="20" t="str">
        <f>IFERROR(__xludf.DUMMYFUNCTION("""COMPUTED_VALUE"""),"count-primes")</f>
        <v>count-primes</v>
      </c>
      <c r="D205" s="20" t="b">
        <f>IFERROR(__xludf.DUMMYFUNCTION("""COMPUTED_VALUE"""),FALSE)</f>
        <v>0</v>
      </c>
      <c r="E205" s="20" t="str">
        <f>IFERROR(__xludf.DUMMYFUNCTION("""COMPUTED_VALUE"""),"Medium")</f>
        <v>Medium</v>
      </c>
      <c r="F205" s="20">
        <f>IFERROR(__xludf.DUMMYFUNCTION("""COMPUTED_VALUE"""),6138.0)</f>
        <v>6138</v>
      </c>
      <c r="G205" s="20">
        <f>IFERROR(__xludf.DUMMYFUNCTION("""COMPUTED_VALUE"""),1184.0)</f>
        <v>1184</v>
      </c>
      <c r="H205" s="20" t="str">
        <f>IFERROR(__xludf.DUMMYFUNCTION("""COMPUTED_VALUE"""),"Algorithms")</f>
        <v>Algorithms</v>
      </c>
      <c r="I205" s="20">
        <f>IFERROR(__xludf.DUMMYFUNCTION("""COMPUTED_VALUE"""),0.331)</f>
        <v>0.331</v>
      </c>
      <c r="J205" s="20">
        <f>IFERROR(__xludf.DUMMYFUNCTION("""COMPUTED_VALUE"""),204.0)</f>
        <v>204</v>
      </c>
      <c r="K205" s="20" t="b">
        <f>IFERROR(__xludf.DUMMYFUNCTION("""COMPUTED_VALUE"""),FALSE)</f>
        <v>0</v>
      </c>
      <c r="L205" s="20" t="str">
        <f>IFERROR(__xludf.DUMMYFUNCTION("""COMPUTED_VALUE"""),"Array;Math;Enumeration;Number Theory;")</f>
        <v>Array;Math;Enumeration;Number Theory;</v>
      </c>
      <c r="M205" s="20" t="b">
        <f>IFERROR(__xludf.DUMMYFUNCTION("""COMPUTED_VALUE"""),TRUE)</f>
        <v>1</v>
      </c>
      <c r="N205" s="20" t="b">
        <f>IFERROR(__xludf.DUMMYFUNCTION("""COMPUTED_VALUE"""),FALSE)</f>
        <v>0</v>
      </c>
      <c r="O205" s="20">
        <f>IFERROR(__xludf.DUMMYFUNCTION("""COMPUTED_VALUE"""),33.0560243832013)</f>
        <v>33.05602438</v>
      </c>
      <c r="P205" s="20">
        <f>IFERROR(__xludf.DUMMYFUNCTION("""COMPUTED_VALUE"""),688037.0)</f>
        <v>688037</v>
      </c>
      <c r="Q205" s="20">
        <f>IFERROR(__xludf.DUMMYFUNCTION("""COMPUTED_VALUE"""),2081421.0)</f>
        <v>2081421</v>
      </c>
    </row>
    <row r="206">
      <c r="A206" s="20">
        <f>IFERROR(__xludf.DUMMYFUNCTION("""COMPUTED_VALUE"""),205.0)</f>
        <v>205</v>
      </c>
      <c r="B206" s="20" t="str">
        <f>IFERROR(__xludf.DUMMYFUNCTION("""COMPUTED_VALUE"""),"Isomorphic Strings")</f>
        <v>Isomorphic Strings</v>
      </c>
      <c r="C206" s="20" t="str">
        <f>IFERROR(__xludf.DUMMYFUNCTION("""COMPUTED_VALUE"""),"isomorphic-strings")</f>
        <v>isomorphic-strings</v>
      </c>
      <c r="D206" s="20" t="b">
        <f>IFERROR(__xludf.DUMMYFUNCTION("""COMPUTED_VALUE"""),FALSE)</f>
        <v>0</v>
      </c>
      <c r="E206" s="20" t="str">
        <f>IFERROR(__xludf.DUMMYFUNCTION("""COMPUTED_VALUE"""),"Easy")</f>
        <v>Easy</v>
      </c>
      <c r="F206" s="20">
        <f>IFERROR(__xludf.DUMMYFUNCTION("""COMPUTED_VALUE"""),5649.0)</f>
        <v>5649</v>
      </c>
      <c r="G206" s="20">
        <f>IFERROR(__xludf.DUMMYFUNCTION("""COMPUTED_VALUE"""),1106.0)</f>
        <v>1106</v>
      </c>
      <c r="H206" s="20" t="str">
        <f>IFERROR(__xludf.DUMMYFUNCTION("""COMPUTED_VALUE"""),"Algorithms")</f>
        <v>Algorithms</v>
      </c>
      <c r="I206" s="20">
        <f>IFERROR(__xludf.DUMMYFUNCTION("""COMPUTED_VALUE"""),0.426)</f>
        <v>0.426</v>
      </c>
      <c r="J206" s="20">
        <f>IFERROR(__xludf.DUMMYFUNCTION("""COMPUTED_VALUE"""),205.0)</f>
        <v>205</v>
      </c>
      <c r="K206" s="20" t="b">
        <f>IFERROR(__xludf.DUMMYFUNCTION("""COMPUTED_VALUE"""),FALSE)</f>
        <v>0</v>
      </c>
      <c r="L206" s="20" t="str">
        <f>IFERROR(__xludf.DUMMYFUNCTION("""COMPUTED_VALUE"""),"Hash Table;String;")</f>
        <v>Hash Table;String;</v>
      </c>
      <c r="M206" s="20" t="b">
        <f>IFERROR(__xludf.DUMMYFUNCTION("""COMPUTED_VALUE"""),TRUE)</f>
        <v>1</v>
      </c>
      <c r="N206" s="20" t="b">
        <f>IFERROR(__xludf.DUMMYFUNCTION("""COMPUTED_VALUE"""),FALSE)</f>
        <v>0</v>
      </c>
      <c r="O206" s="20">
        <f>IFERROR(__xludf.DUMMYFUNCTION("""COMPUTED_VALUE"""),42.6293898326506)</f>
        <v>42.62938983</v>
      </c>
      <c r="P206" s="20">
        <f>IFERROR(__xludf.DUMMYFUNCTION("""COMPUTED_VALUE"""),742029.0)</f>
        <v>742029</v>
      </c>
      <c r="Q206" s="20">
        <f>IFERROR(__xludf.DUMMYFUNCTION("""COMPUTED_VALUE"""),1740651.0)</f>
        <v>1740651</v>
      </c>
    </row>
    <row r="207">
      <c r="A207" s="20">
        <f>IFERROR(__xludf.DUMMYFUNCTION("""COMPUTED_VALUE"""),206.0)</f>
        <v>206</v>
      </c>
      <c r="B207" s="20" t="str">
        <f>IFERROR(__xludf.DUMMYFUNCTION("""COMPUTED_VALUE"""),"Reverse Linked List")</f>
        <v>Reverse Linked List</v>
      </c>
      <c r="C207" s="20" t="str">
        <f>IFERROR(__xludf.DUMMYFUNCTION("""COMPUTED_VALUE"""),"reverse-linked-list")</f>
        <v>reverse-linked-list</v>
      </c>
      <c r="D207" s="20" t="b">
        <f>IFERROR(__xludf.DUMMYFUNCTION("""COMPUTED_VALUE"""),FALSE)</f>
        <v>0</v>
      </c>
      <c r="E207" s="20" t="str">
        <f>IFERROR(__xludf.DUMMYFUNCTION("""COMPUTED_VALUE"""),"Easy")</f>
        <v>Easy</v>
      </c>
      <c r="F207" s="20">
        <f>IFERROR(__xludf.DUMMYFUNCTION("""COMPUTED_VALUE"""),15962.0)</f>
        <v>15962</v>
      </c>
      <c r="G207" s="20">
        <f>IFERROR(__xludf.DUMMYFUNCTION("""COMPUTED_VALUE"""),267.0)</f>
        <v>267</v>
      </c>
      <c r="H207" s="20" t="str">
        <f>IFERROR(__xludf.DUMMYFUNCTION("""COMPUTED_VALUE"""),"Algorithms")</f>
        <v>Algorithms</v>
      </c>
      <c r="I207" s="20">
        <f>IFERROR(__xludf.DUMMYFUNCTION("""COMPUTED_VALUE"""),0.728)</f>
        <v>0.728</v>
      </c>
      <c r="J207" s="20">
        <f>IFERROR(__xludf.DUMMYFUNCTION("""COMPUTED_VALUE"""),206.0)</f>
        <v>206</v>
      </c>
      <c r="K207" s="20" t="b">
        <f>IFERROR(__xludf.DUMMYFUNCTION("""COMPUTED_VALUE"""),FALSE)</f>
        <v>0</v>
      </c>
      <c r="L207" s="20" t="str">
        <f>IFERROR(__xludf.DUMMYFUNCTION("""COMPUTED_VALUE"""),"Linked List;Recursion;")</f>
        <v>Linked List;Recursion;</v>
      </c>
      <c r="M207" s="20" t="b">
        <f>IFERROR(__xludf.DUMMYFUNCTION("""COMPUTED_VALUE"""),TRUE)</f>
        <v>1</v>
      </c>
      <c r="N207" s="20" t="b">
        <f>IFERROR(__xludf.DUMMYFUNCTION("""COMPUTED_VALUE"""),TRUE)</f>
        <v>1</v>
      </c>
      <c r="O207" s="20">
        <f>IFERROR(__xludf.DUMMYFUNCTION("""COMPUTED_VALUE"""),72.7647506948177)</f>
        <v>72.76475069</v>
      </c>
      <c r="P207" s="20">
        <f>IFERROR(__xludf.DUMMYFUNCTION("""COMPUTED_VALUE"""),2764184.0)</f>
        <v>2764184</v>
      </c>
      <c r="Q207" s="20">
        <f>IFERROR(__xludf.DUMMYFUNCTION("""COMPUTED_VALUE"""),3798806.0)</f>
        <v>3798806</v>
      </c>
    </row>
    <row r="208">
      <c r="A208" s="20">
        <f>IFERROR(__xludf.DUMMYFUNCTION("""COMPUTED_VALUE"""),207.0)</f>
        <v>207</v>
      </c>
      <c r="B208" s="20" t="str">
        <f>IFERROR(__xludf.DUMMYFUNCTION("""COMPUTED_VALUE"""),"Course Schedule")</f>
        <v>Course Schedule</v>
      </c>
      <c r="C208" s="20" t="str">
        <f>IFERROR(__xludf.DUMMYFUNCTION("""COMPUTED_VALUE"""),"course-schedule")</f>
        <v>course-schedule</v>
      </c>
      <c r="D208" s="20" t="b">
        <f>IFERROR(__xludf.DUMMYFUNCTION("""COMPUTED_VALUE"""),FALSE)</f>
        <v>0</v>
      </c>
      <c r="E208" s="20" t="str">
        <f>IFERROR(__xludf.DUMMYFUNCTION("""COMPUTED_VALUE"""),"Medium")</f>
        <v>Medium</v>
      </c>
      <c r="F208" s="20">
        <f>IFERROR(__xludf.DUMMYFUNCTION("""COMPUTED_VALUE"""),12197.0)</f>
        <v>12197</v>
      </c>
      <c r="G208" s="20">
        <f>IFERROR(__xludf.DUMMYFUNCTION("""COMPUTED_VALUE"""),478.0)</f>
        <v>478</v>
      </c>
      <c r="H208" s="20" t="str">
        <f>IFERROR(__xludf.DUMMYFUNCTION("""COMPUTED_VALUE"""),"Algorithms")</f>
        <v>Algorithms</v>
      </c>
      <c r="I208" s="20">
        <f>IFERROR(__xludf.DUMMYFUNCTION("""COMPUTED_VALUE"""),0.454)</f>
        <v>0.454</v>
      </c>
      <c r="J208" s="20">
        <f>IFERROR(__xludf.DUMMYFUNCTION("""COMPUTED_VALUE"""),207.0)</f>
        <v>207</v>
      </c>
      <c r="K208" s="20" t="b">
        <f>IFERROR(__xludf.DUMMYFUNCTION("""COMPUTED_VALUE"""),FALSE)</f>
        <v>0</v>
      </c>
      <c r="L208" s="20" t="str">
        <f>IFERROR(__xludf.DUMMYFUNCTION("""COMPUTED_VALUE"""),"Depth-First Search;Breadth-First Search;Graph;Topological Sort;")</f>
        <v>Depth-First Search;Breadth-First Search;Graph;Topological Sort;</v>
      </c>
      <c r="M208" s="20" t="b">
        <f>IFERROR(__xludf.DUMMYFUNCTION("""COMPUTED_VALUE"""),TRUE)</f>
        <v>1</v>
      </c>
      <c r="N208" s="20" t="b">
        <f>IFERROR(__xludf.DUMMYFUNCTION("""COMPUTED_VALUE"""),FALSE)</f>
        <v>0</v>
      </c>
      <c r="O208" s="20">
        <f>IFERROR(__xludf.DUMMYFUNCTION("""COMPUTED_VALUE"""),45.3643469859765)</f>
        <v>45.36434699</v>
      </c>
      <c r="P208" s="20">
        <f>IFERROR(__xludf.DUMMYFUNCTION("""COMPUTED_VALUE"""),1084652.0)</f>
        <v>1084652</v>
      </c>
      <c r="Q208" s="20">
        <f>IFERROR(__xludf.DUMMYFUNCTION("""COMPUTED_VALUE"""),2390974.0)</f>
        <v>2390974</v>
      </c>
    </row>
    <row r="209">
      <c r="A209" s="20">
        <f>IFERROR(__xludf.DUMMYFUNCTION("""COMPUTED_VALUE"""),208.0)</f>
        <v>208</v>
      </c>
      <c r="B209" s="20" t="str">
        <f>IFERROR(__xludf.DUMMYFUNCTION("""COMPUTED_VALUE"""),"Implement Trie (Prefix Tree)")</f>
        <v>Implement Trie (Prefix Tree)</v>
      </c>
      <c r="C209" s="20" t="str">
        <f>IFERROR(__xludf.DUMMYFUNCTION("""COMPUTED_VALUE"""),"implement-trie-prefix-tree")</f>
        <v>implement-trie-prefix-tree</v>
      </c>
      <c r="D209" s="20" t="b">
        <f>IFERROR(__xludf.DUMMYFUNCTION("""COMPUTED_VALUE"""),FALSE)</f>
        <v>0</v>
      </c>
      <c r="E209" s="20" t="str">
        <f>IFERROR(__xludf.DUMMYFUNCTION("""COMPUTED_VALUE"""),"Medium")</f>
        <v>Medium</v>
      </c>
      <c r="F209" s="20">
        <f>IFERROR(__xludf.DUMMYFUNCTION("""COMPUTED_VALUE"""),8712.0)</f>
        <v>8712</v>
      </c>
      <c r="G209" s="20">
        <f>IFERROR(__xludf.DUMMYFUNCTION("""COMPUTED_VALUE"""),106.0)</f>
        <v>106</v>
      </c>
      <c r="H209" s="20" t="str">
        <f>IFERROR(__xludf.DUMMYFUNCTION("""COMPUTED_VALUE"""),"Algorithms")</f>
        <v>Algorithms</v>
      </c>
      <c r="I209" s="20">
        <f>IFERROR(__xludf.DUMMYFUNCTION("""COMPUTED_VALUE"""),0.612)</f>
        <v>0.612</v>
      </c>
      <c r="J209" s="20">
        <f>IFERROR(__xludf.DUMMYFUNCTION("""COMPUTED_VALUE"""),208.0)</f>
        <v>208</v>
      </c>
      <c r="K209" s="20" t="b">
        <f>IFERROR(__xludf.DUMMYFUNCTION("""COMPUTED_VALUE"""),FALSE)</f>
        <v>0</v>
      </c>
      <c r="L209" s="20" t="str">
        <f>IFERROR(__xludf.DUMMYFUNCTION("""COMPUTED_VALUE"""),"Hash Table;String;Design;Trie;")</f>
        <v>Hash Table;String;Design;Trie;</v>
      </c>
      <c r="M209" s="20" t="b">
        <f>IFERROR(__xludf.DUMMYFUNCTION("""COMPUTED_VALUE"""),TRUE)</f>
        <v>1</v>
      </c>
      <c r="N209" s="20" t="b">
        <f>IFERROR(__xludf.DUMMYFUNCTION("""COMPUTED_VALUE"""),FALSE)</f>
        <v>0</v>
      </c>
      <c r="O209" s="20">
        <f>IFERROR(__xludf.DUMMYFUNCTION("""COMPUTED_VALUE"""),61.195123450886)</f>
        <v>61.19512345</v>
      </c>
      <c r="P209" s="20">
        <f>IFERROR(__xludf.DUMMYFUNCTION("""COMPUTED_VALUE"""),716584.0)</f>
        <v>716584</v>
      </c>
      <c r="Q209" s="20">
        <f>IFERROR(__xludf.DUMMYFUNCTION("""COMPUTED_VALUE"""),1170985.0)</f>
        <v>1170985</v>
      </c>
    </row>
    <row r="210">
      <c r="A210" s="20">
        <f>IFERROR(__xludf.DUMMYFUNCTION("""COMPUTED_VALUE"""),209.0)</f>
        <v>209</v>
      </c>
      <c r="B210" s="20" t="str">
        <f>IFERROR(__xludf.DUMMYFUNCTION("""COMPUTED_VALUE"""),"Minimum Size Subarray Sum")</f>
        <v>Minimum Size Subarray Sum</v>
      </c>
      <c r="C210" s="20" t="str">
        <f>IFERROR(__xludf.DUMMYFUNCTION("""COMPUTED_VALUE"""),"minimum-size-subarray-sum")</f>
        <v>minimum-size-subarray-sum</v>
      </c>
      <c r="D210" s="20" t="b">
        <f>IFERROR(__xludf.DUMMYFUNCTION("""COMPUTED_VALUE"""),FALSE)</f>
        <v>0</v>
      </c>
      <c r="E210" s="20" t="str">
        <f>IFERROR(__xludf.DUMMYFUNCTION("""COMPUTED_VALUE"""),"Medium")</f>
        <v>Medium</v>
      </c>
      <c r="F210" s="20">
        <f>IFERROR(__xludf.DUMMYFUNCTION("""COMPUTED_VALUE"""),8425.0)</f>
        <v>8425</v>
      </c>
      <c r="G210" s="20">
        <f>IFERROR(__xludf.DUMMYFUNCTION("""COMPUTED_VALUE"""),235.0)</f>
        <v>235</v>
      </c>
      <c r="H210" s="20" t="str">
        <f>IFERROR(__xludf.DUMMYFUNCTION("""COMPUTED_VALUE"""),"Algorithms")</f>
        <v>Algorithms</v>
      </c>
      <c r="I210" s="20">
        <f>IFERROR(__xludf.DUMMYFUNCTION("""COMPUTED_VALUE"""),0.446)</f>
        <v>0.446</v>
      </c>
      <c r="J210" s="20">
        <f>IFERROR(__xludf.DUMMYFUNCTION("""COMPUTED_VALUE"""),209.0)</f>
        <v>209</v>
      </c>
      <c r="K210" s="20" t="b">
        <f>IFERROR(__xludf.DUMMYFUNCTION("""COMPUTED_VALUE"""),FALSE)</f>
        <v>0</v>
      </c>
      <c r="L210" s="20" t="str">
        <f>IFERROR(__xludf.DUMMYFUNCTION("""COMPUTED_VALUE"""),"Array;Binary Search;Sliding Window;Prefix Sum;")</f>
        <v>Array;Binary Search;Sliding Window;Prefix Sum;</v>
      </c>
      <c r="M210" s="20" t="b">
        <f>IFERROR(__xludf.DUMMYFUNCTION("""COMPUTED_VALUE"""),TRUE)</f>
        <v>1</v>
      </c>
      <c r="N210" s="20" t="b">
        <f>IFERROR(__xludf.DUMMYFUNCTION("""COMPUTED_VALUE"""),FALSE)</f>
        <v>0</v>
      </c>
      <c r="O210" s="20">
        <f>IFERROR(__xludf.DUMMYFUNCTION("""COMPUTED_VALUE"""),44.6350035102172)</f>
        <v>44.63500351</v>
      </c>
      <c r="P210" s="20">
        <f>IFERROR(__xludf.DUMMYFUNCTION("""COMPUTED_VALUE"""),641502.0)</f>
        <v>641502</v>
      </c>
      <c r="Q210" s="20">
        <f>IFERROR(__xludf.DUMMYFUNCTION("""COMPUTED_VALUE"""),1437222.0)</f>
        <v>1437222</v>
      </c>
    </row>
    <row r="211">
      <c r="A211" s="20">
        <f>IFERROR(__xludf.DUMMYFUNCTION("""COMPUTED_VALUE"""),210.0)</f>
        <v>210</v>
      </c>
      <c r="B211" s="20" t="str">
        <f>IFERROR(__xludf.DUMMYFUNCTION("""COMPUTED_VALUE"""),"Course Schedule II")</f>
        <v>Course Schedule II</v>
      </c>
      <c r="C211" s="20" t="str">
        <f>IFERROR(__xludf.DUMMYFUNCTION("""COMPUTED_VALUE"""),"course-schedule-ii")</f>
        <v>course-schedule-ii</v>
      </c>
      <c r="D211" s="20" t="b">
        <f>IFERROR(__xludf.DUMMYFUNCTION("""COMPUTED_VALUE"""),FALSE)</f>
        <v>0</v>
      </c>
      <c r="E211" s="20" t="str">
        <f>IFERROR(__xludf.DUMMYFUNCTION("""COMPUTED_VALUE"""),"Medium")</f>
        <v>Medium</v>
      </c>
      <c r="F211" s="20">
        <f>IFERROR(__xludf.DUMMYFUNCTION("""COMPUTED_VALUE"""),8400.0)</f>
        <v>8400</v>
      </c>
      <c r="G211" s="20">
        <f>IFERROR(__xludf.DUMMYFUNCTION("""COMPUTED_VALUE"""),276.0)</f>
        <v>276</v>
      </c>
      <c r="H211" s="20" t="str">
        <f>IFERROR(__xludf.DUMMYFUNCTION("""COMPUTED_VALUE"""),"Algorithms")</f>
        <v>Algorithms</v>
      </c>
      <c r="I211" s="20">
        <f>IFERROR(__xludf.DUMMYFUNCTION("""COMPUTED_VALUE"""),0.482)</f>
        <v>0.482</v>
      </c>
      <c r="J211" s="20">
        <f>IFERROR(__xludf.DUMMYFUNCTION("""COMPUTED_VALUE"""),210.0)</f>
        <v>210</v>
      </c>
      <c r="K211" s="20" t="b">
        <f>IFERROR(__xludf.DUMMYFUNCTION("""COMPUTED_VALUE"""),FALSE)</f>
        <v>0</v>
      </c>
      <c r="L211" s="20" t="str">
        <f>IFERROR(__xludf.DUMMYFUNCTION("""COMPUTED_VALUE"""),"Depth-First Search;Breadth-First Search;Graph;Topological Sort;")</f>
        <v>Depth-First Search;Breadth-First Search;Graph;Topological Sort;</v>
      </c>
      <c r="M211" s="20" t="b">
        <f>IFERROR(__xludf.DUMMYFUNCTION("""COMPUTED_VALUE"""),TRUE)</f>
        <v>1</v>
      </c>
      <c r="N211" s="20" t="b">
        <f>IFERROR(__xludf.DUMMYFUNCTION("""COMPUTED_VALUE"""),FALSE)</f>
        <v>0</v>
      </c>
      <c r="O211" s="20">
        <f>IFERROR(__xludf.DUMMYFUNCTION("""COMPUTED_VALUE"""),48.165838468876)</f>
        <v>48.16583847</v>
      </c>
      <c r="P211" s="20">
        <f>IFERROR(__xludf.DUMMYFUNCTION("""COMPUTED_VALUE"""),761954.0)</f>
        <v>761954</v>
      </c>
      <c r="Q211" s="20">
        <f>IFERROR(__xludf.DUMMYFUNCTION("""COMPUTED_VALUE"""),1581938.0)</f>
        <v>1581938</v>
      </c>
    </row>
    <row r="212">
      <c r="A212" s="20">
        <f>IFERROR(__xludf.DUMMYFUNCTION("""COMPUTED_VALUE"""),211.0)</f>
        <v>211</v>
      </c>
      <c r="B212" s="20" t="str">
        <f>IFERROR(__xludf.DUMMYFUNCTION("""COMPUTED_VALUE"""),"Design Add and Search Words Data Structure")</f>
        <v>Design Add and Search Words Data Structure</v>
      </c>
      <c r="C212" s="20" t="str">
        <f>IFERROR(__xludf.DUMMYFUNCTION("""COMPUTED_VALUE"""),"design-add-and-search-words-data-structure")</f>
        <v>design-add-and-search-words-data-structure</v>
      </c>
      <c r="D212" s="20" t="b">
        <f>IFERROR(__xludf.DUMMYFUNCTION("""COMPUTED_VALUE"""),FALSE)</f>
        <v>0</v>
      </c>
      <c r="E212" s="20" t="str">
        <f>IFERROR(__xludf.DUMMYFUNCTION("""COMPUTED_VALUE"""),"Medium")</f>
        <v>Medium</v>
      </c>
      <c r="F212" s="20">
        <f>IFERROR(__xludf.DUMMYFUNCTION("""COMPUTED_VALUE"""),5711.0)</f>
        <v>5711</v>
      </c>
      <c r="G212" s="20">
        <f>IFERROR(__xludf.DUMMYFUNCTION("""COMPUTED_VALUE"""),334.0)</f>
        <v>334</v>
      </c>
      <c r="H212" s="20" t="str">
        <f>IFERROR(__xludf.DUMMYFUNCTION("""COMPUTED_VALUE"""),"Algorithms")</f>
        <v>Algorithms</v>
      </c>
      <c r="I212" s="20">
        <f>IFERROR(__xludf.DUMMYFUNCTION("""COMPUTED_VALUE"""),0.429)</f>
        <v>0.429</v>
      </c>
      <c r="J212" s="20">
        <f>IFERROR(__xludf.DUMMYFUNCTION("""COMPUTED_VALUE"""),211.0)</f>
        <v>211</v>
      </c>
      <c r="K212" s="20" t="b">
        <f>IFERROR(__xludf.DUMMYFUNCTION("""COMPUTED_VALUE"""),FALSE)</f>
        <v>0</v>
      </c>
      <c r="L212" s="20" t="str">
        <f>IFERROR(__xludf.DUMMYFUNCTION("""COMPUTED_VALUE"""),"String;Depth-First Search;Design;Trie;")</f>
        <v>String;Depth-First Search;Design;Trie;</v>
      </c>
      <c r="M212" s="20" t="b">
        <f>IFERROR(__xludf.DUMMYFUNCTION("""COMPUTED_VALUE"""),TRUE)</f>
        <v>1</v>
      </c>
      <c r="N212" s="20" t="b">
        <f>IFERROR(__xludf.DUMMYFUNCTION("""COMPUTED_VALUE"""),FALSE)</f>
        <v>0</v>
      </c>
      <c r="O212" s="20">
        <f>IFERROR(__xludf.DUMMYFUNCTION("""COMPUTED_VALUE"""),42.9302069177954)</f>
        <v>42.93020692</v>
      </c>
      <c r="P212" s="20">
        <f>IFERROR(__xludf.DUMMYFUNCTION("""COMPUTED_VALUE"""),457129.0)</f>
        <v>457129</v>
      </c>
      <c r="Q212" s="20">
        <f>IFERROR(__xludf.DUMMYFUNCTION("""COMPUTED_VALUE"""),1064819.0)</f>
        <v>1064819</v>
      </c>
    </row>
    <row r="213">
      <c r="A213" s="20">
        <f>IFERROR(__xludf.DUMMYFUNCTION("""COMPUTED_VALUE"""),212.0)</f>
        <v>212</v>
      </c>
      <c r="B213" s="20" t="str">
        <f>IFERROR(__xludf.DUMMYFUNCTION("""COMPUTED_VALUE"""),"Word Search II")</f>
        <v>Word Search II</v>
      </c>
      <c r="C213" s="20" t="str">
        <f>IFERROR(__xludf.DUMMYFUNCTION("""COMPUTED_VALUE"""),"word-search-ii")</f>
        <v>word-search-ii</v>
      </c>
      <c r="D213" s="20" t="b">
        <f>IFERROR(__xludf.DUMMYFUNCTION("""COMPUTED_VALUE"""),FALSE)</f>
        <v>0</v>
      </c>
      <c r="E213" s="20" t="str">
        <f>IFERROR(__xludf.DUMMYFUNCTION("""COMPUTED_VALUE"""),"Hard")</f>
        <v>Hard</v>
      </c>
      <c r="F213" s="20">
        <f>IFERROR(__xludf.DUMMYFUNCTION("""COMPUTED_VALUE"""),8019.0)</f>
        <v>8019</v>
      </c>
      <c r="G213" s="20">
        <f>IFERROR(__xludf.DUMMYFUNCTION("""COMPUTED_VALUE"""),372.0)</f>
        <v>372</v>
      </c>
      <c r="H213" s="20" t="str">
        <f>IFERROR(__xludf.DUMMYFUNCTION("""COMPUTED_VALUE"""),"Algorithms")</f>
        <v>Algorithms</v>
      </c>
      <c r="I213" s="20">
        <f>IFERROR(__xludf.DUMMYFUNCTION("""COMPUTED_VALUE"""),0.367)</f>
        <v>0.367</v>
      </c>
      <c r="J213" s="20">
        <f>IFERROR(__xludf.DUMMYFUNCTION("""COMPUTED_VALUE"""),212.0)</f>
        <v>212</v>
      </c>
      <c r="K213" s="20" t="b">
        <f>IFERROR(__xludf.DUMMYFUNCTION("""COMPUTED_VALUE"""),FALSE)</f>
        <v>0</v>
      </c>
      <c r="L213" s="20" t="str">
        <f>IFERROR(__xludf.DUMMYFUNCTION("""COMPUTED_VALUE"""),"Array;String;Backtracking;Trie;Matrix;")</f>
        <v>Array;String;Backtracking;Trie;Matrix;</v>
      </c>
      <c r="M213" s="20" t="b">
        <f>IFERROR(__xludf.DUMMYFUNCTION("""COMPUTED_VALUE"""),TRUE)</f>
        <v>1</v>
      </c>
      <c r="N213" s="20" t="b">
        <f>IFERROR(__xludf.DUMMYFUNCTION("""COMPUTED_VALUE"""),FALSE)</f>
        <v>0</v>
      </c>
      <c r="O213" s="20">
        <f>IFERROR(__xludf.DUMMYFUNCTION("""COMPUTED_VALUE"""),36.745956075071)</f>
        <v>36.74595608</v>
      </c>
      <c r="P213" s="20">
        <f>IFERROR(__xludf.DUMMYFUNCTION("""COMPUTED_VALUE"""),534160.0)</f>
        <v>534160</v>
      </c>
      <c r="Q213" s="20">
        <f>IFERROR(__xludf.DUMMYFUNCTION("""COMPUTED_VALUE"""),1453653.0)</f>
        <v>1453653</v>
      </c>
    </row>
    <row r="214">
      <c r="A214" s="20">
        <f>IFERROR(__xludf.DUMMYFUNCTION("""COMPUTED_VALUE"""),213.0)</f>
        <v>213</v>
      </c>
      <c r="B214" s="20" t="str">
        <f>IFERROR(__xludf.DUMMYFUNCTION("""COMPUTED_VALUE"""),"House Robber II")</f>
        <v>House Robber II</v>
      </c>
      <c r="C214" s="20" t="str">
        <f>IFERROR(__xludf.DUMMYFUNCTION("""COMPUTED_VALUE"""),"house-robber-ii")</f>
        <v>house-robber-ii</v>
      </c>
      <c r="D214" s="20" t="b">
        <f>IFERROR(__xludf.DUMMYFUNCTION("""COMPUTED_VALUE"""),FALSE)</f>
        <v>0</v>
      </c>
      <c r="E214" s="20" t="str">
        <f>IFERROR(__xludf.DUMMYFUNCTION("""COMPUTED_VALUE"""),"Medium")</f>
        <v>Medium</v>
      </c>
      <c r="F214" s="20">
        <f>IFERROR(__xludf.DUMMYFUNCTION("""COMPUTED_VALUE"""),7454.0)</f>
        <v>7454</v>
      </c>
      <c r="G214" s="20">
        <f>IFERROR(__xludf.DUMMYFUNCTION("""COMPUTED_VALUE"""),109.0)</f>
        <v>109</v>
      </c>
      <c r="H214" s="20" t="str">
        <f>IFERROR(__xludf.DUMMYFUNCTION("""COMPUTED_VALUE"""),"Algorithms")</f>
        <v>Algorithms</v>
      </c>
      <c r="I214" s="20">
        <f>IFERROR(__xludf.DUMMYFUNCTION("""COMPUTED_VALUE"""),0.408)</f>
        <v>0.408</v>
      </c>
      <c r="J214" s="20">
        <f>IFERROR(__xludf.DUMMYFUNCTION("""COMPUTED_VALUE"""),213.0)</f>
        <v>213</v>
      </c>
      <c r="K214" s="20" t="b">
        <f>IFERROR(__xludf.DUMMYFUNCTION("""COMPUTED_VALUE"""),FALSE)</f>
        <v>0</v>
      </c>
      <c r="L214" s="20" t="str">
        <f>IFERROR(__xludf.DUMMYFUNCTION("""COMPUTED_VALUE"""),"Array;Dynamic Programming;")</f>
        <v>Array;Dynamic Programming;</v>
      </c>
      <c r="M214" s="20" t="b">
        <f>IFERROR(__xludf.DUMMYFUNCTION("""COMPUTED_VALUE"""),TRUE)</f>
        <v>1</v>
      </c>
      <c r="N214" s="20" t="b">
        <f>IFERROR(__xludf.DUMMYFUNCTION("""COMPUTED_VALUE"""),FALSE)</f>
        <v>0</v>
      </c>
      <c r="O214" s="20">
        <f>IFERROR(__xludf.DUMMYFUNCTION("""COMPUTED_VALUE"""),40.7904723983251)</f>
        <v>40.7904724</v>
      </c>
      <c r="P214" s="20">
        <f>IFERROR(__xludf.DUMMYFUNCTION("""COMPUTED_VALUE"""),524509.0)</f>
        <v>524509</v>
      </c>
      <c r="Q214" s="20">
        <f>IFERROR(__xludf.DUMMYFUNCTION("""COMPUTED_VALUE"""),1285855.0)</f>
        <v>1285855</v>
      </c>
    </row>
    <row r="215">
      <c r="A215" s="20">
        <f>IFERROR(__xludf.DUMMYFUNCTION("""COMPUTED_VALUE"""),214.0)</f>
        <v>214</v>
      </c>
      <c r="B215" s="20" t="str">
        <f>IFERROR(__xludf.DUMMYFUNCTION("""COMPUTED_VALUE"""),"Shortest Palindrome")</f>
        <v>Shortest Palindrome</v>
      </c>
      <c r="C215" s="20" t="str">
        <f>IFERROR(__xludf.DUMMYFUNCTION("""COMPUTED_VALUE"""),"shortest-palindrome")</f>
        <v>shortest-palindrome</v>
      </c>
      <c r="D215" s="20" t="b">
        <f>IFERROR(__xludf.DUMMYFUNCTION("""COMPUTED_VALUE"""),FALSE)</f>
        <v>0</v>
      </c>
      <c r="E215" s="20" t="str">
        <f>IFERROR(__xludf.DUMMYFUNCTION("""COMPUTED_VALUE"""),"Hard")</f>
        <v>Hard</v>
      </c>
      <c r="F215" s="20">
        <f>IFERROR(__xludf.DUMMYFUNCTION("""COMPUTED_VALUE"""),2942.0)</f>
        <v>2942</v>
      </c>
      <c r="G215" s="20">
        <f>IFERROR(__xludf.DUMMYFUNCTION("""COMPUTED_VALUE"""),209.0)</f>
        <v>209</v>
      </c>
      <c r="H215" s="20" t="str">
        <f>IFERROR(__xludf.DUMMYFUNCTION("""COMPUTED_VALUE"""),"Algorithms")</f>
        <v>Algorithms</v>
      </c>
      <c r="I215" s="20">
        <f>IFERROR(__xludf.DUMMYFUNCTION("""COMPUTED_VALUE"""),0.322)</f>
        <v>0.322</v>
      </c>
      <c r="J215" s="20">
        <f>IFERROR(__xludf.DUMMYFUNCTION("""COMPUTED_VALUE"""),214.0)</f>
        <v>214</v>
      </c>
      <c r="K215" s="20" t="b">
        <f>IFERROR(__xludf.DUMMYFUNCTION("""COMPUTED_VALUE"""),FALSE)</f>
        <v>0</v>
      </c>
      <c r="L215" s="20" t="str">
        <f>IFERROR(__xludf.DUMMYFUNCTION("""COMPUTED_VALUE"""),"String;Rolling Hash;String Matching;Hash Function;")</f>
        <v>String;Rolling Hash;String Matching;Hash Function;</v>
      </c>
      <c r="M215" s="20" t="b">
        <f>IFERROR(__xludf.DUMMYFUNCTION("""COMPUTED_VALUE"""),TRUE)</f>
        <v>1</v>
      </c>
      <c r="N215" s="20" t="b">
        <f>IFERROR(__xludf.DUMMYFUNCTION("""COMPUTED_VALUE"""),FALSE)</f>
        <v>0</v>
      </c>
      <c r="O215" s="20">
        <f>IFERROR(__xludf.DUMMYFUNCTION("""COMPUTED_VALUE"""),32.2387570204566)</f>
        <v>32.23875702</v>
      </c>
      <c r="P215" s="20">
        <f>IFERROR(__xludf.DUMMYFUNCTION("""COMPUTED_VALUE"""),149415.0)</f>
        <v>149415</v>
      </c>
      <c r="Q215" s="20">
        <f>IFERROR(__xludf.DUMMYFUNCTION("""COMPUTED_VALUE"""),463466.0)</f>
        <v>463466</v>
      </c>
    </row>
    <row r="216">
      <c r="A216" s="20">
        <f>IFERROR(__xludf.DUMMYFUNCTION("""COMPUTED_VALUE"""),215.0)</f>
        <v>215</v>
      </c>
      <c r="B216" s="20" t="str">
        <f>IFERROR(__xludf.DUMMYFUNCTION("""COMPUTED_VALUE"""),"Kth Largest Element in an Array")</f>
        <v>Kth Largest Element in an Array</v>
      </c>
      <c r="C216" s="20" t="str">
        <f>IFERROR(__xludf.DUMMYFUNCTION("""COMPUTED_VALUE"""),"kth-largest-element-in-an-array")</f>
        <v>kth-largest-element-in-an-array</v>
      </c>
      <c r="D216" s="20" t="b">
        <f>IFERROR(__xludf.DUMMYFUNCTION("""COMPUTED_VALUE"""),FALSE)</f>
        <v>0</v>
      </c>
      <c r="E216" s="20" t="str">
        <f>IFERROR(__xludf.DUMMYFUNCTION("""COMPUTED_VALUE"""),"Medium")</f>
        <v>Medium</v>
      </c>
      <c r="F216" s="20">
        <f>IFERROR(__xludf.DUMMYFUNCTION("""COMPUTED_VALUE"""),12753.0)</f>
        <v>12753</v>
      </c>
      <c r="G216" s="20">
        <f>IFERROR(__xludf.DUMMYFUNCTION("""COMPUTED_VALUE"""),643.0)</f>
        <v>643</v>
      </c>
      <c r="H216" s="20" t="str">
        <f>IFERROR(__xludf.DUMMYFUNCTION("""COMPUTED_VALUE"""),"Algorithms")</f>
        <v>Algorithms</v>
      </c>
      <c r="I216" s="20">
        <f>IFERROR(__xludf.DUMMYFUNCTION("""COMPUTED_VALUE"""),0.658)</f>
        <v>0.658</v>
      </c>
      <c r="J216" s="20">
        <f>IFERROR(__xludf.DUMMYFUNCTION("""COMPUTED_VALUE"""),215.0)</f>
        <v>215</v>
      </c>
      <c r="K216" s="20" t="b">
        <f>IFERROR(__xludf.DUMMYFUNCTION("""COMPUTED_VALUE"""),FALSE)</f>
        <v>0</v>
      </c>
      <c r="L216" s="20" t="str">
        <f>IFERROR(__xludf.DUMMYFUNCTION("""COMPUTED_VALUE"""),"Array;Divide and Conquer;Sorting;Heap (Priority Queue);Quickselect;")</f>
        <v>Array;Divide and Conquer;Sorting;Heap (Priority Queue);Quickselect;</v>
      </c>
      <c r="M216" s="20" t="b">
        <f>IFERROR(__xludf.DUMMYFUNCTION("""COMPUTED_VALUE"""),TRUE)</f>
        <v>1</v>
      </c>
      <c r="N216" s="20" t="b">
        <f>IFERROR(__xludf.DUMMYFUNCTION("""COMPUTED_VALUE"""),FALSE)</f>
        <v>0</v>
      </c>
      <c r="O216" s="20">
        <f>IFERROR(__xludf.DUMMYFUNCTION("""COMPUTED_VALUE"""),65.8419227936987)</f>
        <v>65.84192279</v>
      </c>
      <c r="P216" s="20">
        <f>IFERROR(__xludf.DUMMYFUNCTION("""COMPUTED_VALUE"""),1635353.0)</f>
        <v>1635353</v>
      </c>
      <c r="Q216" s="20">
        <f>IFERROR(__xludf.DUMMYFUNCTION("""COMPUTED_VALUE"""),2483752.0)</f>
        <v>2483752</v>
      </c>
    </row>
    <row r="217">
      <c r="A217" s="20">
        <f>IFERROR(__xludf.DUMMYFUNCTION("""COMPUTED_VALUE"""),216.0)</f>
        <v>216</v>
      </c>
      <c r="B217" s="20" t="str">
        <f>IFERROR(__xludf.DUMMYFUNCTION("""COMPUTED_VALUE"""),"Combination Sum III")</f>
        <v>Combination Sum III</v>
      </c>
      <c r="C217" s="20" t="str">
        <f>IFERROR(__xludf.DUMMYFUNCTION("""COMPUTED_VALUE"""),"combination-sum-iii")</f>
        <v>combination-sum-iii</v>
      </c>
      <c r="D217" s="20" t="b">
        <f>IFERROR(__xludf.DUMMYFUNCTION("""COMPUTED_VALUE"""),FALSE)</f>
        <v>0</v>
      </c>
      <c r="E217" s="20" t="str">
        <f>IFERROR(__xludf.DUMMYFUNCTION("""COMPUTED_VALUE"""),"Medium")</f>
        <v>Medium</v>
      </c>
      <c r="F217" s="20">
        <f>IFERROR(__xludf.DUMMYFUNCTION("""COMPUTED_VALUE"""),4450.0)</f>
        <v>4450</v>
      </c>
      <c r="G217" s="20">
        <f>IFERROR(__xludf.DUMMYFUNCTION("""COMPUTED_VALUE"""),92.0)</f>
        <v>92</v>
      </c>
      <c r="H217" s="20" t="str">
        <f>IFERROR(__xludf.DUMMYFUNCTION("""COMPUTED_VALUE"""),"Algorithms")</f>
        <v>Algorithms</v>
      </c>
      <c r="I217" s="20">
        <f>IFERROR(__xludf.DUMMYFUNCTION("""COMPUTED_VALUE"""),0.672)</f>
        <v>0.672</v>
      </c>
      <c r="J217" s="20">
        <f>IFERROR(__xludf.DUMMYFUNCTION("""COMPUTED_VALUE"""),216.0)</f>
        <v>216</v>
      </c>
      <c r="K217" s="20" t="b">
        <f>IFERROR(__xludf.DUMMYFUNCTION("""COMPUTED_VALUE"""),FALSE)</f>
        <v>0</v>
      </c>
      <c r="L217" s="20" t="str">
        <f>IFERROR(__xludf.DUMMYFUNCTION("""COMPUTED_VALUE"""),"Array;Backtracking;")</f>
        <v>Array;Backtracking;</v>
      </c>
      <c r="M217" s="20" t="b">
        <f>IFERROR(__xludf.DUMMYFUNCTION("""COMPUTED_VALUE"""),TRUE)</f>
        <v>1</v>
      </c>
      <c r="N217" s="20" t="b">
        <f>IFERROR(__xludf.DUMMYFUNCTION("""COMPUTED_VALUE"""),FALSE)</f>
        <v>0</v>
      </c>
      <c r="O217" s="20">
        <f>IFERROR(__xludf.DUMMYFUNCTION("""COMPUTED_VALUE"""),67.2434715684344)</f>
        <v>67.24347157</v>
      </c>
      <c r="P217" s="20">
        <f>IFERROR(__xludf.DUMMYFUNCTION("""COMPUTED_VALUE"""),375695.0)</f>
        <v>375695</v>
      </c>
      <c r="Q217" s="20">
        <f>IFERROR(__xludf.DUMMYFUNCTION("""COMPUTED_VALUE"""),558709.0)</f>
        <v>558709</v>
      </c>
    </row>
    <row r="218">
      <c r="A218" s="20">
        <f>IFERROR(__xludf.DUMMYFUNCTION("""COMPUTED_VALUE"""),217.0)</f>
        <v>217</v>
      </c>
      <c r="B218" s="20" t="str">
        <f>IFERROR(__xludf.DUMMYFUNCTION("""COMPUTED_VALUE"""),"Contains Duplicate")</f>
        <v>Contains Duplicate</v>
      </c>
      <c r="C218" s="20" t="str">
        <f>IFERROR(__xludf.DUMMYFUNCTION("""COMPUTED_VALUE"""),"contains-duplicate")</f>
        <v>contains-duplicate</v>
      </c>
      <c r="D218" s="20" t="b">
        <f>IFERROR(__xludf.DUMMYFUNCTION("""COMPUTED_VALUE"""),FALSE)</f>
        <v>0</v>
      </c>
      <c r="E218" s="20" t="str">
        <f>IFERROR(__xludf.DUMMYFUNCTION("""COMPUTED_VALUE"""),"Easy")</f>
        <v>Easy</v>
      </c>
      <c r="F218" s="20">
        <f>IFERROR(__xludf.DUMMYFUNCTION("""COMPUTED_VALUE"""),7661.0)</f>
        <v>7661</v>
      </c>
      <c r="G218" s="20">
        <f>IFERROR(__xludf.DUMMYFUNCTION("""COMPUTED_VALUE"""),1071.0)</f>
        <v>1071</v>
      </c>
      <c r="H218" s="20" t="str">
        <f>IFERROR(__xludf.DUMMYFUNCTION("""COMPUTED_VALUE"""),"Algorithms")</f>
        <v>Algorithms</v>
      </c>
      <c r="I218" s="20">
        <f>IFERROR(__xludf.DUMMYFUNCTION("""COMPUTED_VALUE"""),0.613)</f>
        <v>0.613</v>
      </c>
      <c r="J218" s="20">
        <f>IFERROR(__xludf.DUMMYFUNCTION("""COMPUTED_VALUE"""),217.0)</f>
        <v>217</v>
      </c>
      <c r="K218" s="20" t="b">
        <f>IFERROR(__xludf.DUMMYFUNCTION("""COMPUTED_VALUE"""),FALSE)</f>
        <v>0</v>
      </c>
      <c r="L218" s="20" t="str">
        <f>IFERROR(__xludf.DUMMYFUNCTION("""COMPUTED_VALUE"""),"Array;Hash Table;Sorting;")</f>
        <v>Array;Hash Table;Sorting;</v>
      </c>
      <c r="M218" s="20" t="b">
        <f>IFERROR(__xludf.DUMMYFUNCTION("""COMPUTED_VALUE"""),TRUE)</f>
        <v>1</v>
      </c>
      <c r="N218" s="20" t="b">
        <f>IFERROR(__xludf.DUMMYFUNCTION("""COMPUTED_VALUE"""),FALSE)</f>
        <v>0</v>
      </c>
      <c r="O218" s="20">
        <f>IFERROR(__xludf.DUMMYFUNCTION("""COMPUTED_VALUE"""),61.3190736932469)</f>
        <v>61.31907369</v>
      </c>
      <c r="P218" s="20">
        <f>IFERROR(__xludf.DUMMYFUNCTION("""COMPUTED_VALUE"""),2331400.0)</f>
        <v>2331400</v>
      </c>
      <c r="Q218" s="20">
        <f>IFERROR(__xludf.DUMMYFUNCTION("""COMPUTED_VALUE"""),3802078.0)</f>
        <v>3802078</v>
      </c>
    </row>
    <row r="219">
      <c r="A219" s="20">
        <f>IFERROR(__xludf.DUMMYFUNCTION("""COMPUTED_VALUE"""),218.0)</f>
        <v>218</v>
      </c>
      <c r="B219" s="20" t="str">
        <f>IFERROR(__xludf.DUMMYFUNCTION("""COMPUTED_VALUE"""),"The Skyline Problem")</f>
        <v>The Skyline Problem</v>
      </c>
      <c r="C219" s="20" t="str">
        <f>IFERROR(__xludf.DUMMYFUNCTION("""COMPUTED_VALUE"""),"the-skyline-problem")</f>
        <v>the-skyline-problem</v>
      </c>
      <c r="D219" s="20" t="b">
        <f>IFERROR(__xludf.DUMMYFUNCTION("""COMPUTED_VALUE"""),FALSE)</f>
        <v>0</v>
      </c>
      <c r="E219" s="20" t="str">
        <f>IFERROR(__xludf.DUMMYFUNCTION("""COMPUTED_VALUE"""),"Hard")</f>
        <v>Hard</v>
      </c>
      <c r="F219" s="20">
        <f>IFERROR(__xludf.DUMMYFUNCTION("""COMPUTED_VALUE"""),5235.0)</f>
        <v>5235</v>
      </c>
      <c r="G219" s="20">
        <f>IFERROR(__xludf.DUMMYFUNCTION("""COMPUTED_VALUE"""),240.0)</f>
        <v>240</v>
      </c>
      <c r="H219" s="20" t="str">
        <f>IFERROR(__xludf.DUMMYFUNCTION("""COMPUTED_VALUE"""),"Algorithms")</f>
        <v>Algorithms</v>
      </c>
      <c r="I219" s="20">
        <f>IFERROR(__xludf.DUMMYFUNCTION("""COMPUTED_VALUE"""),0.417)</f>
        <v>0.417</v>
      </c>
      <c r="J219" s="20">
        <f>IFERROR(__xludf.DUMMYFUNCTION("""COMPUTED_VALUE"""),218.0)</f>
        <v>218</v>
      </c>
      <c r="K219" s="20" t="b">
        <f>IFERROR(__xludf.DUMMYFUNCTION("""COMPUTED_VALUE"""),FALSE)</f>
        <v>0</v>
      </c>
      <c r="L219" s="20" t="str">
        <f>IFERROR(__xludf.DUMMYFUNCTION("""COMPUTED_VALUE"""),"Array;Divide and Conquer;Binary Indexed Tree;Segment Tree;Line Sweep;Heap (Priority Queue);Ordered Set;")</f>
        <v>Array;Divide and Conquer;Binary Indexed Tree;Segment Tree;Line Sweep;Heap (Priority Queue);Ordered Set;</v>
      </c>
      <c r="M219" s="20" t="b">
        <f>IFERROR(__xludf.DUMMYFUNCTION("""COMPUTED_VALUE"""),TRUE)</f>
        <v>1</v>
      </c>
      <c r="N219" s="20" t="b">
        <f>IFERROR(__xludf.DUMMYFUNCTION("""COMPUTED_VALUE"""),FALSE)</f>
        <v>0</v>
      </c>
      <c r="O219" s="20">
        <f>IFERROR(__xludf.DUMMYFUNCTION("""COMPUTED_VALUE"""),41.6620116053528)</f>
        <v>41.66201161</v>
      </c>
      <c r="P219" s="20">
        <f>IFERROR(__xludf.DUMMYFUNCTION("""COMPUTED_VALUE"""),255814.0)</f>
        <v>255814</v>
      </c>
      <c r="Q219" s="20">
        <f>IFERROR(__xludf.DUMMYFUNCTION("""COMPUTED_VALUE"""),614025.0)</f>
        <v>614025</v>
      </c>
    </row>
    <row r="220">
      <c r="A220" s="20">
        <f>IFERROR(__xludf.DUMMYFUNCTION("""COMPUTED_VALUE"""),219.0)</f>
        <v>219</v>
      </c>
      <c r="B220" s="20" t="str">
        <f>IFERROR(__xludf.DUMMYFUNCTION("""COMPUTED_VALUE"""),"Contains Duplicate II")</f>
        <v>Contains Duplicate II</v>
      </c>
      <c r="C220" s="20" t="str">
        <f>IFERROR(__xludf.DUMMYFUNCTION("""COMPUTED_VALUE"""),"contains-duplicate-ii")</f>
        <v>contains-duplicate-ii</v>
      </c>
      <c r="D220" s="20" t="b">
        <f>IFERROR(__xludf.DUMMYFUNCTION("""COMPUTED_VALUE"""),FALSE)</f>
        <v>0</v>
      </c>
      <c r="E220" s="20" t="str">
        <f>IFERROR(__xludf.DUMMYFUNCTION("""COMPUTED_VALUE"""),"Easy")</f>
        <v>Easy</v>
      </c>
      <c r="F220" s="20">
        <f>IFERROR(__xludf.DUMMYFUNCTION("""COMPUTED_VALUE"""),4293.0)</f>
        <v>4293</v>
      </c>
      <c r="G220" s="20">
        <f>IFERROR(__xludf.DUMMYFUNCTION("""COMPUTED_VALUE"""),2431.0)</f>
        <v>2431</v>
      </c>
      <c r="H220" s="20" t="str">
        <f>IFERROR(__xludf.DUMMYFUNCTION("""COMPUTED_VALUE"""),"Algorithms")</f>
        <v>Algorithms</v>
      </c>
      <c r="I220" s="20">
        <f>IFERROR(__xludf.DUMMYFUNCTION("""COMPUTED_VALUE"""),0.424)</f>
        <v>0.424</v>
      </c>
      <c r="J220" s="20">
        <f>IFERROR(__xludf.DUMMYFUNCTION("""COMPUTED_VALUE"""),219.0)</f>
        <v>219</v>
      </c>
      <c r="K220" s="20" t="b">
        <f>IFERROR(__xludf.DUMMYFUNCTION("""COMPUTED_VALUE"""),FALSE)</f>
        <v>0</v>
      </c>
      <c r="L220" s="20" t="str">
        <f>IFERROR(__xludf.DUMMYFUNCTION("""COMPUTED_VALUE"""),"Array;Hash Table;Sliding Window;")</f>
        <v>Array;Hash Table;Sliding Window;</v>
      </c>
      <c r="M220" s="20" t="b">
        <f>IFERROR(__xludf.DUMMYFUNCTION("""COMPUTED_VALUE"""),TRUE)</f>
        <v>1</v>
      </c>
      <c r="N220" s="20" t="b">
        <f>IFERROR(__xludf.DUMMYFUNCTION("""COMPUTED_VALUE"""),FALSE)</f>
        <v>0</v>
      </c>
      <c r="O220" s="20">
        <f>IFERROR(__xludf.DUMMYFUNCTION("""COMPUTED_VALUE"""),42.3628336584653)</f>
        <v>42.36283366</v>
      </c>
      <c r="P220" s="20">
        <f>IFERROR(__xludf.DUMMYFUNCTION("""COMPUTED_VALUE"""),620632.0)</f>
        <v>620632</v>
      </c>
      <c r="Q220" s="20">
        <f>IFERROR(__xludf.DUMMYFUNCTION("""COMPUTED_VALUE"""),1465041.0)</f>
        <v>1465041</v>
      </c>
    </row>
    <row r="221">
      <c r="A221" s="20">
        <f>IFERROR(__xludf.DUMMYFUNCTION("""COMPUTED_VALUE"""),220.0)</f>
        <v>220</v>
      </c>
      <c r="B221" s="20" t="str">
        <f>IFERROR(__xludf.DUMMYFUNCTION("""COMPUTED_VALUE"""),"Contains Duplicate III")</f>
        <v>Contains Duplicate III</v>
      </c>
      <c r="C221" s="20" t="str">
        <f>IFERROR(__xludf.DUMMYFUNCTION("""COMPUTED_VALUE"""),"contains-duplicate-iii")</f>
        <v>contains-duplicate-iii</v>
      </c>
      <c r="D221" s="20" t="b">
        <f>IFERROR(__xludf.DUMMYFUNCTION("""COMPUTED_VALUE"""),FALSE)</f>
        <v>0</v>
      </c>
      <c r="E221" s="20" t="str">
        <f>IFERROR(__xludf.DUMMYFUNCTION("""COMPUTED_VALUE"""),"Hard")</f>
        <v>Hard</v>
      </c>
      <c r="F221" s="20">
        <f>IFERROR(__xludf.DUMMYFUNCTION("""COMPUTED_VALUE"""),364.0)</f>
        <v>364</v>
      </c>
      <c r="G221" s="20">
        <f>IFERROR(__xludf.DUMMYFUNCTION("""COMPUTED_VALUE"""),8.0)</f>
        <v>8</v>
      </c>
      <c r="H221" s="20" t="str">
        <f>IFERROR(__xludf.DUMMYFUNCTION("""COMPUTED_VALUE"""),"Algorithms")</f>
        <v>Algorithms</v>
      </c>
      <c r="I221" s="20">
        <f>IFERROR(__xludf.DUMMYFUNCTION("""COMPUTED_VALUE"""),0.22)</f>
        <v>0.22</v>
      </c>
      <c r="J221" s="20">
        <f>IFERROR(__xludf.DUMMYFUNCTION("""COMPUTED_VALUE"""),220.0)</f>
        <v>220</v>
      </c>
      <c r="K221" s="20" t="b">
        <f>IFERROR(__xludf.DUMMYFUNCTION("""COMPUTED_VALUE"""),FALSE)</f>
        <v>0</v>
      </c>
      <c r="L221" s="20" t="str">
        <f>IFERROR(__xludf.DUMMYFUNCTION("""COMPUTED_VALUE"""),"Array;Sliding Window;Sorting;Bucket Sort;Ordered Set;")</f>
        <v>Array;Sliding Window;Sorting;Bucket Sort;Ordered Set;</v>
      </c>
      <c r="M221" s="20" t="b">
        <f>IFERROR(__xludf.DUMMYFUNCTION("""COMPUTED_VALUE"""),TRUE)</f>
        <v>1</v>
      </c>
      <c r="N221" s="20" t="b">
        <f>IFERROR(__xludf.DUMMYFUNCTION("""COMPUTED_VALUE"""),FALSE)</f>
        <v>0</v>
      </c>
      <c r="O221" s="20">
        <f>IFERROR(__xludf.DUMMYFUNCTION("""COMPUTED_VALUE"""),22.0034686186963)</f>
        <v>22.00346862</v>
      </c>
      <c r="P221" s="20">
        <f>IFERROR(__xludf.DUMMYFUNCTION("""COMPUTED_VALUE"""),222402.0)</f>
        <v>222402</v>
      </c>
      <c r="Q221" s="20">
        <f>IFERROR(__xludf.DUMMYFUNCTION("""COMPUTED_VALUE"""),1010771.0)</f>
        <v>1010771</v>
      </c>
    </row>
    <row r="222">
      <c r="A222" s="20">
        <f>IFERROR(__xludf.DUMMYFUNCTION("""COMPUTED_VALUE"""),221.0)</f>
        <v>221</v>
      </c>
      <c r="B222" s="20" t="str">
        <f>IFERROR(__xludf.DUMMYFUNCTION("""COMPUTED_VALUE"""),"Maximal Square")</f>
        <v>Maximal Square</v>
      </c>
      <c r="C222" s="20" t="str">
        <f>IFERROR(__xludf.DUMMYFUNCTION("""COMPUTED_VALUE"""),"maximal-square")</f>
        <v>maximal-square</v>
      </c>
      <c r="D222" s="20" t="b">
        <f>IFERROR(__xludf.DUMMYFUNCTION("""COMPUTED_VALUE"""),FALSE)</f>
        <v>0</v>
      </c>
      <c r="E222" s="20" t="str">
        <f>IFERROR(__xludf.DUMMYFUNCTION("""COMPUTED_VALUE"""),"Medium")</f>
        <v>Medium</v>
      </c>
      <c r="F222" s="20">
        <f>IFERROR(__xludf.DUMMYFUNCTION("""COMPUTED_VALUE"""),8350.0)</f>
        <v>8350</v>
      </c>
      <c r="G222" s="20">
        <f>IFERROR(__xludf.DUMMYFUNCTION("""COMPUTED_VALUE"""),181.0)</f>
        <v>181</v>
      </c>
      <c r="H222" s="20" t="str">
        <f>IFERROR(__xludf.DUMMYFUNCTION("""COMPUTED_VALUE"""),"Algorithms")</f>
        <v>Algorithms</v>
      </c>
      <c r="I222" s="20">
        <f>IFERROR(__xludf.DUMMYFUNCTION("""COMPUTED_VALUE"""),0.447)</f>
        <v>0.447</v>
      </c>
      <c r="J222" s="20">
        <f>IFERROR(__xludf.DUMMYFUNCTION("""COMPUTED_VALUE"""),221.0)</f>
        <v>221</v>
      </c>
      <c r="K222" s="20" t="b">
        <f>IFERROR(__xludf.DUMMYFUNCTION("""COMPUTED_VALUE"""),FALSE)</f>
        <v>0</v>
      </c>
      <c r="L222" s="20" t="str">
        <f>IFERROR(__xludf.DUMMYFUNCTION("""COMPUTED_VALUE"""),"Array;Dynamic Programming;Matrix;")</f>
        <v>Array;Dynamic Programming;Matrix;</v>
      </c>
      <c r="M222" s="20" t="b">
        <f>IFERROR(__xludf.DUMMYFUNCTION("""COMPUTED_VALUE"""),TRUE)</f>
        <v>1</v>
      </c>
      <c r="N222" s="20" t="b">
        <f>IFERROR(__xludf.DUMMYFUNCTION("""COMPUTED_VALUE"""),FALSE)</f>
        <v>0</v>
      </c>
      <c r="O222" s="20">
        <f>IFERROR(__xludf.DUMMYFUNCTION("""COMPUTED_VALUE"""),44.6667630591769)</f>
        <v>44.66676306</v>
      </c>
      <c r="P222" s="20">
        <f>IFERROR(__xludf.DUMMYFUNCTION("""COMPUTED_VALUE"""),556060.0)</f>
        <v>556060</v>
      </c>
      <c r="Q222" s="20">
        <f>IFERROR(__xludf.DUMMYFUNCTION("""COMPUTED_VALUE"""),1244908.0)</f>
        <v>1244908</v>
      </c>
    </row>
    <row r="223">
      <c r="A223" s="20">
        <f>IFERROR(__xludf.DUMMYFUNCTION("""COMPUTED_VALUE"""),222.0)</f>
        <v>222</v>
      </c>
      <c r="B223" s="20" t="str">
        <f>IFERROR(__xludf.DUMMYFUNCTION("""COMPUTED_VALUE"""),"Count Complete Tree Nodes")</f>
        <v>Count Complete Tree Nodes</v>
      </c>
      <c r="C223" s="20" t="str">
        <f>IFERROR(__xludf.DUMMYFUNCTION("""COMPUTED_VALUE"""),"count-complete-tree-nodes")</f>
        <v>count-complete-tree-nodes</v>
      </c>
      <c r="D223" s="20" t="b">
        <f>IFERROR(__xludf.DUMMYFUNCTION("""COMPUTED_VALUE"""),FALSE)</f>
        <v>0</v>
      </c>
      <c r="E223" s="20" t="str">
        <f>IFERROR(__xludf.DUMMYFUNCTION("""COMPUTED_VALUE"""),"Medium")</f>
        <v>Medium</v>
      </c>
      <c r="F223" s="20">
        <f>IFERROR(__xludf.DUMMYFUNCTION("""COMPUTED_VALUE"""),6930.0)</f>
        <v>6930</v>
      </c>
      <c r="G223" s="20">
        <f>IFERROR(__xludf.DUMMYFUNCTION("""COMPUTED_VALUE"""),391.0)</f>
        <v>391</v>
      </c>
      <c r="H223" s="20" t="str">
        <f>IFERROR(__xludf.DUMMYFUNCTION("""COMPUTED_VALUE"""),"Algorithms")</f>
        <v>Algorithms</v>
      </c>
      <c r="I223" s="20">
        <f>IFERROR(__xludf.DUMMYFUNCTION("""COMPUTED_VALUE"""),0.599)</f>
        <v>0.599</v>
      </c>
      <c r="J223" s="20">
        <f>IFERROR(__xludf.DUMMYFUNCTION("""COMPUTED_VALUE"""),222.0)</f>
        <v>222</v>
      </c>
      <c r="K223" s="20" t="b">
        <f>IFERROR(__xludf.DUMMYFUNCTION("""COMPUTED_VALUE"""),FALSE)</f>
        <v>0</v>
      </c>
      <c r="L223" s="20" t="str">
        <f>IFERROR(__xludf.DUMMYFUNCTION("""COMPUTED_VALUE"""),"Binary Search;Tree;Depth-First Search;Binary Tree;")</f>
        <v>Binary Search;Tree;Depth-First Search;Binary Tree;</v>
      </c>
      <c r="M223" s="20" t="b">
        <f>IFERROR(__xludf.DUMMYFUNCTION("""COMPUTED_VALUE"""),TRUE)</f>
        <v>1</v>
      </c>
      <c r="N223" s="20" t="b">
        <f>IFERROR(__xludf.DUMMYFUNCTION("""COMPUTED_VALUE"""),FALSE)</f>
        <v>0</v>
      </c>
      <c r="O223" s="20">
        <f>IFERROR(__xludf.DUMMYFUNCTION("""COMPUTED_VALUE"""),59.9440618778007)</f>
        <v>59.94406188</v>
      </c>
      <c r="P223" s="20">
        <f>IFERROR(__xludf.DUMMYFUNCTION("""COMPUTED_VALUE"""),519946.0)</f>
        <v>519946</v>
      </c>
      <c r="Q223" s="20">
        <f>IFERROR(__xludf.DUMMYFUNCTION("""COMPUTED_VALUE"""),867385.0)</f>
        <v>867385</v>
      </c>
    </row>
    <row r="224">
      <c r="A224" s="20">
        <f>IFERROR(__xludf.DUMMYFUNCTION("""COMPUTED_VALUE"""),223.0)</f>
        <v>223</v>
      </c>
      <c r="B224" s="20" t="str">
        <f>IFERROR(__xludf.DUMMYFUNCTION("""COMPUTED_VALUE"""),"Rectangle Area")</f>
        <v>Rectangle Area</v>
      </c>
      <c r="C224" s="20" t="str">
        <f>IFERROR(__xludf.DUMMYFUNCTION("""COMPUTED_VALUE"""),"rectangle-area")</f>
        <v>rectangle-area</v>
      </c>
      <c r="D224" s="20" t="b">
        <f>IFERROR(__xludf.DUMMYFUNCTION("""COMPUTED_VALUE"""),FALSE)</f>
        <v>0</v>
      </c>
      <c r="E224" s="20" t="str">
        <f>IFERROR(__xludf.DUMMYFUNCTION("""COMPUTED_VALUE"""),"Medium")</f>
        <v>Medium</v>
      </c>
      <c r="F224" s="20">
        <f>IFERROR(__xludf.DUMMYFUNCTION("""COMPUTED_VALUE"""),1703.0)</f>
        <v>1703</v>
      </c>
      <c r="G224" s="20">
        <f>IFERROR(__xludf.DUMMYFUNCTION("""COMPUTED_VALUE"""),1544.0)</f>
        <v>1544</v>
      </c>
      <c r="H224" s="20" t="str">
        <f>IFERROR(__xludf.DUMMYFUNCTION("""COMPUTED_VALUE"""),"Algorithms")</f>
        <v>Algorithms</v>
      </c>
      <c r="I224" s="20">
        <f>IFERROR(__xludf.DUMMYFUNCTION("""COMPUTED_VALUE"""),0.45)</f>
        <v>0.45</v>
      </c>
      <c r="J224" s="20">
        <f>IFERROR(__xludf.DUMMYFUNCTION("""COMPUTED_VALUE"""),223.0)</f>
        <v>223</v>
      </c>
      <c r="K224" s="20" t="b">
        <f>IFERROR(__xludf.DUMMYFUNCTION("""COMPUTED_VALUE"""),FALSE)</f>
        <v>0</v>
      </c>
      <c r="L224" s="20" t="str">
        <f>IFERROR(__xludf.DUMMYFUNCTION("""COMPUTED_VALUE"""),"Math;Geometry;")</f>
        <v>Math;Geometry;</v>
      </c>
      <c r="M224" s="20" t="b">
        <f>IFERROR(__xludf.DUMMYFUNCTION("""COMPUTED_VALUE"""),TRUE)</f>
        <v>1</v>
      </c>
      <c r="N224" s="20" t="b">
        <f>IFERROR(__xludf.DUMMYFUNCTION("""COMPUTED_VALUE"""),FALSE)</f>
        <v>0</v>
      </c>
      <c r="O224" s="20">
        <f>IFERROR(__xludf.DUMMYFUNCTION("""COMPUTED_VALUE"""),44.9664941659614)</f>
        <v>44.96649417</v>
      </c>
      <c r="P224" s="20">
        <f>IFERROR(__xludf.DUMMYFUNCTION("""COMPUTED_VALUE"""),194463.0)</f>
        <v>194463</v>
      </c>
      <c r="Q224" s="20">
        <f>IFERROR(__xludf.DUMMYFUNCTION("""COMPUTED_VALUE"""),432462.0)</f>
        <v>432462</v>
      </c>
    </row>
    <row r="225">
      <c r="A225" s="20">
        <f>IFERROR(__xludf.DUMMYFUNCTION("""COMPUTED_VALUE"""),224.0)</f>
        <v>224</v>
      </c>
      <c r="B225" s="20" t="str">
        <f>IFERROR(__xludf.DUMMYFUNCTION("""COMPUTED_VALUE"""),"Basic Calculator")</f>
        <v>Basic Calculator</v>
      </c>
      <c r="C225" s="20" t="str">
        <f>IFERROR(__xludf.DUMMYFUNCTION("""COMPUTED_VALUE"""),"basic-calculator")</f>
        <v>basic-calculator</v>
      </c>
      <c r="D225" s="20" t="b">
        <f>IFERROR(__xludf.DUMMYFUNCTION("""COMPUTED_VALUE"""),FALSE)</f>
        <v>0</v>
      </c>
      <c r="E225" s="20" t="str">
        <f>IFERROR(__xludf.DUMMYFUNCTION("""COMPUTED_VALUE"""),"Hard")</f>
        <v>Hard</v>
      </c>
      <c r="F225" s="20">
        <f>IFERROR(__xludf.DUMMYFUNCTION("""COMPUTED_VALUE"""),5088.0)</f>
        <v>5088</v>
      </c>
      <c r="G225" s="20">
        <f>IFERROR(__xludf.DUMMYFUNCTION("""COMPUTED_VALUE"""),381.0)</f>
        <v>381</v>
      </c>
      <c r="H225" s="20" t="str">
        <f>IFERROR(__xludf.DUMMYFUNCTION("""COMPUTED_VALUE"""),"Algorithms")</f>
        <v>Algorithms</v>
      </c>
      <c r="I225" s="20">
        <f>IFERROR(__xludf.DUMMYFUNCTION("""COMPUTED_VALUE"""),0.423)</f>
        <v>0.423</v>
      </c>
      <c r="J225" s="20">
        <f>IFERROR(__xludf.DUMMYFUNCTION("""COMPUTED_VALUE"""),224.0)</f>
        <v>224</v>
      </c>
      <c r="K225" s="20" t="b">
        <f>IFERROR(__xludf.DUMMYFUNCTION("""COMPUTED_VALUE"""),FALSE)</f>
        <v>0</v>
      </c>
      <c r="L225" s="20" t="str">
        <f>IFERROR(__xludf.DUMMYFUNCTION("""COMPUTED_VALUE"""),"Math;String;Stack;Recursion;")</f>
        <v>Math;String;Stack;Recursion;</v>
      </c>
      <c r="M225" s="20" t="b">
        <f>IFERROR(__xludf.DUMMYFUNCTION("""COMPUTED_VALUE"""),TRUE)</f>
        <v>1</v>
      </c>
      <c r="N225" s="20" t="b">
        <f>IFERROR(__xludf.DUMMYFUNCTION("""COMPUTED_VALUE"""),FALSE)</f>
        <v>0</v>
      </c>
      <c r="O225" s="20">
        <f>IFERROR(__xludf.DUMMYFUNCTION("""COMPUTED_VALUE"""),42.3042643710441)</f>
        <v>42.30426437</v>
      </c>
      <c r="P225" s="20">
        <f>IFERROR(__xludf.DUMMYFUNCTION("""COMPUTED_VALUE"""),364535.0)</f>
        <v>364535</v>
      </c>
      <c r="Q225" s="20">
        <f>IFERROR(__xludf.DUMMYFUNCTION("""COMPUTED_VALUE"""),861698.0)</f>
        <v>861698</v>
      </c>
    </row>
    <row r="226">
      <c r="A226" s="20">
        <f>IFERROR(__xludf.DUMMYFUNCTION("""COMPUTED_VALUE"""),225.0)</f>
        <v>225</v>
      </c>
      <c r="B226" s="20" t="str">
        <f>IFERROR(__xludf.DUMMYFUNCTION("""COMPUTED_VALUE"""),"Implement Stack using Queues")</f>
        <v>Implement Stack using Queues</v>
      </c>
      <c r="C226" s="20" t="str">
        <f>IFERROR(__xludf.DUMMYFUNCTION("""COMPUTED_VALUE"""),"implement-stack-using-queues")</f>
        <v>implement-stack-using-queues</v>
      </c>
      <c r="D226" s="20" t="b">
        <f>IFERROR(__xludf.DUMMYFUNCTION("""COMPUTED_VALUE"""),FALSE)</f>
        <v>0</v>
      </c>
      <c r="E226" s="20" t="str">
        <f>IFERROR(__xludf.DUMMYFUNCTION("""COMPUTED_VALUE"""),"Easy")</f>
        <v>Easy</v>
      </c>
      <c r="F226" s="20">
        <f>IFERROR(__xludf.DUMMYFUNCTION("""COMPUTED_VALUE"""),3836.0)</f>
        <v>3836</v>
      </c>
      <c r="G226" s="20">
        <f>IFERROR(__xludf.DUMMYFUNCTION("""COMPUTED_VALUE"""),943.0)</f>
        <v>943</v>
      </c>
      <c r="H226" s="20" t="str">
        <f>IFERROR(__xludf.DUMMYFUNCTION("""COMPUTED_VALUE"""),"Algorithms")</f>
        <v>Algorithms</v>
      </c>
      <c r="I226" s="20">
        <f>IFERROR(__xludf.DUMMYFUNCTION("""COMPUTED_VALUE"""),0.58)</f>
        <v>0.58</v>
      </c>
      <c r="J226" s="20">
        <f>IFERROR(__xludf.DUMMYFUNCTION("""COMPUTED_VALUE"""),225.0)</f>
        <v>225</v>
      </c>
      <c r="K226" s="20" t="b">
        <f>IFERROR(__xludf.DUMMYFUNCTION("""COMPUTED_VALUE"""),FALSE)</f>
        <v>0</v>
      </c>
      <c r="L226" s="20" t="str">
        <f>IFERROR(__xludf.DUMMYFUNCTION("""COMPUTED_VALUE"""),"Stack;Design;Queue;")</f>
        <v>Stack;Design;Queue;</v>
      </c>
      <c r="M226" s="20" t="b">
        <f>IFERROR(__xludf.DUMMYFUNCTION("""COMPUTED_VALUE"""),TRUE)</f>
        <v>1</v>
      </c>
      <c r="N226" s="20" t="b">
        <f>IFERROR(__xludf.DUMMYFUNCTION("""COMPUTED_VALUE"""),FALSE)</f>
        <v>0</v>
      </c>
      <c r="O226" s="20">
        <f>IFERROR(__xludf.DUMMYFUNCTION("""COMPUTED_VALUE"""),57.9609968322085)</f>
        <v>57.96099683</v>
      </c>
      <c r="P226" s="20">
        <f>IFERROR(__xludf.DUMMYFUNCTION("""COMPUTED_VALUE"""),411126.0)</f>
        <v>411126</v>
      </c>
      <c r="Q226" s="20">
        <f>IFERROR(__xludf.DUMMYFUNCTION("""COMPUTED_VALUE"""),709314.0)</f>
        <v>709314</v>
      </c>
    </row>
    <row r="227">
      <c r="A227" s="20">
        <f>IFERROR(__xludf.DUMMYFUNCTION("""COMPUTED_VALUE"""),226.0)</f>
        <v>226</v>
      </c>
      <c r="B227" s="20" t="str">
        <f>IFERROR(__xludf.DUMMYFUNCTION("""COMPUTED_VALUE"""),"Invert Binary Tree")</f>
        <v>Invert Binary Tree</v>
      </c>
      <c r="C227" s="20" t="str">
        <f>IFERROR(__xludf.DUMMYFUNCTION("""COMPUTED_VALUE"""),"invert-binary-tree")</f>
        <v>invert-binary-tree</v>
      </c>
      <c r="D227" s="20" t="b">
        <f>IFERROR(__xludf.DUMMYFUNCTION("""COMPUTED_VALUE"""),FALSE)</f>
        <v>0</v>
      </c>
      <c r="E227" s="20" t="str">
        <f>IFERROR(__xludf.DUMMYFUNCTION("""COMPUTED_VALUE"""),"Easy")</f>
        <v>Easy</v>
      </c>
      <c r="F227" s="20">
        <f>IFERROR(__xludf.DUMMYFUNCTION("""COMPUTED_VALUE"""),10568.0)</f>
        <v>10568</v>
      </c>
      <c r="G227" s="20">
        <f>IFERROR(__xludf.DUMMYFUNCTION("""COMPUTED_VALUE"""),151.0)</f>
        <v>151</v>
      </c>
      <c r="H227" s="20" t="str">
        <f>IFERROR(__xludf.DUMMYFUNCTION("""COMPUTED_VALUE"""),"Algorithms")</f>
        <v>Algorithms</v>
      </c>
      <c r="I227" s="20">
        <f>IFERROR(__xludf.DUMMYFUNCTION("""COMPUTED_VALUE"""),0.735)</f>
        <v>0.735</v>
      </c>
      <c r="J227" s="20">
        <f>IFERROR(__xludf.DUMMYFUNCTION("""COMPUTED_VALUE"""),226.0)</f>
        <v>226</v>
      </c>
      <c r="K227" s="20" t="b">
        <f>IFERROR(__xludf.DUMMYFUNCTION("""COMPUTED_VALUE"""),FALSE)</f>
        <v>0</v>
      </c>
      <c r="L227" s="20" t="str">
        <f>IFERROR(__xludf.DUMMYFUNCTION("""COMPUTED_VALUE"""),"Tree;Depth-First Search;Breadth-First Search;Binary Tree;")</f>
        <v>Tree;Depth-First Search;Breadth-First Search;Binary Tree;</v>
      </c>
      <c r="M227" s="20" t="b">
        <f>IFERROR(__xludf.DUMMYFUNCTION("""COMPUTED_VALUE"""),TRUE)</f>
        <v>1</v>
      </c>
      <c r="N227" s="20" t="b">
        <f>IFERROR(__xludf.DUMMYFUNCTION("""COMPUTED_VALUE"""),TRUE)</f>
        <v>1</v>
      </c>
      <c r="O227" s="20">
        <f>IFERROR(__xludf.DUMMYFUNCTION("""COMPUTED_VALUE"""),73.5191982360845)</f>
        <v>73.51919824</v>
      </c>
      <c r="P227" s="20">
        <f>IFERROR(__xludf.DUMMYFUNCTION("""COMPUTED_VALUE"""),1352406.0)</f>
        <v>1352406</v>
      </c>
      <c r="Q227" s="20">
        <f>IFERROR(__xludf.DUMMYFUNCTION("""COMPUTED_VALUE"""),1839532.0)</f>
        <v>1839532</v>
      </c>
    </row>
    <row r="228">
      <c r="A228" s="20">
        <f>IFERROR(__xludf.DUMMYFUNCTION("""COMPUTED_VALUE"""),227.0)</f>
        <v>227</v>
      </c>
      <c r="B228" s="20" t="str">
        <f>IFERROR(__xludf.DUMMYFUNCTION("""COMPUTED_VALUE"""),"Basic Calculator II")</f>
        <v>Basic Calculator II</v>
      </c>
      <c r="C228" s="20" t="str">
        <f>IFERROR(__xludf.DUMMYFUNCTION("""COMPUTED_VALUE"""),"basic-calculator-ii")</f>
        <v>basic-calculator-ii</v>
      </c>
      <c r="D228" s="20" t="b">
        <f>IFERROR(__xludf.DUMMYFUNCTION("""COMPUTED_VALUE"""),FALSE)</f>
        <v>0</v>
      </c>
      <c r="E228" s="20" t="str">
        <f>IFERROR(__xludf.DUMMYFUNCTION("""COMPUTED_VALUE"""),"Medium")</f>
        <v>Medium</v>
      </c>
      <c r="F228" s="20">
        <f>IFERROR(__xludf.DUMMYFUNCTION("""COMPUTED_VALUE"""),5158.0)</f>
        <v>5158</v>
      </c>
      <c r="G228" s="20">
        <f>IFERROR(__xludf.DUMMYFUNCTION("""COMPUTED_VALUE"""),664.0)</f>
        <v>664</v>
      </c>
      <c r="H228" s="20" t="str">
        <f>IFERROR(__xludf.DUMMYFUNCTION("""COMPUTED_VALUE"""),"Algorithms")</f>
        <v>Algorithms</v>
      </c>
      <c r="I228" s="20">
        <f>IFERROR(__xludf.DUMMYFUNCTION("""COMPUTED_VALUE"""),0.423)</f>
        <v>0.423</v>
      </c>
      <c r="J228" s="20">
        <f>IFERROR(__xludf.DUMMYFUNCTION("""COMPUTED_VALUE"""),227.0)</f>
        <v>227</v>
      </c>
      <c r="K228" s="20" t="b">
        <f>IFERROR(__xludf.DUMMYFUNCTION("""COMPUTED_VALUE"""),FALSE)</f>
        <v>0</v>
      </c>
      <c r="L228" s="20" t="str">
        <f>IFERROR(__xludf.DUMMYFUNCTION("""COMPUTED_VALUE"""),"Math;String;Stack;")</f>
        <v>Math;String;Stack;</v>
      </c>
      <c r="M228" s="20" t="b">
        <f>IFERROR(__xludf.DUMMYFUNCTION("""COMPUTED_VALUE"""),TRUE)</f>
        <v>1</v>
      </c>
      <c r="N228" s="20" t="b">
        <f>IFERROR(__xludf.DUMMYFUNCTION("""COMPUTED_VALUE"""),FALSE)</f>
        <v>0</v>
      </c>
      <c r="O228" s="20">
        <f>IFERROR(__xludf.DUMMYFUNCTION("""COMPUTED_VALUE"""),42.3028300469886)</f>
        <v>42.30283005</v>
      </c>
      <c r="P228" s="20">
        <f>IFERROR(__xludf.DUMMYFUNCTION("""COMPUTED_VALUE"""),492900.0)</f>
        <v>492900</v>
      </c>
      <c r="Q228" s="20">
        <f>IFERROR(__xludf.DUMMYFUNCTION("""COMPUTED_VALUE"""),1165171.0)</f>
        <v>1165171</v>
      </c>
    </row>
    <row r="229">
      <c r="A229" s="20">
        <f>IFERROR(__xludf.DUMMYFUNCTION("""COMPUTED_VALUE"""),228.0)</f>
        <v>228</v>
      </c>
      <c r="B229" s="20" t="str">
        <f>IFERROR(__xludf.DUMMYFUNCTION("""COMPUTED_VALUE"""),"Summary Ranges")</f>
        <v>Summary Ranges</v>
      </c>
      <c r="C229" s="20" t="str">
        <f>IFERROR(__xludf.DUMMYFUNCTION("""COMPUTED_VALUE"""),"summary-ranges")</f>
        <v>summary-ranges</v>
      </c>
      <c r="D229" s="20" t="b">
        <f>IFERROR(__xludf.DUMMYFUNCTION("""COMPUTED_VALUE"""),FALSE)</f>
        <v>0</v>
      </c>
      <c r="E229" s="20" t="str">
        <f>IFERROR(__xludf.DUMMYFUNCTION("""COMPUTED_VALUE"""),"Easy")</f>
        <v>Easy</v>
      </c>
      <c r="F229" s="20">
        <f>IFERROR(__xludf.DUMMYFUNCTION("""COMPUTED_VALUE"""),2389.0)</f>
        <v>2389</v>
      </c>
      <c r="G229" s="20">
        <f>IFERROR(__xludf.DUMMYFUNCTION("""COMPUTED_VALUE"""),1300.0)</f>
        <v>1300</v>
      </c>
      <c r="H229" s="20" t="str">
        <f>IFERROR(__xludf.DUMMYFUNCTION("""COMPUTED_VALUE"""),"Algorithms")</f>
        <v>Algorithms</v>
      </c>
      <c r="I229" s="20">
        <f>IFERROR(__xludf.DUMMYFUNCTION("""COMPUTED_VALUE"""),0.469)</f>
        <v>0.469</v>
      </c>
      <c r="J229" s="20">
        <f>IFERROR(__xludf.DUMMYFUNCTION("""COMPUTED_VALUE"""),228.0)</f>
        <v>228</v>
      </c>
      <c r="K229" s="20" t="b">
        <f>IFERROR(__xludf.DUMMYFUNCTION("""COMPUTED_VALUE"""),FALSE)</f>
        <v>0</v>
      </c>
      <c r="L229" s="20" t="str">
        <f>IFERROR(__xludf.DUMMYFUNCTION("""COMPUTED_VALUE"""),"Array;")</f>
        <v>Array;</v>
      </c>
      <c r="M229" s="20" t="b">
        <f>IFERROR(__xludf.DUMMYFUNCTION("""COMPUTED_VALUE"""),TRUE)</f>
        <v>1</v>
      </c>
      <c r="N229" s="20" t="b">
        <f>IFERROR(__xludf.DUMMYFUNCTION("""COMPUTED_VALUE"""),FALSE)</f>
        <v>0</v>
      </c>
      <c r="O229" s="20">
        <f>IFERROR(__xludf.DUMMYFUNCTION("""COMPUTED_VALUE"""),46.9452317373217)</f>
        <v>46.94523174</v>
      </c>
      <c r="P229" s="20">
        <f>IFERROR(__xludf.DUMMYFUNCTION("""COMPUTED_VALUE"""),326467.0)</f>
        <v>326467</v>
      </c>
      <c r="Q229" s="20">
        <f>IFERROR(__xludf.DUMMYFUNCTION("""COMPUTED_VALUE"""),695420.0)</f>
        <v>695420</v>
      </c>
    </row>
    <row r="230">
      <c r="A230" s="20">
        <f>IFERROR(__xludf.DUMMYFUNCTION("""COMPUTED_VALUE"""),229.0)</f>
        <v>229</v>
      </c>
      <c r="B230" s="20" t="str">
        <f>IFERROR(__xludf.DUMMYFUNCTION("""COMPUTED_VALUE"""),"Majority Element II")</f>
        <v>Majority Element II</v>
      </c>
      <c r="C230" s="20" t="str">
        <f>IFERROR(__xludf.DUMMYFUNCTION("""COMPUTED_VALUE"""),"majority-element-ii")</f>
        <v>majority-element-ii</v>
      </c>
      <c r="D230" s="20" t="b">
        <f>IFERROR(__xludf.DUMMYFUNCTION("""COMPUTED_VALUE"""),FALSE)</f>
        <v>0</v>
      </c>
      <c r="E230" s="20" t="str">
        <f>IFERROR(__xludf.DUMMYFUNCTION("""COMPUTED_VALUE"""),"Medium")</f>
        <v>Medium</v>
      </c>
      <c r="F230" s="20">
        <f>IFERROR(__xludf.DUMMYFUNCTION("""COMPUTED_VALUE"""),6523.0)</f>
        <v>6523</v>
      </c>
      <c r="G230" s="20">
        <f>IFERROR(__xludf.DUMMYFUNCTION("""COMPUTED_VALUE"""),323.0)</f>
        <v>323</v>
      </c>
      <c r="H230" s="20" t="str">
        <f>IFERROR(__xludf.DUMMYFUNCTION("""COMPUTED_VALUE"""),"Algorithms")</f>
        <v>Algorithms</v>
      </c>
      <c r="I230" s="20">
        <f>IFERROR(__xludf.DUMMYFUNCTION("""COMPUTED_VALUE"""),0.444)</f>
        <v>0.444</v>
      </c>
      <c r="J230" s="20">
        <f>IFERROR(__xludf.DUMMYFUNCTION("""COMPUTED_VALUE"""),229.0)</f>
        <v>229</v>
      </c>
      <c r="K230" s="20" t="b">
        <f>IFERROR(__xludf.DUMMYFUNCTION("""COMPUTED_VALUE"""),FALSE)</f>
        <v>0</v>
      </c>
      <c r="L230" s="20" t="str">
        <f>IFERROR(__xludf.DUMMYFUNCTION("""COMPUTED_VALUE"""),"Array;Hash Table;Sorting;Counting;")</f>
        <v>Array;Hash Table;Sorting;Counting;</v>
      </c>
      <c r="M230" s="20" t="b">
        <f>IFERROR(__xludf.DUMMYFUNCTION("""COMPUTED_VALUE"""),TRUE)</f>
        <v>1</v>
      </c>
      <c r="N230" s="20" t="b">
        <f>IFERROR(__xludf.DUMMYFUNCTION("""COMPUTED_VALUE"""),FALSE)</f>
        <v>0</v>
      </c>
      <c r="O230" s="20">
        <f>IFERROR(__xludf.DUMMYFUNCTION("""COMPUTED_VALUE"""),44.4069195659505)</f>
        <v>44.40691957</v>
      </c>
      <c r="P230" s="20">
        <f>IFERROR(__xludf.DUMMYFUNCTION("""COMPUTED_VALUE"""),364747.0)</f>
        <v>364747</v>
      </c>
      <c r="Q230" s="20">
        <f>IFERROR(__xludf.DUMMYFUNCTION("""COMPUTED_VALUE"""),821372.0)</f>
        <v>821372</v>
      </c>
    </row>
    <row r="231">
      <c r="A231" s="20">
        <f>IFERROR(__xludf.DUMMYFUNCTION("""COMPUTED_VALUE"""),230.0)</f>
        <v>230</v>
      </c>
      <c r="B231" s="20" t="str">
        <f>IFERROR(__xludf.DUMMYFUNCTION("""COMPUTED_VALUE"""),"Kth Smallest Element in a BST")</f>
        <v>Kth Smallest Element in a BST</v>
      </c>
      <c r="C231" s="20" t="str">
        <f>IFERROR(__xludf.DUMMYFUNCTION("""COMPUTED_VALUE"""),"kth-smallest-element-in-a-bst")</f>
        <v>kth-smallest-element-in-a-bst</v>
      </c>
      <c r="D231" s="20" t="b">
        <f>IFERROR(__xludf.DUMMYFUNCTION("""COMPUTED_VALUE"""),FALSE)</f>
        <v>0</v>
      </c>
      <c r="E231" s="20" t="str">
        <f>IFERROR(__xludf.DUMMYFUNCTION("""COMPUTED_VALUE"""),"Medium")</f>
        <v>Medium</v>
      </c>
      <c r="F231" s="20">
        <f>IFERROR(__xludf.DUMMYFUNCTION("""COMPUTED_VALUE"""),8945.0)</f>
        <v>8945</v>
      </c>
      <c r="G231" s="20">
        <f>IFERROR(__xludf.DUMMYFUNCTION("""COMPUTED_VALUE"""),160.0)</f>
        <v>160</v>
      </c>
      <c r="H231" s="20" t="str">
        <f>IFERROR(__xludf.DUMMYFUNCTION("""COMPUTED_VALUE"""),"Algorithms")</f>
        <v>Algorithms</v>
      </c>
      <c r="I231" s="20">
        <f>IFERROR(__xludf.DUMMYFUNCTION("""COMPUTED_VALUE"""),0.696)</f>
        <v>0.696</v>
      </c>
      <c r="J231" s="20">
        <f>IFERROR(__xludf.DUMMYFUNCTION("""COMPUTED_VALUE"""),230.0)</f>
        <v>230</v>
      </c>
      <c r="K231" s="20" t="b">
        <f>IFERROR(__xludf.DUMMYFUNCTION("""COMPUTED_VALUE"""),FALSE)</f>
        <v>0</v>
      </c>
      <c r="L231" s="20" t="str">
        <f>IFERROR(__xludf.DUMMYFUNCTION("""COMPUTED_VALUE"""),"Tree;Depth-First Search;Binary Search Tree;Binary Tree;")</f>
        <v>Tree;Depth-First Search;Binary Search Tree;Binary Tree;</v>
      </c>
      <c r="M231" s="20" t="b">
        <f>IFERROR(__xludf.DUMMYFUNCTION("""COMPUTED_VALUE"""),TRUE)</f>
        <v>1</v>
      </c>
      <c r="N231" s="20" t="b">
        <f>IFERROR(__xludf.DUMMYFUNCTION("""COMPUTED_VALUE"""),FALSE)</f>
        <v>0</v>
      </c>
      <c r="O231" s="20">
        <f>IFERROR(__xludf.DUMMYFUNCTION("""COMPUTED_VALUE"""),69.5870124098964)</f>
        <v>69.58701241</v>
      </c>
      <c r="P231" s="20">
        <f>IFERROR(__xludf.DUMMYFUNCTION("""COMPUTED_VALUE"""),999061.0)</f>
        <v>999061</v>
      </c>
      <c r="Q231" s="20">
        <f>IFERROR(__xludf.DUMMYFUNCTION("""COMPUTED_VALUE"""),1435703.0)</f>
        <v>1435703</v>
      </c>
    </row>
    <row r="232">
      <c r="A232" s="20">
        <f>IFERROR(__xludf.DUMMYFUNCTION("""COMPUTED_VALUE"""),231.0)</f>
        <v>231</v>
      </c>
      <c r="B232" s="20" t="str">
        <f>IFERROR(__xludf.DUMMYFUNCTION("""COMPUTED_VALUE"""),"Power of Two")</f>
        <v>Power of Two</v>
      </c>
      <c r="C232" s="20" t="str">
        <f>IFERROR(__xludf.DUMMYFUNCTION("""COMPUTED_VALUE"""),"power-of-two")</f>
        <v>power-of-two</v>
      </c>
      <c r="D232" s="20" t="b">
        <f>IFERROR(__xludf.DUMMYFUNCTION("""COMPUTED_VALUE"""),FALSE)</f>
        <v>0</v>
      </c>
      <c r="E232" s="20" t="str">
        <f>IFERROR(__xludf.DUMMYFUNCTION("""COMPUTED_VALUE"""),"Easy")</f>
        <v>Easy</v>
      </c>
      <c r="F232" s="20">
        <f>IFERROR(__xludf.DUMMYFUNCTION("""COMPUTED_VALUE"""),4565.0)</f>
        <v>4565</v>
      </c>
      <c r="G232" s="20">
        <f>IFERROR(__xludf.DUMMYFUNCTION("""COMPUTED_VALUE"""),337.0)</f>
        <v>337</v>
      </c>
      <c r="H232" s="20" t="str">
        <f>IFERROR(__xludf.DUMMYFUNCTION("""COMPUTED_VALUE"""),"Algorithms")</f>
        <v>Algorithms</v>
      </c>
      <c r="I232" s="20">
        <f>IFERROR(__xludf.DUMMYFUNCTION("""COMPUTED_VALUE"""),0.458)</f>
        <v>0.458</v>
      </c>
      <c r="J232" s="20">
        <f>IFERROR(__xludf.DUMMYFUNCTION("""COMPUTED_VALUE"""),231.0)</f>
        <v>231</v>
      </c>
      <c r="K232" s="20" t="b">
        <f>IFERROR(__xludf.DUMMYFUNCTION("""COMPUTED_VALUE"""),FALSE)</f>
        <v>0</v>
      </c>
      <c r="L232" s="20" t="str">
        <f>IFERROR(__xludf.DUMMYFUNCTION("""COMPUTED_VALUE"""),"Math;Bit Manipulation;Recursion;")</f>
        <v>Math;Bit Manipulation;Recursion;</v>
      </c>
      <c r="M232" s="20" t="b">
        <f>IFERROR(__xludf.DUMMYFUNCTION("""COMPUTED_VALUE"""),TRUE)</f>
        <v>1</v>
      </c>
      <c r="N232" s="20" t="b">
        <f>IFERROR(__xludf.DUMMYFUNCTION("""COMPUTED_VALUE"""),FALSE)</f>
        <v>0</v>
      </c>
      <c r="O232" s="20">
        <f>IFERROR(__xludf.DUMMYFUNCTION("""COMPUTED_VALUE"""),45.7777749726451)</f>
        <v>45.77777497</v>
      </c>
      <c r="P232" s="20">
        <f>IFERROR(__xludf.DUMMYFUNCTION("""COMPUTED_VALUE"""),797818.0)</f>
        <v>797818</v>
      </c>
      <c r="Q232" s="20">
        <f>IFERROR(__xludf.DUMMYFUNCTION("""COMPUTED_VALUE"""),1742809.0)</f>
        <v>1742809</v>
      </c>
    </row>
    <row r="233">
      <c r="A233" s="20">
        <f>IFERROR(__xludf.DUMMYFUNCTION("""COMPUTED_VALUE"""),232.0)</f>
        <v>232</v>
      </c>
      <c r="B233" s="20" t="str">
        <f>IFERROR(__xludf.DUMMYFUNCTION("""COMPUTED_VALUE"""),"Implement Queue using Stacks")</f>
        <v>Implement Queue using Stacks</v>
      </c>
      <c r="C233" s="20" t="str">
        <f>IFERROR(__xludf.DUMMYFUNCTION("""COMPUTED_VALUE"""),"implement-queue-using-stacks")</f>
        <v>implement-queue-using-stacks</v>
      </c>
      <c r="D233" s="20" t="b">
        <f>IFERROR(__xludf.DUMMYFUNCTION("""COMPUTED_VALUE"""),FALSE)</f>
        <v>0</v>
      </c>
      <c r="E233" s="20" t="str">
        <f>IFERROR(__xludf.DUMMYFUNCTION("""COMPUTED_VALUE"""),"Easy")</f>
        <v>Easy</v>
      </c>
      <c r="F233" s="20">
        <f>IFERROR(__xludf.DUMMYFUNCTION("""COMPUTED_VALUE"""),5401.0)</f>
        <v>5401</v>
      </c>
      <c r="G233" s="20">
        <f>IFERROR(__xludf.DUMMYFUNCTION("""COMPUTED_VALUE"""),317.0)</f>
        <v>317</v>
      </c>
      <c r="H233" s="20" t="str">
        <f>IFERROR(__xludf.DUMMYFUNCTION("""COMPUTED_VALUE"""),"Algorithms")</f>
        <v>Algorithms</v>
      </c>
      <c r="I233" s="20">
        <f>IFERROR(__xludf.DUMMYFUNCTION("""COMPUTED_VALUE"""),0.626)</f>
        <v>0.626</v>
      </c>
      <c r="J233" s="20">
        <f>IFERROR(__xludf.DUMMYFUNCTION("""COMPUTED_VALUE"""),232.0)</f>
        <v>232</v>
      </c>
      <c r="K233" s="20" t="b">
        <f>IFERROR(__xludf.DUMMYFUNCTION("""COMPUTED_VALUE"""),FALSE)</f>
        <v>0</v>
      </c>
      <c r="L233" s="20" t="str">
        <f>IFERROR(__xludf.DUMMYFUNCTION("""COMPUTED_VALUE"""),"Stack;Design;Queue;")</f>
        <v>Stack;Design;Queue;</v>
      </c>
      <c r="M233" s="20" t="b">
        <f>IFERROR(__xludf.DUMMYFUNCTION("""COMPUTED_VALUE"""),TRUE)</f>
        <v>1</v>
      </c>
      <c r="N233" s="20" t="b">
        <f>IFERROR(__xludf.DUMMYFUNCTION("""COMPUTED_VALUE"""),FALSE)</f>
        <v>0</v>
      </c>
      <c r="O233" s="20">
        <f>IFERROR(__xludf.DUMMYFUNCTION("""COMPUTED_VALUE"""),62.5598346733338)</f>
        <v>62.55983467</v>
      </c>
      <c r="P233" s="20">
        <f>IFERROR(__xludf.DUMMYFUNCTION("""COMPUTED_VALUE"""),591507.0)</f>
        <v>591507</v>
      </c>
      <c r="Q233" s="20">
        <f>IFERROR(__xludf.DUMMYFUNCTION("""COMPUTED_VALUE"""),945509.0)</f>
        <v>945509</v>
      </c>
    </row>
    <row r="234">
      <c r="A234" s="20">
        <f>IFERROR(__xludf.DUMMYFUNCTION("""COMPUTED_VALUE"""),233.0)</f>
        <v>233</v>
      </c>
      <c r="B234" s="20" t="str">
        <f>IFERROR(__xludf.DUMMYFUNCTION("""COMPUTED_VALUE"""),"Number of Digit One")</f>
        <v>Number of Digit One</v>
      </c>
      <c r="C234" s="20" t="str">
        <f>IFERROR(__xludf.DUMMYFUNCTION("""COMPUTED_VALUE"""),"number-of-digit-one")</f>
        <v>number-of-digit-one</v>
      </c>
      <c r="D234" s="20" t="b">
        <f>IFERROR(__xludf.DUMMYFUNCTION("""COMPUTED_VALUE"""),FALSE)</f>
        <v>0</v>
      </c>
      <c r="E234" s="20" t="str">
        <f>IFERROR(__xludf.DUMMYFUNCTION("""COMPUTED_VALUE"""),"Hard")</f>
        <v>Hard</v>
      </c>
      <c r="F234" s="20">
        <f>IFERROR(__xludf.DUMMYFUNCTION("""COMPUTED_VALUE"""),991.0)</f>
        <v>991</v>
      </c>
      <c r="G234" s="20">
        <f>IFERROR(__xludf.DUMMYFUNCTION("""COMPUTED_VALUE"""),1235.0)</f>
        <v>1235</v>
      </c>
      <c r="H234" s="20" t="str">
        <f>IFERROR(__xludf.DUMMYFUNCTION("""COMPUTED_VALUE"""),"Algorithms")</f>
        <v>Algorithms</v>
      </c>
      <c r="I234" s="20">
        <f>IFERROR(__xludf.DUMMYFUNCTION("""COMPUTED_VALUE"""),0.341)</f>
        <v>0.341</v>
      </c>
      <c r="J234" s="20">
        <f>IFERROR(__xludf.DUMMYFUNCTION("""COMPUTED_VALUE"""),233.0)</f>
        <v>233</v>
      </c>
      <c r="K234" s="20" t="b">
        <f>IFERROR(__xludf.DUMMYFUNCTION("""COMPUTED_VALUE"""),FALSE)</f>
        <v>0</v>
      </c>
      <c r="L234" s="20" t="str">
        <f>IFERROR(__xludf.DUMMYFUNCTION("""COMPUTED_VALUE"""),"Math;Dynamic Programming;Recursion;")</f>
        <v>Math;Dynamic Programming;Recursion;</v>
      </c>
      <c r="M234" s="20" t="b">
        <f>IFERROR(__xludf.DUMMYFUNCTION("""COMPUTED_VALUE"""),TRUE)</f>
        <v>1</v>
      </c>
      <c r="N234" s="20" t="b">
        <f>IFERROR(__xludf.DUMMYFUNCTION("""COMPUTED_VALUE"""),FALSE)</f>
        <v>0</v>
      </c>
      <c r="O234" s="20">
        <f>IFERROR(__xludf.DUMMYFUNCTION("""COMPUTED_VALUE"""),34.0823688208099)</f>
        <v>34.08236882</v>
      </c>
      <c r="P234" s="20">
        <f>IFERROR(__xludf.DUMMYFUNCTION("""COMPUTED_VALUE"""),72468.0)</f>
        <v>72468</v>
      </c>
      <c r="Q234" s="20">
        <f>IFERROR(__xludf.DUMMYFUNCTION("""COMPUTED_VALUE"""),212628.0)</f>
        <v>212628</v>
      </c>
    </row>
    <row r="235">
      <c r="A235" s="20">
        <f>IFERROR(__xludf.DUMMYFUNCTION("""COMPUTED_VALUE"""),234.0)</f>
        <v>234</v>
      </c>
      <c r="B235" s="20" t="str">
        <f>IFERROR(__xludf.DUMMYFUNCTION("""COMPUTED_VALUE"""),"Palindrome Linked List")</f>
        <v>Palindrome Linked List</v>
      </c>
      <c r="C235" s="20" t="str">
        <f>IFERROR(__xludf.DUMMYFUNCTION("""COMPUTED_VALUE"""),"palindrome-linked-list")</f>
        <v>palindrome-linked-list</v>
      </c>
      <c r="D235" s="20" t="b">
        <f>IFERROR(__xludf.DUMMYFUNCTION("""COMPUTED_VALUE"""),FALSE)</f>
        <v>0</v>
      </c>
      <c r="E235" s="20" t="str">
        <f>IFERROR(__xludf.DUMMYFUNCTION("""COMPUTED_VALUE"""),"Easy")</f>
        <v>Easy</v>
      </c>
      <c r="F235" s="20">
        <f>IFERROR(__xludf.DUMMYFUNCTION("""COMPUTED_VALUE"""),12718.0)</f>
        <v>12718</v>
      </c>
      <c r="G235" s="20">
        <f>IFERROR(__xludf.DUMMYFUNCTION("""COMPUTED_VALUE"""),706.0)</f>
        <v>706</v>
      </c>
      <c r="H235" s="20" t="str">
        <f>IFERROR(__xludf.DUMMYFUNCTION("""COMPUTED_VALUE"""),"Algorithms")</f>
        <v>Algorithms</v>
      </c>
      <c r="I235" s="20">
        <f>IFERROR(__xludf.DUMMYFUNCTION("""COMPUTED_VALUE"""),0.497)</f>
        <v>0.497</v>
      </c>
      <c r="J235" s="20">
        <f>IFERROR(__xludf.DUMMYFUNCTION("""COMPUTED_VALUE"""),234.0)</f>
        <v>234</v>
      </c>
      <c r="K235" s="20" t="b">
        <f>IFERROR(__xludf.DUMMYFUNCTION("""COMPUTED_VALUE"""),FALSE)</f>
        <v>0</v>
      </c>
      <c r="L235" s="20" t="str">
        <f>IFERROR(__xludf.DUMMYFUNCTION("""COMPUTED_VALUE"""),"Linked List;Two Pointers;Stack;Recursion;")</f>
        <v>Linked List;Two Pointers;Stack;Recursion;</v>
      </c>
      <c r="M235" s="20" t="b">
        <f>IFERROR(__xludf.DUMMYFUNCTION("""COMPUTED_VALUE"""),TRUE)</f>
        <v>1</v>
      </c>
      <c r="N235" s="20" t="b">
        <f>IFERROR(__xludf.DUMMYFUNCTION("""COMPUTED_VALUE"""),TRUE)</f>
        <v>1</v>
      </c>
      <c r="O235" s="20">
        <f>IFERROR(__xludf.DUMMYFUNCTION("""COMPUTED_VALUE"""),49.7429842279671)</f>
        <v>49.74298423</v>
      </c>
      <c r="P235" s="20">
        <f>IFERROR(__xludf.DUMMYFUNCTION("""COMPUTED_VALUE"""),1314810.0)</f>
        <v>1314810</v>
      </c>
      <c r="Q235" s="20">
        <f>IFERROR(__xludf.DUMMYFUNCTION("""COMPUTED_VALUE"""),2643188.0)</f>
        <v>2643188</v>
      </c>
    </row>
    <row r="236">
      <c r="A236" s="20">
        <f>IFERROR(__xludf.DUMMYFUNCTION("""COMPUTED_VALUE"""),235.0)</f>
        <v>235</v>
      </c>
      <c r="B236" s="20" t="str">
        <f>IFERROR(__xludf.DUMMYFUNCTION("""COMPUTED_VALUE"""),"Lowest Common Ancestor of a Binary Search Tree")</f>
        <v>Lowest Common Ancestor of a Binary Search Tree</v>
      </c>
      <c r="C236" s="20" t="str">
        <f>IFERROR(__xludf.DUMMYFUNCTION("""COMPUTED_VALUE"""),"lowest-common-ancestor-of-a-binary-search-tree")</f>
        <v>lowest-common-ancestor-of-a-binary-search-tree</v>
      </c>
      <c r="D236" s="20" t="b">
        <f>IFERROR(__xludf.DUMMYFUNCTION("""COMPUTED_VALUE"""),FALSE)</f>
        <v>0</v>
      </c>
      <c r="E236" s="20" t="str">
        <f>IFERROR(__xludf.DUMMYFUNCTION("""COMPUTED_VALUE"""),"Medium")</f>
        <v>Medium</v>
      </c>
      <c r="F236" s="20">
        <f>IFERROR(__xludf.DUMMYFUNCTION("""COMPUTED_VALUE"""),8492.0)</f>
        <v>8492</v>
      </c>
      <c r="G236" s="20">
        <f>IFERROR(__xludf.DUMMYFUNCTION("""COMPUTED_VALUE"""),244.0)</f>
        <v>244</v>
      </c>
      <c r="H236" s="20" t="str">
        <f>IFERROR(__xludf.DUMMYFUNCTION("""COMPUTED_VALUE"""),"Algorithms")</f>
        <v>Algorithms</v>
      </c>
      <c r="I236" s="20">
        <f>IFERROR(__xludf.DUMMYFUNCTION("""COMPUTED_VALUE"""),0.606)</f>
        <v>0.606</v>
      </c>
      <c r="J236" s="20">
        <f>IFERROR(__xludf.DUMMYFUNCTION("""COMPUTED_VALUE"""),235.0)</f>
        <v>235</v>
      </c>
      <c r="K236" s="20" t="b">
        <f>IFERROR(__xludf.DUMMYFUNCTION("""COMPUTED_VALUE"""),FALSE)</f>
        <v>0</v>
      </c>
      <c r="L236" s="20" t="str">
        <f>IFERROR(__xludf.DUMMYFUNCTION("""COMPUTED_VALUE"""),"Tree;Depth-First Search;Binary Search Tree;Binary Tree;")</f>
        <v>Tree;Depth-First Search;Binary Search Tree;Binary Tree;</v>
      </c>
      <c r="M236" s="20" t="b">
        <f>IFERROR(__xludf.DUMMYFUNCTION("""COMPUTED_VALUE"""),TRUE)</f>
        <v>1</v>
      </c>
      <c r="N236" s="20" t="b">
        <f>IFERROR(__xludf.DUMMYFUNCTION("""COMPUTED_VALUE"""),FALSE)</f>
        <v>0</v>
      </c>
      <c r="O236" s="20">
        <f>IFERROR(__xludf.DUMMYFUNCTION("""COMPUTED_VALUE"""),60.5879621239579)</f>
        <v>60.58796212</v>
      </c>
      <c r="P236" s="20">
        <f>IFERROR(__xludf.DUMMYFUNCTION("""COMPUTED_VALUE"""),1069830.0)</f>
        <v>1069830</v>
      </c>
      <c r="Q236" s="20">
        <f>IFERROR(__xludf.DUMMYFUNCTION("""COMPUTED_VALUE"""),1765750.0)</f>
        <v>1765750</v>
      </c>
    </row>
    <row r="237">
      <c r="A237" s="20">
        <f>IFERROR(__xludf.DUMMYFUNCTION("""COMPUTED_VALUE"""),236.0)</f>
        <v>236</v>
      </c>
      <c r="B237" s="20" t="str">
        <f>IFERROR(__xludf.DUMMYFUNCTION("""COMPUTED_VALUE"""),"Lowest Common Ancestor of a Binary Tree")</f>
        <v>Lowest Common Ancestor of a Binary Tree</v>
      </c>
      <c r="C237" s="20" t="str">
        <f>IFERROR(__xludf.DUMMYFUNCTION("""COMPUTED_VALUE"""),"lowest-common-ancestor-of-a-binary-tree")</f>
        <v>lowest-common-ancestor-of-a-binary-tree</v>
      </c>
      <c r="D237" s="20" t="b">
        <f>IFERROR(__xludf.DUMMYFUNCTION("""COMPUTED_VALUE"""),FALSE)</f>
        <v>0</v>
      </c>
      <c r="E237" s="20" t="str">
        <f>IFERROR(__xludf.DUMMYFUNCTION("""COMPUTED_VALUE"""),"Medium")</f>
        <v>Medium</v>
      </c>
      <c r="F237" s="20">
        <f>IFERROR(__xludf.DUMMYFUNCTION("""COMPUTED_VALUE"""),13134.0)</f>
        <v>13134</v>
      </c>
      <c r="G237" s="20">
        <f>IFERROR(__xludf.DUMMYFUNCTION("""COMPUTED_VALUE"""),316.0)</f>
        <v>316</v>
      </c>
      <c r="H237" s="20" t="str">
        <f>IFERROR(__xludf.DUMMYFUNCTION("""COMPUTED_VALUE"""),"Algorithms")</f>
        <v>Algorithms</v>
      </c>
      <c r="I237" s="20">
        <f>IFERROR(__xludf.DUMMYFUNCTION("""COMPUTED_VALUE"""),0.582)</f>
        <v>0.582</v>
      </c>
      <c r="J237" s="20">
        <f>IFERROR(__xludf.DUMMYFUNCTION("""COMPUTED_VALUE"""),236.0)</f>
        <v>236</v>
      </c>
      <c r="K237" s="20" t="b">
        <f>IFERROR(__xludf.DUMMYFUNCTION("""COMPUTED_VALUE"""),FALSE)</f>
        <v>0</v>
      </c>
      <c r="L237" s="20" t="str">
        <f>IFERROR(__xludf.DUMMYFUNCTION("""COMPUTED_VALUE"""),"Tree;Depth-First Search;Binary Tree;")</f>
        <v>Tree;Depth-First Search;Binary Tree;</v>
      </c>
      <c r="M237" s="20" t="b">
        <f>IFERROR(__xludf.DUMMYFUNCTION("""COMPUTED_VALUE"""),TRUE)</f>
        <v>1</v>
      </c>
      <c r="N237" s="20" t="b">
        <f>IFERROR(__xludf.DUMMYFUNCTION("""COMPUTED_VALUE"""),FALSE)</f>
        <v>0</v>
      </c>
      <c r="O237" s="20">
        <f>IFERROR(__xludf.DUMMYFUNCTION("""COMPUTED_VALUE"""),58.2388566558245)</f>
        <v>58.23885666</v>
      </c>
      <c r="P237" s="20">
        <f>IFERROR(__xludf.DUMMYFUNCTION("""COMPUTED_VALUE"""),1227216.0)</f>
        <v>1227216</v>
      </c>
      <c r="Q237" s="20">
        <f>IFERROR(__xludf.DUMMYFUNCTION("""COMPUTED_VALUE"""),2107214.0)</f>
        <v>2107214</v>
      </c>
    </row>
    <row r="238">
      <c r="A238" s="20">
        <f>IFERROR(__xludf.DUMMYFUNCTION("""COMPUTED_VALUE"""),237.0)</f>
        <v>237</v>
      </c>
      <c r="B238" s="20" t="str">
        <f>IFERROR(__xludf.DUMMYFUNCTION("""COMPUTED_VALUE"""),"Delete Node in a Linked List")</f>
        <v>Delete Node in a Linked List</v>
      </c>
      <c r="C238" s="20" t="str">
        <f>IFERROR(__xludf.DUMMYFUNCTION("""COMPUTED_VALUE"""),"delete-node-in-a-linked-list")</f>
        <v>delete-node-in-a-linked-list</v>
      </c>
      <c r="D238" s="20" t="b">
        <f>IFERROR(__xludf.DUMMYFUNCTION("""COMPUTED_VALUE"""),FALSE)</f>
        <v>0</v>
      </c>
      <c r="E238" s="20" t="str">
        <f>IFERROR(__xludf.DUMMYFUNCTION("""COMPUTED_VALUE"""),"Medium")</f>
        <v>Medium</v>
      </c>
      <c r="F238" s="20">
        <f>IFERROR(__xludf.DUMMYFUNCTION("""COMPUTED_VALUE"""),1984.0)</f>
        <v>1984</v>
      </c>
      <c r="G238" s="20">
        <f>IFERROR(__xludf.DUMMYFUNCTION("""COMPUTED_VALUE"""),622.0)</f>
        <v>622</v>
      </c>
      <c r="H238" s="20" t="str">
        <f>IFERROR(__xludf.DUMMYFUNCTION("""COMPUTED_VALUE"""),"Algorithms")</f>
        <v>Algorithms</v>
      </c>
      <c r="I238" s="20">
        <f>IFERROR(__xludf.DUMMYFUNCTION("""COMPUTED_VALUE"""),0.755)</f>
        <v>0.755</v>
      </c>
      <c r="J238" s="20">
        <f>IFERROR(__xludf.DUMMYFUNCTION("""COMPUTED_VALUE"""),237.0)</f>
        <v>237</v>
      </c>
      <c r="K238" s="20" t="b">
        <f>IFERROR(__xludf.DUMMYFUNCTION("""COMPUTED_VALUE"""),FALSE)</f>
        <v>0</v>
      </c>
      <c r="L238" s="20" t="str">
        <f>IFERROR(__xludf.DUMMYFUNCTION("""COMPUTED_VALUE"""),"Linked List;")</f>
        <v>Linked List;</v>
      </c>
      <c r="M238" s="20" t="b">
        <f>IFERROR(__xludf.DUMMYFUNCTION("""COMPUTED_VALUE"""),TRUE)</f>
        <v>1</v>
      </c>
      <c r="N238" s="20" t="b">
        <f>IFERROR(__xludf.DUMMYFUNCTION("""COMPUTED_VALUE"""),FALSE)</f>
        <v>0</v>
      </c>
      <c r="O238" s="20">
        <f>IFERROR(__xludf.DUMMYFUNCTION("""COMPUTED_VALUE"""),75.4545399823631)</f>
        <v>75.45453998</v>
      </c>
      <c r="P238" s="20">
        <f>IFERROR(__xludf.DUMMYFUNCTION("""COMPUTED_VALUE"""),1002812.0)</f>
        <v>1002812</v>
      </c>
      <c r="Q238" s="20">
        <f>IFERROR(__xludf.DUMMYFUNCTION("""COMPUTED_VALUE"""),1329030.0)</f>
        <v>1329030</v>
      </c>
    </row>
    <row r="239">
      <c r="A239" s="20">
        <f>IFERROR(__xludf.DUMMYFUNCTION("""COMPUTED_VALUE"""),238.0)</f>
        <v>238</v>
      </c>
      <c r="B239" s="20" t="str">
        <f>IFERROR(__xludf.DUMMYFUNCTION("""COMPUTED_VALUE"""),"Product of Array Except Self")</f>
        <v>Product of Array Except Self</v>
      </c>
      <c r="C239" s="20" t="str">
        <f>IFERROR(__xludf.DUMMYFUNCTION("""COMPUTED_VALUE"""),"product-of-array-except-self")</f>
        <v>product-of-array-except-self</v>
      </c>
      <c r="D239" s="20" t="b">
        <f>IFERROR(__xludf.DUMMYFUNCTION("""COMPUTED_VALUE"""),FALSE)</f>
        <v>0</v>
      </c>
      <c r="E239" s="20" t="str">
        <f>IFERROR(__xludf.DUMMYFUNCTION("""COMPUTED_VALUE"""),"Medium")</f>
        <v>Medium</v>
      </c>
      <c r="F239" s="20">
        <f>IFERROR(__xludf.DUMMYFUNCTION("""COMPUTED_VALUE"""),15732.0)</f>
        <v>15732</v>
      </c>
      <c r="G239" s="20">
        <f>IFERROR(__xludf.DUMMYFUNCTION("""COMPUTED_VALUE"""),876.0)</f>
        <v>876</v>
      </c>
      <c r="H239" s="20" t="str">
        <f>IFERROR(__xludf.DUMMYFUNCTION("""COMPUTED_VALUE"""),"Algorithms")</f>
        <v>Algorithms</v>
      </c>
      <c r="I239" s="20">
        <f>IFERROR(__xludf.DUMMYFUNCTION("""COMPUTED_VALUE"""),0.648)</f>
        <v>0.648</v>
      </c>
      <c r="J239" s="20">
        <f>IFERROR(__xludf.DUMMYFUNCTION("""COMPUTED_VALUE"""),238.0)</f>
        <v>238</v>
      </c>
      <c r="K239" s="20" t="b">
        <f>IFERROR(__xludf.DUMMYFUNCTION("""COMPUTED_VALUE"""),FALSE)</f>
        <v>0</v>
      </c>
      <c r="L239" s="20" t="str">
        <f>IFERROR(__xludf.DUMMYFUNCTION("""COMPUTED_VALUE"""),"Array;Prefix Sum;")</f>
        <v>Array;Prefix Sum;</v>
      </c>
      <c r="M239" s="20" t="b">
        <f>IFERROR(__xludf.DUMMYFUNCTION("""COMPUTED_VALUE"""),TRUE)</f>
        <v>1</v>
      </c>
      <c r="N239" s="20" t="b">
        <f>IFERROR(__xludf.DUMMYFUNCTION("""COMPUTED_VALUE"""),TRUE)</f>
        <v>1</v>
      </c>
      <c r="O239" s="20">
        <f>IFERROR(__xludf.DUMMYFUNCTION("""COMPUTED_VALUE"""),64.8308328516672)</f>
        <v>64.83083285</v>
      </c>
      <c r="P239" s="20">
        <f>IFERROR(__xludf.DUMMYFUNCTION("""COMPUTED_VALUE"""),1472697.0)</f>
        <v>1472697</v>
      </c>
      <c r="Q239" s="20">
        <f>IFERROR(__xludf.DUMMYFUNCTION("""COMPUTED_VALUE"""),2271609.0)</f>
        <v>2271609</v>
      </c>
    </row>
    <row r="240">
      <c r="A240" s="20">
        <f>IFERROR(__xludf.DUMMYFUNCTION("""COMPUTED_VALUE"""),239.0)</f>
        <v>239</v>
      </c>
      <c r="B240" s="20" t="str">
        <f>IFERROR(__xludf.DUMMYFUNCTION("""COMPUTED_VALUE"""),"Sliding Window Maximum")</f>
        <v>Sliding Window Maximum</v>
      </c>
      <c r="C240" s="20" t="str">
        <f>IFERROR(__xludf.DUMMYFUNCTION("""COMPUTED_VALUE"""),"sliding-window-maximum")</f>
        <v>sliding-window-maximum</v>
      </c>
      <c r="D240" s="20" t="b">
        <f>IFERROR(__xludf.DUMMYFUNCTION("""COMPUTED_VALUE"""),FALSE)</f>
        <v>0</v>
      </c>
      <c r="E240" s="20" t="str">
        <f>IFERROR(__xludf.DUMMYFUNCTION("""COMPUTED_VALUE"""),"Hard")</f>
        <v>Hard</v>
      </c>
      <c r="F240" s="20">
        <f>IFERROR(__xludf.DUMMYFUNCTION("""COMPUTED_VALUE"""),13122.0)</f>
        <v>13122</v>
      </c>
      <c r="G240" s="20">
        <f>IFERROR(__xludf.DUMMYFUNCTION("""COMPUTED_VALUE"""),426.0)</f>
        <v>426</v>
      </c>
      <c r="H240" s="20" t="str">
        <f>IFERROR(__xludf.DUMMYFUNCTION("""COMPUTED_VALUE"""),"Algorithms")</f>
        <v>Algorithms</v>
      </c>
      <c r="I240" s="20">
        <f>IFERROR(__xludf.DUMMYFUNCTION("""COMPUTED_VALUE"""),0.465)</f>
        <v>0.465</v>
      </c>
      <c r="J240" s="20">
        <f>IFERROR(__xludf.DUMMYFUNCTION("""COMPUTED_VALUE"""),239.0)</f>
        <v>239</v>
      </c>
      <c r="K240" s="20" t="b">
        <f>IFERROR(__xludf.DUMMYFUNCTION("""COMPUTED_VALUE"""),FALSE)</f>
        <v>0</v>
      </c>
      <c r="L240" s="20" t="str">
        <f>IFERROR(__xludf.DUMMYFUNCTION("""COMPUTED_VALUE"""),"Array;Queue;Sliding Window;Heap (Priority Queue);Monotonic Queue;")</f>
        <v>Array;Queue;Sliding Window;Heap (Priority Queue);Monotonic Queue;</v>
      </c>
      <c r="M240" s="20" t="b">
        <f>IFERROR(__xludf.DUMMYFUNCTION("""COMPUTED_VALUE"""),TRUE)</f>
        <v>1</v>
      </c>
      <c r="N240" s="20" t="b">
        <f>IFERROR(__xludf.DUMMYFUNCTION("""COMPUTED_VALUE"""),FALSE)</f>
        <v>0</v>
      </c>
      <c r="O240" s="20">
        <f>IFERROR(__xludf.DUMMYFUNCTION("""COMPUTED_VALUE"""),46.5460646145816)</f>
        <v>46.54606461</v>
      </c>
      <c r="P240" s="20">
        <f>IFERROR(__xludf.DUMMYFUNCTION("""COMPUTED_VALUE"""),702750.0)</f>
        <v>702750</v>
      </c>
      <c r="Q240" s="20">
        <f>IFERROR(__xludf.DUMMYFUNCTION("""COMPUTED_VALUE"""),1509788.0)</f>
        <v>1509788</v>
      </c>
    </row>
    <row r="241">
      <c r="A241" s="20">
        <f>IFERROR(__xludf.DUMMYFUNCTION("""COMPUTED_VALUE"""),240.0)</f>
        <v>240</v>
      </c>
      <c r="B241" s="20" t="str">
        <f>IFERROR(__xludf.DUMMYFUNCTION("""COMPUTED_VALUE"""),"Search a 2D Matrix II")</f>
        <v>Search a 2D Matrix II</v>
      </c>
      <c r="C241" s="20" t="str">
        <f>IFERROR(__xludf.DUMMYFUNCTION("""COMPUTED_VALUE"""),"search-a-2d-matrix-ii")</f>
        <v>search-a-2d-matrix-ii</v>
      </c>
      <c r="D241" s="20" t="b">
        <f>IFERROR(__xludf.DUMMYFUNCTION("""COMPUTED_VALUE"""),FALSE)</f>
        <v>0</v>
      </c>
      <c r="E241" s="20" t="str">
        <f>IFERROR(__xludf.DUMMYFUNCTION("""COMPUTED_VALUE"""),"Medium")</f>
        <v>Medium</v>
      </c>
      <c r="F241" s="20">
        <f>IFERROR(__xludf.DUMMYFUNCTION("""COMPUTED_VALUE"""),9714.0)</f>
        <v>9714</v>
      </c>
      <c r="G241" s="20">
        <f>IFERROR(__xludf.DUMMYFUNCTION("""COMPUTED_VALUE"""),160.0)</f>
        <v>160</v>
      </c>
      <c r="H241" s="20" t="str">
        <f>IFERROR(__xludf.DUMMYFUNCTION("""COMPUTED_VALUE"""),"Algorithms")</f>
        <v>Algorithms</v>
      </c>
      <c r="I241" s="20">
        <f>IFERROR(__xludf.DUMMYFUNCTION("""COMPUTED_VALUE"""),0.507)</f>
        <v>0.507</v>
      </c>
      <c r="J241" s="20">
        <f>IFERROR(__xludf.DUMMYFUNCTION("""COMPUTED_VALUE"""),240.0)</f>
        <v>240</v>
      </c>
      <c r="K241" s="20" t="b">
        <f>IFERROR(__xludf.DUMMYFUNCTION("""COMPUTED_VALUE"""),FALSE)</f>
        <v>0</v>
      </c>
      <c r="L241" s="20" t="str">
        <f>IFERROR(__xludf.DUMMYFUNCTION("""COMPUTED_VALUE"""),"Array;Binary Search;Divide and Conquer;Matrix;")</f>
        <v>Array;Binary Search;Divide and Conquer;Matrix;</v>
      </c>
      <c r="M241" s="20" t="b">
        <f>IFERROR(__xludf.DUMMYFUNCTION("""COMPUTED_VALUE"""),TRUE)</f>
        <v>1</v>
      </c>
      <c r="N241" s="20" t="b">
        <f>IFERROR(__xludf.DUMMYFUNCTION("""COMPUTED_VALUE"""),FALSE)</f>
        <v>0</v>
      </c>
      <c r="O241" s="20">
        <f>IFERROR(__xludf.DUMMYFUNCTION("""COMPUTED_VALUE"""),50.7314471599578)</f>
        <v>50.73144716</v>
      </c>
      <c r="P241" s="20">
        <f>IFERROR(__xludf.DUMMYFUNCTION("""COMPUTED_VALUE"""),745765.0)</f>
        <v>745765</v>
      </c>
      <c r="Q241" s="20">
        <f>IFERROR(__xludf.DUMMYFUNCTION("""COMPUTED_VALUE"""),1470028.0)</f>
        <v>1470028</v>
      </c>
    </row>
    <row r="242">
      <c r="A242" s="20">
        <f>IFERROR(__xludf.DUMMYFUNCTION("""COMPUTED_VALUE"""),241.0)</f>
        <v>241</v>
      </c>
      <c r="B242" s="20" t="str">
        <f>IFERROR(__xludf.DUMMYFUNCTION("""COMPUTED_VALUE"""),"Different Ways to Add Parentheses")</f>
        <v>Different Ways to Add Parentheses</v>
      </c>
      <c r="C242" s="20" t="str">
        <f>IFERROR(__xludf.DUMMYFUNCTION("""COMPUTED_VALUE"""),"different-ways-to-add-parentheses")</f>
        <v>different-ways-to-add-parentheses</v>
      </c>
      <c r="D242" s="20" t="b">
        <f>IFERROR(__xludf.DUMMYFUNCTION("""COMPUTED_VALUE"""),FALSE)</f>
        <v>0</v>
      </c>
      <c r="E242" s="20" t="str">
        <f>IFERROR(__xludf.DUMMYFUNCTION("""COMPUTED_VALUE"""),"Medium")</f>
        <v>Medium</v>
      </c>
      <c r="F242" s="20">
        <f>IFERROR(__xludf.DUMMYFUNCTION("""COMPUTED_VALUE"""),4429.0)</f>
        <v>4429</v>
      </c>
      <c r="G242" s="20">
        <f>IFERROR(__xludf.DUMMYFUNCTION("""COMPUTED_VALUE"""),223.0)</f>
        <v>223</v>
      </c>
      <c r="H242" s="20" t="str">
        <f>IFERROR(__xludf.DUMMYFUNCTION("""COMPUTED_VALUE"""),"Algorithms")</f>
        <v>Algorithms</v>
      </c>
      <c r="I242" s="20">
        <f>IFERROR(__xludf.DUMMYFUNCTION("""COMPUTED_VALUE"""),0.635)</f>
        <v>0.635</v>
      </c>
      <c r="J242" s="20">
        <f>IFERROR(__xludf.DUMMYFUNCTION("""COMPUTED_VALUE"""),241.0)</f>
        <v>241</v>
      </c>
      <c r="K242" s="20" t="b">
        <f>IFERROR(__xludf.DUMMYFUNCTION("""COMPUTED_VALUE"""),FALSE)</f>
        <v>0</v>
      </c>
      <c r="L242" s="20" t="str">
        <f>IFERROR(__xludf.DUMMYFUNCTION("""COMPUTED_VALUE"""),"Math;String;Dynamic Programming;Recursion;Memoization;")</f>
        <v>Math;String;Dynamic Programming;Recursion;Memoization;</v>
      </c>
      <c r="M242" s="20" t="b">
        <f>IFERROR(__xludf.DUMMYFUNCTION("""COMPUTED_VALUE"""),FALSE)</f>
        <v>0</v>
      </c>
      <c r="N242" s="20" t="b">
        <f>IFERROR(__xludf.DUMMYFUNCTION("""COMPUTED_VALUE"""),FALSE)</f>
        <v>0</v>
      </c>
      <c r="O242" s="20">
        <f>IFERROR(__xludf.DUMMYFUNCTION("""COMPUTED_VALUE"""),63.4620915390725)</f>
        <v>63.46209154</v>
      </c>
      <c r="P242" s="20">
        <f>IFERROR(__xludf.DUMMYFUNCTION("""COMPUTED_VALUE"""),185355.0)</f>
        <v>185355</v>
      </c>
      <c r="Q242" s="20">
        <f>IFERROR(__xludf.DUMMYFUNCTION("""COMPUTED_VALUE"""),292072.0)</f>
        <v>292072</v>
      </c>
    </row>
    <row r="243">
      <c r="A243" s="20">
        <f>IFERROR(__xludf.DUMMYFUNCTION("""COMPUTED_VALUE"""),242.0)</f>
        <v>242</v>
      </c>
      <c r="B243" s="20" t="str">
        <f>IFERROR(__xludf.DUMMYFUNCTION("""COMPUTED_VALUE"""),"Valid Anagram")</f>
        <v>Valid Anagram</v>
      </c>
      <c r="C243" s="20" t="str">
        <f>IFERROR(__xludf.DUMMYFUNCTION("""COMPUTED_VALUE"""),"valid-anagram")</f>
        <v>valid-anagram</v>
      </c>
      <c r="D243" s="20" t="b">
        <f>IFERROR(__xludf.DUMMYFUNCTION("""COMPUTED_VALUE"""),FALSE)</f>
        <v>0</v>
      </c>
      <c r="E243" s="20" t="str">
        <f>IFERROR(__xludf.DUMMYFUNCTION("""COMPUTED_VALUE"""),"Easy")</f>
        <v>Easy</v>
      </c>
      <c r="F243" s="20">
        <f>IFERROR(__xludf.DUMMYFUNCTION("""COMPUTED_VALUE"""),7764.0)</f>
        <v>7764</v>
      </c>
      <c r="G243" s="20">
        <f>IFERROR(__xludf.DUMMYFUNCTION("""COMPUTED_VALUE"""),249.0)</f>
        <v>249</v>
      </c>
      <c r="H243" s="20" t="str">
        <f>IFERROR(__xludf.DUMMYFUNCTION("""COMPUTED_VALUE"""),"Algorithms")</f>
        <v>Algorithms</v>
      </c>
      <c r="I243" s="20">
        <f>IFERROR(__xludf.DUMMYFUNCTION("""COMPUTED_VALUE"""),0.628)</f>
        <v>0.628</v>
      </c>
      <c r="J243" s="20">
        <f>IFERROR(__xludf.DUMMYFUNCTION("""COMPUTED_VALUE"""),242.0)</f>
        <v>242</v>
      </c>
      <c r="K243" s="20" t="b">
        <f>IFERROR(__xludf.DUMMYFUNCTION("""COMPUTED_VALUE"""),FALSE)</f>
        <v>0</v>
      </c>
      <c r="L243" s="20" t="str">
        <f>IFERROR(__xludf.DUMMYFUNCTION("""COMPUTED_VALUE"""),"Hash Table;String;Sorting;")</f>
        <v>Hash Table;String;Sorting;</v>
      </c>
      <c r="M243" s="20" t="b">
        <f>IFERROR(__xludf.DUMMYFUNCTION("""COMPUTED_VALUE"""),TRUE)</f>
        <v>1</v>
      </c>
      <c r="N243" s="20" t="b">
        <f>IFERROR(__xludf.DUMMYFUNCTION("""COMPUTED_VALUE"""),TRUE)</f>
        <v>1</v>
      </c>
      <c r="O243" s="20">
        <f>IFERROR(__xludf.DUMMYFUNCTION("""COMPUTED_VALUE"""),62.8359521287391)</f>
        <v>62.83595213</v>
      </c>
      <c r="P243" s="20">
        <f>IFERROR(__xludf.DUMMYFUNCTION("""COMPUTED_VALUE"""),1863763.0)</f>
        <v>1863763</v>
      </c>
      <c r="Q243" s="20">
        <f>IFERROR(__xludf.DUMMYFUNCTION("""COMPUTED_VALUE"""),2966077.0)</f>
        <v>2966077</v>
      </c>
    </row>
    <row r="244">
      <c r="A244" s="20">
        <f>IFERROR(__xludf.DUMMYFUNCTION("""COMPUTED_VALUE"""),243.0)</f>
        <v>243</v>
      </c>
      <c r="B244" s="20" t="str">
        <f>IFERROR(__xludf.DUMMYFUNCTION("""COMPUTED_VALUE"""),"Shortest Word Distance")</f>
        <v>Shortest Word Distance</v>
      </c>
      <c r="C244" s="20" t="str">
        <f>IFERROR(__xludf.DUMMYFUNCTION("""COMPUTED_VALUE"""),"shortest-word-distance")</f>
        <v>shortest-word-distance</v>
      </c>
      <c r="D244" s="20" t="b">
        <f>IFERROR(__xludf.DUMMYFUNCTION("""COMPUTED_VALUE"""),TRUE)</f>
        <v>1</v>
      </c>
      <c r="E244" s="20" t="str">
        <f>IFERROR(__xludf.DUMMYFUNCTION("""COMPUTED_VALUE"""),"Easy")</f>
        <v>Easy</v>
      </c>
      <c r="F244" s="20">
        <f>IFERROR(__xludf.DUMMYFUNCTION("""COMPUTED_VALUE"""),1162.0)</f>
        <v>1162</v>
      </c>
      <c r="G244" s="20">
        <f>IFERROR(__xludf.DUMMYFUNCTION("""COMPUTED_VALUE"""),100.0)</f>
        <v>100</v>
      </c>
      <c r="H244" s="20" t="str">
        <f>IFERROR(__xludf.DUMMYFUNCTION("""COMPUTED_VALUE"""),"Algorithms")</f>
        <v>Algorithms</v>
      </c>
      <c r="I244" s="20">
        <f>IFERROR(__xludf.DUMMYFUNCTION("""COMPUTED_VALUE"""),0.649)</f>
        <v>0.649</v>
      </c>
      <c r="J244" s="20">
        <f>IFERROR(__xludf.DUMMYFUNCTION("""COMPUTED_VALUE"""),243.0)</f>
        <v>243</v>
      </c>
      <c r="K244" s="20" t="b">
        <f>IFERROR(__xludf.DUMMYFUNCTION("""COMPUTED_VALUE"""),TRUE)</f>
        <v>1</v>
      </c>
      <c r="L244" s="20" t="str">
        <f>IFERROR(__xludf.DUMMYFUNCTION("""COMPUTED_VALUE"""),"Array;String;")</f>
        <v>Array;String;</v>
      </c>
      <c r="M244" s="20" t="b">
        <f>IFERROR(__xludf.DUMMYFUNCTION("""COMPUTED_VALUE"""),TRUE)</f>
        <v>1</v>
      </c>
      <c r="N244" s="20" t="b">
        <f>IFERROR(__xludf.DUMMYFUNCTION("""COMPUTED_VALUE"""),FALSE)</f>
        <v>0</v>
      </c>
      <c r="O244" s="20">
        <f>IFERROR(__xludf.DUMMYFUNCTION("""COMPUTED_VALUE"""),64.9436083986643)</f>
        <v>64.9436084</v>
      </c>
      <c r="P244" s="20">
        <f>IFERROR(__xludf.DUMMYFUNCTION("""COMPUTED_VALUE"""),195666.0)</f>
        <v>195666</v>
      </c>
      <c r="Q244" s="20">
        <f>IFERROR(__xludf.DUMMYFUNCTION("""COMPUTED_VALUE"""),301286.0)</f>
        <v>301286</v>
      </c>
    </row>
    <row r="245">
      <c r="A245" s="20">
        <f>IFERROR(__xludf.DUMMYFUNCTION("""COMPUTED_VALUE"""),244.0)</f>
        <v>244</v>
      </c>
      <c r="B245" s="20" t="str">
        <f>IFERROR(__xludf.DUMMYFUNCTION("""COMPUTED_VALUE"""),"Shortest Word Distance II")</f>
        <v>Shortest Word Distance II</v>
      </c>
      <c r="C245" s="20" t="str">
        <f>IFERROR(__xludf.DUMMYFUNCTION("""COMPUTED_VALUE"""),"shortest-word-distance-ii")</f>
        <v>shortest-word-distance-ii</v>
      </c>
      <c r="D245" s="20" t="b">
        <f>IFERROR(__xludf.DUMMYFUNCTION("""COMPUTED_VALUE"""),TRUE)</f>
        <v>1</v>
      </c>
      <c r="E245" s="20" t="str">
        <f>IFERROR(__xludf.DUMMYFUNCTION("""COMPUTED_VALUE"""),"Medium")</f>
        <v>Medium</v>
      </c>
      <c r="F245" s="20">
        <f>IFERROR(__xludf.DUMMYFUNCTION("""COMPUTED_VALUE"""),979.0)</f>
        <v>979</v>
      </c>
      <c r="G245" s="20">
        <f>IFERROR(__xludf.DUMMYFUNCTION("""COMPUTED_VALUE"""),297.0)</f>
        <v>297</v>
      </c>
      <c r="H245" s="20" t="str">
        <f>IFERROR(__xludf.DUMMYFUNCTION("""COMPUTED_VALUE"""),"Algorithms")</f>
        <v>Algorithms</v>
      </c>
      <c r="I245" s="20">
        <f>IFERROR(__xludf.DUMMYFUNCTION("""COMPUTED_VALUE"""),0.608)</f>
        <v>0.608</v>
      </c>
      <c r="J245" s="20">
        <f>IFERROR(__xludf.DUMMYFUNCTION("""COMPUTED_VALUE"""),244.0)</f>
        <v>244</v>
      </c>
      <c r="K245" s="20" t="b">
        <f>IFERROR(__xludf.DUMMYFUNCTION("""COMPUTED_VALUE"""),TRUE)</f>
        <v>1</v>
      </c>
      <c r="L245" s="20" t="str">
        <f>IFERROR(__xludf.DUMMYFUNCTION("""COMPUTED_VALUE"""),"Array;Hash Table;Two Pointers;String;Design;")</f>
        <v>Array;Hash Table;Two Pointers;String;Design;</v>
      </c>
      <c r="M245" s="20" t="b">
        <f>IFERROR(__xludf.DUMMYFUNCTION("""COMPUTED_VALUE"""),TRUE)</f>
        <v>1</v>
      </c>
      <c r="N245" s="20" t="b">
        <f>IFERROR(__xludf.DUMMYFUNCTION("""COMPUTED_VALUE"""),FALSE)</f>
        <v>0</v>
      </c>
      <c r="O245" s="20">
        <f>IFERROR(__xludf.DUMMYFUNCTION("""COMPUTED_VALUE"""),60.779715298004)</f>
        <v>60.7797153</v>
      </c>
      <c r="P245" s="20">
        <f>IFERROR(__xludf.DUMMYFUNCTION("""COMPUTED_VALUE"""),144614.0)</f>
        <v>144614</v>
      </c>
      <c r="Q245" s="20">
        <f>IFERROR(__xludf.DUMMYFUNCTION("""COMPUTED_VALUE"""),237932.0)</f>
        <v>237932</v>
      </c>
    </row>
    <row r="246">
      <c r="A246" s="20">
        <f>IFERROR(__xludf.DUMMYFUNCTION("""COMPUTED_VALUE"""),245.0)</f>
        <v>245</v>
      </c>
      <c r="B246" s="20" t="str">
        <f>IFERROR(__xludf.DUMMYFUNCTION("""COMPUTED_VALUE"""),"Shortest Word Distance III")</f>
        <v>Shortest Word Distance III</v>
      </c>
      <c r="C246" s="20" t="str">
        <f>IFERROR(__xludf.DUMMYFUNCTION("""COMPUTED_VALUE"""),"shortest-word-distance-iii")</f>
        <v>shortest-word-distance-iii</v>
      </c>
      <c r="D246" s="20" t="b">
        <f>IFERROR(__xludf.DUMMYFUNCTION("""COMPUTED_VALUE"""),TRUE)</f>
        <v>1</v>
      </c>
      <c r="E246" s="20" t="str">
        <f>IFERROR(__xludf.DUMMYFUNCTION("""COMPUTED_VALUE"""),"Medium")</f>
        <v>Medium</v>
      </c>
      <c r="F246" s="20">
        <f>IFERROR(__xludf.DUMMYFUNCTION("""COMPUTED_VALUE"""),396.0)</f>
        <v>396</v>
      </c>
      <c r="G246" s="20">
        <f>IFERROR(__xludf.DUMMYFUNCTION("""COMPUTED_VALUE"""),91.0)</f>
        <v>91</v>
      </c>
      <c r="H246" s="20" t="str">
        <f>IFERROR(__xludf.DUMMYFUNCTION("""COMPUTED_VALUE"""),"Algorithms")</f>
        <v>Algorithms</v>
      </c>
      <c r="I246" s="20">
        <f>IFERROR(__xludf.DUMMYFUNCTION("""COMPUTED_VALUE"""),0.575)</f>
        <v>0.575</v>
      </c>
      <c r="J246" s="20">
        <f>IFERROR(__xludf.DUMMYFUNCTION("""COMPUTED_VALUE"""),245.0)</f>
        <v>245</v>
      </c>
      <c r="K246" s="20" t="b">
        <f>IFERROR(__xludf.DUMMYFUNCTION("""COMPUTED_VALUE"""),TRUE)</f>
        <v>1</v>
      </c>
      <c r="L246" s="20" t="str">
        <f>IFERROR(__xludf.DUMMYFUNCTION("""COMPUTED_VALUE"""),"Array;String;")</f>
        <v>Array;String;</v>
      </c>
      <c r="M246" s="20" t="b">
        <f>IFERROR(__xludf.DUMMYFUNCTION("""COMPUTED_VALUE"""),FALSE)</f>
        <v>0</v>
      </c>
      <c r="N246" s="20" t="b">
        <f>IFERROR(__xludf.DUMMYFUNCTION("""COMPUTED_VALUE"""),FALSE)</f>
        <v>0</v>
      </c>
      <c r="O246" s="20">
        <f>IFERROR(__xludf.DUMMYFUNCTION("""COMPUTED_VALUE"""),57.5078563721281)</f>
        <v>57.50785637</v>
      </c>
      <c r="P246" s="20">
        <f>IFERROR(__xludf.DUMMYFUNCTION("""COMPUTED_VALUE"""),73016.0)</f>
        <v>73016</v>
      </c>
      <c r="Q246" s="20">
        <f>IFERROR(__xludf.DUMMYFUNCTION("""COMPUTED_VALUE"""),126967.0)</f>
        <v>126967</v>
      </c>
    </row>
    <row r="247">
      <c r="A247" s="20">
        <f>IFERROR(__xludf.DUMMYFUNCTION("""COMPUTED_VALUE"""),246.0)</f>
        <v>246</v>
      </c>
      <c r="B247" s="20" t="str">
        <f>IFERROR(__xludf.DUMMYFUNCTION("""COMPUTED_VALUE"""),"Strobogrammatic Number")</f>
        <v>Strobogrammatic Number</v>
      </c>
      <c r="C247" s="20" t="str">
        <f>IFERROR(__xludf.DUMMYFUNCTION("""COMPUTED_VALUE"""),"strobogrammatic-number")</f>
        <v>strobogrammatic-number</v>
      </c>
      <c r="D247" s="20" t="b">
        <f>IFERROR(__xludf.DUMMYFUNCTION("""COMPUTED_VALUE"""),TRUE)</f>
        <v>1</v>
      </c>
      <c r="E247" s="20" t="str">
        <f>IFERROR(__xludf.DUMMYFUNCTION("""COMPUTED_VALUE"""),"Easy")</f>
        <v>Easy</v>
      </c>
      <c r="F247" s="20">
        <f>IFERROR(__xludf.DUMMYFUNCTION("""COMPUTED_VALUE"""),523.0)</f>
        <v>523</v>
      </c>
      <c r="G247" s="20">
        <f>IFERROR(__xludf.DUMMYFUNCTION("""COMPUTED_VALUE"""),925.0)</f>
        <v>925</v>
      </c>
      <c r="H247" s="20" t="str">
        <f>IFERROR(__xludf.DUMMYFUNCTION("""COMPUTED_VALUE"""),"Algorithms")</f>
        <v>Algorithms</v>
      </c>
      <c r="I247" s="20">
        <f>IFERROR(__xludf.DUMMYFUNCTION("""COMPUTED_VALUE"""),0.478)</f>
        <v>0.478</v>
      </c>
      <c r="J247" s="20">
        <f>IFERROR(__xludf.DUMMYFUNCTION("""COMPUTED_VALUE"""),246.0)</f>
        <v>246</v>
      </c>
      <c r="K247" s="20" t="b">
        <f>IFERROR(__xludf.DUMMYFUNCTION("""COMPUTED_VALUE"""),TRUE)</f>
        <v>1</v>
      </c>
      <c r="L247" s="20" t="str">
        <f>IFERROR(__xludf.DUMMYFUNCTION("""COMPUTED_VALUE"""),"Hash Table;Two Pointers;String;")</f>
        <v>Hash Table;Two Pointers;String;</v>
      </c>
      <c r="M247" s="20" t="b">
        <f>IFERROR(__xludf.DUMMYFUNCTION("""COMPUTED_VALUE"""),TRUE)</f>
        <v>1</v>
      </c>
      <c r="N247" s="20" t="b">
        <f>IFERROR(__xludf.DUMMYFUNCTION("""COMPUTED_VALUE"""),TRUE)</f>
        <v>1</v>
      </c>
      <c r="O247" s="20">
        <f>IFERROR(__xludf.DUMMYFUNCTION("""COMPUTED_VALUE"""),47.775211465806)</f>
        <v>47.77521147</v>
      </c>
      <c r="P247" s="20">
        <f>IFERROR(__xludf.DUMMYFUNCTION("""COMPUTED_VALUE"""),156170.0)</f>
        <v>156170</v>
      </c>
      <c r="Q247" s="20">
        <f>IFERROR(__xludf.DUMMYFUNCTION("""COMPUTED_VALUE"""),326885.0)</f>
        <v>326885</v>
      </c>
    </row>
    <row r="248">
      <c r="A248" s="20">
        <f>IFERROR(__xludf.DUMMYFUNCTION("""COMPUTED_VALUE"""),247.0)</f>
        <v>247</v>
      </c>
      <c r="B248" s="20" t="str">
        <f>IFERROR(__xludf.DUMMYFUNCTION("""COMPUTED_VALUE"""),"Strobogrammatic Number II")</f>
        <v>Strobogrammatic Number II</v>
      </c>
      <c r="C248" s="20" t="str">
        <f>IFERROR(__xludf.DUMMYFUNCTION("""COMPUTED_VALUE"""),"strobogrammatic-number-ii")</f>
        <v>strobogrammatic-number-ii</v>
      </c>
      <c r="D248" s="20" t="b">
        <f>IFERROR(__xludf.DUMMYFUNCTION("""COMPUTED_VALUE"""),TRUE)</f>
        <v>1</v>
      </c>
      <c r="E248" s="20" t="str">
        <f>IFERROR(__xludf.DUMMYFUNCTION("""COMPUTED_VALUE"""),"Medium")</f>
        <v>Medium</v>
      </c>
      <c r="F248" s="20">
        <f>IFERROR(__xludf.DUMMYFUNCTION("""COMPUTED_VALUE"""),838.0)</f>
        <v>838</v>
      </c>
      <c r="G248" s="20">
        <f>IFERROR(__xludf.DUMMYFUNCTION("""COMPUTED_VALUE"""),215.0)</f>
        <v>215</v>
      </c>
      <c r="H248" s="20" t="str">
        <f>IFERROR(__xludf.DUMMYFUNCTION("""COMPUTED_VALUE"""),"Algorithms")</f>
        <v>Algorithms</v>
      </c>
      <c r="I248" s="20">
        <f>IFERROR(__xludf.DUMMYFUNCTION("""COMPUTED_VALUE"""),0.515)</f>
        <v>0.515</v>
      </c>
      <c r="J248" s="20">
        <f>IFERROR(__xludf.DUMMYFUNCTION("""COMPUTED_VALUE"""),247.0)</f>
        <v>247</v>
      </c>
      <c r="K248" s="20" t="b">
        <f>IFERROR(__xludf.DUMMYFUNCTION("""COMPUTED_VALUE"""),TRUE)</f>
        <v>1</v>
      </c>
      <c r="L248" s="20" t="str">
        <f>IFERROR(__xludf.DUMMYFUNCTION("""COMPUTED_VALUE"""),"Array;String;Recursion;")</f>
        <v>Array;String;Recursion;</v>
      </c>
      <c r="M248" s="20" t="b">
        <f>IFERROR(__xludf.DUMMYFUNCTION("""COMPUTED_VALUE"""),TRUE)</f>
        <v>1</v>
      </c>
      <c r="N248" s="20" t="b">
        <f>IFERROR(__xludf.DUMMYFUNCTION("""COMPUTED_VALUE"""),FALSE)</f>
        <v>0</v>
      </c>
      <c r="O248" s="20">
        <f>IFERROR(__xludf.DUMMYFUNCTION("""COMPUTED_VALUE"""),51.4906215147521)</f>
        <v>51.49062151</v>
      </c>
      <c r="P248" s="20">
        <f>IFERROR(__xludf.DUMMYFUNCTION("""COMPUTED_VALUE"""),126962.0)</f>
        <v>126962</v>
      </c>
      <c r="Q248" s="20">
        <f>IFERROR(__xludf.DUMMYFUNCTION("""COMPUTED_VALUE"""),246574.0)</f>
        <v>246574</v>
      </c>
    </row>
    <row r="249">
      <c r="A249" s="20">
        <f>IFERROR(__xludf.DUMMYFUNCTION("""COMPUTED_VALUE"""),248.0)</f>
        <v>248</v>
      </c>
      <c r="B249" s="20" t="str">
        <f>IFERROR(__xludf.DUMMYFUNCTION("""COMPUTED_VALUE"""),"Strobogrammatic Number III")</f>
        <v>Strobogrammatic Number III</v>
      </c>
      <c r="C249" s="20" t="str">
        <f>IFERROR(__xludf.DUMMYFUNCTION("""COMPUTED_VALUE"""),"strobogrammatic-number-iii")</f>
        <v>strobogrammatic-number-iii</v>
      </c>
      <c r="D249" s="20" t="b">
        <f>IFERROR(__xludf.DUMMYFUNCTION("""COMPUTED_VALUE"""),TRUE)</f>
        <v>1</v>
      </c>
      <c r="E249" s="20" t="str">
        <f>IFERROR(__xludf.DUMMYFUNCTION("""COMPUTED_VALUE"""),"Hard")</f>
        <v>Hard</v>
      </c>
      <c r="F249" s="20">
        <f>IFERROR(__xludf.DUMMYFUNCTION("""COMPUTED_VALUE"""),287.0)</f>
        <v>287</v>
      </c>
      <c r="G249" s="20">
        <f>IFERROR(__xludf.DUMMYFUNCTION("""COMPUTED_VALUE"""),180.0)</f>
        <v>180</v>
      </c>
      <c r="H249" s="20" t="str">
        <f>IFERROR(__xludf.DUMMYFUNCTION("""COMPUTED_VALUE"""),"Algorithms")</f>
        <v>Algorithms</v>
      </c>
      <c r="I249" s="20">
        <f>IFERROR(__xludf.DUMMYFUNCTION("""COMPUTED_VALUE"""),0.418)</f>
        <v>0.418</v>
      </c>
      <c r="J249" s="20">
        <f>IFERROR(__xludf.DUMMYFUNCTION("""COMPUTED_VALUE"""),248.0)</f>
        <v>248</v>
      </c>
      <c r="K249" s="20" t="b">
        <f>IFERROR(__xludf.DUMMYFUNCTION("""COMPUTED_VALUE"""),TRUE)</f>
        <v>1</v>
      </c>
      <c r="L249" s="20" t="str">
        <f>IFERROR(__xludf.DUMMYFUNCTION("""COMPUTED_VALUE"""),"Array;String;Recursion;")</f>
        <v>Array;String;Recursion;</v>
      </c>
      <c r="M249" s="20" t="b">
        <f>IFERROR(__xludf.DUMMYFUNCTION("""COMPUTED_VALUE"""),FALSE)</f>
        <v>0</v>
      </c>
      <c r="N249" s="20" t="b">
        <f>IFERROR(__xludf.DUMMYFUNCTION("""COMPUTED_VALUE"""),FALSE)</f>
        <v>0</v>
      </c>
      <c r="O249" s="20">
        <f>IFERROR(__xludf.DUMMYFUNCTION("""COMPUTED_VALUE"""),41.7998971623997)</f>
        <v>41.79989716</v>
      </c>
      <c r="P249" s="20">
        <f>IFERROR(__xludf.DUMMYFUNCTION("""COMPUTED_VALUE"""),34956.0)</f>
        <v>34956</v>
      </c>
      <c r="Q249" s="20">
        <f>IFERROR(__xludf.DUMMYFUNCTION("""COMPUTED_VALUE"""),83627.0)</f>
        <v>83627</v>
      </c>
    </row>
    <row r="250">
      <c r="A250" s="20">
        <f>IFERROR(__xludf.DUMMYFUNCTION("""COMPUTED_VALUE"""),249.0)</f>
        <v>249</v>
      </c>
      <c r="B250" s="20" t="str">
        <f>IFERROR(__xludf.DUMMYFUNCTION("""COMPUTED_VALUE"""),"Group Shifted Strings")</f>
        <v>Group Shifted Strings</v>
      </c>
      <c r="C250" s="20" t="str">
        <f>IFERROR(__xludf.DUMMYFUNCTION("""COMPUTED_VALUE"""),"group-shifted-strings")</f>
        <v>group-shifted-strings</v>
      </c>
      <c r="D250" s="20" t="b">
        <f>IFERROR(__xludf.DUMMYFUNCTION("""COMPUTED_VALUE"""),TRUE)</f>
        <v>1</v>
      </c>
      <c r="E250" s="20" t="str">
        <f>IFERROR(__xludf.DUMMYFUNCTION("""COMPUTED_VALUE"""),"Medium")</f>
        <v>Medium</v>
      </c>
      <c r="F250" s="20">
        <f>IFERROR(__xludf.DUMMYFUNCTION("""COMPUTED_VALUE"""),1453.0)</f>
        <v>1453</v>
      </c>
      <c r="G250" s="20">
        <f>IFERROR(__xludf.DUMMYFUNCTION("""COMPUTED_VALUE"""),282.0)</f>
        <v>282</v>
      </c>
      <c r="H250" s="20" t="str">
        <f>IFERROR(__xludf.DUMMYFUNCTION("""COMPUTED_VALUE"""),"Algorithms")</f>
        <v>Algorithms</v>
      </c>
      <c r="I250" s="20">
        <f>IFERROR(__xludf.DUMMYFUNCTION("""COMPUTED_VALUE"""),0.643)</f>
        <v>0.643</v>
      </c>
      <c r="J250" s="20">
        <f>IFERROR(__xludf.DUMMYFUNCTION("""COMPUTED_VALUE"""),249.0)</f>
        <v>249</v>
      </c>
      <c r="K250" s="20" t="b">
        <f>IFERROR(__xludf.DUMMYFUNCTION("""COMPUTED_VALUE"""),TRUE)</f>
        <v>1</v>
      </c>
      <c r="L250" s="20" t="str">
        <f>IFERROR(__xludf.DUMMYFUNCTION("""COMPUTED_VALUE"""),"Array;Hash Table;String;")</f>
        <v>Array;Hash Table;String;</v>
      </c>
      <c r="M250" s="20" t="b">
        <f>IFERROR(__xludf.DUMMYFUNCTION("""COMPUTED_VALUE"""),TRUE)</f>
        <v>1</v>
      </c>
      <c r="N250" s="20" t="b">
        <f>IFERROR(__xludf.DUMMYFUNCTION("""COMPUTED_VALUE"""),FALSE)</f>
        <v>0</v>
      </c>
      <c r="O250" s="20">
        <f>IFERROR(__xludf.DUMMYFUNCTION("""COMPUTED_VALUE"""),64.2947527680352)</f>
        <v>64.29475277</v>
      </c>
      <c r="P250" s="20">
        <f>IFERROR(__xludf.DUMMYFUNCTION("""COMPUTED_VALUE"""),186982.0)</f>
        <v>186982</v>
      </c>
      <c r="Q250" s="20">
        <f>IFERROR(__xludf.DUMMYFUNCTION("""COMPUTED_VALUE"""),290820.0)</f>
        <v>290820</v>
      </c>
    </row>
    <row r="251">
      <c r="A251" s="20">
        <f>IFERROR(__xludf.DUMMYFUNCTION("""COMPUTED_VALUE"""),250.0)</f>
        <v>250</v>
      </c>
      <c r="B251" s="20" t="str">
        <f>IFERROR(__xludf.DUMMYFUNCTION("""COMPUTED_VALUE"""),"Count Univalue Subtrees")</f>
        <v>Count Univalue Subtrees</v>
      </c>
      <c r="C251" s="20" t="str">
        <f>IFERROR(__xludf.DUMMYFUNCTION("""COMPUTED_VALUE"""),"count-univalue-subtrees")</f>
        <v>count-univalue-subtrees</v>
      </c>
      <c r="D251" s="20" t="b">
        <f>IFERROR(__xludf.DUMMYFUNCTION("""COMPUTED_VALUE"""),TRUE)</f>
        <v>1</v>
      </c>
      <c r="E251" s="20" t="str">
        <f>IFERROR(__xludf.DUMMYFUNCTION("""COMPUTED_VALUE"""),"Medium")</f>
        <v>Medium</v>
      </c>
      <c r="F251" s="20">
        <f>IFERROR(__xludf.DUMMYFUNCTION("""COMPUTED_VALUE"""),1053.0)</f>
        <v>1053</v>
      </c>
      <c r="G251" s="20">
        <f>IFERROR(__xludf.DUMMYFUNCTION("""COMPUTED_VALUE"""),365.0)</f>
        <v>365</v>
      </c>
      <c r="H251" s="20" t="str">
        <f>IFERROR(__xludf.DUMMYFUNCTION("""COMPUTED_VALUE"""),"Algorithms")</f>
        <v>Algorithms</v>
      </c>
      <c r="I251" s="20">
        <f>IFERROR(__xludf.DUMMYFUNCTION("""COMPUTED_VALUE"""),0.553)</f>
        <v>0.553</v>
      </c>
      <c r="J251" s="20">
        <f>IFERROR(__xludf.DUMMYFUNCTION("""COMPUTED_VALUE"""),250.0)</f>
        <v>250</v>
      </c>
      <c r="K251" s="20" t="b">
        <f>IFERROR(__xludf.DUMMYFUNCTION("""COMPUTED_VALUE"""),TRUE)</f>
        <v>1</v>
      </c>
      <c r="L251" s="20" t="str">
        <f>IFERROR(__xludf.DUMMYFUNCTION("""COMPUTED_VALUE"""),"Tree;Depth-First Search;Binary Tree;")</f>
        <v>Tree;Depth-First Search;Binary Tree;</v>
      </c>
      <c r="M251" s="20" t="b">
        <f>IFERROR(__xludf.DUMMYFUNCTION("""COMPUTED_VALUE"""),TRUE)</f>
        <v>1</v>
      </c>
      <c r="N251" s="20" t="b">
        <f>IFERROR(__xludf.DUMMYFUNCTION("""COMPUTED_VALUE"""),FALSE)</f>
        <v>0</v>
      </c>
      <c r="O251" s="20">
        <f>IFERROR(__xludf.DUMMYFUNCTION("""COMPUTED_VALUE"""),55.3029803779429)</f>
        <v>55.30298038</v>
      </c>
      <c r="P251" s="20">
        <f>IFERROR(__xludf.DUMMYFUNCTION("""COMPUTED_VALUE"""),134269.0)</f>
        <v>134269</v>
      </c>
      <c r="Q251" s="20">
        <f>IFERROR(__xludf.DUMMYFUNCTION("""COMPUTED_VALUE"""),242788.0)</f>
        <v>242788</v>
      </c>
    </row>
    <row r="252">
      <c r="A252" s="20">
        <f>IFERROR(__xludf.DUMMYFUNCTION("""COMPUTED_VALUE"""),251.0)</f>
        <v>251</v>
      </c>
      <c r="B252" s="20" t="str">
        <f>IFERROR(__xludf.DUMMYFUNCTION("""COMPUTED_VALUE"""),"Flatten 2D Vector")</f>
        <v>Flatten 2D Vector</v>
      </c>
      <c r="C252" s="20" t="str">
        <f>IFERROR(__xludf.DUMMYFUNCTION("""COMPUTED_VALUE"""),"flatten-2d-vector")</f>
        <v>flatten-2d-vector</v>
      </c>
      <c r="D252" s="20" t="b">
        <f>IFERROR(__xludf.DUMMYFUNCTION("""COMPUTED_VALUE"""),TRUE)</f>
        <v>1</v>
      </c>
      <c r="E252" s="20" t="str">
        <f>IFERROR(__xludf.DUMMYFUNCTION("""COMPUTED_VALUE"""),"Medium")</f>
        <v>Medium</v>
      </c>
      <c r="F252" s="20">
        <f>IFERROR(__xludf.DUMMYFUNCTION("""COMPUTED_VALUE"""),658.0)</f>
        <v>658</v>
      </c>
      <c r="G252" s="20">
        <f>IFERROR(__xludf.DUMMYFUNCTION("""COMPUTED_VALUE"""),363.0)</f>
        <v>363</v>
      </c>
      <c r="H252" s="20" t="str">
        <f>IFERROR(__xludf.DUMMYFUNCTION("""COMPUTED_VALUE"""),"Algorithms")</f>
        <v>Algorithms</v>
      </c>
      <c r="I252" s="20">
        <f>IFERROR(__xludf.DUMMYFUNCTION("""COMPUTED_VALUE"""),0.49)</f>
        <v>0.49</v>
      </c>
      <c r="J252" s="20">
        <f>IFERROR(__xludf.DUMMYFUNCTION("""COMPUTED_VALUE"""),251.0)</f>
        <v>251</v>
      </c>
      <c r="K252" s="20" t="b">
        <f>IFERROR(__xludf.DUMMYFUNCTION("""COMPUTED_VALUE"""),TRUE)</f>
        <v>1</v>
      </c>
      <c r="L252" s="20" t="str">
        <f>IFERROR(__xludf.DUMMYFUNCTION("""COMPUTED_VALUE"""),"Array;Two Pointers;Design;Iterator;")</f>
        <v>Array;Two Pointers;Design;Iterator;</v>
      </c>
      <c r="M252" s="20" t="b">
        <f>IFERROR(__xludf.DUMMYFUNCTION("""COMPUTED_VALUE"""),TRUE)</f>
        <v>1</v>
      </c>
      <c r="N252" s="20" t="b">
        <f>IFERROR(__xludf.DUMMYFUNCTION("""COMPUTED_VALUE"""),FALSE)</f>
        <v>0</v>
      </c>
      <c r="O252" s="20">
        <f>IFERROR(__xludf.DUMMYFUNCTION("""COMPUTED_VALUE"""),49.0340378611532)</f>
        <v>49.03403786</v>
      </c>
      <c r="P252" s="20">
        <f>IFERROR(__xludf.DUMMYFUNCTION("""COMPUTED_VALUE"""),116067.0)</f>
        <v>116067</v>
      </c>
      <c r="Q252" s="20">
        <f>IFERROR(__xludf.DUMMYFUNCTION("""COMPUTED_VALUE"""),236707.0)</f>
        <v>236707</v>
      </c>
    </row>
    <row r="253">
      <c r="A253" s="20">
        <f>IFERROR(__xludf.DUMMYFUNCTION("""COMPUTED_VALUE"""),252.0)</f>
        <v>252</v>
      </c>
      <c r="B253" s="20" t="str">
        <f>IFERROR(__xludf.DUMMYFUNCTION("""COMPUTED_VALUE"""),"Meeting Rooms")</f>
        <v>Meeting Rooms</v>
      </c>
      <c r="C253" s="20" t="str">
        <f>IFERROR(__xludf.DUMMYFUNCTION("""COMPUTED_VALUE"""),"meeting-rooms")</f>
        <v>meeting-rooms</v>
      </c>
      <c r="D253" s="20" t="b">
        <f>IFERROR(__xludf.DUMMYFUNCTION("""COMPUTED_VALUE"""),TRUE)</f>
        <v>1</v>
      </c>
      <c r="E253" s="20" t="str">
        <f>IFERROR(__xludf.DUMMYFUNCTION("""COMPUTED_VALUE"""),"Easy")</f>
        <v>Easy</v>
      </c>
      <c r="F253" s="20">
        <f>IFERROR(__xludf.DUMMYFUNCTION("""COMPUTED_VALUE"""),1716.0)</f>
        <v>1716</v>
      </c>
      <c r="G253" s="20">
        <f>IFERROR(__xludf.DUMMYFUNCTION("""COMPUTED_VALUE"""),86.0)</f>
        <v>86</v>
      </c>
      <c r="H253" s="20" t="str">
        <f>IFERROR(__xludf.DUMMYFUNCTION("""COMPUTED_VALUE"""),"Algorithms")</f>
        <v>Algorithms</v>
      </c>
      <c r="I253" s="20">
        <f>IFERROR(__xludf.DUMMYFUNCTION("""COMPUTED_VALUE"""),0.571)</f>
        <v>0.571</v>
      </c>
      <c r="J253" s="20">
        <f>IFERROR(__xludf.DUMMYFUNCTION("""COMPUTED_VALUE"""),252.0)</f>
        <v>252</v>
      </c>
      <c r="K253" s="20" t="b">
        <f>IFERROR(__xludf.DUMMYFUNCTION("""COMPUTED_VALUE"""),TRUE)</f>
        <v>1</v>
      </c>
      <c r="L253" s="20" t="str">
        <f>IFERROR(__xludf.DUMMYFUNCTION("""COMPUTED_VALUE"""),"Array;Sorting;")</f>
        <v>Array;Sorting;</v>
      </c>
      <c r="M253" s="20" t="b">
        <f>IFERROR(__xludf.DUMMYFUNCTION("""COMPUTED_VALUE"""),TRUE)</f>
        <v>1</v>
      </c>
      <c r="N253" s="20" t="b">
        <f>IFERROR(__xludf.DUMMYFUNCTION("""COMPUTED_VALUE"""),TRUE)</f>
        <v>1</v>
      </c>
      <c r="O253" s="20">
        <f>IFERROR(__xludf.DUMMYFUNCTION("""COMPUTED_VALUE"""),57.1020899395404)</f>
        <v>57.10208994</v>
      </c>
      <c r="P253" s="20">
        <f>IFERROR(__xludf.DUMMYFUNCTION("""COMPUTED_VALUE"""),322154.0)</f>
        <v>322154</v>
      </c>
      <c r="Q253" s="20">
        <f>IFERROR(__xludf.DUMMYFUNCTION("""COMPUTED_VALUE"""),564172.0)</f>
        <v>564172</v>
      </c>
    </row>
    <row r="254">
      <c r="A254" s="20">
        <f>IFERROR(__xludf.DUMMYFUNCTION("""COMPUTED_VALUE"""),253.0)</f>
        <v>253</v>
      </c>
      <c r="B254" s="20" t="str">
        <f>IFERROR(__xludf.DUMMYFUNCTION("""COMPUTED_VALUE"""),"Meeting Rooms II")</f>
        <v>Meeting Rooms II</v>
      </c>
      <c r="C254" s="20" t="str">
        <f>IFERROR(__xludf.DUMMYFUNCTION("""COMPUTED_VALUE"""),"meeting-rooms-ii")</f>
        <v>meeting-rooms-ii</v>
      </c>
      <c r="D254" s="20" t="b">
        <f>IFERROR(__xludf.DUMMYFUNCTION("""COMPUTED_VALUE"""),TRUE)</f>
        <v>1</v>
      </c>
      <c r="E254" s="20" t="str">
        <f>IFERROR(__xludf.DUMMYFUNCTION("""COMPUTED_VALUE"""),"Medium")</f>
        <v>Medium</v>
      </c>
      <c r="F254" s="20">
        <f>IFERROR(__xludf.DUMMYFUNCTION("""COMPUTED_VALUE"""),6281.0)</f>
        <v>6281</v>
      </c>
      <c r="G254" s="20">
        <f>IFERROR(__xludf.DUMMYFUNCTION("""COMPUTED_VALUE"""),136.0)</f>
        <v>136</v>
      </c>
      <c r="H254" s="20" t="str">
        <f>IFERROR(__xludf.DUMMYFUNCTION("""COMPUTED_VALUE"""),"Algorithms")</f>
        <v>Algorithms</v>
      </c>
      <c r="I254" s="20">
        <f>IFERROR(__xludf.DUMMYFUNCTION("""COMPUTED_VALUE"""),0.505)</f>
        <v>0.505</v>
      </c>
      <c r="J254" s="20">
        <f>IFERROR(__xludf.DUMMYFUNCTION("""COMPUTED_VALUE"""),253.0)</f>
        <v>253</v>
      </c>
      <c r="K254" s="20" t="b">
        <f>IFERROR(__xludf.DUMMYFUNCTION("""COMPUTED_VALUE"""),TRUE)</f>
        <v>1</v>
      </c>
      <c r="L254" s="20" t="str">
        <f>IFERROR(__xludf.DUMMYFUNCTION("""COMPUTED_VALUE"""),"Array;Two Pointers;Greedy;Sorting;Heap (Priority Queue);Prefix Sum;")</f>
        <v>Array;Two Pointers;Greedy;Sorting;Heap (Priority Queue);Prefix Sum;</v>
      </c>
      <c r="M254" s="20" t="b">
        <f>IFERROR(__xludf.DUMMYFUNCTION("""COMPUTED_VALUE"""),TRUE)</f>
        <v>1</v>
      </c>
      <c r="N254" s="20" t="b">
        <f>IFERROR(__xludf.DUMMYFUNCTION("""COMPUTED_VALUE"""),FALSE)</f>
        <v>0</v>
      </c>
      <c r="O254" s="20">
        <f>IFERROR(__xludf.DUMMYFUNCTION("""COMPUTED_VALUE"""),50.5294893129606)</f>
        <v>50.52948931</v>
      </c>
      <c r="P254" s="20">
        <f>IFERROR(__xludf.DUMMYFUNCTION("""COMPUTED_VALUE"""),748174.0)</f>
        <v>748174</v>
      </c>
      <c r="Q254" s="20">
        <f>IFERROR(__xludf.DUMMYFUNCTION("""COMPUTED_VALUE"""),1480663.0)</f>
        <v>1480663</v>
      </c>
    </row>
    <row r="255">
      <c r="A255" s="20">
        <f>IFERROR(__xludf.DUMMYFUNCTION("""COMPUTED_VALUE"""),254.0)</f>
        <v>254</v>
      </c>
      <c r="B255" s="20" t="str">
        <f>IFERROR(__xludf.DUMMYFUNCTION("""COMPUTED_VALUE"""),"Factor Combinations")</f>
        <v>Factor Combinations</v>
      </c>
      <c r="C255" s="20" t="str">
        <f>IFERROR(__xludf.DUMMYFUNCTION("""COMPUTED_VALUE"""),"factor-combinations")</f>
        <v>factor-combinations</v>
      </c>
      <c r="D255" s="20" t="b">
        <f>IFERROR(__xludf.DUMMYFUNCTION("""COMPUTED_VALUE"""),TRUE)</f>
        <v>1</v>
      </c>
      <c r="E255" s="20" t="str">
        <f>IFERROR(__xludf.DUMMYFUNCTION("""COMPUTED_VALUE"""),"Medium")</f>
        <v>Medium</v>
      </c>
      <c r="F255" s="20">
        <f>IFERROR(__xludf.DUMMYFUNCTION("""COMPUTED_VALUE"""),1012.0)</f>
        <v>1012</v>
      </c>
      <c r="G255" s="20">
        <f>IFERROR(__xludf.DUMMYFUNCTION("""COMPUTED_VALUE"""),60.0)</f>
        <v>60</v>
      </c>
      <c r="H255" s="20" t="str">
        <f>IFERROR(__xludf.DUMMYFUNCTION("""COMPUTED_VALUE"""),"Algorithms")</f>
        <v>Algorithms</v>
      </c>
      <c r="I255" s="20">
        <f>IFERROR(__xludf.DUMMYFUNCTION("""COMPUTED_VALUE"""),0.489)</f>
        <v>0.489</v>
      </c>
      <c r="J255" s="20">
        <f>IFERROR(__xludf.DUMMYFUNCTION("""COMPUTED_VALUE"""),254.0)</f>
        <v>254</v>
      </c>
      <c r="K255" s="20" t="b">
        <f>IFERROR(__xludf.DUMMYFUNCTION("""COMPUTED_VALUE"""),TRUE)</f>
        <v>1</v>
      </c>
      <c r="L255" s="20" t="str">
        <f>IFERROR(__xludf.DUMMYFUNCTION("""COMPUTED_VALUE"""),"Array;Backtracking;")</f>
        <v>Array;Backtracking;</v>
      </c>
      <c r="M255" s="20" t="b">
        <f>IFERROR(__xludf.DUMMYFUNCTION("""COMPUTED_VALUE"""),FALSE)</f>
        <v>0</v>
      </c>
      <c r="N255" s="20" t="b">
        <f>IFERROR(__xludf.DUMMYFUNCTION("""COMPUTED_VALUE"""),FALSE)</f>
        <v>0</v>
      </c>
      <c r="O255" s="20">
        <f>IFERROR(__xludf.DUMMYFUNCTION("""COMPUTED_VALUE"""),48.9117286370955)</f>
        <v>48.91172864</v>
      </c>
      <c r="P255" s="20">
        <f>IFERROR(__xludf.DUMMYFUNCTION("""COMPUTED_VALUE"""),117260.0)</f>
        <v>117260</v>
      </c>
      <c r="Q255" s="20">
        <f>IFERROR(__xludf.DUMMYFUNCTION("""COMPUTED_VALUE"""),239738.0)</f>
        <v>239738</v>
      </c>
    </row>
    <row r="256">
      <c r="A256" s="20">
        <f>IFERROR(__xludf.DUMMYFUNCTION("""COMPUTED_VALUE"""),255.0)</f>
        <v>255</v>
      </c>
      <c r="B256" s="20" t="str">
        <f>IFERROR(__xludf.DUMMYFUNCTION("""COMPUTED_VALUE"""),"Verify Preorder Sequence in Binary Search Tree")</f>
        <v>Verify Preorder Sequence in Binary Search Tree</v>
      </c>
      <c r="C256" s="20" t="str">
        <f>IFERROR(__xludf.DUMMYFUNCTION("""COMPUTED_VALUE"""),"verify-preorder-sequence-in-binary-search-tree")</f>
        <v>verify-preorder-sequence-in-binary-search-tree</v>
      </c>
      <c r="D256" s="20" t="b">
        <f>IFERROR(__xludf.DUMMYFUNCTION("""COMPUTED_VALUE"""),TRUE)</f>
        <v>1</v>
      </c>
      <c r="E256" s="20" t="str">
        <f>IFERROR(__xludf.DUMMYFUNCTION("""COMPUTED_VALUE"""),"Medium")</f>
        <v>Medium</v>
      </c>
      <c r="F256" s="20">
        <f>IFERROR(__xludf.DUMMYFUNCTION("""COMPUTED_VALUE"""),1035.0)</f>
        <v>1035</v>
      </c>
      <c r="G256" s="20">
        <f>IFERROR(__xludf.DUMMYFUNCTION("""COMPUTED_VALUE"""),76.0)</f>
        <v>76</v>
      </c>
      <c r="H256" s="20" t="str">
        <f>IFERROR(__xludf.DUMMYFUNCTION("""COMPUTED_VALUE"""),"Algorithms")</f>
        <v>Algorithms</v>
      </c>
      <c r="I256" s="20">
        <f>IFERROR(__xludf.DUMMYFUNCTION("""COMPUTED_VALUE"""),0.481)</f>
        <v>0.481</v>
      </c>
      <c r="J256" s="20">
        <f>IFERROR(__xludf.DUMMYFUNCTION("""COMPUTED_VALUE"""),255.0)</f>
        <v>255</v>
      </c>
      <c r="K256" s="20" t="b">
        <f>IFERROR(__xludf.DUMMYFUNCTION("""COMPUTED_VALUE"""),TRUE)</f>
        <v>1</v>
      </c>
      <c r="L256" s="20" t="str">
        <f>IFERROR(__xludf.DUMMYFUNCTION("""COMPUTED_VALUE"""),"Stack;Tree;Binary Search Tree;Recursion;Monotonic Stack;Binary Tree;")</f>
        <v>Stack;Tree;Binary Search Tree;Recursion;Monotonic Stack;Binary Tree;</v>
      </c>
      <c r="M256" s="20" t="b">
        <f>IFERROR(__xludf.DUMMYFUNCTION("""COMPUTED_VALUE"""),FALSE)</f>
        <v>0</v>
      </c>
      <c r="N256" s="20" t="b">
        <f>IFERROR(__xludf.DUMMYFUNCTION("""COMPUTED_VALUE"""),FALSE)</f>
        <v>0</v>
      </c>
      <c r="O256" s="20">
        <f>IFERROR(__xludf.DUMMYFUNCTION("""COMPUTED_VALUE"""),48.1081797508266)</f>
        <v>48.10817975</v>
      </c>
      <c r="P256" s="20">
        <f>IFERROR(__xludf.DUMMYFUNCTION("""COMPUTED_VALUE"""),68965.0)</f>
        <v>68965</v>
      </c>
      <c r="Q256" s="20">
        <f>IFERROR(__xludf.DUMMYFUNCTION("""COMPUTED_VALUE"""),143354.0)</f>
        <v>143354</v>
      </c>
    </row>
    <row r="257">
      <c r="A257" s="20">
        <f>IFERROR(__xludf.DUMMYFUNCTION("""COMPUTED_VALUE"""),256.0)</f>
        <v>256</v>
      </c>
      <c r="B257" s="20" t="str">
        <f>IFERROR(__xludf.DUMMYFUNCTION("""COMPUTED_VALUE"""),"Paint House")</f>
        <v>Paint House</v>
      </c>
      <c r="C257" s="20" t="str">
        <f>IFERROR(__xludf.DUMMYFUNCTION("""COMPUTED_VALUE"""),"paint-house")</f>
        <v>paint-house</v>
      </c>
      <c r="D257" s="20" t="b">
        <f>IFERROR(__xludf.DUMMYFUNCTION("""COMPUTED_VALUE"""),TRUE)</f>
        <v>1</v>
      </c>
      <c r="E257" s="20" t="str">
        <f>IFERROR(__xludf.DUMMYFUNCTION("""COMPUTED_VALUE"""),"Medium")</f>
        <v>Medium</v>
      </c>
      <c r="F257" s="20">
        <f>IFERROR(__xludf.DUMMYFUNCTION("""COMPUTED_VALUE"""),2089.0)</f>
        <v>2089</v>
      </c>
      <c r="G257" s="20">
        <f>IFERROR(__xludf.DUMMYFUNCTION("""COMPUTED_VALUE"""),127.0)</f>
        <v>127</v>
      </c>
      <c r="H257" s="20" t="str">
        <f>IFERROR(__xludf.DUMMYFUNCTION("""COMPUTED_VALUE"""),"Algorithms")</f>
        <v>Algorithms</v>
      </c>
      <c r="I257" s="20">
        <f>IFERROR(__xludf.DUMMYFUNCTION("""COMPUTED_VALUE"""),0.608)</f>
        <v>0.608</v>
      </c>
      <c r="J257" s="20">
        <f>IFERROR(__xludf.DUMMYFUNCTION("""COMPUTED_VALUE"""),256.0)</f>
        <v>256</v>
      </c>
      <c r="K257" s="20" t="b">
        <f>IFERROR(__xludf.DUMMYFUNCTION("""COMPUTED_VALUE"""),TRUE)</f>
        <v>1</v>
      </c>
      <c r="L257" s="20" t="str">
        <f>IFERROR(__xludf.DUMMYFUNCTION("""COMPUTED_VALUE"""),"Array;Dynamic Programming;")</f>
        <v>Array;Dynamic Programming;</v>
      </c>
      <c r="M257" s="20" t="b">
        <f>IFERROR(__xludf.DUMMYFUNCTION("""COMPUTED_VALUE"""),TRUE)</f>
        <v>1</v>
      </c>
      <c r="N257" s="20" t="b">
        <f>IFERROR(__xludf.DUMMYFUNCTION("""COMPUTED_VALUE"""),FALSE)</f>
        <v>0</v>
      </c>
      <c r="O257" s="20">
        <f>IFERROR(__xludf.DUMMYFUNCTION("""COMPUTED_VALUE"""),60.7789087989095)</f>
        <v>60.7789088</v>
      </c>
      <c r="P257" s="20">
        <f>IFERROR(__xludf.DUMMYFUNCTION("""COMPUTED_VALUE"""),180141.0)</f>
        <v>180141</v>
      </c>
      <c r="Q257" s="20">
        <f>IFERROR(__xludf.DUMMYFUNCTION("""COMPUTED_VALUE"""),296388.0)</f>
        <v>296388</v>
      </c>
    </row>
    <row r="258">
      <c r="A258" s="20">
        <f>IFERROR(__xludf.DUMMYFUNCTION("""COMPUTED_VALUE"""),257.0)</f>
        <v>257</v>
      </c>
      <c r="B258" s="20" t="str">
        <f>IFERROR(__xludf.DUMMYFUNCTION("""COMPUTED_VALUE"""),"Binary Tree Paths")</f>
        <v>Binary Tree Paths</v>
      </c>
      <c r="C258" s="20" t="str">
        <f>IFERROR(__xludf.DUMMYFUNCTION("""COMPUTED_VALUE"""),"binary-tree-paths")</f>
        <v>binary-tree-paths</v>
      </c>
      <c r="D258" s="20" t="b">
        <f>IFERROR(__xludf.DUMMYFUNCTION("""COMPUTED_VALUE"""),FALSE)</f>
        <v>0</v>
      </c>
      <c r="E258" s="20" t="str">
        <f>IFERROR(__xludf.DUMMYFUNCTION("""COMPUTED_VALUE"""),"Easy")</f>
        <v>Easy</v>
      </c>
      <c r="F258" s="20">
        <f>IFERROR(__xludf.DUMMYFUNCTION("""COMPUTED_VALUE"""),5259.0)</f>
        <v>5259</v>
      </c>
      <c r="G258" s="20">
        <f>IFERROR(__xludf.DUMMYFUNCTION("""COMPUTED_VALUE"""),224.0)</f>
        <v>224</v>
      </c>
      <c r="H258" s="20" t="str">
        <f>IFERROR(__xludf.DUMMYFUNCTION("""COMPUTED_VALUE"""),"Algorithms")</f>
        <v>Algorithms</v>
      </c>
      <c r="I258" s="20">
        <f>IFERROR(__xludf.DUMMYFUNCTION("""COMPUTED_VALUE"""),0.609)</f>
        <v>0.609</v>
      </c>
      <c r="J258" s="20">
        <f>IFERROR(__xludf.DUMMYFUNCTION("""COMPUTED_VALUE"""),257.0)</f>
        <v>257</v>
      </c>
      <c r="K258" s="20" t="b">
        <f>IFERROR(__xludf.DUMMYFUNCTION("""COMPUTED_VALUE"""),FALSE)</f>
        <v>0</v>
      </c>
      <c r="L258" s="20" t="str">
        <f>IFERROR(__xludf.DUMMYFUNCTION("""COMPUTED_VALUE"""),"String;Backtracking;Tree;Depth-First Search;Binary Tree;")</f>
        <v>String;Backtracking;Tree;Depth-First Search;Binary Tree;</v>
      </c>
      <c r="M258" s="20" t="b">
        <f>IFERROR(__xludf.DUMMYFUNCTION("""COMPUTED_VALUE"""),TRUE)</f>
        <v>1</v>
      </c>
      <c r="N258" s="20" t="b">
        <f>IFERROR(__xludf.DUMMYFUNCTION("""COMPUTED_VALUE"""),FALSE)</f>
        <v>0</v>
      </c>
      <c r="O258" s="20">
        <f>IFERROR(__xludf.DUMMYFUNCTION("""COMPUTED_VALUE"""),60.8543701861076)</f>
        <v>60.85437019</v>
      </c>
      <c r="P258" s="20">
        <f>IFERROR(__xludf.DUMMYFUNCTION("""COMPUTED_VALUE"""),584190.0)</f>
        <v>584190</v>
      </c>
      <c r="Q258" s="20">
        <f>IFERROR(__xludf.DUMMYFUNCTION("""COMPUTED_VALUE"""),959980.0)</f>
        <v>959980</v>
      </c>
    </row>
    <row r="259">
      <c r="A259" s="20">
        <f>IFERROR(__xludf.DUMMYFUNCTION("""COMPUTED_VALUE"""),258.0)</f>
        <v>258</v>
      </c>
      <c r="B259" s="20" t="str">
        <f>IFERROR(__xludf.DUMMYFUNCTION("""COMPUTED_VALUE"""),"Add Digits")</f>
        <v>Add Digits</v>
      </c>
      <c r="C259" s="20" t="str">
        <f>IFERROR(__xludf.DUMMYFUNCTION("""COMPUTED_VALUE"""),"add-digits")</f>
        <v>add-digits</v>
      </c>
      <c r="D259" s="20" t="b">
        <f>IFERROR(__xludf.DUMMYFUNCTION("""COMPUTED_VALUE"""),FALSE)</f>
        <v>0</v>
      </c>
      <c r="E259" s="20" t="str">
        <f>IFERROR(__xludf.DUMMYFUNCTION("""COMPUTED_VALUE"""),"Easy")</f>
        <v>Easy</v>
      </c>
      <c r="F259" s="20">
        <f>IFERROR(__xludf.DUMMYFUNCTION("""COMPUTED_VALUE"""),2981.0)</f>
        <v>2981</v>
      </c>
      <c r="G259" s="20">
        <f>IFERROR(__xludf.DUMMYFUNCTION("""COMPUTED_VALUE"""),1728.0)</f>
        <v>1728</v>
      </c>
      <c r="H259" s="20" t="str">
        <f>IFERROR(__xludf.DUMMYFUNCTION("""COMPUTED_VALUE"""),"Algorithms")</f>
        <v>Algorithms</v>
      </c>
      <c r="I259" s="20">
        <f>IFERROR(__xludf.DUMMYFUNCTION("""COMPUTED_VALUE"""),0.636)</f>
        <v>0.636</v>
      </c>
      <c r="J259" s="20">
        <f>IFERROR(__xludf.DUMMYFUNCTION("""COMPUTED_VALUE"""),258.0)</f>
        <v>258</v>
      </c>
      <c r="K259" s="20" t="b">
        <f>IFERROR(__xludf.DUMMYFUNCTION("""COMPUTED_VALUE"""),FALSE)</f>
        <v>0</v>
      </c>
      <c r="L259" s="20" t="str">
        <f>IFERROR(__xludf.DUMMYFUNCTION("""COMPUTED_VALUE"""),"Math;Simulation;Number Theory;")</f>
        <v>Math;Simulation;Number Theory;</v>
      </c>
      <c r="M259" s="20" t="b">
        <f>IFERROR(__xludf.DUMMYFUNCTION("""COMPUTED_VALUE"""),TRUE)</f>
        <v>1</v>
      </c>
      <c r="N259" s="20" t="b">
        <f>IFERROR(__xludf.DUMMYFUNCTION("""COMPUTED_VALUE"""),FALSE)</f>
        <v>0</v>
      </c>
      <c r="O259" s="20">
        <f>IFERROR(__xludf.DUMMYFUNCTION("""COMPUTED_VALUE"""),63.6103483999971)</f>
        <v>63.6103484</v>
      </c>
      <c r="P259" s="20">
        <f>IFERROR(__xludf.DUMMYFUNCTION("""COMPUTED_VALUE"""),526810.0)</f>
        <v>526810</v>
      </c>
      <c r="Q259" s="20">
        <f>IFERROR(__xludf.DUMMYFUNCTION("""COMPUTED_VALUE"""),828184.0)</f>
        <v>828184</v>
      </c>
    </row>
    <row r="260">
      <c r="A260" s="20">
        <f>IFERROR(__xludf.DUMMYFUNCTION("""COMPUTED_VALUE"""),259.0)</f>
        <v>259</v>
      </c>
      <c r="B260" s="20" t="str">
        <f>IFERROR(__xludf.DUMMYFUNCTION("""COMPUTED_VALUE"""),"3Sum Smaller")</f>
        <v>3Sum Smaller</v>
      </c>
      <c r="C260" s="20" t="str">
        <f>IFERROR(__xludf.DUMMYFUNCTION("""COMPUTED_VALUE"""),"3sum-smaller")</f>
        <v>3sum-smaller</v>
      </c>
      <c r="D260" s="20" t="b">
        <f>IFERROR(__xludf.DUMMYFUNCTION("""COMPUTED_VALUE"""),TRUE)</f>
        <v>1</v>
      </c>
      <c r="E260" s="20" t="str">
        <f>IFERROR(__xludf.DUMMYFUNCTION("""COMPUTED_VALUE"""),"Medium")</f>
        <v>Medium</v>
      </c>
      <c r="F260" s="20">
        <f>IFERROR(__xludf.DUMMYFUNCTION("""COMPUTED_VALUE"""),1390.0)</f>
        <v>1390</v>
      </c>
      <c r="G260" s="20">
        <f>IFERROR(__xludf.DUMMYFUNCTION("""COMPUTED_VALUE"""),127.0)</f>
        <v>127</v>
      </c>
      <c r="H260" s="20" t="str">
        <f>IFERROR(__xludf.DUMMYFUNCTION("""COMPUTED_VALUE"""),"Algorithms")</f>
        <v>Algorithms</v>
      </c>
      <c r="I260" s="20">
        <f>IFERROR(__xludf.DUMMYFUNCTION("""COMPUTED_VALUE"""),0.507)</f>
        <v>0.507</v>
      </c>
      <c r="J260" s="20">
        <f>IFERROR(__xludf.DUMMYFUNCTION("""COMPUTED_VALUE"""),259.0)</f>
        <v>259</v>
      </c>
      <c r="K260" s="20" t="b">
        <f>IFERROR(__xludf.DUMMYFUNCTION("""COMPUTED_VALUE"""),TRUE)</f>
        <v>1</v>
      </c>
      <c r="L260" s="20" t="str">
        <f>IFERROR(__xludf.DUMMYFUNCTION("""COMPUTED_VALUE"""),"Array;Two Pointers;Binary Search;Sorting;")</f>
        <v>Array;Two Pointers;Binary Search;Sorting;</v>
      </c>
      <c r="M260" s="20" t="b">
        <f>IFERROR(__xludf.DUMMYFUNCTION("""COMPUTED_VALUE"""),TRUE)</f>
        <v>1</v>
      </c>
      <c r="N260" s="20" t="b">
        <f>IFERROR(__xludf.DUMMYFUNCTION("""COMPUTED_VALUE"""),FALSE)</f>
        <v>0</v>
      </c>
      <c r="O260" s="20">
        <f>IFERROR(__xludf.DUMMYFUNCTION("""COMPUTED_VALUE"""),50.6833655412682)</f>
        <v>50.68336554</v>
      </c>
      <c r="P260" s="20">
        <f>IFERROR(__xludf.DUMMYFUNCTION("""COMPUTED_VALUE"""),130349.0)</f>
        <v>130349</v>
      </c>
      <c r="Q260" s="20">
        <f>IFERROR(__xludf.DUMMYFUNCTION("""COMPUTED_VALUE"""),257183.0)</f>
        <v>257183</v>
      </c>
    </row>
    <row r="261">
      <c r="A261" s="20">
        <f>IFERROR(__xludf.DUMMYFUNCTION("""COMPUTED_VALUE"""),260.0)</f>
        <v>260</v>
      </c>
      <c r="B261" s="20" t="str">
        <f>IFERROR(__xludf.DUMMYFUNCTION("""COMPUTED_VALUE"""),"Single Number III")</f>
        <v>Single Number III</v>
      </c>
      <c r="C261" s="20" t="str">
        <f>IFERROR(__xludf.DUMMYFUNCTION("""COMPUTED_VALUE"""),"single-number-iii")</f>
        <v>single-number-iii</v>
      </c>
      <c r="D261" s="20" t="b">
        <f>IFERROR(__xludf.DUMMYFUNCTION("""COMPUTED_VALUE"""),FALSE)</f>
        <v>0</v>
      </c>
      <c r="E261" s="20" t="str">
        <f>IFERROR(__xludf.DUMMYFUNCTION("""COMPUTED_VALUE"""),"Medium")</f>
        <v>Medium</v>
      </c>
      <c r="F261" s="20">
        <f>IFERROR(__xludf.DUMMYFUNCTION("""COMPUTED_VALUE"""),4585.0)</f>
        <v>4585</v>
      </c>
      <c r="G261" s="20">
        <f>IFERROR(__xludf.DUMMYFUNCTION("""COMPUTED_VALUE"""),203.0)</f>
        <v>203</v>
      </c>
      <c r="H261" s="20" t="str">
        <f>IFERROR(__xludf.DUMMYFUNCTION("""COMPUTED_VALUE"""),"Algorithms")</f>
        <v>Algorithms</v>
      </c>
      <c r="I261" s="20">
        <f>IFERROR(__xludf.DUMMYFUNCTION("""COMPUTED_VALUE"""),0.675)</f>
        <v>0.675</v>
      </c>
      <c r="J261" s="20">
        <f>IFERROR(__xludf.DUMMYFUNCTION("""COMPUTED_VALUE"""),260.0)</f>
        <v>260</v>
      </c>
      <c r="K261" s="20" t="b">
        <f>IFERROR(__xludf.DUMMYFUNCTION("""COMPUTED_VALUE"""),FALSE)</f>
        <v>0</v>
      </c>
      <c r="L261" s="20" t="str">
        <f>IFERROR(__xludf.DUMMYFUNCTION("""COMPUTED_VALUE"""),"Array;Bit Manipulation;")</f>
        <v>Array;Bit Manipulation;</v>
      </c>
      <c r="M261" s="20" t="b">
        <f>IFERROR(__xludf.DUMMYFUNCTION("""COMPUTED_VALUE"""),TRUE)</f>
        <v>1</v>
      </c>
      <c r="N261" s="20" t="b">
        <f>IFERROR(__xludf.DUMMYFUNCTION("""COMPUTED_VALUE"""),FALSE)</f>
        <v>0</v>
      </c>
      <c r="O261" s="20">
        <f>IFERROR(__xludf.DUMMYFUNCTION("""COMPUTED_VALUE"""),67.5188384267966)</f>
        <v>67.51883843</v>
      </c>
      <c r="P261" s="20">
        <f>IFERROR(__xludf.DUMMYFUNCTION("""COMPUTED_VALUE"""),281800.0)</f>
        <v>281800</v>
      </c>
      <c r="Q261" s="20">
        <f>IFERROR(__xludf.DUMMYFUNCTION("""COMPUTED_VALUE"""),417365.0)</f>
        <v>417365</v>
      </c>
    </row>
    <row r="262">
      <c r="A262" s="20">
        <f>IFERROR(__xludf.DUMMYFUNCTION("""COMPUTED_VALUE"""),261.0)</f>
        <v>261</v>
      </c>
      <c r="B262" s="20" t="str">
        <f>IFERROR(__xludf.DUMMYFUNCTION("""COMPUTED_VALUE"""),"Graph Valid Tree")</f>
        <v>Graph Valid Tree</v>
      </c>
      <c r="C262" s="20" t="str">
        <f>IFERROR(__xludf.DUMMYFUNCTION("""COMPUTED_VALUE"""),"graph-valid-tree")</f>
        <v>graph-valid-tree</v>
      </c>
      <c r="D262" s="20" t="b">
        <f>IFERROR(__xludf.DUMMYFUNCTION("""COMPUTED_VALUE"""),TRUE)</f>
        <v>1</v>
      </c>
      <c r="E262" s="20" t="str">
        <f>IFERROR(__xludf.DUMMYFUNCTION("""COMPUTED_VALUE"""),"Medium")</f>
        <v>Medium</v>
      </c>
      <c r="F262" s="20">
        <f>IFERROR(__xludf.DUMMYFUNCTION("""COMPUTED_VALUE"""),2878.0)</f>
        <v>2878</v>
      </c>
      <c r="G262" s="20">
        <f>IFERROR(__xludf.DUMMYFUNCTION("""COMPUTED_VALUE"""),79.0)</f>
        <v>79</v>
      </c>
      <c r="H262" s="20" t="str">
        <f>IFERROR(__xludf.DUMMYFUNCTION("""COMPUTED_VALUE"""),"Algorithms")</f>
        <v>Algorithms</v>
      </c>
      <c r="I262" s="20">
        <f>IFERROR(__xludf.DUMMYFUNCTION("""COMPUTED_VALUE"""),0.47)</f>
        <v>0.47</v>
      </c>
      <c r="J262" s="20">
        <f>IFERROR(__xludf.DUMMYFUNCTION("""COMPUTED_VALUE"""),261.0)</f>
        <v>261</v>
      </c>
      <c r="K262" s="20" t="b">
        <f>IFERROR(__xludf.DUMMYFUNCTION("""COMPUTED_VALUE"""),TRUE)</f>
        <v>1</v>
      </c>
      <c r="L262" s="20" t="str">
        <f>IFERROR(__xludf.DUMMYFUNCTION("""COMPUTED_VALUE"""),"Depth-First Search;Breadth-First Search;Union Find;Graph;")</f>
        <v>Depth-First Search;Breadth-First Search;Union Find;Graph;</v>
      </c>
      <c r="M262" s="20" t="b">
        <f>IFERROR(__xludf.DUMMYFUNCTION("""COMPUTED_VALUE"""),TRUE)</f>
        <v>1</v>
      </c>
      <c r="N262" s="20" t="b">
        <f>IFERROR(__xludf.DUMMYFUNCTION("""COMPUTED_VALUE"""),FALSE)</f>
        <v>0</v>
      </c>
      <c r="O262" s="20">
        <f>IFERROR(__xludf.DUMMYFUNCTION("""COMPUTED_VALUE"""),46.9563666453222)</f>
        <v>46.95636665</v>
      </c>
      <c r="P262" s="20">
        <f>IFERROR(__xludf.DUMMYFUNCTION("""COMPUTED_VALUE"""),321189.0)</f>
        <v>321189</v>
      </c>
      <c r="Q262" s="20">
        <f>IFERROR(__xludf.DUMMYFUNCTION("""COMPUTED_VALUE"""),684016.0)</f>
        <v>684016</v>
      </c>
    </row>
    <row r="263">
      <c r="A263" s="20">
        <f>IFERROR(__xludf.DUMMYFUNCTION("""COMPUTED_VALUE"""),262.0)</f>
        <v>262</v>
      </c>
      <c r="B263" s="20" t="str">
        <f>IFERROR(__xludf.DUMMYFUNCTION("""COMPUTED_VALUE"""),"Trips and Users")</f>
        <v>Trips and Users</v>
      </c>
      <c r="C263" s="20" t="str">
        <f>IFERROR(__xludf.DUMMYFUNCTION("""COMPUTED_VALUE"""),"trips-and-users")</f>
        <v>trips-and-users</v>
      </c>
      <c r="D263" s="20" t="b">
        <f>IFERROR(__xludf.DUMMYFUNCTION("""COMPUTED_VALUE"""),FALSE)</f>
        <v>0</v>
      </c>
      <c r="E263" s="20" t="str">
        <f>IFERROR(__xludf.DUMMYFUNCTION("""COMPUTED_VALUE"""),"Hard")</f>
        <v>Hard</v>
      </c>
      <c r="F263" s="20">
        <f>IFERROR(__xludf.DUMMYFUNCTION("""COMPUTED_VALUE"""),934.0)</f>
        <v>934</v>
      </c>
      <c r="G263" s="20">
        <f>IFERROR(__xludf.DUMMYFUNCTION("""COMPUTED_VALUE"""),549.0)</f>
        <v>549</v>
      </c>
      <c r="H263" s="20" t="str">
        <f>IFERROR(__xludf.DUMMYFUNCTION("""COMPUTED_VALUE"""),"Database")</f>
        <v>Database</v>
      </c>
      <c r="I263" s="20">
        <f>IFERROR(__xludf.DUMMYFUNCTION("""COMPUTED_VALUE"""),0.382)</f>
        <v>0.382</v>
      </c>
      <c r="J263" s="20">
        <f>IFERROR(__xludf.DUMMYFUNCTION("""COMPUTED_VALUE"""),262.0)</f>
        <v>262</v>
      </c>
      <c r="K263" s="20" t="b">
        <f>IFERROR(__xludf.DUMMYFUNCTION("""COMPUTED_VALUE"""),FALSE)</f>
        <v>0</v>
      </c>
      <c r="L263" s="20" t="str">
        <f>IFERROR(__xludf.DUMMYFUNCTION("""COMPUTED_VALUE"""),"Database;")</f>
        <v>Database;</v>
      </c>
      <c r="M263" s="20" t="b">
        <f>IFERROR(__xludf.DUMMYFUNCTION("""COMPUTED_VALUE"""),FALSE)</f>
        <v>0</v>
      </c>
      <c r="N263" s="20" t="b">
        <f>IFERROR(__xludf.DUMMYFUNCTION("""COMPUTED_VALUE"""),FALSE)</f>
        <v>0</v>
      </c>
      <c r="O263" s="20">
        <f>IFERROR(__xludf.DUMMYFUNCTION("""COMPUTED_VALUE"""),38.2022250830611)</f>
        <v>38.20222508</v>
      </c>
      <c r="P263" s="20">
        <f>IFERROR(__xludf.DUMMYFUNCTION("""COMPUTED_VALUE"""),135909.0)</f>
        <v>135909</v>
      </c>
      <c r="Q263" s="20">
        <f>IFERROR(__xludf.DUMMYFUNCTION("""COMPUTED_VALUE"""),355762.0)</f>
        <v>355762</v>
      </c>
    </row>
    <row r="264">
      <c r="A264" s="20">
        <f>IFERROR(__xludf.DUMMYFUNCTION("""COMPUTED_VALUE"""),263.0)</f>
        <v>263</v>
      </c>
      <c r="B264" s="20" t="str">
        <f>IFERROR(__xludf.DUMMYFUNCTION("""COMPUTED_VALUE"""),"Ugly Number")</f>
        <v>Ugly Number</v>
      </c>
      <c r="C264" s="20" t="str">
        <f>IFERROR(__xludf.DUMMYFUNCTION("""COMPUTED_VALUE"""),"ugly-number")</f>
        <v>ugly-number</v>
      </c>
      <c r="D264" s="20" t="b">
        <f>IFERROR(__xludf.DUMMYFUNCTION("""COMPUTED_VALUE"""),FALSE)</f>
        <v>0</v>
      </c>
      <c r="E264" s="20" t="str">
        <f>IFERROR(__xludf.DUMMYFUNCTION("""COMPUTED_VALUE"""),"Easy")</f>
        <v>Easy</v>
      </c>
      <c r="F264" s="20">
        <f>IFERROR(__xludf.DUMMYFUNCTION("""COMPUTED_VALUE"""),2580.0)</f>
        <v>2580</v>
      </c>
      <c r="G264" s="20">
        <f>IFERROR(__xludf.DUMMYFUNCTION("""COMPUTED_VALUE"""),1438.0)</f>
        <v>1438</v>
      </c>
      <c r="H264" s="20" t="str">
        <f>IFERROR(__xludf.DUMMYFUNCTION("""COMPUTED_VALUE"""),"Algorithms")</f>
        <v>Algorithms</v>
      </c>
      <c r="I264" s="20">
        <f>IFERROR(__xludf.DUMMYFUNCTION("""COMPUTED_VALUE"""),0.425)</f>
        <v>0.425</v>
      </c>
      <c r="J264" s="20">
        <f>IFERROR(__xludf.DUMMYFUNCTION("""COMPUTED_VALUE"""),263.0)</f>
        <v>263</v>
      </c>
      <c r="K264" s="20" t="b">
        <f>IFERROR(__xludf.DUMMYFUNCTION("""COMPUTED_VALUE"""),FALSE)</f>
        <v>0</v>
      </c>
      <c r="L264" s="20" t="str">
        <f>IFERROR(__xludf.DUMMYFUNCTION("""COMPUTED_VALUE"""),"Math;")</f>
        <v>Math;</v>
      </c>
      <c r="M264" s="20" t="b">
        <f>IFERROR(__xludf.DUMMYFUNCTION("""COMPUTED_VALUE"""),TRUE)</f>
        <v>1</v>
      </c>
      <c r="N264" s="20" t="b">
        <f>IFERROR(__xludf.DUMMYFUNCTION("""COMPUTED_VALUE"""),FALSE)</f>
        <v>0</v>
      </c>
      <c r="O264" s="20">
        <f>IFERROR(__xludf.DUMMYFUNCTION("""COMPUTED_VALUE"""),42.5212461576097)</f>
        <v>42.52124616</v>
      </c>
      <c r="P264" s="20">
        <f>IFERROR(__xludf.DUMMYFUNCTION("""COMPUTED_VALUE"""),399767.0)</f>
        <v>399767</v>
      </c>
      <c r="Q264" s="20">
        <f>IFERROR(__xludf.DUMMYFUNCTION("""COMPUTED_VALUE"""),940161.0)</f>
        <v>940161</v>
      </c>
    </row>
    <row r="265">
      <c r="A265" s="20">
        <f>IFERROR(__xludf.DUMMYFUNCTION("""COMPUTED_VALUE"""),264.0)</f>
        <v>264</v>
      </c>
      <c r="B265" s="20" t="str">
        <f>IFERROR(__xludf.DUMMYFUNCTION("""COMPUTED_VALUE"""),"Ugly Number II")</f>
        <v>Ugly Number II</v>
      </c>
      <c r="C265" s="20" t="str">
        <f>IFERROR(__xludf.DUMMYFUNCTION("""COMPUTED_VALUE"""),"ugly-number-ii")</f>
        <v>ugly-number-ii</v>
      </c>
      <c r="D265" s="20" t="b">
        <f>IFERROR(__xludf.DUMMYFUNCTION("""COMPUTED_VALUE"""),FALSE)</f>
        <v>0</v>
      </c>
      <c r="E265" s="20" t="str">
        <f>IFERROR(__xludf.DUMMYFUNCTION("""COMPUTED_VALUE"""),"Medium")</f>
        <v>Medium</v>
      </c>
      <c r="F265" s="20">
        <f>IFERROR(__xludf.DUMMYFUNCTION("""COMPUTED_VALUE"""),5005.0)</f>
        <v>5005</v>
      </c>
      <c r="G265" s="20">
        <f>IFERROR(__xludf.DUMMYFUNCTION("""COMPUTED_VALUE"""),245.0)</f>
        <v>245</v>
      </c>
      <c r="H265" s="20" t="str">
        <f>IFERROR(__xludf.DUMMYFUNCTION("""COMPUTED_VALUE"""),"Algorithms")</f>
        <v>Algorithms</v>
      </c>
      <c r="I265" s="20">
        <f>IFERROR(__xludf.DUMMYFUNCTION("""COMPUTED_VALUE"""),0.462)</f>
        <v>0.462</v>
      </c>
      <c r="J265" s="20">
        <f>IFERROR(__xludf.DUMMYFUNCTION("""COMPUTED_VALUE"""),264.0)</f>
        <v>264</v>
      </c>
      <c r="K265" s="20" t="b">
        <f>IFERROR(__xludf.DUMMYFUNCTION("""COMPUTED_VALUE"""),FALSE)</f>
        <v>0</v>
      </c>
      <c r="L265" s="20" t="str">
        <f>IFERROR(__xludf.DUMMYFUNCTION("""COMPUTED_VALUE"""),"Hash Table;Math;Dynamic Programming;Heap (Priority Queue);")</f>
        <v>Hash Table;Math;Dynamic Programming;Heap (Priority Queue);</v>
      </c>
      <c r="M265" s="20" t="b">
        <f>IFERROR(__xludf.DUMMYFUNCTION("""COMPUTED_VALUE"""),TRUE)</f>
        <v>1</v>
      </c>
      <c r="N265" s="20" t="b">
        <f>IFERROR(__xludf.DUMMYFUNCTION("""COMPUTED_VALUE"""),FALSE)</f>
        <v>0</v>
      </c>
      <c r="O265" s="20">
        <f>IFERROR(__xludf.DUMMYFUNCTION("""COMPUTED_VALUE"""),46.1702895183305)</f>
        <v>46.17028952</v>
      </c>
      <c r="P265" s="20">
        <f>IFERROR(__xludf.DUMMYFUNCTION("""COMPUTED_VALUE"""),293095.0)</f>
        <v>293095</v>
      </c>
      <c r="Q265" s="20">
        <f>IFERROR(__xludf.DUMMYFUNCTION("""COMPUTED_VALUE"""),634813.0)</f>
        <v>634813</v>
      </c>
    </row>
    <row r="266">
      <c r="A266" s="20">
        <f>IFERROR(__xludf.DUMMYFUNCTION("""COMPUTED_VALUE"""),265.0)</f>
        <v>265</v>
      </c>
      <c r="B266" s="20" t="str">
        <f>IFERROR(__xludf.DUMMYFUNCTION("""COMPUTED_VALUE"""),"Paint House II")</f>
        <v>Paint House II</v>
      </c>
      <c r="C266" s="20" t="str">
        <f>IFERROR(__xludf.DUMMYFUNCTION("""COMPUTED_VALUE"""),"paint-house-ii")</f>
        <v>paint-house-ii</v>
      </c>
      <c r="D266" s="20" t="b">
        <f>IFERROR(__xludf.DUMMYFUNCTION("""COMPUTED_VALUE"""),TRUE)</f>
        <v>1</v>
      </c>
      <c r="E266" s="20" t="str">
        <f>IFERROR(__xludf.DUMMYFUNCTION("""COMPUTED_VALUE"""),"Hard")</f>
        <v>Hard</v>
      </c>
      <c r="F266" s="20">
        <f>IFERROR(__xludf.DUMMYFUNCTION("""COMPUTED_VALUE"""),1124.0)</f>
        <v>1124</v>
      </c>
      <c r="G266" s="20">
        <f>IFERROR(__xludf.DUMMYFUNCTION("""COMPUTED_VALUE"""),33.0)</f>
        <v>33</v>
      </c>
      <c r="H266" s="20" t="str">
        <f>IFERROR(__xludf.DUMMYFUNCTION("""COMPUTED_VALUE"""),"Algorithms")</f>
        <v>Algorithms</v>
      </c>
      <c r="I266" s="20">
        <f>IFERROR(__xludf.DUMMYFUNCTION("""COMPUTED_VALUE"""),0.526)</f>
        <v>0.526</v>
      </c>
      <c r="J266" s="20">
        <f>IFERROR(__xludf.DUMMYFUNCTION("""COMPUTED_VALUE"""),265.0)</f>
        <v>265</v>
      </c>
      <c r="K266" s="20" t="b">
        <f>IFERROR(__xludf.DUMMYFUNCTION("""COMPUTED_VALUE"""),TRUE)</f>
        <v>1</v>
      </c>
      <c r="L266" s="20" t="str">
        <f>IFERROR(__xludf.DUMMYFUNCTION("""COMPUTED_VALUE"""),"Array;Dynamic Programming;")</f>
        <v>Array;Dynamic Programming;</v>
      </c>
      <c r="M266" s="20" t="b">
        <f>IFERROR(__xludf.DUMMYFUNCTION("""COMPUTED_VALUE"""),TRUE)</f>
        <v>1</v>
      </c>
      <c r="N266" s="20" t="b">
        <f>IFERROR(__xludf.DUMMYFUNCTION("""COMPUTED_VALUE"""),FALSE)</f>
        <v>0</v>
      </c>
      <c r="O266" s="20">
        <f>IFERROR(__xludf.DUMMYFUNCTION("""COMPUTED_VALUE"""),52.5553886500984)</f>
        <v>52.55538865</v>
      </c>
      <c r="P266" s="20">
        <f>IFERROR(__xludf.DUMMYFUNCTION("""COMPUTED_VALUE"""),106009.0)</f>
        <v>106009</v>
      </c>
      <c r="Q266" s="20">
        <f>IFERROR(__xludf.DUMMYFUNCTION("""COMPUTED_VALUE"""),201710.0)</f>
        <v>201710</v>
      </c>
    </row>
    <row r="267">
      <c r="A267" s="20">
        <f>IFERROR(__xludf.DUMMYFUNCTION("""COMPUTED_VALUE"""),266.0)</f>
        <v>266</v>
      </c>
      <c r="B267" s="20" t="str">
        <f>IFERROR(__xludf.DUMMYFUNCTION("""COMPUTED_VALUE"""),"Palindrome Permutation")</f>
        <v>Palindrome Permutation</v>
      </c>
      <c r="C267" s="20" t="str">
        <f>IFERROR(__xludf.DUMMYFUNCTION("""COMPUTED_VALUE"""),"palindrome-permutation")</f>
        <v>palindrome-permutation</v>
      </c>
      <c r="D267" s="20" t="b">
        <f>IFERROR(__xludf.DUMMYFUNCTION("""COMPUTED_VALUE"""),TRUE)</f>
        <v>1</v>
      </c>
      <c r="E267" s="20" t="str">
        <f>IFERROR(__xludf.DUMMYFUNCTION("""COMPUTED_VALUE"""),"Easy")</f>
        <v>Easy</v>
      </c>
      <c r="F267" s="20">
        <f>IFERROR(__xludf.DUMMYFUNCTION("""COMPUTED_VALUE"""),945.0)</f>
        <v>945</v>
      </c>
      <c r="G267" s="20">
        <f>IFERROR(__xludf.DUMMYFUNCTION("""COMPUTED_VALUE"""),67.0)</f>
        <v>67</v>
      </c>
      <c r="H267" s="20" t="str">
        <f>IFERROR(__xludf.DUMMYFUNCTION("""COMPUTED_VALUE"""),"Algorithms")</f>
        <v>Algorithms</v>
      </c>
      <c r="I267" s="20">
        <f>IFERROR(__xludf.DUMMYFUNCTION("""COMPUTED_VALUE"""),0.659)</f>
        <v>0.659</v>
      </c>
      <c r="J267" s="20">
        <f>IFERROR(__xludf.DUMMYFUNCTION("""COMPUTED_VALUE"""),266.0)</f>
        <v>266</v>
      </c>
      <c r="K267" s="20" t="b">
        <f>IFERROR(__xludf.DUMMYFUNCTION("""COMPUTED_VALUE"""),TRUE)</f>
        <v>1</v>
      </c>
      <c r="L267" s="20" t="str">
        <f>IFERROR(__xludf.DUMMYFUNCTION("""COMPUTED_VALUE"""),"Hash Table;String;Bit Manipulation;")</f>
        <v>Hash Table;String;Bit Manipulation;</v>
      </c>
      <c r="M267" s="20" t="b">
        <f>IFERROR(__xludf.DUMMYFUNCTION("""COMPUTED_VALUE"""),TRUE)</f>
        <v>1</v>
      </c>
      <c r="N267" s="20" t="b">
        <f>IFERROR(__xludf.DUMMYFUNCTION("""COMPUTED_VALUE"""),FALSE)</f>
        <v>0</v>
      </c>
      <c r="O267" s="20">
        <f>IFERROR(__xludf.DUMMYFUNCTION("""COMPUTED_VALUE"""),65.9138265870959)</f>
        <v>65.91382659</v>
      </c>
      <c r="P267" s="20">
        <f>IFERROR(__xludf.DUMMYFUNCTION("""COMPUTED_VALUE"""),176829.0)</f>
        <v>176829</v>
      </c>
      <c r="Q267" s="20">
        <f>IFERROR(__xludf.DUMMYFUNCTION("""COMPUTED_VALUE"""),268273.0)</f>
        <v>268273</v>
      </c>
    </row>
    <row r="268">
      <c r="A268" s="20">
        <f>IFERROR(__xludf.DUMMYFUNCTION("""COMPUTED_VALUE"""),267.0)</f>
        <v>267</v>
      </c>
      <c r="B268" s="20" t="str">
        <f>IFERROR(__xludf.DUMMYFUNCTION("""COMPUTED_VALUE"""),"Palindrome Permutation II")</f>
        <v>Palindrome Permutation II</v>
      </c>
      <c r="C268" s="20" t="str">
        <f>IFERROR(__xludf.DUMMYFUNCTION("""COMPUTED_VALUE"""),"palindrome-permutation-ii")</f>
        <v>palindrome-permutation-ii</v>
      </c>
      <c r="D268" s="20" t="b">
        <f>IFERROR(__xludf.DUMMYFUNCTION("""COMPUTED_VALUE"""),TRUE)</f>
        <v>1</v>
      </c>
      <c r="E268" s="20" t="str">
        <f>IFERROR(__xludf.DUMMYFUNCTION("""COMPUTED_VALUE"""),"Medium")</f>
        <v>Medium</v>
      </c>
      <c r="F268" s="20">
        <f>IFERROR(__xludf.DUMMYFUNCTION("""COMPUTED_VALUE"""),790.0)</f>
        <v>790</v>
      </c>
      <c r="G268" s="20">
        <f>IFERROR(__xludf.DUMMYFUNCTION("""COMPUTED_VALUE"""),90.0)</f>
        <v>90</v>
      </c>
      <c r="H268" s="20" t="str">
        <f>IFERROR(__xludf.DUMMYFUNCTION("""COMPUTED_VALUE"""),"Algorithms")</f>
        <v>Algorithms</v>
      </c>
      <c r="I268" s="20">
        <f>IFERROR(__xludf.DUMMYFUNCTION("""COMPUTED_VALUE"""),0.406)</f>
        <v>0.406</v>
      </c>
      <c r="J268" s="20">
        <f>IFERROR(__xludf.DUMMYFUNCTION("""COMPUTED_VALUE"""),267.0)</f>
        <v>267</v>
      </c>
      <c r="K268" s="20" t="b">
        <f>IFERROR(__xludf.DUMMYFUNCTION("""COMPUTED_VALUE"""),TRUE)</f>
        <v>1</v>
      </c>
      <c r="L268" s="20" t="str">
        <f>IFERROR(__xludf.DUMMYFUNCTION("""COMPUTED_VALUE"""),"Hash Table;String;Backtracking;")</f>
        <v>Hash Table;String;Backtracking;</v>
      </c>
      <c r="M268" s="20" t="b">
        <f>IFERROR(__xludf.DUMMYFUNCTION("""COMPUTED_VALUE"""),TRUE)</f>
        <v>1</v>
      </c>
      <c r="N268" s="20" t="b">
        <f>IFERROR(__xludf.DUMMYFUNCTION("""COMPUTED_VALUE"""),FALSE)</f>
        <v>0</v>
      </c>
      <c r="O268" s="20">
        <f>IFERROR(__xludf.DUMMYFUNCTION("""COMPUTED_VALUE"""),40.5957816916721)</f>
        <v>40.59578169</v>
      </c>
      <c r="P268" s="20">
        <f>IFERROR(__xludf.DUMMYFUNCTION("""COMPUTED_VALUE"""),59744.0)</f>
        <v>59744</v>
      </c>
      <c r="Q268" s="20">
        <f>IFERROR(__xludf.DUMMYFUNCTION("""COMPUTED_VALUE"""),147168.0)</f>
        <v>147168</v>
      </c>
    </row>
    <row r="269">
      <c r="A269" s="20">
        <f>IFERROR(__xludf.DUMMYFUNCTION("""COMPUTED_VALUE"""),268.0)</f>
        <v>268</v>
      </c>
      <c r="B269" s="20" t="str">
        <f>IFERROR(__xludf.DUMMYFUNCTION("""COMPUTED_VALUE"""),"Missing Number")</f>
        <v>Missing Number</v>
      </c>
      <c r="C269" s="20" t="str">
        <f>IFERROR(__xludf.DUMMYFUNCTION("""COMPUTED_VALUE"""),"missing-number")</f>
        <v>missing-number</v>
      </c>
      <c r="D269" s="20" t="b">
        <f>IFERROR(__xludf.DUMMYFUNCTION("""COMPUTED_VALUE"""),FALSE)</f>
        <v>0</v>
      </c>
      <c r="E269" s="20" t="str">
        <f>IFERROR(__xludf.DUMMYFUNCTION("""COMPUTED_VALUE"""),"Easy")</f>
        <v>Easy</v>
      </c>
      <c r="F269" s="20">
        <f>IFERROR(__xludf.DUMMYFUNCTION("""COMPUTED_VALUE"""),8252.0)</f>
        <v>8252</v>
      </c>
      <c r="G269" s="20">
        <f>IFERROR(__xludf.DUMMYFUNCTION("""COMPUTED_VALUE"""),3020.0)</f>
        <v>3020</v>
      </c>
      <c r="H269" s="20" t="str">
        <f>IFERROR(__xludf.DUMMYFUNCTION("""COMPUTED_VALUE"""),"Algorithms")</f>
        <v>Algorithms</v>
      </c>
      <c r="I269" s="20">
        <f>IFERROR(__xludf.DUMMYFUNCTION("""COMPUTED_VALUE"""),0.619)</f>
        <v>0.619</v>
      </c>
      <c r="J269" s="20">
        <f>IFERROR(__xludf.DUMMYFUNCTION("""COMPUTED_VALUE"""),268.0)</f>
        <v>268</v>
      </c>
      <c r="K269" s="20" t="b">
        <f>IFERROR(__xludf.DUMMYFUNCTION("""COMPUTED_VALUE"""),FALSE)</f>
        <v>0</v>
      </c>
      <c r="L269" s="20" t="str">
        <f>IFERROR(__xludf.DUMMYFUNCTION("""COMPUTED_VALUE"""),"Array;Hash Table;Math;Binary Search;Bit Manipulation;Sorting;")</f>
        <v>Array;Hash Table;Math;Binary Search;Bit Manipulation;Sorting;</v>
      </c>
      <c r="M269" s="20" t="b">
        <f>IFERROR(__xludf.DUMMYFUNCTION("""COMPUTED_VALUE"""),TRUE)</f>
        <v>1</v>
      </c>
      <c r="N269" s="20" t="b">
        <f>IFERROR(__xludf.DUMMYFUNCTION("""COMPUTED_VALUE"""),TRUE)</f>
        <v>1</v>
      </c>
      <c r="O269" s="20">
        <f>IFERROR(__xludf.DUMMYFUNCTION("""COMPUTED_VALUE"""),61.8673577031953)</f>
        <v>61.8673577</v>
      </c>
      <c r="P269" s="20">
        <f>IFERROR(__xludf.DUMMYFUNCTION("""COMPUTED_VALUE"""),1341239.0)</f>
        <v>1341239</v>
      </c>
      <c r="Q269" s="20">
        <f>IFERROR(__xludf.DUMMYFUNCTION("""COMPUTED_VALUE"""),2167934.0)</f>
        <v>2167934</v>
      </c>
    </row>
    <row r="270">
      <c r="A270" s="20">
        <f>IFERROR(__xludf.DUMMYFUNCTION("""COMPUTED_VALUE"""),269.0)</f>
        <v>269</v>
      </c>
      <c r="B270" s="20" t="str">
        <f>IFERROR(__xludf.DUMMYFUNCTION("""COMPUTED_VALUE"""),"Alien Dictionary")</f>
        <v>Alien Dictionary</v>
      </c>
      <c r="C270" s="20" t="str">
        <f>IFERROR(__xludf.DUMMYFUNCTION("""COMPUTED_VALUE"""),"alien-dictionary")</f>
        <v>alien-dictionary</v>
      </c>
      <c r="D270" s="20" t="b">
        <f>IFERROR(__xludf.DUMMYFUNCTION("""COMPUTED_VALUE"""),TRUE)</f>
        <v>1</v>
      </c>
      <c r="E270" s="20" t="str">
        <f>IFERROR(__xludf.DUMMYFUNCTION("""COMPUTED_VALUE"""),"Hard")</f>
        <v>Hard</v>
      </c>
      <c r="F270" s="20">
        <f>IFERROR(__xludf.DUMMYFUNCTION("""COMPUTED_VALUE"""),3996.0)</f>
        <v>3996</v>
      </c>
      <c r="G270" s="20">
        <f>IFERROR(__xludf.DUMMYFUNCTION("""COMPUTED_VALUE"""),844.0)</f>
        <v>844</v>
      </c>
      <c r="H270" s="20" t="str">
        <f>IFERROR(__xludf.DUMMYFUNCTION("""COMPUTED_VALUE"""),"Algorithms")</f>
        <v>Algorithms</v>
      </c>
      <c r="I270" s="20">
        <f>IFERROR(__xludf.DUMMYFUNCTION("""COMPUTED_VALUE"""),0.353)</f>
        <v>0.353</v>
      </c>
      <c r="J270" s="20">
        <f>IFERROR(__xludf.DUMMYFUNCTION("""COMPUTED_VALUE"""),269.0)</f>
        <v>269</v>
      </c>
      <c r="K270" s="20" t="b">
        <f>IFERROR(__xludf.DUMMYFUNCTION("""COMPUTED_VALUE"""),TRUE)</f>
        <v>1</v>
      </c>
      <c r="L270" s="20" t="str">
        <f>IFERROR(__xludf.DUMMYFUNCTION("""COMPUTED_VALUE"""),"Array;String;Depth-First Search;Breadth-First Search;Graph;Topological Sort;")</f>
        <v>Array;String;Depth-First Search;Breadth-First Search;Graph;Topological Sort;</v>
      </c>
      <c r="M270" s="20" t="b">
        <f>IFERROR(__xludf.DUMMYFUNCTION("""COMPUTED_VALUE"""),TRUE)</f>
        <v>1</v>
      </c>
      <c r="N270" s="20" t="b">
        <f>IFERROR(__xludf.DUMMYFUNCTION("""COMPUTED_VALUE"""),FALSE)</f>
        <v>0</v>
      </c>
      <c r="O270" s="20">
        <f>IFERROR(__xludf.DUMMYFUNCTION("""COMPUTED_VALUE"""),35.3001093518054)</f>
        <v>35.30010935</v>
      </c>
      <c r="P270" s="20">
        <f>IFERROR(__xludf.DUMMYFUNCTION("""COMPUTED_VALUE"""),325072.0)</f>
        <v>325072</v>
      </c>
      <c r="Q270" s="20">
        <f>IFERROR(__xludf.DUMMYFUNCTION("""COMPUTED_VALUE"""),920881.0)</f>
        <v>920881</v>
      </c>
    </row>
    <row r="271">
      <c r="A271" s="20">
        <f>IFERROR(__xludf.DUMMYFUNCTION("""COMPUTED_VALUE"""),270.0)</f>
        <v>270</v>
      </c>
      <c r="B271" s="20" t="str">
        <f>IFERROR(__xludf.DUMMYFUNCTION("""COMPUTED_VALUE"""),"Closest Binary Search Tree Value")</f>
        <v>Closest Binary Search Tree Value</v>
      </c>
      <c r="C271" s="20" t="str">
        <f>IFERROR(__xludf.DUMMYFUNCTION("""COMPUTED_VALUE"""),"closest-binary-search-tree-value")</f>
        <v>closest-binary-search-tree-value</v>
      </c>
      <c r="D271" s="20" t="b">
        <f>IFERROR(__xludf.DUMMYFUNCTION("""COMPUTED_VALUE"""),TRUE)</f>
        <v>1</v>
      </c>
      <c r="E271" s="20" t="str">
        <f>IFERROR(__xludf.DUMMYFUNCTION("""COMPUTED_VALUE"""),"Easy")</f>
        <v>Easy</v>
      </c>
      <c r="F271" s="20">
        <f>IFERROR(__xludf.DUMMYFUNCTION("""COMPUTED_VALUE"""),1595.0)</f>
        <v>1595</v>
      </c>
      <c r="G271" s="20">
        <f>IFERROR(__xludf.DUMMYFUNCTION("""COMPUTED_VALUE"""),91.0)</f>
        <v>91</v>
      </c>
      <c r="H271" s="20" t="str">
        <f>IFERROR(__xludf.DUMMYFUNCTION("""COMPUTED_VALUE"""),"Algorithms")</f>
        <v>Algorithms</v>
      </c>
      <c r="I271" s="20">
        <f>IFERROR(__xludf.DUMMYFUNCTION("""COMPUTED_VALUE"""),0.547)</f>
        <v>0.547</v>
      </c>
      <c r="J271" s="20">
        <f>IFERROR(__xludf.DUMMYFUNCTION("""COMPUTED_VALUE"""),270.0)</f>
        <v>270</v>
      </c>
      <c r="K271" s="20" t="b">
        <f>IFERROR(__xludf.DUMMYFUNCTION("""COMPUTED_VALUE"""),TRUE)</f>
        <v>1</v>
      </c>
      <c r="L271" s="20" t="str">
        <f>IFERROR(__xludf.DUMMYFUNCTION("""COMPUTED_VALUE"""),"Binary Search;Tree;Depth-First Search;Binary Search Tree;Binary Tree;")</f>
        <v>Binary Search;Tree;Depth-First Search;Binary Search Tree;Binary Tree;</v>
      </c>
      <c r="M271" s="20" t="b">
        <f>IFERROR(__xludf.DUMMYFUNCTION("""COMPUTED_VALUE"""),TRUE)</f>
        <v>1</v>
      </c>
      <c r="N271" s="20" t="b">
        <f>IFERROR(__xludf.DUMMYFUNCTION("""COMPUTED_VALUE"""),FALSE)</f>
        <v>0</v>
      </c>
      <c r="O271" s="20">
        <f>IFERROR(__xludf.DUMMYFUNCTION("""COMPUTED_VALUE"""),54.6535816403608)</f>
        <v>54.65358164</v>
      </c>
      <c r="P271" s="20">
        <f>IFERROR(__xludf.DUMMYFUNCTION("""COMPUTED_VALUE"""),276392.0)</f>
        <v>276392</v>
      </c>
      <c r="Q271" s="20">
        <f>IFERROR(__xludf.DUMMYFUNCTION("""COMPUTED_VALUE"""),505717.0)</f>
        <v>505717</v>
      </c>
    </row>
    <row r="272">
      <c r="A272" s="20">
        <f>IFERROR(__xludf.DUMMYFUNCTION("""COMPUTED_VALUE"""),271.0)</f>
        <v>271</v>
      </c>
      <c r="B272" s="20" t="str">
        <f>IFERROR(__xludf.DUMMYFUNCTION("""COMPUTED_VALUE"""),"Encode and Decode Strings")</f>
        <v>Encode and Decode Strings</v>
      </c>
      <c r="C272" s="20" t="str">
        <f>IFERROR(__xludf.DUMMYFUNCTION("""COMPUTED_VALUE"""),"encode-and-decode-strings")</f>
        <v>encode-and-decode-strings</v>
      </c>
      <c r="D272" s="20" t="b">
        <f>IFERROR(__xludf.DUMMYFUNCTION("""COMPUTED_VALUE"""),TRUE)</f>
        <v>1</v>
      </c>
      <c r="E272" s="20" t="str">
        <f>IFERROR(__xludf.DUMMYFUNCTION("""COMPUTED_VALUE"""),"Medium")</f>
        <v>Medium</v>
      </c>
      <c r="F272" s="20">
        <f>IFERROR(__xludf.DUMMYFUNCTION("""COMPUTED_VALUE"""),1094.0)</f>
        <v>1094</v>
      </c>
      <c r="G272" s="20">
        <f>IFERROR(__xludf.DUMMYFUNCTION("""COMPUTED_VALUE"""),304.0)</f>
        <v>304</v>
      </c>
      <c r="H272" s="20" t="str">
        <f>IFERROR(__xludf.DUMMYFUNCTION("""COMPUTED_VALUE"""),"Algorithms")</f>
        <v>Algorithms</v>
      </c>
      <c r="I272" s="20">
        <f>IFERROR(__xludf.DUMMYFUNCTION("""COMPUTED_VALUE"""),0.42)</f>
        <v>0.42</v>
      </c>
      <c r="J272" s="20">
        <f>IFERROR(__xludf.DUMMYFUNCTION("""COMPUTED_VALUE"""),271.0)</f>
        <v>271</v>
      </c>
      <c r="K272" s="20" t="b">
        <f>IFERROR(__xludf.DUMMYFUNCTION("""COMPUTED_VALUE"""),TRUE)</f>
        <v>1</v>
      </c>
      <c r="L272" s="20" t="str">
        <f>IFERROR(__xludf.DUMMYFUNCTION("""COMPUTED_VALUE"""),"Array;String;Design;")</f>
        <v>Array;String;Design;</v>
      </c>
      <c r="M272" s="20" t="b">
        <f>IFERROR(__xludf.DUMMYFUNCTION("""COMPUTED_VALUE"""),TRUE)</f>
        <v>1</v>
      </c>
      <c r="N272" s="20" t="b">
        <f>IFERROR(__xludf.DUMMYFUNCTION("""COMPUTED_VALUE"""),FALSE)</f>
        <v>0</v>
      </c>
      <c r="O272" s="20">
        <f>IFERROR(__xludf.DUMMYFUNCTION("""COMPUTED_VALUE"""),42.0073022312373)</f>
        <v>42.00730223</v>
      </c>
      <c r="P272" s="20">
        <f>IFERROR(__xludf.DUMMYFUNCTION("""COMPUTED_VALUE"""),129432.0)</f>
        <v>129432</v>
      </c>
      <c r="Q272" s="20">
        <f>IFERROR(__xludf.DUMMYFUNCTION("""COMPUTED_VALUE"""),308120.0)</f>
        <v>308120</v>
      </c>
    </row>
    <row r="273">
      <c r="A273" s="20">
        <f>IFERROR(__xludf.DUMMYFUNCTION("""COMPUTED_VALUE"""),272.0)</f>
        <v>272</v>
      </c>
      <c r="B273" s="20" t="str">
        <f>IFERROR(__xludf.DUMMYFUNCTION("""COMPUTED_VALUE"""),"Closest Binary Search Tree Value II")</f>
        <v>Closest Binary Search Tree Value II</v>
      </c>
      <c r="C273" s="20" t="str">
        <f>IFERROR(__xludf.DUMMYFUNCTION("""COMPUTED_VALUE"""),"closest-binary-search-tree-value-ii")</f>
        <v>closest-binary-search-tree-value-ii</v>
      </c>
      <c r="D273" s="20" t="b">
        <f>IFERROR(__xludf.DUMMYFUNCTION("""COMPUTED_VALUE"""),TRUE)</f>
        <v>1</v>
      </c>
      <c r="E273" s="20" t="str">
        <f>IFERROR(__xludf.DUMMYFUNCTION("""COMPUTED_VALUE"""),"Hard")</f>
        <v>Hard</v>
      </c>
      <c r="F273" s="20">
        <f>IFERROR(__xludf.DUMMYFUNCTION("""COMPUTED_VALUE"""),1192.0)</f>
        <v>1192</v>
      </c>
      <c r="G273" s="20">
        <f>IFERROR(__xludf.DUMMYFUNCTION("""COMPUTED_VALUE"""),38.0)</f>
        <v>38</v>
      </c>
      <c r="H273" s="20" t="str">
        <f>IFERROR(__xludf.DUMMYFUNCTION("""COMPUTED_VALUE"""),"Algorithms")</f>
        <v>Algorithms</v>
      </c>
      <c r="I273" s="20">
        <f>IFERROR(__xludf.DUMMYFUNCTION("""COMPUTED_VALUE"""),0.583)</f>
        <v>0.583</v>
      </c>
      <c r="J273" s="20">
        <f>IFERROR(__xludf.DUMMYFUNCTION("""COMPUTED_VALUE"""),272.0)</f>
        <v>272</v>
      </c>
      <c r="K273" s="20" t="b">
        <f>IFERROR(__xludf.DUMMYFUNCTION("""COMPUTED_VALUE"""),TRUE)</f>
        <v>1</v>
      </c>
      <c r="L273" s="20" t="str">
        <f>IFERROR(__xludf.DUMMYFUNCTION("""COMPUTED_VALUE"""),"Two Pointers;Stack;Tree;Depth-First Search;Binary Search Tree;Heap (Priority Queue);Binary Tree;")</f>
        <v>Two Pointers;Stack;Tree;Depth-First Search;Binary Search Tree;Heap (Priority Queue);Binary Tree;</v>
      </c>
      <c r="M273" s="20" t="b">
        <f>IFERROR(__xludf.DUMMYFUNCTION("""COMPUTED_VALUE"""),TRUE)</f>
        <v>1</v>
      </c>
      <c r="N273" s="20" t="b">
        <f>IFERROR(__xludf.DUMMYFUNCTION("""COMPUTED_VALUE"""),FALSE)</f>
        <v>0</v>
      </c>
      <c r="O273" s="20">
        <f>IFERROR(__xludf.DUMMYFUNCTION("""COMPUTED_VALUE"""),58.3187850096929)</f>
        <v>58.31878501</v>
      </c>
      <c r="P273" s="20">
        <f>IFERROR(__xludf.DUMMYFUNCTION("""COMPUTED_VALUE"""),108901.0)</f>
        <v>108901</v>
      </c>
      <c r="Q273" s="20">
        <f>IFERROR(__xludf.DUMMYFUNCTION("""COMPUTED_VALUE"""),186734.0)</f>
        <v>186734</v>
      </c>
    </row>
    <row r="274">
      <c r="A274" s="20">
        <f>IFERROR(__xludf.DUMMYFUNCTION("""COMPUTED_VALUE"""),273.0)</f>
        <v>273</v>
      </c>
      <c r="B274" s="20" t="str">
        <f>IFERROR(__xludf.DUMMYFUNCTION("""COMPUTED_VALUE"""),"Integer to English Words")</f>
        <v>Integer to English Words</v>
      </c>
      <c r="C274" s="20" t="str">
        <f>IFERROR(__xludf.DUMMYFUNCTION("""COMPUTED_VALUE"""),"integer-to-english-words")</f>
        <v>integer-to-english-words</v>
      </c>
      <c r="D274" s="20" t="b">
        <f>IFERROR(__xludf.DUMMYFUNCTION("""COMPUTED_VALUE"""),FALSE)</f>
        <v>0</v>
      </c>
      <c r="E274" s="20" t="str">
        <f>IFERROR(__xludf.DUMMYFUNCTION("""COMPUTED_VALUE"""),"Hard")</f>
        <v>Hard</v>
      </c>
      <c r="F274" s="20">
        <f>IFERROR(__xludf.DUMMYFUNCTION("""COMPUTED_VALUE"""),2504.0)</f>
        <v>2504</v>
      </c>
      <c r="G274" s="20">
        <f>IFERROR(__xludf.DUMMYFUNCTION("""COMPUTED_VALUE"""),5657.0)</f>
        <v>5657</v>
      </c>
      <c r="H274" s="20" t="str">
        <f>IFERROR(__xludf.DUMMYFUNCTION("""COMPUTED_VALUE"""),"Algorithms")</f>
        <v>Algorithms</v>
      </c>
      <c r="I274" s="20">
        <f>IFERROR(__xludf.DUMMYFUNCTION("""COMPUTED_VALUE"""),0.299)</f>
        <v>0.299</v>
      </c>
      <c r="J274" s="20">
        <f>IFERROR(__xludf.DUMMYFUNCTION("""COMPUTED_VALUE"""),273.0)</f>
        <v>273</v>
      </c>
      <c r="K274" s="20" t="b">
        <f>IFERROR(__xludf.DUMMYFUNCTION("""COMPUTED_VALUE"""),FALSE)</f>
        <v>0</v>
      </c>
      <c r="L274" s="20" t="str">
        <f>IFERROR(__xludf.DUMMYFUNCTION("""COMPUTED_VALUE"""),"Math;String;Recursion;")</f>
        <v>Math;String;Recursion;</v>
      </c>
      <c r="M274" s="20" t="b">
        <f>IFERROR(__xludf.DUMMYFUNCTION("""COMPUTED_VALUE"""),TRUE)</f>
        <v>1</v>
      </c>
      <c r="N274" s="20" t="b">
        <f>IFERROR(__xludf.DUMMYFUNCTION("""COMPUTED_VALUE"""),FALSE)</f>
        <v>0</v>
      </c>
      <c r="O274" s="20">
        <f>IFERROR(__xludf.DUMMYFUNCTION("""COMPUTED_VALUE"""),29.9180093089867)</f>
        <v>29.91800931</v>
      </c>
      <c r="P274" s="20">
        <f>IFERROR(__xludf.DUMMYFUNCTION("""COMPUTED_VALUE"""),334244.0)</f>
        <v>334244</v>
      </c>
      <c r="Q274" s="20">
        <f>IFERROR(__xludf.DUMMYFUNCTION("""COMPUTED_VALUE"""),1117200.0)</f>
        <v>1117200</v>
      </c>
    </row>
    <row r="275">
      <c r="A275" s="20">
        <f>IFERROR(__xludf.DUMMYFUNCTION("""COMPUTED_VALUE"""),274.0)</f>
        <v>274</v>
      </c>
      <c r="B275" s="20" t="str">
        <f>IFERROR(__xludf.DUMMYFUNCTION("""COMPUTED_VALUE"""),"H-Index")</f>
        <v>H-Index</v>
      </c>
      <c r="C275" s="20" t="str">
        <f>IFERROR(__xludf.DUMMYFUNCTION("""COMPUTED_VALUE"""),"h-index")</f>
        <v>h-index</v>
      </c>
      <c r="D275" s="20" t="b">
        <f>IFERROR(__xludf.DUMMYFUNCTION("""COMPUTED_VALUE"""),FALSE)</f>
        <v>0</v>
      </c>
      <c r="E275" s="20" t="str">
        <f>IFERROR(__xludf.DUMMYFUNCTION("""COMPUTED_VALUE"""),"Medium")</f>
        <v>Medium</v>
      </c>
      <c r="F275" s="20">
        <f>IFERROR(__xludf.DUMMYFUNCTION("""COMPUTED_VALUE"""),1416.0)</f>
        <v>1416</v>
      </c>
      <c r="G275" s="20">
        <f>IFERROR(__xludf.DUMMYFUNCTION("""COMPUTED_VALUE"""),2043.0)</f>
        <v>2043</v>
      </c>
      <c r="H275" s="20" t="str">
        <f>IFERROR(__xludf.DUMMYFUNCTION("""COMPUTED_VALUE"""),"Algorithms")</f>
        <v>Algorithms</v>
      </c>
      <c r="I275" s="20">
        <f>IFERROR(__xludf.DUMMYFUNCTION("""COMPUTED_VALUE"""),0.382)</f>
        <v>0.382</v>
      </c>
      <c r="J275" s="20">
        <f>IFERROR(__xludf.DUMMYFUNCTION("""COMPUTED_VALUE"""),274.0)</f>
        <v>274</v>
      </c>
      <c r="K275" s="20" t="b">
        <f>IFERROR(__xludf.DUMMYFUNCTION("""COMPUTED_VALUE"""),FALSE)</f>
        <v>0</v>
      </c>
      <c r="L275" s="20" t="str">
        <f>IFERROR(__xludf.DUMMYFUNCTION("""COMPUTED_VALUE"""),"Array;Sorting;Counting Sort;")</f>
        <v>Array;Sorting;Counting Sort;</v>
      </c>
      <c r="M275" s="20" t="b">
        <f>IFERROR(__xludf.DUMMYFUNCTION("""COMPUTED_VALUE"""),TRUE)</f>
        <v>1</v>
      </c>
      <c r="N275" s="20" t="b">
        <f>IFERROR(__xludf.DUMMYFUNCTION("""COMPUTED_VALUE"""),FALSE)</f>
        <v>0</v>
      </c>
      <c r="O275" s="20">
        <f>IFERROR(__xludf.DUMMYFUNCTION("""COMPUTED_VALUE"""),38.2044601523973)</f>
        <v>38.20446015</v>
      </c>
      <c r="P275" s="20">
        <f>IFERROR(__xludf.DUMMYFUNCTION("""COMPUTED_VALUE"""),252946.0)</f>
        <v>252946</v>
      </c>
      <c r="Q275" s="20">
        <f>IFERROR(__xludf.DUMMYFUNCTION("""COMPUTED_VALUE"""),662085.0)</f>
        <v>662085</v>
      </c>
    </row>
    <row r="276">
      <c r="A276" s="20">
        <f>IFERROR(__xludf.DUMMYFUNCTION("""COMPUTED_VALUE"""),275.0)</f>
        <v>275</v>
      </c>
      <c r="B276" s="20" t="str">
        <f>IFERROR(__xludf.DUMMYFUNCTION("""COMPUTED_VALUE"""),"H-Index II")</f>
        <v>H-Index II</v>
      </c>
      <c r="C276" s="20" t="str">
        <f>IFERROR(__xludf.DUMMYFUNCTION("""COMPUTED_VALUE"""),"h-index-ii")</f>
        <v>h-index-ii</v>
      </c>
      <c r="D276" s="20" t="b">
        <f>IFERROR(__xludf.DUMMYFUNCTION("""COMPUTED_VALUE"""),FALSE)</f>
        <v>0</v>
      </c>
      <c r="E276" s="20" t="str">
        <f>IFERROR(__xludf.DUMMYFUNCTION("""COMPUTED_VALUE"""),"Medium")</f>
        <v>Medium</v>
      </c>
      <c r="F276" s="20">
        <f>IFERROR(__xludf.DUMMYFUNCTION("""COMPUTED_VALUE"""),830.0)</f>
        <v>830</v>
      </c>
      <c r="G276" s="20">
        <f>IFERROR(__xludf.DUMMYFUNCTION("""COMPUTED_VALUE"""),1197.0)</f>
        <v>1197</v>
      </c>
      <c r="H276" s="20" t="str">
        <f>IFERROR(__xludf.DUMMYFUNCTION("""COMPUTED_VALUE"""),"Algorithms")</f>
        <v>Algorithms</v>
      </c>
      <c r="I276" s="20">
        <f>IFERROR(__xludf.DUMMYFUNCTION("""COMPUTED_VALUE"""),0.375)</f>
        <v>0.375</v>
      </c>
      <c r="J276" s="20">
        <f>IFERROR(__xludf.DUMMYFUNCTION("""COMPUTED_VALUE"""),275.0)</f>
        <v>275</v>
      </c>
      <c r="K276" s="20" t="b">
        <f>IFERROR(__xludf.DUMMYFUNCTION("""COMPUTED_VALUE"""),FALSE)</f>
        <v>0</v>
      </c>
      <c r="L276" s="20" t="str">
        <f>IFERROR(__xludf.DUMMYFUNCTION("""COMPUTED_VALUE"""),"Array;Binary Search;")</f>
        <v>Array;Binary Search;</v>
      </c>
      <c r="M276" s="20" t="b">
        <f>IFERROR(__xludf.DUMMYFUNCTION("""COMPUTED_VALUE"""),TRUE)</f>
        <v>1</v>
      </c>
      <c r="N276" s="20" t="b">
        <f>IFERROR(__xludf.DUMMYFUNCTION("""COMPUTED_VALUE"""),FALSE)</f>
        <v>0</v>
      </c>
      <c r="O276" s="20">
        <f>IFERROR(__xludf.DUMMYFUNCTION("""COMPUTED_VALUE"""),37.4613391565827)</f>
        <v>37.46133916</v>
      </c>
      <c r="P276" s="20">
        <f>IFERROR(__xludf.DUMMYFUNCTION("""COMPUTED_VALUE"""),170176.0)</f>
        <v>170176</v>
      </c>
      <c r="Q276" s="20">
        <f>IFERROR(__xludf.DUMMYFUNCTION("""COMPUTED_VALUE"""),454271.0)</f>
        <v>454271</v>
      </c>
    </row>
    <row r="277">
      <c r="A277" s="20">
        <f>IFERROR(__xludf.DUMMYFUNCTION("""COMPUTED_VALUE"""),276.0)</f>
        <v>276</v>
      </c>
      <c r="B277" s="20" t="str">
        <f>IFERROR(__xludf.DUMMYFUNCTION("""COMPUTED_VALUE"""),"Paint Fence")</f>
        <v>Paint Fence</v>
      </c>
      <c r="C277" s="20" t="str">
        <f>IFERROR(__xludf.DUMMYFUNCTION("""COMPUTED_VALUE"""),"paint-fence")</f>
        <v>paint-fence</v>
      </c>
      <c r="D277" s="20" t="b">
        <f>IFERROR(__xludf.DUMMYFUNCTION("""COMPUTED_VALUE"""),TRUE)</f>
        <v>1</v>
      </c>
      <c r="E277" s="20" t="str">
        <f>IFERROR(__xludf.DUMMYFUNCTION("""COMPUTED_VALUE"""),"Medium")</f>
        <v>Medium</v>
      </c>
      <c r="F277" s="20">
        <f>IFERROR(__xludf.DUMMYFUNCTION("""COMPUTED_VALUE"""),1382.0)</f>
        <v>1382</v>
      </c>
      <c r="G277" s="20">
        <f>IFERROR(__xludf.DUMMYFUNCTION("""COMPUTED_VALUE"""),369.0)</f>
        <v>369</v>
      </c>
      <c r="H277" s="20" t="str">
        <f>IFERROR(__xludf.DUMMYFUNCTION("""COMPUTED_VALUE"""),"Algorithms")</f>
        <v>Algorithms</v>
      </c>
      <c r="I277" s="20">
        <f>IFERROR(__xludf.DUMMYFUNCTION("""COMPUTED_VALUE"""),0.443)</f>
        <v>0.443</v>
      </c>
      <c r="J277" s="20">
        <f>IFERROR(__xludf.DUMMYFUNCTION("""COMPUTED_VALUE"""),276.0)</f>
        <v>276</v>
      </c>
      <c r="K277" s="20" t="b">
        <f>IFERROR(__xludf.DUMMYFUNCTION("""COMPUTED_VALUE"""),TRUE)</f>
        <v>1</v>
      </c>
      <c r="L277" s="20" t="str">
        <f>IFERROR(__xludf.DUMMYFUNCTION("""COMPUTED_VALUE"""),"Dynamic Programming;")</f>
        <v>Dynamic Programming;</v>
      </c>
      <c r="M277" s="20" t="b">
        <f>IFERROR(__xludf.DUMMYFUNCTION("""COMPUTED_VALUE"""),TRUE)</f>
        <v>1</v>
      </c>
      <c r="N277" s="20" t="b">
        <f>IFERROR(__xludf.DUMMYFUNCTION("""COMPUTED_VALUE"""),FALSE)</f>
        <v>0</v>
      </c>
      <c r="O277" s="20">
        <f>IFERROR(__xludf.DUMMYFUNCTION("""COMPUTED_VALUE"""),44.2508938185513)</f>
        <v>44.25089382</v>
      </c>
      <c r="P277" s="20">
        <f>IFERROR(__xludf.DUMMYFUNCTION("""COMPUTED_VALUE"""),94931.0)</f>
        <v>94931</v>
      </c>
      <c r="Q277" s="20">
        <f>IFERROR(__xludf.DUMMYFUNCTION("""COMPUTED_VALUE"""),214529.0)</f>
        <v>214529</v>
      </c>
    </row>
    <row r="278">
      <c r="A278" s="20">
        <f>IFERROR(__xludf.DUMMYFUNCTION("""COMPUTED_VALUE"""),277.0)</f>
        <v>277</v>
      </c>
      <c r="B278" s="20" t="str">
        <f>IFERROR(__xludf.DUMMYFUNCTION("""COMPUTED_VALUE"""),"Find the Celebrity")</f>
        <v>Find the Celebrity</v>
      </c>
      <c r="C278" s="20" t="str">
        <f>IFERROR(__xludf.DUMMYFUNCTION("""COMPUTED_VALUE"""),"find-the-celebrity")</f>
        <v>find-the-celebrity</v>
      </c>
      <c r="D278" s="20" t="b">
        <f>IFERROR(__xludf.DUMMYFUNCTION("""COMPUTED_VALUE"""),TRUE)</f>
        <v>1</v>
      </c>
      <c r="E278" s="20" t="str">
        <f>IFERROR(__xludf.DUMMYFUNCTION("""COMPUTED_VALUE"""),"Medium")</f>
        <v>Medium</v>
      </c>
      <c r="F278" s="20">
        <f>IFERROR(__xludf.DUMMYFUNCTION("""COMPUTED_VALUE"""),2571.0)</f>
        <v>2571</v>
      </c>
      <c r="G278" s="20">
        <f>IFERROR(__xludf.DUMMYFUNCTION("""COMPUTED_VALUE"""),244.0)</f>
        <v>244</v>
      </c>
      <c r="H278" s="20" t="str">
        <f>IFERROR(__xludf.DUMMYFUNCTION("""COMPUTED_VALUE"""),"Algorithms")</f>
        <v>Algorithms</v>
      </c>
      <c r="I278" s="20">
        <f>IFERROR(__xludf.DUMMYFUNCTION("""COMPUTED_VALUE"""),0.465)</f>
        <v>0.465</v>
      </c>
      <c r="J278" s="20">
        <f>IFERROR(__xludf.DUMMYFUNCTION("""COMPUTED_VALUE"""),277.0)</f>
        <v>277</v>
      </c>
      <c r="K278" s="20" t="b">
        <f>IFERROR(__xludf.DUMMYFUNCTION("""COMPUTED_VALUE"""),TRUE)</f>
        <v>1</v>
      </c>
      <c r="L278" s="20" t="str">
        <f>IFERROR(__xludf.DUMMYFUNCTION("""COMPUTED_VALUE"""),"Two Pointers;Greedy;Graph;Interactive;")</f>
        <v>Two Pointers;Greedy;Graph;Interactive;</v>
      </c>
      <c r="M278" s="20" t="b">
        <f>IFERROR(__xludf.DUMMYFUNCTION("""COMPUTED_VALUE"""),TRUE)</f>
        <v>1</v>
      </c>
      <c r="N278" s="20" t="b">
        <f>IFERROR(__xludf.DUMMYFUNCTION("""COMPUTED_VALUE"""),TRUE)</f>
        <v>1</v>
      </c>
      <c r="O278" s="20">
        <f>IFERROR(__xludf.DUMMYFUNCTION("""COMPUTED_VALUE"""),46.5172597001593)</f>
        <v>46.5172597</v>
      </c>
      <c r="P278" s="20">
        <f>IFERROR(__xludf.DUMMYFUNCTION("""COMPUTED_VALUE"""),241646.0)</f>
        <v>241646</v>
      </c>
      <c r="Q278" s="20">
        <f>IFERROR(__xludf.DUMMYFUNCTION("""COMPUTED_VALUE"""),519476.0)</f>
        <v>519476</v>
      </c>
    </row>
    <row r="279">
      <c r="A279" s="20">
        <f>IFERROR(__xludf.DUMMYFUNCTION("""COMPUTED_VALUE"""),278.0)</f>
        <v>278</v>
      </c>
      <c r="B279" s="20" t="str">
        <f>IFERROR(__xludf.DUMMYFUNCTION("""COMPUTED_VALUE"""),"First Bad Version")</f>
        <v>First Bad Version</v>
      </c>
      <c r="C279" s="20" t="str">
        <f>IFERROR(__xludf.DUMMYFUNCTION("""COMPUTED_VALUE"""),"first-bad-version")</f>
        <v>first-bad-version</v>
      </c>
      <c r="D279" s="20" t="b">
        <f>IFERROR(__xludf.DUMMYFUNCTION("""COMPUTED_VALUE"""),FALSE)</f>
        <v>0</v>
      </c>
      <c r="E279" s="20" t="str">
        <f>IFERROR(__xludf.DUMMYFUNCTION("""COMPUTED_VALUE"""),"Easy")</f>
        <v>Easy</v>
      </c>
      <c r="F279" s="20">
        <f>IFERROR(__xludf.DUMMYFUNCTION("""COMPUTED_VALUE"""),6666.0)</f>
        <v>6666</v>
      </c>
      <c r="G279" s="20">
        <f>IFERROR(__xludf.DUMMYFUNCTION("""COMPUTED_VALUE"""),2572.0)</f>
        <v>2572</v>
      </c>
      <c r="H279" s="20" t="str">
        <f>IFERROR(__xludf.DUMMYFUNCTION("""COMPUTED_VALUE"""),"Algorithms")</f>
        <v>Algorithms</v>
      </c>
      <c r="I279" s="20">
        <f>IFERROR(__xludf.DUMMYFUNCTION("""COMPUTED_VALUE"""),0.43)</f>
        <v>0.43</v>
      </c>
      <c r="J279" s="20">
        <f>IFERROR(__xludf.DUMMYFUNCTION("""COMPUTED_VALUE"""),278.0)</f>
        <v>278</v>
      </c>
      <c r="K279" s="20" t="b">
        <f>IFERROR(__xludf.DUMMYFUNCTION("""COMPUTED_VALUE"""),FALSE)</f>
        <v>0</v>
      </c>
      <c r="L279" s="20" t="str">
        <f>IFERROR(__xludf.DUMMYFUNCTION("""COMPUTED_VALUE"""),"Binary Search;Interactive;")</f>
        <v>Binary Search;Interactive;</v>
      </c>
      <c r="M279" s="20" t="b">
        <f>IFERROR(__xludf.DUMMYFUNCTION("""COMPUTED_VALUE"""),TRUE)</f>
        <v>1</v>
      </c>
      <c r="N279" s="20" t="b">
        <f>IFERROR(__xludf.DUMMYFUNCTION("""COMPUTED_VALUE"""),TRUE)</f>
        <v>1</v>
      </c>
      <c r="O279" s="20">
        <f>IFERROR(__xludf.DUMMYFUNCTION("""COMPUTED_VALUE"""),43.0344678777574)</f>
        <v>43.03446788</v>
      </c>
      <c r="P279" s="20">
        <f>IFERROR(__xludf.DUMMYFUNCTION("""COMPUTED_VALUE"""),1328283.0)</f>
        <v>1328283</v>
      </c>
      <c r="Q279" s="20">
        <f>IFERROR(__xludf.DUMMYFUNCTION("""COMPUTED_VALUE"""),3086562.0)</f>
        <v>3086562</v>
      </c>
    </row>
    <row r="280">
      <c r="A280" s="20">
        <f>IFERROR(__xludf.DUMMYFUNCTION("""COMPUTED_VALUE"""),279.0)</f>
        <v>279</v>
      </c>
      <c r="B280" s="20" t="str">
        <f>IFERROR(__xludf.DUMMYFUNCTION("""COMPUTED_VALUE"""),"Perfect Squares")</f>
        <v>Perfect Squares</v>
      </c>
      <c r="C280" s="20" t="str">
        <f>IFERROR(__xludf.DUMMYFUNCTION("""COMPUTED_VALUE"""),"perfect-squares")</f>
        <v>perfect-squares</v>
      </c>
      <c r="D280" s="20" t="b">
        <f>IFERROR(__xludf.DUMMYFUNCTION("""COMPUTED_VALUE"""),FALSE)</f>
        <v>0</v>
      </c>
      <c r="E280" s="20" t="str">
        <f>IFERROR(__xludf.DUMMYFUNCTION("""COMPUTED_VALUE"""),"Medium")</f>
        <v>Medium</v>
      </c>
      <c r="F280" s="20">
        <f>IFERROR(__xludf.DUMMYFUNCTION("""COMPUTED_VALUE"""),8873.0)</f>
        <v>8873</v>
      </c>
      <c r="G280" s="20">
        <f>IFERROR(__xludf.DUMMYFUNCTION("""COMPUTED_VALUE"""),388.0)</f>
        <v>388</v>
      </c>
      <c r="H280" s="20" t="str">
        <f>IFERROR(__xludf.DUMMYFUNCTION("""COMPUTED_VALUE"""),"Algorithms")</f>
        <v>Algorithms</v>
      </c>
      <c r="I280" s="20">
        <f>IFERROR(__xludf.DUMMYFUNCTION("""COMPUTED_VALUE"""),0.526)</f>
        <v>0.526</v>
      </c>
      <c r="J280" s="20">
        <f>IFERROR(__xludf.DUMMYFUNCTION("""COMPUTED_VALUE"""),279.0)</f>
        <v>279</v>
      </c>
      <c r="K280" s="20" t="b">
        <f>IFERROR(__xludf.DUMMYFUNCTION("""COMPUTED_VALUE"""),FALSE)</f>
        <v>0</v>
      </c>
      <c r="L280" s="20" t="str">
        <f>IFERROR(__xludf.DUMMYFUNCTION("""COMPUTED_VALUE"""),"Math;Dynamic Programming;Breadth-First Search;")</f>
        <v>Math;Dynamic Programming;Breadth-First Search;</v>
      </c>
      <c r="M280" s="20" t="b">
        <f>IFERROR(__xludf.DUMMYFUNCTION("""COMPUTED_VALUE"""),TRUE)</f>
        <v>1</v>
      </c>
      <c r="N280" s="20" t="b">
        <f>IFERROR(__xludf.DUMMYFUNCTION("""COMPUTED_VALUE"""),FALSE)</f>
        <v>0</v>
      </c>
      <c r="O280" s="20">
        <f>IFERROR(__xludf.DUMMYFUNCTION("""COMPUTED_VALUE"""),52.5670009403786)</f>
        <v>52.56700094</v>
      </c>
      <c r="P280" s="20">
        <f>IFERROR(__xludf.DUMMYFUNCTION("""COMPUTED_VALUE"""),632223.0)</f>
        <v>632223</v>
      </c>
      <c r="Q280" s="20">
        <f>IFERROR(__xludf.DUMMYFUNCTION("""COMPUTED_VALUE"""),1202702.0)</f>
        <v>1202702</v>
      </c>
    </row>
    <row r="281">
      <c r="A281" s="20">
        <f>IFERROR(__xludf.DUMMYFUNCTION("""COMPUTED_VALUE"""),280.0)</f>
        <v>280</v>
      </c>
      <c r="B281" s="20" t="str">
        <f>IFERROR(__xludf.DUMMYFUNCTION("""COMPUTED_VALUE"""),"Wiggle Sort")</f>
        <v>Wiggle Sort</v>
      </c>
      <c r="C281" s="20" t="str">
        <f>IFERROR(__xludf.DUMMYFUNCTION("""COMPUTED_VALUE"""),"wiggle-sort")</f>
        <v>wiggle-sort</v>
      </c>
      <c r="D281" s="20" t="b">
        <f>IFERROR(__xludf.DUMMYFUNCTION("""COMPUTED_VALUE"""),TRUE)</f>
        <v>1</v>
      </c>
      <c r="E281" s="20" t="str">
        <f>IFERROR(__xludf.DUMMYFUNCTION("""COMPUTED_VALUE"""),"Medium")</f>
        <v>Medium</v>
      </c>
      <c r="F281" s="20">
        <f>IFERROR(__xludf.DUMMYFUNCTION("""COMPUTED_VALUE"""),995.0)</f>
        <v>995</v>
      </c>
      <c r="G281" s="20">
        <f>IFERROR(__xludf.DUMMYFUNCTION("""COMPUTED_VALUE"""),84.0)</f>
        <v>84</v>
      </c>
      <c r="H281" s="20" t="str">
        <f>IFERROR(__xludf.DUMMYFUNCTION("""COMPUTED_VALUE"""),"Algorithms")</f>
        <v>Algorithms</v>
      </c>
      <c r="I281" s="20">
        <f>IFERROR(__xludf.DUMMYFUNCTION("""COMPUTED_VALUE"""),0.665)</f>
        <v>0.665</v>
      </c>
      <c r="J281" s="20">
        <f>IFERROR(__xludf.DUMMYFUNCTION("""COMPUTED_VALUE"""),280.0)</f>
        <v>280</v>
      </c>
      <c r="K281" s="20" t="b">
        <f>IFERROR(__xludf.DUMMYFUNCTION("""COMPUTED_VALUE"""),TRUE)</f>
        <v>1</v>
      </c>
      <c r="L281" s="20" t="str">
        <f>IFERROR(__xludf.DUMMYFUNCTION("""COMPUTED_VALUE"""),"Array;Greedy;Sorting;")</f>
        <v>Array;Greedy;Sorting;</v>
      </c>
      <c r="M281" s="20" t="b">
        <f>IFERROR(__xludf.DUMMYFUNCTION("""COMPUTED_VALUE"""),TRUE)</f>
        <v>1</v>
      </c>
      <c r="N281" s="20" t="b">
        <f>IFERROR(__xludf.DUMMYFUNCTION("""COMPUTED_VALUE"""),FALSE)</f>
        <v>0</v>
      </c>
      <c r="O281" s="20">
        <f>IFERROR(__xludf.DUMMYFUNCTION("""COMPUTED_VALUE"""),66.4907680601704)</f>
        <v>66.49076806</v>
      </c>
      <c r="P281" s="20">
        <f>IFERROR(__xludf.DUMMYFUNCTION("""COMPUTED_VALUE"""),121466.0)</f>
        <v>121466</v>
      </c>
      <c r="Q281" s="20">
        <f>IFERROR(__xludf.DUMMYFUNCTION("""COMPUTED_VALUE"""),182681.0)</f>
        <v>182681</v>
      </c>
    </row>
    <row r="282">
      <c r="A282" s="20">
        <f>IFERROR(__xludf.DUMMYFUNCTION("""COMPUTED_VALUE"""),281.0)</f>
        <v>281</v>
      </c>
      <c r="B282" s="20" t="str">
        <f>IFERROR(__xludf.DUMMYFUNCTION("""COMPUTED_VALUE"""),"Zigzag Iterator")</f>
        <v>Zigzag Iterator</v>
      </c>
      <c r="C282" s="20" t="str">
        <f>IFERROR(__xludf.DUMMYFUNCTION("""COMPUTED_VALUE"""),"zigzag-iterator")</f>
        <v>zigzag-iterator</v>
      </c>
      <c r="D282" s="20" t="b">
        <f>IFERROR(__xludf.DUMMYFUNCTION("""COMPUTED_VALUE"""),TRUE)</f>
        <v>1</v>
      </c>
      <c r="E282" s="20" t="str">
        <f>IFERROR(__xludf.DUMMYFUNCTION("""COMPUTED_VALUE"""),"Medium")</f>
        <v>Medium</v>
      </c>
      <c r="F282" s="20">
        <f>IFERROR(__xludf.DUMMYFUNCTION("""COMPUTED_VALUE"""),612.0)</f>
        <v>612</v>
      </c>
      <c r="G282" s="20">
        <f>IFERROR(__xludf.DUMMYFUNCTION("""COMPUTED_VALUE"""),35.0)</f>
        <v>35</v>
      </c>
      <c r="H282" s="20" t="str">
        <f>IFERROR(__xludf.DUMMYFUNCTION("""COMPUTED_VALUE"""),"Algorithms")</f>
        <v>Algorithms</v>
      </c>
      <c r="I282" s="20">
        <f>IFERROR(__xludf.DUMMYFUNCTION("""COMPUTED_VALUE"""),0.625)</f>
        <v>0.625</v>
      </c>
      <c r="J282" s="20">
        <f>IFERROR(__xludf.DUMMYFUNCTION("""COMPUTED_VALUE"""),281.0)</f>
        <v>281</v>
      </c>
      <c r="K282" s="20" t="b">
        <f>IFERROR(__xludf.DUMMYFUNCTION("""COMPUTED_VALUE"""),TRUE)</f>
        <v>1</v>
      </c>
      <c r="L282" s="20" t="str">
        <f>IFERROR(__xludf.DUMMYFUNCTION("""COMPUTED_VALUE"""),"Array;Design;Queue;Iterator;")</f>
        <v>Array;Design;Queue;Iterator;</v>
      </c>
      <c r="M282" s="20" t="b">
        <f>IFERROR(__xludf.DUMMYFUNCTION("""COMPUTED_VALUE"""),TRUE)</f>
        <v>1</v>
      </c>
      <c r="N282" s="20" t="b">
        <f>IFERROR(__xludf.DUMMYFUNCTION("""COMPUTED_VALUE"""),FALSE)</f>
        <v>0</v>
      </c>
      <c r="O282" s="20">
        <f>IFERROR(__xludf.DUMMYFUNCTION("""COMPUTED_VALUE"""),62.4580176234116)</f>
        <v>62.45801762</v>
      </c>
      <c r="P282" s="20">
        <f>IFERROR(__xludf.DUMMYFUNCTION("""COMPUTED_VALUE"""),84986.0)</f>
        <v>84986</v>
      </c>
      <c r="Q282" s="20">
        <f>IFERROR(__xludf.DUMMYFUNCTION("""COMPUTED_VALUE"""),136069.0)</f>
        <v>136069</v>
      </c>
    </row>
    <row r="283">
      <c r="A283" s="20">
        <f>IFERROR(__xludf.DUMMYFUNCTION("""COMPUTED_VALUE"""),282.0)</f>
        <v>282</v>
      </c>
      <c r="B283" s="20" t="str">
        <f>IFERROR(__xludf.DUMMYFUNCTION("""COMPUTED_VALUE"""),"Expression Add Operators")</f>
        <v>Expression Add Operators</v>
      </c>
      <c r="C283" s="20" t="str">
        <f>IFERROR(__xludf.DUMMYFUNCTION("""COMPUTED_VALUE"""),"expression-add-operators")</f>
        <v>expression-add-operators</v>
      </c>
      <c r="D283" s="20" t="b">
        <f>IFERROR(__xludf.DUMMYFUNCTION("""COMPUTED_VALUE"""),FALSE)</f>
        <v>0</v>
      </c>
      <c r="E283" s="20" t="str">
        <f>IFERROR(__xludf.DUMMYFUNCTION("""COMPUTED_VALUE"""),"Hard")</f>
        <v>Hard</v>
      </c>
      <c r="F283" s="20">
        <f>IFERROR(__xludf.DUMMYFUNCTION("""COMPUTED_VALUE"""),2812.0)</f>
        <v>2812</v>
      </c>
      <c r="G283" s="20">
        <f>IFERROR(__xludf.DUMMYFUNCTION("""COMPUTED_VALUE"""),501.0)</f>
        <v>501</v>
      </c>
      <c r="H283" s="20" t="str">
        <f>IFERROR(__xludf.DUMMYFUNCTION("""COMPUTED_VALUE"""),"Algorithms")</f>
        <v>Algorithms</v>
      </c>
      <c r="I283" s="20">
        <f>IFERROR(__xludf.DUMMYFUNCTION("""COMPUTED_VALUE"""),0.392)</f>
        <v>0.392</v>
      </c>
      <c r="J283" s="20">
        <f>IFERROR(__xludf.DUMMYFUNCTION("""COMPUTED_VALUE"""),282.0)</f>
        <v>282</v>
      </c>
      <c r="K283" s="20" t="b">
        <f>IFERROR(__xludf.DUMMYFUNCTION("""COMPUTED_VALUE"""),FALSE)</f>
        <v>0</v>
      </c>
      <c r="L283" s="20" t="str">
        <f>IFERROR(__xludf.DUMMYFUNCTION("""COMPUTED_VALUE"""),"Math;String;Backtracking;")</f>
        <v>Math;String;Backtracking;</v>
      </c>
      <c r="M283" s="20" t="b">
        <f>IFERROR(__xludf.DUMMYFUNCTION("""COMPUTED_VALUE"""),TRUE)</f>
        <v>1</v>
      </c>
      <c r="N283" s="20" t="b">
        <f>IFERROR(__xludf.DUMMYFUNCTION("""COMPUTED_VALUE"""),FALSE)</f>
        <v>0</v>
      </c>
      <c r="O283" s="20">
        <f>IFERROR(__xludf.DUMMYFUNCTION("""COMPUTED_VALUE"""),39.1858019069418)</f>
        <v>39.18580191</v>
      </c>
      <c r="P283" s="20">
        <f>IFERROR(__xludf.DUMMYFUNCTION("""COMPUTED_VALUE"""),194476.0)</f>
        <v>194476</v>
      </c>
      <c r="Q283" s="20">
        <f>IFERROR(__xludf.DUMMYFUNCTION("""COMPUTED_VALUE"""),496292.0)</f>
        <v>496292</v>
      </c>
    </row>
    <row r="284">
      <c r="A284" s="20">
        <f>IFERROR(__xludf.DUMMYFUNCTION("""COMPUTED_VALUE"""),283.0)</f>
        <v>283</v>
      </c>
      <c r="B284" s="20" t="str">
        <f>IFERROR(__xludf.DUMMYFUNCTION("""COMPUTED_VALUE"""),"Move Zeroes")</f>
        <v>Move Zeroes</v>
      </c>
      <c r="C284" s="20" t="str">
        <f>IFERROR(__xludf.DUMMYFUNCTION("""COMPUTED_VALUE"""),"move-zeroes")</f>
        <v>move-zeroes</v>
      </c>
      <c r="D284" s="20" t="b">
        <f>IFERROR(__xludf.DUMMYFUNCTION("""COMPUTED_VALUE"""),FALSE)</f>
        <v>0</v>
      </c>
      <c r="E284" s="20" t="str">
        <f>IFERROR(__xludf.DUMMYFUNCTION("""COMPUTED_VALUE"""),"Easy")</f>
        <v>Easy</v>
      </c>
      <c r="F284" s="20">
        <f>IFERROR(__xludf.DUMMYFUNCTION("""COMPUTED_VALUE"""),12121.0)</f>
        <v>12121</v>
      </c>
      <c r="G284" s="20">
        <f>IFERROR(__xludf.DUMMYFUNCTION("""COMPUTED_VALUE"""),303.0)</f>
        <v>303</v>
      </c>
      <c r="H284" s="20" t="str">
        <f>IFERROR(__xludf.DUMMYFUNCTION("""COMPUTED_VALUE"""),"Algorithms")</f>
        <v>Algorithms</v>
      </c>
      <c r="I284" s="20">
        <f>IFERROR(__xludf.DUMMYFUNCTION("""COMPUTED_VALUE"""),0.614)</f>
        <v>0.614</v>
      </c>
      <c r="J284" s="20">
        <f>IFERROR(__xludf.DUMMYFUNCTION("""COMPUTED_VALUE"""),283.0)</f>
        <v>283</v>
      </c>
      <c r="K284" s="20" t="b">
        <f>IFERROR(__xludf.DUMMYFUNCTION("""COMPUTED_VALUE"""),FALSE)</f>
        <v>0</v>
      </c>
      <c r="L284" s="20" t="str">
        <f>IFERROR(__xludf.DUMMYFUNCTION("""COMPUTED_VALUE"""),"Array;Two Pointers;")</f>
        <v>Array;Two Pointers;</v>
      </c>
      <c r="M284" s="20" t="b">
        <f>IFERROR(__xludf.DUMMYFUNCTION("""COMPUTED_VALUE"""),TRUE)</f>
        <v>1</v>
      </c>
      <c r="N284" s="20" t="b">
        <f>IFERROR(__xludf.DUMMYFUNCTION("""COMPUTED_VALUE"""),FALSE)</f>
        <v>0</v>
      </c>
      <c r="O284" s="20">
        <f>IFERROR(__xludf.DUMMYFUNCTION("""COMPUTED_VALUE"""),61.3745661671757)</f>
        <v>61.37456617</v>
      </c>
      <c r="P284" s="20">
        <f>IFERROR(__xludf.DUMMYFUNCTION("""COMPUTED_VALUE"""),2030434.0)</f>
        <v>2030434</v>
      </c>
      <c r="Q284" s="20">
        <f>IFERROR(__xludf.DUMMYFUNCTION("""COMPUTED_VALUE"""),3308271.0)</f>
        <v>3308271</v>
      </c>
    </row>
    <row r="285">
      <c r="A285" s="20">
        <f>IFERROR(__xludf.DUMMYFUNCTION("""COMPUTED_VALUE"""),284.0)</f>
        <v>284</v>
      </c>
      <c r="B285" s="20" t="str">
        <f>IFERROR(__xludf.DUMMYFUNCTION("""COMPUTED_VALUE"""),"Peeking Iterator")</f>
        <v>Peeking Iterator</v>
      </c>
      <c r="C285" s="20" t="str">
        <f>IFERROR(__xludf.DUMMYFUNCTION("""COMPUTED_VALUE"""),"peeking-iterator")</f>
        <v>peeking-iterator</v>
      </c>
      <c r="D285" s="20" t="b">
        <f>IFERROR(__xludf.DUMMYFUNCTION("""COMPUTED_VALUE"""),FALSE)</f>
        <v>0</v>
      </c>
      <c r="E285" s="20" t="str">
        <f>IFERROR(__xludf.DUMMYFUNCTION("""COMPUTED_VALUE"""),"Medium")</f>
        <v>Medium</v>
      </c>
      <c r="F285" s="20">
        <f>IFERROR(__xludf.DUMMYFUNCTION("""COMPUTED_VALUE"""),1674.0)</f>
        <v>1674</v>
      </c>
      <c r="G285" s="20">
        <f>IFERROR(__xludf.DUMMYFUNCTION("""COMPUTED_VALUE"""),972.0)</f>
        <v>972</v>
      </c>
      <c r="H285" s="20" t="str">
        <f>IFERROR(__xludf.DUMMYFUNCTION("""COMPUTED_VALUE"""),"Algorithms")</f>
        <v>Algorithms</v>
      </c>
      <c r="I285" s="20">
        <f>IFERROR(__xludf.DUMMYFUNCTION("""COMPUTED_VALUE"""),0.584)</f>
        <v>0.584</v>
      </c>
      <c r="J285" s="20">
        <f>IFERROR(__xludf.DUMMYFUNCTION("""COMPUTED_VALUE"""),284.0)</f>
        <v>284</v>
      </c>
      <c r="K285" s="20" t="b">
        <f>IFERROR(__xludf.DUMMYFUNCTION("""COMPUTED_VALUE"""),FALSE)</f>
        <v>0</v>
      </c>
      <c r="L285" s="20" t="str">
        <f>IFERROR(__xludf.DUMMYFUNCTION("""COMPUTED_VALUE"""),"Array;Design;Iterator;")</f>
        <v>Array;Design;Iterator;</v>
      </c>
      <c r="M285" s="20" t="b">
        <f>IFERROR(__xludf.DUMMYFUNCTION("""COMPUTED_VALUE"""),TRUE)</f>
        <v>1</v>
      </c>
      <c r="N285" s="20" t="b">
        <f>IFERROR(__xludf.DUMMYFUNCTION("""COMPUTED_VALUE"""),FALSE)</f>
        <v>0</v>
      </c>
      <c r="O285" s="20">
        <f>IFERROR(__xludf.DUMMYFUNCTION("""COMPUTED_VALUE"""),58.3879300121197)</f>
        <v>58.38793001</v>
      </c>
      <c r="P285" s="20">
        <f>IFERROR(__xludf.DUMMYFUNCTION("""COMPUTED_VALUE"""),201857.0)</f>
        <v>201857</v>
      </c>
      <c r="Q285" s="20">
        <f>IFERROR(__xludf.DUMMYFUNCTION("""COMPUTED_VALUE"""),345717.0)</f>
        <v>345717</v>
      </c>
    </row>
    <row r="286">
      <c r="A286" s="20">
        <f>IFERROR(__xludf.DUMMYFUNCTION("""COMPUTED_VALUE"""),285.0)</f>
        <v>285</v>
      </c>
      <c r="B286" s="20" t="str">
        <f>IFERROR(__xludf.DUMMYFUNCTION("""COMPUTED_VALUE"""),"Inorder Successor in BST")</f>
        <v>Inorder Successor in BST</v>
      </c>
      <c r="C286" s="20" t="str">
        <f>IFERROR(__xludf.DUMMYFUNCTION("""COMPUTED_VALUE"""),"inorder-successor-in-bst")</f>
        <v>inorder-successor-in-bst</v>
      </c>
      <c r="D286" s="20" t="b">
        <f>IFERROR(__xludf.DUMMYFUNCTION("""COMPUTED_VALUE"""),TRUE)</f>
        <v>1</v>
      </c>
      <c r="E286" s="20" t="str">
        <f>IFERROR(__xludf.DUMMYFUNCTION("""COMPUTED_VALUE"""),"Medium")</f>
        <v>Medium</v>
      </c>
      <c r="F286" s="20">
        <f>IFERROR(__xludf.DUMMYFUNCTION("""COMPUTED_VALUE"""),2347.0)</f>
        <v>2347</v>
      </c>
      <c r="G286" s="20">
        <f>IFERROR(__xludf.DUMMYFUNCTION("""COMPUTED_VALUE"""),84.0)</f>
        <v>84</v>
      </c>
      <c r="H286" s="20" t="str">
        <f>IFERROR(__xludf.DUMMYFUNCTION("""COMPUTED_VALUE"""),"Algorithms")</f>
        <v>Algorithms</v>
      </c>
      <c r="I286" s="20">
        <f>IFERROR(__xludf.DUMMYFUNCTION("""COMPUTED_VALUE"""),0.485)</f>
        <v>0.485</v>
      </c>
      <c r="J286" s="20">
        <f>IFERROR(__xludf.DUMMYFUNCTION("""COMPUTED_VALUE"""),285.0)</f>
        <v>285</v>
      </c>
      <c r="K286" s="20" t="b">
        <f>IFERROR(__xludf.DUMMYFUNCTION("""COMPUTED_VALUE"""),TRUE)</f>
        <v>1</v>
      </c>
      <c r="L286" s="20" t="str">
        <f>IFERROR(__xludf.DUMMYFUNCTION("""COMPUTED_VALUE"""),"Tree;Depth-First Search;Binary Search Tree;Binary Tree;")</f>
        <v>Tree;Depth-First Search;Binary Search Tree;Binary Tree;</v>
      </c>
      <c r="M286" s="20" t="b">
        <f>IFERROR(__xludf.DUMMYFUNCTION("""COMPUTED_VALUE"""),TRUE)</f>
        <v>1</v>
      </c>
      <c r="N286" s="20" t="b">
        <f>IFERROR(__xludf.DUMMYFUNCTION("""COMPUTED_VALUE"""),FALSE)</f>
        <v>0</v>
      </c>
      <c r="O286" s="20">
        <f>IFERROR(__xludf.DUMMYFUNCTION("""COMPUTED_VALUE"""),48.4926134350616)</f>
        <v>48.49261344</v>
      </c>
      <c r="P286" s="20">
        <f>IFERROR(__xludf.DUMMYFUNCTION("""COMPUTED_VALUE"""),294275.0)</f>
        <v>294275</v>
      </c>
      <c r="Q286" s="20">
        <f>IFERROR(__xludf.DUMMYFUNCTION("""COMPUTED_VALUE"""),606845.0)</f>
        <v>606845</v>
      </c>
    </row>
    <row r="287">
      <c r="A287" s="20">
        <f>IFERROR(__xludf.DUMMYFUNCTION("""COMPUTED_VALUE"""),286.0)</f>
        <v>286</v>
      </c>
      <c r="B287" s="20" t="str">
        <f>IFERROR(__xludf.DUMMYFUNCTION("""COMPUTED_VALUE"""),"Walls and Gates")</f>
        <v>Walls and Gates</v>
      </c>
      <c r="C287" s="20" t="str">
        <f>IFERROR(__xludf.DUMMYFUNCTION("""COMPUTED_VALUE"""),"walls-and-gates")</f>
        <v>walls-and-gates</v>
      </c>
      <c r="D287" s="20" t="b">
        <f>IFERROR(__xludf.DUMMYFUNCTION("""COMPUTED_VALUE"""),TRUE)</f>
        <v>1</v>
      </c>
      <c r="E287" s="20" t="str">
        <f>IFERROR(__xludf.DUMMYFUNCTION("""COMPUTED_VALUE"""),"Medium")</f>
        <v>Medium</v>
      </c>
      <c r="F287" s="20">
        <f>IFERROR(__xludf.DUMMYFUNCTION("""COMPUTED_VALUE"""),2781.0)</f>
        <v>2781</v>
      </c>
      <c r="G287" s="20">
        <f>IFERROR(__xludf.DUMMYFUNCTION("""COMPUTED_VALUE"""),49.0)</f>
        <v>49</v>
      </c>
      <c r="H287" s="20" t="str">
        <f>IFERROR(__xludf.DUMMYFUNCTION("""COMPUTED_VALUE"""),"Algorithms")</f>
        <v>Algorithms</v>
      </c>
      <c r="I287" s="20">
        <f>IFERROR(__xludf.DUMMYFUNCTION("""COMPUTED_VALUE"""),0.603)</f>
        <v>0.603</v>
      </c>
      <c r="J287" s="20">
        <f>IFERROR(__xludf.DUMMYFUNCTION("""COMPUTED_VALUE"""),286.0)</f>
        <v>286</v>
      </c>
      <c r="K287" s="20" t="b">
        <f>IFERROR(__xludf.DUMMYFUNCTION("""COMPUTED_VALUE"""),TRUE)</f>
        <v>1</v>
      </c>
      <c r="L287" s="20" t="str">
        <f>IFERROR(__xludf.DUMMYFUNCTION("""COMPUTED_VALUE"""),"Array;Breadth-First Search;Matrix;")</f>
        <v>Array;Breadth-First Search;Matrix;</v>
      </c>
      <c r="M287" s="20" t="b">
        <f>IFERROR(__xludf.DUMMYFUNCTION("""COMPUTED_VALUE"""),TRUE)</f>
        <v>1</v>
      </c>
      <c r="N287" s="20" t="b">
        <f>IFERROR(__xludf.DUMMYFUNCTION("""COMPUTED_VALUE"""),FALSE)</f>
        <v>0</v>
      </c>
      <c r="O287" s="20">
        <f>IFERROR(__xludf.DUMMYFUNCTION("""COMPUTED_VALUE"""),60.3254193037052)</f>
        <v>60.3254193</v>
      </c>
      <c r="P287" s="20">
        <f>IFERROR(__xludf.DUMMYFUNCTION("""COMPUTED_VALUE"""),258787.0)</f>
        <v>258787</v>
      </c>
      <c r="Q287" s="20">
        <f>IFERROR(__xludf.DUMMYFUNCTION("""COMPUTED_VALUE"""),428985.0)</f>
        <v>428985</v>
      </c>
    </row>
    <row r="288">
      <c r="A288" s="20">
        <f>IFERROR(__xludf.DUMMYFUNCTION("""COMPUTED_VALUE"""),287.0)</f>
        <v>287</v>
      </c>
      <c r="B288" s="20" t="str">
        <f>IFERROR(__xludf.DUMMYFUNCTION("""COMPUTED_VALUE"""),"Find the Duplicate Number")</f>
        <v>Find the Duplicate Number</v>
      </c>
      <c r="C288" s="20" t="str">
        <f>IFERROR(__xludf.DUMMYFUNCTION("""COMPUTED_VALUE"""),"find-the-duplicate-number")</f>
        <v>find-the-duplicate-number</v>
      </c>
      <c r="D288" s="20" t="b">
        <f>IFERROR(__xludf.DUMMYFUNCTION("""COMPUTED_VALUE"""),FALSE)</f>
        <v>0</v>
      </c>
      <c r="E288" s="20" t="str">
        <f>IFERROR(__xludf.DUMMYFUNCTION("""COMPUTED_VALUE"""),"Medium")</f>
        <v>Medium</v>
      </c>
      <c r="F288" s="20">
        <f>IFERROR(__xludf.DUMMYFUNCTION("""COMPUTED_VALUE"""),17518.0)</f>
        <v>17518</v>
      </c>
      <c r="G288" s="20">
        <f>IFERROR(__xludf.DUMMYFUNCTION("""COMPUTED_VALUE"""),2408.0)</f>
        <v>2408</v>
      </c>
      <c r="H288" s="20" t="str">
        <f>IFERROR(__xludf.DUMMYFUNCTION("""COMPUTED_VALUE"""),"Algorithms")</f>
        <v>Algorithms</v>
      </c>
      <c r="I288" s="20">
        <f>IFERROR(__xludf.DUMMYFUNCTION("""COMPUTED_VALUE"""),0.591)</f>
        <v>0.591</v>
      </c>
      <c r="J288" s="20">
        <f>IFERROR(__xludf.DUMMYFUNCTION("""COMPUTED_VALUE"""),287.0)</f>
        <v>287</v>
      </c>
      <c r="K288" s="20" t="b">
        <f>IFERROR(__xludf.DUMMYFUNCTION("""COMPUTED_VALUE"""),FALSE)</f>
        <v>0</v>
      </c>
      <c r="L288" s="20" t="str">
        <f>IFERROR(__xludf.DUMMYFUNCTION("""COMPUTED_VALUE"""),"Array;Two Pointers;Binary Search;Bit Manipulation;")</f>
        <v>Array;Two Pointers;Binary Search;Bit Manipulation;</v>
      </c>
      <c r="M288" s="20" t="b">
        <f>IFERROR(__xludf.DUMMYFUNCTION("""COMPUTED_VALUE"""),TRUE)</f>
        <v>1</v>
      </c>
      <c r="N288" s="20" t="b">
        <f>IFERROR(__xludf.DUMMYFUNCTION("""COMPUTED_VALUE"""),FALSE)</f>
        <v>0</v>
      </c>
      <c r="O288" s="20">
        <f>IFERROR(__xludf.DUMMYFUNCTION("""COMPUTED_VALUE"""),59.1268669998551)</f>
        <v>59.126867</v>
      </c>
      <c r="P288" s="20">
        <f>IFERROR(__xludf.DUMMYFUNCTION("""COMPUTED_VALUE"""),1069706.0)</f>
        <v>1069706</v>
      </c>
      <c r="Q288" s="20">
        <f>IFERROR(__xludf.DUMMYFUNCTION("""COMPUTED_VALUE"""),1809170.0)</f>
        <v>1809170</v>
      </c>
    </row>
    <row r="289">
      <c r="A289" s="20">
        <f>IFERROR(__xludf.DUMMYFUNCTION("""COMPUTED_VALUE"""),288.0)</f>
        <v>288</v>
      </c>
      <c r="B289" s="20" t="str">
        <f>IFERROR(__xludf.DUMMYFUNCTION("""COMPUTED_VALUE"""),"Unique Word Abbreviation")</f>
        <v>Unique Word Abbreviation</v>
      </c>
      <c r="C289" s="20" t="str">
        <f>IFERROR(__xludf.DUMMYFUNCTION("""COMPUTED_VALUE"""),"unique-word-abbreviation")</f>
        <v>unique-word-abbreviation</v>
      </c>
      <c r="D289" s="20" t="b">
        <f>IFERROR(__xludf.DUMMYFUNCTION("""COMPUTED_VALUE"""),TRUE)</f>
        <v>1</v>
      </c>
      <c r="E289" s="20" t="str">
        <f>IFERROR(__xludf.DUMMYFUNCTION("""COMPUTED_VALUE"""),"Medium")</f>
        <v>Medium</v>
      </c>
      <c r="F289" s="20">
        <f>IFERROR(__xludf.DUMMYFUNCTION("""COMPUTED_VALUE"""),176.0)</f>
        <v>176</v>
      </c>
      <c r="G289" s="20">
        <f>IFERROR(__xludf.DUMMYFUNCTION("""COMPUTED_VALUE"""),1733.0)</f>
        <v>1733</v>
      </c>
      <c r="H289" s="20" t="str">
        <f>IFERROR(__xludf.DUMMYFUNCTION("""COMPUTED_VALUE"""),"Algorithms")</f>
        <v>Algorithms</v>
      </c>
      <c r="I289" s="20">
        <f>IFERROR(__xludf.DUMMYFUNCTION("""COMPUTED_VALUE"""),0.254)</f>
        <v>0.254</v>
      </c>
      <c r="J289" s="20">
        <f>IFERROR(__xludf.DUMMYFUNCTION("""COMPUTED_VALUE"""),288.0)</f>
        <v>288</v>
      </c>
      <c r="K289" s="20" t="b">
        <f>IFERROR(__xludf.DUMMYFUNCTION("""COMPUTED_VALUE"""),TRUE)</f>
        <v>1</v>
      </c>
      <c r="L289" s="20" t="str">
        <f>IFERROR(__xludf.DUMMYFUNCTION("""COMPUTED_VALUE"""),"Array;Hash Table;String;Design;")</f>
        <v>Array;Hash Table;String;Design;</v>
      </c>
      <c r="M289" s="20" t="b">
        <f>IFERROR(__xludf.DUMMYFUNCTION("""COMPUTED_VALUE"""),FALSE)</f>
        <v>0</v>
      </c>
      <c r="N289" s="20" t="b">
        <f>IFERROR(__xludf.DUMMYFUNCTION("""COMPUTED_VALUE"""),FALSE)</f>
        <v>0</v>
      </c>
      <c r="O289" s="20">
        <f>IFERROR(__xludf.DUMMYFUNCTION("""COMPUTED_VALUE"""),25.4075545238086)</f>
        <v>25.40755452</v>
      </c>
      <c r="P289" s="20">
        <f>IFERROR(__xludf.DUMMYFUNCTION("""COMPUTED_VALUE"""),68186.0)</f>
        <v>68186</v>
      </c>
      <c r="Q289" s="20">
        <f>IFERROR(__xludf.DUMMYFUNCTION("""COMPUTED_VALUE"""),268369.0)</f>
        <v>268369</v>
      </c>
    </row>
    <row r="290">
      <c r="A290" s="20">
        <f>IFERROR(__xludf.DUMMYFUNCTION("""COMPUTED_VALUE"""),289.0)</f>
        <v>289</v>
      </c>
      <c r="B290" s="20" t="str">
        <f>IFERROR(__xludf.DUMMYFUNCTION("""COMPUTED_VALUE"""),"Game of Life")</f>
        <v>Game of Life</v>
      </c>
      <c r="C290" s="20" t="str">
        <f>IFERROR(__xludf.DUMMYFUNCTION("""COMPUTED_VALUE"""),"game-of-life")</f>
        <v>game-of-life</v>
      </c>
      <c r="D290" s="20" t="b">
        <f>IFERROR(__xludf.DUMMYFUNCTION("""COMPUTED_VALUE"""),FALSE)</f>
        <v>0</v>
      </c>
      <c r="E290" s="20" t="str">
        <f>IFERROR(__xludf.DUMMYFUNCTION("""COMPUTED_VALUE"""),"Medium")</f>
        <v>Medium</v>
      </c>
      <c r="F290" s="20">
        <f>IFERROR(__xludf.DUMMYFUNCTION("""COMPUTED_VALUE"""),5382.0)</f>
        <v>5382</v>
      </c>
      <c r="G290" s="20">
        <f>IFERROR(__xludf.DUMMYFUNCTION("""COMPUTED_VALUE"""),470.0)</f>
        <v>470</v>
      </c>
      <c r="H290" s="20" t="str">
        <f>IFERROR(__xludf.DUMMYFUNCTION("""COMPUTED_VALUE"""),"Algorithms")</f>
        <v>Algorithms</v>
      </c>
      <c r="I290" s="20">
        <f>IFERROR(__xludf.DUMMYFUNCTION("""COMPUTED_VALUE"""),0.669)</f>
        <v>0.669</v>
      </c>
      <c r="J290" s="20">
        <f>IFERROR(__xludf.DUMMYFUNCTION("""COMPUTED_VALUE"""),289.0)</f>
        <v>289</v>
      </c>
      <c r="K290" s="20" t="b">
        <f>IFERROR(__xludf.DUMMYFUNCTION("""COMPUTED_VALUE"""),FALSE)</f>
        <v>0</v>
      </c>
      <c r="L290" s="20" t="str">
        <f>IFERROR(__xludf.DUMMYFUNCTION("""COMPUTED_VALUE"""),"Array;Matrix;Simulation;")</f>
        <v>Array;Matrix;Simulation;</v>
      </c>
      <c r="M290" s="20" t="b">
        <f>IFERROR(__xludf.DUMMYFUNCTION("""COMPUTED_VALUE"""),TRUE)</f>
        <v>1</v>
      </c>
      <c r="N290" s="20" t="b">
        <f>IFERROR(__xludf.DUMMYFUNCTION("""COMPUTED_VALUE"""),TRUE)</f>
        <v>1</v>
      </c>
      <c r="O290" s="20">
        <f>IFERROR(__xludf.DUMMYFUNCTION("""COMPUTED_VALUE"""),66.8642102094658)</f>
        <v>66.86421021</v>
      </c>
      <c r="P290" s="20">
        <f>IFERROR(__xludf.DUMMYFUNCTION("""COMPUTED_VALUE"""),377625.0)</f>
        <v>377625</v>
      </c>
      <c r="Q290" s="20">
        <f>IFERROR(__xludf.DUMMYFUNCTION("""COMPUTED_VALUE"""),564766.0)</f>
        <v>564766</v>
      </c>
    </row>
    <row r="291">
      <c r="A291" s="20">
        <f>IFERROR(__xludf.DUMMYFUNCTION("""COMPUTED_VALUE"""),290.0)</f>
        <v>290</v>
      </c>
      <c r="B291" s="20" t="str">
        <f>IFERROR(__xludf.DUMMYFUNCTION("""COMPUTED_VALUE"""),"Word Pattern")</f>
        <v>Word Pattern</v>
      </c>
      <c r="C291" s="20" t="str">
        <f>IFERROR(__xludf.DUMMYFUNCTION("""COMPUTED_VALUE"""),"word-pattern")</f>
        <v>word-pattern</v>
      </c>
      <c r="D291" s="20" t="b">
        <f>IFERROR(__xludf.DUMMYFUNCTION("""COMPUTED_VALUE"""),FALSE)</f>
        <v>0</v>
      </c>
      <c r="E291" s="20" t="str">
        <f>IFERROR(__xludf.DUMMYFUNCTION("""COMPUTED_VALUE"""),"Easy")</f>
        <v>Easy</v>
      </c>
      <c r="F291" s="20">
        <f>IFERROR(__xludf.DUMMYFUNCTION("""COMPUTED_VALUE"""),4340.0)</f>
        <v>4340</v>
      </c>
      <c r="G291" s="20">
        <f>IFERROR(__xludf.DUMMYFUNCTION("""COMPUTED_VALUE"""),488.0)</f>
        <v>488</v>
      </c>
      <c r="H291" s="20" t="str">
        <f>IFERROR(__xludf.DUMMYFUNCTION("""COMPUTED_VALUE"""),"Algorithms")</f>
        <v>Algorithms</v>
      </c>
      <c r="I291" s="20">
        <f>IFERROR(__xludf.DUMMYFUNCTION("""COMPUTED_VALUE"""),0.404)</f>
        <v>0.404</v>
      </c>
      <c r="J291" s="20">
        <f>IFERROR(__xludf.DUMMYFUNCTION("""COMPUTED_VALUE"""),290.0)</f>
        <v>290</v>
      </c>
      <c r="K291" s="20" t="b">
        <f>IFERROR(__xludf.DUMMYFUNCTION("""COMPUTED_VALUE"""),FALSE)</f>
        <v>0</v>
      </c>
      <c r="L291" s="20" t="str">
        <f>IFERROR(__xludf.DUMMYFUNCTION("""COMPUTED_VALUE"""),"Hash Table;String;")</f>
        <v>Hash Table;String;</v>
      </c>
      <c r="M291" s="20" t="b">
        <f>IFERROR(__xludf.DUMMYFUNCTION("""COMPUTED_VALUE"""),TRUE)</f>
        <v>1</v>
      </c>
      <c r="N291" s="20" t="b">
        <f>IFERROR(__xludf.DUMMYFUNCTION("""COMPUTED_VALUE"""),FALSE)</f>
        <v>0</v>
      </c>
      <c r="O291" s="20">
        <f>IFERROR(__xludf.DUMMYFUNCTION("""COMPUTED_VALUE"""),40.4298230077237)</f>
        <v>40.42982301</v>
      </c>
      <c r="P291" s="20">
        <f>IFERROR(__xludf.DUMMYFUNCTION("""COMPUTED_VALUE"""),413155.0)</f>
        <v>413155</v>
      </c>
      <c r="Q291" s="20">
        <f>IFERROR(__xludf.DUMMYFUNCTION("""COMPUTED_VALUE"""),1021901.0)</f>
        <v>1021901</v>
      </c>
    </row>
    <row r="292">
      <c r="A292" s="20">
        <f>IFERROR(__xludf.DUMMYFUNCTION("""COMPUTED_VALUE"""),291.0)</f>
        <v>291</v>
      </c>
      <c r="B292" s="20" t="str">
        <f>IFERROR(__xludf.DUMMYFUNCTION("""COMPUTED_VALUE"""),"Word Pattern II")</f>
        <v>Word Pattern II</v>
      </c>
      <c r="C292" s="20" t="str">
        <f>IFERROR(__xludf.DUMMYFUNCTION("""COMPUTED_VALUE"""),"word-pattern-ii")</f>
        <v>word-pattern-ii</v>
      </c>
      <c r="D292" s="20" t="b">
        <f>IFERROR(__xludf.DUMMYFUNCTION("""COMPUTED_VALUE"""),TRUE)</f>
        <v>1</v>
      </c>
      <c r="E292" s="20" t="str">
        <f>IFERROR(__xludf.DUMMYFUNCTION("""COMPUTED_VALUE"""),"Medium")</f>
        <v>Medium</v>
      </c>
      <c r="F292" s="20">
        <f>IFERROR(__xludf.DUMMYFUNCTION("""COMPUTED_VALUE"""),806.0)</f>
        <v>806</v>
      </c>
      <c r="G292" s="20">
        <f>IFERROR(__xludf.DUMMYFUNCTION("""COMPUTED_VALUE"""),63.0)</f>
        <v>63</v>
      </c>
      <c r="H292" s="20" t="str">
        <f>IFERROR(__xludf.DUMMYFUNCTION("""COMPUTED_VALUE"""),"Algorithms")</f>
        <v>Algorithms</v>
      </c>
      <c r="I292" s="20">
        <f>IFERROR(__xludf.DUMMYFUNCTION("""COMPUTED_VALUE"""),0.47)</f>
        <v>0.47</v>
      </c>
      <c r="J292" s="20">
        <f>IFERROR(__xludf.DUMMYFUNCTION("""COMPUTED_VALUE"""),291.0)</f>
        <v>291</v>
      </c>
      <c r="K292" s="20" t="b">
        <f>IFERROR(__xludf.DUMMYFUNCTION("""COMPUTED_VALUE"""),TRUE)</f>
        <v>1</v>
      </c>
      <c r="L292" s="20" t="str">
        <f>IFERROR(__xludf.DUMMYFUNCTION("""COMPUTED_VALUE"""),"Hash Table;String;Backtracking;")</f>
        <v>Hash Table;String;Backtracking;</v>
      </c>
      <c r="M292" s="20" t="b">
        <f>IFERROR(__xludf.DUMMYFUNCTION("""COMPUTED_VALUE"""),FALSE)</f>
        <v>0</v>
      </c>
      <c r="N292" s="20" t="b">
        <f>IFERROR(__xludf.DUMMYFUNCTION("""COMPUTED_VALUE"""),FALSE)</f>
        <v>0</v>
      </c>
      <c r="O292" s="20">
        <f>IFERROR(__xludf.DUMMYFUNCTION("""COMPUTED_VALUE"""),46.9660981890027)</f>
        <v>46.96609819</v>
      </c>
      <c r="P292" s="20">
        <f>IFERROR(__xludf.DUMMYFUNCTION("""COMPUTED_VALUE"""),65846.0)</f>
        <v>65846</v>
      </c>
      <c r="Q292" s="20">
        <f>IFERROR(__xludf.DUMMYFUNCTION("""COMPUTED_VALUE"""),140199.0)</f>
        <v>140199</v>
      </c>
    </row>
    <row r="293">
      <c r="A293" s="20">
        <f>IFERROR(__xludf.DUMMYFUNCTION("""COMPUTED_VALUE"""),292.0)</f>
        <v>292</v>
      </c>
      <c r="B293" s="20" t="str">
        <f>IFERROR(__xludf.DUMMYFUNCTION("""COMPUTED_VALUE"""),"Nim Game")</f>
        <v>Nim Game</v>
      </c>
      <c r="C293" s="20" t="str">
        <f>IFERROR(__xludf.DUMMYFUNCTION("""COMPUTED_VALUE"""),"nim-game")</f>
        <v>nim-game</v>
      </c>
      <c r="D293" s="20" t="b">
        <f>IFERROR(__xludf.DUMMYFUNCTION("""COMPUTED_VALUE"""),FALSE)</f>
        <v>0</v>
      </c>
      <c r="E293" s="20" t="str">
        <f>IFERROR(__xludf.DUMMYFUNCTION("""COMPUTED_VALUE"""),"Easy")</f>
        <v>Easy</v>
      </c>
      <c r="F293" s="20">
        <f>IFERROR(__xludf.DUMMYFUNCTION("""COMPUTED_VALUE"""),1287.0)</f>
        <v>1287</v>
      </c>
      <c r="G293" s="20">
        <f>IFERROR(__xludf.DUMMYFUNCTION("""COMPUTED_VALUE"""),2425.0)</f>
        <v>2425</v>
      </c>
      <c r="H293" s="20" t="str">
        <f>IFERROR(__xludf.DUMMYFUNCTION("""COMPUTED_VALUE"""),"Algorithms")</f>
        <v>Algorithms</v>
      </c>
      <c r="I293" s="20">
        <f>IFERROR(__xludf.DUMMYFUNCTION("""COMPUTED_VALUE"""),0.56)</f>
        <v>0.56</v>
      </c>
      <c r="J293" s="20">
        <f>IFERROR(__xludf.DUMMYFUNCTION("""COMPUTED_VALUE"""),292.0)</f>
        <v>292</v>
      </c>
      <c r="K293" s="20" t="b">
        <f>IFERROR(__xludf.DUMMYFUNCTION("""COMPUTED_VALUE"""),FALSE)</f>
        <v>0</v>
      </c>
      <c r="L293" s="20" t="str">
        <f>IFERROR(__xludf.DUMMYFUNCTION("""COMPUTED_VALUE"""),"Math;Brainteaser;Game Theory;")</f>
        <v>Math;Brainteaser;Game Theory;</v>
      </c>
      <c r="M293" s="20" t="b">
        <f>IFERROR(__xludf.DUMMYFUNCTION("""COMPUTED_VALUE"""),TRUE)</f>
        <v>1</v>
      </c>
      <c r="N293" s="20" t="b">
        <f>IFERROR(__xludf.DUMMYFUNCTION("""COMPUTED_VALUE"""),FALSE)</f>
        <v>0</v>
      </c>
      <c r="O293" s="20">
        <f>IFERROR(__xludf.DUMMYFUNCTION("""COMPUTED_VALUE"""),55.9574857980575)</f>
        <v>55.9574858</v>
      </c>
      <c r="P293" s="20">
        <f>IFERROR(__xludf.DUMMYFUNCTION("""COMPUTED_VALUE"""),305359.0)</f>
        <v>305359</v>
      </c>
      <c r="Q293" s="20">
        <f>IFERROR(__xludf.DUMMYFUNCTION("""COMPUTED_VALUE"""),545699.0)</f>
        <v>545699</v>
      </c>
    </row>
    <row r="294">
      <c r="A294" s="20">
        <f>IFERROR(__xludf.DUMMYFUNCTION("""COMPUTED_VALUE"""),293.0)</f>
        <v>293</v>
      </c>
      <c r="B294" s="20" t="str">
        <f>IFERROR(__xludf.DUMMYFUNCTION("""COMPUTED_VALUE"""),"Flip Game")</f>
        <v>Flip Game</v>
      </c>
      <c r="C294" s="20" t="str">
        <f>IFERROR(__xludf.DUMMYFUNCTION("""COMPUTED_VALUE"""),"flip-game")</f>
        <v>flip-game</v>
      </c>
      <c r="D294" s="20" t="b">
        <f>IFERROR(__xludf.DUMMYFUNCTION("""COMPUTED_VALUE"""),TRUE)</f>
        <v>1</v>
      </c>
      <c r="E294" s="20" t="str">
        <f>IFERROR(__xludf.DUMMYFUNCTION("""COMPUTED_VALUE"""),"Easy")</f>
        <v>Easy</v>
      </c>
      <c r="F294" s="20">
        <f>IFERROR(__xludf.DUMMYFUNCTION("""COMPUTED_VALUE"""),180.0)</f>
        <v>180</v>
      </c>
      <c r="G294" s="20">
        <f>IFERROR(__xludf.DUMMYFUNCTION("""COMPUTED_VALUE"""),414.0)</f>
        <v>414</v>
      </c>
      <c r="H294" s="20" t="str">
        <f>IFERROR(__xludf.DUMMYFUNCTION("""COMPUTED_VALUE"""),"Algorithms")</f>
        <v>Algorithms</v>
      </c>
      <c r="I294" s="20">
        <f>IFERROR(__xludf.DUMMYFUNCTION("""COMPUTED_VALUE"""),0.631)</f>
        <v>0.631</v>
      </c>
      <c r="J294" s="20">
        <f>IFERROR(__xludf.DUMMYFUNCTION("""COMPUTED_VALUE"""),293.0)</f>
        <v>293</v>
      </c>
      <c r="K294" s="20" t="b">
        <f>IFERROR(__xludf.DUMMYFUNCTION("""COMPUTED_VALUE"""),TRUE)</f>
        <v>1</v>
      </c>
      <c r="L294" s="20" t="str">
        <f>IFERROR(__xludf.DUMMYFUNCTION("""COMPUTED_VALUE"""),"String;")</f>
        <v>String;</v>
      </c>
      <c r="M294" s="20" t="b">
        <f>IFERROR(__xludf.DUMMYFUNCTION("""COMPUTED_VALUE"""),FALSE)</f>
        <v>0</v>
      </c>
      <c r="N294" s="20" t="b">
        <f>IFERROR(__xludf.DUMMYFUNCTION("""COMPUTED_VALUE"""),FALSE)</f>
        <v>0</v>
      </c>
      <c r="O294" s="20">
        <f>IFERROR(__xludf.DUMMYFUNCTION("""COMPUTED_VALUE"""),63.089232383566)</f>
        <v>63.08923238</v>
      </c>
      <c r="P294" s="20">
        <f>IFERROR(__xludf.DUMMYFUNCTION("""COMPUTED_VALUE"""),62529.0)</f>
        <v>62529</v>
      </c>
      <c r="Q294" s="20">
        <f>IFERROR(__xludf.DUMMYFUNCTION("""COMPUTED_VALUE"""),99112.0)</f>
        <v>99112</v>
      </c>
    </row>
    <row r="295">
      <c r="A295" s="20">
        <f>IFERROR(__xludf.DUMMYFUNCTION("""COMPUTED_VALUE"""),294.0)</f>
        <v>294</v>
      </c>
      <c r="B295" s="20" t="str">
        <f>IFERROR(__xludf.DUMMYFUNCTION("""COMPUTED_VALUE"""),"Flip Game II")</f>
        <v>Flip Game II</v>
      </c>
      <c r="C295" s="20" t="str">
        <f>IFERROR(__xludf.DUMMYFUNCTION("""COMPUTED_VALUE"""),"flip-game-ii")</f>
        <v>flip-game-ii</v>
      </c>
      <c r="D295" s="20" t="b">
        <f>IFERROR(__xludf.DUMMYFUNCTION("""COMPUTED_VALUE"""),TRUE)</f>
        <v>1</v>
      </c>
      <c r="E295" s="20" t="str">
        <f>IFERROR(__xludf.DUMMYFUNCTION("""COMPUTED_VALUE"""),"Medium")</f>
        <v>Medium</v>
      </c>
      <c r="F295" s="20">
        <f>IFERROR(__xludf.DUMMYFUNCTION("""COMPUTED_VALUE"""),562.0)</f>
        <v>562</v>
      </c>
      <c r="G295" s="20">
        <f>IFERROR(__xludf.DUMMYFUNCTION("""COMPUTED_VALUE"""),55.0)</f>
        <v>55</v>
      </c>
      <c r="H295" s="20" t="str">
        <f>IFERROR(__xludf.DUMMYFUNCTION("""COMPUTED_VALUE"""),"Algorithms")</f>
        <v>Algorithms</v>
      </c>
      <c r="I295" s="20">
        <f>IFERROR(__xludf.DUMMYFUNCTION("""COMPUTED_VALUE"""),0.518)</f>
        <v>0.518</v>
      </c>
      <c r="J295" s="20">
        <f>IFERROR(__xludf.DUMMYFUNCTION("""COMPUTED_VALUE"""),294.0)</f>
        <v>294</v>
      </c>
      <c r="K295" s="20" t="b">
        <f>IFERROR(__xludf.DUMMYFUNCTION("""COMPUTED_VALUE"""),TRUE)</f>
        <v>1</v>
      </c>
      <c r="L295" s="20" t="str">
        <f>IFERROR(__xludf.DUMMYFUNCTION("""COMPUTED_VALUE"""),"Math;Dynamic Programming;Backtracking;Memoization;Game Theory;")</f>
        <v>Math;Dynamic Programming;Backtracking;Memoization;Game Theory;</v>
      </c>
      <c r="M295" s="20" t="b">
        <f>IFERROR(__xludf.DUMMYFUNCTION("""COMPUTED_VALUE"""),FALSE)</f>
        <v>0</v>
      </c>
      <c r="N295" s="20" t="b">
        <f>IFERROR(__xludf.DUMMYFUNCTION("""COMPUTED_VALUE"""),FALSE)</f>
        <v>0</v>
      </c>
      <c r="O295" s="20">
        <f>IFERROR(__xludf.DUMMYFUNCTION("""COMPUTED_VALUE"""),51.8326277781236)</f>
        <v>51.83262778</v>
      </c>
      <c r="P295" s="20">
        <f>IFERROR(__xludf.DUMMYFUNCTION("""COMPUTED_VALUE"""),66607.0)</f>
        <v>66607</v>
      </c>
      <c r="Q295" s="20">
        <f>IFERROR(__xludf.DUMMYFUNCTION("""COMPUTED_VALUE"""),128504.0)</f>
        <v>128504</v>
      </c>
    </row>
    <row r="296">
      <c r="A296" s="20">
        <f>IFERROR(__xludf.DUMMYFUNCTION("""COMPUTED_VALUE"""),295.0)</f>
        <v>295</v>
      </c>
      <c r="B296" s="20" t="str">
        <f>IFERROR(__xludf.DUMMYFUNCTION("""COMPUTED_VALUE"""),"Find Median from Data Stream")</f>
        <v>Find Median from Data Stream</v>
      </c>
      <c r="C296" s="20" t="str">
        <f>IFERROR(__xludf.DUMMYFUNCTION("""COMPUTED_VALUE"""),"find-median-from-data-stream")</f>
        <v>find-median-from-data-stream</v>
      </c>
      <c r="D296" s="20" t="b">
        <f>IFERROR(__xludf.DUMMYFUNCTION("""COMPUTED_VALUE"""),FALSE)</f>
        <v>0</v>
      </c>
      <c r="E296" s="20" t="str">
        <f>IFERROR(__xludf.DUMMYFUNCTION("""COMPUTED_VALUE"""),"Hard")</f>
        <v>Hard</v>
      </c>
      <c r="F296" s="20">
        <f>IFERROR(__xludf.DUMMYFUNCTION("""COMPUTED_VALUE"""),9629.0)</f>
        <v>9629</v>
      </c>
      <c r="G296" s="20">
        <f>IFERROR(__xludf.DUMMYFUNCTION("""COMPUTED_VALUE"""),187.0)</f>
        <v>187</v>
      </c>
      <c r="H296" s="20" t="str">
        <f>IFERROR(__xludf.DUMMYFUNCTION("""COMPUTED_VALUE"""),"Algorithms")</f>
        <v>Algorithms</v>
      </c>
      <c r="I296" s="20">
        <f>IFERROR(__xludf.DUMMYFUNCTION("""COMPUTED_VALUE"""),0.515)</f>
        <v>0.515</v>
      </c>
      <c r="J296" s="20">
        <f>IFERROR(__xludf.DUMMYFUNCTION("""COMPUTED_VALUE"""),295.0)</f>
        <v>295</v>
      </c>
      <c r="K296" s="20" t="b">
        <f>IFERROR(__xludf.DUMMYFUNCTION("""COMPUTED_VALUE"""),FALSE)</f>
        <v>0</v>
      </c>
      <c r="L296" s="20" t="str">
        <f>IFERROR(__xludf.DUMMYFUNCTION("""COMPUTED_VALUE"""),"Two Pointers;Design;Sorting;Heap (Priority Queue);Data Stream;")</f>
        <v>Two Pointers;Design;Sorting;Heap (Priority Queue);Data Stream;</v>
      </c>
      <c r="M296" s="20" t="b">
        <f>IFERROR(__xludf.DUMMYFUNCTION("""COMPUTED_VALUE"""),TRUE)</f>
        <v>1</v>
      </c>
      <c r="N296" s="20" t="b">
        <f>IFERROR(__xludf.DUMMYFUNCTION("""COMPUTED_VALUE"""),FALSE)</f>
        <v>0</v>
      </c>
      <c r="O296" s="20">
        <f>IFERROR(__xludf.DUMMYFUNCTION("""COMPUTED_VALUE"""),51.4942081604426)</f>
        <v>51.49420816</v>
      </c>
      <c r="P296" s="20">
        <f>IFERROR(__xludf.DUMMYFUNCTION("""COMPUTED_VALUE"""),595678.0)</f>
        <v>595678</v>
      </c>
      <c r="Q296" s="20">
        <f>IFERROR(__xludf.DUMMYFUNCTION("""COMPUTED_VALUE"""),1156791.0)</f>
        <v>1156791</v>
      </c>
    </row>
    <row r="297">
      <c r="A297" s="20">
        <f>IFERROR(__xludf.DUMMYFUNCTION("""COMPUTED_VALUE"""),296.0)</f>
        <v>296</v>
      </c>
      <c r="B297" s="20" t="str">
        <f>IFERROR(__xludf.DUMMYFUNCTION("""COMPUTED_VALUE"""),"Best Meeting Point")</f>
        <v>Best Meeting Point</v>
      </c>
      <c r="C297" s="20" t="str">
        <f>IFERROR(__xludf.DUMMYFUNCTION("""COMPUTED_VALUE"""),"best-meeting-point")</f>
        <v>best-meeting-point</v>
      </c>
      <c r="D297" s="20" t="b">
        <f>IFERROR(__xludf.DUMMYFUNCTION("""COMPUTED_VALUE"""),TRUE)</f>
        <v>1</v>
      </c>
      <c r="E297" s="20" t="str">
        <f>IFERROR(__xludf.DUMMYFUNCTION("""COMPUTED_VALUE"""),"Hard")</f>
        <v>Hard</v>
      </c>
      <c r="F297" s="20">
        <f>IFERROR(__xludf.DUMMYFUNCTION("""COMPUTED_VALUE"""),1022.0)</f>
        <v>1022</v>
      </c>
      <c r="G297" s="20">
        <f>IFERROR(__xludf.DUMMYFUNCTION("""COMPUTED_VALUE"""),85.0)</f>
        <v>85</v>
      </c>
      <c r="H297" s="20" t="str">
        <f>IFERROR(__xludf.DUMMYFUNCTION("""COMPUTED_VALUE"""),"Algorithms")</f>
        <v>Algorithms</v>
      </c>
      <c r="I297" s="20">
        <f>IFERROR(__xludf.DUMMYFUNCTION("""COMPUTED_VALUE"""),0.601)</f>
        <v>0.601</v>
      </c>
      <c r="J297" s="20">
        <f>IFERROR(__xludf.DUMMYFUNCTION("""COMPUTED_VALUE"""),296.0)</f>
        <v>296</v>
      </c>
      <c r="K297" s="20" t="b">
        <f>IFERROR(__xludf.DUMMYFUNCTION("""COMPUTED_VALUE"""),TRUE)</f>
        <v>1</v>
      </c>
      <c r="L297" s="20" t="str">
        <f>IFERROR(__xludf.DUMMYFUNCTION("""COMPUTED_VALUE"""),"Array;Math;Sorting;Matrix;")</f>
        <v>Array;Math;Sorting;Matrix;</v>
      </c>
      <c r="M297" s="20" t="b">
        <f>IFERROR(__xludf.DUMMYFUNCTION("""COMPUTED_VALUE"""),TRUE)</f>
        <v>1</v>
      </c>
      <c r="N297" s="20" t="b">
        <f>IFERROR(__xludf.DUMMYFUNCTION("""COMPUTED_VALUE"""),FALSE)</f>
        <v>0</v>
      </c>
      <c r="O297" s="20">
        <f>IFERROR(__xludf.DUMMYFUNCTION("""COMPUTED_VALUE"""),60.0826053583829)</f>
        <v>60.08260536</v>
      </c>
      <c r="P297" s="20">
        <f>IFERROR(__xludf.DUMMYFUNCTION("""COMPUTED_VALUE"""),65752.0)</f>
        <v>65752</v>
      </c>
      <c r="Q297" s="20">
        <f>IFERROR(__xludf.DUMMYFUNCTION("""COMPUTED_VALUE"""),109436.0)</f>
        <v>109436</v>
      </c>
    </row>
    <row r="298">
      <c r="A298" s="20">
        <f>IFERROR(__xludf.DUMMYFUNCTION("""COMPUTED_VALUE"""),297.0)</f>
        <v>297</v>
      </c>
      <c r="B298" s="20" t="str">
        <f>IFERROR(__xludf.DUMMYFUNCTION("""COMPUTED_VALUE"""),"Serialize and Deserialize Binary Tree")</f>
        <v>Serialize and Deserialize Binary Tree</v>
      </c>
      <c r="C298" s="20" t="str">
        <f>IFERROR(__xludf.DUMMYFUNCTION("""COMPUTED_VALUE"""),"serialize-and-deserialize-binary-tree")</f>
        <v>serialize-and-deserialize-binary-tree</v>
      </c>
      <c r="D298" s="20" t="b">
        <f>IFERROR(__xludf.DUMMYFUNCTION("""COMPUTED_VALUE"""),FALSE)</f>
        <v>0</v>
      </c>
      <c r="E298" s="20" t="str">
        <f>IFERROR(__xludf.DUMMYFUNCTION("""COMPUTED_VALUE"""),"Hard")</f>
        <v>Hard</v>
      </c>
      <c r="F298" s="20">
        <f>IFERROR(__xludf.DUMMYFUNCTION("""COMPUTED_VALUE"""),8200.0)</f>
        <v>8200</v>
      </c>
      <c r="G298" s="20">
        <f>IFERROR(__xludf.DUMMYFUNCTION("""COMPUTED_VALUE"""),300.0)</f>
        <v>300</v>
      </c>
      <c r="H298" s="20" t="str">
        <f>IFERROR(__xludf.DUMMYFUNCTION("""COMPUTED_VALUE"""),"Algorithms")</f>
        <v>Algorithms</v>
      </c>
      <c r="I298" s="20">
        <f>IFERROR(__xludf.DUMMYFUNCTION("""COMPUTED_VALUE"""),0.551)</f>
        <v>0.551</v>
      </c>
      <c r="J298" s="20">
        <f>IFERROR(__xludf.DUMMYFUNCTION("""COMPUTED_VALUE"""),297.0)</f>
        <v>297</v>
      </c>
      <c r="K298" s="20" t="b">
        <f>IFERROR(__xludf.DUMMYFUNCTION("""COMPUTED_VALUE"""),FALSE)</f>
        <v>0</v>
      </c>
      <c r="L298" s="20" t="str">
        <f>IFERROR(__xludf.DUMMYFUNCTION("""COMPUTED_VALUE"""),"String;Tree;Depth-First Search;Breadth-First Search;Design;Binary Tree;")</f>
        <v>String;Tree;Depth-First Search;Breadth-First Search;Design;Binary Tree;</v>
      </c>
      <c r="M298" s="20" t="b">
        <f>IFERROR(__xludf.DUMMYFUNCTION("""COMPUTED_VALUE"""),TRUE)</f>
        <v>1</v>
      </c>
      <c r="N298" s="20" t="b">
        <f>IFERROR(__xludf.DUMMYFUNCTION("""COMPUTED_VALUE"""),FALSE)</f>
        <v>0</v>
      </c>
      <c r="O298" s="20">
        <f>IFERROR(__xludf.DUMMYFUNCTION("""COMPUTED_VALUE"""),55.1234820150168)</f>
        <v>55.12348202</v>
      </c>
      <c r="P298" s="20">
        <f>IFERROR(__xludf.DUMMYFUNCTION("""COMPUTED_VALUE"""),706841.0)</f>
        <v>706841</v>
      </c>
      <c r="Q298" s="20">
        <f>IFERROR(__xludf.DUMMYFUNCTION("""COMPUTED_VALUE"""),1282285.0)</f>
        <v>1282285</v>
      </c>
    </row>
    <row r="299">
      <c r="A299" s="20">
        <f>IFERROR(__xludf.DUMMYFUNCTION("""COMPUTED_VALUE"""),298.0)</f>
        <v>298</v>
      </c>
      <c r="B299" s="20" t="str">
        <f>IFERROR(__xludf.DUMMYFUNCTION("""COMPUTED_VALUE"""),"Binary Tree Longest Consecutive Sequence")</f>
        <v>Binary Tree Longest Consecutive Sequence</v>
      </c>
      <c r="C299" s="20" t="str">
        <f>IFERROR(__xludf.DUMMYFUNCTION("""COMPUTED_VALUE"""),"binary-tree-longest-consecutive-sequence")</f>
        <v>binary-tree-longest-consecutive-sequence</v>
      </c>
      <c r="D299" s="20" t="b">
        <f>IFERROR(__xludf.DUMMYFUNCTION("""COMPUTED_VALUE"""),TRUE)</f>
        <v>1</v>
      </c>
      <c r="E299" s="20" t="str">
        <f>IFERROR(__xludf.DUMMYFUNCTION("""COMPUTED_VALUE"""),"Medium")</f>
        <v>Medium</v>
      </c>
      <c r="F299" s="20">
        <f>IFERROR(__xludf.DUMMYFUNCTION("""COMPUTED_VALUE"""),1042.0)</f>
        <v>1042</v>
      </c>
      <c r="G299" s="20">
        <f>IFERROR(__xludf.DUMMYFUNCTION("""COMPUTED_VALUE"""),230.0)</f>
        <v>230</v>
      </c>
      <c r="H299" s="20" t="str">
        <f>IFERROR(__xludf.DUMMYFUNCTION("""COMPUTED_VALUE"""),"Algorithms")</f>
        <v>Algorithms</v>
      </c>
      <c r="I299" s="20">
        <f>IFERROR(__xludf.DUMMYFUNCTION("""COMPUTED_VALUE"""),0.526)</f>
        <v>0.526</v>
      </c>
      <c r="J299" s="20">
        <f>IFERROR(__xludf.DUMMYFUNCTION("""COMPUTED_VALUE"""),298.0)</f>
        <v>298</v>
      </c>
      <c r="K299" s="20" t="b">
        <f>IFERROR(__xludf.DUMMYFUNCTION("""COMPUTED_VALUE"""),TRUE)</f>
        <v>1</v>
      </c>
      <c r="L299" s="20" t="str">
        <f>IFERROR(__xludf.DUMMYFUNCTION("""COMPUTED_VALUE"""),"Tree;Depth-First Search;Binary Tree;")</f>
        <v>Tree;Depth-First Search;Binary Tree;</v>
      </c>
      <c r="M299" s="20" t="b">
        <f>IFERROR(__xludf.DUMMYFUNCTION("""COMPUTED_VALUE"""),TRUE)</f>
        <v>1</v>
      </c>
      <c r="N299" s="20" t="b">
        <f>IFERROR(__xludf.DUMMYFUNCTION("""COMPUTED_VALUE"""),FALSE)</f>
        <v>0</v>
      </c>
      <c r="O299" s="20">
        <f>IFERROR(__xludf.DUMMYFUNCTION("""COMPUTED_VALUE"""),52.6081936815589)</f>
        <v>52.60819368</v>
      </c>
      <c r="P299" s="20">
        <f>IFERROR(__xludf.DUMMYFUNCTION("""COMPUTED_VALUE"""),135333.0)</f>
        <v>135333</v>
      </c>
      <c r="Q299" s="20">
        <f>IFERROR(__xludf.DUMMYFUNCTION("""COMPUTED_VALUE"""),257247.0)</f>
        <v>257247</v>
      </c>
    </row>
    <row r="300">
      <c r="A300" s="20">
        <f>IFERROR(__xludf.DUMMYFUNCTION("""COMPUTED_VALUE"""),299.0)</f>
        <v>299</v>
      </c>
      <c r="B300" s="20" t="str">
        <f>IFERROR(__xludf.DUMMYFUNCTION("""COMPUTED_VALUE"""),"Bulls and Cows")</f>
        <v>Bulls and Cows</v>
      </c>
      <c r="C300" s="20" t="str">
        <f>IFERROR(__xludf.DUMMYFUNCTION("""COMPUTED_VALUE"""),"bulls-and-cows")</f>
        <v>bulls-and-cows</v>
      </c>
      <c r="D300" s="20" t="b">
        <f>IFERROR(__xludf.DUMMYFUNCTION("""COMPUTED_VALUE"""),FALSE)</f>
        <v>0</v>
      </c>
      <c r="E300" s="20" t="str">
        <f>IFERROR(__xludf.DUMMYFUNCTION("""COMPUTED_VALUE"""),"Medium")</f>
        <v>Medium</v>
      </c>
      <c r="F300" s="20">
        <f>IFERROR(__xludf.DUMMYFUNCTION("""COMPUTED_VALUE"""),1844.0)</f>
        <v>1844</v>
      </c>
      <c r="G300" s="20">
        <f>IFERROR(__xludf.DUMMYFUNCTION("""COMPUTED_VALUE"""),1599.0)</f>
        <v>1599</v>
      </c>
      <c r="H300" s="20" t="str">
        <f>IFERROR(__xludf.DUMMYFUNCTION("""COMPUTED_VALUE"""),"Algorithms")</f>
        <v>Algorithms</v>
      </c>
      <c r="I300" s="20">
        <f>IFERROR(__xludf.DUMMYFUNCTION("""COMPUTED_VALUE"""),0.488)</f>
        <v>0.488</v>
      </c>
      <c r="J300" s="20">
        <f>IFERROR(__xludf.DUMMYFUNCTION("""COMPUTED_VALUE"""),299.0)</f>
        <v>299</v>
      </c>
      <c r="K300" s="20" t="b">
        <f>IFERROR(__xludf.DUMMYFUNCTION("""COMPUTED_VALUE"""),FALSE)</f>
        <v>0</v>
      </c>
      <c r="L300" s="20" t="str">
        <f>IFERROR(__xludf.DUMMYFUNCTION("""COMPUTED_VALUE"""),"Hash Table;String;Counting;")</f>
        <v>Hash Table;String;Counting;</v>
      </c>
      <c r="M300" s="20" t="b">
        <f>IFERROR(__xludf.DUMMYFUNCTION("""COMPUTED_VALUE"""),TRUE)</f>
        <v>1</v>
      </c>
      <c r="N300" s="20" t="b">
        <f>IFERROR(__xludf.DUMMYFUNCTION("""COMPUTED_VALUE"""),FALSE)</f>
        <v>0</v>
      </c>
      <c r="O300" s="20">
        <f>IFERROR(__xludf.DUMMYFUNCTION("""COMPUTED_VALUE"""),48.8338609945763)</f>
        <v>48.83386099</v>
      </c>
      <c r="P300" s="20">
        <f>IFERROR(__xludf.DUMMYFUNCTION("""COMPUTED_VALUE"""),318825.0)</f>
        <v>318825</v>
      </c>
      <c r="Q300" s="20">
        <f>IFERROR(__xludf.DUMMYFUNCTION("""COMPUTED_VALUE"""),652877.0)</f>
        <v>652877</v>
      </c>
    </row>
    <row r="301">
      <c r="A301" s="20">
        <f>IFERROR(__xludf.DUMMYFUNCTION("""COMPUTED_VALUE"""),300.0)</f>
        <v>300</v>
      </c>
      <c r="B301" s="20" t="str">
        <f>IFERROR(__xludf.DUMMYFUNCTION("""COMPUTED_VALUE"""),"Longest Increasing Subsequence")</f>
        <v>Longest Increasing Subsequence</v>
      </c>
      <c r="C301" s="20" t="str">
        <f>IFERROR(__xludf.DUMMYFUNCTION("""COMPUTED_VALUE"""),"longest-increasing-subsequence")</f>
        <v>longest-increasing-subsequence</v>
      </c>
      <c r="D301" s="20" t="b">
        <f>IFERROR(__xludf.DUMMYFUNCTION("""COMPUTED_VALUE"""),FALSE)</f>
        <v>0</v>
      </c>
      <c r="E301" s="20" t="str">
        <f>IFERROR(__xludf.DUMMYFUNCTION("""COMPUTED_VALUE"""),"Medium")</f>
        <v>Medium</v>
      </c>
      <c r="F301" s="20">
        <f>IFERROR(__xludf.DUMMYFUNCTION("""COMPUTED_VALUE"""),15932.0)</f>
        <v>15932</v>
      </c>
      <c r="G301" s="20">
        <f>IFERROR(__xludf.DUMMYFUNCTION("""COMPUTED_VALUE"""),293.0)</f>
        <v>293</v>
      </c>
      <c r="H301" s="20" t="str">
        <f>IFERROR(__xludf.DUMMYFUNCTION("""COMPUTED_VALUE"""),"Algorithms")</f>
        <v>Algorithms</v>
      </c>
      <c r="I301" s="20">
        <f>IFERROR(__xludf.DUMMYFUNCTION("""COMPUTED_VALUE"""),0.517)</f>
        <v>0.517</v>
      </c>
      <c r="J301" s="20">
        <f>IFERROR(__xludf.DUMMYFUNCTION("""COMPUTED_VALUE"""),300.0)</f>
        <v>300</v>
      </c>
      <c r="K301" s="20" t="b">
        <f>IFERROR(__xludf.DUMMYFUNCTION("""COMPUTED_VALUE"""),FALSE)</f>
        <v>0</v>
      </c>
      <c r="L301" s="20" t="str">
        <f>IFERROR(__xludf.DUMMYFUNCTION("""COMPUTED_VALUE"""),"Array;Binary Search;Dynamic Programming;")</f>
        <v>Array;Binary Search;Dynamic Programming;</v>
      </c>
      <c r="M301" s="20" t="b">
        <f>IFERROR(__xludf.DUMMYFUNCTION("""COMPUTED_VALUE"""),TRUE)</f>
        <v>1</v>
      </c>
      <c r="N301" s="20" t="b">
        <f>IFERROR(__xludf.DUMMYFUNCTION("""COMPUTED_VALUE"""),FALSE)</f>
        <v>0</v>
      </c>
      <c r="O301" s="20">
        <f>IFERROR(__xludf.DUMMYFUNCTION("""COMPUTED_VALUE"""),51.677477964195)</f>
        <v>51.67747796</v>
      </c>
      <c r="P301" s="20">
        <f>IFERROR(__xludf.DUMMYFUNCTION("""COMPUTED_VALUE"""),1117224.0)</f>
        <v>1117224</v>
      </c>
      <c r="Q301" s="20">
        <f>IFERROR(__xludf.DUMMYFUNCTION("""COMPUTED_VALUE"""),2161926.0)</f>
        <v>2161926</v>
      </c>
    </row>
    <row r="302">
      <c r="A302" s="20">
        <f>IFERROR(__xludf.DUMMYFUNCTION("""COMPUTED_VALUE"""),301.0)</f>
        <v>301</v>
      </c>
      <c r="B302" s="20" t="str">
        <f>IFERROR(__xludf.DUMMYFUNCTION("""COMPUTED_VALUE"""),"Remove Invalid Parentheses")</f>
        <v>Remove Invalid Parentheses</v>
      </c>
      <c r="C302" s="20" t="str">
        <f>IFERROR(__xludf.DUMMYFUNCTION("""COMPUTED_VALUE"""),"remove-invalid-parentheses")</f>
        <v>remove-invalid-parentheses</v>
      </c>
      <c r="D302" s="20" t="b">
        <f>IFERROR(__xludf.DUMMYFUNCTION("""COMPUTED_VALUE"""),FALSE)</f>
        <v>0</v>
      </c>
      <c r="E302" s="20" t="str">
        <f>IFERROR(__xludf.DUMMYFUNCTION("""COMPUTED_VALUE"""),"Hard")</f>
        <v>Hard</v>
      </c>
      <c r="F302" s="20">
        <f>IFERROR(__xludf.DUMMYFUNCTION("""COMPUTED_VALUE"""),5242.0)</f>
        <v>5242</v>
      </c>
      <c r="G302" s="20">
        <f>IFERROR(__xludf.DUMMYFUNCTION("""COMPUTED_VALUE"""),257.0)</f>
        <v>257</v>
      </c>
      <c r="H302" s="20" t="str">
        <f>IFERROR(__xludf.DUMMYFUNCTION("""COMPUTED_VALUE"""),"Algorithms")</f>
        <v>Algorithms</v>
      </c>
      <c r="I302" s="20">
        <f>IFERROR(__xludf.DUMMYFUNCTION("""COMPUTED_VALUE"""),0.472)</f>
        <v>0.472</v>
      </c>
      <c r="J302" s="20">
        <f>IFERROR(__xludf.DUMMYFUNCTION("""COMPUTED_VALUE"""),301.0)</f>
        <v>301</v>
      </c>
      <c r="K302" s="20" t="b">
        <f>IFERROR(__xludf.DUMMYFUNCTION("""COMPUTED_VALUE"""),FALSE)</f>
        <v>0</v>
      </c>
      <c r="L302" s="20" t="str">
        <f>IFERROR(__xludf.DUMMYFUNCTION("""COMPUTED_VALUE"""),"String;Backtracking;Breadth-First Search;")</f>
        <v>String;Backtracking;Breadth-First Search;</v>
      </c>
      <c r="M302" s="20" t="b">
        <f>IFERROR(__xludf.DUMMYFUNCTION("""COMPUTED_VALUE"""),TRUE)</f>
        <v>1</v>
      </c>
      <c r="N302" s="20" t="b">
        <f>IFERROR(__xludf.DUMMYFUNCTION("""COMPUTED_VALUE"""),FALSE)</f>
        <v>0</v>
      </c>
      <c r="O302" s="20">
        <f>IFERROR(__xludf.DUMMYFUNCTION("""COMPUTED_VALUE"""),47.1589977266935)</f>
        <v>47.15899773</v>
      </c>
      <c r="P302" s="20">
        <f>IFERROR(__xludf.DUMMYFUNCTION("""COMPUTED_VALUE"""),373817.0)</f>
        <v>373817</v>
      </c>
      <c r="Q302" s="20">
        <f>IFERROR(__xludf.DUMMYFUNCTION("""COMPUTED_VALUE"""),792676.0)</f>
        <v>792676</v>
      </c>
    </row>
    <row r="303">
      <c r="A303" s="20">
        <f>IFERROR(__xludf.DUMMYFUNCTION("""COMPUTED_VALUE"""),302.0)</f>
        <v>302</v>
      </c>
      <c r="B303" s="20" t="str">
        <f>IFERROR(__xludf.DUMMYFUNCTION("""COMPUTED_VALUE"""),"Smallest Rectangle Enclosing Black Pixels")</f>
        <v>Smallest Rectangle Enclosing Black Pixels</v>
      </c>
      <c r="C303" s="20" t="str">
        <f>IFERROR(__xludf.DUMMYFUNCTION("""COMPUTED_VALUE"""),"smallest-rectangle-enclosing-black-pixels")</f>
        <v>smallest-rectangle-enclosing-black-pixels</v>
      </c>
      <c r="D303" s="20" t="b">
        <f>IFERROR(__xludf.DUMMYFUNCTION("""COMPUTED_VALUE"""),TRUE)</f>
        <v>1</v>
      </c>
      <c r="E303" s="20" t="str">
        <f>IFERROR(__xludf.DUMMYFUNCTION("""COMPUTED_VALUE"""),"Hard")</f>
        <v>Hard</v>
      </c>
      <c r="F303" s="20">
        <f>IFERROR(__xludf.DUMMYFUNCTION("""COMPUTED_VALUE"""),482.0)</f>
        <v>482</v>
      </c>
      <c r="G303" s="20">
        <f>IFERROR(__xludf.DUMMYFUNCTION("""COMPUTED_VALUE"""),94.0)</f>
        <v>94</v>
      </c>
      <c r="H303" s="20" t="str">
        <f>IFERROR(__xludf.DUMMYFUNCTION("""COMPUTED_VALUE"""),"Algorithms")</f>
        <v>Algorithms</v>
      </c>
      <c r="I303" s="20">
        <f>IFERROR(__xludf.DUMMYFUNCTION("""COMPUTED_VALUE"""),0.583)</f>
        <v>0.583</v>
      </c>
      <c r="J303" s="20">
        <f>IFERROR(__xludf.DUMMYFUNCTION("""COMPUTED_VALUE"""),302.0)</f>
        <v>302</v>
      </c>
      <c r="K303" s="20" t="b">
        <f>IFERROR(__xludf.DUMMYFUNCTION("""COMPUTED_VALUE"""),TRUE)</f>
        <v>1</v>
      </c>
      <c r="L303" s="20" t="str">
        <f>IFERROR(__xludf.DUMMYFUNCTION("""COMPUTED_VALUE"""),"Array;Binary Search;Depth-First Search;Breadth-First Search;Matrix;")</f>
        <v>Array;Binary Search;Depth-First Search;Breadth-First Search;Matrix;</v>
      </c>
      <c r="M303" s="20" t="b">
        <f>IFERROR(__xludf.DUMMYFUNCTION("""COMPUTED_VALUE"""),TRUE)</f>
        <v>1</v>
      </c>
      <c r="N303" s="20" t="b">
        <f>IFERROR(__xludf.DUMMYFUNCTION("""COMPUTED_VALUE"""),FALSE)</f>
        <v>0</v>
      </c>
      <c r="O303" s="20">
        <f>IFERROR(__xludf.DUMMYFUNCTION("""COMPUTED_VALUE"""),58.3087093704612)</f>
        <v>58.30870937</v>
      </c>
      <c r="P303" s="20">
        <f>IFERROR(__xludf.DUMMYFUNCTION("""COMPUTED_VALUE"""),46570.0)</f>
        <v>46570</v>
      </c>
      <c r="Q303" s="20">
        <f>IFERROR(__xludf.DUMMYFUNCTION("""COMPUTED_VALUE"""),79868.0)</f>
        <v>79868</v>
      </c>
    </row>
    <row r="304">
      <c r="A304" s="20">
        <f>IFERROR(__xludf.DUMMYFUNCTION("""COMPUTED_VALUE"""),303.0)</f>
        <v>303</v>
      </c>
      <c r="B304" s="20" t="str">
        <f>IFERROR(__xludf.DUMMYFUNCTION("""COMPUTED_VALUE"""),"Range Sum Query - Immutable")</f>
        <v>Range Sum Query - Immutable</v>
      </c>
      <c r="C304" s="20" t="str">
        <f>IFERROR(__xludf.DUMMYFUNCTION("""COMPUTED_VALUE"""),"range-sum-query-immutable")</f>
        <v>range-sum-query-immutable</v>
      </c>
      <c r="D304" s="20" t="b">
        <f>IFERROR(__xludf.DUMMYFUNCTION("""COMPUTED_VALUE"""),FALSE)</f>
        <v>0</v>
      </c>
      <c r="E304" s="20" t="str">
        <f>IFERROR(__xludf.DUMMYFUNCTION("""COMPUTED_VALUE"""),"Easy")</f>
        <v>Easy</v>
      </c>
      <c r="F304" s="20">
        <f>IFERROR(__xludf.DUMMYFUNCTION("""COMPUTED_VALUE"""),2496.0)</f>
        <v>2496</v>
      </c>
      <c r="G304" s="20">
        <f>IFERROR(__xludf.DUMMYFUNCTION("""COMPUTED_VALUE"""),1750.0)</f>
        <v>1750</v>
      </c>
      <c r="H304" s="20" t="str">
        <f>IFERROR(__xludf.DUMMYFUNCTION("""COMPUTED_VALUE"""),"Algorithms")</f>
        <v>Algorithms</v>
      </c>
      <c r="I304" s="20">
        <f>IFERROR(__xludf.DUMMYFUNCTION("""COMPUTED_VALUE"""),0.585)</f>
        <v>0.585</v>
      </c>
      <c r="J304" s="20">
        <f>IFERROR(__xludf.DUMMYFUNCTION("""COMPUTED_VALUE"""),303.0)</f>
        <v>303</v>
      </c>
      <c r="K304" s="20" t="b">
        <f>IFERROR(__xludf.DUMMYFUNCTION("""COMPUTED_VALUE"""),FALSE)</f>
        <v>0</v>
      </c>
      <c r="L304" s="20" t="str">
        <f>IFERROR(__xludf.DUMMYFUNCTION("""COMPUTED_VALUE"""),"Array;Design;Prefix Sum;")</f>
        <v>Array;Design;Prefix Sum;</v>
      </c>
      <c r="M304" s="20" t="b">
        <f>IFERROR(__xludf.DUMMYFUNCTION("""COMPUTED_VALUE"""),TRUE)</f>
        <v>1</v>
      </c>
      <c r="N304" s="20" t="b">
        <f>IFERROR(__xludf.DUMMYFUNCTION("""COMPUTED_VALUE"""),TRUE)</f>
        <v>1</v>
      </c>
      <c r="O304" s="20">
        <f>IFERROR(__xludf.DUMMYFUNCTION("""COMPUTED_VALUE"""),58.4694504409333)</f>
        <v>58.46945044</v>
      </c>
      <c r="P304" s="20">
        <f>IFERROR(__xludf.DUMMYFUNCTION("""COMPUTED_VALUE"""),407359.0)</f>
        <v>407359</v>
      </c>
      <c r="Q304" s="20">
        <f>IFERROR(__xludf.DUMMYFUNCTION("""COMPUTED_VALUE"""),696703.0)</f>
        <v>696703</v>
      </c>
    </row>
    <row r="305">
      <c r="A305" s="20">
        <f>IFERROR(__xludf.DUMMYFUNCTION("""COMPUTED_VALUE"""),304.0)</f>
        <v>304</v>
      </c>
      <c r="B305" s="20" t="str">
        <f>IFERROR(__xludf.DUMMYFUNCTION("""COMPUTED_VALUE"""),"Range Sum Query 2D - Immutable")</f>
        <v>Range Sum Query 2D - Immutable</v>
      </c>
      <c r="C305" s="20" t="str">
        <f>IFERROR(__xludf.DUMMYFUNCTION("""COMPUTED_VALUE"""),"range-sum-query-2d-immutable")</f>
        <v>range-sum-query-2d-immutable</v>
      </c>
      <c r="D305" s="20" t="b">
        <f>IFERROR(__xludf.DUMMYFUNCTION("""COMPUTED_VALUE"""),FALSE)</f>
        <v>0</v>
      </c>
      <c r="E305" s="20" t="str">
        <f>IFERROR(__xludf.DUMMYFUNCTION("""COMPUTED_VALUE"""),"Medium")</f>
        <v>Medium</v>
      </c>
      <c r="F305" s="20">
        <f>IFERROR(__xludf.DUMMYFUNCTION("""COMPUTED_VALUE"""),4141.0)</f>
        <v>4141</v>
      </c>
      <c r="G305" s="20">
        <f>IFERROR(__xludf.DUMMYFUNCTION("""COMPUTED_VALUE"""),314.0)</f>
        <v>314</v>
      </c>
      <c r="H305" s="20" t="str">
        <f>IFERROR(__xludf.DUMMYFUNCTION("""COMPUTED_VALUE"""),"Algorithms")</f>
        <v>Algorithms</v>
      </c>
      <c r="I305" s="20">
        <f>IFERROR(__xludf.DUMMYFUNCTION("""COMPUTED_VALUE"""),0.524)</f>
        <v>0.524</v>
      </c>
      <c r="J305" s="20">
        <f>IFERROR(__xludf.DUMMYFUNCTION("""COMPUTED_VALUE"""),304.0)</f>
        <v>304</v>
      </c>
      <c r="K305" s="20" t="b">
        <f>IFERROR(__xludf.DUMMYFUNCTION("""COMPUTED_VALUE"""),FALSE)</f>
        <v>0</v>
      </c>
      <c r="L305" s="20" t="str">
        <f>IFERROR(__xludf.DUMMYFUNCTION("""COMPUTED_VALUE"""),"Array;Design;Matrix;Prefix Sum;")</f>
        <v>Array;Design;Matrix;Prefix Sum;</v>
      </c>
      <c r="M305" s="20" t="b">
        <f>IFERROR(__xludf.DUMMYFUNCTION("""COMPUTED_VALUE"""),TRUE)</f>
        <v>1</v>
      </c>
      <c r="N305" s="20" t="b">
        <f>IFERROR(__xludf.DUMMYFUNCTION("""COMPUTED_VALUE"""),TRUE)</f>
        <v>1</v>
      </c>
      <c r="O305" s="20">
        <f>IFERROR(__xludf.DUMMYFUNCTION("""COMPUTED_VALUE"""),52.3799565425852)</f>
        <v>52.37995654</v>
      </c>
      <c r="P305" s="20">
        <f>IFERROR(__xludf.DUMMYFUNCTION("""COMPUTED_VALUE"""),308078.0)</f>
        <v>308078</v>
      </c>
      <c r="Q305" s="20">
        <f>IFERROR(__xludf.DUMMYFUNCTION("""COMPUTED_VALUE"""),588161.0)</f>
        <v>588161</v>
      </c>
    </row>
    <row r="306">
      <c r="A306" s="20">
        <f>IFERROR(__xludf.DUMMYFUNCTION("""COMPUTED_VALUE"""),305.0)</f>
        <v>305</v>
      </c>
      <c r="B306" s="20" t="str">
        <f>IFERROR(__xludf.DUMMYFUNCTION("""COMPUTED_VALUE"""),"Number of Islands II")</f>
        <v>Number of Islands II</v>
      </c>
      <c r="C306" s="20" t="str">
        <f>IFERROR(__xludf.DUMMYFUNCTION("""COMPUTED_VALUE"""),"number-of-islands-ii")</f>
        <v>number-of-islands-ii</v>
      </c>
      <c r="D306" s="20" t="b">
        <f>IFERROR(__xludf.DUMMYFUNCTION("""COMPUTED_VALUE"""),TRUE)</f>
        <v>1</v>
      </c>
      <c r="E306" s="20" t="str">
        <f>IFERROR(__xludf.DUMMYFUNCTION("""COMPUTED_VALUE"""),"Hard")</f>
        <v>Hard</v>
      </c>
      <c r="F306" s="20">
        <f>IFERROR(__xludf.DUMMYFUNCTION("""COMPUTED_VALUE"""),1570.0)</f>
        <v>1570</v>
      </c>
      <c r="G306" s="20">
        <f>IFERROR(__xludf.DUMMYFUNCTION("""COMPUTED_VALUE"""),53.0)</f>
        <v>53</v>
      </c>
      <c r="H306" s="20" t="str">
        <f>IFERROR(__xludf.DUMMYFUNCTION("""COMPUTED_VALUE"""),"Algorithms")</f>
        <v>Algorithms</v>
      </c>
      <c r="I306" s="20">
        <f>IFERROR(__xludf.DUMMYFUNCTION("""COMPUTED_VALUE"""),0.394)</f>
        <v>0.394</v>
      </c>
      <c r="J306" s="20">
        <f>IFERROR(__xludf.DUMMYFUNCTION("""COMPUTED_VALUE"""),305.0)</f>
        <v>305</v>
      </c>
      <c r="K306" s="20" t="b">
        <f>IFERROR(__xludf.DUMMYFUNCTION("""COMPUTED_VALUE"""),TRUE)</f>
        <v>1</v>
      </c>
      <c r="L306" s="20" t="str">
        <f>IFERROR(__xludf.DUMMYFUNCTION("""COMPUTED_VALUE"""),"Array;Union Find;")</f>
        <v>Array;Union Find;</v>
      </c>
      <c r="M306" s="20" t="b">
        <f>IFERROR(__xludf.DUMMYFUNCTION("""COMPUTED_VALUE"""),TRUE)</f>
        <v>1</v>
      </c>
      <c r="N306" s="20" t="b">
        <f>IFERROR(__xludf.DUMMYFUNCTION("""COMPUTED_VALUE"""),FALSE)</f>
        <v>0</v>
      </c>
      <c r="O306" s="20">
        <f>IFERROR(__xludf.DUMMYFUNCTION("""COMPUTED_VALUE"""),39.4202907759957)</f>
        <v>39.42029078</v>
      </c>
      <c r="P306" s="20">
        <f>IFERROR(__xludf.DUMMYFUNCTION("""COMPUTED_VALUE"""),124073.0)</f>
        <v>124073</v>
      </c>
      <c r="Q306" s="20">
        <f>IFERROR(__xludf.DUMMYFUNCTION("""COMPUTED_VALUE"""),314744.0)</f>
        <v>314744</v>
      </c>
    </row>
    <row r="307">
      <c r="A307" s="20">
        <f>IFERROR(__xludf.DUMMYFUNCTION("""COMPUTED_VALUE"""),306.0)</f>
        <v>306</v>
      </c>
      <c r="B307" s="20" t="str">
        <f>IFERROR(__xludf.DUMMYFUNCTION("""COMPUTED_VALUE"""),"Additive Number")</f>
        <v>Additive Number</v>
      </c>
      <c r="C307" s="20" t="str">
        <f>IFERROR(__xludf.DUMMYFUNCTION("""COMPUTED_VALUE"""),"additive-number")</f>
        <v>additive-number</v>
      </c>
      <c r="D307" s="20" t="b">
        <f>IFERROR(__xludf.DUMMYFUNCTION("""COMPUTED_VALUE"""),FALSE)</f>
        <v>0</v>
      </c>
      <c r="E307" s="20" t="str">
        <f>IFERROR(__xludf.DUMMYFUNCTION("""COMPUTED_VALUE"""),"Medium")</f>
        <v>Medium</v>
      </c>
      <c r="F307" s="20">
        <f>IFERROR(__xludf.DUMMYFUNCTION("""COMPUTED_VALUE"""),885.0)</f>
        <v>885</v>
      </c>
      <c r="G307" s="20">
        <f>IFERROR(__xludf.DUMMYFUNCTION("""COMPUTED_VALUE"""),700.0)</f>
        <v>700</v>
      </c>
      <c r="H307" s="20" t="str">
        <f>IFERROR(__xludf.DUMMYFUNCTION("""COMPUTED_VALUE"""),"Algorithms")</f>
        <v>Algorithms</v>
      </c>
      <c r="I307" s="20">
        <f>IFERROR(__xludf.DUMMYFUNCTION("""COMPUTED_VALUE"""),0.31)</f>
        <v>0.31</v>
      </c>
      <c r="J307" s="20">
        <f>IFERROR(__xludf.DUMMYFUNCTION("""COMPUTED_VALUE"""),306.0)</f>
        <v>306</v>
      </c>
      <c r="K307" s="20" t="b">
        <f>IFERROR(__xludf.DUMMYFUNCTION("""COMPUTED_VALUE"""),FALSE)</f>
        <v>0</v>
      </c>
      <c r="L307" s="20" t="str">
        <f>IFERROR(__xludf.DUMMYFUNCTION("""COMPUTED_VALUE"""),"String;Backtracking;")</f>
        <v>String;Backtracking;</v>
      </c>
      <c r="M307" s="20" t="b">
        <f>IFERROR(__xludf.DUMMYFUNCTION("""COMPUTED_VALUE"""),FALSE)</f>
        <v>0</v>
      </c>
      <c r="N307" s="20" t="b">
        <f>IFERROR(__xludf.DUMMYFUNCTION("""COMPUTED_VALUE"""),FALSE)</f>
        <v>0</v>
      </c>
      <c r="O307" s="20">
        <f>IFERROR(__xludf.DUMMYFUNCTION("""COMPUTED_VALUE"""),30.9615117863524)</f>
        <v>30.96151179</v>
      </c>
      <c r="P307" s="20">
        <f>IFERROR(__xludf.DUMMYFUNCTION("""COMPUTED_VALUE"""),75891.0)</f>
        <v>75891</v>
      </c>
      <c r="Q307" s="20">
        <f>IFERROR(__xludf.DUMMYFUNCTION("""COMPUTED_VALUE"""),245114.0)</f>
        <v>245114</v>
      </c>
    </row>
    <row r="308">
      <c r="A308" s="20">
        <f>IFERROR(__xludf.DUMMYFUNCTION("""COMPUTED_VALUE"""),307.0)</f>
        <v>307</v>
      </c>
      <c r="B308" s="20" t="str">
        <f>IFERROR(__xludf.DUMMYFUNCTION("""COMPUTED_VALUE"""),"Range Sum Query - Mutable")</f>
        <v>Range Sum Query - Mutable</v>
      </c>
      <c r="C308" s="20" t="str">
        <f>IFERROR(__xludf.DUMMYFUNCTION("""COMPUTED_VALUE"""),"range-sum-query-mutable")</f>
        <v>range-sum-query-mutable</v>
      </c>
      <c r="D308" s="20" t="b">
        <f>IFERROR(__xludf.DUMMYFUNCTION("""COMPUTED_VALUE"""),FALSE)</f>
        <v>0</v>
      </c>
      <c r="E308" s="20" t="str">
        <f>IFERROR(__xludf.DUMMYFUNCTION("""COMPUTED_VALUE"""),"Medium")</f>
        <v>Medium</v>
      </c>
      <c r="F308" s="20">
        <f>IFERROR(__xludf.DUMMYFUNCTION("""COMPUTED_VALUE"""),4180.0)</f>
        <v>4180</v>
      </c>
      <c r="G308" s="20">
        <f>IFERROR(__xludf.DUMMYFUNCTION("""COMPUTED_VALUE"""),227.0)</f>
        <v>227</v>
      </c>
      <c r="H308" s="20" t="str">
        <f>IFERROR(__xludf.DUMMYFUNCTION("""COMPUTED_VALUE"""),"Algorithms")</f>
        <v>Algorithms</v>
      </c>
      <c r="I308" s="20">
        <f>IFERROR(__xludf.DUMMYFUNCTION("""COMPUTED_VALUE"""),0.407)</f>
        <v>0.407</v>
      </c>
      <c r="J308" s="20">
        <f>IFERROR(__xludf.DUMMYFUNCTION("""COMPUTED_VALUE"""),307.0)</f>
        <v>307</v>
      </c>
      <c r="K308" s="20" t="b">
        <f>IFERROR(__xludf.DUMMYFUNCTION("""COMPUTED_VALUE"""),FALSE)</f>
        <v>0</v>
      </c>
      <c r="L308" s="20" t="str">
        <f>IFERROR(__xludf.DUMMYFUNCTION("""COMPUTED_VALUE"""),"Array;Design;Binary Indexed Tree;Segment Tree;")</f>
        <v>Array;Design;Binary Indexed Tree;Segment Tree;</v>
      </c>
      <c r="M308" s="20" t="b">
        <f>IFERROR(__xludf.DUMMYFUNCTION("""COMPUTED_VALUE"""),TRUE)</f>
        <v>1</v>
      </c>
      <c r="N308" s="20" t="b">
        <f>IFERROR(__xludf.DUMMYFUNCTION("""COMPUTED_VALUE"""),FALSE)</f>
        <v>0</v>
      </c>
      <c r="O308" s="20">
        <f>IFERROR(__xludf.DUMMYFUNCTION("""COMPUTED_VALUE"""),40.7054700723842)</f>
        <v>40.70547007</v>
      </c>
      <c r="P308" s="20">
        <f>IFERROR(__xludf.DUMMYFUNCTION("""COMPUTED_VALUE"""),239281.0)</f>
        <v>239281</v>
      </c>
      <c r="Q308" s="20">
        <f>IFERROR(__xludf.DUMMYFUNCTION("""COMPUTED_VALUE"""),587833.0)</f>
        <v>587833</v>
      </c>
    </row>
    <row r="309">
      <c r="A309" s="20">
        <f>IFERROR(__xludf.DUMMYFUNCTION("""COMPUTED_VALUE"""),308.0)</f>
        <v>308</v>
      </c>
      <c r="B309" s="20" t="str">
        <f>IFERROR(__xludf.DUMMYFUNCTION("""COMPUTED_VALUE"""),"Range Sum Query 2D - Mutable")</f>
        <v>Range Sum Query 2D - Mutable</v>
      </c>
      <c r="C309" s="20" t="str">
        <f>IFERROR(__xludf.DUMMYFUNCTION("""COMPUTED_VALUE"""),"range-sum-query-2d-mutable")</f>
        <v>range-sum-query-2d-mutable</v>
      </c>
      <c r="D309" s="20" t="b">
        <f>IFERROR(__xludf.DUMMYFUNCTION("""COMPUTED_VALUE"""),TRUE)</f>
        <v>1</v>
      </c>
      <c r="E309" s="20" t="str">
        <f>IFERROR(__xludf.DUMMYFUNCTION("""COMPUTED_VALUE"""),"Hard")</f>
        <v>Hard</v>
      </c>
      <c r="F309" s="20">
        <f>IFERROR(__xludf.DUMMYFUNCTION("""COMPUTED_VALUE"""),727.0)</f>
        <v>727</v>
      </c>
      <c r="G309" s="20">
        <f>IFERROR(__xludf.DUMMYFUNCTION("""COMPUTED_VALUE"""),85.0)</f>
        <v>85</v>
      </c>
      <c r="H309" s="20" t="str">
        <f>IFERROR(__xludf.DUMMYFUNCTION("""COMPUTED_VALUE"""),"Algorithms")</f>
        <v>Algorithms</v>
      </c>
      <c r="I309" s="20">
        <f>IFERROR(__xludf.DUMMYFUNCTION("""COMPUTED_VALUE"""),0.425)</f>
        <v>0.425</v>
      </c>
      <c r="J309" s="20">
        <f>IFERROR(__xludf.DUMMYFUNCTION("""COMPUTED_VALUE"""),308.0)</f>
        <v>308</v>
      </c>
      <c r="K309" s="20" t="b">
        <f>IFERROR(__xludf.DUMMYFUNCTION("""COMPUTED_VALUE"""),TRUE)</f>
        <v>1</v>
      </c>
      <c r="L309" s="20" t="str">
        <f>IFERROR(__xludf.DUMMYFUNCTION("""COMPUTED_VALUE"""),"Array;Design;Binary Indexed Tree;Segment Tree;Matrix;")</f>
        <v>Array;Design;Binary Indexed Tree;Segment Tree;Matrix;</v>
      </c>
      <c r="M309" s="20" t="b">
        <f>IFERROR(__xludf.DUMMYFUNCTION("""COMPUTED_VALUE"""),TRUE)</f>
        <v>1</v>
      </c>
      <c r="N309" s="20" t="b">
        <f>IFERROR(__xludf.DUMMYFUNCTION("""COMPUTED_VALUE"""),FALSE)</f>
        <v>0</v>
      </c>
      <c r="O309" s="20">
        <f>IFERROR(__xludf.DUMMYFUNCTION("""COMPUTED_VALUE"""),42.503438789546)</f>
        <v>42.50343879</v>
      </c>
      <c r="P309" s="20">
        <f>IFERROR(__xludf.DUMMYFUNCTION("""COMPUTED_VALUE"""),70452.0)</f>
        <v>70452</v>
      </c>
      <c r="Q309" s="20">
        <f>IFERROR(__xludf.DUMMYFUNCTION("""COMPUTED_VALUE"""),165756.0)</f>
        <v>165756</v>
      </c>
    </row>
    <row r="310">
      <c r="A310" s="20">
        <f>IFERROR(__xludf.DUMMYFUNCTION("""COMPUTED_VALUE"""),309.0)</f>
        <v>309</v>
      </c>
      <c r="B310" s="20" t="str">
        <f>IFERROR(__xludf.DUMMYFUNCTION("""COMPUTED_VALUE"""),"Best Time to Buy and Sell Stock with Cooldown")</f>
        <v>Best Time to Buy and Sell Stock with Cooldown</v>
      </c>
      <c r="C310" s="20" t="str">
        <f>IFERROR(__xludf.DUMMYFUNCTION("""COMPUTED_VALUE"""),"best-time-to-buy-and-sell-stock-with-cooldown")</f>
        <v>best-time-to-buy-and-sell-stock-with-cooldown</v>
      </c>
      <c r="D310" s="20" t="b">
        <f>IFERROR(__xludf.DUMMYFUNCTION("""COMPUTED_VALUE"""),FALSE)</f>
        <v>0</v>
      </c>
      <c r="E310" s="20" t="str">
        <f>IFERROR(__xludf.DUMMYFUNCTION("""COMPUTED_VALUE"""),"Medium")</f>
        <v>Medium</v>
      </c>
      <c r="F310" s="20">
        <f>IFERROR(__xludf.DUMMYFUNCTION("""COMPUTED_VALUE"""),7779.0)</f>
        <v>7779</v>
      </c>
      <c r="G310" s="20">
        <f>IFERROR(__xludf.DUMMYFUNCTION("""COMPUTED_VALUE"""),268.0)</f>
        <v>268</v>
      </c>
      <c r="H310" s="20" t="str">
        <f>IFERROR(__xludf.DUMMYFUNCTION("""COMPUTED_VALUE"""),"Algorithms")</f>
        <v>Algorithms</v>
      </c>
      <c r="I310" s="20">
        <f>IFERROR(__xludf.DUMMYFUNCTION("""COMPUTED_VALUE"""),0.558)</f>
        <v>0.558</v>
      </c>
      <c r="J310" s="20">
        <f>IFERROR(__xludf.DUMMYFUNCTION("""COMPUTED_VALUE"""),309.0)</f>
        <v>309</v>
      </c>
      <c r="K310" s="20" t="b">
        <f>IFERROR(__xludf.DUMMYFUNCTION("""COMPUTED_VALUE"""),FALSE)</f>
        <v>0</v>
      </c>
      <c r="L310" s="20" t="str">
        <f>IFERROR(__xludf.DUMMYFUNCTION("""COMPUTED_VALUE"""),"Array;Dynamic Programming;")</f>
        <v>Array;Dynamic Programming;</v>
      </c>
      <c r="M310" s="20" t="b">
        <f>IFERROR(__xludf.DUMMYFUNCTION("""COMPUTED_VALUE"""),TRUE)</f>
        <v>1</v>
      </c>
      <c r="N310" s="20" t="b">
        <f>IFERROR(__xludf.DUMMYFUNCTION("""COMPUTED_VALUE"""),FALSE)</f>
        <v>0</v>
      </c>
      <c r="O310" s="20">
        <f>IFERROR(__xludf.DUMMYFUNCTION("""COMPUTED_VALUE"""),55.8229451270814)</f>
        <v>55.82294513</v>
      </c>
      <c r="P310" s="20">
        <f>IFERROR(__xludf.DUMMYFUNCTION("""COMPUTED_VALUE"""),375510.0)</f>
        <v>375510</v>
      </c>
      <c r="Q310" s="20">
        <f>IFERROR(__xludf.DUMMYFUNCTION("""COMPUTED_VALUE"""),672676.0)</f>
        <v>672676</v>
      </c>
    </row>
    <row r="311">
      <c r="A311" s="20">
        <f>IFERROR(__xludf.DUMMYFUNCTION("""COMPUTED_VALUE"""),310.0)</f>
        <v>310</v>
      </c>
      <c r="B311" s="20" t="str">
        <f>IFERROR(__xludf.DUMMYFUNCTION("""COMPUTED_VALUE"""),"Minimum Height Trees")</f>
        <v>Minimum Height Trees</v>
      </c>
      <c r="C311" s="20" t="str">
        <f>IFERROR(__xludf.DUMMYFUNCTION("""COMPUTED_VALUE"""),"minimum-height-trees")</f>
        <v>minimum-height-trees</v>
      </c>
      <c r="D311" s="20" t="b">
        <f>IFERROR(__xludf.DUMMYFUNCTION("""COMPUTED_VALUE"""),FALSE)</f>
        <v>0</v>
      </c>
      <c r="E311" s="20" t="str">
        <f>IFERROR(__xludf.DUMMYFUNCTION("""COMPUTED_VALUE"""),"Medium")</f>
        <v>Medium</v>
      </c>
      <c r="F311" s="20">
        <f>IFERROR(__xludf.DUMMYFUNCTION("""COMPUTED_VALUE"""),6283.0)</f>
        <v>6283</v>
      </c>
      <c r="G311" s="20">
        <f>IFERROR(__xludf.DUMMYFUNCTION("""COMPUTED_VALUE"""),269.0)</f>
        <v>269</v>
      </c>
      <c r="H311" s="20" t="str">
        <f>IFERROR(__xludf.DUMMYFUNCTION("""COMPUTED_VALUE"""),"Algorithms")</f>
        <v>Algorithms</v>
      </c>
      <c r="I311" s="20">
        <f>IFERROR(__xludf.DUMMYFUNCTION("""COMPUTED_VALUE"""),0.385)</f>
        <v>0.385</v>
      </c>
      <c r="J311" s="20">
        <f>IFERROR(__xludf.DUMMYFUNCTION("""COMPUTED_VALUE"""),310.0)</f>
        <v>310</v>
      </c>
      <c r="K311" s="20" t="b">
        <f>IFERROR(__xludf.DUMMYFUNCTION("""COMPUTED_VALUE"""),FALSE)</f>
        <v>0</v>
      </c>
      <c r="L311" s="20" t="str">
        <f>IFERROR(__xludf.DUMMYFUNCTION("""COMPUTED_VALUE"""),"Depth-First Search;Breadth-First Search;Graph;Topological Sort;")</f>
        <v>Depth-First Search;Breadth-First Search;Graph;Topological Sort;</v>
      </c>
      <c r="M311" s="20" t="b">
        <f>IFERROR(__xludf.DUMMYFUNCTION("""COMPUTED_VALUE"""),TRUE)</f>
        <v>1</v>
      </c>
      <c r="N311" s="20" t="b">
        <f>IFERROR(__xludf.DUMMYFUNCTION("""COMPUTED_VALUE"""),FALSE)</f>
        <v>0</v>
      </c>
      <c r="O311" s="20">
        <f>IFERROR(__xludf.DUMMYFUNCTION("""COMPUTED_VALUE"""),38.5289772390003)</f>
        <v>38.52897724</v>
      </c>
      <c r="P311" s="20">
        <f>IFERROR(__xludf.DUMMYFUNCTION("""COMPUTED_VALUE"""),233668.0)</f>
        <v>233668</v>
      </c>
      <c r="Q311" s="20">
        <f>IFERROR(__xludf.DUMMYFUNCTION("""COMPUTED_VALUE"""),606475.0)</f>
        <v>606475</v>
      </c>
    </row>
    <row r="312">
      <c r="A312" s="20">
        <f>IFERROR(__xludf.DUMMYFUNCTION("""COMPUTED_VALUE"""),311.0)</f>
        <v>311</v>
      </c>
      <c r="B312" s="20" t="str">
        <f>IFERROR(__xludf.DUMMYFUNCTION("""COMPUTED_VALUE"""),"Sparse Matrix Multiplication")</f>
        <v>Sparse Matrix Multiplication</v>
      </c>
      <c r="C312" s="20" t="str">
        <f>IFERROR(__xludf.DUMMYFUNCTION("""COMPUTED_VALUE"""),"sparse-matrix-multiplication")</f>
        <v>sparse-matrix-multiplication</v>
      </c>
      <c r="D312" s="20" t="b">
        <f>IFERROR(__xludf.DUMMYFUNCTION("""COMPUTED_VALUE"""),TRUE)</f>
        <v>1</v>
      </c>
      <c r="E312" s="20" t="str">
        <f>IFERROR(__xludf.DUMMYFUNCTION("""COMPUTED_VALUE"""),"Medium")</f>
        <v>Medium</v>
      </c>
      <c r="F312" s="20">
        <f>IFERROR(__xludf.DUMMYFUNCTION("""COMPUTED_VALUE"""),934.0)</f>
        <v>934</v>
      </c>
      <c r="G312" s="20">
        <f>IFERROR(__xludf.DUMMYFUNCTION("""COMPUTED_VALUE"""),328.0)</f>
        <v>328</v>
      </c>
      <c r="H312" s="20" t="str">
        <f>IFERROR(__xludf.DUMMYFUNCTION("""COMPUTED_VALUE"""),"Algorithms")</f>
        <v>Algorithms</v>
      </c>
      <c r="I312" s="20">
        <f>IFERROR(__xludf.DUMMYFUNCTION("""COMPUTED_VALUE"""),0.672)</f>
        <v>0.672</v>
      </c>
      <c r="J312" s="20">
        <f>IFERROR(__xludf.DUMMYFUNCTION("""COMPUTED_VALUE"""),311.0)</f>
        <v>311</v>
      </c>
      <c r="K312" s="20" t="b">
        <f>IFERROR(__xludf.DUMMYFUNCTION("""COMPUTED_VALUE"""),TRUE)</f>
        <v>1</v>
      </c>
      <c r="L312" s="20" t="str">
        <f>IFERROR(__xludf.DUMMYFUNCTION("""COMPUTED_VALUE"""),"Array;Hash Table;Matrix;")</f>
        <v>Array;Hash Table;Matrix;</v>
      </c>
      <c r="M312" s="20" t="b">
        <f>IFERROR(__xludf.DUMMYFUNCTION("""COMPUTED_VALUE"""),TRUE)</f>
        <v>1</v>
      </c>
      <c r="N312" s="20" t="b">
        <f>IFERROR(__xludf.DUMMYFUNCTION("""COMPUTED_VALUE"""),FALSE)</f>
        <v>0</v>
      </c>
      <c r="O312" s="20">
        <f>IFERROR(__xludf.DUMMYFUNCTION("""COMPUTED_VALUE"""),67.226245072009)</f>
        <v>67.22624507</v>
      </c>
      <c r="P312" s="20">
        <f>IFERROR(__xludf.DUMMYFUNCTION("""COMPUTED_VALUE"""),167111.0)</f>
        <v>167111</v>
      </c>
      <c r="Q312" s="20">
        <f>IFERROR(__xludf.DUMMYFUNCTION("""COMPUTED_VALUE"""),248580.0)</f>
        <v>248580</v>
      </c>
    </row>
    <row r="313">
      <c r="A313" s="20">
        <f>IFERROR(__xludf.DUMMYFUNCTION("""COMPUTED_VALUE"""),312.0)</f>
        <v>312</v>
      </c>
      <c r="B313" s="20" t="str">
        <f>IFERROR(__xludf.DUMMYFUNCTION("""COMPUTED_VALUE"""),"Burst Balloons")</f>
        <v>Burst Balloons</v>
      </c>
      <c r="C313" s="20" t="str">
        <f>IFERROR(__xludf.DUMMYFUNCTION("""COMPUTED_VALUE"""),"burst-balloons")</f>
        <v>burst-balloons</v>
      </c>
      <c r="D313" s="20" t="b">
        <f>IFERROR(__xludf.DUMMYFUNCTION("""COMPUTED_VALUE"""),FALSE)</f>
        <v>0</v>
      </c>
      <c r="E313" s="20" t="str">
        <f>IFERROR(__xludf.DUMMYFUNCTION("""COMPUTED_VALUE"""),"Hard")</f>
        <v>Hard</v>
      </c>
      <c r="F313" s="20">
        <f>IFERROR(__xludf.DUMMYFUNCTION("""COMPUTED_VALUE"""),7217.0)</f>
        <v>7217</v>
      </c>
      <c r="G313" s="20">
        <f>IFERROR(__xludf.DUMMYFUNCTION("""COMPUTED_VALUE"""),184.0)</f>
        <v>184</v>
      </c>
      <c r="H313" s="20" t="str">
        <f>IFERROR(__xludf.DUMMYFUNCTION("""COMPUTED_VALUE"""),"Algorithms")</f>
        <v>Algorithms</v>
      </c>
      <c r="I313" s="20">
        <f>IFERROR(__xludf.DUMMYFUNCTION("""COMPUTED_VALUE"""),0.568)</f>
        <v>0.568</v>
      </c>
      <c r="J313" s="20">
        <f>IFERROR(__xludf.DUMMYFUNCTION("""COMPUTED_VALUE"""),312.0)</f>
        <v>312</v>
      </c>
      <c r="K313" s="20" t="b">
        <f>IFERROR(__xludf.DUMMYFUNCTION("""COMPUTED_VALUE"""),FALSE)</f>
        <v>0</v>
      </c>
      <c r="L313" s="20" t="str">
        <f>IFERROR(__xludf.DUMMYFUNCTION("""COMPUTED_VALUE"""),"Array;Dynamic Programming;")</f>
        <v>Array;Dynamic Programming;</v>
      </c>
      <c r="M313" s="20" t="b">
        <f>IFERROR(__xludf.DUMMYFUNCTION("""COMPUTED_VALUE"""),TRUE)</f>
        <v>1</v>
      </c>
      <c r="N313" s="20" t="b">
        <f>IFERROR(__xludf.DUMMYFUNCTION("""COMPUTED_VALUE"""),FALSE)</f>
        <v>0</v>
      </c>
      <c r="O313" s="20">
        <f>IFERROR(__xludf.DUMMYFUNCTION("""COMPUTED_VALUE"""),56.7990306332562)</f>
        <v>56.79903063</v>
      </c>
      <c r="P313" s="20">
        <f>IFERROR(__xludf.DUMMYFUNCTION("""COMPUTED_VALUE"""),215154.0)</f>
        <v>215154</v>
      </c>
      <c r="Q313" s="20">
        <f>IFERROR(__xludf.DUMMYFUNCTION("""COMPUTED_VALUE"""),378801.0)</f>
        <v>378801</v>
      </c>
    </row>
    <row r="314">
      <c r="A314" s="20">
        <f>IFERROR(__xludf.DUMMYFUNCTION("""COMPUTED_VALUE"""),313.0)</f>
        <v>313</v>
      </c>
      <c r="B314" s="20" t="str">
        <f>IFERROR(__xludf.DUMMYFUNCTION("""COMPUTED_VALUE"""),"Super Ugly Number")</f>
        <v>Super Ugly Number</v>
      </c>
      <c r="C314" s="20" t="str">
        <f>IFERROR(__xludf.DUMMYFUNCTION("""COMPUTED_VALUE"""),"super-ugly-number")</f>
        <v>super-ugly-number</v>
      </c>
      <c r="D314" s="20" t="b">
        <f>IFERROR(__xludf.DUMMYFUNCTION("""COMPUTED_VALUE"""),FALSE)</f>
        <v>0</v>
      </c>
      <c r="E314" s="20" t="str">
        <f>IFERROR(__xludf.DUMMYFUNCTION("""COMPUTED_VALUE"""),"Medium")</f>
        <v>Medium</v>
      </c>
      <c r="F314" s="20">
        <f>IFERROR(__xludf.DUMMYFUNCTION("""COMPUTED_VALUE"""),1791.0)</f>
        <v>1791</v>
      </c>
      <c r="G314" s="20">
        <f>IFERROR(__xludf.DUMMYFUNCTION("""COMPUTED_VALUE"""),327.0)</f>
        <v>327</v>
      </c>
      <c r="H314" s="20" t="str">
        <f>IFERROR(__xludf.DUMMYFUNCTION("""COMPUTED_VALUE"""),"Algorithms")</f>
        <v>Algorithms</v>
      </c>
      <c r="I314" s="20">
        <f>IFERROR(__xludf.DUMMYFUNCTION("""COMPUTED_VALUE"""),0.457)</f>
        <v>0.457</v>
      </c>
      <c r="J314" s="20">
        <f>IFERROR(__xludf.DUMMYFUNCTION("""COMPUTED_VALUE"""),313.0)</f>
        <v>313</v>
      </c>
      <c r="K314" s="20" t="b">
        <f>IFERROR(__xludf.DUMMYFUNCTION("""COMPUTED_VALUE"""),FALSE)</f>
        <v>0</v>
      </c>
      <c r="L314" s="20" t="str">
        <f>IFERROR(__xludf.DUMMYFUNCTION("""COMPUTED_VALUE"""),"Array;Math;Dynamic Programming;")</f>
        <v>Array;Math;Dynamic Programming;</v>
      </c>
      <c r="M314" s="20" t="b">
        <f>IFERROR(__xludf.DUMMYFUNCTION("""COMPUTED_VALUE"""),FALSE)</f>
        <v>0</v>
      </c>
      <c r="N314" s="20" t="b">
        <f>IFERROR(__xludf.DUMMYFUNCTION("""COMPUTED_VALUE"""),FALSE)</f>
        <v>0</v>
      </c>
      <c r="O314" s="20">
        <f>IFERROR(__xludf.DUMMYFUNCTION("""COMPUTED_VALUE"""),45.7104261230003)</f>
        <v>45.71042612</v>
      </c>
      <c r="P314" s="20">
        <f>IFERROR(__xludf.DUMMYFUNCTION("""COMPUTED_VALUE"""),113696.0)</f>
        <v>113696</v>
      </c>
      <c r="Q314" s="20">
        <f>IFERROR(__xludf.DUMMYFUNCTION("""COMPUTED_VALUE"""),248730.0)</f>
        <v>248730</v>
      </c>
    </row>
    <row r="315">
      <c r="A315" s="20">
        <f>IFERROR(__xludf.DUMMYFUNCTION("""COMPUTED_VALUE"""),314.0)</f>
        <v>314</v>
      </c>
      <c r="B315" s="20" t="str">
        <f>IFERROR(__xludf.DUMMYFUNCTION("""COMPUTED_VALUE"""),"Binary Tree Vertical Order Traversal")</f>
        <v>Binary Tree Vertical Order Traversal</v>
      </c>
      <c r="C315" s="20" t="str">
        <f>IFERROR(__xludf.DUMMYFUNCTION("""COMPUTED_VALUE"""),"binary-tree-vertical-order-traversal")</f>
        <v>binary-tree-vertical-order-traversal</v>
      </c>
      <c r="D315" s="20" t="b">
        <f>IFERROR(__xludf.DUMMYFUNCTION("""COMPUTED_VALUE"""),TRUE)</f>
        <v>1</v>
      </c>
      <c r="E315" s="20" t="str">
        <f>IFERROR(__xludf.DUMMYFUNCTION("""COMPUTED_VALUE"""),"Medium")</f>
        <v>Medium</v>
      </c>
      <c r="F315" s="20">
        <f>IFERROR(__xludf.DUMMYFUNCTION("""COMPUTED_VALUE"""),2833.0)</f>
        <v>2833</v>
      </c>
      <c r="G315" s="20">
        <f>IFERROR(__xludf.DUMMYFUNCTION("""COMPUTED_VALUE"""),289.0)</f>
        <v>289</v>
      </c>
      <c r="H315" s="20" t="str">
        <f>IFERROR(__xludf.DUMMYFUNCTION("""COMPUTED_VALUE"""),"Algorithms")</f>
        <v>Algorithms</v>
      </c>
      <c r="I315" s="20">
        <f>IFERROR(__xludf.DUMMYFUNCTION("""COMPUTED_VALUE"""),0.522)</f>
        <v>0.522</v>
      </c>
      <c r="J315" s="20">
        <f>IFERROR(__xludf.DUMMYFUNCTION("""COMPUTED_VALUE"""),314.0)</f>
        <v>314</v>
      </c>
      <c r="K315" s="20" t="b">
        <f>IFERROR(__xludf.DUMMYFUNCTION("""COMPUTED_VALUE"""),TRUE)</f>
        <v>1</v>
      </c>
      <c r="L315" s="20" t="str">
        <f>IFERROR(__xludf.DUMMYFUNCTION("""COMPUTED_VALUE"""),"Hash Table;Tree;Depth-First Search;Breadth-First Search;Binary Tree;")</f>
        <v>Hash Table;Tree;Depth-First Search;Breadth-First Search;Binary Tree;</v>
      </c>
      <c r="M315" s="20" t="b">
        <f>IFERROR(__xludf.DUMMYFUNCTION("""COMPUTED_VALUE"""),TRUE)</f>
        <v>1</v>
      </c>
      <c r="N315" s="20" t="b">
        <f>IFERROR(__xludf.DUMMYFUNCTION("""COMPUTED_VALUE"""),FALSE)</f>
        <v>0</v>
      </c>
      <c r="O315" s="20">
        <f>IFERROR(__xludf.DUMMYFUNCTION("""COMPUTED_VALUE"""),52.1655958697595)</f>
        <v>52.16559587</v>
      </c>
      <c r="P315" s="20">
        <f>IFERROR(__xludf.DUMMYFUNCTION("""COMPUTED_VALUE"""),313328.0)</f>
        <v>313328</v>
      </c>
      <c r="Q315" s="20">
        <f>IFERROR(__xludf.DUMMYFUNCTION("""COMPUTED_VALUE"""),600642.0)</f>
        <v>600642</v>
      </c>
    </row>
    <row r="316">
      <c r="A316" s="20">
        <f>IFERROR(__xludf.DUMMYFUNCTION("""COMPUTED_VALUE"""),315.0)</f>
        <v>315</v>
      </c>
      <c r="B316" s="20" t="str">
        <f>IFERROR(__xludf.DUMMYFUNCTION("""COMPUTED_VALUE"""),"Count of Smaller Numbers After Self")</f>
        <v>Count of Smaller Numbers After Self</v>
      </c>
      <c r="C316" s="20" t="str">
        <f>IFERROR(__xludf.DUMMYFUNCTION("""COMPUTED_VALUE"""),"count-of-smaller-numbers-after-self")</f>
        <v>count-of-smaller-numbers-after-self</v>
      </c>
      <c r="D316" s="20" t="b">
        <f>IFERROR(__xludf.DUMMYFUNCTION("""COMPUTED_VALUE"""),FALSE)</f>
        <v>0</v>
      </c>
      <c r="E316" s="20" t="str">
        <f>IFERROR(__xludf.DUMMYFUNCTION("""COMPUTED_VALUE"""),"Hard")</f>
        <v>Hard</v>
      </c>
      <c r="F316" s="20">
        <f>IFERROR(__xludf.DUMMYFUNCTION("""COMPUTED_VALUE"""),7743.0)</f>
        <v>7743</v>
      </c>
      <c r="G316" s="20">
        <f>IFERROR(__xludf.DUMMYFUNCTION("""COMPUTED_VALUE"""),211.0)</f>
        <v>211</v>
      </c>
      <c r="H316" s="20" t="str">
        <f>IFERROR(__xludf.DUMMYFUNCTION("""COMPUTED_VALUE"""),"Algorithms")</f>
        <v>Algorithms</v>
      </c>
      <c r="I316" s="20">
        <f>IFERROR(__xludf.DUMMYFUNCTION("""COMPUTED_VALUE"""),0.427)</f>
        <v>0.427</v>
      </c>
      <c r="J316" s="20">
        <f>IFERROR(__xludf.DUMMYFUNCTION("""COMPUTED_VALUE"""),315.0)</f>
        <v>315</v>
      </c>
      <c r="K316" s="20" t="b">
        <f>IFERROR(__xludf.DUMMYFUNCTION("""COMPUTED_VALUE"""),FALSE)</f>
        <v>0</v>
      </c>
      <c r="L316" s="20" t="str">
        <f>IFERROR(__xludf.DUMMYFUNCTION("""COMPUTED_VALUE"""),"Array;Binary Search;Divide and Conquer;Binary Indexed Tree;Segment Tree;Merge Sort;Ordered Set;")</f>
        <v>Array;Binary Search;Divide and Conquer;Binary Indexed Tree;Segment Tree;Merge Sort;Ordered Set;</v>
      </c>
      <c r="M316" s="20" t="b">
        <f>IFERROR(__xludf.DUMMYFUNCTION("""COMPUTED_VALUE"""),TRUE)</f>
        <v>1</v>
      </c>
      <c r="N316" s="20" t="b">
        <f>IFERROR(__xludf.DUMMYFUNCTION("""COMPUTED_VALUE"""),FALSE)</f>
        <v>0</v>
      </c>
      <c r="O316" s="20">
        <f>IFERROR(__xludf.DUMMYFUNCTION("""COMPUTED_VALUE"""),42.7367345924228)</f>
        <v>42.73673459</v>
      </c>
      <c r="P316" s="20">
        <f>IFERROR(__xludf.DUMMYFUNCTION("""COMPUTED_VALUE"""),283691.0)</f>
        <v>283691</v>
      </c>
      <c r="Q316" s="20">
        <f>IFERROR(__xludf.DUMMYFUNCTION("""COMPUTED_VALUE"""),663812.0)</f>
        <v>663812</v>
      </c>
    </row>
    <row r="317">
      <c r="A317" s="20">
        <f>IFERROR(__xludf.DUMMYFUNCTION("""COMPUTED_VALUE"""),316.0)</f>
        <v>316</v>
      </c>
      <c r="B317" s="20" t="str">
        <f>IFERROR(__xludf.DUMMYFUNCTION("""COMPUTED_VALUE"""),"Remove Duplicate Letters")</f>
        <v>Remove Duplicate Letters</v>
      </c>
      <c r="C317" s="20" t="str">
        <f>IFERROR(__xludf.DUMMYFUNCTION("""COMPUTED_VALUE"""),"remove-duplicate-letters")</f>
        <v>remove-duplicate-letters</v>
      </c>
      <c r="D317" s="20" t="b">
        <f>IFERROR(__xludf.DUMMYFUNCTION("""COMPUTED_VALUE"""),FALSE)</f>
        <v>0</v>
      </c>
      <c r="E317" s="20" t="str">
        <f>IFERROR(__xludf.DUMMYFUNCTION("""COMPUTED_VALUE"""),"Medium")</f>
        <v>Medium</v>
      </c>
      <c r="F317" s="20">
        <f>IFERROR(__xludf.DUMMYFUNCTION("""COMPUTED_VALUE"""),6328.0)</f>
        <v>6328</v>
      </c>
      <c r="G317" s="20">
        <f>IFERROR(__xludf.DUMMYFUNCTION("""COMPUTED_VALUE"""),407.0)</f>
        <v>407</v>
      </c>
      <c r="H317" s="20" t="str">
        <f>IFERROR(__xludf.DUMMYFUNCTION("""COMPUTED_VALUE"""),"Algorithms")</f>
        <v>Algorithms</v>
      </c>
      <c r="I317" s="20">
        <f>IFERROR(__xludf.DUMMYFUNCTION("""COMPUTED_VALUE"""),0.447)</f>
        <v>0.447</v>
      </c>
      <c r="J317" s="20">
        <f>IFERROR(__xludf.DUMMYFUNCTION("""COMPUTED_VALUE"""),316.0)</f>
        <v>316</v>
      </c>
      <c r="K317" s="20" t="b">
        <f>IFERROR(__xludf.DUMMYFUNCTION("""COMPUTED_VALUE"""),FALSE)</f>
        <v>0</v>
      </c>
      <c r="L317" s="20" t="str">
        <f>IFERROR(__xludf.DUMMYFUNCTION("""COMPUTED_VALUE"""),"String;Stack;Greedy;Monotonic Stack;")</f>
        <v>String;Stack;Greedy;Monotonic Stack;</v>
      </c>
      <c r="M317" s="20" t="b">
        <f>IFERROR(__xludf.DUMMYFUNCTION("""COMPUTED_VALUE"""),TRUE)</f>
        <v>1</v>
      </c>
      <c r="N317" s="20" t="b">
        <f>IFERROR(__xludf.DUMMYFUNCTION("""COMPUTED_VALUE"""),FALSE)</f>
        <v>0</v>
      </c>
      <c r="O317" s="20">
        <f>IFERROR(__xludf.DUMMYFUNCTION("""COMPUTED_VALUE"""),44.6751357442885)</f>
        <v>44.67513574</v>
      </c>
      <c r="P317" s="20">
        <f>IFERROR(__xludf.DUMMYFUNCTION("""COMPUTED_VALUE"""),218032.0)</f>
        <v>218032</v>
      </c>
      <c r="Q317" s="20">
        <f>IFERROR(__xludf.DUMMYFUNCTION("""COMPUTED_VALUE"""),488043.0)</f>
        <v>488043</v>
      </c>
    </row>
    <row r="318">
      <c r="A318" s="20">
        <f>IFERROR(__xludf.DUMMYFUNCTION("""COMPUTED_VALUE"""),317.0)</f>
        <v>317</v>
      </c>
      <c r="B318" s="20" t="str">
        <f>IFERROR(__xludf.DUMMYFUNCTION("""COMPUTED_VALUE"""),"Shortest Distance from All Buildings")</f>
        <v>Shortest Distance from All Buildings</v>
      </c>
      <c r="C318" s="20" t="str">
        <f>IFERROR(__xludf.DUMMYFUNCTION("""COMPUTED_VALUE"""),"shortest-distance-from-all-buildings")</f>
        <v>shortest-distance-from-all-buildings</v>
      </c>
      <c r="D318" s="20" t="b">
        <f>IFERROR(__xludf.DUMMYFUNCTION("""COMPUTED_VALUE"""),TRUE)</f>
        <v>1</v>
      </c>
      <c r="E318" s="20" t="str">
        <f>IFERROR(__xludf.DUMMYFUNCTION("""COMPUTED_VALUE"""),"Hard")</f>
        <v>Hard</v>
      </c>
      <c r="F318" s="20">
        <f>IFERROR(__xludf.DUMMYFUNCTION("""COMPUTED_VALUE"""),1727.0)</f>
        <v>1727</v>
      </c>
      <c r="G318" s="20">
        <f>IFERROR(__xludf.DUMMYFUNCTION("""COMPUTED_VALUE"""),225.0)</f>
        <v>225</v>
      </c>
      <c r="H318" s="20" t="str">
        <f>IFERROR(__xludf.DUMMYFUNCTION("""COMPUTED_VALUE"""),"Algorithms")</f>
        <v>Algorithms</v>
      </c>
      <c r="I318" s="20">
        <f>IFERROR(__xludf.DUMMYFUNCTION("""COMPUTED_VALUE"""),0.427)</f>
        <v>0.427</v>
      </c>
      <c r="J318" s="20">
        <f>IFERROR(__xludf.DUMMYFUNCTION("""COMPUTED_VALUE"""),317.0)</f>
        <v>317</v>
      </c>
      <c r="K318" s="20" t="b">
        <f>IFERROR(__xludf.DUMMYFUNCTION("""COMPUTED_VALUE"""),TRUE)</f>
        <v>1</v>
      </c>
      <c r="L318" s="20" t="str">
        <f>IFERROR(__xludf.DUMMYFUNCTION("""COMPUTED_VALUE"""),"Array;Breadth-First Search;Matrix;")</f>
        <v>Array;Breadth-First Search;Matrix;</v>
      </c>
      <c r="M318" s="20" t="b">
        <f>IFERROR(__xludf.DUMMYFUNCTION("""COMPUTED_VALUE"""),TRUE)</f>
        <v>1</v>
      </c>
      <c r="N318" s="20" t="b">
        <f>IFERROR(__xludf.DUMMYFUNCTION("""COMPUTED_VALUE"""),FALSE)</f>
        <v>0</v>
      </c>
      <c r="O318" s="20">
        <f>IFERROR(__xludf.DUMMYFUNCTION("""COMPUTED_VALUE"""),42.7454533062216)</f>
        <v>42.74545331</v>
      </c>
      <c r="P318" s="20">
        <f>IFERROR(__xludf.DUMMYFUNCTION("""COMPUTED_VALUE"""),150516.0)</f>
        <v>150516</v>
      </c>
      <c r="Q318" s="20">
        <f>IFERROR(__xludf.DUMMYFUNCTION("""COMPUTED_VALUE"""),352119.0)</f>
        <v>352119</v>
      </c>
    </row>
    <row r="319">
      <c r="A319" s="20">
        <f>IFERROR(__xludf.DUMMYFUNCTION("""COMPUTED_VALUE"""),318.0)</f>
        <v>318</v>
      </c>
      <c r="B319" s="20" t="str">
        <f>IFERROR(__xludf.DUMMYFUNCTION("""COMPUTED_VALUE"""),"Maximum Product of Word Lengths")</f>
        <v>Maximum Product of Word Lengths</v>
      </c>
      <c r="C319" s="20" t="str">
        <f>IFERROR(__xludf.DUMMYFUNCTION("""COMPUTED_VALUE"""),"maximum-product-of-word-lengths")</f>
        <v>maximum-product-of-word-lengths</v>
      </c>
      <c r="D319" s="20" t="b">
        <f>IFERROR(__xludf.DUMMYFUNCTION("""COMPUTED_VALUE"""),FALSE)</f>
        <v>0</v>
      </c>
      <c r="E319" s="20" t="str">
        <f>IFERROR(__xludf.DUMMYFUNCTION("""COMPUTED_VALUE"""),"Medium")</f>
        <v>Medium</v>
      </c>
      <c r="F319" s="20">
        <f>IFERROR(__xludf.DUMMYFUNCTION("""COMPUTED_VALUE"""),3131.0)</f>
        <v>3131</v>
      </c>
      <c r="G319" s="20">
        <f>IFERROR(__xludf.DUMMYFUNCTION("""COMPUTED_VALUE"""),124.0)</f>
        <v>124</v>
      </c>
      <c r="H319" s="20" t="str">
        <f>IFERROR(__xludf.DUMMYFUNCTION("""COMPUTED_VALUE"""),"Algorithms")</f>
        <v>Algorithms</v>
      </c>
      <c r="I319" s="20">
        <f>IFERROR(__xludf.DUMMYFUNCTION("""COMPUTED_VALUE"""),0.6)</f>
        <v>0.6</v>
      </c>
      <c r="J319" s="20">
        <f>IFERROR(__xludf.DUMMYFUNCTION("""COMPUTED_VALUE"""),318.0)</f>
        <v>318</v>
      </c>
      <c r="K319" s="20" t="b">
        <f>IFERROR(__xludf.DUMMYFUNCTION("""COMPUTED_VALUE"""),FALSE)</f>
        <v>0</v>
      </c>
      <c r="L319" s="20" t="str">
        <f>IFERROR(__xludf.DUMMYFUNCTION("""COMPUTED_VALUE"""),"Array;String;Bit Manipulation;")</f>
        <v>Array;String;Bit Manipulation;</v>
      </c>
      <c r="M319" s="20" t="b">
        <f>IFERROR(__xludf.DUMMYFUNCTION("""COMPUTED_VALUE"""),TRUE)</f>
        <v>1</v>
      </c>
      <c r="N319" s="20" t="b">
        <f>IFERROR(__xludf.DUMMYFUNCTION("""COMPUTED_VALUE"""),FALSE)</f>
        <v>0</v>
      </c>
      <c r="O319" s="20">
        <f>IFERROR(__xludf.DUMMYFUNCTION("""COMPUTED_VALUE"""),60.0184004931089)</f>
        <v>60.01840049</v>
      </c>
      <c r="P319" s="20">
        <f>IFERROR(__xludf.DUMMYFUNCTION("""COMPUTED_VALUE"""),197664.0)</f>
        <v>197664</v>
      </c>
      <c r="Q319" s="20">
        <f>IFERROR(__xludf.DUMMYFUNCTION("""COMPUTED_VALUE"""),329339.0)</f>
        <v>329339</v>
      </c>
    </row>
    <row r="320">
      <c r="A320" s="20">
        <f>IFERROR(__xludf.DUMMYFUNCTION("""COMPUTED_VALUE"""),319.0)</f>
        <v>319</v>
      </c>
      <c r="B320" s="20" t="str">
        <f>IFERROR(__xludf.DUMMYFUNCTION("""COMPUTED_VALUE"""),"Bulb Switcher")</f>
        <v>Bulb Switcher</v>
      </c>
      <c r="C320" s="20" t="str">
        <f>IFERROR(__xludf.DUMMYFUNCTION("""COMPUTED_VALUE"""),"bulb-switcher")</f>
        <v>bulb-switcher</v>
      </c>
      <c r="D320" s="20" t="b">
        <f>IFERROR(__xludf.DUMMYFUNCTION("""COMPUTED_VALUE"""),FALSE)</f>
        <v>0</v>
      </c>
      <c r="E320" s="20" t="str">
        <f>IFERROR(__xludf.DUMMYFUNCTION("""COMPUTED_VALUE"""),"Medium")</f>
        <v>Medium</v>
      </c>
      <c r="F320" s="20">
        <f>IFERROR(__xludf.DUMMYFUNCTION("""COMPUTED_VALUE"""),1113.0)</f>
        <v>1113</v>
      </c>
      <c r="G320" s="20">
        <f>IFERROR(__xludf.DUMMYFUNCTION("""COMPUTED_VALUE"""),1830.0)</f>
        <v>1830</v>
      </c>
      <c r="H320" s="20" t="str">
        <f>IFERROR(__xludf.DUMMYFUNCTION("""COMPUTED_VALUE"""),"Algorithms")</f>
        <v>Algorithms</v>
      </c>
      <c r="I320" s="20">
        <f>IFERROR(__xludf.DUMMYFUNCTION("""COMPUTED_VALUE"""),0.481)</f>
        <v>0.481</v>
      </c>
      <c r="J320" s="20">
        <f>IFERROR(__xludf.DUMMYFUNCTION("""COMPUTED_VALUE"""),319.0)</f>
        <v>319</v>
      </c>
      <c r="K320" s="20" t="b">
        <f>IFERROR(__xludf.DUMMYFUNCTION("""COMPUTED_VALUE"""),FALSE)</f>
        <v>0</v>
      </c>
      <c r="L320" s="20" t="str">
        <f>IFERROR(__xludf.DUMMYFUNCTION("""COMPUTED_VALUE"""),"Math;Brainteaser;")</f>
        <v>Math;Brainteaser;</v>
      </c>
      <c r="M320" s="20" t="b">
        <f>IFERROR(__xludf.DUMMYFUNCTION("""COMPUTED_VALUE"""),FALSE)</f>
        <v>0</v>
      </c>
      <c r="N320" s="20" t="b">
        <f>IFERROR(__xludf.DUMMYFUNCTION("""COMPUTED_VALUE"""),FALSE)</f>
        <v>0</v>
      </c>
      <c r="O320" s="20">
        <f>IFERROR(__xludf.DUMMYFUNCTION("""COMPUTED_VALUE"""),48.140972590358)</f>
        <v>48.14097259</v>
      </c>
      <c r="P320" s="20">
        <f>IFERROR(__xludf.DUMMYFUNCTION("""COMPUTED_VALUE"""),126229.0)</f>
        <v>126229</v>
      </c>
      <c r="Q320" s="20">
        <f>IFERROR(__xludf.DUMMYFUNCTION("""COMPUTED_VALUE"""),262207.0)</f>
        <v>262207</v>
      </c>
    </row>
    <row r="321">
      <c r="A321" s="20">
        <f>IFERROR(__xludf.DUMMYFUNCTION("""COMPUTED_VALUE"""),320.0)</f>
        <v>320</v>
      </c>
      <c r="B321" s="20" t="str">
        <f>IFERROR(__xludf.DUMMYFUNCTION("""COMPUTED_VALUE"""),"Generalized Abbreviation")</f>
        <v>Generalized Abbreviation</v>
      </c>
      <c r="C321" s="20" t="str">
        <f>IFERROR(__xludf.DUMMYFUNCTION("""COMPUTED_VALUE"""),"generalized-abbreviation")</f>
        <v>generalized-abbreviation</v>
      </c>
      <c r="D321" s="20" t="b">
        <f>IFERROR(__xludf.DUMMYFUNCTION("""COMPUTED_VALUE"""),TRUE)</f>
        <v>1</v>
      </c>
      <c r="E321" s="20" t="str">
        <f>IFERROR(__xludf.DUMMYFUNCTION("""COMPUTED_VALUE"""),"Medium")</f>
        <v>Medium</v>
      </c>
      <c r="F321" s="20">
        <f>IFERROR(__xludf.DUMMYFUNCTION("""COMPUTED_VALUE"""),648.0)</f>
        <v>648</v>
      </c>
      <c r="G321" s="20">
        <f>IFERROR(__xludf.DUMMYFUNCTION("""COMPUTED_VALUE"""),216.0)</f>
        <v>216</v>
      </c>
      <c r="H321" s="20" t="str">
        <f>IFERROR(__xludf.DUMMYFUNCTION("""COMPUTED_VALUE"""),"Algorithms")</f>
        <v>Algorithms</v>
      </c>
      <c r="I321" s="20">
        <f>IFERROR(__xludf.DUMMYFUNCTION("""COMPUTED_VALUE"""),0.574)</f>
        <v>0.574</v>
      </c>
      <c r="J321" s="20">
        <f>IFERROR(__xludf.DUMMYFUNCTION("""COMPUTED_VALUE"""),320.0)</f>
        <v>320</v>
      </c>
      <c r="K321" s="20" t="b">
        <f>IFERROR(__xludf.DUMMYFUNCTION("""COMPUTED_VALUE"""),TRUE)</f>
        <v>1</v>
      </c>
      <c r="L321" s="20" t="str">
        <f>IFERROR(__xludf.DUMMYFUNCTION("""COMPUTED_VALUE"""),"String;Backtracking;Bit Manipulation;")</f>
        <v>String;Backtracking;Bit Manipulation;</v>
      </c>
      <c r="M321" s="20" t="b">
        <f>IFERROR(__xludf.DUMMYFUNCTION("""COMPUTED_VALUE"""),TRUE)</f>
        <v>1</v>
      </c>
      <c r="N321" s="20" t="b">
        <f>IFERROR(__xludf.DUMMYFUNCTION("""COMPUTED_VALUE"""),FALSE)</f>
        <v>0</v>
      </c>
      <c r="O321" s="20">
        <f>IFERROR(__xludf.DUMMYFUNCTION("""COMPUTED_VALUE"""),57.4203004763649)</f>
        <v>57.42030048</v>
      </c>
      <c r="P321" s="20">
        <f>IFERROR(__xludf.DUMMYFUNCTION("""COMPUTED_VALUE"""),64247.0)</f>
        <v>64247</v>
      </c>
      <c r="Q321" s="20">
        <f>IFERROR(__xludf.DUMMYFUNCTION("""COMPUTED_VALUE"""),111889.0)</f>
        <v>111889</v>
      </c>
    </row>
    <row r="322">
      <c r="A322" s="20">
        <f>IFERROR(__xludf.DUMMYFUNCTION("""COMPUTED_VALUE"""),321.0)</f>
        <v>321</v>
      </c>
      <c r="B322" s="20" t="str">
        <f>IFERROR(__xludf.DUMMYFUNCTION("""COMPUTED_VALUE"""),"Create Maximum Number")</f>
        <v>Create Maximum Number</v>
      </c>
      <c r="C322" s="20" t="str">
        <f>IFERROR(__xludf.DUMMYFUNCTION("""COMPUTED_VALUE"""),"create-maximum-number")</f>
        <v>create-maximum-number</v>
      </c>
      <c r="D322" s="20" t="b">
        <f>IFERROR(__xludf.DUMMYFUNCTION("""COMPUTED_VALUE"""),FALSE)</f>
        <v>0</v>
      </c>
      <c r="E322" s="20" t="str">
        <f>IFERROR(__xludf.DUMMYFUNCTION("""COMPUTED_VALUE"""),"Hard")</f>
        <v>Hard</v>
      </c>
      <c r="F322" s="20">
        <f>IFERROR(__xludf.DUMMYFUNCTION("""COMPUTED_VALUE"""),1591.0)</f>
        <v>1591</v>
      </c>
      <c r="G322" s="20">
        <f>IFERROR(__xludf.DUMMYFUNCTION("""COMPUTED_VALUE"""),330.0)</f>
        <v>330</v>
      </c>
      <c r="H322" s="20" t="str">
        <f>IFERROR(__xludf.DUMMYFUNCTION("""COMPUTED_VALUE"""),"Algorithms")</f>
        <v>Algorithms</v>
      </c>
      <c r="I322" s="20">
        <f>IFERROR(__xludf.DUMMYFUNCTION("""COMPUTED_VALUE"""),0.288)</f>
        <v>0.288</v>
      </c>
      <c r="J322" s="20">
        <f>IFERROR(__xludf.DUMMYFUNCTION("""COMPUTED_VALUE"""),321.0)</f>
        <v>321</v>
      </c>
      <c r="K322" s="20" t="b">
        <f>IFERROR(__xludf.DUMMYFUNCTION("""COMPUTED_VALUE"""),FALSE)</f>
        <v>0</v>
      </c>
      <c r="L322" s="20" t="str">
        <f>IFERROR(__xludf.DUMMYFUNCTION("""COMPUTED_VALUE"""),"Stack;Greedy;Monotonic Stack;")</f>
        <v>Stack;Greedy;Monotonic Stack;</v>
      </c>
      <c r="M322" s="20" t="b">
        <f>IFERROR(__xludf.DUMMYFUNCTION("""COMPUTED_VALUE"""),FALSE)</f>
        <v>0</v>
      </c>
      <c r="N322" s="20" t="b">
        <f>IFERROR(__xludf.DUMMYFUNCTION("""COMPUTED_VALUE"""),FALSE)</f>
        <v>0</v>
      </c>
      <c r="O322" s="20">
        <f>IFERROR(__xludf.DUMMYFUNCTION("""COMPUTED_VALUE"""),28.8442967739823)</f>
        <v>28.84429677</v>
      </c>
      <c r="P322" s="20">
        <f>IFERROR(__xludf.DUMMYFUNCTION("""COMPUTED_VALUE"""),52868.0)</f>
        <v>52868</v>
      </c>
      <c r="Q322" s="20">
        <f>IFERROR(__xludf.DUMMYFUNCTION("""COMPUTED_VALUE"""),183289.0)</f>
        <v>183289</v>
      </c>
    </row>
    <row r="323">
      <c r="A323" s="20">
        <f>IFERROR(__xludf.DUMMYFUNCTION("""COMPUTED_VALUE"""),322.0)</f>
        <v>322</v>
      </c>
      <c r="B323" s="20" t="str">
        <f>IFERROR(__xludf.DUMMYFUNCTION("""COMPUTED_VALUE"""),"Coin Change")</f>
        <v>Coin Change</v>
      </c>
      <c r="C323" s="20" t="str">
        <f>IFERROR(__xludf.DUMMYFUNCTION("""COMPUTED_VALUE"""),"coin-change")</f>
        <v>coin-change</v>
      </c>
      <c r="D323" s="20" t="b">
        <f>IFERROR(__xludf.DUMMYFUNCTION("""COMPUTED_VALUE"""),FALSE)</f>
        <v>0</v>
      </c>
      <c r="E323" s="20" t="str">
        <f>IFERROR(__xludf.DUMMYFUNCTION("""COMPUTED_VALUE"""),"Medium")</f>
        <v>Medium</v>
      </c>
      <c r="F323" s="20">
        <f>IFERROR(__xludf.DUMMYFUNCTION("""COMPUTED_VALUE"""),14850.0)</f>
        <v>14850</v>
      </c>
      <c r="G323" s="20">
        <f>IFERROR(__xludf.DUMMYFUNCTION("""COMPUTED_VALUE"""),342.0)</f>
        <v>342</v>
      </c>
      <c r="H323" s="20" t="str">
        <f>IFERROR(__xludf.DUMMYFUNCTION("""COMPUTED_VALUE"""),"Algorithms")</f>
        <v>Algorithms</v>
      </c>
      <c r="I323" s="20">
        <f>IFERROR(__xludf.DUMMYFUNCTION("""COMPUTED_VALUE"""),0.417)</f>
        <v>0.417</v>
      </c>
      <c r="J323" s="20">
        <f>IFERROR(__xludf.DUMMYFUNCTION("""COMPUTED_VALUE"""),322.0)</f>
        <v>322</v>
      </c>
      <c r="K323" s="20" t="b">
        <f>IFERROR(__xludf.DUMMYFUNCTION("""COMPUTED_VALUE"""),FALSE)</f>
        <v>0</v>
      </c>
      <c r="L323" s="20" t="str">
        <f>IFERROR(__xludf.DUMMYFUNCTION("""COMPUTED_VALUE"""),"Array;Dynamic Programming;Breadth-First Search;")</f>
        <v>Array;Dynamic Programming;Breadth-First Search;</v>
      </c>
      <c r="M323" s="20" t="b">
        <f>IFERROR(__xludf.DUMMYFUNCTION("""COMPUTED_VALUE"""),TRUE)</f>
        <v>1</v>
      </c>
      <c r="N323" s="20" t="b">
        <f>IFERROR(__xludf.DUMMYFUNCTION("""COMPUTED_VALUE"""),TRUE)</f>
        <v>1</v>
      </c>
      <c r="O323" s="20">
        <f>IFERROR(__xludf.DUMMYFUNCTION("""COMPUTED_VALUE"""),41.6855900060018)</f>
        <v>41.68559001</v>
      </c>
      <c r="P323" s="20">
        <f>IFERROR(__xludf.DUMMYFUNCTION("""COMPUTED_VALUE"""),1280036.0)</f>
        <v>1280036</v>
      </c>
      <c r="Q323" s="20">
        <f>IFERROR(__xludf.DUMMYFUNCTION("""COMPUTED_VALUE"""),3070699.0)</f>
        <v>3070699</v>
      </c>
    </row>
    <row r="324">
      <c r="A324" s="20">
        <f>IFERROR(__xludf.DUMMYFUNCTION("""COMPUTED_VALUE"""),323.0)</f>
        <v>323</v>
      </c>
      <c r="B324" s="20" t="str">
        <f>IFERROR(__xludf.DUMMYFUNCTION("""COMPUTED_VALUE"""),"Number of Connected Components in an Undirected Graph")</f>
        <v>Number of Connected Components in an Undirected Graph</v>
      </c>
      <c r="C324" s="20" t="str">
        <f>IFERROR(__xludf.DUMMYFUNCTION("""COMPUTED_VALUE"""),"number-of-connected-components-in-an-undirected-graph")</f>
        <v>number-of-connected-components-in-an-undirected-graph</v>
      </c>
      <c r="D324" s="20" t="b">
        <f>IFERROR(__xludf.DUMMYFUNCTION("""COMPUTED_VALUE"""),TRUE)</f>
        <v>1</v>
      </c>
      <c r="E324" s="20" t="str">
        <f>IFERROR(__xludf.DUMMYFUNCTION("""COMPUTED_VALUE"""),"Medium")</f>
        <v>Medium</v>
      </c>
      <c r="F324" s="20">
        <f>IFERROR(__xludf.DUMMYFUNCTION("""COMPUTED_VALUE"""),2362.0)</f>
        <v>2362</v>
      </c>
      <c r="G324" s="20">
        <f>IFERROR(__xludf.DUMMYFUNCTION("""COMPUTED_VALUE"""),80.0)</f>
        <v>80</v>
      </c>
      <c r="H324" s="20" t="str">
        <f>IFERROR(__xludf.DUMMYFUNCTION("""COMPUTED_VALUE"""),"Algorithms")</f>
        <v>Algorithms</v>
      </c>
      <c r="I324" s="20">
        <f>IFERROR(__xludf.DUMMYFUNCTION("""COMPUTED_VALUE"""),0.622)</f>
        <v>0.622</v>
      </c>
      <c r="J324" s="20">
        <f>IFERROR(__xludf.DUMMYFUNCTION("""COMPUTED_VALUE"""),323.0)</f>
        <v>323</v>
      </c>
      <c r="K324" s="20" t="b">
        <f>IFERROR(__xludf.DUMMYFUNCTION("""COMPUTED_VALUE"""),TRUE)</f>
        <v>1</v>
      </c>
      <c r="L324" s="20" t="str">
        <f>IFERROR(__xludf.DUMMYFUNCTION("""COMPUTED_VALUE"""),"Depth-First Search;Breadth-First Search;Union Find;Graph;")</f>
        <v>Depth-First Search;Breadth-First Search;Union Find;Graph;</v>
      </c>
      <c r="M324" s="20" t="b">
        <f>IFERROR(__xludf.DUMMYFUNCTION("""COMPUTED_VALUE"""),TRUE)</f>
        <v>1</v>
      </c>
      <c r="N324" s="20" t="b">
        <f>IFERROR(__xludf.DUMMYFUNCTION("""COMPUTED_VALUE"""),TRUE)</f>
        <v>1</v>
      </c>
      <c r="O324" s="20">
        <f>IFERROR(__xludf.DUMMYFUNCTION("""COMPUTED_VALUE"""),62.1670203667923)</f>
        <v>62.16702037</v>
      </c>
      <c r="P324" s="20">
        <f>IFERROR(__xludf.DUMMYFUNCTION("""COMPUTED_VALUE"""),314028.0)</f>
        <v>314028</v>
      </c>
      <c r="Q324" s="20">
        <f>IFERROR(__xludf.DUMMYFUNCTION("""COMPUTED_VALUE"""),505136.0)</f>
        <v>505136</v>
      </c>
    </row>
    <row r="325">
      <c r="A325" s="20">
        <f>IFERROR(__xludf.DUMMYFUNCTION("""COMPUTED_VALUE"""),324.0)</f>
        <v>324</v>
      </c>
      <c r="B325" s="20" t="str">
        <f>IFERROR(__xludf.DUMMYFUNCTION("""COMPUTED_VALUE"""),"Wiggle Sort II")</f>
        <v>Wiggle Sort II</v>
      </c>
      <c r="C325" s="20" t="str">
        <f>IFERROR(__xludf.DUMMYFUNCTION("""COMPUTED_VALUE"""),"wiggle-sort-ii")</f>
        <v>wiggle-sort-ii</v>
      </c>
      <c r="D325" s="20" t="b">
        <f>IFERROR(__xludf.DUMMYFUNCTION("""COMPUTED_VALUE"""),FALSE)</f>
        <v>0</v>
      </c>
      <c r="E325" s="20" t="str">
        <f>IFERROR(__xludf.DUMMYFUNCTION("""COMPUTED_VALUE"""),"Medium")</f>
        <v>Medium</v>
      </c>
      <c r="F325" s="20">
        <f>IFERROR(__xludf.DUMMYFUNCTION("""COMPUTED_VALUE"""),2533.0)</f>
        <v>2533</v>
      </c>
      <c r="G325" s="20">
        <f>IFERROR(__xludf.DUMMYFUNCTION("""COMPUTED_VALUE"""),876.0)</f>
        <v>876</v>
      </c>
      <c r="H325" s="20" t="str">
        <f>IFERROR(__xludf.DUMMYFUNCTION("""COMPUTED_VALUE"""),"Algorithms")</f>
        <v>Algorithms</v>
      </c>
      <c r="I325" s="20">
        <f>IFERROR(__xludf.DUMMYFUNCTION("""COMPUTED_VALUE"""),0.331)</f>
        <v>0.331</v>
      </c>
      <c r="J325" s="20">
        <f>IFERROR(__xludf.DUMMYFUNCTION("""COMPUTED_VALUE"""),324.0)</f>
        <v>324</v>
      </c>
      <c r="K325" s="20" t="b">
        <f>IFERROR(__xludf.DUMMYFUNCTION("""COMPUTED_VALUE"""),FALSE)</f>
        <v>0</v>
      </c>
      <c r="L325" s="20" t="str">
        <f>IFERROR(__xludf.DUMMYFUNCTION("""COMPUTED_VALUE"""),"Array;Divide and Conquer;Sorting;Quickselect;")</f>
        <v>Array;Divide and Conquer;Sorting;Quickselect;</v>
      </c>
      <c r="M325" s="20" t="b">
        <f>IFERROR(__xludf.DUMMYFUNCTION("""COMPUTED_VALUE"""),FALSE)</f>
        <v>0</v>
      </c>
      <c r="N325" s="20" t="b">
        <f>IFERROR(__xludf.DUMMYFUNCTION("""COMPUTED_VALUE"""),FALSE)</f>
        <v>0</v>
      </c>
      <c r="O325" s="20">
        <f>IFERROR(__xludf.DUMMYFUNCTION("""COMPUTED_VALUE"""),33.0731900226048)</f>
        <v>33.07319002</v>
      </c>
      <c r="P325" s="20">
        <f>IFERROR(__xludf.DUMMYFUNCTION("""COMPUTED_VALUE"""),135483.0)</f>
        <v>135483</v>
      </c>
      <c r="Q325" s="20">
        <f>IFERROR(__xludf.DUMMYFUNCTION("""COMPUTED_VALUE"""),409646.0)</f>
        <v>409646</v>
      </c>
    </row>
    <row r="326">
      <c r="A326" s="20">
        <f>IFERROR(__xludf.DUMMYFUNCTION("""COMPUTED_VALUE"""),325.0)</f>
        <v>325</v>
      </c>
      <c r="B326" s="20" t="str">
        <f>IFERROR(__xludf.DUMMYFUNCTION("""COMPUTED_VALUE"""),"Maximum Size Subarray Sum Equals k")</f>
        <v>Maximum Size Subarray Sum Equals k</v>
      </c>
      <c r="C326" s="20" t="str">
        <f>IFERROR(__xludf.DUMMYFUNCTION("""COMPUTED_VALUE"""),"maximum-size-subarray-sum-equals-k")</f>
        <v>maximum-size-subarray-sum-equals-k</v>
      </c>
      <c r="D326" s="20" t="b">
        <f>IFERROR(__xludf.DUMMYFUNCTION("""COMPUTED_VALUE"""),TRUE)</f>
        <v>1</v>
      </c>
      <c r="E326" s="20" t="str">
        <f>IFERROR(__xludf.DUMMYFUNCTION("""COMPUTED_VALUE"""),"Medium")</f>
        <v>Medium</v>
      </c>
      <c r="F326" s="20">
        <f>IFERROR(__xludf.DUMMYFUNCTION("""COMPUTED_VALUE"""),1848.0)</f>
        <v>1848</v>
      </c>
      <c r="G326" s="20">
        <f>IFERROR(__xludf.DUMMYFUNCTION("""COMPUTED_VALUE"""),56.0)</f>
        <v>56</v>
      </c>
      <c r="H326" s="20" t="str">
        <f>IFERROR(__xludf.DUMMYFUNCTION("""COMPUTED_VALUE"""),"Algorithms")</f>
        <v>Algorithms</v>
      </c>
      <c r="I326" s="20">
        <f>IFERROR(__xludf.DUMMYFUNCTION("""COMPUTED_VALUE"""),0.493)</f>
        <v>0.493</v>
      </c>
      <c r="J326" s="20">
        <f>IFERROR(__xludf.DUMMYFUNCTION("""COMPUTED_VALUE"""),325.0)</f>
        <v>325</v>
      </c>
      <c r="K326" s="20" t="b">
        <f>IFERROR(__xludf.DUMMYFUNCTION("""COMPUTED_VALUE"""),TRUE)</f>
        <v>1</v>
      </c>
      <c r="L326" s="20" t="str">
        <f>IFERROR(__xludf.DUMMYFUNCTION("""COMPUTED_VALUE"""),"Array;Hash Table;Prefix Sum;")</f>
        <v>Array;Hash Table;Prefix Sum;</v>
      </c>
      <c r="M326" s="20" t="b">
        <f>IFERROR(__xludf.DUMMYFUNCTION("""COMPUTED_VALUE"""),TRUE)</f>
        <v>1</v>
      </c>
      <c r="N326" s="20" t="b">
        <f>IFERROR(__xludf.DUMMYFUNCTION("""COMPUTED_VALUE"""),FALSE)</f>
        <v>0</v>
      </c>
      <c r="O326" s="20">
        <f>IFERROR(__xludf.DUMMYFUNCTION("""COMPUTED_VALUE"""),49.2658791623073)</f>
        <v>49.26587916</v>
      </c>
      <c r="P326" s="20">
        <f>IFERROR(__xludf.DUMMYFUNCTION("""COMPUTED_VALUE"""),168577.0)</f>
        <v>168577</v>
      </c>
      <c r="Q326" s="20">
        <f>IFERROR(__xludf.DUMMYFUNCTION("""COMPUTED_VALUE"""),342178.0)</f>
        <v>342178</v>
      </c>
    </row>
    <row r="327">
      <c r="A327" s="20">
        <f>IFERROR(__xludf.DUMMYFUNCTION("""COMPUTED_VALUE"""),326.0)</f>
        <v>326</v>
      </c>
      <c r="B327" s="20" t="str">
        <f>IFERROR(__xludf.DUMMYFUNCTION("""COMPUTED_VALUE"""),"Power of Three")</f>
        <v>Power of Three</v>
      </c>
      <c r="C327" s="20" t="str">
        <f>IFERROR(__xludf.DUMMYFUNCTION("""COMPUTED_VALUE"""),"power-of-three")</f>
        <v>power-of-three</v>
      </c>
      <c r="D327" s="20" t="b">
        <f>IFERROR(__xludf.DUMMYFUNCTION("""COMPUTED_VALUE"""),FALSE)</f>
        <v>0</v>
      </c>
      <c r="E327" s="20" t="str">
        <f>IFERROR(__xludf.DUMMYFUNCTION("""COMPUTED_VALUE"""),"Easy")</f>
        <v>Easy</v>
      </c>
      <c r="F327" s="20">
        <f>IFERROR(__xludf.DUMMYFUNCTION("""COMPUTED_VALUE"""),2293.0)</f>
        <v>2293</v>
      </c>
      <c r="G327" s="20">
        <f>IFERROR(__xludf.DUMMYFUNCTION("""COMPUTED_VALUE"""),221.0)</f>
        <v>221</v>
      </c>
      <c r="H327" s="20" t="str">
        <f>IFERROR(__xludf.DUMMYFUNCTION("""COMPUTED_VALUE"""),"Algorithms")</f>
        <v>Algorithms</v>
      </c>
      <c r="I327" s="20">
        <f>IFERROR(__xludf.DUMMYFUNCTION("""COMPUTED_VALUE"""),0.453)</f>
        <v>0.453</v>
      </c>
      <c r="J327" s="20">
        <f>IFERROR(__xludf.DUMMYFUNCTION("""COMPUTED_VALUE"""),326.0)</f>
        <v>326</v>
      </c>
      <c r="K327" s="20" t="b">
        <f>IFERROR(__xludf.DUMMYFUNCTION("""COMPUTED_VALUE"""),FALSE)</f>
        <v>0</v>
      </c>
      <c r="L327" s="20" t="str">
        <f>IFERROR(__xludf.DUMMYFUNCTION("""COMPUTED_VALUE"""),"Math;Recursion;")</f>
        <v>Math;Recursion;</v>
      </c>
      <c r="M327" s="20" t="b">
        <f>IFERROR(__xludf.DUMMYFUNCTION("""COMPUTED_VALUE"""),TRUE)</f>
        <v>1</v>
      </c>
      <c r="N327" s="20" t="b">
        <f>IFERROR(__xludf.DUMMYFUNCTION("""COMPUTED_VALUE"""),FALSE)</f>
        <v>0</v>
      </c>
      <c r="O327" s="20">
        <f>IFERROR(__xludf.DUMMYFUNCTION("""COMPUTED_VALUE"""),45.2977264421389)</f>
        <v>45.29772644</v>
      </c>
      <c r="P327" s="20">
        <f>IFERROR(__xludf.DUMMYFUNCTION("""COMPUTED_VALUE"""),628411.0)</f>
        <v>628411</v>
      </c>
      <c r="Q327" s="20">
        <f>IFERROR(__xludf.DUMMYFUNCTION("""COMPUTED_VALUE"""),1387294.0)</f>
        <v>1387294</v>
      </c>
    </row>
    <row r="328">
      <c r="A328" s="20">
        <f>IFERROR(__xludf.DUMMYFUNCTION("""COMPUTED_VALUE"""),327.0)</f>
        <v>327</v>
      </c>
      <c r="B328" s="20" t="str">
        <f>IFERROR(__xludf.DUMMYFUNCTION("""COMPUTED_VALUE"""),"Count of Range Sum")</f>
        <v>Count of Range Sum</v>
      </c>
      <c r="C328" s="20" t="str">
        <f>IFERROR(__xludf.DUMMYFUNCTION("""COMPUTED_VALUE"""),"count-of-range-sum")</f>
        <v>count-of-range-sum</v>
      </c>
      <c r="D328" s="20" t="b">
        <f>IFERROR(__xludf.DUMMYFUNCTION("""COMPUTED_VALUE"""),FALSE)</f>
        <v>0</v>
      </c>
      <c r="E328" s="20" t="str">
        <f>IFERROR(__xludf.DUMMYFUNCTION("""COMPUTED_VALUE"""),"Hard")</f>
        <v>Hard</v>
      </c>
      <c r="F328" s="20">
        <f>IFERROR(__xludf.DUMMYFUNCTION("""COMPUTED_VALUE"""),1888.0)</f>
        <v>1888</v>
      </c>
      <c r="G328" s="20">
        <f>IFERROR(__xludf.DUMMYFUNCTION("""COMPUTED_VALUE"""),199.0)</f>
        <v>199</v>
      </c>
      <c r="H328" s="20" t="str">
        <f>IFERROR(__xludf.DUMMYFUNCTION("""COMPUTED_VALUE"""),"Algorithms")</f>
        <v>Algorithms</v>
      </c>
      <c r="I328" s="20">
        <f>IFERROR(__xludf.DUMMYFUNCTION("""COMPUTED_VALUE"""),0.36)</f>
        <v>0.36</v>
      </c>
      <c r="J328" s="20">
        <f>IFERROR(__xludf.DUMMYFUNCTION("""COMPUTED_VALUE"""),327.0)</f>
        <v>327</v>
      </c>
      <c r="K328" s="20" t="b">
        <f>IFERROR(__xludf.DUMMYFUNCTION("""COMPUTED_VALUE"""),FALSE)</f>
        <v>0</v>
      </c>
      <c r="L328" s="20" t="str">
        <f>IFERROR(__xludf.DUMMYFUNCTION("""COMPUTED_VALUE"""),"Array;Binary Search;Divide and Conquer;Binary Indexed Tree;Segment Tree;Merge Sort;Ordered Set;")</f>
        <v>Array;Binary Search;Divide and Conquer;Binary Indexed Tree;Segment Tree;Merge Sort;Ordered Set;</v>
      </c>
      <c r="M328" s="20" t="b">
        <f>IFERROR(__xludf.DUMMYFUNCTION("""COMPUTED_VALUE"""),FALSE)</f>
        <v>0</v>
      </c>
      <c r="N328" s="20" t="b">
        <f>IFERROR(__xludf.DUMMYFUNCTION("""COMPUTED_VALUE"""),FALSE)</f>
        <v>0</v>
      </c>
      <c r="O328" s="20">
        <f>IFERROR(__xludf.DUMMYFUNCTION("""COMPUTED_VALUE"""),36.0138299030817)</f>
        <v>36.0138299</v>
      </c>
      <c r="P328" s="20">
        <f>IFERROR(__xludf.DUMMYFUNCTION("""COMPUTED_VALUE"""),66143.0)</f>
        <v>66143</v>
      </c>
      <c r="Q328" s="20">
        <f>IFERROR(__xludf.DUMMYFUNCTION("""COMPUTED_VALUE"""),183658.0)</f>
        <v>183658</v>
      </c>
    </row>
    <row r="329">
      <c r="A329" s="20">
        <f>IFERROR(__xludf.DUMMYFUNCTION("""COMPUTED_VALUE"""),328.0)</f>
        <v>328</v>
      </c>
      <c r="B329" s="20" t="str">
        <f>IFERROR(__xludf.DUMMYFUNCTION("""COMPUTED_VALUE"""),"Odd Even Linked List")</f>
        <v>Odd Even Linked List</v>
      </c>
      <c r="C329" s="20" t="str">
        <f>IFERROR(__xludf.DUMMYFUNCTION("""COMPUTED_VALUE"""),"odd-even-linked-list")</f>
        <v>odd-even-linked-list</v>
      </c>
      <c r="D329" s="20" t="b">
        <f>IFERROR(__xludf.DUMMYFUNCTION("""COMPUTED_VALUE"""),FALSE)</f>
        <v>0</v>
      </c>
      <c r="E329" s="20" t="str">
        <f>IFERROR(__xludf.DUMMYFUNCTION("""COMPUTED_VALUE"""),"Medium")</f>
        <v>Medium</v>
      </c>
      <c r="F329" s="20">
        <f>IFERROR(__xludf.DUMMYFUNCTION("""COMPUTED_VALUE"""),7631.0)</f>
        <v>7631</v>
      </c>
      <c r="G329" s="20">
        <f>IFERROR(__xludf.DUMMYFUNCTION("""COMPUTED_VALUE"""),433.0)</f>
        <v>433</v>
      </c>
      <c r="H329" s="20" t="str">
        <f>IFERROR(__xludf.DUMMYFUNCTION("""COMPUTED_VALUE"""),"Algorithms")</f>
        <v>Algorithms</v>
      </c>
      <c r="I329" s="20">
        <f>IFERROR(__xludf.DUMMYFUNCTION("""COMPUTED_VALUE"""),0.612)</f>
        <v>0.612</v>
      </c>
      <c r="J329" s="20">
        <f>IFERROR(__xludf.DUMMYFUNCTION("""COMPUTED_VALUE"""),328.0)</f>
        <v>328</v>
      </c>
      <c r="K329" s="20" t="b">
        <f>IFERROR(__xludf.DUMMYFUNCTION("""COMPUTED_VALUE"""),FALSE)</f>
        <v>0</v>
      </c>
      <c r="L329" s="20" t="str">
        <f>IFERROR(__xludf.DUMMYFUNCTION("""COMPUTED_VALUE"""),"Linked List;")</f>
        <v>Linked List;</v>
      </c>
      <c r="M329" s="20" t="b">
        <f>IFERROR(__xludf.DUMMYFUNCTION("""COMPUTED_VALUE"""),TRUE)</f>
        <v>1</v>
      </c>
      <c r="N329" s="20" t="b">
        <f>IFERROR(__xludf.DUMMYFUNCTION("""COMPUTED_VALUE"""),FALSE)</f>
        <v>0</v>
      </c>
      <c r="O329" s="20">
        <f>IFERROR(__xludf.DUMMYFUNCTION("""COMPUTED_VALUE"""),61.1708767092785)</f>
        <v>61.17087671</v>
      </c>
      <c r="P329" s="20">
        <f>IFERROR(__xludf.DUMMYFUNCTION("""COMPUTED_VALUE"""),675799.0)</f>
        <v>675799</v>
      </c>
      <c r="Q329" s="20">
        <f>IFERROR(__xludf.DUMMYFUNCTION("""COMPUTED_VALUE"""),1104774.0)</f>
        <v>1104774</v>
      </c>
    </row>
    <row r="330">
      <c r="A330" s="20">
        <f>IFERROR(__xludf.DUMMYFUNCTION("""COMPUTED_VALUE"""),329.0)</f>
        <v>329</v>
      </c>
      <c r="B330" s="20" t="str">
        <f>IFERROR(__xludf.DUMMYFUNCTION("""COMPUTED_VALUE"""),"Longest Increasing Path in a Matrix")</f>
        <v>Longest Increasing Path in a Matrix</v>
      </c>
      <c r="C330" s="20" t="str">
        <f>IFERROR(__xludf.DUMMYFUNCTION("""COMPUTED_VALUE"""),"longest-increasing-path-in-a-matrix")</f>
        <v>longest-increasing-path-in-a-matrix</v>
      </c>
      <c r="D330" s="20" t="b">
        <f>IFERROR(__xludf.DUMMYFUNCTION("""COMPUTED_VALUE"""),FALSE)</f>
        <v>0</v>
      </c>
      <c r="E330" s="20" t="str">
        <f>IFERROR(__xludf.DUMMYFUNCTION("""COMPUTED_VALUE"""),"Hard")</f>
        <v>Hard</v>
      </c>
      <c r="F330" s="20">
        <f>IFERROR(__xludf.DUMMYFUNCTION("""COMPUTED_VALUE"""),7561.0)</f>
        <v>7561</v>
      </c>
      <c r="G330" s="20">
        <f>IFERROR(__xludf.DUMMYFUNCTION("""COMPUTED_VALUE"""),111.0)</f>
        <v>111</v>
      </c>
      <c r="H330" s="20" t="str">
        <f>IFERROR(__xludf.DUMMYFUNCTION("""COMPUTED_VALUE"""),"Algorithms")</f>
        <v>Algorithms</v>
      </c>
      <c r="I330" s="20">
        <f>IFERROR(__xludf.DUMMYFUNCTION("""COMPUTED_VALUE"""),0.523)</f>
        <v>0.523</v>
      </c>
      <c r="J330" s="20">
        <f>IFERROR(__xludf.DUMMYFUNCTION("""COMPUTED_VALUE"""),329.0)</f>
        <v>329</v>
      </c>
      <c r="K330" s="20" t="b">
        <f>IFERROR(__xludf.DUMMYFUNCTION("""COMPUTED_VALUE"""),FALSE)</f>
        <v>0</v>
      </c>
      <c r="L330" s="20" t="str">
        <f>IFERROR(__xludf.DUMMYFUNCTION("""COMPUTED_VALUE"""),"Array;Dynamic Programming;Depth-First Search;Breadth-First Search;Graph;Topological Sort;Memoization;Matrix;")</f>
        <v>Array;Dynamic Programming;Depth-First Search;Breadth-First Search;Graph;Topological Sort;Memoization;Matrix;</v>
      </c>
      <c r="M330" s="20" t="b">
        <f>IFERROR(__xludf.DUMMYFUNCTION("""COMPUTED_VALUE"""),TRUE)</f>
        <v>1</v>
      </c>
      <c r="N330" s="20" t="b">
        <f>IFERROR(__xludf.DUMMYFUNCTION("""COMPUTED_VALUE"""),FALSE)</f>
        <v>0</v>
      </c>
      <c r="O330" s="20">
        <f>IFERROR(__xludf.DUMMYFUNCTION("""COMPUTED_VALUE"""),52.2972532277908)</f>
        <v>52.29725323</v>
      </c>
      <c r="P330" s="20">
        <f>IFERROR(__xludf.DUMMYFUNCTION("""COMPUTED_VALUE"""),423358.0)</f>
        <v>423358</v>
      </c>
      <c r="Q330" s="20">
        <f>IFERROR(__xludf.DUMMYFUNCTION("""COMPUTED_VALUE"""),809526.0)</f>
        <v>809526</v>
      </c>
    </row>
    <row r="331">
      <c r="A331" s="20">
        <f>IFERROR(__xludf.DUMMYFUNCTION("""COMPUTED_VALUE"""),330.0)</f>
        <v>330</v>
      </c>
      <c r="B331" s="20" t="str">
        <f>IFERROR(__xludf.DUMMYFUNCTION("""COMPUTED_VALUE"""),"Patching Array")</f>
        <v>Patching Array</v>
      </c>
      <c r="C331" s="20" t="str">
        <f>IFERROR(__xludf.DUMMYFUNCTION("""COMPUTED_VALUE"""),"patching-array")</f>
        <v>patching-array</v>
      </c>
      <c r="D331" s="20" t="b">
        <f>IFERROR(__xludf.DUMMYFUNCTION("""COMPUTED_VALUE"""),FALSE)</f>
        <v>0</v>
      </c>
      <c r="E331" s="20" t="str">
        <f>IFERROR(__xludf.DUMMYFUNCTION("""COMPUTED_VALUE"""),"Hard")</f>
        <v>Hard</v>
      </c>
      <c r="F331" s="20">
        <f>IFERROR(__xludf.DUMMYFUNCTION("""COMPUTED_VALUE"""),1239.0)</f>
        <v>1239</v>
      </c>
      <c r="G331" s="20">
        <f>IFERROR(__xludf.DUMMYFUNCTION("""COMPUTED_VALUE"""),122.0)</f>
        <v>122</v>
      </c>
      <c r="H331" s="20" t="str">
        <f>IFERROR(__xludf.DUMMYFUNCTION("""COMPUTED_VALUE"""),"Algorithms")</f>
        <v>Algorithms</v>
      </c>
      <c r="I331" s="20">
        <f>IFERROR(__xludf.DUMMYFUNCTION("""COMPUTED_VALUE"""),0.401)</f>
        <v>0.401</v>
      </c>
      <c r="J331" s="20">
        <f>IFERROR(__xludf.DUMMYFUNCTION("""COMPUTED_VALUE"""),330.0)</f>
        <v>330</v>
      </c>
      <c r="K331" s="20" t="b">
        <f>IFERROR(__xludf.DUMMYFUNCTION("""COMPUTED_VALUE"""),FALSE)</f>
        <v>0</v>
      </c>
      <c r="L331" s="20" t="str">
        <f>IFERROR(__xludf.DUMMYFUNCTION("""COMPUTED_VALUE"""),"Array;Greedy;")</f>
        <v>Array;Greedy;</v>
      </c>
      <c r="M331" s="20" t="b">
        <f>IFERROR(__xludf.DUMMYFUNCTION("""COMPUTED_VALUE"""),TRUE)</f>
        <v>1</v>
      </c>
      <c r="N331" s="20" t="b">
        <f>IFERROR(__xludf.DUMMYFUNCTION("""COMPUTED_VALUE"""),FALSE)</f>
        <v>0</v>
      </c>
      <c r="O331" s="20">
        <f>IFERROR(__xludf.DUMMYFUNCTION("""COMPUTED_VALUE"""),40.0957502447397)</f>
        <v>40.09575024</v>
      </c>
      <c r="P331" s="20">
        <f>IFERROR(__xludf.DUMMYFUNCTION("""COMPUTED_VALUE"""),59798.0)</f>
        <v>59798</v>
      </c>
      <c r="Q331" s="20">
        <f>IFERROR(__xludf.DUMMYFUNCTION("""COMPUTED_VALUE"""),149138.0)</f>
        <v>149138</v>
      </c>
    </row>
    <row r="332">
      <c r="A332" s="20">
        <f>IFERROR(__xludf.DUMMYFUNCTION("""COMPUTED_VALUE"""),331.0)</f>
        <v>331</v>
      </c>
      <c r="B332" s="20" t="str">
        <f>IFERROR(__xludf.DUMMYFUNCTION("""COMPUTED_VALUE"""),"Verify Preorder Serialization of a Binary Tree")</f>
        <v>Verify Preorder Serialization of a Binary Tree</v>
      </c>
      <c r="C332" s="20" t="str">
        <f>IFERROR(__xludf.DUMMYFUNCTION("""COMPUTED_VALUE"""),"verify-preorder-serialization-of-a-binary-tree")</f>
        <v>verify-preorder-serialization-of-a-binary-tree</v>
      </c>
      <c r="D332" s="20" t="b">
        <f>IFERROR(__xludf.DUMMYFUNCTION("""COMPUTED_VALUE"""),FALSE)</f>
        <v>0</v>
      </c>
      <c r="E332" s="20" t="str">
        <f>IFERROR(__xludf.DUMMYFUNCTION("""COMPUTED_VALUE"""),"Medium")</f>
        <v>Medium</v>
      </c>
      <c r="F332" s="20">
        <f>IFERROR(__xludf.DUMMYFUNCTION("""COMPUTED_VALUE"""),1964.0)</f>
        <v>1964</v>
      </c>
      <c r="G332" s="20">
        <f>IFERROR(__xludf.DUMMYFUNCTION("""COMPUTED_VALUE"""),104.0)</f>
        <v>104</v>
      </c>
      <c r="H332" s="20" t="str">
        <f>IFERROR(__xludf.DUMMYFUNCTION("""COMPUTED_VALUE"""),"Algorithms")</f>
        <v>Algorithms</v>
      </c>
      <c r="I332" s="20">
        <f>IFERROR(__xludf.DUMMYFUNCTION("""COMPUTED_VALUE"""),0.444)</f>
        <v>0.444</v>
      </c>
      <c r="J332" s="20">
        <f>IFERROR(__xludf.DUMMYFUNCTION("""COMPUTED_VALUE"""),331.0)</f>
        <v>331</v>
      </c>
      <c r="K332" s="20" t="b">
        <f>IFERROR(__xludf.DUMMYFUNCTION("""COMPUTED_VALUE"""),FALSE)</f>
        <v>0</v>
      </c>
      <c r="L332" s="20" t="str">
        <f>IFERROR(__xludf.DUMMYFUNCTION("""COMPUTED_VALUE"""),"String;Stack;Tree;Binary Tree;")</f>
        <v>String;Stack;Tree;Binary Tree;</v>
      </c>
      <c r="M332" s="20" t="b">
        <f>IFERROR(__xludf.DUMMYFUNCTION("""COMPUTED_VALUE"""),TRUE)</f>
        <v>1</v>
      </c>
      <c r="N332" s="20" t="b">
        <f>IFERROR(__xludf.DUMMYFUNCTION("""COMPUTED_VALUE"""),FALSE)</f>
        <v>0</v>
      </c>
      <c r="O332" s="20">
        <f>IFERROR(__xludf.DUMMYFUNCTION("""COMPUTED_VALUE"""),44.4325965103094)</f>
        <v>44.43259651</v>
      </c>
      <c r="P332" s="20">
        <f>IFERROR(__xludf.DUMMYFUNCTION("""COMPUTED_VALUE"""),125008.0)</f>
        <v>125008</v>
      </c>
      <c r="Q332" s="20">
        <f>IFERROR(__xludf.DUMMYFUNCTION("""COMPUTED_VALUE"""),281343.0)</f>
        <v>281343</v>
      </c>
    </row>
    <row r="333">
      <c r="A333" s="20">
        <f>IFERROR(__xludf.DUMMYFUNCTION("""COMPUTED_VALUE"""),332.0)</f>
        <v>332</v>
      </c>
      <c r="B333" s="20" t="str">
        <f>IFERROR(__xludf.DUMMYFUNCTION("""COMPUTED_VALUE"""),"Reconstruct Itinerary")</f>
        <v>Reconstruct Itinerary</v>
      </c>
      <c r="C333" s="20" t="str">
        <f>IFERROR(__xludf.DUMMYFUNCTION("""COMPUTED_VALUE"""),"reconstruct-itinerary")</f>
        <v>reconstruct-itinerary</v>
      </c>
      <c r="D333" s="20" t="b">
        <f>IFERROR(__xludf.DUMMYFUNCTION("""COMPUTED_VALUE"""),FALSE)</f>
        <v>0</v>
      </c>
      <c r="E333" s="20" t="str">
        <f>IFERROR(__xludf.DUMMYFUNCTION("""COMPUTED_VALUE"""),"Hard")</f>
        <v>Hard</v>
      </c>
      <c r="F333" s="20">
        <f>IFERROR(__xludf.DUMMYFUNCTION("""COMPUTED_VALUE"""),4428.0)</f>
        <v>4428</v>
      </c>
      <c r="G333" s="20">
        <f>IFERROR(__xludf.DUMMYFUNCTION("""COMPUTED_VALUE"""),1636.0)</f>
        <v>1636</v>
      </c>
      <c r="H333" s="20" t="str">
        <f>IFERROR(__xludf.DUMMYFUNCTION("""COMPUTED_VALUE"""),"Algorithms")</f>
        <v>Algorithms</v>
      </c>
      <c r="I333" s="20">
        <f>IFERROR(__xludf.DUMMYFUNCTION("""COMPUTED_VALUE"""),0.411)</f>
        <v>0.411</v>
      </c>
      <c r="J333" s="20">
        <f>IFERROR(__xludf.DUMMYFUNCTION("""COMPUTED_VALUE"""),332.0)</f>
        <v>332</v>
      </c>
      <c r="K333" s="20" t="b">
        <f>IFERROR(__xludf.DUMMYFUNCTION("""COMPUTED_VALUE"""),FALSE)</f>
        <v>0</v>
      </c>
      <c r="L333" s="20" t="str">
        <f>IFERROR(__xludf.DUMMYFUNCTION("""COMPUTED_VALUE"""),"Depth-First Search;Graph;Eulerian Circuit;")</f>
        <v>Depth-First Search;Graph;Eulerian Circuit;</v>
      </c>
      <c r="M333" s="20" t="b">
        <f>IFERROR(__xludf.DUMMYFUNCTION("""COMPUTED_VALUE"""),TRUE)</f>
        <v>1</v>
      </c>
      <c r="N333" s="20" t="b">
        <f>IFERROR(__xludf.DUMMYFUNCTION("""COMPUTED_VALUE"""),FALSE)</f>
        <v>0</v>
      </c>
      <c r="O333" s="20">
        <f>IFERROR(__xludf.DUMMYFUNCTION("""COMPUTED_VALUE"""),41.0644271513126)</f>
        <v>41.06442715</v>
      </c>
      <c r="P333" s="20">
        <f>IFERROR(__xludf.DUMMYFUNCTION("""COMPUTED_VALUE"""),316507.0)</f>
        <v>316507</v>
      </c>
      <c r="Q333" s="20">
        <f>IFERROR(__xludf.DUMMYFUNCTION("""COMPUTED_VALUE"""),770758.0)</f>
        <v>770758</v>
      </c>
    </row>
    <row r="334">
      <c r="A334" s="20">
        <f>IFERROR(__xludf.DUMMYFUNCTION("""COMPUTED_VALUE"""),333.0)</f>
        <v>333</v>
      </c>
      <c r="B334" s="20" t="str">
        <f>IFERROR(__xludf.DUMMYFUNCTION("""COMPUTED_VALUE"""),"Largest BST Subtree")</f>
        <v>Largest BST Subtree</v>
      </c>
      <c r="C334" s="20" t="str">
        <f>IFERROR(__xludf.DUMMYFUNCTION("""COMPUTED_VALUE"""),"largest-bst-subtree")</f>
        <v>largest-bst-subtree</v>
      </c>
      <c r="D334" s="20" t="b">
        <f>IFERROR(__xludf.DUMMYFUNCTION("""COMPUTED_VALUE"""),TRUE)</f>
        <v>1</v>
      </c>
      <c r="E334" s="20" t="str">
        <f>IFERROR(__xludf.DUMMYFUNCTION("""COMPUTED_VALUE"""),"Medium")</f>
        <v>Medium</v>
      </c>
      <c r="F334" s="20">
        <f>IFERROR(__xludf.DUMMYFUNCTION("""COMPUTED_VALUE"""),1354.0)</f>
        <v>1354</v>
      </c>
      <c r="G334" s="20">
        <f>IFERROR(__xludf.DUMMYFUNCTION("""COMPUTED_VALUE"""),107.0)</f>
        <v>107</v>
      </c>
      <c r="H334" s="20" t="str">
        <f>IFERROR(__xludf.DUMMYFUNCTION("""COMPUTED_VALUE"""),"Algorithms")</f>
        <v>Algorithms</v>
      </c>
      <c r="I334" s="20">
        <f>IFERROR(__xludf.DUMMYFUNCTION("""COMPUTED_VALUE"""),0.426)</f>
        <v>0.426</v>
      </c>
      <c r="J334" s="20">
        <f>IFERROR(__xludf.DUMMYFUNCTION("""COMPUTED_VALUE"""),333.0)</f>
        <v>333</v>
      </c>
      <c r="K334" s="20" t="b">
        <f>IFERROR(__xludf.DUMMYFUNCTION("""COMPUTED_VALUE"""),TRUE)</f>
        <v>1</v>
      </c>
      <c r="L334" s="20" t="str">
        <f>IFERROR(__xludf.DUMMYFUNCTION("""COMPUTED_VALUE"""),"Dynamic Programming;Tree;Depth-First Search;Binary Search Tree;Binary Tree;")</f>
        <v>Dynamic Programming;Tree;Depth-First Search;Binary Search Tree;Binary Tree;</v>
      </c>
      <c r="M334" s="20" t="b">
        <f>IFERROR(__xludf.DUMMYFUNCTION("""COMPUTED_VALUE"""),TRUE)</f>
        <v>1</v>
      </c>
      <c r="N334" s="20" t="b">
        <f>IFERROR(__xludf.DUMMYFUNCTION("""COMPUTED_VALUE"""),FALSE)</f>
        <v>0</v>
      </c>
      <c r="O334" s="20">
        <f>IFERROR(__xludf.DUMMYFUNCTION("""COMPUTED_VALUE"""),42.5961805856313)</f>
        <v>42.59618059</v>
      </c>
      <c r="P334" s="20">
        <f>IFERROR(__xludf.DUMMYFUNCTION("""COMPUTED_VALUE"""),93436.0)</f>
        <v>93436</v>
      </c>
      <c r="Q334" s="20">
        <f>IFERROR(__xludf.DUMMYFUNCTION("""COMPUTED_VALUE"""),219352.0)</f>
        <v>219352</v>
      </c>
    </row>
    <row r="335">
      <c r="A335" s="20">
        <f>IFERROR(__xludf.DUMMYFUNCTION("""COMPUTED_VALUE"""),334.0)</f>
        <v>334</v>
      </c>
      <c r="B335" s="20" t="str">
        <f>IFERROR(__xludf.DUMMYFUNCTION("""COMPUTED_VALUE"""),"Increasing Triplet Subsequence")</f>
        <v>Increasing Triplet Subsequence</v>
      </c>
      <c r="C335" s="20" t="str">
        <f>IFERROR(__xludf.DUMMYFUNCTION("""COMPUTED_VALUE"""),"increasing-triplet-subsequence")</f>
        <v>increasing-triplet-subsequence</v>
      </c>
      <c r="D335" s="20" t="b">
        <f>IFERROR(__xludf.DUMMYFUNCTION("""COMPUTED_VALUE"""),FALSE)</f>
        <v>0</v>
      </c>
      <c r="E335" s="20" t="str">
        <f>IFERROR(__xludf.DUMMYFUNCTION("""COMPUTED_VALUE"""),"Medium")</f>
        <v>Medium</v>
      </c>
      <c r="F335" s="20">
        <f>IFERROR(__xludf.DUMMYFUNCTION("""COMPUTED_VALUE"""),6077.0)</f>
        <v>6077</v>
      </c>
      <c r="G335" s="20">
        <f>IFERROR(__xludf.DUMMYFUNCTION("""COMPUTED_VALUE"""),268.0)</f>
        <v>268</v>
      </c>
      <c r="H335" s="20" t="str">
        <f>IFERROR(__xludf.DUMMYFUNCTION("""COMPUTED_VALUE"""),"Algorithms")</f>
        <v>Algorithms</v>
      </c>
      <c r="I335" s="20">
        <f>IFERROR(__xludf.DUMMYFUNCTION("""COMPUTED_VALUE"""),0.427)</f>
        <v>0.427</v>
      </c>
      <c r="J335" s="20">
        <f>IFERROR(__xludf.DUMMYFUNCTION("""COMPUTED_VALUE"""),334.0)</f>
        <v>334</v>
      </c>
      <c r="K335" s="20" t="b">
        <f>IFERROR(__xludf.DUMMYFUNCTION("""COMPUTED_VALUE"""),FALSE)</f>
        <v>0</v>
      </c>
      <c r="L335" s="20" t="str">
        <f>IFERROR(__xludf.DUMMYFUNCTION("""COMPUTED_VALUE"""),"Array;Greedy;")</f>
        <v>Array;Greedy;</v>
      </c>
      <c r="M335" s="20" t="b">
        <f>IFERROR(__xludf.DUMMYFUNCTION("""COMPUTED_VALUE"""),TRUE)</f>
        <v>1</v>
      </c>
      <c r="N335" s="20" t="b">
        <f>IFERROR(__xludf.DUMMYFUNCTION("""COMPUTED_VALUE"""),FALSE)</f>
        <v>0</v>
      </c>
      <c r="O335" s="20">
        <f>IFERROR(__xludf.DUMMYFUNCTION("""COMPUTED_VALUE"""),42.7414478029901)</f>
        <v>42.7414478</v>
      </c>
      <c r="P335" s="20">
        <f>IFERROR(__xludf.DUMMYFUNCTION("""COMPUTED_VALUE"""),367532.0)</f>
        <v>367532</v>
      </c>
      <c r="Q335" s="20">
        <f>IFERROR(__xludf.DUMMYFUNCTION("""COMPUTED_VALUE"""),859896.0)</f>
        <v>859896</v>
      </c>
    </row>
    <row r="336">
      <c r="A336" s="20">
        <f>IFERROR(__xludf.DUMMYFUNCTION("""COMPUTED_VALUE"""),335.0)</f>
        <v>335</v>
      </c>
      <c r="B336" s="20" t="str">
        <f>IFERROR(__xludf.DUMMYFUNCTION("""COMPUTED_VALUE"""),"Self Crossing")</f>
        <v>Self Crossing</v>
      </c>
      <c r="C336" s="20" t="str">
        <f>IFERROR(__xludf.DUMMYFUNCTION("""COMPUTED_VALUE"""),"self-crossing")</f>
        <v>self-crossing</v>
      </c>
      <c r="D336" s="20" t="b">
        <f>IFERROR(__xludf.DUMMYFUNCTION("""COMPUTED_VALUE"""),FALSE)</f>
        <v>0</v>
      </c>
      <c r="E336" s="20" t="str">
        <f>IFERROR(__xludf.DUMMYFUNCTION("""COMPUTED_VALUE"""),"Hard")</f>
        <v>Hard</v>
      </c>
      <c r="F336" s="20">
        <f>IFERROR(__xludf.DUMMYFUNCTION("""COMPUTED_VALUE"""),298.0)</f>
        <v>298</v>
      </c>
      <c r="G336" s="20">
        <f>IFERROR(__xludf.DUMMYFUNCTION("""COMPUTED_VALUE"""),475.0)</f>
        <v>475</v>
      </c>
      <c r="H336" s="20" t="str">
        <f>IFERROR(__xludf.DUMMYFUNCTION("""COMPUTED_VALUE"""),"Algorithms")</f>
        <v>Algorithms</v>
      </c>
      <c r="I336" s="20">
        <f>IFERROR(__xludf.DUMMYFUNCTION("""COMPUTED_VALUE"""),0.293)</f>
        <v>0.293</v>
      </c>
      <c r="J336" s="20">
        <f>IFERROR(__xludf.DUMMYFUNCTION("""COMPUTED_VALUE"""),335.0)</f>
        <v>335</v>
      </c>
      <c r="K336" s="20" t="b">
        <f>IFERROR(__xludf.DUMMYFUNCTION("""COMPUTED_VALUE"""),FALSE)</f>
        <v>0</v>
      </c>
      <c r="L336" s="20" t="str">
        <f>IFERROR(__xludf.DUMMYFUNCTION("""COMPUTED_VALUE"""),"Array;Math;Geometry;")</f>
        <v>Array;Math;Geometry;</v>
      </c>
      <c r="M336" s="20" t="b">
        <f>IFERROR(__xludf.DUMMYFUNCTION("""COMPUTED_VALUE"""),FALSE)</f>
        <v>0</v>
      </c>
      <c r="N336" s="20" t="b">
        <f>IFERROR(__xludf.DUMMYFUNCTION("""COMPUTED_VALUE"""),FALSE)</f>
        <v>0</v>
      </c>
      <c r="O336" s="20">
        <f>IFERROR(__xludf.DUMMYFUNCTION("""COMPUTED_VALUE"""),29.3340770104181)</f>
        <v>29.33407701</v>
      </c>
      <c r="P336" s="20">
        <f>IFERROR(__xludf.DUMMYFUNCTION("""COMPUTED_VALUE"""),29452.0)</f>
        <v>29452</v>
      </c>
      <c r="Q336" s="20">
        <f>IFERROR(__xludf.DUMMYFUNCTION("""COMPUTED_VALUE"""),100402.0)</f>
        <v>100402</v>
      </c>
    </row>
    <row r="337">
      <c r="A337" s="20">
        <f>IFERROR(__xludf.DUMMYFUNCTION("""COMPUTED_VALUE"""),336.0)</f>
        <v>336</v>
      </c>
      <c r="B337" s="20" t="str">
        <f>IFERROR(__xludf.DUMMYFUNCTION("""COMPUTED_VALUE"""),"Palindrome Pairs")</f>
        <v>Palindrome Pairs</v>
      </c>
      <c r="C337" s="20" t="str">
        <f>IFERROR(__xludf.DUMMYFUNCTION("""COMPUTED_VALUE"""),"palindrome-pairs")</f>
        <v>palindrome-pairs</v>
      </c>
      <c r="D337" s="20" t="b">
        <f>IFERROR(__xludf.DUMMYFUNCTION("""COMPUTED_VALUE"""),FALSE)</f>
        <v>0</v>
      </c>
      <c r="E337" s="20" t="str">
        <f>IFERROR(__xludf.DUMMYFUNCTION("""COMPUTED_VALUE"""),"Hard")</f>
        <v>Hard</v>
      </c>
      <c r="F337" s="20">
        <f>IFERROR(__xludf.DUMMYFUNCTION("""COMPUTED_VALUE"""),4086.0)</f>
        <v>4086</v>
      </c>
      <c r="G337" s="20">
        <f>IFERROR(__xludf.DUMMYFUNCTION("""COMPUTED_VALUE"""),426.0)</f>
        <v>426</v>
      </c>
      <c r="H337" s="20" t="str">
        <f>IFERROR(__xludf.DUMMYFUNCTION("""COMPUTED_VALUE"""),"Algorithms")</f>
        <v>Algorithms</v>
      </c>
      <c r="I337" s="20">
        <f>IFERROR(__xludf.DUMMYFUNCTION("""COMPUTED_VALUE"""),0.351)</f>
        <v>0.351</v>
      </c>
      <c r="J337" s="20">
        <f>IFERROR(__xludf.DUMMYFUNCTION("""COMPUTED_VALUE"""),336.0)</f>
        <v>336</v>
      </c>
      <c r="K337" s="20" t="b">
        <f>IFERROR(__xludf.DUMMYFUNCTION("""COMPUTED_VALUE"""),FALSE)</f>
        <v>0</v>
      </c>
      <c r="L337" s="20" t="str">
        <f>IFERROR(__xludf.DUMMYFUNCTION("""COMPUTED_VALUE"""),"Array;Hash Table;String;Trie;")</f>
        <v>Array;Hash Table;String;Trie;</v>
      </c>
      <c r="M337" s="20" t="b">
        <f>IFERROR(__xludf.DUMMYFUNCTION("""COMPUTED_VALUE"""),TRUE)</f>
        <v>1</v>
      </c>
      <c r="N337" s="20" t="b">
        <f>IFERROR(__xludf.DUMMYFUNCTION("""COMPUTED_VALUE"""),FALSE)</f>
        <v>0</v>
      </c>
      <c r="O337" s="20">
        <f>IFERROR(__xludf.DUMMYFUNCTION("""COMPUTED_VALUE"""),35.0650172665754)</f>
        <v>35.06501727</v>
      </c>
      <c r="P337" s="20">
        <f>IFERROR(__xludf.DUMMYFUNCTION("""COMPUTED_VALUE"""),188357.0)</f>
        <v>188357</v>
      </c>
      <c r="Q337" s="20">
        <f>IFERROR(__xludf.DUMMYFUNCTION("""COMPUTED_VALUE"""),537165.0)</f>
        <v>537165</v>
      </c>
    </row>
    <row r="338">
      <c r="A338" s="20">
        <f>IFERROR(__xludf.DUMMYFUNCTION("""COMPUTED_VALUE"""),337.0)</f>
        <v>337</v>
      </c>
      <c r="B338" s="20" t="str">
        <f>IFERROR(__xludf.DUMMYFUNCTION("""COMPUTED_VALUE"""),"House Robber III")</f>
        <v>House Robber III</v>
      </c>
      <c r="C338" s="20" t="str">
        <f>IFERROR(__xludf.DUMMYFUNCTION("""COMPUTED_VALUE"""),"house-robber-iii")</f>
        <v>house-robber-iii</v>
      </c>
      <c r="D338" s="20" t="b">
        <f>IFERROR(__xludf.DUMMYFUNCTION("""COMPUTED_VALUE"""),FALSE)</f>
        <v>0</v>
      </c>
      <c r="E338" s="20" t="str">
        <f>IFERROR(__xludf.DUMMYFUNCTION("""COMPUTED_VALUE"""),"Medium")</f>
        <v>Medium</v>
      </c>
      <c r="F338" s="20">
        <f>IFERROR(__xludf.DUMMYFUNCTION("""COMPUTED_VALUE"""),7276.0)</f>
        <v>7276</v>
      </c>
      <c r="G338" s="20">
        <f>IFERROR(__xludf.DUMMYFUNCTION("""COMPUTED_VALUE"""),110.0)</f>
        <v>110</v>
      </c>
      <c r="H338" s="20" t="str">
        <f>IFERROR(__xludf.DUMMYFUNCTION("""COMPUTED_VALUE"""),"Algorithms")</f>
        <v>Algorithms</v>
      </c>
      <c r="I338" s="20">
        <f>IFERROR(__xludf.DUMMYFUNCTION("""COMPUTED_VALUE"""),0.539)</f>
        <v>0.539</v>
      </c>
      <c r="J338" s="20">
        <f>IFERROR(__xludf.DUMMYFUNCTION("""COMPUTED_VALUE"""),337.0)</f>
        <v>337</v>
      </c>
      <c r="K338" s="20" t="b">
        <f>IFERROR(__xludf.DUMMYFUNCTION("""COMPUTED_VALUE"""),FALSE)</f>
        <v>0</v>
      </c>
      <c r="L338" s="20" t="str">
        <f>IFERROR(__xludf.DUMMYFUNCTION("""COMPUTED_VALUE"""),"Dynamic Programming;Tree;Depth-First Search;Binary Tree;")</f>
        <v>Dynamic Programming;Tree;Depth-First Search;Binary Tree;</v>
      </c>
      <c r="M338" s="20" t="b">
        <f>IFERROR(__xludf.DUMMYFUNCTION("""COMPUTED_VALUE"""),TRUE)</f>
        <v>1</v>
      </c>
      <c r="N338" s="20" t="b">
        <f>IFERROR(__xludf.DUMMYFUNCTION("""COMPUTED_VALUE"""),FALSE)</f>
        <v>0</v>
      </c>
      <c r="O338" s="20">
        <f>IFERROR(__xludf.DUMMYFUNCTION("""COMPUTED_VALUE"""),53.8899504017891)</f>
        <v>53.8899504</v>
      </c>
      <c r="P338" s="20">
        <f>IFERROR(__xludf.DUMMYFUNCTION("""COMPUTED_VALUE"""),320960.0)</f>
        <v>320960</v>
      </c>
      <c r="Q338" s="20">
        <f>IFERROR(__xludf.DUMMYFUNCTION("""COMPUTED_VALUE"""),595585.0)</f>
        <v>595585</v>
      </c>
    </row>
    <row r="339">
      <c r="A339" s="20">
        <f>IFERROR(__xludf.DUMMYFUNCTION("""COMPUTED_VALUE"""),338.0)</f>
        <v>338</v>
      </c>
      <c r="B339" s="20" t="str">
        <f>IFERROR(__xludf.DUMMYFUNCTION("""COMPUTED_VALUE"""),"Counting Bits")</f>
        <v>Counting Bits</v>
      </c>
      <c r="C339" s="20" t="str">
        <f>IFERROR(__xludf.DUMMYFUNCTION("""COMPUTED_VALUE"""),"counting-bits")</f>
        <v>counting-bits</v>
      </c>
      <c r="D339" s="20" t="b">
        <f>IFERROR(__xludf.DUMMYFUNCTION("""COMPUTED_VALUE"""),FALSE)</f>
        <v>0</v>
      </c>
      <c r="E339" s="20" t="str">
        <f>IFERROR(__xludf.DUMMYFUNCTION("""COMPUTED_VALUE"""),"Easy")</f>
        <v>Easy</v>
      </c>
      <c r="F339" s="20">
        <f>IFERROR(__xludf.DUMMYFUNCTION("""COMPUTED_VALUE"""),8205.0)</f>
        <v>8205</v>
      </c>
      <c r="G339" s="20">
        <f>IFERROR(__xludf.DUMMYFUNCTION("""COMPUTED_VALUE"""),386.0)</f>
        <v>386</v>
      </c>
      <c r="H339" s="20" t="str">
        <f>IFERROR(__xludf.DUMMYFUNCTION("""COMPUTED_VALUE"""),"Algorithms")</f>
        <v>Algorithms</v>
      </c>
      <c r="I339" s="20">
        <f>IFERROR(__xludf.DUMMYFUNCTION("""COMPUTED_VALUE"""),0.754)</f>
        <v>0.754</v>
      </c>
      <c r="J339" s="20">
        <f>IFERROR(__xludf.DUMMYFUNCTION("""COMPUTED_VALUE"""),338.0)</f>
        <v>338</v>
      </c>
      <c r="K339" s="20" t="b">
        <f>IFERROR(__xludf.DUMMYFUNCTION("""COMPUTED_VALUE"""),FALSE)</f>
        <v>0</v>
      </c>
      <c r="L339" s="20" t="str">
        <f>IFERROR(__xludf.DUMMYFUNCTION("""COMPUTED_VALUE"""),"Dynamic Programming;Bit Manipulation;")</f>
        <v>Dynamic Programming;Bit Manipulation;</v>
      </c>
      <c r="M339" s="20" t="b">
        <f>IFERROR(__xludf.DUMMYFUNCTION("""COMPUTED_VALUE"""),TRUE)</f>
        <v>1</v>
      </c>
      <c r="N339" s="20" t="b">
        <f>IFERROR(__xludf.DUMMYFUNCTION("""COMPUTED_VALUE"""),FALSE)</f>
        <v>0</v>
      </c>
      <c r="O339" s="20">
        <f>IFERROR(__xludf.DUMMYFUNCTION("""COMPUTED_VALUE"""),75.3780757578015)</f>
        <v>75.37807576</v>
      </c>
      <c r="P339" s="20">
        <f>IFERROR(__xludf.DUMMYFUNCTION("""COMPUTED_VALUE"""),708068.0)</f>
        <v>708068</v>
      </c>
      <c r="Q339" s="20">
        <f>IFERROR(__xludf.DUMMYFUNCTION("""COMPUTED_VALUE"""),939357.0)</f>
        <v>939357</v>
      </c>
    </row>
    <row r="340">
      <c r="A340" s="20">
        <f>IFERROR(__xludf.DUMMYFUNCTION("""COMPUTED_VALUE"""),339.0)</f>
        <v>339</v>
      </c>
      <c r="B340" s="20" t="str">
        <f>IFERROR(__xludf.DUMMYFUNCTION("""COMPUTED_VALUE"""),"Nested List Weight Sum")</f>
        <v>Nested List Weight Sum</v>
      </c>
      <c r="C340" s="20" t="str">
        <f>IFERROR(__xludf.DUMMYFUNCTION("""COMPUTED_VALUE"""),"nested-list-weight-sum")</f>
        <v>nested-list-weight-sum</v>
      </c>
      <c r="D340" s="20" t="b">
        <f>IFERROR(__xludf.DUMMYFUNCTION("""COMPUTED_VALUE"""),TRUE)</f>
        <v>1</v>
      </c>
      <c r="E340" s="20" t="str">
        <f>IFERROR(__xludf.DUMMYFUNCTION("""COMPUTED_VALUE"""),"Medium")</f>
        <v>Medium</v>
      </c>
      <c r="F340" s="20">
        <f>IFERROR(__xludf.DUMMYFUNCTION("""COMPUTED_VALUE"""),1550.0)</f>
        <v>1550</v>
      </c>
      <c r="G340" s="20">
        <f>IFERROR(__xludf.DUMMYFUNCTION("""COMPUTED_VALUE"""),354.0)</f>
        <v>354</v>
      </c>
      <c r="H340" s="20" t="str">
        <f>IFERROR(__xludf.DUMMYFUNCTION("""COMPUTED_VALUE"""),"Algorithms")</f>
        <v>Algorithms</v>
      </c>
      <c r="I340" s="20">
        <f>IFERROR(__xludf.DUMMYFUNCTION("""COMPUTED_VALUE"""),0.822)</f>
        <v>0.822</v>
      </c>
      <c r="J340" s="20">
        <f>IFERROR(__xludf.DUMMYFUNCTION("""COMPUTED_VALUE"""),339.0)</f>
        <v>339</v>
      </c>
      <c r="K340" s="20" t="b">
        <f>IFERROR(__xludf.DUMMYFUNCTION("""COMPUTED_VALUE"""),TRUE)</f>
        <v>1</v>
      </c>
      <c r="L340" s="20" t="str">
        <f>IFERROR(__xludf.DUMMYFUNCTION("""COMPUTED_VALUE"""),"Depth-First Search;Breadth-First Search;")</f>
        <v>Depth-First Search;Breadth-First Search;</v>
      </c>
      <c r="M340" s="20" t="b">
        <f>IFERROR(__xludf.DUMMYFUNCTION("""COMPUTED_VALUE"""),TRUE)</f>
        <v>1</v>
      </c>
      <c r="N340" s="20" t="b">
        <f>IFERROR(__xludf.DUMMYFUNCTION("""COMPUTED_VALUE"""),TRUE)</f>
        <v>1</v>
      </c>
      <c r="O340" s="20">
        <f>IFERROR(__xludf.DUMMYFUNCTION("""COMPUTED_VALUE"""),82.2291091031289)</f>
        <v>82.2291091</v>
      </c>
      <c r="P340" s="20">
        <f>IFERROR(__xludf.DUMMYFUNCTION("""COMPUTED_VALUE"""),220226.0)</f>
        <v>220226</v>
      </c>
      <c r="Q340" s="20">
        <f>IFERROR(__xludf.DUMMYFUNCTION("""COMPUTED_VALUE"""),267820.0)</f>
        <v>267820</v>
      </c>
    </row>
    <row r="341">
      <c r="A341" s="20">
        <f>IFERROR(__xludf.DUMMYFUNCTION("""COMPUTED_VALUE"""),340.0)</f>
        <v>340</v>
      </c>
      <c r="B341" s="20" t="str">
        <f>IFERROR(__xludf.DUMMYFUNCTION("""COMPUTED_VALUE"""),"Longest Substring with At Most K Distinct Characters")</f>
        <v>Longest Substring with At Most K Distinct Characters</v>
      </c>
      <c r="C341" s="20" t="str">
        <f>IFERROR(__xludf.DUMMYFUNCTION("""COMPUTED_VALUE"""),"longest-substring-with-at-most-k-distinct-characters")</f>
        <v>longest-substring-with-at-most-k-distinct-characters</v>
      </c>
      <c r="D341" s="20" t="b">
        <f>IFERROR(__xludf.DUMMYFUNCTION("""COMPUTED_VALUE"""),TRUE)</f>
        <v>1</v>
      </c>
      <c r="E341" s="20" t="str">
        <f>IFERROR(__xludf.DUMMYFUNCTION("""COMPUTED_VALUE"""),"Medium")</f>
        <v>Medium</v>
      </c>
      <c r="F341" s="20">
        <f>IFERROR(__xludf.DUMMYFUNCTION("""COMPUTED_VALUE"""),2539.0)</f>
        <v>2539</v>
      </c>
      <c r="G341" s="20">
        <f>IFERROR(__xludf.DUMMYFUNCTION("""COMPUTED_VALUE"""),76.0)</f>
        <v>76</v>
      </c>
      <c r="H341" s="20" t="str">
        <f>IFERROR(__xludf.DUMMYFUNCTION("""COMPUTED_VALUE"""),"Algorithms")</f>
        <v>Algorithms</v>
      </c>
      <c r="I341" s="20">
        <f>IFERROR(__xludf.DUMMYFUNCTION("""COMPUTED_VALUE"""),0.479)</f>
        <v>0.479</v>
      </c>
      <c r="J341" s="20">
        <f>IFERROR(__xludf.DUMMYFUNCTION("""COMPUTED_VALUE"""),340.0)</f>
        <v>340</v>
      </c>
      <c r="K341" s="20" t="b">
        <f>IFERROR(__xludf.DUMMYFUNCTION("""COMPUTED_VALUE"""),TRUE)</f>
        <v>1</v>
      </c>
      <c r="L341" s="20" t="str">
        <f>IFERROR(__xludf.DUMMYFUNCTION("""COMPUTED_VALUE"""),"Hash Table;String;Sliding Window;")</f>
        <v>Hash Table;String;Sliding Window;</v>
      </c>
      <c r="M341" s="20" t="b">
        <f>IFERROR(__xludf.DUMMYFUNCTION("""COMPUTED_VALUE"""),TRUE)</f>
        <v>1</v>
      </c>
      <c r="N341" s="20" t="b">
        <f>IFERROR(__xludf.DUMMYFUNCTION("""COMPUTED_VALUE"""),TRUE)</f>
        <v>1</v>
      </c>
      <c r="O341" s="20">
        <f>IFERROR(__xludf.DUMMYFUNCTION("""COMPUTED_VALUE"""),47.8861370583026)</f>
        <v>47.88613706</v>
      </c>
      <c r="P341" s="20">
        <f>IFERROR(__xludf.DUMMYFUNCTION("""COMPUTED_VALUE"""),301743.0)</f>
        <v>301743</v>
      </c>
      <c r="Q341" s="20">
        <f>IFERROR(__xludf.DUMMYFUNCTION("""COMPUTED_VALUE"""),630126.0)</f>
        <v>630126</v>
      </c>
    </row>
    <row r="342">
      <c r="A342" s="20">
        <f>IFERROR(__xludf.DUMMYFUNCTION("""COMPUTED_VALUE"""),341.0)</f>
        <v>341</v>
      </c>
      <c r="B342" s="20" t="str">
        <f>IFERROR(__xludf.DUMMYFUNCTION("""COMPUTED_VALUE"""),"Flatten Nested List Iterator")</f>
        <v>Flatten Nested List Iterator</v>
      </c>
      <c r="C342" s="20" t="str">
        <f>IFERROR(__xludf.DUMMYFUNCTION("""COMPUTED_VALUE"""),"flatten-nested-list-iterator")</f>
        <v>flatten-nested-list-iterator</v>
      </c>
      <c r="D342" s="20" t="b">
        <f>IFERROR(__xludf.DUMMYFUNCTION("""COMPUTED_VALUE"""),FALSE)</f>
        <v>0</v>
      </c>
      <c r="E342" s="20" t="str">
        <f>IFERROR(__xludf.DUMMYFUNCTION("""COMPUTED_VALUE"""),"Medium")</f>
        <v>Medium</v>
      </c>
      <c r="F342" s="20">
        <f>IFERROR(__xludf.DUMMYFUNCTION("""COMPUTED_VALUE"""),4061.0)</f>
        <v>4061</v>
      </c>
      <c r="G342" s="20">
        <f>IFERROR(__xludf.DUMMYFUNCTION("""COMPUTED_VALUE"""),1404.0)</f>
        <v>1404</v>
      </c>
      <c r="H342" s="20" t="str">
        <f>IFERROR(__xludf.DUMMYFUNCTION("""COMPUTED_VALUE"""),"Algorithms")</f>
        <v>Algorithms</v>
      </c>
      <c r="I342" s="20">
        <f>IFERROR(__xludf.DUMMYFUNCTION("""COMPUTED_VALUE"""),0.616)</f>
        <v>0.616</v>
      </c>
      <c r="J342" s="20">
        <f>IFERROR(__xludf.DUMMYFUNCTION("""COMPUTED_VALUE"""),341.0)</f>
        <v>341</v>
      </c>
      <c r="K342" s="20" t="b">
        <f>IFERROR(__xludf.DUMMYFUNCTION("""COMPUTED_VALUE"""),FALSE)</f>
        <v>0</v>
      </c>
      <c r="L342" s="20" t="str">
        <f>IFERROR(__xludf.DUMMYFUNCTION("""COMPUTED_VALUE"""),"Stack;Tree;Depth-First Search;Design;Queue;Iterator;")</f>
        <v>Stack;Tree;Depth-First Search;Design;Queue;Iterator;</v>
      </c>
      <c r="M342" s="20" t="b">
        <f>IFERROR(__xludf.DUMMYFUNCTION("""COMPUTED_VALUE"""),TRUE)</f>
        <v>1</v>
      </c>
      <c r="N342" s="20" t="b">
        <f>IFERROR(__xludf.DUMMYFUNCTION("""COMPUTED_VALUE"""),FALSE)</f>
        <v>0</v>
      </c>
      <c r="O342" s="20">
        <f>IFERROR(__xludf.DUMMYFUNCTION("""COMPUTED_VALUE"""),61.6330804371083)</f>
        <v>61.63308044</v>
      </c>
      <c r="P342" s="20">
        <f>IFERROR(__xludf.DUMMYFUNCTION("""COMPUTED_VALUE"""),351996.0)</f>
        <v>351996</v>
      </c>
      <c r="Q342" s="20">
        <f>IFERROR(__xludf.DUMMYFUNCTION("""COMPUTED_VALUE"""),571116.0)</f>
        <v>571116</v>
      </c>
    </row>
    <row r="343">
      <c r="A343" s="20">
        <f>IFERROR(__xludf.DUMMYFUNCTION("""COMPUTED_VALUE"""),342.0)</f>
        <v>342</v>
      </c>
      <c r="B343" s="20" t="str">
        <f>IFERROR(__xludf.DUMMYFUNCTION("""COMPUTED_VALUE"""),"Power of Four")</f>
        <v>Power of Four</v>
      </c>
      <c r="C343" s="20" t="str">
        <f>IFERROR(__xludf.DUMMYFUNCTION("""COMPUTED_VALUE"""),"power-of-four")</f>
        <v>power-of-four</v>
      </c>
      <c r="D343" s="20" t="b">
        <f>IFERROR(__xludf.DUMMYFUNCTION("""COMPUTED_VALUE"""),FALSE)</f>
        <v>0</v>
      </c>
      <c r="E343" s="20" t="str">
        <f>IFERROR(__xludf.DUMMYFUNCTION("""COMPUTED_VALUE"""),"Easy")</f>
        <v>Easy</v>
      </c>
      <c r="F343" s="20">
        <f>IFERROR(__xludf.DUMMYFUNCTION("""COMPUTED_VALUE"""),2799.0)</f>
        <v>2799</v>
      </c>
      <c r="G343" s="20">
        <f>IFERROR(__xludf.DUMMYFUNCTION("""COMPUTED_VALUE"""),328.0)</f>
        <v>328</v>
      </c>
      <c r="H343" s="20" t="str">
        <f>IFERROR(__xludf.DUMMYFUNCTION("""COMPUTED_VALUE"""),"Algorithms")</f>
        <v>Algorithms</v>
      </c>
      <c r="I343" s="20">
        <f>IFERROR(__xludf.DUMMYFUNCTION("""COMPUTED_VALUE"""),0.458)</f>
        <v>0.458</v>
      </c>
      <c r="J343" s="20">
        <f>IFERROR(__xludf.DUMMYFUNCTION("""COMPUTED_VALUE"""),342.0)</f>
        <v>342</v>
      </c>
      <c r="K343" s="20" t="b">
        <f>IFERROR(__xludf.DUMMYFUNCTION("""COMPUTED_VALUE"""),FALSE)</f>
        <v>0</v>
      </c>
      <c r="L343" s="20" t="str">
        <f>IFERROR(__xludf.DUMMYFUNCTION("""COMPUTED_VALUE"""),"Math;Bit Manipulation;Recursion;")</f>
        <v>Math;Bit Manipulation;Recursion;</v>
      </c>
      <c r="M343" s="20" t="b">
        <f>IFERROR(__xludf.DUMMYFUNCTION("""COMPUTED_VALUE"""),TRUE)</f>
        <v>1</v>
      </c>
      <c r="N343" s="20" t="b">
        <f>IFERROR(__xludf.DUMMYFUNCTION("""COMPUTED_VALUE"""),FALSE)</f>
        <v>0</v>
      </c>
      <c r="O343" s="20">
        <f>IFERROR(__xludf.DUMMYFUNCTION("""COMPUTED_VALUE"""),45.8083308114651)</f>
        <v>45.80833081</v>
      </c>
      <c r="P343" s="20">
        <f>IFERROR(__xludf.DUMMYFUNCTION("""COMPUTED_VALUE"""),423832.0)</f>
        <v>423832</v>
      </c>
      <c r="Q343" s="20">
        <f>IFERROR(__xludf.DUMMYFUNCTION("""COMPUTED_VALUE"""),925229.0)</f>
        <v>925229</v>
      </c>
    </row>
    <row r="344">
      <c r="A344" s="20">
        <f>IFERROR(__xludf.DUMMYFUNCTION("""COMPUTED_VALUE"""),343.0)</f>
        <v>343</v>
      </c>
      <c r="B344" s="20" t="str">
        <f>IFERROR(__xludf.DUMMYFUNCTION("""COMPUTED_VALUE"""),"Integer Break")</f>
        <v>Integer Break</v>
      </c>
      <c r="C344" s="20" t="str">
        <f>IFERROR(__xludf.DUMMYFUNCTION("""COMPUTED_VALUE"""),"integer-break")</f>
        <v>integer-break</v>
      </c>
      <c r="D344" s="20" t="b">
        <f>IFERROR(__xludf.DUMMYFUNCTION("""COMPUTED_VALUE"""),FALSE)</f>
        <v>0</v>
      </c>
      <c r="E344" s="20" t="str">
        <f>IFERROR(__xludf.DUMMYFUNCTION("""COMPUTED_VALUE"""),"Medium")</f>
        <v>Medium</v>
      </c>
      <c r="F344" s="20">
        <f>IFERROR(__xludf.DUMMYFUNCTION("""COMPUTED_VALUE"""),3387.0)</f>
        <v>3387</v>
      </c>
      <c r="G344" s="20">
        <f>IFERROR(__xludf.DUMMYFUNCTION("""COMPUTED_VALUE"""),352.0)</f>
        <v>352</v>
      </c>
      <c r="H344" s="20" t="str">
        <f>IFERROR(__xludf.DUMMYFUNCTION("""COMPUTED_VALUE"""),"Algorithms")</f>
        <v>Algorithms</v>
      </c>
      <c r="I344" s="20">
        <f>IFERROR(__xludf.DUMMYFUNCTION("""COMPUTED_VALUE"""),0.555)</f>
        <v>0.555</v>
      </c>
      <c r="J344" s="20">
        <f>IFERROR(__xludf.DUMMYFUNCTION("""COMPUTED_VALUE"""),343.0)</f>
        <v>343</v>
      </c>
      <c r="K344" s="20" t="b">
        <f>IFERROR(__xludf.DUMMYFUNCTION("""COMPUTED_VALUE"""),FALSE)</f>
        <v>0</v>
      </c>
      <c r="L344" s="20" t="str">
        <f>IFERROR(__xludf.DUMMYFUNCTION("""COMPUTED_VALUE"""),"Math;Dynamic Programming;")</f>
        <v>Math;Dynamic Programming;</v>
      </c>
      <c r="M344" s="20" t="b">
        <f>IFERROR(__xludf.DUMMYFUNCTION("""COMPUTED_VALUE"""),FALSE)</f>
        <v>0</v>
      </c>
      <c r="N344" s="20" t="b">
        <f>IFERROR(__xludf.DUMMYFUNCTION("""COMPUTED_VALUE"""),FALSE)</f>
        <v>0</v>
      </c>
      <c r="O344" s="20">
        <f>IFERROR(__xludf.DUMMYFUNCTION("""COMPUTED_VALUE"""),55.5459639480418)</f>
        <v>55.54596395</v>
      </c>
      <c r="P344" s="20">
        <f>IFERROR(__xludf.DUMMYFUNCTION("""COMPUTED_VALUE"""),217486.0)</f>
        <v>217486</v>
      </c>
      <c r="Q344" s="20">
        <f>IFERROR(__xludf.DUMMYFUNCTION("""COMPUTED_VALUE"""),391542.0)</f>
        <v>391542</v>
      </c>
    </row>
    <row r="345">
      <c r="A345" s="20">
        <f>IFERROR(__xludf.DUMMYFUNCTION("""COMPUTED_VALUE"""),344.0)</f>
        <v>344</v>
      </c>
      <c r="B345" s="20" t="str">
        <f>IFERROR(__xludf.DUMMYFUNCTION("""COMPUTED_VALUE"""),"Reverse String")</f>
        <v>Reverse String</v>
      </c>
      <c r="C345" s="20" t="str">
        <f>IFERROR(__xludf.DUMMYFUNCTION("""COMPUTED_VALUE"""),"reverse-string")</f>
        <v>reverse-string</v>
      </c>
      <c r="D345" s="20" t="b">
        <f>IFERROR(__xludf.DUMMYFUNCTION("""COMPUTED_VALUE"""),FALSE)</f>
        <v>0</v>
      </c>
      <c r="E345" s="20" t="str">
        <f>IFERROR(__xludf.DUMMYFUNCTION("""COMPUTED_VALUE"""),"Easy")</f>
        <v>Easy</v>
      </c>
      <c r="F345" s="20">
        <f>IFERROR(__xludf.DUMMYFUNCTION("""COMPUTED_VALUE"""),6620.0)</f>
        <v>6620</v>
      </c>
      <c r="G345" s="20">
        <f>IFERROR(__xludf.DUMMYFUNCTION("""COMPUTED_VALUE"""),1033.0)</f>
        <v>1033</v>
      </c>
      <c r="H345" s="20" t="str">
        <f>IFERROR(__xludf.DUMMYFUNCTION("""COMPUTED_VALUE"""),"Algorithms")</f>
        <v>Algorithms</v>
      </c>
      <c r="I345" s="20">
        <f>IFERROR(__xludf.DUMMYFUNCTION("""COMPUTED_VALUE"""),0.763)</f>
        <v>0.763</v>
      </c>
      <c r="J345" s="20">
        <f>IFERROR(__xludf.DUMMYFUNCTION("""COMPUTED_VALUE"""),344.0)</f>
        <v>344</v>
      </c>
      <c r="K345" s="20" t="b">
        <f>IFERROR(__xludf.DUMMYFUNCTION("""COMPUTED_VALUE"""),FALSE)</f>
        <v>0</v>
      </c>
      <c r="L345" s="20" t="str">
        <f>IFERROR(__xludf.DUMMYFUNCTION("""COMPUTED_VALUE"""),"Two Pointers;String;")</f>
        <v>Two Pointers;String;</v>
      </c>
      <c r="M345" s="20" t="b">
        <f>IFERROR(__xludf.DUMMYFUNCTION("""COMPUTED_VALUE"""),TRUE)</f>
        <v>1</v>
      </c>
      <c r="N345" s="20" t="b">
        <f>IFERROR(__xludf.DUMMYFUNCTION("""COMPUTED_VALUE"""),TRUE)</f>
        <v>1</v>
      </c>
      <c r="O345" s="20">
        <f>IFERROR(__xludf.DUMMYFUNCTION("""COMPUTED_VALUE"""),76.3470597475835)</f>
        <v>76.34705975</v>
      </c>
      <c r="P345" s="20">
        <f>IFERROR(__xludf.DUMMYFUNCTION("""COMPUTED_VALUE"""),1919721.0)</f>
        <v>1919721</v>
      </c>
      <c r="Q345" s="20">
        <f>IFERROR(__xludf.DUMMYFUNCTION("""COMPUTED_VALUE"""),2514470.0)</f>
        <v>2514470</v>
      </c>
    </row>
    <row r="346">
      <c r="A346" s="20">
        <f>IFERROR(__xludf.DUMMYFUNCTION("""COMPUTED_VALUE"""),345.0)</f>
        <v>345</v>
      </c>
      <c r="B346" s="20" t="str">
        <f>IFERROR(__xludf.DUMMYFUNCTION("""COMPUTED_VALUE"""),"Reverse Vowels of a String")</f>
        <v>Reverse Vowels of a String</v>
      </c>
      <c r="C346" s="20" t="str">
        <f>IFERROR(__xludf.DUMMYFUNCTION("""COMPUTED_VALUE"""),"reverse-vowels-of-a-string")</f>
        <v>reverse-vowels-of-a-string</v>
      </c>
      <c r="D346" s="20" t="b">
        <f>IFERROR(__xludf.DUMMYFUNCTION("""COMPUTED_VALUE"""),FALSE)</f>
        <v>0</v>
      </c>
      <c r="E346" s="20" t="str">
        <f>IFERROR(__xludf.DUMMYFUNCTION("""COMPUTED_VALUE"""),"Easy")</f>
        <v>Easy</v>
      </c>
      <c r="F346" s="20">
        <f>IFERROR(__xludf.DUMMYFUNCTION("""COMPUTED_VALUE"""),3038.0)</f>
        <v>3038</v>
      </c>
      <c r="G346" s="20">
        <f>IFERROR(__xludf.DUMMYFUNCTION("""COMPUTED_VALUE"""),2324.0)</f>
        <v>2324</v>
      </c>
      <c r="H346" s="20" t="str">
        <f>IFERROR(__xludf.DUMMYFUNCTION("""COMPUTED_VALUE"""),"Algorithms")</f>
        <v>Algorithms</v>
      </c>
      <c r="I346" s="20">
        <f>IFERROR(__xludf.DUMMYFUNCTION("""COMPUTED_VALUE"""),0.498)</f>
        <v>0.498</v>
      </c>
      <c r="J346" s="20">
        <f>IFERROR(__xludf.DUMMYFUNCTION("""COMPUTED_VALUE"""),345.0)</f>
        <v>345</v>
      </c>
      <c r="K346" s="20" t="b">
        <f>IFERROR(__xludf.DUMMYFUNCTION("""COMPUTED_VALUE"""),FALSE)</f>
        <v>0</v>
      </c>
      <c r="L346" s="20" t="str">
        <f>IFERROR(__xludf.DUMMYFUNCTION("""COMPUTED_VALUE"""),"Two Pointers;String;")</f>
        <v>Two Pointers;String;</v>
      </c>
      <c r="M346" s="20" t="b">
        <f>IFERROR(__xludf.DUMMYFUNCTION("""COMPUTED_VALUE"""),TRUE)</f>
        <v>1</v>
      </c>
      <c r="N346" s="20" t="b">
        <f>IFERROR(__xludf.DUMMYFUNCTION("""COMPUTED_VALUE"""),FALSE)</f>
        <v>0</v>
      </c>
      <c r="O346" s="20">
        <f>IFERROR(__xludf.DUMMYFUNCTION("""COMPUTED_VALUE"""),49.8294303666102)</f>
        <v>49.82943037</v>
      </c>
      <c r="P346" s="20">
        <f>IFERROR(__xludf.DUMMYFUNCTION("""COMPUTED_VALUE"""),468146.0)</f>
        <v>468146</v>
      </c>
      <c r="Q346" s="20">
        <f>IFERROR(__xludf.DUMMYFUNCTION("""COMPUTED_VALUE"""),939495.0)</f>
        <v>939495</v>
      </c>
    </row>
    <row r="347">
      <c r="A347" s="20">
        <f>IFERROR(__xludf.DUMMYFUNCTION("""COMPUTED_VALUE"""),346.0)</f>
        <v>346</v>
      </c>
      <c r="B347" s="20" t="str">
        <f>IFERROR(__xludf.DUMMYFUNCTION("""COMPUTED_VALUE"""),"Moving Average from Data Stream")</f>
        <v>Moving Average from Data Stream</v>
      </c>
      <c r="C347" s="20" t="str">
        <f>IFERROR(__xludf.DUMMYFUNCTION("""COMPUTED_VALUE"""),"moving-average-from-data-stream")</f>
        <v>moving-average-from-data-stream</v>
      </c>
      <c r="D347" s="20" t="b">
        <f>IFERROR(__xludf.DUMMYFUNCTION("""COMPUTED_VALUE"""),TRUE)</f>
        <v>1</v>
      </c>
      <c r="E347" s="20" t="str">
        <f>IFERROR(__xludf.DUMMYFUNCTION("""COMPUTED_VALUE"""),"Easy")</f>
        <v>Easy</v>
      </c>
      <c r="F347" s="20">
        <f>IFERROR(__xludf.DUMMYFUNCTION("""COMPUTED_VALUE"""),1457.0)</f>
        <v>1457</v>
      </c>
      <c r="G347" s="20">
        <f>IFERROR(__xludf.DUMMYFUNCTION("""COMPUTED_VALUE"""),144.0)</f>
        <v>144</v>
      </c>
      <c r="H347" s="20" t="str">
        <f>IFERROR(__xludf.DUMMYFUNCTION("""COMPUTED_VALUE"""),"Algorithms")</f>
        <v>Algorithms</v>
      </c>
      <c r="I347" s="20">
        <f>IFERROR(__xludf.DUMMYFUNCTION("""COMPUTED_VALUE"""),0.771)</f>
        <v>0.771</v>
      </c>
      <c r="J347" s="20">
        <f>IFERROR(__xludf.DUMMYFUNCTION("""COMPUTED_VALUE"""),346.0)</f>
        <v>346</v>
      </c>
      <c r="K347" s="20" t="b">
        <f>IFERROR(__xludf.DUMMYFUNCTION("""COMPUTED_VALUE"""),TRUE)</f>
        <v>1</v>
      </c>
      <c r="L347" s="20" t="str">
        <f>IFERROR(__xludf.DUMMYFUNCTION("""COMPUTED_VALUE"""),"Array;Design;Queue;Data Stream;")</f>
        <v>Array;Design;Queue;Data Stream;</v>
      </c>
      <c r="M347" s="20" t="b">
        <f>IFERROR(__xludf.DUMMYFUNCTION("""COMPUTED_VALUE"""),TRUE)</f>
        <v>1</v>
      </c>
      <c r="N347" s="20" t="b">
        <f>IFERROR(__xludf.DUMMYFUNCTION("""COMPUTED_VALUE"""),TRUE)</f>
        <v>1</v>
      </c>
      <c r="O347" s="20">
        <f>IFERROR(__xludf.DUMMYFUNCTION("""COMPUTED_VALUE"""),77.084337474281)</f>
        <v>77.08433747</v>
      </c>
      <c r="P347" s="20">
        <f>IFERROR(__xludf.DUMMYFUNCTION("""COMPUTED_VALUE"""),297469.0)</f>
        <v>297469</v>
      </c>
      <c r="Q347" s="20">
        <f>IFERROR(__xludf.DUMMYFUNCTION("""COMPUTED_VALUE"""),385900.0)</f>
        <v>385900</v>
      </c>
    </row>
    <row r="348">
      <c r="A348" s="20">
        <f>IFERROR(__xludf.DUMMYFUNCTION("""COMPUTED_VALUE"""),347.0)</f>
        <v>347</v>
      </c>
      <c r="B348" s="20" t="str">
        <f>IFERROR(__xludf.DUMMYFUNCTION("""COMPUTED_VALUE"""),"Top K Frequent Elements")</f>
        <v>Top K Frequent Elements</v>
      </c>
      <c r="C348" s="20" t="str">
        <f>IFERROR(__xludf.DUMMYFUNCTION("""COMPUTED_VALUE"""),"top-k-frequent-elements")</f>
        <v>top-k-frequent-elements</v>
      </c>
      <c r="D348" s="20" t="b">
        <f>IFERROR(__xludf.DUMMYFUNCTION("""COMPUTED_VALUE"""),FALSE)</f>
        <v>0</v>
      </c>
      <c r="E348" s="20" t="str">
        <f>IFERROR(__xludf.DUMMYFUNCTION("""COMPUTED_VALUE"""),"Medium")</f>
        <v>Medium</v>
      </c>
      <c r="F348" s="20">
        <f>IFERROR(__xludf.DUMMYFUNCTION("""COMPUTED_VALUE"""),12152.0)</f>
        <v>12152</v>
      </c>
      <c r="G348" s="20">
        <f>IFERROR(__xludf.DUMMYFUNCTION("""COMPUTED_VALUE"""),448.0)</f>
        <v>448</v>
      </c>
      <c r="H348" s="20" t="str">
        <f>IFERROR(__xludf.DUMMYFUNCTION("""COMPUTED_VALUE"""),"Algorithms")</f>
        <v>Algorithms</v>
      </c>
      <c r="I348" s="20">
        <f>IFERROR(__xludf.DUMMYFUNCTION("""COMPUTED_VALUE"""),0.647)</f>
        <v>0.647</v>
      </c>
      <c r="J348" s="20">
        <f>IFERROR(__xludf.DUMMYFUNCTION("""COMPUTED_VALUE"""),347.0)</f>
        <v>347</v>
      </c>
      <c r="K348" s="20" t="b">
        <f>IFERROR(__xludf.DUMMYFUNCTION("""COMPUTED_VALUE"""),FALSE)</f>
        <v>0</v>
      </c>
      <c r="L348" s="20" t="str">
        <f>IFERROR(__xludf.DUMMYFUNCTION("""COMPUTED_VALUE"""),"Array;Hash Table;Divide and Conquer;Sorting;Heap (Priority Queue);Bucket Sort;Counting;Quickselect;")</f>
        <v>Array;Hash Table;Divide and Conquer;Sorting;Heap (Priority Queue);Bucket Sort;Counting;Quickselect;</v>
      </c>
      <c r="M348" s="20" t="b">
        <f>IFERROR(__xludf.DUMMYFUNCTION("""COMPUTED_VALUE"""),TRUE)</f>
        <v>1</v>
      </c>
      <c r="N348" s="20" t="b">
        <f>IFERROR(__xludf.DUMMYFUNCTION("""COMPUTED_VALUE"""),TRUE)</f>
        <v>1</v>
      </c>
      <c r="O348" s="20">
        <f>IFERROR(__xludf.DUMMYFUNCTION("""COMPUTED_VALUE"""),64.685899258277)</f>
        <v>64.68589926</v>
      </c>
      <c r="P348" s="20">
        <f>IFERROR(__xludf.DUMMYFUNCTION("""COMPUTED_VALUE"""),1260516.0)</f>
        <v>1260516</v>
      </c>
      <c r="Q348" s="20">
        <f>IFERROR(__xludf.DUMMYFUNCTION("""COMPUTED_VALUE"""),1948678.0)</f>
        <v>1948678</v>
      </c>
    </row>
    <row r="349">
      <c r="A349" s="20">
        <f>IFERROR(__xludf.DUMMYFUNCTION("""COMPUTED_VALUE"""),348.0)</f>
        <v>348</v>
      </c>
      <c r="B349" s="20" t="str">
        <f>IFERROR(__xludf.DUMMYFUNCTION("""COMPUTED_VALUE"""),"Design Tic-Tac-Toe")</f>
        <v>Design Tic-Tac-Toe</v>
      </c>
      <c r="C349" s="20" t="str">
        <f>IFERROR(__xludf.DUMMYFUNCTION("""COMPUTED_VALUE"""),"design-tic-tac-toe")</f>
        <v>design-tic-tac-toe</v>
      </c>
      <c r="D349" s="20" t="b">
        <f>IFERROR(__xludf.DUMMYFUNCTION("""COMPUTED_VALUE"""),TRUE)</f>
        <v>1</v>
      </c>
      <c r="E349" s="20" t="str">
        <f>IFERROR(__xludf.DUMMYFUNCTION("""COMPUTED_VALUE"""),"Medium")</f>
        <v>Medium</v>
      </c>
      <c r="F349" s="20">
        <f>IFERROR(__xludf.DUMMYFUNCTION("""COMPUTED_VALUE"""),1863.0)</f>
        <v>1863</v>
      </c>
      <c r="G349" s="20">
        <f>IFERROR(__xludf.DUMMYFUNCTION("""COMPUTED_VALUE"""),110.0)</f>
        <v>110</v>
      </c>
      <c r="H349" s="20" t="str">
        <f>IFERROR(__xludf.DUMMYFUNCTION("""COMPUTED_VALUE"""),"Algorithms")</f>
        <v>Algorithms</v>
      </c>
      <c r="I349" s="20">
        <f>IFERROR(__xludf.DUMMYFUNCTION("""COMPUTED_VALUE"""),0.576)</f>
        <v>0.576</v>
      </c>
      <c r="J349" s="20">
        <f>IFERROR(__xludf.DUMMYFUNCTION("""COMPUTED_VALUE"""),348.0)</f>
        <v>348</v>
      </c>
      <c r="K349" s="20" t="b">
        <f>IFERROR(__xludf.DUMMYFUNCTION("""COMPUTED_VALUE"""),TRUE)</f>
        <v>1</v>
      </c>
      <c r="L349" s="20" t="str">
        <f>IFERROR(__xludf.DUMMYFUNCTION("""COMPUTED_VALUE"""),"Array;Hash Table;Design;Matrix;")</f>
        <v>Array;Hash Table;Design;Matrix;</v>
      </c>
      <c r="M349" s="20" t="b">
        <f>IFERROR(__xludf.DUMMYFUNCTION("""COMPUTED_VALUE"""),TRUE)</f>
        <v>1</v>
      </c>
      <c r="N349" s="20" t="b">
        <f>IFERROR(__xludf.DUMMYFUNCTION("""COMPUTED_VALUE"""),FALSE)</f>
        <v>0</v>
      </c>
      <c r="O349" s="20">
        <f>IFERROR(__xludf.DUMMYFUNCTION("""COMPUTED_VALUE"""),57.5663833784232)</f>
        <v>57.56638338</v>
      </c>
      <c r="P349" s="20">
        <f>IFERROR(__xludf.DUMMYFUNCTION("""COMPUTED_VALUE"""),204698.0)</f>
        <v>204698</v>
      </c>
      <c r="Q349" s="20">
        <f>IFERROR(__xludf.DUMMYFUNCTION("""COMPUTED_VALUE"""),355586.0)</f>
        <v>355586</v>
      </c>
    </row>
    <row r="350">
      <c r="A350" s="20">
        <f>IFERROR(__xludf.DUMMYFUNCTION("""COMPUTED_VALUE"""),349.0)</f>
        <v>349</v>
      </c>
      <c r="B350" s="20" t="str">
        <f>IFERROR(__xludf.DUMMYFUNCTION("""COMPUTED_VALUE"""),"Intersection of Two Arrays")</f>
        <v>Intersection of Two Arrays</v>
      </c>
      <c r="C350" s="20" t="str">
        <f>IFERROR(__xludf.DUMMYFUNCTION("""COMPUTED_VALUE"""),"intersection-of-two-arrays")</f>
        <v>intersection-of-two-arrays</v>
      </c>
      <c r="D350" s="20" t="b">
        <f>IFERROR(__xludf.DUMMYFUNCTION("""COMPUTED_VALUE"""),FALSE)</f>
        <v>0</v>
      </c>
      <c r="E350" s="20" t="str">
        <f>IFERROR(__xludf.DUMMYFUNCTION("""COMPUTED_VALUE"""),"Easy")</f>
        <v>Easy</v>
      </c>
      <c r="F350" s="20">
        <f>IFERROR(__xludf.DUMMYFUNCTION("""COMPUTED_VALUE"""),4065.0)</f>
        <v>4065</v>
      </c>
      <c r="G350" s="20">
        <f>IFERROR(__xludf.DUMMYFUNCTION("""COMPUTED_VALUE"""),2047.0)</f>
        <v>2047</v>
      </c>
      <c r="H350" s="20" t="str">
        <f>IFERROR(__xludf.DUMMYFUNCTION("""COMPUTED_VALUE"""),"Algorithms")</f>
        <v>Algorithms</v>
      </c>
      <c r="I350" s="20">
        <f>IFERROR(__xludf.DUMMYFUNCTION("""COMPUTED_VALUE"""),0.705)</f>
        <v>0.705</v>
      </c>
      <c r="J350" s="20">
        <f>IFERROR(__xludf.DUMMYFUNCTION("""COMPUTED_VALUE"""),349.0)</f>
        <v>349</v>
      </c>
      <c r="K350" s="20" t="b">
        <f>IFERROR(__xludf.DUMMYFUNCTION("""COMPUTED_VALUE"""),FALSE)</f>
        <v>0</v>
      </c>
      <c r="L350" s="20" t="str">
        <f>IFERROR(__xludf.DUMMYFUNCTION("""COMPUTED_VALUE"""),"Array;Hash Table;Two Pointers;Binary Search;Sorting;")</f>
        <v>Array;Hash Table;Two Pointers;Binary Search;Sorting;</v>
      </c>
      <c r="M350" s="20" t="b">
        <f>IFERROR(__xludf.DUMMYFUNCTION("""COMPUTED_VALUE"""),TRUE)</f>
        <v>1</v>
      </c>
      <c r="N350" s="20" t="b">
        <f>IFERROR(__xludf.DUMMYFUNCTION("""COMPUTED_VALUE"""),FALSE)</f>
        <v>0</v>
      </c>
      <c r="O350" s="20">
        <f>IFERROR(__xludf.DUMMYFUNCTION("""COMPUTED_VALUE"""),70.4776465162766)</f>
        <v>70.47764652</v>
      </c>
      <c r="P350" s="20">
        <f>IFERROR(__xludf.DUMMYFUNCTION("""COMPUTED_VALUE"""),785515.0)</f>
        <v>785515</v>
      </c>
      <c r="Q350" s="20">
        <f>IFERROR(__xludf.DUMMYFUNCTION("""COMPUTED_VALUE"""),1114561.0)</f>
        <v>1114561</v>
      </c>
    </row>
    <row r="351">
      <c r="A351" s="20">
        <f>IFERROR(__xludf.DUMMYFUNCTION("""COMPUTED_VALUE"""),350.0)</f>
        <v>350</v>
      </c>
      <c r="B351" s="20" t="str">
        <f>IFERROR(__xludf.DUMMYFUNCTION("""COMPUTED_VALUE"""),"Intersection of Two Arrays II")</f>
        <v>Intersection of Two Arrays II</v>
      </c>
      <c r="C351" s="20" t="str">
        <f>IFERROR(__xludf.DUMMYFUNCTION("""COMPUTED_VALUE"""),"intersection-of-two-arrays-ii")</f>
        <v>intersection-of-two-arrays-ii</v>
      </c>
      <c r="D351" s="20" t="b">
        <f>IFERROR(__xludf.DUMMYFUNCTION("""COMPUTED_VALUE"""),FALSE)</f>
        <v>0</v>
      </c>
      <c r="E351" s="20" t="str">
        <f>IFERROR(__xludf.DUMMYFUNCTION("""COMPUTED_VALUE"""),"Easy")</f>
        <v>Easy</v>
      </c>
      <c r="F351" s="20">
        <f>IFERROR(__xludf.DUMMYFUNCTION("""COMPUTED_VALUE"""),5798.0)</f>
        <v>5798</v>
      </c>
      <c r="G351" s="20">
        <f>IFERROR(__xludf.DUMMYFUNCTION("""COMPUTED_VALUE"""),807.0)</f>
        <v>807</v>
      </c>
      <c r="H351" s="20" t="str">
        <f>IFERROR(__xludf.DUMMYFUNCTION("""COMPUTED_VALUE"""),"Algorithms")</f>
        <v>Algorithms</v>
      </c>
      <c r="I351" s="20">
        <f>IFERROR(__xludf.DUMMYFUNCTION("""COMPUTED_VALUE"""),0.557)</f>
        <v>0.557</v>
      </c>
      <c r="J351" s="20">
        <f>IFERROR(__xludf.DUMMYFUNCTION("""COMPUTED_VALUE"""),350.0)</f>
        <v>350</v>
      </c>
      <c r="K351" s="20" t="b">
        <f>IFERROR(__xludf.DUMMYFUNCTION("""COMPUTED_VALUE"""),FALSE)</f>
        <v>0</v>
      </c>
      <c r="L351" s="20" t="str">
        <f>IFERROR(__xludf.DUMMYFUNCTION("""COMPUTED_VALUE"""),"Array;Hash Table;Two Pointers;Binary Search;Sorting;")</f>
        <v>Array;Hash Table;Two Pointers;Binary Search;Sorting;</v>
      </c>
      <c r="M351" s="20" t="b">
        <f>IFERROR(__xludf.DUMMYFUNCTION("""COMPUTED_VALUE"""),TRUE)</f>
        <v>1</v>
      </c>
      <c r="N351" s="20" t="b">
        <f>IFERROR(__xludf.DUMMYFUNCTION("""COMPUTED_VALUE"""),FALSE)</f>
        <v>0</v>
      </c>
      <c r="O351" s="20">
        <f>IFERROR(__xludf.DUMMYFUNCTION("""COMPUTED_VALUE"""),55.694991703944)</f>
        <v>55.6949917</v>
      </c>
      <c r="P351" s="20">
        <f>IFERROR(__xludf.DUMMYFUNCTION("""COMPUTED_VALUE"""),971766.0)</f>
        <v>971766</v>
      </c>
      <c r="Q351" s="20">
        <f>IFERROR(__xludf.DUMMYFUNCTION("""COMPUTED_VALUE"""),1744799.0)</f>
        <v>1744799</v>
      </c>
    </row>
    <row r="352">
      <c r="A352" s="20">
        <f>IFERROR(__xludf.DUMMYFUNCTION("""COMPUTED_VALUE"""),351.0)</f>
        <v>351</v>
      </c>
      <c r="B352" s="20" t="str">
        <f>IFERROR(__xludf.DUMMYFUNCTION("""COMPUTED_VALUE"""),"Android Unlock Patterns")</f>
        <v>Android Unlock Patterns</v>
      </c>
      <c r="C352" s="20" t="str">
        <f>IFERROR(__xludf.DUMMYFUNCTION("""COMPUTED_VALUE"""),"android-unlock-patterns")</f>
        <v>android-unlock-patterns</v>
      </c>
      <c r="D352" s="20" t="b">
        <f>IFERROR(__xludf.DUMMYFUNCTION("""COMPUTED_VALUE"""),TRUE)</f>
        <v>1</v>
      </c>
      <c r="E352" s="20" t="str">
        <f>IFERROR(__xludf.DUMMYFUNCTION("""COMPUTED_VALUE"""),"Medium")</f>
        <v>Medium</v>
      </c>
      <c r="F352" s="20">
        <f>IFERROR(__xludf.DUMMYFUNCTION("""COMPUTED_VALUE"""),130.0)</f>
        <v>130</v>
      </c>
      <c r="G352" s="20">
        <f>IFERROR(__xludf.DUMMYFUNCTION("""COMPUTED_VALUE"""),141.0)</f>
        <v>141</v>
      </c>
      <c r="H352" s="20" t="str">
        <f>IFERROR(__xludf.DUMMYFUNCTION("""COMPUTED_VALUE"""),"Algorithms")</f>
        <v>Algorithms</v>
      </c>
      <c r="I352" s="20">
        <f>IFERROR(__xludf.DUMMYFUNCTION("""COMPUTED_VALUE"""),0.514)</f>
        <v>0.514</v>
      </c>
      <c r="J352" s="20">
        <f>IFERROR(__xludf.DUMMYFUNCTION("""COMPUTED_VALUE"""),351.0)</f>
        <v>351</v>
      </c>
      <c r="K352" s="20" t="b">
        <f>IFERROR(__xludf.DUMMYFUNCTION("""COMPUTED_VALUE"""),TRUE)</f>
        <v>1</v>
      </c>
      <c r="L352" s="20" t="str">
        <f>IFERROR(__xludf.DUMMYFUNCTION("""COMPUTED_VALUE"""),"Dynamic Programming;Backtracking;")</f>
        <v>Dynamic Programming;Backtracking;</v>
      </c>
      <c r="M352" s="20" t="b">
        <f>IFERROR(__xludf.DUMMYFUNCTION("""COMPUTED_VALUE"""),FALSE)</f>
        <v>0</v>
      </c>
      <c r="N352" s="20" t="b">
        <f>IFERROR(__xludf.DUMMYFUNCTION("""COMPUTED_VALUE"""),FALSE)</f>
        <v>0</v>
      </c>
      <c r="O352" s="20">
        <f>IFERROR(__xludf.DUMMYFUNCTION("""COMPUTED_VALUE"""),51.4000120886095)</f>
        <v>51.40001209</v>
      </c>
      <c r="P352" s="20">
        <f>IFERROR(__xludf.DUMMYFUNCTION("""COMPUTED_VALUE"""),68031.0)</f>
        <v>68031</v>
      </c>
      <c r="Q352" s="20">
        <f>IFERROR(__xludf.DUMMYFUNCTION("""COMPUTED_VALUE"""),132356.0)</f>
        <v>132356</v>
      </c>
    </row>
    <row r="353">
      <c r="A353" s="20">
        <f>IFERROR(__xludf.DUMMYFUNCTION("""COMPUTED_VALUE"""),352.0)</f>
        <v>352</v>
      </c>
      <c r="B353" s="20" t="str">
        <f>IFERROR(__xludf.DUMMYFUNCTION("""COMPUTED_VALUE"""),"Data Stream as Disjoint Intervals")</f>
        <v>Data Stream as Disjoint Intervals</v>
      </c>
      <c r="C353" s="20" t="str">
        <f>IFERROR(__xludf.DUMMYFUNCTION("""COMPUTED_VALUE"""),"data-stream-as-disjoint-intervals")</f>
        <v>data-stream-as-disjoint-intervals</v>
      </c>
      <c r="D353" s="20" t="b">
        <f>IFERROR(__xludf.DUMMYFUNCTION("""COMPUTED_VALUE"""),FALSE)</f>
        <v>0</v>
      </c>
      <c r="E353" s="20" t="str">
        <f>IFERROR(__xludf.DUMMYFUNCTION("""COMPUTED_VALUE"""),"Hard")</f>
        <v>Hard</v>
      </c>
      <c r="F353" s="20">
        <f>IFERROR(__xludf.DUMMYFUNCTION("""COMPUTED_VALUE"""),734.0)</f>
        <v>734</v>
      </c>
      <c r="G353" s="20">
        <f>IFERROR(__xludf.DUMMYFUNCTION("""COMPUTED_VALUE"""),167.0)</f>
        <v>167</v>
      </c>
      <c r="H353" s="20" t="str">
        <f>IFERROR(__xludf.DUMMYFUNCTION("""COMPUTED_VALUE"""),"Algorithms")</f>
        <v>Algorithms</v>
      </c>
      <c r="I353" s="20">
        <f>IFERROR(__xludf.DUMMYFUNCTION("""COMPUTED_VALUE"""),0.517)</f>
        <v>0.517</v>
      </c>
      <c r="J353" s="20">
        <f>IFERROR(__xludf.DUMMYFUNCTION("""COMPUTED_VALUE"""),352.0)</f>
        <v>352</v>
      </c>
      <c r="K353" s="20" t="b">
        <f>IFERROR(__xludf.DUMMYFUNCTION("""COMPUTED_VALUE"""),FALSE)</f>
        <v>0</v>
      </c>
      <c r="L353" s="20" t="str">
        <f>IFERROR(__xludf.DUMMYFUNCTION("""COMPUTED_VALUE"""),"Binary Search;Design;Ordered Set;")</f>
        <v>Binary Search;Design;Ordered Set;</v>
      </c>
      <c r="M353" s="20" t="b">
        <f>IFERROR(__xludf.DUMMYFUNCTION("""COMPUTED_VALUE"""),TRUE)</f>
        <v>1</v>
      </c>
      <c r="N353" s="20" t="b">
        <f>IFERROR(__xludf.DUMMYFUNCTION("""COMPUTED_VALUE"""),FALSE)</f>
        <v>0</v>
      </c>
      <c r="O353" s="20">
        <f>IFERROR(__xludf.DUMMYFUNCTION("""COMPUTED_VALUE"""),51.6708395310377)</f>
        <v>51.67083953</v>
      </c>
      <c r="P353" s="20">
        <f>IFERROR(__xludf.DUMMYFUNCTION("""COMPUTED_VALUE"""),55928.0)</f>
        <v>55928</v>
      </c>
      <c r="Q353" s="20">
        <f>IFERROR(__xludf.DUMMYFUNCTION("""COMPUTED_VALUE"""),108239.0)</f>
        <v>108239</v>
      </c>
    </row>
    <row r="354">
      <c r="A354" s="20">
        <f>IFERROR(__xludf.DUMMYFUNCTION("""COMPUTED_VALUE"""),353.0)</f>
        <v>353</v>
      </c>
      <c r="B354" s="20" t="str">
        <f>IFERROR(__xludf.DUMMYFUNCTION("""COMPUTED_VALUE"""),"Design Snake Game")</f>
        <v>Design Snake Game</v>
      </c>
      <c r="C354" s="20" t="str">
        <f>IFERROR(__xludf.DUMMYFUNCTION("""COMPUTED_VALUE"""),"design-snake-game")</f>
        <v>design-snake-game</v>
      </c>
      <c r="D354" s="20" t="b">
        <f>IFERROR(__xludf.DUMMYFUNCTION("""COMPUTED_VALUE"""),TRUE)</f>
        <v>1</v>
      </c>
      <c r="E354" s="20" t="str">
        <f>IFERROR(__xludf.DUMMYFUNCTION("""COMPUTED_VALUE"""),"Medium")</f>
        <v>Medium</v>
      </c>
      <c r="F354" s="20">
        <f>IFERROR(__xludf.DUMMYFUNCTION("""COMPUTED_VALUE"""),824.0)</f>
        <v>824</v>
      </c>
      <c r="G354" s="20">
        <f>IFERROR(__xludf.DUMMYFUNCTION("""COMPUTED_VALUE"""),287.0)</f>
        <v>287</v>
      </c>
      <c r="H354" s="20" t="str">
        <f>IFERROR(__xludf.DUMMYFUNCTION("""COMPUTED_VALUE"""),"Algorithms")</f>
        <v>Algorithms</v>
      </c>
      <c r="I354" s="20">
        <f>IFERROR(__xludf.DUMMYFUNCTION("""COMPUTED_VALUE"""),0.391)</f>
        <v>0.391</v>
      </c>
      <c r="J354" s="20">
        <f>IFERROR(__xludf.DUMMYFUNCTION("""COMPUTED_VALUE"""),353.0)</f>
        <v>353</v>
      </c>
      <c r="K354" s="20" t="b">
        <f>IFERROR(__xludf.DUMMYFUNCTION("""COMPUTED_VALUE"""),TRUE)</f>
        <v>1</v>
      </c>
      <c r="L354" s="20" t="str">
        <f>IFERROR(__xludf.DUMMYFUNCTION("""COMPUTED_VALUE"""),"Array;Design;Queue;Matrix;")</f>
        <v>Array;Design;Queue;Matrix;</v>
      </c>
      <c r="M354" s="20" t="b">
        <f>IFERROR(__xludf.DUMMYFUNCTION("""COMPUTED_VALUE"""),TRUE)</f>
        <v>1</v>
      </c>
      <c r="N354" s="20" t="b">
        <f>IFERROR(__xludf.DUMMYFUNCTION("""COMPUTED_VALUE"""),FALSE)</f>
        <v>0</v>
      </c>
      <c r="O354" s="20">
        <f>IFERROR(__xludf.DUMMYFUNCTION("""COMPUTED_VALUE"""),39.1453077869335)</f>
        <v>39.14530779</v>
      </c>
      <c r="P354" s="20">
        <f>IFERROR(__xludf.DUMMYFUNCTION("""COMPUTED_VALUE"""),69690.0)</f>
        <v>69690</v>
      </c>
      <c r="Q354" s="20">
        <f>IFERROR(__xludf.DUMMYFUNCTION("""COMPUTED_VALUE"""),178029.0)</f>
        <v>178029</v>
      </c>
    </row>
    <row r="355">
      <c r="A355" s="20">
        <f>IFERROR(__xludf.DUMMYFUNCTION("""COMPUTED_VALUE"""),354.0)</f>
        <v>354</v>
      </c>
      <c r="B355" s="20" t="str">
        <f>IFERROR(__xludf.DUMMYFUNCTION("""COMPUTED_VALUE"""),"Russian Doll Envelopes")</f>
        <v>Russian Doll Envelopes</v>
      </c>
      <c r="C355" s="20" t="str">
        <f>IFERROR(__xludf.DUMMYFUNCTION("""COMPUTED_VALUE"""),"russian-doll-envelopes")</f>
        <v>russian-doll-envelopes</v>
      </c>
      <c r="D355" s="20" t="b">
        <f>IFERROR(__xludf.DUMMYFUNCTION("""COMPUTED_VALUE"""),FALSE)</f>
        <v>0</v>
      </c>
      <c r="E355" s="20" t="str">
        <f>IFERROR(__xludf.DUMMYFUNCTION("""COMPUTED_VALUE"""),"Hard")</f>
        <v>Hard</v>
      </c>
      <c r="F355" s="20">
        <f>IFERROR(__xludf.DUMMYFUNCTION("""COMPUTED_VALUE"""),4807.0)</f>
        <v>4807</v>
      </c>
      <c r="G355" s="20">
        <f>IFERROR(__xludf.DUMMYFUNCTION("""COMPUTED_VALUE"""),115.0)</f>
        <v>115</v>
      </c>
      <c r="H355" s="20" t="str">
        <f>IFERROR(__xludf.DUMMYFUNCTION("""COMPUTED_VALUE"""),"Algorithms")</f>
        <v>Algorithms</v>
      </c>
      <c r="I355" s="20">
        <f>IFERROR(__xludf.DUMMYFUNCTION("""COMPUTED_VALUE"""),0.382)</f>
        <v>0.382</v>
      </c>
      <c r="J355" s="20">
        <f>IFERROR(__xludf.DUMMYFUNCTION("""COMPUTED_VALUE"""),354.0)</f>
        <v>354</v>
      </c>
      <c r="K355" s="20" t="b">
        <f>IFERROR(__xludf.DUMMYFUNCTION("""COMPUTED_VALUE"""),FALSE)</f>
        <v>0</v>
      </c>
      <c r="L355" s="20" t="str">
        <f>IFERROR(__xludf.DUMMYFUNCTION("""COMPUTED_VALUE"""),"Array;Binary Search;Dynamic Programming;Sorting;")</f>
        <v>Array;Binary Search;Dynamic Programming;Sorting;</v>
      </c>
      <c r="M355" s="20" t="b">
        <f>IFERROR(__xludf.DUMMYFUNCTION("""COMPUTED_VALUE"""),TRUE)</f>
        <v>1</v>
      </c>
      <c r="N355" s="20" t="b">
        <f>IFERROR(__xludf.DUMMYFUNCTION("""COMPUTED_VALUE"""),FALSE)</f>
        <v>0</v>
      </c>
      <c r="O355" s="20">
        <f>IFERROR(__xludf.DUMMYFUNCTION("""COMPUTED_VALUE"""),38.1965046262299)</f>
        <v>38.19650463</v>
      </c>
      <c r="P355" s="20">
        <f>IFERROR(__xludf.DUMMYFUNCTION("""COMPUTED_VALUE"""),182056.0)</f>
        <v>182056</v>
      </c>
      <c r="Q355" s="20">
        <f>IFERROR(__xludf.DUMMYFUNCTION("""COMPUTED_VALUE"""),476630.0)</f>
        <v>476630</v>
      </c>
    </row>
    <row r="356">
      <c r="A356" s="20">
        <f>IFERROR(__xludf.DUMMYFUNCTION("""COMPUTED_VALUE"""),355.0)</f>
        <v>355</v>
      </c>
      <c r="B356" s="20" t="str">
        <f>IFERROR(__xludf.DUMMYFUNCTION("""COMPUTED_VALUE"""),"Design Twitter")</f>
        <v>Design Twitter</v>
      </c>
      <c r="C356" s="20" t="str">
        <f>IFERROR(__xludf.DUMMYFUNCTION("""COMPUTED_VALUE"""),"design-twitter")</f>
        <v>design-twitter</v>
      </c>
      <c r="D356" s="20" t="b">
        <f>IFERROR(__xludf.DUMMYFUNCTION("""COMPUTED_VALUE"""),FALSE)</f>
        <v>0</v>
      </c>
      <c r="E356" s="20" t="str">
        <f>IFERROR(__xludf.DUMMYFUNCTION("""COMPUTED_VALUE"""),"Medium")</f>
        <v>Medium</v>
      </c>
      <c r="F356" s="20">
        <f>IFERROR(__xludf.DUMMYFUNCTION("""COMPUTED_VALUE"""),2722.0)</f>
        <v>2722</v>
      </c>
      <c r="G356" s="20">
        <f>IFERROR(__xludf.DUMMYFUNCTION("""COMPUTED_VALUE"""),351.0)</f>
        <v>351</v>
      </c>
      <c r="H356" s="20" t="str">
        <f>IFERROR(__xludf.DUMMYFUNCTION("""COMPUTED_VALUE"""),"Algorithms")</f>
        <v>Algorithms</v>
      </c>
      <c r="I356" s="20">
        <f>IFERROR(__xludf.DUMMYFUNCTION("""COMPUTED_VALUE"""),0.369)</f>
        <v>0.369</v>
      </c>
      <c r="J356" s="20">
        <f>IFERROR(__xludf.DUMMYFUNCTION("""COMPUTED_VALUE"""),355.0)</f>
        <v>355</v>
      </c>
      <c r="K356" s="20" t="b">
        <f>IFERROR(__xludf.DUMMYFUNCTION("""COMPUTED_VALUE"""),FALSE)</f>
        <v>0</v>
      </c>
      <c r="L356" s="20" t="str">
        <f>IFERROR(__xludf.DUMMYFUNCTION("""COMPUTED_VALUE"""),"Hash Table;Linked List;Design;Heap (Priority Queue);")</f>
        <v>Hash Table;Linked List;Design;Heap (Priority Queue);</v>
      </c>
      <c r="M356" s="20" t="b">
        <f>IFERROR(__xludf.DUMMYFUNCTION("""COMPUTED_VALUE"""),FALSE)</f>
        <v>0</v>
      </c>
      <c r="N356" s="20" t="b">
        <f>IFERROR(__xludf.DUMMYFUNCTION("""COMPUTED_VALUE"""),FALSE)</f>
        <v>0</v>
      </c>
      <c r="O356" s="20">
        <f>IFERROR(__xludf.DUMMYFUNCTION("""COMPUTED_VALUE"""),36.9035978688164)</f>
        <v>36.90359787</v>
      </c>
      <c r="P356" s="20">
        <f>IFERROR(__xludf.DUMMYFUNCTION("""COMPUTED_VALUE"""),110961.0)</f>
        <v>110961</v>
      </c>
      <c r="Q356" s="20">
        <f>IFERROR(__xludf.DUMMYFUNCTION("""COMPUTED_VALUE"""),300677.0)</f>
        <v>300677</v>
      </c>
    </row>
    <row r="357">
      <c r="A357" s="20">
        <f>IFERROR(__xludf.DUMMYFUNCTION("""COMPUTED_VALUE"""),356.0)</f>
        <v>356</v>
      </c>
      <c r="B357" s="20" t="str">
        <f>IFERROR(__xludf.DUMMYFUNCTION("""COMPUTED_VALUE"""),"Line Reflection")</f>
        <v>Line Reflection</v>
      </c>
      <c r="C357" s="20" t="str">
        <f>IFERROR(__xludf.DUMMYFUNCTION("""COMPUTED_VALUE"""),"line-reflection")</f>
        <v>line-reflection</v>
      </c>
      <c r="D357" s="20" t="b">
        <f>IFERROR(__xludf.DUMMYFUNCTION("""COMPUTED_VALUE"""),TRUE)</f>
        <v>1</v>
      </c>
      <c r="E357" s="20" t="str">
        <f>IFERROR(__xludf.DUMMYFUNCTION("""COMPUTED_VALUE"""),"Medium")</f>
        <v>Medium</v>
      </c>
      <c r="F357" s="20">
        <f>IFERROR(__xludf.DUMMYFUNCTION("""COMPUTED_VALUE"""),242.0)</f>
        <v>242</v>
      </c>
      <c r="G357" s="20">
        <f>IFERROR(__xludf.DUMMYFUNCTION("""COMPUTED_VALUE"""),510.0)</f>
        <v>510</v>
      </c>
      <c r="H357" s="20" t="str">
        <f>IFERROR(__xludf.DUMMYFUNCTION("""COMPUTED_VALUE"""),"Algorithms")</f>
        <v>Algorithms</v>
      </c>
      <c r="I357" s="20">
        <f>IFERROR(__xludf.DUMMYFUNCTION("""COMPUTED_VALUE"""),0.347)</f>
        <v>0.347</v>
      </c>
      <c r="J357" s="20">
        <f>IFERROR(__xludf.DUMMYFUNCTION("""COMPUTED_VALUE"""),356.0)</f>
        <v>356</v>
      </c>
      <c r="K357" s="20" t="b">
        <f>IFERROR(__xludf.DUMMYFUNCTION("""COMPUTED_VALUE"""),TRUE)</f>
        <v>1</v>
      </c>
      <c r="L357" s="20" t="str">
        <f>IFERROR(__xludf.DUMMYFUNCTION("""COMPUTED_VALUE"""),"Array;Hash Table;Math;")</f>
        <v>Array;Hash Table;Math;</v>
      </c>
      <c r="M357" s="20" t="b">
        <f>IFERROR(__xludf.DUMMYFUNCTION("""COMPUTED_VALUE"""),FALSE)</f>
        <v>0</v>
      </c>
      <c r="N357" s="20" t="b">
        <f>IFERROR(__xludf.DUMMYFUNCTION("""COMPUTED_VALUE"""),FALSE)</f>
        <v>0</v>
      </c>
      <c r="O357" s="20">
        <f>IFERROR(__xludf.DUMMYFUNCTION("""COMPUTED_VALUE"""),34.6991856492615)</f>
        <v>34.69918565</v>
      </c>
      <c r="P357" s="20">
        <f>IFERROR(__xludf.DUMMYFUNCTION("""COMPUTED_VALUE"""),33619.0)</f>
        <v>33619</v>
      </c>
      <c r="Q357" s="20">
        <f>IFERROR(__xludf.DUMMYFUNCTION("""COMPUTED_VALUE"""),96887.0)</f>
        <v>96887</v>
      </c>
    </row>
    <row r="358">
      <c r="A358" s="20">
        <f>IFERROR(__xludf.DUMMYFUNCTION("""COMPUTED_VALUE"""),357.0)</f>
        <v>357</v>
      </c>
      <c r="B358" s="20" t="str">
        <f>IFERROR(__xludf.DUMMYFUNCTION("""COMPUTED_VALUE"""),"Count Numbers with Unique Digits")</f>
        <v>Count Numbers with Unique Digits</v>
      </c>
      <c r="C358" s="20" t="str">
        <f>IFERROR(__xludf.DUMMYFUNCTION("""COMPUTED_VALUE"""),"count-numbers-with-unique-digits")</f>
        <v>count-numbers-with-unique-digits</v>
      </c>
      <c r="D358" s="20" t="b">
        <f>IFERROR(__xludf.DUMMYFUNCTION("""COMPUTED_VALUE"""),FALSE)</f>
        <v>0</v>
      </c>
      <c r="E358" s="20" t="str">
        <f>IFERROR(__xludf.DUMMYFUNCTION("""COMPUTED_VALUE"""),"Medium")</f>
        <v>Medium</v>
      </c>
      <c r="F358" s="20">
        <f>IFERROR(__xludf.DUMMYFUNCTION("""COMPUTED_VALUE"""),1157.0)</f>
        <v>1157</v>
      </c>
      <c r="G358" s="20">
        <f>IFERROR(__xludf.DUMMYFUNCTION("""COMPUTED_VALUE"""),1350.0)</f>
        <v>1350</v>
      </c>
      <c r="H358" s="20" t="str">
        <f>IFERROR(__xludf.DUMMYFUNCTION("""COMPUTED_VALUE"""),"Algorithms")</f>
        <v>Algorithms</v>
      </c>
      <c r="I358" s="20">
        <f>IFERROR(__xludf.DUMMYFUNCTION("""COMPUTED_VALUE"""),0.516)</f>
        <v>0.516</v>
      </c>
      <c r="J358" s="20">
        <f>IFERROR(__xludf.DUMMYFUNCTION("""COMPUTED_VALUE"""),357.0)</f>
        <v>357</v>
      </c>
      <c r="K358" s="20" t="b">
        <f>IFERROR(__xludf.DUMMYFUNCTION("""COMPUTED_VALUE"""),FALSE)</f>
        <v>0</v>
      </c>
      <c r="L358" s="20" t="str">
        <f>IFERROR(__xludf.DUMMYFUNCTION("""COMPUTED_VALUE"""),"Math;Dynamic Programming;Backtracking;")</f>
        <v>Math;Dynamic Programming;Backtracking;</v>
      </c>
      <c r="M358" s="20" t="b">
        <f>IFERROR(__xludf.DUMMYFUNCTION("""COMPUTED_VALUE"""),FALSE)</f>
        <v>0</v>
      </c>
      <c r="N358" s="20" t="b">
        <f>IFERROR(__xludf.DUMMYFUNCTION("""COMPUTED_VALUE"""),FALSE)</f>
        <v>0</v>
      </c>
      <c r="O358" s="20">
        <f>IFERROR(__xludf.DUMMYFUNCTION("""COMPUTED_VALUE"""),51.6361939274144)</f>
        <v>51.63619393</v>
      </c>
      <c r="P358" s="20">
        <f>IFERROR(__xludf.DUMMYFUNCTION("""COMPUTED_VALUE"""),112854.0)</f>
        <v>112854</v>
      </c>
      <c r="Q358" s="20">
        <f>IFERROR(__xludf.DUMMYFUNCTION("""COMPUTED_VALUE"""),218556.0)</f>
        <v>218556</v>
      </c>
    </row>
    <row r="359">
      <c r="A359" s="20">
        <f>IFERROR(__xludf.DUMMYFUNCTION("""COMPUTED_VALUE"""),358.0)</f>
        <v>358</v>
      </c>
      <c r="B359" s="20" t="str">
        <f>IFERROR(__xludf.DUMMYFUNCTION("""COMPUTED_VALUE"""),"Rearrange String k Distance Apart")</f>
        <v>Rearrange String k Distance Apart</v>
      </c>
      <c r="C359" s="20" t="str">
        <f>IFERROR(__xludf.DUMMYFUNCTION("""COMPUTED_VALUE"""),"rearrange-string-k-distance-apart")</f>
        <v>rearrange-string-k-distance-apart</v>
      </c>
      <c r="D359" s="20" t="b">
        <f>IFERROR(__xludf.DUMMYFUNCTION("""COMPUTED_VALUE"""),TRUE)</f>
        <v>1</v>
      </c>
      <c r="E359" s="20" t="str">
        <f>IFERROR(__xludf.DUMMYFUNCTION("""COMPUTED_VALUE"""),"Hard")</f>
        <v>Hard</v>
      </c>
      <c r="F359" s="20">
        <f>IFERROR(__xludf.DUMMYFUNCTION("""COMPUTED_VALUE"""),829.0)</f>
        <v>829</v>
      </c>
      <c r="G359" s="20">
        <f>IFERROR(__xludf.DUMMYFUNCTION("""COMPUTED_VALUE"""),36.0)</f>
        <v>36</v>
      </c>
      <c r="H359" s="20" t="str">
        <f>IFERROR(__xludf.DUMMYFUNCTION("""COMPUTED_VALUE"""),"Algorithms")</f>
        <v>Algorithms</v>
      </c>
      <c r="I359" s="20">
        <f>IFERROR(__xludf.DUMMYFUNCTION("""COMPUTED_VALUE"""),0.376)</f>
        <v>0.376</v>
      </c>
      <c r="J359" s="20">
        <f>IFERROR(__xludf.DUMMYFUNCTION("""COMPUTED_VALUE"""),358.0)</f>
        <v>358</v>
      </c>
      <c r="K359" s="20" t="b">
        <f>IFERROR(__xludf.DUMMYFUNCTION("""COMPUTED_VALUE"""),TRUE)</f>
        <v>1</v>
      </c>
      <c r="L359" s="20" t="str">
        <f>IFERROR(__xludf.DUMMYFUNCTION("""COMPUTED_VALUE"""),"Hash Table;String;Greedy;Sorting;Heap (Priority Queue);Counting;")</f>
        <v>Hash Table;String;Greedy;Sorting;Heap (Priority Queue);Counting;</v>
      </c>
      <c r="M359" s="20" t="b">
        <f>IFERROR(__xludf.DUMMYFUNCTION("""COMPUTED_VALUE"""),FALSE)</f>
        <v>0</v>
      </c>
      <c r="N359" s="20" t="b">
        <f>IFERROR(__xludf.DUMMYFUNCTION("""COMPUTED_VALUE"""),FALSE)</f>
        <v>0</v>
      </c>
      <c r="O359" s="20">
        <f>IFERROR(__xludf.DUMMYFUNCTION("""COMPUTED_VALUE"""),37.5936996551586)</f>
        <v>37.59369966</v>
      </c>
      <c r="P359" s="20">
        <f>IFERROR(__xludf.DUMMYFUNCTION("""COMPUTED_VALUE"""),56471.0)</f>
        <v>56471</v>
      </c>
      <c r="Q359" s="20">
        <f>IFERROR(__xludf.DUMMYFUNCTION("""COMPUTED_VALUE"""),150214.0)</f>
        <v>150214</v>
      </c>
    </row>
    <row r="360">
      <c r="A360" s="20">
        <f>IFERROR(__xludf.DUMMYFUNCTION("""COMPUTED_VALUE"""),359.0)</f>
        <v>359</v>
      </c>
      <c r="B360" s="20" t="str">
        <f>IFERROR(__xludf.DUMMYFUNCTION("""COMPUTED_VALUE"""),"Logger Rate Limiter")</f>
        <v>Logger Rate Limiter</v>
      </c>
      <c r="C360" s="20" t="str">
        <f>IFERROR(__xludf.DUMMYFUNCTION("""COMPUTED_VALUE"""),"logger-rate-limiter")</f>
        <v>logger-rate-limiter</v>
      </c>
      <c r="D360" s="20" t="b">
        <f>IFERROR(__xludf.DUMMYFUNCTION("""COMPUTED_VALUE"""),TRUE)</f>
        <v>1</v>
      </c>
      <c r="E360" s="20" t="str">
        <f>IFERROR(__xludf.DUMMYFUNCTION("""COMPUTED_VALUE"""),"Easy")</f>
        <v>Easy</v>
      </c>
      <c r="F360" s="20">
        <f>IFERROR(__xludf.DUMMYFUNCTION("""COMPUTED_VALUE"""),1505.0)</f>
        <v>1505</v>
      </c>
      <c r="G360" s="20">
        <f>IFERROR(__xludf.DUMMYFUNCTION("""COMPUTED_VALUE"""),180.0)</f>
        <v>180</v>
      </c>
      <c r="H360" s="20" t="str">
        <f>IFERROR(__xludf.DUMMYFUNCTION("""COMPUTED_VALUE"""),"Algorithms")</f>
        <v>Algorithms</v>
      </c>
      <c r="I360" s="20">
        <f>IFERROR(__xludf.DUMMYFUNCTION("""COMPUTED_VALUE"""),0.756)</f>
        <v>0.756</v>
      </c>
      <c r="J360" s="20">
        <f>IFERROR(__xludf.DUMMYFUNCTION("""COMPUTED_VALUE"""),359.0)</f>
        <v>359</v>
      </c>
      <c r="K360" s="20" t="b">
        <f>IFERROR(__xludf.DUMMYFUNCTION("""COMPUTED_VALUE"""),TRUE)</f>
        <v>1</v>
      </c>
      <c r="L360" s="20" t="str">
        <f>IFERROR(__xludf.DUMMYFUNCTION("""COMPUTED_VALUE"""),"Hash Table;Design;")</f>
        <v>Hash Table;Design;</v>
      </c>
      <c r="M360" s="20" t="b">
        <f>IFERROR(__xludf.DUMMYFUNCTION("""COMPUTED_VALUE"""),TRUE)</f>
        <v>1</v>
      </c>
      <c r="N360" s="20" t="b">
        <f>IFERROR(__xludf.DUMMYFUNCTION("""COMPUTED_VALUE"""),FALSE)</f>
        <v>0</v>
      </c>
      <c r="O360" s="20">
        <f>IFERROR(__xludf.DUMMYFUNCTION("""COMPUTED_VALUE"""),75.5726967261499)</f>
        <v>75.57269673</v>
      </c>
      <c r="P360" s="20">
        <f>IFERROR(__xludf.DUMMYFUNCTION("""COMPUTED_VALUE"""),266294.0)</f>
        <v>266294</v>
      </c>
      <c r="Q360" s="20">
        <f>IFERROR(__xludf.DUMMYFUNCTION("""COMPUTED_VALUE"""),352368.0)</f>
        <v>352368</v>
      </c>
    </row>
    <row r="361">
      <c r="A361" s="20">
        <f>IFERROR(__xludf.DUMMYFUNCTION("""COMPUTED_VALUE"""),360.0)</f>
        <v>360</v>
      </c>
      <c r="B361" s="20" t="str">
        <f>IFERROR(__xludf.DUMMYFUNCTION("""COMPUTED_VALUE"""),"Sort Transformed Array")</f>
        <v>Sort Transformed Array</v>
      </c>
      <c r="C361" s="20" t="str">
        <f>IFERROR(__xludf.DUMMYFUNCTION("""COMPUTED_VALUE"""),"sort-transformed-array")</f>
        <v>sort-transformed-array</v>
      </c>
      <c r="D361" s="20" t="b">
        <f>IFERROR(__xludf.DUMMYFUNCTION("""COMPUTED_VALUE"""),TRUE)</f>
        <v>1</v>
      </c>
      <c r="E361" s="20" t="str">
        <f>IFERROR(__xludf.DUMMYFUNCTION("""COMPUTED_VALUE"""),"Medium")</f>
        <v>Medium</v>
      </c>
      <c r="F361" s="20">
        <f>IFERROR(__xludf.DUMMYFUNCTION("""COMPUTED_VALUE"""),630.0)</f>
        <v>630</v>
      </c>
      <c r="G361" s="20">
        <f>IFERROR(__xludf.DUMMYFUNCTION("""COMPUTED_VALUE"""),193.0)</f>
        <v>193</v>
      </c>
      <c r="H361" s="20" t="str">
        <f>IFERROR(__xludf.DUMMYFUNCTION("""COMPUTED_VALUE"""),"Algorithms")</f>
        <v>Algorithms</v>
      </c>
      <c r="I361" s="20">
        <f>IFERROR(__xludf.DUMMYFUNCTION("""COMPUTED_VALUE"""),0.548)</f>
        <v>0.548</v>
      </c>
      <c r="J361" s="20">
        <f>IFERROR(__xludf.DUMMYFUNCTION("""COMPUTED_VALUE"""),360.0)</f>
        <v>360</v>
      </c>
      <c r="K361" s="20" t="b">
        <f>IFERROR(__xludf.DUMMYFUNCTION("""COMPUTED_VALUE"""),TRUE)</f>
        <v>1</v>
      </c>
      <c r="L361" s="20" t="str">
        <f>IFERROR(__xludf.DUMMYFUNCTION("""COMPUTED_VALUE"""),"Array;Math;Two Pointers;Sorting;")</f>
        <v>Array;Math;Two Pointers;Sorting;</v>
      </c>
      <c r="M361" s="20" t="b">
        <f>IFERROR(__xludf.DUMMYFUNCTION("""COMPUTED_VALUE"""),FALSE)</f>
        <v>0</v>
      </c>
      <c r="N361" s="20" t="b">
        <f>IFERROR(__xludf.DUMMYFUNCTION("""COMPUTED_VALUE"""),FALSE)</f>
        <v>0</v>
      </c>
      <c r="O361" s="20">
        <f>IFERROR(__xludf.DUMMYFUNCTION("""COMPUTED_VALUE"""),54.7703754537409)</f>
        <v>54.77037545</v>
      </c>
      <c r="P361" s="20">
        <f>IFERROR(__xludf.DUMMYFUNCTION("""COMPUTED_VALUE"""),60656.0)</f>
        <v>60656</v>
      </c>
      <c r="Q361" s="20">
        <f>IFERROR(__xludf.DUMMYFUNCTION("""COMPUTED_VALUE"""),110746.0)</f>
        <v>110746</v>
      </c>
    </row>
    <row r="362">
      <c r="A362" s="20">
        <f>IFERROR(__xludf.DUMMYFUNCTION("""COMPUTED_VALUE"""),361.0)</f>
        <v>361</v>
      </c>
      <c r="B362" s="20" t="str">
        <f>IFERROR(__xludf.DUMMYFUNCTION("""COMPUTED_VALUE"""),"Bomb Enemy")</f>
        <v>Bomb Enemy</v>
      </c>
      <c r="C362" s="20" t="str">
        <f>IFERROR(__xludf.DUMMYFUNCTION("""COMPUTED_VALUE"""),"bomb-enemy")</f>
        <v>bomb-enemy</v>
      </c>
      <c r="D362" s="20" t="b">
        <f>IFERROR(__xludf.DUMMYFUNCTION("""COMPUTED_VALUE"""),TRUE)</f>
        <v>1</v>
      </c>
      <c r="E362" s="20" t="str">
        <f>IFERROR(__xludf.DUMMYFUNCTION("""COMPUTED_VALUE"""),"Medium")</f>
        <v>Medium</v>
      </c>
      <c r="F362" s="20">
        <f>IFERROR(__xludf.DUMMYFUNCTION("""COMPUTED_VALUE"""),867.0)</f>
        <v>867</v>
      </c>
      <c r="G362" s="20">
        <f>IFERROR(__xludf.DUMMYFUNCTION("""COMPUTED_VALUE"""),101.0)</f>
        <v>101</v>
      </c>
      <c r="H362" s="20" t="str">
        <f>IFERROR(__xludf.DUMMYFUNCTION("""COMPUTED_VALUE"""),"Algorithms")</f>
        <v>Algorithms</v>
      </c>
      <c r="I362" s="20">
        <f>IFERROR(__xludf.DUMMYFUNCTION("""COMPUTED_VALUE"""),0.51)</f>
        <v>0.51</v>
      </c>
      <c r="J362" s="20">
        <f>IFERROR(__xludf.DUMMYFUNCTION("""COMPUTED_VALUE"""),361.0)</f>
        <v>361</v>
      </c>
      <c r="K362" s="20" t="b">
        <f>IFERROR(__xludf.DUMMYFUNCTION("""COMPUTED_VALUE"""),TRUE)</f>
        <v>1</v>
      </c>
      <c r="L362" s="20" t="str">
        <f>IFERROR(__xludf.DUMMYFUNCTION("""COMPUTED_VALUE"""),"Array;Dynamic Programming;Matrix;")</f>
        <v>Array;Dynamic Programming;Matrix;</v>
      </c>
      <c r="M362" s="20" t="b">
        <f>IFERROR(__xludf.DUMMYFUNCTION("""COMPUTED_VALUE"""),TRUE)</f>
        <v>1</v>
      </c>
      <c r="N362" s="20" t="b">
        <f>IFERROR(__xludf.DUMMYFUNCTION("""COMPUTED_VALUE"""),FALSE)</f>
        <v>0</v>
      </c>
      <c r="O362" s="20">
        <f>IFERROR(__xludf.DUMMYFUNCTION("""COMPUTED_VALUE"""),51.0367674704008)</f>
        <v>51.03676747</v>
      </c>
      <c r="P362" s="20">
        <f>IFERROR(__xludf.DUMMYFUNCTION("""COMPUTED_VALUE"""),71945.0)</f>
        <v>71945</v>
      </c>
      <c r="Q362" s="20">
        <f>IFERROR(__xludf.DUMMYFUNCTION("""COMPUTED_VALUE"""),140966.0)</f>
        <v>140966</v>
      </c>
    </row>
    <row r="363">
      <c r="A363" s="20">
        <f>IFERROR(__xludf.DUMMYFUNCTION("""COMPUTED_VALUE"""),362.0)</f>
        <v>362</v>
      </c>
      <c r="B363" s="20" t="str">
        <f>IFERROR(__xludf.DUMMYFUNCTION("""COMPUTED_VALUE"""),"Design Hit Counter")</f>
        <v>Design Hit Counter</v>
      </c>
      <c r="C363" s="20" t="str">
        <f>IFERROR(__xludf.DUMMYFUNCTION("""COMPUTED_VALUE"""),"design-hit-counter")</f>
        <v>design-hit-counter</v>
      </c>
      <c r="D363" s="20" t="b">
        <f>IFERROR(__xludf.DUMMYFUNCTION("""COMPUTED_VALUE"""),TRUE)</f>
        <v>1</v>
      </c>
      <c r="E363" s="20" t="str">
        <f>IFERROR(__xludf.DUMMYFUNCTION("""COMPUTED_VALUE"""),"Medium")</f>
        <v>Medium</v>
      </c>
      <c r="F363" s="20">
        <f>IFERROR(__xludf.DUMMYFUNCTION("""COMPUTED_VALUE"""),1789.0)</f>
        <v>1789</v>
      </c>
      <c r="G363" s="20">
        <f>IFERROR(__xludf.DUMMYFUNCTION("""COMPUTED_VALUE"""),185.0)</f>
        <v>185</v>
      </c>
      <c r="H363" s="20" t="str">
        <f>IFERROR(__xludf.DUMMYFUNCTION("""COMPUTED_VALUE"""),"Algorithms")</f>
        <v>Algorithms</v>
      </c>
      <c r="I363" s="20">
        <f>IFERROR(__xludf.DUMMYFUNCTION("""COMPUTED_VALUE"""),0.684)</f>
        <v>0.684</v>
      </c>
      <c r="J363" s="20">
        <f>IFERROR(__xludf.DUMMYFUNCTION("""COMPUTED_VALUE"""),362.0)</f>
        <v>362</v>
      </c>
      <c r="K363" s="20" t="b">
        <f>IFERROR(__xludf.DUMMYFUNCTION("""COMPUTED_VALUE"""),TRUE)</f>
        <v>1</v>
      </c>
      <c r="L363" s="20" t="str">
        <f>IFERROR(__xludf.DUMMYFUNCTION("""COMPUTED_VALUE"""),"Array;Hash Table;Binary Search;Design;Queue;")</f>
        <v>Array;Hash Table;Binary Search;Design;Queue;</v>
      </c>
      <c r="M363" s="20" t="b">
        <f>IFERROR(__xludf.DUMMYFUNCTION("""COMPUTED_VALUE"""),TRUE)</f>
        <v>1</v>
      </c>
      <c r="N363" s="20" t="b">
        <f>IFERROR(__xludf.DUMMYFUNCTION("""COMPUTED_VALUE"""),FALSE)</f>
        <v>0</v>
      </c>
      <c r="O363" s="20">
        <f>IFERROR(__xludf.DUMMYFUNCTION("""COMPUTED_VALUE"""),68.3981378913863)</f>
        <v>68.39813789</v>
      </c>
      <c r="P363" s="20">
        <f>IFERROR(__xludf.DUMMYFUNCTION("""COMPUTED_VALUE"""),195118.0)</f>
        <v>195118</v>
      </c>
      <c r="Q363" s="20">
        <f>IFERROR(__xludf.DUMMYFUNCTION("""COMPUTED_VALUE"""),285268.0)</f>
        <v>285268</v>
      </c>
    </row>
    <row r="364">
      <c r="A364" s="20">
        <f>IFERROR(__xludf.DUMMYFUNCTION("""COMPUTED_VALUE"""),363.0)</f>
        <v>363</v>
      </c>
      <c r="B364" s="20" t="str">
        <f>IFERROR(__xludf.DUMMYFUNCTION("""COMPUTED_VALUE"""),"Max Sum of Rectangle No Larger Than K")</f>
        <v>Max Sum of Rectangle No Larger Than K</v>
      </c>
      <c r="C364" s="20" t="str">
        <f>IFERROR(__xludf.DUMMYFUNCTION("""COMPUTED_VALUE"""),"max-sum-of-rectangle-no-larger-than-k")</f>
        <v>max-sum-of-rectangle-no-larger-than-k</v>
      </c>
      <c r="D364" s="20" t="b">
        <f>IFERROR(__xludf.DUMMYFUNCTION("""COMPUTED_VALUE"""),FALSE)</f>
        <v>0</v>
      </c>
      <c r="E364" s="20" t="str">
        <f>IFERROR(__xludf.DUMMYFUNCTION("""COMPUTED_VALUE"""),"Hard")</f>
        <v>Hard</v>
      </c>
      <c r="F364" s="20">
        <f>IFERROR(__xludf.DUMMYFUNCTION("""COMPUTED_VALUE"""),3157.0)</f>
        <v>3157</v>
      </c>
      <c r="G364" s="20">
        <f>IFERROR(__xludf.DUMMYFUNCTION("""COMPUTED_VALUE"""),160.0)</f>
        <v>160</v>
      </c>
      <c r="H364" s="20" t="str">
        <f>IFERROR(__xludf.DUMMYFUNCTION("""COMPUTED_VALUE"""),"Algorithms")</f>
        <v>Algorithms</v>
      </c>
      <c r="I364" s="20">
        <f>IFERROR(__xludf.DUMMYFUNCTION("""COMPUTED_VALUE"""),0.441)</f>
        <v>0.441</v>
      </c>
      <c r="J364" s="20">
        <f>IFERROR(__xludf.DUMMYFUNCTION("""COMPUTED_VALUE"""),363.0)</f>
        <v>363</v>
      </c>
      <c r="K364" s="20" t="b">
        <f>IFERROR(__xludf.DUMMYFUNCTION("""COMPUTED_VALUE"""),FALSE)</f>
        <v>0</v>
      </c>
      <c r="L364" s="20" t="str">
        <f>IFERROR(__xludf.DUMMYFUNCTION("""COMPUTED_VALUE"""),"Array;Binary Search;Matrix;Prefix Sum;Ordered Set;")</f>
        <v>Array;Binary Search;Matrix;Prefix Sum;Ordered Set;</v>
      </c>
      <c r="M364" s="20" t="b">
        <f>IFERROR(__xludf.DUMMYFUNCTION("""COMPUTED_VALUE"""),TRUE)</f>
        <v>1</v>
      </c>
      <c r="N364" s="20" t="b">
        <f>IFERROR(__xludf.DUMMYFUNCTION("""COMPUTED_VALUE"""),FALSE)</f>
        <v>0</v>
      </c>
      <c r="O364" s="20">
        <f>IFERROR(__xludf.DUMMYFUNCTION("""COMPUTED_VALUE"""),44.0537031305437)</f>
        <v>44.05370313</v>
      </c>
      <c r="P364" s="20">
        <f>IFERROR(__xludf.DUMMYFUNCTION("""COMPUTED_VALUE"""),116715.0)</f>
        <v>116715</v>
      </c>
      <c r="Q364" s="20">
        <f>IFERROR(__xludf.DUMMYFUNCTION("""COMPUTED_VALUE"""),264938.0)</f>
        <v>264938</v>
      </c>
    </row>
    <row r="365">
      <c r="A365" s="20">
        <f>IFERROR(__xludf.DUMMYFUNCTION("""COMPUTED_VALUE"""),364.0)</f>
        <v>364</v>
      </c>
      <c r="B365" s="20" t="str">
        <f>IFERROR(__xludf.DUMMYFUNCTION("""COMPUTED_VALUE"""),"Nested List Weight Sum II")</f>
        <v>Nested List Weight Sum II</v>
      </c>
      <c r="C365" s="20" t="str">
        <f>IFERROR(__xludf.DUMMYFUNCTION("""COMPUTED_VALUE"""),"nested-list-weight-sum-ii")</f>
        <v>nested-list-weight-sum-ii</v>
      </c>
      <c r="D365" s="20" t="b">
        <f>IFERROR(__xludf.DUMMYFUNCTION("""COMPUTED_VALUE"""),TRUE)</f>
        <v>1</v>
      </c>
      <c r="E365" s="20" t="str">
        <f>IFERROR(__xludf.DUMMYFUNCTION("""COMPUTED_VALUE"""),"Medium")</f>
        <v>Medium</v>
      </c>
      <c r="F365" s="20">
        <f>IFERROR(__xludf.DUMMYFUNCTION("""COMPUTED_VALUE"""),1079.0)</f>
        <v>1079</v>
      </c>
      <c r="G365" s="20">
        <f>IFERROR(__xludf.DUMMYFUNCTION("""COMPUTED_VALUE"""),386.0)</f>
        <v>386</v>
      </c>
      <c r="H365" s="20" t="str">
        <f>IFERROR(__xludf.DUMMYFUNCTION("""COMPUTED_VALUE"""),"Algorithms")</f>
        <v>Algorithms</v>
      </c>
      <c r="I365" s="20">
        <f>IFERROR(__xludf.DUMMYFUNCTION("""COMPUTED_VALUE"""),0.669)</f>
        <v>0.669</v>
      </c>
      <c r="J365" s="20">
        <f>IFERROR(__xludf.DUMMYFUNCTION("""COMPUTED_VALUE"""),364.0)</f>
        <v>364</v>
      </c>
      <c r="K365" s="20" t="b">
        <f>IFERROR(__xludf.DUMMYFUNCTION("""COMPUTED_VALUE"""),TRUE)</f>
        <v>1</v>
      </c>
      <c r="L365" s="20" t="str">
        <f>IFERROR(__xludf.DUMMYFUNCTION("""COMPUTED_VALUE"""),"Stack;Depth-First Search;Breadth-First Search;")</f>
        <v>Stack;Depth-First Search;Breadth-First Search;</v>
      </c>
      <c r="M365" s="20" t="b">
        <f>IFERROR(__xludf.DUMMYFUNCTION("""COMPUTED_VALUE"""),TRUE)</f>
        <v>1</v>
      </c>
      <c r="N365" s="20" t="b">
        <f>IFERROR(__xludf.DUMMYFUNCTION("""COMPUTED_VALUE"""),FALSE)</f>
        <v>0</v>
      </c>
      <c r="O365" s="20">
        <f>IFERROR(__xludf.DUMMYFUNCTION("""COMPUTED_VALUE"""),66.8614130434782)</f>
        <v>66.86141304</v>
      </c>
      <c r="P365" s="20">
        <f>IFERROR(__xludf.DUMMYFUNCTION("""COMPUTED_VALUE"""),127946.0)</f>
        <v>127946</v>
      </c>
      <c r="Q365" s="20">
        <f>IFERROR(__xludf.DUMMYFUNCTION("""COMPUTED_VALUE"""),191360.0)</f>
        <v>191360</v>
      </c>
    </row>
    <row r="366">
      <c r="A366" s="20">
        <f>IFERROR(__xludf.DUMMYFUNCTION("""COMPUTED_VALUE"""),365.0)</f>
        <v>365</v>
      </c>
      <c r="B366" s="20" t="str">
        <f>IFERROR(__xludf.DUMMYFUNCTION("""COMPUTED_VALUE"""),"Water and Jug Problem")</f>
        <v>Water and Jug Problem</v>
      </c>
      <c r="C366" s="20" t="str">
        <f>IFERROR(__xludf.DUMMYFUNCTION("""COMPUTED_VALUE"""),"water-and-jug-problem")</f>
        <v>water-and-jug-problem</v>
      </c>
      <c r="D366" s="20" t="b">
        <f>IFERROR(__xludf.DUMMYFUNCTION("""COMPUTED_VALUE"""),FALSE)</f>
        <v>0</v>
      </c>
      <c r="E366" s="20" t="str">
        <f>IFERROR(__xludf.DUMMYFUNCTION("""COMPUTED_VALUE"""),"Medium")</f>
        <v>Medium</v>
      </c>
      <c r="F366" s="20">
        <f>IFERROR(__xludf.DUMMYFUNCTION("""COMPUTED_VALUE"""),1061.0)</f>
        <v>1061</v>
      </c>
      <c r="G366" s="20">
        <f>IFERROR(__xludf.DUMMYFUNCTION("""COMPUTED_VALUE"""),1287.0)</f>
        <v>1287</v>
      </c>
      <c r="H366" s="20" t="str">
        <f>IFERROR(__xludf.DUMMYFUNCTION("""COMPUTED_VALUE"""),"Algorithms")</f>
        <v>Algorithms</v>
      </c>
      <c r="I366" s="20">
        <f>IFERROR(__xludf.DUMMYFUNCTION("""COMPUTED_VALUE"""),0.369)</f>
        <v>0.369</v>
      </c>
      <c r="J366" s="20">
        <f>IFERROR(__xludf.DUMMYFUNCTION("""COMPUTED_VALUE"""),365.0)</f>
        <v>365</v>
      </c>
      <c r="K366" s="20" t="b">
        <f>IFERROR(__xludf.DUMMYFUNCTION("""COMPUTED_VALUE"""),FALSE)</f>
        <v>0</v>
      </c>
      <c r="L366" s="20" t="str">
        <f>IFERROR(__xludf.DUMMYFUNCTION("""COMPUTED_VALUE"""),"Math;Depth-First Search;Breadth-First Search;")</f>
        <v>Math;Depth-First Search;Breadth-First Search;</v>
      </c>
      <c r="M366" s="20" t="b">
        <f>IFERROR(__xludf.DUMMYFUNCTION("""COMPUTED_VALUE"""),FALSE)</f>
        <v>0</v>
      </c>
      <c r="N366" s="20" t="b">
        <f>IFERROR(__xludf.DUMMYFUNCTION("""COMPUTED_VALUE"""),FALSE)</f>
        <v>0</v>
      </c>
      <c r="O366" s="20">
        <f>IFERROR(__xludf.DUMMYFUNCTION("""COMPUTED_VALUE"""),36.8632117045654)</f>
        <v>36.8632117</v>
      </c>
      <c r="P366" s="20">
        <f>IFERROR(__xludf.DUMMYFUNCTION("""COMPUTED_VALUE"""),75285.0)</f>
        <v>75285</v>
      </c>
      <c r="Q366" s="20">
        <f>IFERROR(__xludf.DUMMYFUNCTION("""COMPUTED_VALUE"""),204228.0)</f>
        <v>204228</v>
      </c>
    </row>
    <row r="367">
      <c r="A367" s="20">
        <f>IFERROR(__xludf.DUMMYFUNCTION("""COMPUTED_VALUE"""),366.0)</f>
        <v>366</v>
      </c>
      <c r="B367" s="20" t="str">
        <f>IFERROR(__xludf.DUMMYFUNCTION("""COMPUTED_VALUE"""),"Find Leaves of Binary Tree")</f>
        <v>Find Leaves of Binary Tree</v>
      </c>
      <c r="C367" s="20" t="str">
        <f>IFERROR(__xludf.DUMMYFUNCTION("""COMPUTED_VALUE"""),"find-leaves-of-binary-tree")</f>
        <v>find-leaves-of-binary-tree</v>
      </c>
      <c r="D367" s="20" t="b">
        <f>IFERROR(__xludf.DUMMYFUNCTION("""COMPUTED_VALUE"""),TRUE)</f>
        <v>1</v>
      </c>
      <c r="E367" s="20" t="str">
        <f>IFERROR(__xludf.DUMMYFUNCTION("""COMPUTED_VALUE"""),"Medium")</f>
        <v>Medium</v>
      </c>
      <c r="F367" s="20">
        <f>IFERROR(__xludf.DUMMYFUNCTION("""COMPUTED_VALUE"""),2973.0)</f>
        <v>2973</v>
      </c>
      <c r="G367" s="20">
        <f>IFERROR(__xludf.DUMMYFUNCTION("""COMPUTED_VALUE"""),50.0)</f>
        <v>50</v>
      </c>
      <c r="H367" s="20" t="str">
        <f>IFERROR(__xludf.DUMMYFUNCTION("""COMPUTED_VALUE"""),"Algorithms")</f>
        <v>Algorithms</v>
      </c>
      <c r="I367" s="20">
        <f>IFERROR(__xludf.DUMMYFUNCTION("""COMPUTED_VALUE"""),0.802)</f>
        <v>0.802</v>
      </c>
      <c r="J367" s="20">
        <f>IFERROR(__xludf.DUMMYFUNCTION("""COMPUTED_VALUE"""),366.0)</f>
        <v>366</v>
      </c>
      <c r="K367" s="20" t="b">
        <f>IFERROR(__xludf.DUMMYFUNCTION("""COMPUTED_VALUE"""),TRUE)</f>
        <v>1</v>
      </c>
      <c r="L367" s="20" t="str">
        <f>IFERROR(__xludf.DUMMYFUNCTION("""COMPUTED_VALUE"""),"Tree;Depth-First Search;Binary Tree;")</f>
        <v>Tree;Depth-First Search;Binary Tree;</v>
      </c>
      <c r="M367" s="20" t="b">
        <f>IFERROR(__xludf.DUMMYFUNCTION("""COMPUTED_VALUE"""),TRUE)</f>
        <v>1</v>
      </c>
      <c r="N367" s="20" t="b">
        <f>IFERROR(__xludf.DUMMYFUNCTION("""COMPUTED_VALUE"""),FALSE)</f>
        <v>0</v>
      </c>
      <c r="O367" s="20">
        <f>IFERROR(__xludf.DUMMYFUNCTION("""COMPUTED_VALUE"""),80.2172530214806)</f>
        <v>80.21725302</v>
      </c>
      <c r="P367" s="20">
        <f>IFERROR(__xludf.DUMMYFUNCTION("""COMPUTED_VALUE"""),229516.0)</f>
        <v>229516</v>
      </c>
      <c r="Q367" s="20">
        <f>IFERROR(__xludf.DUMMYFUNCTION("""COMPUTED_VALUE"""),286118.0)</f>
        <v>286118</v>
      </c>
    </row>
    <row r="368">
      <c r="A368" s="20">
        <f>IFERROR(__xludf.DUMMYFUNCTION("""COMPUTED_VALUE"""),367.0)</f>
        <v>367</v>
      </c>
      <c r="B368" s="20" t="str">
        <f>IFERROR(__xludf.DUMMYFUNCTION("""COMPUTED_VALUE"""),"Valid Perfect Square")</f>
        <v>Valid Perfect Square</v>
      </c>
      <c r="C368" s="20" t="str">
        <f>IFERROR(__xludf.DUMMYFUNCTION("""COMPUTED_VALUE"""),"valid-perfect-square")</f>
        <v>valid-perfect-square</v>
      </c>
      <c r="D368" s="20" t="b">
        <f>IFERROR(__xludf.DUMMYFUNCTION("""COMPUTED_VALUE"""),FALSE)</f>
        <v>0</v>
      </c>
      <c r="E368" s="20" t="str">
        <f>IFERROR(__xludf.DUMMYFUNCTION("""COMPUTED_VALUE"""),"Easy")</f>
        <v>Easy</v>
      </c>
      <c r="F368" s="20">
        <f>IFERROR(__xludf.DUMMYFUNCTION("""COMPUTED_VALUE"""),3128.0)</f>
        <v>3128</v>
      </c>
      <c r="G368" s="20">
        <f>IFERROR(__xludf.DUMMYFUNCTION("""COMPUTED_VALUE"""),265.0)</f>
        <v>265</v>
      </c>
      <c r="H368" s="20" t="str">
        <f>IFERROR(__xludf.DUMMYFUNCTION("""COMPUTED_VALUE"""),"Algorithms")</f>
        <v>Algorithms</v>
      </c>
      <c r="I368" s="20">
        <f>IFERROR(__xludf.DUMMYFUNCTION("""COMPUTED_VALUE"""),0.433)</f>
        <v>0.433</v>
      </c>
      <c r="J368" s="20">
        <f>IFERROR(__xludf.DUMMYFUNCTION("""COMPUTED_VALUE"""),367.0)</f>
        <v>367</v>
      </c>
      <c r="K368" s="20" t="b">
        <f>IFERROR(__xludf.DUMMYFUNCTION("""COMPUTED_VALUE"""),FALSE)</f>
        <v>0</v>
      </c>
      <c r="L368" s="20" t="str">
        <f>IFERROR(__xludf.DUMMYFUNCTION("""COMPUTED_VALUE"""),"Math;Binary Search;")</f>
        <v>Math;Binary Search;</v>
      </c>
      <c r="M368" s="20" t="b">
        <f>IFERROR(__xludf.DUMMYFUNCTION("""COMPUTED_VALUE"""),TRUE)</f>
        <v>1</v>
      </c>
      <c r="N368" s="20" t="b">
        <f>IFERROR(__xludf.DUMMYFUNCTION("""COMPUTED_VALUE"""),FALSE)</f>
        <v>0</v>
      </c>
      <c r="O368" s="20">
        <f>IFERROR(__xludf.DUMMYFUNCTION("""COMPUTED_VALUE"""),43.2746193042338)</f>
        <v>43.2746193</v>
      </c>
      <c r="P368" s="20">
        <f>IFERROR(__xludf.DUMMYFUNCTION("""COMPUTED_VALUE"""),442470.0)</f>
        <v>442470</v>
      </c>
      <c r="Q368" s="20">
        <f>IFERROR(__xludf.DUMMYFUNCTION("""COMPUTED_VALUE"""),1022462.0)</f>
        <v>1022462</v>
      </c>
    </row>
    <row r="369">
      <c r="A369" s="20">
        <f>IFERROR(__xludf.DUMMYFUNCTION("""COMPUTED_VALUE"""),368.0)</f>
        <v>368</v>
      </c>
      <c r="B369" s="20" t="str">
        <f>IFERROR(__xludf.DUMMYFUNCTION("""COMPUTED_VALUE"""),"Largest Divisible Subset")</f>
        <v>Largest Divisible Subset</v>
      </c>
      <c r="C369" s="20" t="str">
        <f>IFERROR(__xludf.DUMMYFUNCTION("""COMPUTED_VALUE"""),"largest-divisible-subset")</f>
        <v>largest-divisible-subset</v>
      </c>
      <c r="D369" s="20" t="b">
        <f>IFERROR(__xludf.DUMMYFUNCTION("""COMPUTED_VALUE"""),FALSE)</f>
        <v>0</v>
      </c>
      <c r="E369" s="20" t="str">
        <f>IFERROR(__xludf.DUMMYFUNCTION("""COMPUTED_VALUE"""),"Medium")</f>
        <v>Medium</v>
      </c>
      <c r="F369" s="20">
        <f>IFERROR(__xludf.DUMMYFUNCTION("""COMPUTED_VALUE"""),3981.0)</f>
        <v>3981</v>
      </c>
      <c r="G369" s="20">
        <f>IFERROR(__xludf.DUMMYFUNCTION("""COMPUTED_VALUE"""),165.0)</f>
        <v>165</v>
      </c>
      <c r="H369" s="20" t="str">
        <f>IFERROR(__xludf.DUMMYFUNCTION("""COMPUTED_VALUE"""),"Algorithms")</f>
        <v>Algorithms</v>
      </c>
      <c r="I369" s="20">
        <f>IFERROR(__xludf.DUMMYFUNCTION("""COMPUTED_VALUE"""),0.413)</f>
        <v>0.413</v>
      </c>
      <c r="J369" s="20">
        <f>IFERROR(__xludf.DUMMYFUNCTION("""COMPUTED_VALUE"""),368.0)</f>
        <v>368</v>
      </c>
      <c r="K369" s="20" t="b">
        <f>IFERROR(__xludf.DUMMYFUNCTION("""COMPUTED_VALUE"""),FALSE)</f>
        <v>0</v>
      </c>
      <c r="L369" s="20" t="str">
        <f>IFERROR(__xludf.DUMMYFUNCTION("""COMPUTED_VALUE"""),"Array;Math;Dynamic Programming;Sorting;")</f>
        <v>Array;Math;Dynamic Programming;Sorting;</v>
      </c>
      <c r="M369" s="20" t="b">
        <f>IFERROR(__xludf.DUMMYFUNCTION("""COMPUTED_VALUE"""),TRUE)</f>
        <v>1</v>
      </c>
      <c r="N369" s="20" t="b">
        <f>IFERROR(__xludf.DUMMYFUNCTION("""COMPUTED_VALUE"""),FALSE)</f>
        <v>0</v>
      </c>
      <c r="O369" s="20">
        <f>IFERROR(__xludf.DUMMYFUNCTION("""COMPUTED_VALUE"""),41.3337115941001)</f>
        <v>41.33371159</v>
      </c>
      <c r="P369" s="20">
        <f>IFERROR(__xludf.DUMMYFUNCTION("""COMPUTED_VALUE"""),169007.0)</f>
        <v>169007</v>
      </c>
      <c r="Q369" s="20">
        <f>IFERROR(__xludf.DUMMYFUNCTION("""COMPUTED_VALUE"""),408885.0)</f>
        <v>408885</v>
      </c>
    </row>
    <row r="370">
      <c r="A370" s="20">
        <f>IFERROR(__xludf.DUMMYFUNCTION("""COMPUTED_VALUE"""),369.0)</f>
        <v>369</v>
      </c>
      <c r="B370" s="20" t="str">
        <f>IFERROR(__xludf.DUMMYFUNCTION("""COMPUTED_VALUE"""),"Plus One Linked List")</f>
        <v>Plus One Linked List</v>
      </c>
      <c r="C370" s="20" t="str">
        <f>IFERROR(__xludf.DUMMYFUNCTION("""COMPUTED_VALUE"""),"plus-one-linked-list")</f>
        <v>plus-one-linked-list</v>
      </c>
      <c r="D370" s="20" t="b">
        <f>IFERROR(__xludf.DUMMYFUNCTION("""COMPUTED_VALUE"""),TRUE)</f>
        <v>1</v>
      </c>
      <c r="E370" s="20" t="str">
        <f>IFERROR(__xludf.DUMMYFUNCTION("""COMPUTED_VALUE"""),"Medium")</f>
        <v>Medium</v>
      </c>
      <c r="F370" s="20">
        <f>IFERROR(__xludf.DUMMYFUNCTION("""COMPUTED_VALUE"""),842.0)</f>
        <v>842</v>
      </c>
      <c r="G370" s="20">
        <f>IFERROR(__xludf.DUMMYFUNCTION("""COMPUTED_VALUE"""),42.0)</f>
        <v>42</v>
      </c>
      <c r="H370" s="20" t="str">
        <f>IFERROR(__xludf.DUMMYFUNCTION("""COMPUTED_VALUE"""),"Algorithms")</f>
        <v>Algorithms</v>
      </c>
      <c r="I370" s="20">
        <f>IFERROR(__xludf.DUMMYFUNCTION("""COMPUTED_VALUE"""),0.61)</f>
        <v>0.61</v>
      </c>
      <c r="J370" s="20">
        <f>IFERROR(__xludf.DUMMYFUNCTION("""COMPUTED_VALUE"""),369.0)</f>
        <v>369</v>
      </c>
      <c r="K370" s="20" t="b">
        <f>IFERROR(__xludf.DUMMYFUNCTION("""COMPUTED_VALUE"""),TRUE)</f>
        <v>1</v>
      </c>
      <c r="L370" s="20" t="str">
        <f>IFERROR(__xludf.DUMMYFUNCTION("""COMPUTED_VALUE"""),"Linked List;Math;")</f>
        <v>Linked List;Math;</v>
      </c>
      <c r="M370" s="20" t="b">
        <f>IFERROR(__xludf.DUMMYFUNCTION("""COMPUTED_VALUE"""),TRUE)</f>
        <v>1</v>
      </c>
      <c r="N370" s="20" t="b">
        <f>IFERROR(__xludf.DUMMYFUNCTION("""COMPUTED_VALUE"""),TRUE)</f>
        <v>1</v>
      </c>
      <c r="O370" s="20">
        <f>IFERROR(__xludf.DUMMYFUNCTION("""COMPUTED_VALUE"""),60.9651843036022)</f>
        <v>60.9651843</v>
      </c>
      <c r="P370" s="20">
        <f>IFERROR(__xludf.DUMMYFUNCTION("""COMPUTED_VALUE"""),72740.0)</f>
        <v>72740</v>
      </c>
      <c r="Q370" s="20">
        <f>IFERROR(__xludf.DUMMYFUNCTION("""COMPUTED_VALUE"""),119314.0)</f>
        <v>119314</v>
      </c>
    </row>
    <row r="371">
      <c r="A371" s="20">
        <f>IFERROR(__xludf.DUMMYFUNCTION("""COMPUTED_VALUE"""),370.0)</f>
        <v>370</v>
      </c>
      <c r="B371" s="20" t="str">
        <f>IFERROR(__xludf.DUMMYFUNCTION("""COMPUTED_VALUE"""),"Range Addition")</f>
        <v>Range Addition</v>
      </c>
      <c r="C371" s="20" t="str">
        <f>IFERROR(__xludf.DUMMYFUNCTION("""COMPUTED_VALUE"""),"range-addition")</f>
        <v>range-addition</v>
      </c>
      <c r="D371" s="20" t="b">
        <f>IFERROR(__xludf.DUMMYFUNCTION("""COMPUTED_VALUE"""),TRUE)</f>
        <v>1</v>
      </c>
      <c r="E371" s="20" t="str">
        <f>IFERROR(__xludf.DUMMYFUNCTION("""COMPUTED_VALUE"""),"Medium")</f>
        <v>Medium</v>
      </c>
      <c r="F371" s="20">
        <f>IFERROR(__xludf.DUMMYFUNCTION("""COMPUTED_VALUE"""),1470.0)</f>
        <v>1470</v>
      </c>
      <c r="G371" s="20">
        <f>IFERROR(__xludf.DUMMYFUNCTION("""COMPUTED_VALUE"""),74.0)</f>
        <v>74</v>
      </c>
      <c r="H371" s="20" t="str">
        <f>IFERROR(__xludf.DUMMYFUNCTION("""COMPUTED_VALUE"""),"Algorithms")</f>
        <v>Algorithms</v>
      </c>
      <c r="I371" s="20">
        <f>IFERROR(__xludf.DUMMYFUNCTION("""COMPUTED_VALUE"""),0.71)</f>
        <v>0.71</v>
      </c>
      <c r="J371" s="20">
        <f>IFERROR(__xludf.DUMMYFUNCTION("""COMPUTED_VALUE"""),370.0)</f>
        <v>370</v>
      </c>
      <c r="K371" s="20" t="b">
        <f>IFERROR(__xludf.DUMMYFUNCTION("""COMPUTED_VALUE"""),TRUE)</f>
        <v>1</v>
      </c>
      <c r="L371" s="20" t="str">
        <f>IFERROR(__xludf.DUMMYFUNCTION("""COMPUTED_VALUE"""),"Array;Prefix Sum;")</f>
        <v>Array;Prefix Sum;</v>
      </c>
      <c r="M371" s="20" t="b">
        <f>IFERROR(__xludf.DUMMYFUNCTION("""COMPUTED_VALUE"""),TRUE)</f>
        <v>1</v>
      </c>
      <c r="N371" s="20" t="b">
        <f>IFERROR(__xludf.DUMMYFUNCTION("""COMPUTED_VALUE"""),FALSE)</f>
        <v>0</v>
      </c>
      <c r="O371" s="20">
        <f>IFERROR(__xludf.DUMMYFUNCTION("""COMPUTED_VALUE"""),70.9982627060907)</f>
        <v>70.99826271</v>
      </c>
      <c r="P371" s="20">
        <f>IFERROR(__xludf.DUMMYFUNCTION("""COMPUTED_VALUE"""),83369.0)</f>
        <v>83369</v>
      </c>
      <c r="Q371" s="20">
        <f>IFERROR(__xludf.DUMMYFUNCTION("""COMPUTED_VALUE"""),117424.0)</f>
        <v>117424</v>
      </c>
    </row>
    <row r="372">
      <c r="A372" s="20">
        <f>IFERROR(__xludf.DUMMYFUNCTION("""COMPUTED_VALUE"""),371.0)</f>
        <v>371</v>
      </c>
      <c r="B372" s="20" t="str">
        <f>IFERROR(__xludf.DUMMYFUNCTION("""COMPUTED_VALUE"""),"Sum of Two Integers")</f>
        <v>Sum of Two Integers</v>
      </c>
      <c r="C372" s="20" t="str">
        <f>IFERROR(__xludf.DUMMYFUNCTION("""COMPUTED_VALUE"""),"sum-of-two-integers")</f>
        <v>sum-of-two-integers</v>
      </c>
      <c r="D372" s="20" t="b">
        <f>IFERROR(__xludf.DUMMYFUNCTION("""COMPUTED_VALUE"""),FALSE)</f>
        <v>0</v>
      </c>
      <c r="E372" s="20" t="str">
        <f>IFERROR(__xludf.DUMMYFUNCTION("""COMPUTED_VALUE"""),"Medium")</f>
        <v>Medium</v>
      </c>
      <c r="F372" s="20">
        <f>IFERROR(__xludf.DUMMYFUNCTION("""COMPUTED_VALUE"""),3216.0)</f>
        <v>3216</v>
      </c>
      <c r="G372" s="20">
        <f>IFERROR(__xludf.DUMMYFUNCTION("""COMPUTED_VALUE"""),4528.0)</f>
        <v>4528</v>
      </c>
      <c r="H372" s="20" t="str">
        <f>IFERROR(__xludf.DUMMYFUNCTION("""COMPUTED_VALUE"""),"Algorithms")</f>
        <v>Algorithms</v>
      </c>
      <c r="I372" s="20">
        <f>IFERROR(__xludf.DUMMYFUNCTION("""COMPUTED_VALUE"""),0.507)</f>
        <v>0.507</v>
      </c>
      <c r="J372" s="20">
        <f>IFERROR(__xludf.DUMMYFUNCTION("""COMPUTED_VALUE"""),371.0)</f>
        <v>371</v>
      </c>
      <c r="K372" s="20" t="b">
        <f>IFERROR(__xludf.DUMMYFUNCTION("""COMPUTED_VALUE"""),FALSE)</f>
        <v>0</v>
      </c>
      <c r="L372" s="20" t="str">
        <f>IFERROR(__xludf.DUMMYFUNCTION("""COMPUTED_VALUE"""),"Math;Bit Manipulation;")</f>
        <v>Math;Bit Manipulation;</v>
      </c>
      <c r="M372" s="20" t="b">
        <f>IFERROR(__xludf.DUMMYFUNCTION("""COMPUTED_VALUE"""),TRUE)</f>
        <v>1</v>
      </c>
      <c r="N372" s="20" t="b">
        <f>IFERROR(__xludf.DUMMYFUNCTION("""COMPUTED_VALUE"""),FALSE)</f>
        <v>0</v>
      </c>
      <c r="O372" s="20">
        <f>IFERROR(__xludf.DUMMYFUNCTION("""COMPUTED_VALUE"""),50.6691304583393)</f>
        <v>50.66913046</v>
      </c>
      <c r="P372" s="20">
        <f>IFERROR(__xludf.DUMMYFUNCTION("""COMPUTED_VALUE"""),355371.0)</f>
        <v>355371</v>
      </c>
      <c r="Q372" s="20">
        <f>IFERROR(__xludf.DUMMYFUNCTION("""COMPUTED_VALUE"""),701352.0)</f>
        <v>701352</v>
      </c>
    </row>
    <row r="373">
      <c r="A373" s="20">
        <f>IFERROR(__xludf.DUMMYFUNCTION("""COMPUTED_VALUE"""),372.0)</f>
        <v>372</v>
      </c>
      <c r="B373" s="20" t="str">
        <f>IFERROR(__xludf.DUMMYFUNCTION("""COMPUTED_VALUE"""),"Super Pow")</f>
        <v>Super Pow</v>
      </c>
      <c r="C373" s="20" t="str">
        <f>IFERROR(__xludf.DUMMYFUNCTION("""COMPUTED_VALUE"""),"super-pow")</f>
        <v>super-pow</v>
      </c>
      <c r="D373" s="20" t="b">
        <f>IFERROR(__xludf.DUMMYFUNCTION("""COMPUTED_VALUE"""),FALSE)</f>
        <v>0</v>
      </c>
      <c r="E373" s="20" t="str">
        <f>IFERROR(__xludf.DUMMYFUNCTION("""COMPUTED_VALUE"""),"Medium")</f>
        <v>Medium</v>
      </c>
      <c r="F373" s="20">
        <f>IFERROR(__xludf.DUMMYFUNCTION("""COMPUTED_VALUE"""),635.0)</f>
        <v>635</v>
      </c>
      <c r="G373" s="20">
        <f>IFERROR(__xludf.DUMMYFUNCTION("""COMPUTED_VALUE"""),1241.0)</f>
        <v>1241</v>
      </c>
      <c r="H373" s="20" t="str">
        <f>IFERROR(__xludf.DUMMYFUNCTION("""COMPUTED_VALUE"""),"Algorithms")</f>
        <v>Algorithms</v>
      </c>
      <c r="I373" s="20">
        <f>IFERROR(__xludf.DUMMYFUNCTION("""COMPUTED_VALUE"""),0.37)</f>
        <v>0.37</v>
      </c>
      <c r="J373" s="20">
        <f>IFERROR(__xludf.DUMMYFUNCTION("""COMPUTED_VALUE"""),372.0)</f>
        <v>372</v>
      </c>
      <c r="K373" s="20" t="b">
        <f>IFERROR(__xludf.DUMMYFUNCTION("""COMPUTED_VALUE"""),FALSE)</f>
        <v>0</v>
      </c>
      <c r="L373" s="20" t="str">
        <f>IFERROR(__xludf.DUMMYFUNCTION("""COMPUTED_VALUE"""),"Math;Divide and Conquer;")</f>
        <v>Math;Divide and Conquer;</v>
      </c>
      <c r="M373" s="20" t="b">
        <f>IFERROR(__xludf.DUMMYFUNCTION("""COMPUTED_VALUE"""),FALSE)</f>
        <v>0</v>
      </c>
      <c r="N373" s="20" t="b">
        <f>IFERROR(__xludf.DUMMYFUNCTION("""COMPUTED_VALUE"""),FALSE)</f>
        <v>0</v>
      </c>
      <c r="O373" s="20">
        <f>IFERROR(__xludf.DUMMYFUNCTION("""COMPUTED_VALUE"""),36.9555963498017)</f>
        <v>36.95559635</v>
      </c>
      <c r="P373" s="20">
        <f>IFERROR(__xludf.DUMMYFUNCTION("""COMPUTED_VALUE"""),55560.0)</f>
        <v>55560</v>
      </c>
      <c r="Q373" s="20">
        <f>IFERROR(__xludf.DUMMYFUNCTION("""COMPUTED_VALUE"""),150346.0)</f>
        <v>150346</v>
      </c>
    </row>
    <row r="374">
      <c r="A374" s="20">
        <f>IFERROR(__xludf.DUMMYFUNCTION("""COMPUTED_VALUE"""),373.0)</f>
        <v>373</v>
      </c>
      <c r="B374" s="20" t="str">
        <f>IFERROR(__xludf.DUMMYFUNCTION("""COMPUTED_VALUE"""),"Find K Pairs with Smallest Sums")</f>
        <v>Find K Pairs with Smallest Sums</v>
      </c>
      <c r="C374" s="20" t="str">
        <f>IFERROR(__xludf.DUMMYFUNCTION("""COMPUTED_VALUE"""),"find-k-pairs-with-smallest-sums")</f>
        <v>find-k-pairs-with-smallest-sums</v>
      </c>
      <c r="D374" s="20" t="b">
        <f>IFERROR(__xludf.DUMMYFUNCTION("""COMPUTED_VALUE"""),FALSE)</f>
        <v>0</v>
      </c>
      <c r="E374" s="20" t="str">
        <f>IFERROR(__xludf.DUMMYFUNCTION("""COMPUTED_VALUE"""),"Medium")</f>
        <v>Medium</v>
      </c>
      <c r="F374" s="20">
        <f>IFERROR(__xludf.DUMMYFUNCTION("""COMPUTED_VALUE"""),3758.0)</f>
        <v>3758</v>
      </c>
      <c r="G374" s="20">
        <f>IFERROR(__xludf.DUMMYFUNCTION("""COMPUTED_VALUE"""),224.0)</f>
        <v>224</v>
      </c>
      <c r="H374" s="20" t="str">
        <f>IFERROR(__xludf.DUMMYFUNCTION("""COMPUTED_VALUE"""),"Algorithms")</f>
        <v>Algorithms</v>
      </c>
      <c r="I374" s="20">
        <f>IFERROR(__xludf.DUMMYFUNCTION("""COMPUTED_VALUE"""),0.383)</f>
        <v>0.383</v>
      </c>
      <c r="J374" s="20">
        <f>IFERROR(__xludf.DUMMYFUNCTION("""COMPUTED_VALUE"""),373.0)</f>
        <v>373</v>
      </c>
      <c r="K374" s="20" t="b">
        <f>IFERROR(__xludf.DUMMYFUNCTION("""COMPUTED_VALUE"""),FALSE)</f>
        <v>0</v>
      </c>
      <c r="L374" s="20" t="str">
        <f>IFERROR(__xludf.DUMMYFUNCTION("""COMPUTED_VALUE"""),"Array;Heap (Priority Queue);")</f>
        <v>Array;Heap (Priority Queue);</v>
      </c>
      <c r="M374" s="20" t="b">
        <f>IFERROR(__xludf.DUMMYFUNCTION("""COMPUTED_VALUE"""),FALSE)</f>
        <v>0</v>
      </c>
      <c r="N374" s="20" t="b">
        <f>IFERROR(__xludf.DUMMYFUNCTION("""COMPUTED_VALUE"""),FALSE)</f>
        <v>0</v>
      </c>
      <c r="O374" s="20">
        <f>IFERROR(__xludf.DUMMYFUNCTION("""COMPUTED_VALUE"""),38.2990684227433)</f>
        <v>38.29906842</v>
      </c>
      <c r="P374" s="20">
        <f>IFERROR(__xludf.DUMMYFUNCTION("""COMPUTED_VALUE"""),190759.0)</f>
        <v>190759</v>
      </c>
      <c r="Q374" s="20">
        <f>IFERROR(__xludf.DUMMYFUNCTION("""COMPUTED_VALUE"""),498078.0)</f>
        <v>498078</v>
      </c>
    </row>
    <row r="375">
      <c r="A375" s="20">
        <f>IFERROR(__xludf.DUMMYFUNCTION("""COMPUTED_VALUE"""),374.0)</f>
        <v>374</v>
      </c>
      <c r="B375" s="20" t="str">
        <f>IFERROR(__xludf.DUMMYFUNCTION("""COMPUTED_VALUE"""),"Guess Number Higher or Lower")</f>
        <v>Guess Number Higher or Lower</v>
      </c>
      <c r="C375" s="20" t="str">
        <f>IFERROR(__xludf.DUMMYFUNCTION("""COMPUTED_VALUE"""),"guess-number-higher-or-lower")</f>
        <v>guess-number-higher-or-lower</v>
      </c>
      <c r="D375" s="20" t="b">
        <f>IFERROR(__xludf.DUMMYFUNCTION("""COMPUTED_VALUE"""),FALSE)</f>
        <v>0</v>
      </c>
      <c r="E375" s="20" t="str">
        <f>IFERROR(__xludf.DUMMYFUNCTION("""COMPUTED_VALUE"""),"Easy")</f>
        <v>Easy</v>
      </c>
      <c r="F375" s="20">
        <f>IFERROR(__xludf.DUMMYFUNCTION("""COMPUTED_VALUE"""),2578.0)</f>
        <v>2578</v>
      </c>
      <c r="G375" s="20">
        <f>IFERROR(__xludf.DUMMYFUNCTION("""COMPUTED_VALUE"""),309.0)</f>
        <v>309</v>
      </c>
      <c r="H375" s="20" t="str">
        <f>IFERROR(__xludf.DUMMYFUNCTION("""COMPUTED_VALUE"""),"Algorithms")</f>
        <v>Algorithms</v>
      </c>
      <c r="I375" s="20">
        <f>IFERROR(__xludf.DUMMYFUNCTION("""COMPUTED_VALUE"""),0.514)</f>
        <v>0.514</v>
      </c>
      <c r="J375" s="20">
        <f>IFERROR(__xludf.DUMMYFUNCTION("""COMPUTED_VALUE"""),374.0)</f>
        <v>374</v>
      </c>
      <c r="K375" s="20" t="b">
        <f>IFERROR(__xludf.DUMMYFUNCTION("""COMPUTED_VALUE"""),FALSE)</f>
        <v>0</v>
      </c>
      <c r="L375" s="20" t="str">
        <f>IFERROR(__xludf.DUMMYFUNCTION("""COMPUTED_VALUE"""),"Binary Search;Interactive;")</f>
        <v>Binary Search;Interactive;</v>
      </c>
      <c r="M375" s="20" t="b">
        <f>IFERROR(__xludf.DUMMYFUNCTION("""COMPUTED_VALUE"""),TRUE)</f>
        <v>1</v>
      </c>
      <c r="N375" s="20" t="b">
        <f>IFERROR(__xludf.DUMMYFUNCTION("""COMPUTED_VALUE"""),TRUE)</f>
        <v>1</v>
      </c>
      <c r="O375" s="20">
        <f>IFERROR(__xludf.DUMMYFUNCTION("""COMPUTED_VALUE"""),51.4462277333839)</f>
        <v>51.44622773</v>
      </c>
      <c r="P375" s="20">
        <f>IFERROR(__xludf.DUMMYFUNCTION("""COMPUTED_VALUE"""),455042.0)</f>
        <v>455042</v>
      </c>
      <c r="Q375" s="20">
        <f>IFERROR(__xludf.DUMMYFUNCTION("""COMPUTED_VALUE"""),884497.0)</f>
        <v>884497</v>
      </c>
    </row>
    <row r="376">
      <c r="A376" s="20">
        <f>IFERROR(__xludf.DUMMYFUNCTION("""COMPUTED_VALUE"""),375.0)</f>
        <v>375</v>
      </c>
      <c r="B376" s="20" t="str">
        <f>IFERROR(__xludf.DUMMYFUNCTION("""COMPUTED_VALUE"""),"Guess Number Higher or Lower II")</f>
        <v>Guess Number Higher or Lower II</v>
      </c>
      <c r="C376" s="20" t="str">
        <f>IFERROR(__xludf.DUMMYFUNCTION("""COMPUTED_VALUE"""),"guess-number-higher-or-lower-ii")</f>
        <v>guess-number-higher-or-lower-ii</v>
      </c>
      <c r="D376" s="20" t="b">
        <f>IFERROR(__xludf.DUMMYFUNCTION("""COMPUTED_VALUE"""),FALSE)</f>
        <v>0</v>
      </c>
      <c r="E376" s="20" t="str">
        <f>IFERROR(__xludf.DUMMYFUNCTION("""COMPUTED_VALUE"""),"Medium")</f>
        <v>Medium</v>
      </c>
      <c r="F376" s="20">
        <f>IFERROR(__xludf.DUMMYFUNCTION("""COMPUTED_VALUE"""),1747.0)</f>
        <v>1747</v>
      </c>
      <c r="G376" s="20">
        <f>IFERROR(__xludf.DUMMYFUNCTION("""COMPUTED_VALUE"""),1936.0)</f>
        <v>1936</v>
      </c>
      <c r="H376" s="20" t="str">
        <f>IFERROR(__xludf.DUMMYFUNCTION("""COMPUTED_VALUE"""),"Algorithms")</f>
        <v>Algorithms</v>
      </c>
      <c r="I376" s="20">
        <f>IFERROR(__xludf.DUMMYFUNCTION("""COMPUTED_VALUE"""),0.465)</f>
        <v>0.465</v>
      </c>
      <c r="J376" s="20">
        <f>IFERROR(__xludf.DUMMYFUNCTION("""COMPUTED_VALUE"""),375.0)</f>
        <v>375</v>
      </c>
      <c r="K376" s="20" t="b">
        <f>IFERROR(__xludf.DUMMYFUNCTION("""COMPUTED_VALUE"""),FALSE)</f>
        <v>0</v>
      </c>
      <c r="L376" s="20" t="str">
        <f>IFERROR(__xludf.DUMMYFUNCTION("""COMPUTED_VALUE"""),"Math;Dynamic Programming;Game Theory;")</f>
        <v>Math;Dynamic Programming;Game Theory;</v>
      </c>
      <c r="M376" s="20" t="b">
        <f>IFERROR(__xludf.DUMMYFUNCTION("""COMPUTED_VALUE"""),FALSE)</f>
        <v>0</v>
      </c>
      <c r="N376" s="20" t="b">
        <f>IFERROR(__xludf.DUMMYFUNCTION("""COMPUTED_VALUE"""),FALSE)</f>
        <v>0</v>
      </c>
      <c r="O376" s="20">
        <f>IFERROR(__xludf.DUMMYFUNCTION("""COMPUTED_VALUE"""),46.5294149898568)</f>
        <v>46.52941499</v>
      </c>
      <c r="P376" s="20">
        <f>IFERROR(__xludf.DUMMYFUNCTION("""COMPUTED_VALUE"""),101838.0)</f>
        <v>101838</v>
      </c>
      <c r="Q376" s="20">
        <f>IFERROR(__xludf.DUMMYFUNCTION("""COMPUTED_VALUE"""),218868.0)</f>
        <v>218868</v>
      </c>
    </row>
    <row r="377">
      <c r="A377" s="20">
        <f>IFERROR(__xludf.DUMMYFUNCTION("""COMPUTED_VALUE"""),376.0)</f>
        <v>376</v>
      </c>
      <c r="B377" s="20" t="str">
        <f>IFERROR(__xludf.DUMMYFUNCTION("""COMPUTED_VALUE"""),"Wiggle Subsequence")</f>
        <v>Wiggle Subsequence</v>
      </c>
      <c r="C377" s="20" t="str">
        <f>IFERROR(__xludf.DUMMYFUNCTION("""COMPUTED_VALUE"""),"wiggle-subsequence")</f>
        <v>wiggle-subsequence</v>
      </c>
      <c r="D377" s="20" t="b">
        <f>IFERROR(__xludf.DUMMYFUNCTION("""COMPUTED_VALUE"""),FALSE)</f>
        <v>0</v>
      </c>
      <c r="E377" s="20" t="str">
        <f>IFERROR(__xludf.DUMMYFUNCTION("""COMPUTED_VALUE"""),"Medium")</f>
        <v>Medium</v>
      </c>
      <c r="F377" s="20">
        <f>IFERROR(__xludf.DUMMYFUNCTION("""COMPUTED_VALUE"""),4484.0)</f>
        <v>4484</v>
      </c>
      <c r="G377" s="20">
        <f>IFERROR(__xludf.DUMMYFUNCTION("""COMPUTED_VALUE"""),145.0)</f>
        <v>145</v>
      </c>
      <c r="H377" s="20" t="str">
        <f>IFERROR(__xludf.DUMMYFUNCTION("""COMPUTED_VALUE"""),"Algorithms")</f>
        <v>Algorithms</v>
      </c>
      <c r="I377" s="20">
        <f>IFERROR(__xludf.DUMMYFUNCTION("""COMPUTED_VALUE"""),0.483)</f>
        <v>0.483</v>
      </c>
      <c r="J377" s="20">
        <f>IFERROR(__xludf.DUMMYFUNCTION("""COMPUTED_VALUE"""),376.0)</f>
        <v>376</v>
      </c>
      <c r="K377" s="20" t="b">
        <f>IFERROR(__xludf.DUMMYFUNCTION("""COMPUTED_VALUE"""),FALSE)</f>
        <v>0</v>
      </c>
      <c r="L377" s="20" t="str">
        <f>IFERROR(__xludf.DUMMYFUNCTION("""COMPUTED_VALUE"""),"Array;Dynamic Programming;Greedy;")</f>
        <v>Array;Dynamic Programming;Greedy;</v>
      </c>
      <c r="M377" s="20" t="b">
        <f>IFERROR(__xludf.DUMMYFUNCTION("""COMPUTED_VALUE"""),TRUE)</f>
        <v>1</v>
      </c>
      <c r="N377" s="20" t="b">
        <f>IFERROR(__xludf.DUMMYFUNCTION("""COMPUTED_VALUE"""),FALSE)</f>
        <v>0</v>
      </c>
      <c r="O377" s="20">
        <f>IFERROR(__xludf.DUMMYFUNCTION("""COMPUTED_VALUE"""),48.2681630565803)</f>
        <v>48.26816306</v>
      </c>
      <c r="P377" s="20">
        <f>IFERROR(__xludf.DUMMYFUNCTION("""COMPUTED_VALUE"""),211430.0)</f>
        <v>211430</v>
      </c>
      <c r="Q377" s="20">
        <f>IFERROR(__xludf.DUMMYFUNCTION("""COMPUTED_VALUE"""),438030.0)</f>
        <v>438030</v>
      </c>
    </row>
    <row r="378">
      <c r="A378" s="20">
        <f>IFERROR(__xludf.DUMMYFUNCTION("""COMPUTED_VALUE"""),377.0)</f>
        <v>377</v>
      </c>
      <c r="B378" s="20" t="str">
        <f>IFERROR(__xludf.DUMMYFUNCTION("""COMPUTED_VALUE"""),"Combination Sum IV")</f>
        <v>Combination Sum IV</v>
      </c>
      <c r="C378" s="20" t="str">
        <f>IFERROR(__xludf.DUMMYFUNCTION("""COMPUTED_VALUE"""),"combination-sum-iv")</f>
        <v>combination-sum-iv</v>
      </c>
      <c r="D378" s="20" t="b">
        <f>IFERROR(__xludf.DUMMYFUNCTION("""COMPUTED_VALUE"""),FALSE)</f>
        <v>0</v>
      </c>
      <c r="E378" s="20" t="str">
        <f>IFERROR(__xludf.DUMMYFUNCTION("""COMPUTED_VALUE"""),"Medium")</f>
        <v>Medium</v>
      </c>
      <c r="F378" s="20">
        <f>IFERROR(__xludf.DUMMYFUNCTION("""COMPUTED_VALUE"""),5380.0)</f>
        <v>5380</v>
      </c>
      <c r="G378" s="20">
        <f>IFERROR(__xludf.DUMMYFUNCTION("""COMPUTED_VALUE"""),556.0)</f>
        <v>556</v>
      </c>
      <c r="H378" s="20" t="str">
        <f>IFERROR(__xludf.DUMMYFUNCTION("""COMPUTED_VALUE"""),"Algorithms")</f>
        <v>Algorithms</v>
      </c>
      <c r="I378" s="20">
        <f>IFERROR(__xludf.DUMMYFUNCTION("""COMPUTED_VALUE"""),0.522)</f>
        <v>0.522</v>
      </c>
      <c r="J378" s="20">
        <f>IFERROR(__xludf.DUMMYFUNCTION("""COMPUTED_VALUE"""),377.0)</f>
        <v>377</v>
      </c>
      <c r="K378" s="20" t="b">
        <f>IFERROR(__xludf.DUMMYFUNCTION("""COMPUTED_VALUE"""),FALSE)</f>
        <v>0</v>
      </c>
      <c r="L378" s="20" t="str">
        <f>IFERROR(__xludf.DUMMYFUNCTION("""COMPUTED_VALUE"""),"Array;Dynamic Programming;")</f>
        <v>Array;Dynamic Programming;</v>
      </c>
      <c r="M378" s="20" t="b">
        <f>IFERROR(__xludf.DUMMYFUNCTION("""COMPUTED_VALUE"""),TRUE)</f>
        <v>1</v>
      </c>
      <c r="N378" s="20" t="b">
        <f>IFERROR(__xludf.DUMMYFUNCTION("""COMPUTED_VALUE"""),FALSE)</f>
        <v>0</v>
      </c>
      <c r="O378" s="20">
        <f>IFERROR(__xludf.DUMMYFUNCTION("""COMPUTED_VALUE"""),52.1525298223612)</f>
        <v>52.15252982</v>
      </c>
      <c r="P378" s="20">
        <f>IFERROR(__xludf.DUMMYFUNCTION("""COMPUTED_VALUE"""),340177.0)</f>
        <v>340177</v>
      </c>
      <c r="Q378" s="20">
        <f>IFERROR(__xludf.DUMMYFUNCTION("""COMPUTED_VALUE"""),652275.0)</f>
        <v>652275</v>
      </c>
    </row>
    <row r="379">
      <c r="A379" s="20">
        <f>IFERROR(__xludf.DUMMYFUNCTION("""COMPUTED_VALUE"""),378.0)</f>
        <v>378</v>
      </c>
      <c r="B379" s="20" t="str">
        <f>IFERROR(__xludf.DUMMYFUNCTION("""COMPUTED_VALUE"""),"Kth Smallest Element in a Sorted Matrix")</f>
        <v>Kth Smallest Element in a Sorted Matrix</v>
      </c>
      <c r="C379" s="20" t="str">
        <f>IFERROR(__xludf.DUMMYFUNCTION("""COMPUTED_VALUE"""),"kth-smallest-element-in-a-sorted-matrix")</f>
        <v>kth-smallest-element-in-a-sorted-matrix</v>
      </c>
      <c r="D379" s="20" t="b">
        <f>IFERROR(__xludf.DUMMYFUNCTION("""COMPUTED_VALUE"""),FALSE)</f>
        <v>0</v>
      </c>
      <c r="E379" s="20" t="str">
        <f>IFERROR(__xludf.DUMMYFUNCTION("""COMPUTED_VALUE"""),"Medium")</f>
        <v>Medium</v>
      </c>
      <c r="F379" s="20">
        <f>IFERROR(__xludf.DUMMYFUNCTION("""COMPUTED_VALUE"""),8495.0)</f>
        <v>8495</v>
      </c>
      <c r="G379" s="20">
        <f>IFERROR(__xludf.DUMMYFUNCTION("""COMPUTED_VALUE"""),298.0)</f>
        <v>298</v>
      </c>
      <c r="H379" s="20" t="str">
        <f>IFERROR(__xludf.DUMMYFUNCTION("""COMPUTED_VALUE"""),"Algorithms")</f>
        <v>Algorithms</v>
      </c>
      <c r="I379" s="20">
        <f>IFERROR(__xludf.DUMMYFUNCTION("""COMPUTED_VALUE"""),0.617)</f>
        <v>0.617</v>
      </c>
      <c r="J379" s="20">
        <f>IFERROR(__xludf.DUMMYFUNCTION("""COMPUTED_VALUE"""),378.0)</f>
        <v>378</v>
      </c>
      <c r="K379" s="20" t="b">
        <f>IFERROR(__xludf.DUMMYFUNCTION("""COMPUTED_VALUE"""),FALSE)</f>
        <v>0</v>
      </c>
      <c r="L379" s="20" t="str">
        <f>IFERROR(__xludf.DUMMYFUNCTION("""COMPUTED_VALUE"""),"Array;Binary Search;Sorting;Heap (Priority Queue);Matrix;")</f>
        <v>Array;Binary Search;Sorting;Heap (Priority Queue);Matrix;</v>
      </c>
      <c r="M379" s="20" t="b">
        <f>IFERROR(__xludf.DUMMYFUNCTION("""COMPUTED_VALUE"""),TRUE)</f>
        <v>1</v>
      </c>
      <c r="N379" s="20" t="b">
        <f>IFERROR(__xludf.DUMMYFUNCTION("""COMPUTED_VALUE"""),FALSE)</f>
        <v>0</v>
      </c>
      <c r="O379" s="20">
        <f>IFERROR(__xludf.DUMMYFUNCTION("""COMPUTED_VALUE"""),61.6786523851942)</f>
        <v>61.67865239</v>
      </c>
      <c r="P379" s="20">
        <f>IFERROR(__xludf.DUMMYFUNCTION("""COMPUTED_VALUE"""),510998.0)</f>
        <v>510998</v>
      </c>
      <c r="Q379" s="20">
        <f>IFERROR(__xludf.DUMMYFUNCTION("""COMPUTED_VALUE"""),828485.0)</f>
        <v>828485</v>
      </c>
    </row>
    <row r="380">
      <c r="A380" s="20">
        <f>IFERROR(__xludf.DUMMYFUNCTION("""COMPUTED_VALUE"""),379.0)</f>
        <v>379</v>
      </c>
      <c r="B380" s="20" t="str">
        <f>IFERROR(__xludf.DUMMYFUNCTION("""COMPUTED_VALUE"""),"Design Phone Directory")</f>
        <v>Design Phone Directory</v>
      </c>
      <c r="C380" s="20" t="str">
        <f>IFERROR(__xludf.DUMMYFUNCTION("""COMPUTED_VALUE"""),"design-phone-directory")</f>
        <v>design-phone-directory</v>
      </c>
      <c r="D380" s="20" t="b">
        <f>IFERROR(__xludf.DUMMYFUNCTION("""COMPUTED_VALUE"""),TRUE)</f>
        <v>1</v>
      </c>
      <c r="E380" s="20" t="str">
        <f>IFERROR(__xludf.DUMMYFUNCTION("""COMPUTED_VALUE"""),"Medium")</f>
        <v>Medium</v>
      </c>
      <c r="F380" s="20">
        <f>IFERROR(__xludf.DUMMYFUNCTION("""COMPUTED_VALUE"""),306.0)</f>
        <v>306</v>
      </c>
      <c r="G380" s="20">
        <f>IFERROR(__xludf.DUMMYFUNCTION("""COMPUTED_VALUE"""),435.0)</f>
        <v>435</v>
      </c>
      <c r="H380" s="20" t="str">
        <f>IFERROR(__xludf.DUMMYFUNCTION("""COMPUTED_VALUE"""),"Algorithms")</f>
        <v>Algorithms</v>
      </c>
      <c r="I380" s="20">
        <f>IFERROR(__xludf.DUMMYFUNCTION("""COMPUTED_VALUE"""),0.51)</f>
        <v>0.51</v>
      </c>
      <c r="J380" s="20">
        <f>IFERROR(__xludf.DUMMYFUNCTION("""COMPUTED_VALUE"""),379.0)</f>
        <v>379</v>
      </c>
      <c r="K380" s="20" t="b">
        <f>IFERROR(__xludf.DUMMYFUNCTION("""COMPUTED_VALUE"""),TRUE)</f>
        <v>1</v>
      </c>
      <c r="L380" s="20" t="str">
        <f>IFERROR(__xludf.DUMMYFUNCTION("""COMPUTED_VALUE"""),"Array;Hash Table;Linked List;Design;Queue;")</f>
        <v>Array;Hash Table;Linked List;Design;Queue;</v>
      </c>
      <c r="M380" s="20" t="b">
        <f>IFERROR(__xludf.DUMMYFUNCTION("""COMPUTED_VALUE"""),FALSE)</f>
        <v>0</v>
      </c>
      <c r="N380" s="20" t="b">
        <f>IFERROR(__xludf.DUMMYFUNCTION("""COMPUTED_VALUE"""),FALSE)</f>
        <v>0</v>
      </c>
      <c r="O380" s="20">
        <f>IFERROR(__xludf.DUMMYFUNCTION("""COMPUTED_VALUE"""),51.0089180003918)</f>
        <v>51.008918</v>
      </c>
      <c r="P380" s="20">
        <f>IFERROR(__xludf.DUMMYFUNCTION("""COMPUTED_VALUE"""),59886.0)</f>
        <v>59886</v>
      </c>
      <c r="Q380" s="20">
        <f>IFERROR(__xludf.DUMMYFUNCTION("""COMPUTED_VALUE"""),117403.0)</f>
        <v>117403</v>
      </c>
    </row>
    <row r="381">
      <c r="A381" s="20">
        <f>IFERROR(__xludf.DUMMYFUNCTION("""COMPUTED_VALUE"""),380.0)</f>
        <v>380</v>
      </c>
      <c r="B381" s="20" t="str">
        <f>IFERROR(__xludf.DUMMYFUNCTION("""COMPUTED_VALUE"""),"Insert Delete GetRandom O(1)")</f>
        <v>Insert Delete GetRandom O(1)</v>
      </c>
      <c r="C381" s="20" t="str">
        <f>IFERROR(__xludf.DUMMYFUNCTION("""COMPUTED_VALUE"""),"insert-delete-getrandom-o1")</f>
        <v>insert-delete-getrandom-o1</v>
      </c>
      <c r="D381" s="20" t="b">
        <f>IFERROR(__xludf.DUMMYFUNCTION("""COMPUTED_VALUE"""),FALSE)</f>
        <v>0</v>
      </c>
      <c r="E381" s="20" t="str">
        <f>IFERROR(__xludf.DUMMYFUNCTION("""COMPUTED_VALUE"""),"Medium")</f>
        <v>Medium</v>
      </c>
      <c r="F381" s="20">
        <f>IFERROR(__xludf.DUMMYFUNCTION("""COMPUTED_VALUE"""),7117.0)</f>
        <v>7117</v>
      </c>
      <c r="G381" s="20">
        <f>IFERROR(__xludf.DUMMYFUNCTION("""COMPUTED_VALUE"""),363.0)</f>
        <v>363</v>
      </c>
      <c r="H381" s="20" t="str">
        <f>IFERROR(__xludf.DUMMYFUNCTION("""COMPUTED_VALUE"""),"Algorithms")</f>
        <v>Algorithms</v>
      </c>
      <c r="I381" s="20">
        <f>IFERROR(__xludf.DUMMYFUNCTION("""COMPUTED_VALUE"""),0.528)</f>
        <v>0.528</v>
      </c>
      <c r="J381" s="20">
        <f>IFERROR(__xludf.DUMMYFUNCTION("""COMPUTED_VALUE"""),380.0)</f>
        <v>380</v>
      </c>
      <c r="K381" s="20" t="b">
        <f>IFERROR(__xludf.DUMMYFUNCTION("""COMPUTED_VALUE"""),FALSE)</f>
        <v>0</v>
      </c>
      <c r="L381" s="20" t="str">
        <f>IFERROR(__xludf.DUMMYFUNCTION("""COMPUTED_VALUE"""),"Array;Hash Table;Math;Design;Randomized;")</f>
        <v>Array;Hash Table;Math;Design;Randomized;</v>
      </c>
      <c r="M381" s="20" t="b">
        <f>IFERROR(__xludf.DUMMYFUNCTION("""COMPUTED_VALUE"""),TRUE)</f>
        <v>1</v>
      </c>
      <c r="N381" s="20" t="b">
        <f>IFERROR(__xludf.DUMMYFUNCTION("""COMPUTED_VALUE"""),FALSE)</f>
        <v>0</v>
      </c>
      <c r="O381" s="20">
        <f>IFERROR(__xludf.DUMMYFUNCTION("""COMPUTED_VALUE"""),52.8490983382111)</f>
        <v>52.84909834</v>
      </c>
      <c r="P381" s="20">
        <f>IFERROR(__xludf.DUMMYFUNCTION("""COMPUTED_VALUE"""),594450.0)</f>
        <v>594450</v>
      </c>
      <c r="Q381" s="20">
        <f>IFERROR(__xludf.DUMMYFUNCTION("""COMPUTED_VALUE"""),1124799.0)</f>
        <v>1124799</v>
      </c>
    </row>
    <row r="382">
      <c r="A382" s="20">
        <f>IFERROR(__xludf.DUMMYFUNCTION("""COMPUTED_VALUE"""),381.0)</f>
        <v>381</v>
      </c>
      <c r="B382" s="20" t="str">
        <f>IFERROR(__xludf.DUMMYFUNCTION("""COMPUTED_VALUE"""),"Insert Delete GetRandom O(1) - Duplicates allowed")</f>
        <v>Insert Delete GetRandom O(1) - Duplicates allowed</v>
      </c>
      <c r="C382" s="20" t="str">
        <f>IFERROR(__xludf.DUMMYFUNCTION("""COMPUTED_VALUE"""),"insert-delete-getrandom-o1-duplicates-allowed")</f>
        <v>insert-delete-getrandom-o1-duplicates-allowed</v>
      </c>
      <c r="D382" s="20" t="b">
        <f>IFERROR(__xludf.DUMMYFUNCTION("""COMPUTED_VALUE"""),FALSE)</f>
        <v>0</v>
      </c>
      <c r="E382" s="20" t="str">
        <f>IFERROR(__xludf.DUMMYFUNCTION("""COMPUTED_VALUE"""),"Hard")</f>
        <v>Hard</v>
      </c>
      <c r="F382" s="20">
        <f>IFERROR(__xludf.DUMMYFUNCTION("""COMPUTED_VALUE"""),1960.0)</f>
        <v>1960</v>
      </c>
      <c r="G382" s="20">
        <f>IFERROR(__xludf.DUMMYFUNCTION("""COMPUTED_VALUE"""),132.0)</f>
        <v>132</v>
      </c>
      <c r="H382" s="20" t="str">
        <f>IFERROR(__xludf.DUMMYFUNCTION("""COMPUTED_VALUE"""),"Algorithms")</f>
        <v>Algorithms</v>
      </c>
      <c r="I382" s="20">
        <f>IFERROR(__xludf.DUMMYFUNCTION("""COMPUTED_VALUE"""),0.356)</f>
        <v>0.356</v>
      </c>
      <c r="J382" s="20">
        <f>IFERROR(__xludf.DUMMYFUNCTION("""COMPUTED_VALUE"""),381.0)</f>
        <v>381</v>
      </c>
      <c r="K382" s="20" t="b">
        <f>IFERROR(__xludf.DUMMYFUNCTION("""COMPUTED_VALUE"""),FALSE)</f>
        <v>0</v>
      </c>
      <c r="L382" s="20" t="str">
        <f>IFERROR(__xludf.DUMMYFUNCTION("""COMPUTED_VALUE"""),"Array;Hash Table;Math;Design;Randomized;")</f>
        <v>Array;Hash Table;Math;Design;Randomized;</v>
      </c>
      <c r="M382" s="20" t="b">
        <f>IFERROR(__xludf.DUMMYFUNCTION("""COMPUTED_VALUE"""),TRUE)</f>
        <v>1</v>
      </c>
      <c r="N382" s="20" t="b">
        <f>IFERROR(__xludf.DUMMYFUNCTION("""COMPUTED_VALUE"""),FALSE)</f>
        <v>0</v>
      </c>
      <c r="O382" s="20">
        <f>IFERROR(__xludf.DUMMYFUNCTION("""COMPUTED_VALUE"""),35.6103202021841)</f>
        <v>35.6103202</v>
      </c>
      <c r="P382" s="20">
        <f>IFERROR(__xludf.DUMMYFUNCTION("""COMPUTED_VALUE"""),122866.0)</f>
        <v>122866</v>
      </c>
      <c r="Q382" s="20">
        <f>IFERROR(__xludf.DUMMYFUNCTION("""COMPUTED_VALUE"""),345027.0)</f>
        <v>345027</v>
      </c>
    </row>
    <row r="383">
      <c r="A383" s="20">
        <f>IFERROR(__xludf.DUMMYFUNCTION("""COMPUTED_VALUE"""),382.0)</f>
        <v>382</v>
      </c>
      <c r="B383" s="20" t="str">
        <f>IFERROR(__xludf.DUMMYFUNCTION("""COMPUTED_VALUE"""),"Linked List Random Node")</f>
        <v>Linked List Random Node</v>
      </c>
      <c r="C383" s="20" t="str">
        <f>IFERROR(__xludf.DUMMYFUNCTION("""COMPUTED_VALUE"""),"linked-list-random-node")</f>
        <v>linked-list-random-node</v>
      </c>
      <c r="D383" s="20" t="b">
        <f>IFERROR(__xludf.DUMMYFUNCTION("""COMPUTED_VALUE"""),FALSE)</f>
        <v>0</v>
      </c>
      <c r="E383" s="20" t="str">
        <f>IFERROR(__xludf.DUMMYFUNCTION("""COMPUTED_VALUE"""),"Medium")</f>
        <v>Medium</v>
      </c>
      <c r="F383" s="20">
        <f>IFERROR(__xludf.DUMMYFUNCTION("""COMPUTED_VALUE"""),1916.0)</f>
        <v>1916</v>
      </c>
      <c r="G383" s="20">
        <f>IFERROR(__xludf.DUMMYFUNCTION("""COMPUTED_VALUE"""),467.0)</f>
        <v>467</v>
      </c>
      <c r="H383" s="20" t="str">
        <f>IFERROR(__xludf.DUMMYFUNCTION("""COMPUTED_VALUE"""),"Algorithms")</f>
        <v>Algorithms</v>
      </c>
      <c r="I383" s="20">
        <f>IFERROR(__xludf.DUMMYFUNCTION("""COMPUTED_VALUE"""),0.596)</f>
        <v>0.596</v>
      </c>
      <c r="J383" s="20">
        <f>IFERROR(__xludf.DUMMYFUNCTION("""COMPUTED_VALUE"""),382.0)</f>
        <v>382</v>
      </c>
      <c r="K383" s="20" t="b">
        <f>IFERROR(__xludf.DUMMYFUNCTION("""COMPUTED_VALUE"""),FALSE)</f>
        <v>0</v>
      </c>
      <c r="L383" s="20" t="str">
        <f>IFERROR(__xludf.DUMMYFUNCTION("""COMPUTED_VALUE"""),"Linked List;Math;Reservoir Sampling;Randomized;")</f>
        <v>Linked List;Math;Reservoir Sampling;Randomized;</v>
      </c>
      <c r="M383" s="20" t="b">
        <f>IFERROR(__xludf.DUMMYFUNCTION("""COMPUTED_VALUE"""),TRUE)</f>
        <v>1</v>
      </c>
      <c r="N383" s="20" t="b">
        <f>IFERROR(__xludf.DUMMYFUNCTION("""COMPUTED_VALUE"""),FALSE)</f>
        <v>0</v>
      </c>
      <c r="O383" s="20">
        <f>IFERROR(__xludf.DUMMYFUNCTION("""COMPUTED_VALUE"""),59.6035142058173)</f>
        <v>59.60351421</v>
      </c>
      <c r="P383" s="20">
        <f>IFERROR(__xludf.DUMMYFUNCTION("""COMPUTED_VALUE"""),162416.0)</f>
        <v>162416</v>
      </c>
      <c r="Q383" s="20">
        <f>IFERROR(__xludf.DUMMYFUNCTION("""COMPUTED_VALUE"""),272494.0)</f>
        <v>272494</v>
      </c>
    </row>
    <row r="384">
      <c r="A384" s="20">
        <f>IFERROR(__xludf.DUMMYFUNCTION("""COMPUTED_VALUE"""),383.0)</f>
        <v>383</v>
      </c>
      <c r="B384" s="20" t="str">
        <f>IFERROR(__xludf.DUMMYFUNCTION("""COMPUTED_VALUE"""),"Ransom Note")</f>
        <v>Ransom Note</v>
      </c>
      <c r="C384" s="20" t="str">
        <f>IFERROR(__xludf.DUMMYFUNCTION("""COMPUTED_VALUE"""),"ransom-note")</f>
        <v>ransom-note</v>
      </c>
      <c r="D384" s="20" t="b">
        <f>IFERROR(__xludf.DUMMYFUNCTION("""COMPUTED_VALUE"""),FALSE)</f>
        <v>0</v>
      </c>
      <c r="E384" s="20" t="str">
        <f>IFERROR(__xludf.DUMMYFUNCTION("""COMPUTED_VALUE"""),"Easy")</f>
        <v>Easy</v>
      </c>
      <c r="F384" s="20">
        <f>IFERROR(__xludf.DUMMYFUNCTION("""COMPUTED_VALUE"""),3450.0)</f>
        <v>3450</v>
      </c>
      <c r="G384" s="20">
        <f>IFERROR(__xludf.DUMMYFUNCTION("""COMPUTED_VALUE"""),389.0)</f>
        <v>389</v>
      </c>
      <c r="H384" s="20" t="str">
        <f>IFERROR(__xludf.DUMMYFUNCTION("""COMPUTED_VALUE"""),"Algorithms")</f>
        <v>Algorithms</v>
      </c>
      <c r="I384" s="20">
        <f>IFERROR(__xludf.DUMMYFUNCTION("""COMPUTED_VALUE"""),0.577)</f>
        <v>0.577</v>
      </c>
      <c r="J384" s="20">
        <f>IFERROR(__xludf.DUMMYFUNCTION("""COMPUTED_VALUE"""),383.0)</f>
        <v>383</v>
      </c>
      <c r="K384" s="20" t="b">
        <f>IFERROR(__xludf.DUMMYFUNCTION("""COMPUTED_VALUE"""),FALSE)</f>
        <v>0</v>
      </c>
      <c r="L384" s="20" t="str">
        <f>IFERROR(__xludf.DUMMYFUNCTION("""COMPUTED_VALUE"""),"Hash Table;String;Counting;")</f>
        <v>Hash Table;String;Counting;</v>
      </c>
      <c r="M384" s="20" t="b">
        <f>IFERROR(__xludf.DUMMYFUNCTION("""COMPUTED_VALUE"""),TRUE)</f>
        <v>1</v>
      </c>
      <c r="N384" s="20" t="b">
        <f>IFERROR(__xludf.DUMMYFUNCTION("""COMPUTED_VALUE"""),TRUE)</f>
        <v>1</v>
      </c>
      <c r="O384" s="20">
        <f>IFERROR(__xludf.DUMMYFUNCTION("""COMPUTED_VALUE"""),57.715566508408)</f>
        <v>57.71556651</v>
      </c>
      <c r="P384" s="20">
        <f>IFERROR(__xludf.DUMMYFUNCTION("""COMPUTED_VALUE"""),659967.0)</f>
        <v>659967</v>
      </c>
      <c r="Q384" s="20">
        <f>IFERROR(__xludf.DUMMYFUNCTION("""COMPUTED_VALUE"""),1143482.0)</f>
        <v>1143482</v>
      </c>
    </row>
    <row r="385">
      <c r="A385" s="20">
        <f>IFERROR(__xludf.DUMMYFUNCTION("""COMPUTED_VALUE"""),384.0)</f>
        <v>384</v>
      </c>
      <c r="B385" s="20" t="str">
        <f>IFERROR(__xludf.DUMMYFUNCTION("""COMPUTED_VALUE"""),"Shuffle an Array")</f>
        <v>Shuffle an Array</v>
      </c>
      <c r="C385" s="20" t="str">
        <f>IFERROR(__xludf.DUMMYFUNCTION("""COMPUTED_VALUE"""),"shuffle-an-array")</f>
        <v>shuffle-an-array</v>
      </c>
      <c r="D385" s="20" t="b">
        <f>IFERROR(__xludf.DUMMYFUNCTION("""COMPUTED_VALUE"""),FALSE)</f>
        <v>0</v>
      </c>
      <c r="E385" s="20" t="str">
        <f>IFERROR(__xludf.DUMMYFUNCTION("""COMPUTED_VALUE"""),"Medium")</f>
        <v>Medium</v>
      </c>
      <c r="F385" s="20">
        <f>IFERROR(__xludf.DUMMYFUNCTION("""COMPUTED_VALUE"""),1039.0)</f>
        <v>1039</v>
      </c>
      <c r="G385" s="20">
        <f>IFERROR(__xludf.DUMMYFUNCTION("""COMPUTED_VALUE"""),800.0)</f>
        <v>800</v>
      </c>
      <c r="H385" s="20" t="str">
        <f>IFERROR(__xludf.DUMMYFUNCTION("""COMPUTED_VALUE"""),"Algorithms")</f>
        <v>Algorithms</v>
      </c>
      <c r="I385" s="20">
        <f>IFERROR(__xludf.DUMMYFUNCTION("""COMPUTED_VALUE"""),0.578)</f>
        <v>0.578</v>
      </c>
      <c r="J385" s="20">
        <f>IFERROR(__xludf.DUMMYFUNCTION("""COMPUTED_VALUE"""),384.0)</f>
        <v>384</v>
      </c>
      <c r="K385" s="20" t="b">
        <f>IFERROR(__xludf.DUMMYFUNCTION("""COMPUTED_VALUE"""),FALSE)</f>
        <v>0</v>
      </c>
      <c r="L385" s="20" t="str">
        <f>IFERROR(__xludf.DUMMYFUNCTION("""COMPUTED_VALUE"""),"Array;Math;Randomized;")</f>
        <v>Array;Math;Randomized;</v>
      </c>
      <c r="M385" s="20" t="b">
        <f>IFERROR(__xludf.DUMMYFUNCTION("""COMPUTED_VALUE"""),TRUE)</f>
        <v>1</v>
      </c>
      <c r="N385" s="20" t="b">
        <f>IFERROR(__xludf.DUMMYFUNCTION("""COMPUTED_VALUE"""),FALSE)</f>
        <v>0</v>
      </c>
      <c r="O385" s="20">
        <f>IFERROR(__xludf.DUMMYFUNCTION("""COMPUTED_VALUE"""),57.7676758060421)</f>
        <v>57.76767581</v>
      </c>
      <c r="P385" s="20">
        <f>IFERROR(__xludf.DUMMYFUNCTION("""COMPUTED_VALUE"""),291259.0)</f>
        <v>291259</v>
      </c>
      <c r="Q385" s="20">
        <f>IFERROR(__xludf.DUMMYFUNCTION("""COMPUTED_VALUE"""),504191.0)</f>
        <v>504191</v>
      </c>
    </row>
    <row r="386">
      <c r="A386" s="20">
        <f>IFERROR(__xludf.DUMMYFUNCTION("""COMPUTED_VALUE"""),385.0)</f>
        <v>385</v>
      </c>
      <c r="B386" s="20" t="str">
        <f>IFERROR(__xludf.DUMMYFUNCTION("""COMPUTED_VALUE"""),"Mini Parser")</f>
        <v>Mini Parser</v>
      </c>
      <c r="C386" s="20" t="str">
        <f>IFERROR(__xludf.DUMMYFUNCTION("""COMPUTED_VALUE"""),"mini-parser")</f>
        <v>mini-parser</v>
      </c>
      <c r="D386" s="20" t="b">
        <f>IFERROR(__xludf.DUMMYFUNCTION("""COMPUTED_VALUE"""),FALSE)</f>
        <v>0</v>
      </c>
      <c r="E386" s="20" t="str">
        <f>IFERROR(__xludf.DUMMYFUNCTION("""COMPUTED_VALUE"""),"Medium")</f>
        <v>Medium</v>
      </c>
      <c r="F386" s="20">
        <f>IFERROR(__xludf.DUMMYFUNCTION("""COMPUTED_VALUE"""),406.0)</f>
        <v>406</v>
      </c>
      <c r="G386" s="20">
        <f>IFERROR(__xludf.DUMMYFUNCTION("""COMPUTED_VALUE"""),1226.0)</f>
        <v>1226</v>
      </c>
      <c r="H386" s="20" t="str">
        <f>IFERROR(__xludf.DUMMYFUNCTION("""COMPUTED_VALUE"""),"Algorithms")</f>
        <v>Algorithms</v>
      </c>
      <c r="I386" s="20">
        <f>IFERROR(__xludf.DUMMYFUNCTION("""COMPUTED_VALUE"""),0.366)</f>
        <v>0.366</v>
      </c>
      <c r="J386" s="20">
        <f>IFERROR(__xludf.DUMMYFUNCTION("""COMPUTED_VALUE"""),385.0)</f>
        <v>385</v>
      </c>
      <c r="K386" s="20" t="b">
        <f>IFERROR(__xludf.DUMMYFUNCTION("""COMPUTED_VALUE"""),FALSE)</f>
        <v>0</v>
      </c>
      <c r="L386" s="20" t="str">
        <f>IFERROR(__xludf.DUMMYFUNCTION("""COMPUTED_VALUE"""),"String;Stack;Depth-First Search;")</f>
        <v>String;Stack;Depth-First Search;</v>
      </c>
      <c r="M386" s="20" t="b">
        <f>IFERROR(__xludf.DUMMYFUNCTION("""COMPUTED_VALUE"""),FALSE)</f>
        <v>0</v>
      </c>
      <c r="N386" s="20" t="b">
        <f>IFERROR(__xludf.DUMMYFUNCTION("""COMPUTED_VALUE"""),FALSE)</f>
        <v>0</v>
      </c>
      <c r="O386" s="20">
        <f>IFERROR(__xludf.DUMMYFUNCTION("""COMPUTED_VALUE"""),36.6148296132342)</f>
        <v>36.61482961</v>
      </c>
      <c r="P386" s="20">
        <f>IFERROR(__xludf.DUMMYFUNCTION("""COMPUTED_VALUE"""),50950.0)</f>
        <v>50950</v>
      </c>
      <c r="Q386" s="20">
        <f>IFERROR(__xludf.DUMMYFUNCTION("""COMPUTED_VALUE"""),139145.0)</f>
        <v>139145</v>
      </c>
    </row>
    <row r="387">
      <c r="A387" s="20">
        <f>IFERROR(__xludf.DUMMYFUNCTION("""COMPUTED_VALUE"""),386.0)</f>
        <v>386</v>
      </c>
      <c r="B387" s="20" t="str">
        <f>IFERROR(__xludf.DUMMYFUNCTION("""COMPUTED_VALUE"""),"Lexicographical Numbers")</f>
        <v>Lexicographical Numbers</v>
      </c>
      <c r="C387" s="20" t="str">
        <f>IFERROR(__xludf.DUMMYFUNCTION("""COMPUTED_VALUE"""),"lexicographical-numbers")</f>
        <v>lexicographical-numbers</v>
      </c>
      <c r="D387" s="20" t="b">
        <f>IFERROR(__xludf.DUMMYFUNCTION("""COMPUTED_VALUE"""),FALSE)</f>
        <v>0</v>
      </c>
      <c r="E387" s="20" t="str">
        <f>IFERROR(__xludf.DUMMYFUNCTION("""COMPUTED_VALUE"""),"Medium")</f>
        <v>Medium</v>
      </c>
      <c r="F387" s="20">
        <f>IFERROR(__xludf.DUMMYFUNCTION("""COMPUTED_VALUE"""),1552.0)</f>
        <v>1552</v>
      </c>
      <c r="G387" s="20">
        <f>IFERROR(__xludf.DUMMYFUNCTION("""COMPUTED_VALUE"""),124.0)</f>
        <v>124</v>
      </c>
      <c r="H387" s="20" t="str">
        <f>IFERROR(__xludf.DUMMYFUNCTION("""COMPUTED_VALUE"""),"Algorithms")</f>
        <v>Algorithms</v>
      </c>
      <c r="I387" s="20">
        <f>IFERROR(__xludf.DUMMYFUNCTION("""COMPUTED_VALUE"""),0.61)</f>
        <v>0.61</v>
      </c>
      <c r="J387" s="20">
        <f>IFERROR(__xludf.DUMMYFUNCTION("""COMPUTED_VALUE"""),386.0)</f>
        <v>386</v>
      </c>
      <c r="K387" s="20" t="b">
        <f>IFERROR(__xludf.DUMMYFUNCTION("""COMPUTED_VALUE"""),FALSE)</f>
        <v>0</v>
      </c>
      <c r="L387" s="20" t="str">
        <f>IFERROR(__xludf.DUMMYFUNCTION("""COMPUTED_VALUE"""),"Depth-First Search;Trie;")</f>
        <v>Depth-First Search;Trie;</v>
      </c>
      <c r="M387" s="20" t="b">
        <f>IFERROR(__xludf.DUMMYFUNCTION("""COMPUTED_VALUE"""),FALSE)</f>
        <v>0</v>
      </c>
      <c r="N387" s="20" t="b">
        <f>IFERROR(__xludf.DUMMYFUNCTION("""COMPUTED_VALUE"""),FALSE)</f>
        <v>0</v>
      </c>
      <c r="O387" s="20">
        <f>IFERROR(__xludf.DUMMYFUNCTION("""COMPUTED_VALUE"""),60.962256695262)</f>
        <v>60.9622567</v>
      </c>
      <c r="P387" s="20">
        <f>IFERROR(__xludf.DUMMYFUNCTION("""COMPUTED_VALUE"""),95651.0)</f>
        <v>95651</v>
      </c>
      <c r="Q387" s="20">
        <f>IFERROR(__xludf.DUMMYFUNCTION("""COMPUTED_VALUE"""),156902.0)</f>
        <v>156902</v>
      </c>
    </row>
    <row r="388">
      <c r="A388" s="20">
        <f>IFERROR(__xludf.DUMMYFUNCTION("""COMPUTED_VALUE"""),387.0)</f>
        <v>387</v>
      </c>
      <c r="B388" s="20" t="str">
        <f>IFERROR(__xludf.DUMMYFUNCTION("""COMPUTED_VALUE"""),"First Unique Character in a String")</f>
        <v>First Unique Character in a String</v>
      </c>
      <c r="C388" s="20" t="str">
        <f>IFERROR(__xludf.DUMMYFUNCTION("""COMPUTED_VALUE"""),"first-unique-character-in-a-string")</f>
        <v>first-unique-character-in-a-string</v>
      </c>
      <c r="D388" s="20" t="b">
        <f>IFERROR(__xludf.DUMMYFUNCTION("""COMPUTED_VALUE"""),FALSE)</f>
        <v>0</v>
      </c>
      <c r="E388" s="20" t="str">
        <f>IFERROR(__xludf.DUMMYFUNCTION("""COMPUTED_VALUE"""),"Easy")</f>
        <v>Easy</v>
      </c>
      <c r="F388" s="20">
        <f>IFERROR(__xludf.DUMMYFUNCTION("""COMPUTED_VALUE"""),7113.0)</f>
        <v>7113</v>
      </c>
      <c r="G388" s="20">
        <f>IFERROR(__xludf.DUMMYFUNCTION("""COMPUTED_VALUE"""),237.0)</f>
        <v>237</v>
      </c>
      <c r="H388" s="20" t="str">
        <f>IFERROR(__xludf.DUMMYFUNCTION("""COMPUTED_VALUE"""),"Algorithms")</f>
        <v>Algorithms</v>
      </c>
      <c r="I388" s="20">
        <f>IFERROR(__xludf.DUMMYFUNCTION("""COMPUTED_VALUE"""),0.591)</f>
        <v>0.591</v>
      </c>
      <c r="J388" s="20">
        <f>IFERROR(__xludf.DUMMYFUNCTION("""COMPUTED_VALUE"""),387.0)</f>
        <v>387</v>
      </c>
      <c r="K388" s="20" t="b">
        <f>IFERROR(__xludf.DUMMYFUNCTION("""COMPUTED_VALUE"""),FALSE)</f>
        <v>0</v>
      </c>
      <c r="L388" s="20" t="str">
        <f>IFERROR(__xludf.DUMMYFUNCTION("""COMPUTED_VALUE"""),"Hash Table;String;Queue;Counting;")</f>
        <v>Hash Table;String;Queue;Counting;</v>
      </c>
      <c r="M388" s="20" t="b">
        <f>IFERROR(__xludf.DUMMYFUNCTION("""COMPUTED_VALUE"""),TRUE)</f>
        <v>1</v>
      </c>
      <c r="N388" s="20" t="b">
        <f>IFERROR(__xludf.DUMMYFUNCTION("""COMPUTED_VALUE"""),FALSE)</f>
        <v>0</v>
      </c>
      <c r="O388" s="20">
        <f>IFERROR(__xludf.DUMMYFUNCTION("""COMPUTED_VALUE"""),59.1094814086126)</f>
        <v>59.10948141</v>
      </c>
      <c r="P388" s="20">
        <f>IFERROR(__xludf.DUMMYFUNCTION("""COMPUTED_VALUE"""),1307494.0)</f>
        <v>1307494</v>
      </c>
      <c r="Q388" s="20">
        <f>IFERROR(__xludf.DUMMYFUNCTION("""COMPUTED_VALUE"""),2211986.0)</f>
        <v>2211986</v>
      </c>
    </row>
    <row r="389">
      <c r="A389" s="20">
        <f>IFERROR(__xludf.DUMMYFUNCTION("""COMPUTED_VALUE"""),388.0)</f>
        <v>388</v>
      </c>
      <c r="B389" s="20" t="str">
        <f>IFERROR(__xludf.DUMMYFUNCTION("""COMPUTED_VALUE"""),"Longest Absolute File Path")</f>
        <v>Longest Absolute File Path</v>
      </c>
      <c r="C389" s="20" t="str">
        <f>IFERROR(__xludf.DUMMYFUNCTION("""COMPUTED_VALUE"""),"longest-absolute-file-path")</f>
        <v>longest-absolute-file-path</v>
      </c>
      <c r="D389" s="20" t="b">
        <f>IFERROR(__xludf.DUMMYFUNCTION("""COMPUTED_VALUE"""),FALSE)</f>
        <v>0</v>
      </c>
      <c r="E389" s="20" t="str">
        <f>IFERROR(__xludf.DUMMYFUNCTION("""COMPUTED_VALUE"""),"Medium")</f>
        <v>Medium</v>
      </c>
      <c r="F389" s="20">
        <f>IFERROR(__xludf.DUMMYFUNCTION("""COMPUTED_VALUE"""),1120.0)</f>
        <v>1120</v>
      </c>
      <c r="G389" s="20">
        <f>IFERROR(__xludf.DUMMYFUNCTION("""COMPUTED_VALUE"""),2293.0)</f>
        <v>2293</v>
      </c>
      <c r="H389" s="20" t="str">
        <f>IFERROR(__xludf.DUMMYFUNCTION("""COMPUTED_VALUE"""),"Algorithms")</f>
        <v>Algorithms</v>
      </c>
      <c r="I389" s="20">
        <f>IFERROR(__xludf.DUMMYFUNCTION("""COMPUTED_VALUE"""),0.466)</f>
        <v>0.466</v>
      </c>
      <c r="J389" s="20">
        <f>IFERROR(__xludf.DUMMYFUNCTION("""COMPUTED_VALUE"""),388.0)</f>
        <v>388</v>
      </c>
      <c r="K389" s="20" t="b">
        <f>IFERROR(__xludf.DUMMYFUNCTION("""COMPUTED_VALUE"""),FALSE)</f>
        <v>0</v>
      </c>
      <c r="L389" s="20" t="str">
        <f>IFERROR(__xludf.DUMMYFUNCTION("""COMPUTED_VALUE"""),"String;Stack;Depth-First Search;")</f>
        <v>String;Stack;Depth-First Search;</v>
      </c>
      <c r="M389" s="20" t="b">
        <f>IFERROR(__xludf.DUMMYFUNCTION("""COMPUTED_VALUE"""),FALSE)</f>
        <v>0</v>
      </c>
      <c r="N389" s="20" t="b">
        <f>IFERROR(__xludf.DUMMYFUNCTION("""COMPUTED_VALUE"""),FALSE)</f>
        <v>0</v>
      </c>
      <c r="O389" s="20">
        <f>IFERROR(__xludf.DUMMYFUNCTION("""COMPUTED_VALUE"""),46.5679190751445)</f>
        <v>46.56791908</v>
      </c>
      <c r="P389" s="20">
        <f>IFERROR(__xludf.DUMMYFUNCTION("""COMPUTED_VALUE"""),139212.0)</f>
        <v>139212</v>
      </c>
      <c r="Q389" s="20">
        <f>IFERROR(__xludf.DUMMYFUNCTION("""COMPUTED_VALUE"""),298944.0)</f>
        <v>298944</v>
      </c>
    </row>
    <row r="390">
      <c r="A390" s="20">
        <f>IFERROR(__xludf.DUMMYFUNCTION("""COMPUTED_VALUE"""),389.0)</f>
        <v>389</v>
      </c>
      <c r="B390" s="20" t="str">
        <f>IFERROR(__xludf.DUMMYFUNCTION("""COMPUTED_VALUE"""),"Find the Difference")</f>
        <v>Find the Difference</v>
      </c>
      <c r="C390" s="20" t="str">
        <f>IFERROR(__xludf.DUMMYFUNCTION("""COMPUTED_VALUE"""),"find-the-difference")</f>
        <v>find-the-difference</v>
      </c>
      <c r="D390" s="20" t="b">
        <f>IFERROR(__xludf.DUMMYFUNCTION("""COMPUTED_VALUE"""),FALSE)</f>
        <v>0</v>
      </c>
      <c r="E390" s="20" t="str">
        <f>IFERROR(__xludf.DUMMYFUNCTION("""COMPUTED_VALUE"""),"Easy")</f>
        <v>Easy</v>
      </c>
      <c r="F390" s="20">
        <f>IFERROR(__xludf.DUMMYFUNCTION("""COMPUTED_VALUE"""),3460.0)</f>
        <v>3460</v>
      </c>
      <c r="G390" s="20">
        <f>IFERROR(__xludf.DUMMYFUNCTION("""COMPUTED_VALUE"""),404.0)</f>
        <v>404</v>
      </c>
      <c r="H390" s="20" t="str">
        <f>IFERROR(__xludf.DUMMYFUNCTION("""COMPUTED_VALUE"""),"Algorithms")</f>
        <v>Algorithms</v>
      </c>
      <c r="I390" s="20">
        <f>IFERROR(__xludf.DUMMYFUNCTION("""COMPUTED_VALUE"""),0.603)</f>
        <v>0.603</v>
      </c>
      <c r="J390" s="20">
        <f>IFERROR(__xludf.DUMMYFUNCTION("""COMPUTED_VALUE"""),389.0)</f>
        <v>389</v>
      </c>
      <c r="K390" s="20" t="b">
        <f>IFERROR(__xludf.DUMMYFUNCTION("""COMPUTED_VALUE"""),FALSE)</f>
        <v>0</v>
      </c>
      <c r="L390" s="20" t="str">
        <f>IFERROR(__xludf.DUMMYFUNCTION("""COMPUTED_VALUE"""),"Hash Table;String;Bit Manipulation;Sorting;")</f>
        <v>Hash Table;String;Bit Manipulation;Sorting;</v>
      </c>
      <c r="M390" s="20" t="b">
        <f>IFERROR(__xludf.DUMMYFUNCTION("""COMPUTED_VALUE"""),TRUE)</f>
        <v>1</v>
      </c>
      <c r="N390" s="20" t="b">
        <f>IFERROR(__xludf.DUMMYFUNCTION("""COMPUTED_VALUE"""),FALSE)</f>
        <v>0</v>
      </c>
      <c r="O390" s="20">
        <f>IFERROR(__xludf.DUMMYFUNCTION("""COMPUTED_VALUE"""),60.2622491038839)</f>
        <v>60.2622491</v>
      </c>
      <c r="P390" s="20">
        <f>IFERROR(__xludf.DUMMYFUNCTION("""COMPUTED_VALUE"""),459809.0)</f>
        <v>459809</v>
      </c>
      <c r="Q390" s="20">
        <f>IFERROR(__xludf.DUMMYFUNCTION("""COMPUTED_VALUE"""),763014.0)</f>
        <v>763014</v>
      </c>
    </row>
    <row r="391">
      <c r="A391" s="20">
        <f>IFERROR(__xludf.DUMMYFUNCTION("""COMPUTED_VALUE"""),390.0)</f>
        <v>390</v>
      </c>
      <c r="B391" s="20" t="str">
        <f>IFERROR(__xludf.DUMMYFUNCTION("""COMPUTED_VALUE"""),"Elimination Game")</f>
        <v>Elimination Game</v>
      </c>
      <c r="C391" s="20" t="str">
        <f>IFERROR(__xludf.DUMMYFUNCTION("""COMPUTED_VALUE"""),"elimination-game")</f>
        <v>elimination-game</v>
      </c>
      <c r="D391" s="20" t="b">
        <f>IFERROR(__xludf.DUMMYFUNCTION("""COMPUTED_VALUE"""),FALSE)</f>
        <v>0</v>
      </c>
      <c r="E391" s="20" t="str">
        <f>IFERROR(__xludf.DUMMYFUNCTION("""COMPUTED_VALUE"""),"Medium")</f>
        <v>Medium</v>
      </c>
      <c r="F391" s="20">
        <f>IFERROR(__xludf.DUMMYFUNCTION("""COMPUTED_VALUE"""),1094.0)</f>
        <v>1094</v>
      </c>
      <c r="G391" s="20">
        <f>IFERROR(__xludf.DUMMYFUNCTION("""COMPUTED_VALUE"""),601.0)</f>
        <v>601</v>
      </c>
      <c r="H391" s="20" t="str">
        <f>IFERROR(__xludf.DUMMYFUNCTION("""COMPUTED_VALUE"""),"Algorithms")</f>
        <v>Algorithms</v>
      </c>
      <c r="I391" s="20">
        <f>IFERROR(__xludf.DUMMYFUNCTION("""COMPUTED_VALUE"""),0.464)</f>
        <v>0.464</v>
      </c>
      <c r="J391" s="20">
        <f>IFERROR(__xludf.DUMMYFUNCTION("""COMPUTED_VALUE"""),390.0)</f>
        <v>390</v>
      </c>
      <c r="K391" s="20" t="b">
        <f>IFERROR(__xludf.DUMMYFUNCTION("""COMPUTED_VALUE"""),FALSE)</f>
        <v>0</v>
      </c>
      <c r="L391" s="20" t="str">
        <f>IFERROR(__xludf.DUMMYFUNCTION("""COMPUTED_VALUE"""),"Math;Recursion;")</f>
        <v>Math;Recursion;</v>
      </c>
      <c r="M391" s="20" t="b">
        <f>IFERROR(__xludf.DUMMYFUNCTION("""COMPUTED_VALUE"""),FALSE)</f>
        <v>0</v>
      </c>
      <c r="N391" s="20" t="b">
        <f>IFERROR(__xludf.DUMMYFUNCTION("""COMPUTED_VALUE"""),FALSE)</f>
        <v>0</v>
      </c>
      <c r="O391" s="20">
        <f>IFERROR(__xludf.DUMMYFUNCTION("""COMPUTED_VALUE"""),46.4200600973992)</f>
        <v>46.4200601</v>
      </c>
      <c r="P391" s="20">
        <f>IFERROR(__xludf.DUMMYFUNCTION("""COMPUTED_VALUE"""),53760.0)</f>
        <v>53760</v>
      </c>
      <c r="Q391" s="20">
        <f>IFERROR(__xludf.DUMMYFUNCTION("""COMPUTED_VALUE"""),115812.0)</f>
        <v>115812</v>
      </c>
    </row>
    <row r="392">
      <c r="A392" s="20">
        <f>IFERROR(__xludf.DUMMYFUNCTION("""COMPUTED_VALUE"""),391.0)</f>
        <v>391</v>
      </c>
      <c r="B392" s="20" t="str">
        <f>IFERROR(__xludf.DUMMYFUNCTION("""COMPUTED_VALUE"""),"Perfect Rectangle")</f>
        <v>Perfect Rectangle</v>
      </c>
      <c r="C392" s="20" t="str">
        <f>IFERROR(__xludf.DUMMYFUNCTION("""COMPUTED_VALUE"""),"perfect-rectangle")</f>
        <v>perfect-rectangle</v>
      </c>
      <c r="D392" s="20" t="b">
        <f>IFERROR(__xludf.DUMMYFUNCTION("""COMPUTED_VALUE"""),FALSE)</f>
        <v>0</v>
      </c>
      <c r="E392" s="20" t="str">
        <f>IFERROR(__xludf.DUMMYFUNCTION("""COMPUTED_VALUE"""),"Hard")</f>
        <v>Hard</v>
      </c>
      <c r="F392" s="20">
        <f>IFERROR(__xludf.DUMMYFUNCTION("""COMPUTED_VALUE"""),681.0)</f>
        <v>681</v>
      </c>
      <c r="G392" s="20">
        <f>IFERROR(__xludf.DUMMYFUNCTION("""COMPUTED_VALUE"""),103.0)</f>
        <v>103</v>
      </c>
      <c r="H392" s="20" t="str">
        <f>IFERROR(__xludf.DUMMYFUNCTION("""COMPUTED_VALUE"""),"Algorithms")</f>
        <v>Algorithms</v>
      </c>
      <c r="I392" s="20">
        <f>IFERROR(__xludf.DUMMYFUNCTION("""COMPUTED_VALUE"""),0.325)</f>
        <v>0.325</v>
      </c>
      <c r="J392" s="20">
        <f>IFERROR(__xludf.DUMMYFUNCTION("""COMPUTED_VALUE"""),391.0)</f>
        <v>391</v>
      </c>
      <c r="K392" s="20" t="b">
        <f>IFERROR(__xludf.DUMMYFUNCTION("""COMPUTED_VALUE"""),FALSE)</f>
        <v>0</v>
      </c>
      <c r="L392" s="20" t="str">
        <f>IFERROR(__xludf.DUMMYFUNCTION("""COMPUTED_VALUE"""),"Array;Line Sweep;")</f>
        <v>Array;Line Sweep;</v>
      </c>
      <c r="M392" s="20" t="b">
        <f>IFERROR(__xludf.DUMMYFUNCTION("""COMPUTED_VALUE"""),FALSE)</f>
        <v>0</v>
      </c>
      <c r="N392" s="20" t="b">
        <f>IFERROR(__xludf.DUMMYFUNCTION("""COMPUTED_VALUE"""),FALSE)</f>
        <v>0</v>
      </c>
      <c r="O392" s="20">
        <f>IFERROR(__xludf.DUMMYFUNCTION("""COMPUTED_VALUE"""),32.4978703597994)</f>
        <v>32.49787036</v>
      </c>
      <c r="P392" s="20">
        <f>IFERROR(__xludf.DUMMYFUNCTION("""COMPUTED_VALUE"""),37005.0)</f>
        <v>37005</v>
      </c>
      <c r="Q392" s="20">
        <f>IFERROR(__xludf.DUMMYFUNCTION("""COMPUTED_VALUE"""),113869.0)</f>
        <v>113869</v>
      </c>
    </row>
    <row r="393">
      <c r="A393" s="20">
        <f>IFERROR(__xludf.DUMMYFUNCTION("""COMPUTED_VALUE"""),392.0)</f>
        <v>392</v>
      </c>
      <c r="B393" s="20" t="str">
        <f>IFERROR(__xludf.DUMMYFUNCTION("""COMPUTED_VALUE"""),"Is Subsequence")</f>
        <v>Is Subsequence</v>
      </c>
      <c r="C393" s="20" t="str">
        <f>IFERROR(__xludf.DUMMYFUNCTION("""COMPUTED_VALUE"""),"is-subsequence")</f>
        <v>is-subsequence</v>
      </c>
      <c r="D393" s="20" t="b">
        <f>IFERROR(__xludf.DUMMYFUNCTION("""COMPUTED_VALUE"""),FALSE)</f>
        <v>0</v>
      </c>
      <c r="E393" s="20" t="str">
        <f>IFERROR(__xludf.DUMMYFUNCTION("""COMPUTED_VALUE"""),"Easy")</f>
        <v>Easy</v>
      </c>
      <c r="F393" s="20">
        <f>IFERROR(__xludf.DUMMYFUNCTION("""COMPUTED_VALUE"""),6463.0)</f>
        <v>6463</v>
      </c>
      <c r="G393" s="20">
        <f>IFERROR(__xludf.DUMMYFUNCTION("""COMPUTED_VALUE"""),364.0)</f>
        <v>364</v>
      </c>
      <c r="H393" s="20" t="str">
        <f>IFERROR(__xludf.DUMMYFUNCTION("""COMPUTED_VALUE"""),"Algorithms")</f>
        <v>Algorithms</v>
      </c>
      <c r="I393" s="20">
        <f>IFERROR(__xludf.DUMMYFUNCTION("""COMPUTED_VALUE"""),0.487)</f>
        <v>0.487</v>
      </c>
      <c r="J393" s="20">
        <f>IFERROR(__xludf.DUMMYFUNCTION("""COMPUTED_VALUE"""),392.0)</f>
        <v>392</v>
      </c>
      <c r="K393" s="20" t="b">
        <f>IFERROR(__xludf.DUMMYFUNCTION("""COMPUTED_VALUE"""),FALSE)</f>
        <v>0</v>
      </c>
      <c r="L393" s="20" t="str">
        <f>IFERROR(__xludf.DUMMYFUNCTION("""COMPUTED_VALUE"""),"Two Pointers;String;Dynamic Programming;")</f>
        <v>Two Pointers;String;Dynamic Programming;</v>
      </c>
      <c r="M393" s="20" t="b">
        <f>IFERROR(__xludf.DUMMYFUNCTION("""COMPUTED_VALUE"""),TRUE)</f>
        <v>1</v>
      </c>
      <c r="N393" s="20" t="b">
        <f>IFERROR(__xludf.DUMMYFUNCTION("""COMPUTED_VALUE"""),FALSE)</f>
        <v>0</v>
      </c>
      <c r="O393" s="20">
        <f>IFERROR(__xludf.DUMMYFUNCTION("""COMPUTED_VALUE"""),48.6722944921118)</f>
        <v>48.67229449</v>
      </c>
      <c r="P393" s="20">
        <f>IFERROR(__xludf.DUMMYFUNCTION("""COMPUTED_VALUE"""),703396.0)</f>
        <v>703396</v>
      </c>
      <c r="Q393" s="20">
        <f>IFERROR(__xludf.DUMMYFUNCTION("""COMPUTED_VALUE"""),1445168.0)</f>
        <v>1445168</v>
      </c>
    </row>
    <row r="394">
      <c r="A394" s="20">
        <f>IFERROR(__xludf.DUMMYFUNCTION("""COMPUTED_VALUE"""),393.0)</f>
        <v>393</v>
      </c>
      <c r="B394" s="20" t="str">
        <f>IFERROR(__xludf.DUMMYFUNCTION("""COMPUTED_VALUE"""),"UTF-8 Validation")</f>
        <v>UTF-8 Validation</v>
      </c>
      <c r="C394" s="20" t="str">
        <f>IFERROR(__xludf.DUMMYFUNCTION("""COMPUTED_VALUE"""),"utf-8-validation")</f>
        <v>utf-8-validation</v>
      </c>
      <c r="D394" s="20" t="b">
        <f>IFERROR(__xludf.DUMMYFUNCTION("""COMPUTED_VALUE"""),FALSE)</f>
        <v>0</v>
      </c>
      <c r="E394" s="20" t="str">
        <f>IFERROR(__xludf.DUMMYFUNCTION("""COMPUTED_VALUE"""),"Medium")</f>
        <v>Medium</v>
      </c>
      <c r="F394" s="20">
        <f>IFERROR(__xludf.DUMMYFUNCTION("""COMPUTED_VALUE"""),837.0)</f>
        <v>837</v>
      </c>
      <c r="G394" s="20">
        <f>IFERROR(__xludf.DUMMYFUNCTION("""COMPUTED_VALUE"""),2776.0)</f>
        <v>2776</v>
      </c>
      <c r="H394" s="20" t="str">
        <f>IFERROR(__xludf.DUMMYFUNCTION("""COMPUTED_VALUE"""),"Algorithms")</f>
        <v>Algorithms</v>
      </c>
      <c r="I394" s="20">
        <f>IFERROR(__xludf.DUMMYFUNCTION("""COMPUTED_VALUE"""),0.451)</f>
        <v>0.451</v>
      </c>
      <c r="J394" s="20">
        <f>IFERROR(__xludf.DUMMYFUNCTION("""COMPUTED_VALUE"""),393.0)</f>
        <v>393</v>
      </c>
      <c r="K394" s="20" t="b">
        <f>IFERROR(__xludf.DUMMYFUNCTION("""COMPUTED_VALUE"""),FALSE)</f>
        <v>0</v>
      </c>
      <c r="L394" s="20" t="str">
        <f>IFERROR(__xludf.DUMMYFUNCTION("""COMPUTED_VALUE"""),"Array;Bit Manipulation;")</f>
        <v>Array;Bit Manipulation;</v>
      </c>
      <c r="M394" s="20" t="b">
        <f>IFERROR(__xludf.DUMMYFUNCTION("""COMPUTED_VALUE"""),TRUE)</f>
        <v>1</v>
      </c>
      <c r="N394" s="20" t="b">
        <f>IFERROR(__xludf.DUMMYFUNCTION("""COMPUTED_VALUE"""),FALSE)</f>
        <v>0</v>
      </c>
      <c r="O394" s="20">
        <f>IFERROR(__xludf.DUMMYFUNCTION("""COMPUTED_VALUE"""),45.1380150990877)</f>
        <v>45.1380151</v>
      </c>
      <c r="P394" s="20">
        <f>IFERROR(__xludf.DUMMYFUNCTION("""COMPUTED_VALUE"""),114795.0)</f>
        <v>114795</v>
      </c>
      <c r="Q394" s="20">
        <f>IFERROR(__xludf.DUMMYFUNCTION("""COMPUTED_VALUE"""),254320.0)</f>
        <v>254320</v>
      </c>
    </row>
    <row r="395">
      <c r="A395" s="20">
        <f>IFERROR(__xludf.DUMMYFUNCTION("""COMPUTED_VALUE"""),394.0)</f>
        <v>394</v>
      </c>
      <c r="B395" s="20" t="str">
        <f>IFERROR(__xludf.DUMMYFUNCTION("""COMPUTED_VALUE"""),"Decode String")</f>
        <v>Decode String</v>
      </c>
      <c r="C395" s="20" t="str">
        <f>IFERROR(__xludf.DUMMYFUNCTION("""COMPUTED_VALUE"""),"decode-string")</f>
        <v>decode-string</v>
      </c>
      <c r="D395" s="20" t="b">
        <f>IFERROR(__xludf.DUMMYFUNCTION("""COMPUTED_VALUE"""),FALSE)</f>
        <v>0</v>
      </c>
      <c r="E395" s="20" t="str">
        <f>IFERROR(__xludf.DUMMYFUNCTION("""COMPUTED_VALUE"""),"Medium")</f>
        <v>Medium</v>
      </c>
      <c r="F395" s="20">
        <f>IFERROR(__xludf.DUMMYFUNCTION("""COMPUTED_VALUE"""),9997.0)</f>
        <v>9997</v>
      </c>
      <c r="G395" s="20">
        <f>IFERROR(__xludf.DUMMYFUNCTION("""COMPUTED_VALUE"""),443.0)</f>
        <v>443</v>
      </c>
      <c r="H395" s="20" t="str">
        <f>IFERROR(__xludf.DUMMYFUNCTION("""COMPUTED_VALUE"""),"Algorithms")</f>
        <v>Algorithms</v>
      </c>
      <c r="I395" s="20">
        <f>IFERROR(__xludf.DUMMYFUNCTION("""COMPUTED_VALUE"""),0.578)</f>
        <v>0.578</v>
      </c>
      <c r="J395" s="20">
        <f>IFERROR(__xludf.DUMMYFUNCTION("""COMPUTED_VALUE"""),394.0)</f>
        <v>394</v>
      </c>
      <c r="K395" s="20" t="b">
        <f>IFERROR(__xludf.DUMMYFUNCTION("""COMPUTED_VALUE"""),FALSE)</f>
        <v>0</v>
      </c>
      <c r="L395" s="20" t="str">
        <f>IFERROR(__xludf.DUMMYFUNCTION("""COMPUTED_VALUE"""),"String;Stack;Recursion;")</f>
        <v>String;Stack;Recursion;</v>
      </c>
      <c r="M395" s="20" t="b">
        <f>IFERROR(__xludf.DUMMYFUNCTION("""COMPUTED_VALUE"""),TRUE)</f>
        <v>1</v>
      </c>
      <c r="N395" s="20" t="b">
        <f>IFERROR(__xludf.DUMMYFUNCTION("""COMPUTED_VALUE"""),FALSE)</f>
        <v>0</v>
      </c>
      <c r="O395" s="20">
        <f>IFERROR(__xludf.DUMMYFUNCTION("""COMPUTED_VALUE"""),57.750370624339)</f>
        <v>57.75037062</v>
      </c>
      <c r="P395" s="20">
        <f>IFERROR(__xludf.DUMMYFUNCTION("""COMPUTED_VALUE"""),597954.0)</f>
        <v>597954</v>
      </c>
      <c r="Q395" s="20">
        <f>IFERROR(__xludf.DUMMYFUNCTION("""COMPUTED_VALUE"""),1035411.0)</f>
        <v>1035411</v>
      </c>
    </row>
    <row r="396">
      <c r="A396" s="20">
        <f>IFERROR(__xludf.DUMMYFUNCTION("""COMPUTED_VALUE"""),395.0)</f>
        <v>395</v>
      </c>
      <c r="B396" s="20" t="str">
        <f>IFERROR(__xludf.DUMMYFUNCTION("""COMPUTED_VALUE"""),"Longest Substring with At Least K Repeating Characters")</f>
        <v>Longest Substring with At Least K Repeating Characters</v>
      </c>
      <c r="C396" s="20" t="str">
        <f>IFERROR(__xludf.DUMMYFUNCTION("""COMPUTED_VALUE"""),"longest-substring-with-at-least-k-repeating-characters")</f>
        <v>longest-substring-with-at-least-k-repeating-characters</v>
      </c>
      <c r="D396" s="20" t="b">
        <f>IFERROR(__xludf.DUMMYFUNCTION("""COMPUTED_VALUE"""),FALSE)</f>
        <v>0</v>
      </c>
      <c r="E396" s="20" t="str">
        <f>IFERROR(__xludf.DUMMYFUNCTION("""COMPUTED_VALUE"""),"Medium")</f>
        <v>Medium</v>
      </c>
      <c r="F396" s="20">
        <f>IFERROR(__xludf.DUMMYFUNCTION("""COMPUTED_VALUE"""),4898.0)</f>
        <v>4898</v>
      </c>
      <c r="G396" s="20">
        <f>IFERROR(__xludf.DUMMYFUNCTION("""COMPUTED_VALUE"""),394.0)</f>
        <v>394</v>
      </c>
      <c r="H396" s="20" t="str">
        <f>IFERROR(__xludf.DUMMYFUNCTION("""COMPUTED_VALUE"""),"Algorithms")</f>
        <v>Algorithms</v>
      </c>
      <c r="I396" s="20">
        <f>IFERROR(__xludf.DUMMYFUNCTION("""COMPUTED_VALUE"""),0.448)</f>
        <v>0.448</v>
      </c>
      <c r="J396" s="20">
        <f>IFERROR(__xludf.DUMMYFUNCTION("""COMPUTED_VALUE"""),395.0)</f>
        <v>395</v>
      </c>
      <c r="K396" s="20" t="b">
        <f>IFERROR(__xludf.DUMMYFUNCTION("""COMPUTED_VALUE"""),FALSE)</f>
        <v>0</v>
      </c>
      <c r="L396" s="20" t="str">
        <f>IFERROR(__xludf.DUMMYFUNCTION("""COMPUTED_VALUE"""),"Hash Table;String;Divide and Conquer;Sliding Window;")</f>
        <v>Hash Table;String;Divide and Conquer;Sliding Window;</v>
      </c>
      <c r="M396" s="20" t="b">
        <f>IFERROR(__xludf.DUMMYFUNCTION("""COMPUTED_VALUE"""),TRUE)</f>
        <v>1</v>
      </c>
      <c r="N396" s="20" t="b">
        <f>IFERROR(__xludf.DUMMYFUNCTION("""COMPUTED_VALUE"""),FALSE)</f>
        <v>0</v>
      </c>
      <c r="O396" s="20">
        <f>IFERROR(__xludf.DUMMYFUNCTION("""COMPUTED_VALUE"""),44.8137110666817)</f>
        <v>44.81371107</v>
      </c>
      <c r="P396" s="20">
        <f>IFERROR(__xludf.DUMMYFUNCTION("""COMPUTED_VALUE"""),178195.0)</f>
        <v>178195</v>
      </c>
      <c r="Q396" s="20">
        <f>IFERROR(__xludf.DUMMYFUNCTION("""COMPUTED_VALUE"""),397635.0)</f>
        <v>397635</v>
      </c>
    </row>
    <row r="397">
      <c r="A397" s="20">
        <f>IFERROR(__xludf.DUMMYFUNCTION("""COMPUTED_VALUE"""),396.0)</f>
        <v>396</v>
      </c>
      <c r="B397" s="20" t="str">
        <f>IFERROR(__xludf.DUMMYFUNCTION("""COMPUTED_VALUE"""),"Rotate Function")</f>
        <v>Rotate Function</v>
      </c>
      <c r="C397" s="20" t="str">
        <f>IFERROR(__xludf.DUMMYFUNCTION("""COMPUTED_VALUE"""),"rotate-function")</f>
        <v>rotate-function</v>
      </c>
      <c r="D397" s="20" t="b">
        <f>IFERROR(__xludf.DUMMYFUNCTION("""COMPUTED_VALUE"""),FALSE)</f>
        <v>0</v>
      </c>
      <c r="E397" s="20" t="str">
        <f>IFERROR(__xludf.DUMMYFUNCTION("""COMPUTED_VALUE"""),"Medium")</f>
        <v>Medium</v>
      </c>
      <c r="F397" s="20">
        <f>IFERROR(__xludf.DUMMYFUNCTION("""COMPUTED_VALUE"""),1066.0)</f>
        <v>1066</v>
      </c>
      <c r="G397" s="20">
        <f>IFERROR(__xludf.DUMMYFUNCTION("""COMPUTED_VALUE"""),234.0)</f>
        <v>234</v>
      </c>
      <c r="H397" s="20" t="str">
        <f>IFERROR(__xludf.DUMMYFUNCTION("""COMPUTED_VALUE"""),"Algorithms")</f>
        <v>Algorithms</v>
      </c>
      <c r="I397" s="20">
        <f>IFERROR(__xludf.DUMMYFUNCTION("""COMPUTED_VALUE"""),0.405)</f>
        <v>0.405</v>
      </c>
      <c r="J397" s="20">
        <f>IFERROR(__xludf.DUMMYFUNCTION("""COMPUTED_VALUE"""),396.0)</f>
        <v>396</v>
      </c>
      <c r="K397" s="20" t="b">
        <f>IFERROR(__xludf.DUMMYFUNCTION("""COMPUTED_VALUE"""),FALSE)</f>
        <v>0</v>
      </c>
      <c r="L397" s="20" t="str">
        <f>IFERROR(__xludf.DUMMYFUNCTION("""COMPUTED_VALUE"""),"Array;Math;Dynamic Programming;")</f>
        <v>Array;Math;Dynamic Programming;</v>
      </c>
      <c r="M397" s="20" t="b">
        <f>IFERROR(__xludf.DUMMYFUNCTION("""COMPUTED_VALUE"""),FALSE)</f>
        <v>0</v>
      </c>
      <c r="N397" s="20" t="b">
        <f>IFERROR(__xludf.DUMMYFUNCTION("""COMPUTED_VALUE"""),FALSE)</f>
        <v>0</v>
      </c>
      <c r="O397" s="20">
        <f>IFERROR(__xludf.DUMMYFUNCTION("""COMPUTED_VALUE"""),40.5330335688625)</f>
        <v>40.53303357</v>
      </c>
      <c r="P397" s="20">
        <f>IFERROR(__xludf.DUMMYFUNCTION("""COMPUTED_VALUE"""),68149.0)</f>
        <v>68149</v>
      </c>
      <c r="Q397" s="20">
        <f>IFERROR(__xludf.DUMMYFUNCTION("""COMPUTED_VALUE"""),168130.0)</f>
        <v>168130</v>
      </c>
    </row>
    <row r="398">
      <c r="A398" s="20">
        <f>IFERROR(__xludf.DUMMYFUNCTION("""COMPUTED_VALUE"""),397.0)</f>
        <v>397</v>
      </c>
      <c r="B398" s="20" t="str">
        <f>IFERROR(__xludf.DUMMYFUNCTION("""COMPUTED_VALUE"""),"Integer Replacement")</f>
        <v>Integer Replacement</v>
      </c>
      <c r="C398" s="20" t="str">
        <f>IFERROR(__xludf.DUMMYFUNCTION("""COMPUTED_VALUE"""),"integer-replacement")</f>
        <v>integer-replacement</v>
      </c>
      <c r="D398" s="20" t="b">
        <f>IFERROR(__xludf.DUMMYFUNCTION("""COMPUTED_VALUE"""),FALSE)</f>
        <v>0</v>
      </c>
      <c r="E398" s="20" t="str">
        <f>IFERROR(__xludf.DUMMYFUNCTION("""COMPUTED_VALUE"""),"Medium")</f>
        <v>Medium</v>
      </c>
      <c r="F398" s="20">
        <f>IFERROR(__xludf.DUMMYFUNCTION("""COMPUTED_VALUE"""),1035.0)</f>
        <v>1035</v>
      </c>
      <c r="G398" s="20">
        <f>IFERROR(__xludf.DUMMYFUNCTION("""COMPUTED_VALUE"""),456.0)</f>
        <v>456</v>
      </c>
      <c r="H398" s="20" t="str">
        <f>IFERROR(__xludf.DUMMYFUNCTION("""COMPUTED_VALUE"""),"Algorithms")</f>
        <v>Algorithms</v>
      </c>
      <c r="I398" s="20">
        <f>IFERROR(__xludf.DUMMYFUNCTION("""COMPUTED_VALUE"""),0.352)</f>
        <v>0.352</v>
      </c>
      <c r="J398" s="20">
        <f>IFERROR(__xludf.DUMMYFUNCTION("""COMPUTED_VALUE"""),397.0)</f>
        <v>397</v>
      </c>
      <c r="K398" s="20" t="b">
        <f>IFERROR(__xludf.DUMMYFUNCTION("""COMPUTED_VALUE"""),FALSE)</f>
        <v>0</v>
      </c>
      <c r="L398" s="20" t="str">
        <f>IFERROR(__xludf.DUMMYFUNCTION("""COMPUTED_VALUE"""),"Dynamic Programming;Greedy;Bit Manipulation;Memoization;")</f>
        <v>Dynamic Programming;Greedy;Bit Manipulation;Memoization;</v>
      </c>
      <c r="M398" s="20" t="b">
        <f>IFERROR(__xludf.DUMMYFUNCTION("""COMPUTED_VALUE"""),FALSE)</f>
        <v>0</v>
      </c>
      <c r="N398" s="20" t="b">
        <f>IFERROR(__xludf.DUMMYFUNCTION("""COMPUTED_VALUE"""),FALSE)</f>
        <v>0</v>
      </c>
      <c r="O398" s="20">
        <f>IFERROR(__xludf.DUMMYFUNCTION("""COMPUTED_VALUE"""),35.1830805705039)</f>
        <v>35.18308057</v>
      </c>
      <c r="P398" s="20">
        <f>IFERROR(__xludf.DUMMYFUNCTION("""COMPUTED_VALUE"""),93492.0)</f>
        <v>93492</v>
      </c>
      <c r="Q398" s="20">
        <f>IFERROR(__xludf.DUMMYFUNCTION("""COMPUTED_VALUE"""),265729.0)</f>
        <v>265729</v>
      </c>
    </row>
    <row r="399">
      <c r="A399" s="20">
        <f>IFERROR(__xludf.DUMMYFUNCTION("""COMPUTED_VALUE"""),398.0)</f>
        <v>398</v>
      </c>
      <c r="B399" s="20" t="str">
        <f>IFERROR(__xludf.DUMMYFUNCTION("""COMPUTED_VALUE"""),"Random Pick Index")</f>
        <v>Random Pick Index</v>
      </c>
      <c r="C399" s="20" t="str">
        <f>IFERROR(__xludf.DUMMYFUNCTION("""COMPUTED_VALUE"""),"random-pick-index")</f>
        <v>random-pick-index</v>
      </c>
      <c r="D399" s="20" t="b">
        <f>IFERROR(__xludf.DUMMYFUNCTION("""COMPUTED_VALUE"""),FALSE)</f>
        <v>0</v>
      </c>
      <c r="E399" s="20" t="str">
        <f>IFERROR(__xludf.DUMMYFUNCTION("""COMPUTED_VALUE"""),"Medium")</f>
        <v>Medium</v>
      </c>
      <c r="F399" s="20">
        <f>IFERROR(__xludf.DUMMYFUNCTION("""COMPUTED_VALUE"""),1066.0)</f>
        <v>1066</v>
      </c>
      <c r="G399" s="20">
        <f>IFERROR(__xludf.DUMMYFUNCTION("""COMPUTED_VALUE"""),1168.0)</f>
        <v>1168</v>
      </c>
      <c r="H399" s="20" t="str">
        <f>IFERROR(__xludf.DUMMYFUNCTION("""COMPUTED_VALUE"""),"Algorithms")</f>
        <v>Algorithms</v>
      </c>
      <c r="I399" s="20">
        <f>IFERROR(__xludf.DUMMYFUNCTION("""COMPUTED_VALUE"""),0.627)</f>
        <v>0.627</v>
      </c>
      <c r="J399" s="20">
        <f>IFERROR(__xludf.DUMMYFUNCTION("""COMPUTED_VALUE"""),398.0)</f>
        <v>398</v>
      </c>
      <c r="K399" s="20" t="b">
        <f>IFERROR(__xludf.DUMMYFUNCTION("""COMPUTED_VALUE"""),FALSE)</f>
        <v>0</v>
      </c>
      <c r="L399" s="20" t="str">
        <f>IFERROR(__xludf.DUMMYFUNCTION("""COMPUTED_VALUE"""),"Hash Table;Math;Reservoir Sampling;Randomized;")</f>
        <v>Hash Table;Math;Reservoir Sampling;Randomized;</v>
      </c>
      <c r="M399" s="20" t="b">
        <f>IFERROR(__xludf.DUMMYFUNCTION("""COMPUTED_VALUE"""),TRUE)</f>
        <v>1</v>
      </c>
      <c r="N399" s="20" t="b">
        <f>IFERROR(__xludf.DUMMYFUNCTION("""COMPUTED_VALUE"""),FALSE)</f>
        <v>0</v>
      </c>
      <c r="O399" s="20">
        <f>IFERROR(__xludf.DUMMYFUNCTION("""COMPUTED_VALUE"""),62.6807626572238)</f>
        <v>62.68076266</v>
      </c>
      <c r="P399" s="20">
        <f>IFERROR(__xludf.DUMMYFUNCTION("""COMPUTED_VALUE"""),183737.0)</f>
        <v>183737</v>
      </c>
      <c r="Q399" s="20">
        <f>IFERROR(__xludf.DUMMYFUNCTION("""COMPUTED_VALUE"""),293132.0)</f>
        <v>293132</v>
      </c>
    </row>
    <row r="400">
      <c r="A400" s="20">
        <f>IFERROR(__xludf.DUMMYFUNCTION("""COMPUTED_VALUE"""),399.0)</f>
        <v>399</v>
      </c>
      <c r="B400" s="20" t="str">
        <f>IFERROR(__xludf.DUMMYFUNCTION("""COMPUTED_VALUE"""),"Evaluate Division")</f>
        <v>Evaluate Division</v>
      </c>
      <c r="C400" s="20" t="str">
        <f>IFERROR(__xludf.DUMMYFUNCTION("""COMPUTED_VALUE"""),"evaluate-division")</f>
        <v>evaluate-division</v>
      </c>
      <c r="D400" s="20" t="b">
        <f>IFERROR(__xludf.DUMMYFUNCTION("""COMPUTED_VALUE"""),FALSE)</f>
        <v>0</v>
      </c>
      <c r="E400" s="20" t="str">
        <f>IFERROR(__xludf.DUMMYFUNCTION("""COMPUTED_VALUE"""),"Medium")</f>
        <v>Medium</v>
      </c>
      <c r="F400" s="20">
        <f>IFERROR(__xludf.DUMMYFUNCTION("""COMPUTED_VALUE"""),6711.0)</f>
        <v>6711</v>
      </c>
      <c r="G400" s="20">
        <f>IFERROR(__xludf.DUMMYFUNCTION("""COMPUTED_VALUE"""),583.0)</f>
        <v>583</v>
      </c>
      <c r="H400" s="20" t="str">
        <f>IFERROR(__xludf.DUMMYFUNCTION("""COMPUTED_VALUE"""),"Algorithms")</f>
        <v>Algorithms</v>
      </c>
      <c r="I400" s="20">
        <f>IFERROR(__xludf.DUMMYFUNCTION("""COMPUTED_VALUE"""),0.596)</f>
        <v>0.596</v>
      </c>
      <c r="J400" s="20">
        <f>IFERROR(__xludf.DUMMYFUNCTION("""COMPUTED_VALUE"""),399.0)</f>
        <v>399</v>
      </c>
      <c r="K400" s="20" t="b">
        <f>IFERROR(__xludf.DUMMYFUNCTION("""COMPUTED_VALUE"""),FALSE)</f>
        <v>0</v>
      </c>
      <c r="L400" s="20" t="str">
        <f>IFERROR(__xludf.DUMMYFUNCTION("""COMPUTED_VALUE"""),"Array;Depth-First Search;Breadth-First Search;Union Find;Graph;Shortest Path;")</f>
        <v>Array;Depth-First Search;Breadth-First Search;Union Find;Graph;Shortest Path;</v>
      </c>
      <c r="M400" s="20" t="b">
        <f>IFERROR(__xludf.DUMMYFUNCTION("""COMPUTED_VALUE"""),TRUE)</f>
        <v>1</v>
      </c>
      <c r="N400" s="20" t="b">
        <f>IFERROR(__xludf.DUMMYFUNCTION("""COMPUTED_VALUE"""),FALSE)</f>
        <v>0</v>
      </c>
      <c r="O400" s="20">
        <f>IFERROR(__xludf.DUMMYFUNCTION("""COMPUTED_VALUE"""),59.5722760493184)</f>
        <v>59.57227605</v>
      </c>
      <c r="P400" s="20">
        <f>IFERROR(__xludf.DUMMYFUNCTION("""COMPUTED_VALUE"""),320335.0)</f>
        <v>320335</v>
      </c>
      <c r="Q400" s="20">
        <f>IFERROR(__xludf.DUMMYFUNCTION("""COMPUTED_VALUE"""),537726.0)</f>
        <v>537726</v>
      </c>
    </row>
    <row r="401">
      <c r="A401" s="20">
        <f>IFERROR(__xludf.DUMMYFUNCTION("""COMPUTED_VALUE"""),400.0)</f>
        <v>400</v>
      </c>
      <c r="B401" s="20" t="str">
        <f>IFERROR(__xludf.DUMMYFUNCTION("""COMPUTED_VALUE"""),"Nth Digit")</f>
        <v>Nth Digit</v>
      </c>
      <c r="C401" s="20" t="str">
        <f>IFERROR(__xludf.DUMMYFUNCTION("""COMPUTED_VALUE"""),"nth-digit")</f>
        <v>nth-digit</v>
      </c>
      <c r="D401" s="20" t="b">
        <f>IFERROR(__xludf.DUMMYFUNCTION("""COMPUTED_VALUE"""),FALSE)</f>
        <v>0</v>
      </c>
      <c r="E401" s="20" t="str">
        <f>IFERROR(__xludf.DUMMYFUNCTION("""COMPUTED_VALUE"""),"Medium")</f>
        <v>Medium</v>
      </c>
      <c r="F401" s="20">
        <f>IFERROR(__xludf.DUMMYFUNCTION("""COMPUTED_VALUE"""),798.0)</f>
        <v>798</v>
      </c>
      <c r="G401" s="20">
        <f>IFERROR(__xludf.DUMMYFUNCTION("""COMPUTED_VALUE"""),1719.0)</f>
        <v>1719</v>
      </c>
      <c r="H401" s="20" t="str">
        <f>IFERROR(__xludf.DUMMYFUNCTION("""COMPUTED_VALUE"""),"Algorithms")</f>
        <v>Algorithms</v>
      </c>
      <c r="I401" s="20">
        <f>IFERROR(__xludf.DUMMYFUNCTION("""COMPUTED_VALUE"""),0.341)</f>
        <v>0.341</v>
      </c>
      <c r="J401" s="20">
        <f>IFERROR(__xludf.DUMMYFUNCTION("""COMPUTED_VALUE"""),400.0)</f>
        <v>400</v>
      </c>
      <c r="K401" s="20" t="b">
        <f>IFERROR(__xludf.DUMMYFUNCTION("""COMPUTED_VALUE"""),FALSE)</f>
        <v>0</v>
      </c>
      <c r="L401" s="20" t="str">
        <f>IFERROR(__xludf.DUMMYFUNCTION("""COMPUTED_VALUE"""),"Math;Binary Search;")</f>
        <v>Math;Binary Search;</v>
      </c>
      <c r="M401" s="20" t="b">
        <f>IFERROR(__xludf.DUMMYFUNCTION("""COMPUTED_VALUE"""),FALSE)</f>
        <v>0</v>
      </c>
      <c r="N401" s="20" t="b">
        <f>IFERROR(__xludf.DUMMYFUNCTION("""COMPUTED_VALUE"""),FALSE)</f>
        <v>0</v>
      </c>
      <c r="O401" s="20">
        <f>IFERROR(__xludf.DUMMYFUNCTION("""COMPUTED_VALUE"""),34.087782970402)</f>
        <v>34.08778297</v>
      </c>
      <c r="P401" s="20">
        <f>IFERROR(__xludf.DUMMYFUNCTION("""COMPUTED_VALUE"""),82277.0)</f>
        <v>82277</v>
      </c>
      <c r="Q401" s="20">
        <f>IFERROR(__xludf.DUMMYFUNCTION("""COMPUTED_VALUE"""),241368.0)</f>
        <v>241368</v>
      </c>
    </row>
    <row r="402">
      <c r="A402" s="20">
        <f>IFERROR(__xludf.DUMMYFUNCTION("""COMPUTED_VALUE"""),401.0)</f>
        <v>401</v>
      </c>
      <c r="B402" s="20" t="str">
        <f>IFERROR(__xludf.DUMMYFUNCTION("""COMPUTED_VALUE"""),"Binary Watch")</f>
        <v>Binary Watch</v>
      </c>
      <c r="C402" s="20" t="str">
        <f>IFERROR(__xludf.DUMMYFUNCTION("""COMPUTED_VALUE"""),"binary-watch")</f>
        <v>binary-watch</v>
      </c>
      <c r="D402" s="20" t="b">
        <f>IFERROR(__xludf.DUMMYFUNCTION("""COMPUTED_VALUE"""),FALSE)</f>
        <v>0</v>
      </c>
      <c r="E402" s="20" t="str">
        <f>IFERROR(__xludf.DUMMYFUNCTION("""COMPUTED_VALUE"""),"Easy")</f>
        <v>Easy</v>
      </c>
      <c r="F402" s="20">
        <f>IFERROR(__xludf.DUMMYFUNCTION("""COMPUTED_VALUE"""),1109.0)</f>
        <v>1109</v>
      </c>
      <c r="G402" s="20">
        <f>IFERROR(__xludf.DUMMYFUNCTION("""COMPUTED_VALUE"""),2080.0)</f>
        <v>2080</v>
      </c>
      <c r="H402" s="20" t="str">
        <f>IFERROR(__xludf.DUMMYFUNCTION("""COMPUTED_VALUE"""),"Algorithms")</f>
        <v>Algorithms</v>
      </c>
      <c r="I402" s="20">
        <f>IFERROR(__xludf.DUMMYFUNCTION("""COMPUTED_VALUE"""),0.518)</f>
        <v>0.518</v>
      </c>
      <c r="J402" s="20">
        <f>IFERROR(__xludf.DUMMYFUNCTION("""COMPUTED_VALUE"""),401.0)</f>
        <v>401</v>
      </c>
      <c r="K402" s="20" t="b">
        <f>IFERROR(__xludf.DUMMYFUNCTION("""COMPUTED_VALUE"""),FALSE)</f>
        <v>0</v>
      </c>
      <c r="L402" s="20" t="str">
        <f>IFERROR(__xludf.DUMMYFUNCTION("""COMPUTED_VALUE"""),"Backtracking;Bit Manipulation;")</f>
        <v>Backtracking;Bit Manipulation;</v>
      </c>
      <c r="M402" s="20" t="b">
        <f>IFERROR(__xludf.DUMMYFUNCTION("""COMPUTED_VALUE"""),FALSE)</f>
        <v>0</v>
      </c>
      <c r="N402" s="20" t="b">
        <f>IFERROR(__xludf.DUMMYFUNCTION("""COMPUTED_VALUE"""),FALSE)</f>
        <v>0</v>
      </c>
      <c r="O402" s="20">
        <f>IFERROR(__xludf.DUMMYFUNCTION("""COMPUTED_VALUE"""),51.7722055845032)</f>
        <v>51.77220558</v>
      </c>
      <c r="P402" s="20">
        <f>IFERROR(__xludf.DUMMYFUNCTION("""COMPUTED_VALUE"""),119629.0)</f>
        <v>119629</v>
      </c>
      <c r="Q402" s="20">
        <f>IFERROR(__xludf.DUMMYFUNCTION("""COMPUTED_VALUE"""),231068.0)</f>
        <v>231068</v>
      </c>
    </row>
    <row r="403">
      <c r="A403" s="20">
        <f>IFERROR(__xludf.DUMMYFUNCTION("""COMPUTED_VALUE"""),402.0)</f>
        <v>402</v>
      </c>
      <c r="B403" s="20" t="str">
        <f>IFERROR(__xludf.DUMMYFUNCTION("""COMPUTED_VALUE"""),"Remove K Digits")</f>
        <v>Remove K Digits</v>
      </c>
      <c r="C403" s="20" t="str">
        <f>IFERROR(__xludf.DUMMYFUNCTION("""COMPUTED_VALUE"""),"remove-k-digits")</f>
        <v>remove-k-digits</v>
      </c>
      <c r="D403" s="20" t="b">
        <f>IFERROR(__xludf.DUMMYFUNCTION("""COMPUTED_VALUE"""),FALSE)</f>
        <v>0</v>
      </c>
      <c r="E403" s="20" t="str">
        <f>IFERROR(__xludf.DUMMYFUNCTION("""COMPUTED_VALUE"""),"Medium")</f>
        <v>Medium</v>
      </c>
      <c r="F403" s="20">
        <f>IFERROR(__xludf.DUMMYFUNCTION("""COMPUTED_VALUE"""),7002.0)</f>
        <v>7002</v>
      </c>
      <c r="G403" s="20">
        <f>IFERROR(__xludf.DUMMYFUNCTION("""COMPUTED_VALUE"""),293.0)</f>
        <v>293</v>
      </c>
      <c r="H403" s="20" t="str">
        <f>IFERROR(__xludf.DUMMYFUNCTION("""COMPUTED_VALUE"""),"Algorithms")</f>
        <v>Algorithms</v>
      </c>
      <c r="I403" s="20">
        <f>IFERROR(__xludf.DUMMYFUNCTION("""COMPUTED_VALUE"""),0.305)</f>
        <v>0.305</v>
      </c>
      <c r="J403" s="20">
        <f>IFERROR(__xludf.DUMMYFUNCTION("""COMPUTED_VALUE"""),402.0)</f>
        <v>402</v>
      </c>
      <c r="K403" s="20" t="b">
        <f>IFERROR(__xludf.DUMMYFUNCTION("""COMPUTED_VALUE"""),FALSE)</f>
        <v>0</v>
      </c>
      <c r="L403" s="20" t="str">
        <f>IFERROR(__xludf.DUMMYFUNCTION("""COMPUTED_VALUE"""),"String;Stack;Greedy;Monotonic Stack;")</f>
        <v>String;Stack;Greedy;Monotonic Stack;</v>
      </c>
      <c r="M403" s="20" t="b">
        <f>IFERROR(__xludf.DUMMYFUNCTION("""COMPUTED_VALUE"""),TRUE)</f>
        <v>1</v>
      </c>
      <c r="N403" s="20" t="b">
        <f>IFERROR(__xludf.DUMMYFUNCTION("""COMPUTED_VALUE"""),FALSE)</f>
        <v>0</v>
      </c>
      <c r="O403" s="20">
        <f>IFERROR(__xludf.DUMMYFUNCTION("""COMPUTED_VALUE"""),30.495716301328)</f>
        <v>30.4957163</v>
      </c>
      <c r="P403" s="20">
        <f>IFERROR(__xludf.DUMMYFUNCTION("""COMPUTED_VALUE"""),293516.0)</f>
        <v>293516</v>
      </c>
      <c r="Q403" s="20">
        <f>IFERROR(__xludf.DUMMYFUNCTION("""COMPUTED_VALUE"""),962485.0)</f>
        <v>962485</v>
      </c>
    </row>
    <row r="404">
      <c r="A404" s="20">
        <f>IFERROR(__xludf.DUMMYFUNCTION("""COMPUTED_VALUE"""),403.0)</f>
        <v>403</v>
      </c>
      <c r="B404" s="20" t="str">
        <f>IFERROR(__xludf.DUMMYFUNCTION("""COMPUTED_VALUE"""),"Frog Jump")</f>
        <v>Frog Jump</v>
      </c>
      <c r="C404" s="20" t="str">
        <f>IFERROR(__xludf.DUMMYFUNCTION("""COMPUTED_VALUE"""),"frog-jump")</f>
        <v>frog-jump</v>
      </c>
      <c r="D404" s="20" t="b">
        <f>IFERROR(__xludf.DUMMYFUNCTION("""COMPUTED_VALUE"""),FALSE)</f>
        <v>0</v>
      </c>
      <c r="E404" s="20" t="str">
        <f>IFERROR(__xludf.DUMMYFUNCTION("""COMPUTED_VALUE"""),"Hard")</f>
        <v>Hard</v>
      </c>
      <c r="F404" s="20">
        <f>IFERROR(__xludf.DUMMYFUNCTION("""COMPUTED_VALUE"""),3426.0)</f>
        <v>3426</v>
      </c>
      <c r="G404" s="20">
        <f>IFERROR(__xludf.DUMMYFUNCTION("""COMPUTED_VALUE"""),182.0)</f>
        <v>182</v>
      </c>
      <c r="H404" s="20" t="str">
        <f>IFERROR(__xludf.DUMMYFUNCTION("""COMPUTED_VALUE"""),"Algorithms")</f>
        <v>Algorithms</v>
      </c>
      <c r="I404" s="20">
        <f>IFERROR(__xludf.DUMMYFUNCTION("""COMPUTED_VALUE"""),0.432)</f>
        <v>0.432</v>
      </c>
      <c r="J404" s="20">
        <f>IFERROR(__xludf.DUMMYFUNCTION("""COMPUTED_VALUE"""),403.0)</f>
        <v>403</v>
      </c>
      <c r="K404" s="20" t="b">
        <f>IFERROR(__xludf.DUMMYFUNCTION("""COMPUTED_VALUE"""),FALSE)</f>
        <v>0</v>
      </c>
      <c r="L404" s="20" t="str">
        <f>IFERROR(__xludf.DUMMYFUNCTION("""COMPUTED_VALUE"""),"Array;Dynamic Programming;")</f>
        <v>Array;Dynamic Programming;</v>
      </c>
      <c r="M404" s="20" t="b">
        <f>IFERROR(__xludf.DUMMYFUNCTION("""COMPUTED_VALUE"""),TRUE)</f>
        <v>1</v>
      </c>
      <c r="N404" s="20" t="b">
        <f>IFERROR(__xludf.DUMMYFUNCTION("""COMPUTED_VALUE"""),FALSE)</f>
        <v>0</v>
      </c>
      <c r="O404" s="20">
        <f>IFERROR(__xludf.DUMMYFUNCTION("""COMPUTED_VALUE"""),43.1523163627847)</f>
        <v>43.15231636</v>
      </c>
      <c r="P404" s="20">
        <f>IFERROR(__xludf.DUMMYFUNCTION("""COMPUTED_VALUE"""),173197.0)</f>
        <v>173197</v>
      </c>
      <c r="Q404" s="20">
        <f>IFERROR(__xludf.DUMMYFUNCTION("""COMPUTED_VALUE"""),401362.0)</f>
        <v>401362</v>
      </c>
    </row>
    <row r="405">
      <c r="A405" s="20">
        <f>IFERROR(__xludf.DUMMYFUNCTION("""COMPUTED_VALUE"""),404.0)</f>
        <v>404</v>
      </c>
      <c r="B405" s="20" t="str">
        <f>IFERROR(__xludf.DUMMYFUNCTION("""COMPUTED_VALUE"""),"Sum of Left Leaves")</f>
        <v>Sum of Left Leaves</v>
      </c>
      <c r="C405" s="20" t="str">
        <f>IFERROR(__xludf.DUMMYFUNCTION("""COMPUTED_VALUE"""),"sum-of-left-leaves")</f>
        <v>sum-of-left-leaves</v>
      </c>
      <c r="D405" s="20" t="b">
        <f>IFERROR(__xludf.DUMMYFUNCTION("""COMPUTED_VALUE"""),FALSE)</f>
        <v>0</v>
      </c>
      <c r="E405" s="20" t="str">
        <f>IFERROR(__xludf.DUMMYFUNCTION("""COMPUTED_VALUE"""),"Easy")</f>
        <v>Easy</v>
      </c>
      <c r="F405" s="20">
        <f>IFERROR(__xludf.DUMMYFUNCTION("""COMPUTED_VALUE"""),4137.0)</f>
        <v>4137</v>
      </c>
      <c r="G405" s="20">
        <f>IFERROR(__xludf.DUMMYFUNCTION("""COMPUTED_VALUE"""),265.0)</f>
        <v>265</v>
      </c>
      <c r="H405" s="20" t="str">
        <f>IFERROR(__xludf.DUMMYFUNCTION("""COMPUTED_VALUE"""),"Algorithms")</f>
        <v>Algorithms</v>
      </c>
      <c r="I405" s="20">
        <f>IFERROR(__xludf.DUMMYFUNCTION("""COMPUTED_VALUE"""),0.564)</f>
        <v>0.564</v>
      </c>
      <c r="J405" s="20">
        <f>IFERROR(__xludf.DUMMYFUNCTION("""COMPUTED_VALUE"""),404.0)</f>
        <v>404</v>
      </c>
      <c r="K405" s="20" t="b">
        <f>IFERROR(__xludf.DUMMYFUNCTION("""COMPUTED_VALUE"""),FALSE)</f>
        <v>0</v>
      </c>
      <c r="L405" s="20" t="str">
        <f>IFERROR(__xludf.DUMMYFUNCTION("""COMPUTED_VALUE"""),"Tree;Depth-First Search;Breadth-First Search;Binary Tree;")</f>
        <v>Tree;Depth-First Search;Breadth-First Search;Binary Tree;</v>
      </c>
      <c r="M405" s="20" t="b">
        <f>IFERROR(__xludf.DUMMYFUNCTION("""COMPUTED_VALUE"""),TRUE)</f>
        <v>1</v>
      </c>
      <c r="N405" s="20" t="b">
        <f>IFERROR(__xludf.DUMMYFUNCTION("""COMPUTED_VALUE"""),FALSE)</f>
        <v>0</v>
      </c>
      <c r="O405" s="20">
        <f>IFERROR(__xludf.DUMMYFUNCTION("""COMPUTED_VALUE"""),56.3848311889329)</f>
        <v>56.38483119</v>
      </c>
      <c r="P405" s="20">
        <f>IFERROR(__xludf.DUMMYFUNCTION("""COMPUTED_VALUE"""),407992.0)</f>
        <v>407992</v>
      </c>
      <c r="Q405" s="20">
        <f>IFERROR(__xludf.DUMMYFUNCTION("""COMPUTED_VALUE"""),723587.0)</f>
        <v>723587</v>
      </c>
    </row>
    <row r="406">
      <c r="A406" s="20">
        <f>IFERROR(__xludf.DUMMYFUNCTION("""COMPUTED_VALUE"""),405.0)</f>
        <v>405</v>
      </c>
      <c r="B406" s="20" t="str">
        <f>IFERROR(__xludf.DUMMYFUNCTION("""COMPUTED_VALUE"""),"Convert a Number to Hexadecimal")</f>
        <v>Convert a Number to Hexadecimal</v>
      </c>
      <c r="C406" s="20" t="str">
        <f>IFERROR(__xludf.DUMMYFUNCTION("""COMPUTED_VALUE"""),"convert-a-number-to-hexadecimal")</f>
        <v>convert-a-number-to-hexadecimal</v>
      </c>
      <c r="D406" s="20" t="b">
        <f>IFERROR(__xludf.DUMMYFUNCTION("""COMPUTED_VALUE"""),FALSE)</f>
        <v>0</v>
      </c>
      <c r="E406" s="20" t="str">
        <f>IFERROR(__xludf.DUMMYFUNCTION("""COMPUTED_VALUE"""),"Easy")</f>
        <v>Easy</v>
      </c>
      <c r="F406" s="20">
        <f>IFERROR(__xludf.DUMMYFUNCTION("""COMPUTED_VALUE"""),1050.0)</f>
        <v>1050</v>
      </c>
      <c r="G406" s="20">
        <f>IFERROR(__xludf.DUMMYFUNCTION("""COMPUTED_VALUE"""),186.0)</f>
        <v>186</v>
      </c>
      <c r="H406" s="20" t="str">
        <f>IFERROR(__xludf.DUMMYFUNCTION("""COMPUTED_VALUE"""),"Algorithms")</f>
        <v>Algorithms</v>
      </c>
      <c r="I406" s="20">
        <f>IFERROR(__xludf.DUMMYFUNCTION("""COMPUTED_VALUE"""),0.463)</f>
        <v>0.463</v>
      </c>
      <c r="J406" s="20">
        <f>IFERROR(__xludf.DUMMYFUNCTION("""COMPUTED_VALUE"""),405.0)</f>
        <v>405</v>
      </c>
      <c r="K406" s="20" t="b">
        <f>IFERROR(__xludf.DUMMYFUNCTION("""COMPUTED_VALUE"""),FALSE)</f>
        <v>0</v>
      </c>
      <c r="L406" s="20" t="str">
        <f>IFERROR(__xludf.DUMMYFUNCTION("""COMPUTED_VALUE"""),"Math;Bit Manipulation;")</f>
        <v>Math;Bit Manipulation;</v>
      </c>
      <c r="M406" s="20" t="b">
        <f>IFERROR(__xludf.DUMMYFUNCTION("""COMPUTED_VALUE"""),FALSE)</f>
        <v>0</v>
      </c>
      <c r="N406" s="20" t="b">
        <f>IFERROR(__xludf.DUMMYFUNCTION("""COMPUTED_VALUE"""),FALSE)</f>
        <v>0</v>
      </c>
      <c r="O406" s="20">
        <f>IFERROR(__xludf.DUMMYFUNCTION("""COMPUTED_VALUE"""),46.2820835690016)</f>
        <v>46.28208357</v>
      </c>
      <c r="P406" s="20">
        <f>IFERROR(__xludf.DUMMYFUNCTION("""COMPUTED_VALUE"""),112104.0)</f>
        <v>112104</v>
      </c>
      <c r="Q406" s="20">
        <f>IFERROR(__xludf.DUMMYFUNCTION("""COMPUTED_VALUE"""),242219.0)</f>
        <v>242219</v>
      </c>
    </row>
    <row r="407">
      <c r="A407" s="20">
        <f>IFERROR(__xludf.DUMMYFUNCTION("""COMPUTED_VALUE"""),406.0)</f>
        <v>406</v>
      </c>
      <c r="B407" s="20" t="str">
        <f>IFERROR(__xludf.DUMMYFUNCTION("""COMPUTED_VALUE"""),"Queue Reconstruction by Height")</f>
        <v>Queue Reconstruction by Height</v>
      </c>
      <c r="C407" s="20" t="str">
        <f>IFERROR(__xludf.DUMMYFUNCTION("""COMPUTED_VALUE"""),"queue-reconstruction-by-height")</f>
        <v>queue-reconstruction-by-height</v>
      </c>
      <c r="D407" s="20" t="b">
        <f>IFERROR(__xludf.DUMMYFUNCTION("""COMPUTED_VALUE"""),FALSE)</f>
        <v>0</v>
      </c>
      <c r="E407" s="20" t="str">
        <f>IFERROR(__xludf.DUMMYFUNCTION("""COMPUTED_VALUE"""),"Medium")</f>
        <v>Medium</v>
      </c>
      <c r="F407" s="20">
        <f>IFERROR(__xludf.DUMMYFUNCTION("""COMPUTED_VALUE"""),6525.0)</f>
        <v>6525</v>
      </c>
      <c r="G407" s="20">
        <f>IFERROR(__xludf.DUMMYFUNCTION("""COMPUTED_VALUE"""),654.0)</f>
        <v>654</v>
      </c>
      <c r="H407" s="20" t="str">
        <f>IFERROR(__xludf.DUMMYFUNCTION("""COMPUTED_VALUE"""),"Algorithms")</f>
        <v>Algorithms</v>
      </c>
      <c r="I407" s="20">
        <f>IFERROR(__xludf.DUMMYFUNCTION("""COMPUTED_VALUE"""),0.728)</f>
        <v>0.728</v>
      </c>
      <c r="J407" s="20">
        <f>IFERROR(__xludf.DUMMYFUNCTION("""COMPUTED_VALUE"""),406.0)</f>
        <v>406</v>
      </c>
      <c r="K407" s="20" t="b">
        <f>IFERROR(__xludf.DUMMYFUNCTION("""COMPUTED_VALUE"""),FALSE)</f>
        <v>0</v>
      </c>
      <c r="L407" s="20" t="str">
        <f>IFERROR(__xludf.DUMMYFUNCTION("""COMPUTED_VALUE"""),"Array;Greedy;Binary Indexed Tree;Segment Tree;Sorting;")</f>
        <v>Array;Greedy;Binary Indexed Tree;Segment Tree;Sorting;</v>
      </c>
      <c r="M407" s="20" t="b">
        <f>IFERROR(__xludf.DUMMYFUNCTION("""COMPUTED_VALUE"""),TRUE)</f>
        <v>1</v>
      </c>
      <c r="N407" s="20" t="b">
        <f>IFERROR(__xludf.DUMMYFUNCTION("""COMPUTED_VALUE"""),FALSE)</f>
        <v>0</v>
      </c>
      <c r="O407" s="20">
        <f>IFERROR(__xludf.DUMMYFUNCTION("""COMPUTED_VALUE"""),72.8451183775009)</f>
        <v>72.84511838</v>
      </c>
      <c r="P407" s="20">
        <f>IFERROR(__xludf.DUMMYFUNCTION("""COMPUTED_VALUE"""),276421.0)</f>
        <v>276421</v>
      </c>
      <c r="Q407" s="20">
        <f>IFERROR(__xludf.DUMMYFUNCTION("""COMPUTED_VALUE"""),379464.0)</f>
        <v>379464</v>
      </c>
    </row>
    <row r="408">
      <c r="A408" s="20">
        <f>IFERROR(__xludf.DUMMYFUNCTION("""COMPUTED_VALUE"""),407.0)</f>
        <v>407</v>
      </c>
      <c r="B408" s="20" t="str">
        <f>IFERROR(__xludf.DUMMYFUNCTION("""COMPUTED_VALUE"""),"Trapping Rain Water II")</f>
        <v>Trapping Rain Water II</v>
      </c>
      <c r="C408" s="20" t="str">
        <f>IFERROR(__xludf.DUMMYFUNCTION("""COMPUTED_VALUE"""),"trapping-rain-water-ii")</f>
        <v>trapping-rain-water-ii</v>
      </c>
      <c r="D408" s="20" t="b">
        <f>IFERROR(__xludf.DUMMYFUNCTION("""COMPUTED_VALUE"""),FALSE)</f>
        <v>0</v>
      </c>
      <c r="E408" s="20" t="str">
        <f>IFERROR(__xludf.DUMMYFUNCTION("""COMPUTED_VALUE"""),"Hard")</f>
        <v>Hard</v>
      </c>
      <c r="F408" s="20">
        <f>IFERROR(__xludf.DUMMYFUNCTION("""COMPUTED_VALUE"""),3223.0)</f>
        <v>3223</v>
      </c>
      <c r="G408" s="20">
        <f>IFERROR(__xludf.DUMMYFUNCTION("""COMPUTED_VALUE"""),73.0)</f>
        <v>73</v>
      </c>
      <c r="H408" s="20" t="str">
        <f>IFERROR(__xludf.DUMMYFUNCTION("""COMPUTED_VALUE"""),"Algorithms")</f>
        <v>Algorithms</v>
      </c>
      <c r="I408" s="20">
        <f>IFERROR(__xludf.DUMMYFUNCTION("""COMPUTED_VALUE"""),0.475)</f>
        <v>0.475</v>
      </c>
      <c r="J408" s="20">
        <f>IFERROR(__xludf.DUMMYFUNCTION("""COMPUTED_VALUE"""),407.0)</f>
        <v>407</v>
      </c>
      <c r="K408" s="20" t="b">
        <f>IFERROR(__xludf.DUMMYFUNCTION("""COMPUTED_VALUE"""),FALSE)</f>
        <v>0</v>
      </c>
      <c r="L408" s="20" t="str">
        <f>IFERROR(__xludf.DUMMYFUNCTION("""COMPUTED_VALUE"""),"Array;Breadth-First Search;Heap (Priority Queue);Matrix;")</f>
        <v>Array;Breadth-First Search;Heap (Priority Queue);Matrix;</v>
      </c>
      <c r="M408" s="20" t="b">
        <f>IFERROR(__xludf.DUMMYFUNCTION("""COMPUTED_VALUE"""),FALSE)</f>
        <v>0</v>
      </c>
      <c r="N408" s="20" t="b">
        <f>IFERROR(__xludf.DUMMYFUNCTION("""COMPUTED_VALUE"""),FALSE)</f>
        <v>0</v>
      </c>
      <c r="O408" s="20">
        <f>IFERROR(__xludf.DUMMYFUNCTION("""COMPUTED_VALUE"""),47.5427902545934)</f>
        <v>47.54279025</v>
      </c>
      <c r="P408" s="20">
        <f>IFERROR(__xludf.DUMMYFUNCTION("""COMPUTED_VALUE"""),76358.0)</f>
        <v>76358</v>
      </c>
      <c r="Q408" s="20">
        <f>IFERROR(__xludf.DUMMYFUNCTION("""COMPUTED_VALUE"""),160608.0)</f>
        <v>160608</v>
      </c>
    </row>
    <row r="409">
      <c r="A409" s="20">
        <f>IFERROR(__xludf.DUMMYFUNCTION("""COMPUTED_VALUE"""),408.0)</f>
        <v>408</v>
      </c>
      <c r="B409" s="20" t="str">
        <f>IFERROR(__xludf.DUMMYFUNCTION("""COMPUTED_VALUE"""),"Valid Word Abbreviation")</f>
        <v>Valid Word Abbreviation</v>
      </c>
      <c r="C409" s="20" t="str">
        <f>IFERROR(__xludf.DUMMYFUNCTION("""COMPUTED_VALUE"""),"valid-word-abbreviation")</f>
        <v>valid-word-abbreviation</v>
      </c>
      <c r="D409" s="20" t="b">
        <f>IFERROR(__xludf.DUMMYFUNCTION("""COMPUTED_VALUE"""),TRUE)</f>
        <v>1</v>
      </c>
      <c r="E409" s="20" t="str">
        <f>IFERROR(__xludf.DUMMYFUNCTION("""COMPUTED_VALUE"""),"Easy")</f>
        <v>Easy</v>
      </c>
      <c r="F409" s="20">
        <f>IFERROR(__xludf.DUMMYFUNCTION("""COMPUTED_VALUE"""),548.0)</f>
        <v>548</v>
      </c>
      <c r="G409" s="20">
        <f>IFERROR(__xludf.DUMMYFUNCTION("""COMPUTED_VALUE"""),1886.0)</f>
        <v>1886</v>
      </c>
      <c r="H409" s="20" t="str">
        <f>IFERROR(__xludf.DUMMYFUNCTION("""COMPUTED_VALUE"""),"Algorithms")</f>
        <v>Algorithms</v>
      </c>
      <c r="I409" s="20">
        <f>IFERROR(__xludf.DUMMYFUNCTION("""COMPUTED_VALUE"""),0.348)</f>
        <v>0.348</v>
      </c>
      <c r="J409" s="20">
        <f>IFERROR(__xludf.DUMMYFUNCTION("""COMPUTED_VALUE"""),408.0)</f>
        <v>408</v>
      </c>
      <c r="K409" s="20" t="b">
        <f>IFERROR(__xludf.DUMMYFUNCTION("""COMPUTED_VALUE"""),TRUE)</f>
        <v>1</v>
      </c>
      <c r="L409" s="20" t="str">
        <f>IFERROR(__xludf.DUMMYFUNCTION("""COMPUTED_VALUE"""),"Two Pointers;String;")</f>
        <v>Two Pointers;String;</v>
      </c>
      <c r="M409" s="20" t="b">
        <f>IFERROR(__xludf.DUMMYFUNCTION("""COMPUTED_VALUE"""),FALSE)</f>
        <v>0</v>
      </c>
      <c r="N409" s="20" t="b">
        <f>IFERROR(__xludf.DUMMYFUNCTION("""COMPUTED_VALUE"""),FALSE)</f>
        <v>0</v>
      </c>
      <c r="O409" s="20">
        <f>IFERROR(__xludf.DUMMYFUNCTION("""COMPUTED_VALUE"""),34.8498558278137)</f>
        <v>34.84985583</v>
      </c>
      <c r="P409" s="20">
        <f>IFERROR(__xludf.DUMMYFUNCTION("""COMPUTED_VALUE"""),115544.0)</f>
        <v>115544</v>
      </c>
      <c r="Q409" s="20">
        <f>IFERROR(__xludf.DUMMYFUNCTION("""COMPUTED_VALUE"""),331548.0)</f>
        <v>331548</v>
      </c>
    </row>
    <row r="410">
      <c r="A410" s="20">
        <f>IFERROR(__xludf.DUMMYFUNCTION("""COMPUTED_VALUE"""),409.0)</f>
        <v>409</v>
      </c>
      <c r="B410" s="20" t="str">
        <f>IFERROR(__xludf.DUMMYFUNCTION("""COMPUTED_VALUE"""),"Longest Palindrome")</f>
        <v>Longest Palindrome</v>
      </c>
      <c r="C410" s="20" t="str">
        <f>IFERROR(__xludf.DUMMYFUNCTION("""COMPUTED_VALUE"""),"longest-palindrome")</f>
        <v>longest-palindrome</v>
      </c>
      <c r="D410" s="20" t="b">
        <f>IFERROR(__xludf.DUMMYFUNCTION("""COMPUTED_VALUE"""),FALSE)</f>
        <v>0</v>
      </c>
      <c r="E410" s="20" t="str">
        <f>IFERROR(__xludf.DUMMYFUNCTION("""COMPUTED_VALUE"""),"Easy")</f>
        <v>Easy</v>
      </c>
      <c r="F410" s="20">
        <f>IFERROR(__xludf.DUMMYFUNCTION("""COMPUTED_VALUE"""),4091.0)</f>
        <v>4091</v>
      </c>
      <c r="G410" s="20">
        <f>IFERROR(__xludf.DUMMYFUNCTION("""COMPUTED_VALUE"""),244.0)</f>
        <v>244</v>
      </c>
      <c r="H410" s="20" t="str">
        <f>IFERROR(__xludf.DUMMYFUNCTION("""COMPUTED_VALUE"""),"Algorithms")</f>
        <v>Algorithms</v>
      </c>
      <c r="I410" s="20">
        <f>IFERROR(__xludf.DUMMYFUNCTION("""COMPUTED_VALUE"""),0.546)</f>
        <v>0.546</v>
      </c>
      <c r="J410" s="20">
        <f>IFERROR(__xludf.DUMMYFUNCTION("""COMPUTED_VALUE"""),409.0)</f>
        <v>409</v>
      </c>
      <c r="K410" s="20" t="b">
        <f>IFERROR(__xludf.DUMMYFUNCTION("""COMPUTED_VALUE"""),FALSE)</f>
        <v>0</v>
      </c>
      <c r="L410" s="20" t="str">
        <f>IFERROR(__xludf.DUMMYFUNCTION("""COMPUTED_VALUE"""),"Hash Table;String;Greedy;")</f>
        <v>Hash Table;String;Greedy;</v>
      </c>
      <c r="M410" s="20" t="b">
        <f>IFERROR(__xludf.DUMMYFUNCTION("""COMPUTED_VALUE"""),TRUE)</f>
        <v>1</v>
      </c>
      <c r="N410" s="20" t="b">
        <f>IFERROR(__xludf.DUMMYFUNCTION("""COMPUTED_VALUE"""),FALSE)</f>
        <v>0</v>
      </c>
      <c r="O410" s="20">
        <f>IFERROR(__xludf.DUMMYFUNCTION("""COMPUTED_VALUE"""),54.5974748931155)</f>
        <v>54.59747489</v>
      </c>
      <c r="P410" s="20">
        <f>IFERROR(__xludf.DUMMYFUNCTION("""COMPUTED_VALUE"""),435459.0)</f>
        <v>435459</v>
      </c>
      <c r="Q410" s="20">
        <f>IFERROR(__xludf.DUMMYFUNCTION("""COMPUTED_VALUE"""),797574.0)</f>
        <v>797574</v>
      </c>
    </row>
    <row r="411">
      <c r="A411" s="20">
        <f>IFERROR(__xludf.DUMMYFUNCTION("""COMPUTED_VALUE"""),410.0)</f>
        <v>410</v>
      </c>
      <c r="B411" s="20" t="str">
        <f>IFERROR(__xludf.DUMMYFUNCTION("""COMPUTED_VALUE"""),"Split Array Largest Sum")</f>
        <v>Split Array Largest Sum</v>
      </c>
      <c r="C411" s="20" t="str">
        <f>IFERROR(__xludf.DUMMYFUNCTION("""COMPUTED_VALUE"""),"split-array-largest-sum")</f>
        <v>split-array-largest-sum</v>
      </c>
      <c r="D411" s="20" t="b">
        <f>IFERROR(__xludf.DUMMYFUNCTION("""COMPUTED_VALUE"""),FALSE)</f>
        <v>0</v>
      </c>
      <c r="E411" s="20" t="str">
        <f>IFERROR(__xludf.DUMMYFUNCTION("""COMPUTED_VALUE"""),"Hard")</f>
        <v>Hard</v>
      </c>
      <c r="F411" s="20">
        <f>IFERROR(__xludf.DUMMYFUNCTION("""COMPUTED_VALUE"""),7318.0)</f>
        <v>7318</v>
      </c>
      <c r="G411" s="20">
        <f>IFERROR(__xludf.DUMMYFUNCTION("""COMPUTED_VALUE"""),166.0)</f>
        <v>166</v>
      </c>
      <c r="H411" s="20" t="str">
        <f>IFERROR(__xludf.DUMMYFUNCTION("""COMPUTED_VALUE"""),"Algorithms")</f>
        <v>Algorithms</v>
      </c>
      <c r="I411" s="20">
        <f>IFERROR(__xludf.DUMMYFUNCTION("""COMPUTED_VALUE"""),0.533)</f>
        <v>0.533</v>
      </c>
      <c r="J411" s="20">
        <f>IFERROR(__xludf.DUMMYFUNCTION("""COMPUTED_VALUE"""),410.0)</f>
        <v>410</v>
      </c>
      <c r="K411" s="20" t="b">
        <f>IFERROR(__xludf.DUMMYFUNCTION("""COMPUTED_VALUE"""),FALSE)</f>
        <v>0</v>
      </c>
      <c r="L411" s="20" t="str">
        <f>IFERROR(__xludf.DUMMYFUNCTION("""COMPUTED_VALUE"""),"Array;Binary Search;Dynamic Programming;Greedy;")</f>
        <v>Array;Binary Search;Dynamic Programming;Greedy;</v>
      </c>
      <c r="M411" s="20" t="b">
        <f>IFERROR(__xludf.DUMMYFUNCTION("""COMPUTED_VALUE"""),TRUE)</f>
        <v>1</v>
      </c>
      <c r="N411" s="20" t="b">
        <f>IFERROR(__xludf.DUMMYFUNCTION("""COMPUTED_VALUE"""),FALSE)</f>
        <v>0</v>
      </c>
      <c r="O411" s="20">
        <f>IFERROR(__xludf.DUMMYFUNCTION("""COMPUTED_VALUE"""),53.3275647283139)</f>
        <v>53.32756473</v>
      </c>
      <c r="P411" s="20">
        <f>IFERROR(__xludf.DUMMYFUNCTION("""COMPUTED_VALUE"""),245286.0)</f>
        <v>245286</v>
      </c>
      <c r="Q411" s="20">
        <f>IFERROR(__xludf.DUMMYFUNCTION("""COMPUTED_VALUE"""),459958.0)</f>
        <v>459958</v>
      </c>
    </row>
    <row r="412">
      <c r="A412" s="20">
        <f>IFERROR(__xludf.DUMMYFUNCTION("""COMPUTED_VALUE"""),411.0)</f>
        <v>411</v>
      </c>
      <c r="B412" s="20" t="str">
        <f>IFERROR(__xludf.DUMMYFUNCTION("""COMPUTED_VALUE"""),"Minimum Unique Word Abbreviation")</f>
        <v>Minimum Unique Word Abbreviation</v>
      </c>
      <c r="C412" s="20" t="str">
        <f>IFERROR(__xludf.DUMMYFUNCTION("""COMPUTED_VALUE"""),"minimum-unique-word-abbreviation")</f>
        <v>minimum-unique-word-abbreviation</v>
      </c>
      <c r="D412" s="20" t="b">
        <f>IFERROR(__xludf.DUMMYFUNCTION("""COMPUTED_VALUE"""),TRUE)</f>
        <v>1</v>
      </c>
      <c r="E412" s="20" t="str">
        <f>IFERROR(__xludf.DUMMYFUNCTION("""COMPUTED_VALUE"""),"Hard")</f>
        <v>Hard</v>
      </c>
      <c r="F412" s="20">
        <f>IFERROR(__xludf.DUMMYFUNCTION("""COMPUTED_VALUE"""),171.0)</f>
        <v>171</v>
      </c>
      <c r="G412" s="20">
        <f>IFERROR(__xludf.DUMMYFUNCTION("""COMPUTED_VALUE"""),140.0)</f>
        <v>140</v>
      </c>
      <c r="H412" s="20" t="str">
        <f>IFERROR(__xludf.DUMMYFUNCTION("""COMPUTED_VALUE"""),"Algorithms")</f>
        <v>Algorithms</v>
      </c>
      <c r="I412" s="20">
        <f>IFERROR(__xludf.DUMMYFUNCTION("""COMPUTED_VALUE"""),0.393)</f>
        <v>0.393</v>
      </c>
      <c r="J412" s="20">
        <f>IFERROR(__xludf.DUMMYFUNCTION("""COMPUTED_VALUE"""),411.0)</f>
        <v>411</v>
      </c>
      <c r="K412" s="20" t="b">
        <f>IFERROR(__xludf.DUMMYFUNCTION("""COMPUTED_VALUE"""),TRUE)</f>
        <v>1</v>
      </c>
      <c r="L412" s="20" t="str">
        <f>IFERROR(__xludf.DUMMYFUNCTION("""COMPUTED_VALUE"""),"String;Backtracking;Bit Manipulation;")</f>
        <v>String;Backtracking;Bit Manipulation;</v>
      </c>
      <c r="M412" s="20" t="b">
        <f>IFERROR(__xludf.DUMMYFUNCTION("""COMPUTED_VALUE"""),FALSE)</f>
        <v>0</v>
      </c>
      <c r="N412" s="20" t="b">
        <f>IFERROR(__xludf.DUMMYFUNCTION("""COMPUTED_VALUE"""),FALSE)</f>
        <v>0</v>
      </c>
      <c r="O412" s="20">
        <f>IFERROR(__xludf.DUMMYFUNCTION("""COMPUTED_VALUE"""),39.2873088514343)</f>
        <v>39.28730885</v>
      </c>
      <c r="P412" s="20">
        <f>IFERROR(__xludf.DUMMYFUNCTION("""COMPUTED_VALUE"""),14079.0)</f>
        <v>14079</v>
      </c>
      <c r="Q412" s="20">
        <f>IFERROR(__xludf.DUMMYFUNCTION("""COMPUTED_VALUE"""),35836.0)</f>
        <v>35836</v>
      </c>
    </row>
    <row r="413">
      <c r="A413" s="20">
        <f>IFERROR(__xludf.DUMMYFUNCTION("""COMPUTED_VALUE"""),412.0)</f>
        <v>412</v>
      </c>
      <c r="B413" s="20" t="str">
        <f>IFERROR(__xludf.DUMMYFUNCTION("""COMPUTED_VALUE"""),"Fizz Buzz")</f>
        <v>Fizz Buzz</v>
      </c>
      <c r="C413" s="20" t="str">
        <f>IFERROR(__xludf.DUMMYFUNCTION("""COMPUTED_VALUE"""),"fizz-buzz")</f>
        <v>fizz-buzz</v>
      </c>
      <c r="D413" s="20" t="b">
        <f>IFERROR(__xludf.DUMMYFUNCTION("""COMPUTED_VALUE"""),FALSE)</f>
        <v>0</v>
      </c>
      <c r="E413" s="20" t="str">
        <f>IFERROR(__xludf.DUMMYFUNCTION("""COMPUTED_VALUE"""),"Easy")</f>
        <v>Easy</v>
      </c>
      <c r="F413" s="20">
        <f>IFERROR(__xludf.DUMMYFUNCTION("""COMPUTED_VALUE"""),1369.0)</f>
        <v>1369</v>
      </c>
      <c r="G413" s="20">
        <f>IFERROR(__xludf.DUMMYFUNCTION("""COMPUTED_VALUE"""),204.0)</f>
        <v>204</v>
      </c>
      <c r="H413" s="20" t="str">
        <f>IFERROR(__xludf.DUMMYFUNCTION("""COMPUTED_VALUE"""),"Algorithms")</f>
        <v>Algorithms</v>
      </c>
      <c r="I413" s="20">
        <f>IFERROR(__xludf.DUMMYFUNCTION("""COMPUTED_VALUE"""),0.692)</f>
        <v>0.692</v>
      </c>
      <c r="J413" s="20">
        <f>IFERROR(__xludf.DUMMYFUNCTION("""COMPUTED_VALUE"""),412.0)</f>
        <v>412</v>
      </c>
      <c r="K413" s="20" t="b">
        <f>IFERROR(__xludf.DUMMYFUNCTION("""COMPUTED_VALUE"""),FALSE)</f>
        <v>0</v>
      </c>
      <c r="L413" s="20" t="str">
        <f>IFERROR(__xludf.DUMMYFUNCTION("""COMPUTED_VALUE"""),"Math;String;Simulation;")</f>
        <v>Math;String;Simulation;</v>
      </c>
      <c r="M413" s="20" t="b">
        <f>IFERROR(__xludf.DUMMYFUNCTION("""COMPUTED_VALUE"""),TRUE)</f>
        <v>1</v>
      </c>
      <c r="N413" s="20" t="b">
        <f>IFERROR(__xludf.DUMMYFUNCTION("""COMPUTED_VALUE"""),TRUE)</f>
        <v>1</v>
      </c>
      <c r="O413" s="20">
        <f>IFERROR(__xludf.DUMMYFUNCTION("""COMPUTED_VALUE"""),69.1565543365386)</f>
        <v>69.15655434</v>
      </c>
      <c r="P413" s="20">
        <f>IFERROR(__xludf.DUMMYFUNCTION("""COMPUTED_VALUE"""),845102.0)</f>
        <v>845102</v>
      </c>
      <c r="Q413" s="20">
        <f>IFERROR(__xludf.DUMMYFUNCTION("""COMPUTED_VALUE"""),1222013.0)</f>
        <v>1222013</v>
      </c>
    </row>
    <row r="414">
      <c r="A414" s="20">
        <f>IFERROR(__xludf.DUMMYFUNCTION("""COMPUTED_VALUE"""),413.0)</f>
        <v>413</v>
      </c>
      <c r="B414" s="20" t="str">
        <f>IFERROR(__xludf.DUMMYFUNCTION("""COMPUTED_VALUE"""),"Arithmetic Slices")</f>
        <v>Arithmetic Slices</v>
      </c>
      <c r="C414" s="20" t="str">
        <f>IFERROR(__xludf.DUMMYFUNCTION("""COMPUTED_VALUE"""),"arithmetic-slices")</f>
        <v>arithmetic-slices</v>
      </c>
      <c r="D414" s="20" t="b">
        <f>IFERROR(__xludf.DUMMYFUNCTION("""COMPUTED_VALUE"""),FALSE)</f>
        <v>0</v>
      </c>
      <c r="E414" s="20" t="str">
        <f>IFERROR(__xludf.DUMMYFUNCTION("""COMPUTED_VALUE"""),"Medium")</f>
        <v>Medium</v>
      </c>
      <c r="F414" s="20">
        <f>IFERROR(__xludf.DUMMYFUNCTION("""COMPUTED_VALUE"""),4524.0)</f>
        <v>4524</v>
      </c>
      <c r="G414" s="20">
        <f>IFERROR(__xludf.DUMMYFUNCTION("""COMPUTED_VALUE"""),267.0)</f>
        <v>267</v>
      </c>
      <c r="H414" s="20" t="str">
        <f>IFERROR(__xludf.DUMMYFUNCTION("""COMPUTED_VALUE"""),"Algorithms")</f>
        <v>Algorithms</v>
      </c>
      <c r="I414" s="20">
        <f>IFERROR(__xludf.DUMMYFUNCTION("""COMPUTED_VALUE"""),0.652)</f>
        <v>0.652</v>
      </c>
      <c r="J414" s="20">
        <f>IFERROR(__xludf.DUMMYFUNCTION("""COMPUTED_VALUE"""),413.0)</f>
        <v>413</v>
      </c>
      <c r="K414" s="20" t="b">
        <f>IFERROR(__xludf.DUMMYFUNCTION("""COMPUTED_VALUE"""),FALSE)</f>
        <v>0</v>
      </c>
      <c r="L414" s="20" t="str">
        <f>IFERROR(__xludf.DUMMYFUNCTION("""COMPUTED_VALUE"""),"Array;Dynamic Programming;")</f>
        <v>Array;Dynamic Programming;</v>
      </c>
      <c r="M414" s="20" t="b">
        <f>IFERROR(__xludf.DUMMYFUNCTION("""COMPUTED_VALUE"""),TRUE)</f>
        <v>1</v>
      </c>
      <c r="N414" s="20" t="b">
        <f>IFERROR(__xludf.DUMMYFUNCTION("""COMPUTED_VALUE"""),FALSE)</f>
        <v>0</v>
      </c>
      <c r="O414" s="20">
        <f>IFERROR(__xludf.DUMMYFUNCTION("""COMPUTED_VALUE"""),65.1659570229825)</f>
        <v>65.16595702</v>
      </c>
      <c r="P414" s="20">
        <f>IFERROR(__xludf.DUMMYFUNCTION("""COMPUTED_VALUE"""),261711.0)</f>
        <v>261711</v>
      </c>
      <c r="Q414" s="20">
        <f>IFERROR(__xludf.DUMMYFUNCTION("""COMPUTED_VALUE"""),401608.0)</f>
        <v>401608</v>
      </c>
    </row>
    <row r="415">
      <c r="A415" s="20">
        <f>IFERROR(__xludf.DUMMYFUNCTION("""COMPUTED_VALUE"""),414.0)</f>
        <v>414</v>
      </c>
      <c r="B415" s="20" t="str">
        <f>IFERROR(__xludf.DUMMYFUNCTION("""COMPUTED_VALUE"""),"Third Maximum Number")</f>
        <v>Third Maximum Number</v>
      </c>
      <c r="C415" s="20" t="str">
        <f>IFERROR(__xludf.DUMMYFUNCTION("""COMPUTED_VALUE"""),"third-maximum-number")</f>
        <v>third-maximum-number</v>
      </c>
      <c r="D415" s="20" t="b">
        <f>IFERROR(__xludf.DUMMYFUNCTION("""COMPUTED_VALUE"""),FALSE)</f>
        <v>0</v>
      </c>
      <c r="E415" s="20" t="str">
        <f>IFERROR(__xludf.DUMMYFUNCTION("""COMPUTED_VALUE"""),"Easy")</f>
        <v>Easy</v>
      </c>
      <c r="F415" s="20">
        <f>IFERROR(__xludf.DUMMYFUNCTION("""COMPUTED_VALUE"""),2175.0)</f>
        <v>2175</v>
      </c>
      <c r="G415" s="20">
        <f>IFERROR(__xludf.DUMMYFUNCTION("""COMPUTED_VALUE"""),2616.0)</f>
        <v>2616</v>
      </c>
      <c r="H415" s="20" t="str">
        <f>IFERROR(__xludf.DUMMYFUNCTION("""COMPUTED_VALUE"""),"Algorithms")</f>
        <v>Algorithms</v>
      </c>
      <c r="I415" s="20">
        <f>IFERROR(__xludf.DUMMYFUNCTION("""COMPUTED_VALUE"""),0.327)</f>
        <v>0.327</v>
      </c>
      <c r="J415" s="20">
        <f>IFERROR(__xludf.DUMMYFUNCTION("""COMPUTED_VALUE"""),414.0)</f>
        <v>414</v>
      </c>
      <c r="K415" s="20" t="b">
        <f>IFERROR(__xludf.DUMMYFUNCTION("""COMPUTED_VALUE"""),FALSE)</f>
        <v>0</v>
      </c>
      <c r="L415" s="20" t="str">
        <f>IFERROR(__xludf.DUMMYFUNCTION("""COMPUTED_VALUE"""),"Array;Sorting;")</f>
        <v>Array;Sorting;</v>
      </c>
      <c r="M415" s="20" t="b">
        <f>IFERROR(__xludf.DUMMYFUNCTION("""COMPUTED_VALUE"""),TRUE)</f>
        <v>1</v>
      </c>
      <c r="N415" s="20" t="b">
        <f>IFERROR(__xludf.DUMMYFUNCTION("""COMPUTED_VALUE"""),FALSE)</f>
        <v>0</v>
      </c>
      <c r="O415" s="20">
        <f>IFERROR(__xludf.DUMMYFUNCTION("""COMPUTED_VALUE"""),32.7429424651254)</f>
        <v>32.74294247</v>
      </c>
      <c r="P415" s="20">
        <f>IFERROR(__xludf.DUMMYFUNCTION("""COMPUTED_VALUE"""),394280.0)</f>
        <v>394280</v>
      </c>
      <c r="Q415" s="20">
        <f>IFERROR(__xludf.DUMMYFUNCTION("""COMPUTED_VALUE"""),1204171.0)</f>
        <v>1204171</v>
      </c>
    </row>
    <row r="416">
      <c r="A416" s="20">
        <f>IFERROR(__xludf.DUMMYFUNCTION("""COMPUTED_VALUE"""),415.0)</f>
        <v>415</v>
      </c>
      <c r="B416" s="20" t="str">
        <f>IFERROR(__xludf.DUMMYFUNCTION("""COMPUTED_VALUE"""),"Add Strings")</f>
        <v>Add Strings</v>
      </c>
      <c r="C416" s="20" t="str">
        <f>IFERROR(__xludf.DUMMYFUNCTION("""COMPUTED_VALUE"""),"add-strings")</f>
        <v>add-strings</v>
      </c>
      <c r="D416" s="20" t="b">
        <f>IFERROR(__xludf.DUMMYFUNCTION("""COMPUTED_VALUE"""),FALSE)</f>
        <v>0</v>
      </c>
      <c r="E416" s="20" t="str">
        <f>IFERROR(__xludf.DUMMYFUNCTION("""COMPUTED_VALUE"""),"Easy")</f>
        <v>Easy</v>
      </c>
      <c r="F416" s="20">
        <f>IFERROR(__xludf.DUMMYFUNCTION("""COMPUTED_VALUE"""),4068.0)</f>
        <v>4068</v>
      </c>
      <c r="G416" s="20">
        <f>IFERROR(__xludf.DUMMYFUNCTION("""COMPUTED_VALUE"""),621.0)</f>
        <v>621</v>
      </c>
      <c r="H416" s="20" t="str">
        <f>IFERROR(__xludf.DUMMYFUNCTION("""COMPUTED_VALUE"""),"Algorithms")</f>
        <v>Algorithms</v>
      </c>
      <c r="I416" s="20">
        <f>IFERROR(__xludf.DUMMYFUNCTION("""COMPUTED_VALUE"""),0.526)</f>
        <v>0.526</v>
      </c>
      <c r="J416" s="20">
        <f>IFERROR(__xludf.DUMMYFUNCTION("""COMPUTED_VALUE"""),415.0)</f>
        <v>415</v>
      </c>
      <c r="K416" s="20" t="b">
        <f>IFERROR(__xludf.DUMMYFUNCTION("""COMPUTED_VALUE"""),FALSE)</f>
        <v>0</v>
      </c>
      <c r="L416" s="20" t="str">
        <f>IFERROR(__xludf.DUMMYFUNCTION("""COMPUTED_VALUE"""),"Math;String;Simulation;")</f>
        <v>Math;String;Simulation;</v>
      </c>
      <c r="M416" s="20" t="b">
        <f>IFERROR(__xludf.DUMMYFUNCTION("""COMPUTED_VALUE"""),TRUE)</f>
        <v>1</v>
      </c>
      <c r="N416" s="20" t="b">
        <f>IFERROR(__xludf.DUMMYFUNCTION("""COMPUTED_VALUE"""),FALSE)</f>
        <v>0</v>
      </c>
      <c r="O416" s="20">
        <f>IFERROR(__xludf.DUMMYFUNCTION("""COMPUTED_VALUE"""),52.5767632086098)</f>
        <v>52.57676321</v>
      </c>
      <c r="P416" s="20">
        <f>IFERROR(__xludf.DUMMYFUNCTION("""COMPUTED_VALUE"""),535813.0)</f>
        <v>535813</v>
      </c>
      <c r="Q416" s="20">
        <f>IFERROR(__xludf.DUMMYFUNCTION("""COMPUTED_VALUE"""),1019101.0)</f>
        <v>1019101</v>
      </c>
    </row>
    <row r="417">
      <c r="A417" s="20">
        <f>IFERROR(__xludf.DUMMYFUNCTION("""COMPUTED_VALUE"""),416.0)</f>
        <v>416</v>
      </c>
      <c r="B417" s="20" t="str">
        <f>IFERROR(__xludf.DUMMYFUNCTION("""COMPUTED_VALUE"""),"Partition Equal Subset Sum")</f>
        <v>Partition Equal Subset Sum</v>
      </c>
      <c r="C417" s="20" t="str">
        <f>IFERROR(__xludf.DUMMYFUNCTION("""COMPUTED_VALUE"""),"partition-equal-subset-sum")</f>
        <v>partition-equal-subset-sum</v>
      </c>
      <c r="D417" s="20" t="b">
        <f>IFERROR(__xludf.DUMMYFUNCTION("""COMPUTED_VALUE"""),FALSE)</f>
        <v>0</v>
      </c>
      <c r="E417" s="20" t="str">
        <f>IFERROR(__xludf.DUMMYFUNCTION("""COMPUTED_VALUE"""),"Medium")</f>
        <v>Medium</v>
      </c>
      <c r="F417" s="20">
        <f>IFERROR(__xludf.DUMMYFUNCTION("""COMPUTED_VALUE"""),9511.0)</f>
        <v>9511</v>
      </c>
      <c r="G417" s="20">
        <f>IFERROR(__xludf.DUMMYFUNCTION("""COMPUTED_VALUE"""),159.0)</f>
        <v>159</v>
      </c>
      <c r="H417" s="20" t="str">
        <f>IFERROR(__xludf.DUMMYFUNCTION("""COMPUTED_VALUE"""),"Algorithms")</f>
        <v>Algorithms</v>
      </c>
      <c r="I417" s="20">
        <f>IFERROR(__xludf.DUMMYFUNCTION("""COMPUTED_VALUE"""),0.465)</f>
        <v>0.465</v>
      </c>
      <c r="J417" s="20">
        <f>IFERROR(__xludf.DUMMYFUNCTION("""COMPUTED_VALUE"""),416.0)</f>
        <v>416</v>
      </c>
      <c r="K417" s="20" t="b">
        <f>IFERROR(__xludf.DUMMYFUNCTION("""COMPUTED_VALUE"""),FALSE)</f>
        <v>0</v>
      </c>
      <c r="L417" s="20" t="str">
        <f>IFERROR(__xludf.DUMMYFUNCTION("""COMPUTED_VALUE"""),"Array;Dynamic Programming;")</f>
        <v>Array;Dynamic Programming;</v>
      </c>
      <c r="M417" s="20" t="b">
        <f>IFERROR(__xludf.DUMMYFUNCTION("""COMPUTED_VALUE"""),TRUE)</f>
        <v>1</v>
      </c>
      <c r="N417" s="20" t="b">
        <f>IFERROR(__xludf.DUMMYFUNCTION("""COMPUTED_VALUE"""),TRUE)</f>
        <v>1</v>
      </c>
      <c r="O417" s="20">
        <f>IFERROR(__xludf.DUMMYFUNCTION("""COMPUTED_VALUE"""),46.4920771448152)</f>
        <v>46.49207714</v>
      </c>
      <c r="P417" s="20">
        <f>IFERROR(__xludf.DUMMYFUNCTION("""COMPUTED_VALUE"""),569172.0)</f>
        <v>569172</v>
      </c>
      <c r="Q417" s="20">
        <f>IFERROR(__xludf.DUMMYFUNCTION("""COMPUTED_VALUE"""),1224236.0)</f>
        <v>1224236</v>
      </c>
    </row>
    <row r="418">
      <c r="A418" s="20">
        <f>IFERROR(__xludf.DUMMYFUNCTION("""COMPUTED_VALUE"""),417.0)</f>
        <v>417</v>
      </c>
      <c r="B418" s="20" t="str">
        <f>IFERROR(__xludf.DUMMYFUNCTION("""COMPUTED_VALUE"""),"Pacific Atlantic Water Flow")</f>
        <v>Pacific Atlantic Water Flow</v>
      </c>
      <c r="C418" s="20" t="str">
        <f>IFERROR(__xludf.DUMMYFUNCTION("""COMPUTED_VALUE"""),"pacific-atlantic-water-flow")</f>
        <v>pacific-atlantic-water-flow</v>
      </c>
      <c r="D418" s="20" t="b">
        <f>IFERROR(__xludf.DUMMYFUNCTION("""COMPUTED_VALUE"""),FALSE)</f>
        <v>0</v>
      </c>
      <c r="E418" s="20" t="str">
        <f>IFERROR(__xludf.DUMMYFUNCTION("""COMPUTED_VALUE"""),"Medium")</f>
        <v>Medium</v>
      </c>
      <c r="F418" s="20">
        <f>IFERROR(__xludf.DUMMYFUNCTION("""COMPUTED_VALUE"""),5922.0)</f>
        <v>5922</v>
      </c>
      <c r="G418" s="20">
        <f>IFERROR(__xludf.DUMMYFUNCTION("""COMPUTED_VALUE"""),1123.0)</f>
        <v>1123</v>
      </c>
      <c r="H418" s="20" t="str">
        <f>IFERROR(__xludf.DUMMYFUNCTION("""COMPUTED_VALUE"""),"Algorithms")</f>
        <v>Algorithms</v>
      </c>
      <c r="I418" s="20">
        <f>IFERROR(__xludf.DUMMYFUNCTION("""COMPUTED_VALUE"""),0.542)</f>
        <v>0.542</v>
      </c>
      <c r="J418" s="20">
        <f>IFERROR(__xludf.DUMMYFUNCTION("""COMPUTED_VALUE"""),417.0)</f>
        <v>417</v>
      </c>
      <c r="K418" s="20" t="b">
        <f>IFERROR(__xludf.DUMMYFUNCTION("""COMPUTED_VALUE"""),FALSE)</f>
        <v>0</v>
      </c>
      <c r="L418" s="20" t="str">
        <f>IFERROR(__xludf.DUMMYFUNCTION("""COMPUTED_VALUE"""),"Array;Depth-First Search;Breadth-First Search;Matrix;")</f>
        <v>Array;Depth-First Search;Breadth-First Search;Matrix;</v>
      </c>
      <c r="M418" s="20" t="b">
        <f>IFERROR(__xludf.DUMMYFUNCTION("""COMPUTED_VALUE"""),TRUE)</f>
        <v>1</v>
      </c>
      <c r="N418" s="20" t="b">
        <f>IFERROR(__xludf.DUMMYFUNCTION("""COMPUTED_VALUE"""),FALSE)</f>
        <v>0</v>
      </c>
      <c r="O418" s="20">
        <f>IFERROR(__xludf.DUMMYFUNCTION("""COMPUTED_VALUE"""),54.165903375689)</f>
        <v>54.16590338</v>
      </c>
      <c r="P418" s="20">
        <f>IFERROR(__xludf.DUMMYFUNCTION("""COMPUTED_VALUE"""),325244.0)</f>
        <v>325244</v>
      </c>
      <c r="Q418" s="20">
        <f>IFERROR(__xludf.DUMMYFUNCTION("""COMPUTED_VALUE"""),600460.0)</f>
        <v>600460</v>
      </c>
    </row>
    <row r="419">
      <c r="A419" s="20">
        <f>IFERROR(__xludf.DUMMYFUNCTION("""COMPUTED_VALUE"""),418.0)</f>
        <v>418</v>
      </c>
      <c r="B419" s="20" t="str">
        <f>IFERROR(__xludf.DUMMYFUNCTION("""COMPUTED_VALUE"""),"Sentence Screen Fitting")</f>
        <v>Sentence Screen Fitting</v>
      </c>
      <c r="C419" s="20" t="str">
        <f>IFERROR(__xludf.DUMMYFUNCTION("""COMPUTED_VALUE"""),"sentence-screen-fitting")</f>
        <v>sentence-screen-fitting</v>
      </c>
      <c r="D419" s="20" t="b">
        <f>IFERROR(__xludf.DUMMYFUNCTION("""COMPUTED_VALUE"""),TRUE)</f>
        <v>1</v>
      </c>
      <c r="E419" s="20" t="str">
        <f>IFERROR(__xludf.DUMMYFUNCTION("""COMPUTED_VALUE"""),"Medium")</f>
        <v>Medium</v>
      </c>
      <c r="F419" s="20">
        <f>IFERROR(__xludf.DUMMYFUNCTION("""COMPUTED_VALUE"""),1003.0)</f>
        <v>1003</v>
      </c>
      <c r="G419" s="20">
        <f>IFERROR(__xludf.DUMMYFUNCTION("""COMPUTED_VALUE"""),506.0)</f>
        <v>506</v>
      </c>
      <c r="H419" s="20" t="str">
        <f>IFERROR(__xludf.DUMMYFUNCTION("""COMPUTED_VALUE"""),"Algorithms")</f>
        <v>Algorithms</v>
      </c>
      <c r="I419" s="20">
        <f>IFERROR(__xludf.DUMMYFUNCTION("""COMPUTED_VALUE"""),0.356)</f>
        <v>0.356</v>
      </c>
      <c r="J419" s="20">
        <f>IFERROR(__xludf.DUMMYFUNCTION("""COMPUTED_VALUE"""),418.0)</f>
        <v>418</v>
      </c>
      <c r="K419" s="20" t="b">
        <f>IFERROR(__xludf.DUMMYFUNCTION("""COMPUTED_VALUE"""),TRUE)</f>
        <v>1</v>
      </c>
      <c r="L419" s="20" t="str">
        <f>IFERROR(__xludf.DUMMYFUNCTION("""COMPUTED_VALUE"""),"String;Dynamic Programming;Simulation;")</f>
        <v>String;Dynamic Programming;Simulation;</v>
      </c>
      <c r="M419" s="20" t="b">
        <f>IFERROR(__xludf.DUMMYFUNCTION("""COMPUTED_VALUE"""),FALSE)</f>
        <v>0</v>
      </c>
      <c r="N419" s="20" t="b">
        <f>IFERROR(__xludf.DUMMYFUNCTION("""COMPUTED_VALUE"""),FALSE)</f>
        <v>0</v>
      </c>
      <c r="O419" s="20">
        <f>IFERROR(__xludf.DUMMYFUNCTION("""COMPUTED_VALUE"""),35.5519429768343)</f>
        <v>35.55194298</v>
      </c>
      <c r="P419" s="20">
        <f>IFERROR(__xludf.DUMMYFUNCTION("""COMPUTED_VALUE"""),90976.0)</f>
        <v>90976</v>
      </c>
      <c r="Q419" s="20">
        <f>IFERROR(__xludf.DUMMYFUNCTION("""COMPUTED_VALUE"""),255896.0)</f>
        <v>255896</v>
      </c>
    </row>
    <row r="420">
      <c r="A420" s="20">
        <f>IFERROR(__xludf.DUMMYFUNCTION("""COMPUTED_VALUE"""),419.0)</f>
        <v>419</v>
      </c>
      <c r="B420" s="20" t="str">
        <f>IFERROR(__xludf.DUMMYFUNCTION("""COMPUTED_VALUE"""),"Battleships in a Board")</f>
        <v>Battleships in a Board</v>
      </c>
      <c r="C420" s="20" t="str">
        <f>IFERROR(__xludf.DUMMYFUNCTION("""COMPUTED_VALUE"""),"battleships-in-a-board")</f>
        <v>battleships-in-a-board</v>
      </c>
      <c r="D420" s="20" t="b">
        <f>IFERROR(__xludf.DUMMYFUNCTION("""COMPUTED_VALUE"""),FALSE)</f>
        <v>0</v>
      </c>
      <c r="E420" s="20" t="str">
        <f>IFERROR(__xludf.DUMMYFUNCTION("""COMPUTED_VALUE"""),"Medium")</f>
        <v>Medium</v>
      </c>
      <c r="F420" s="20">
        <f>IFERROR(__xludf.DUMMYFUNCTION("""COMPUTED_VALUE"""),1852.0)</f>
        <v>1852</v>
      </c>
      <c r="G420" s="20">
        <f>IFERROR(__xludf.DUMMYFUNCTION("""COMPUTED_VALUE"""),856.0)</f>
        <v>856</v>
      </c>
      <c r="H420" s="20" t="str">
        <f>IFERROR(__xludf.DUMMYFUNCTION("""COMPUTED_VALUE"""),"Algorithms")</f>
        <v>Algorithms</v>
      </c>
      <c r="I420" s="20">
        <f>IFERROR(__xludf.DUMMYFUNCTION("""COMPUTED_VALUE"""),0.747)</f>
        <v>0.747</v>
      </c>
      <c r="J420" s="20">
        <f>IFERROR(__xludf.DUMMYFUNCTION("""COMPUTED_VALUE"""),419.0)</f>
        <v>419</v>
      </c>
      <c r="K420" s="20" t="b">
        <f>IFERROR(__xludf.DUMMYFUNCTION("""COMPUTED_VALUE"""),FALSE)</f>
        <v>0</v>
      </c>
      <c r="L420" s="20" t="str">
        <f>IFERROR(__xludf.DUMMYFUNCTION("""COMPUTED_VALUE"""),"Array;Depth-First Search;Matrix;")</f>
        <v>Array;Depth-First Search;Matrix;</v>
      </c>
      <c r="M420" s="20" t="b">
        <f>IFERROR(__xludf.DUMMYFUNCTION("""COMPUTED_VALUE"""),FALSE)</f>
        <v>0</v>
      </c>
      <c r="N420" s="20" t="b">
        <f>IFERROR(__xludf.DUMMYFUNCTION("""COMPUTED_VALUE"""),FALSE)</f>
        <v>0</v>
      </c>
      <c r="O420" s="20">
        <f>IFERROR(__xludf.DUMMYFUNCTION("""COMPUTED_VALUE"""),74.7399760109664)</f>
        <v>74.73997601</v>
      </c>
      <c r="P420" s="20">
        <f>IFERROR(__xludf.DUMMYFUNCTION("""COMPUTED_VALUE"""),174471.0)</f>
        <v>174471</v>
      </c>
      <c r="Q420" s="20">
        <f>IFERROR(__xludf.DUMMYFUNCTION("""COMPUTED_VALUE"""),233436.0)</f>
        <v>233436</v>
      </c>
    </row>
    <row r="421">
      <c r="A421" s="20">
        <f>IFERROR(__xludf.DUMMYFUNCTION("""COMPUTED_VALUE"""),420.0)</f>
        <v>420</v>
      </c>
      <c r="B421" s="20" t="str">
        <f>IFERROR(__xludf.DUMMYFUNCTION("""COMPUTED_VALUE"""),"Strong Password Checker")</f>
        <v>Strong Password Checker</v>
      </c>
      <c r="C421" s="20" t="str">
        <f>IFERROR(__xludf.DUMMYFUNCTION("""COMPUTED_VALUE"""),"strong-password-checker")</f>
        <v>strong-password-checker</v>
      </c>
      <c r="D421" s="20" t="b">
        <f>IFERROR(__xludf.DUMMYFUNCTION("""COMPUTED_VALUE"""),FALSE)</f>
        <v>0</v>
      </c>
      <c r="E421" s="20" t="str">
        <f>IFERROR(__xludf.DUMMYFUNCTION("""COMPUTED_VALUE"""),"Hard")</f>
        <v>Hard</v>
      </c>
      <c r="F421" s="20">
        <f>IFERROR(__xludf.DUMMYFUNCTION("""COMPUTED_VALUE"""),625.0)</f>
        <v>625</v>
      </c>
      <c r="G421" s="20">
        <f>IFERROR(__xludf.DUMMYFUNCTION("""COMPUTED_VALUE"""),1468.0)</f>
        <v>1468</v>
      </c>
      <c r="H421" s="20" t="str">
        <f>IFERROR(__xludf.DUMMYFUNCTION("""COMPUTED_VALUE"""),"Algorithms")</f>
        <v>Algorithms</v>
      </c>
      <c r="I421" s="20">
        <f>IFERROR(__xludf.DUMMYFUNCTION("""COMPUTED_VALUE"""),0.141)</f>
        <v>0.141</v>
      </c>
      <c r="J421" s="20">
        <f>IFERROR(__xludf.DUMMYFUNCTION("""COMPUTED_VALUE"""),420.0)</f>
        <v>420</v>
      </c>
      <c r="K421" s="20" t="b">
        <f>IFERROR(__xludf.DUMMYFUNCTION("""COMPUTED_VALUE"""),FALSE)</f>
        <v>0</v>
      </c>
      <c r="L421" s="20" t="str">
        <f>IFERROR(__xludf.DUMMYFUNCTION("""COMPUTED_VALUE"""),"String;Greedy;Heap (Priority Queue);")</f>
        <v>String;Greedy;Heap (Priority Queue);</v>
      </c>
      <c r="M421" s="20" t="b">
        <f>IFERROR(__xludf.DUMMYFUNCTION("""COMPUTED_VALUE"""),FALSE)</f>
        <v>0</v>
      </c>
      <c r="N421" s="20" t="b">
        <f>IFERROR(__xludf.DUMMYFUNCTION("""COMPUTED_VALUE"""),FALSE)</f>
        <v>0</v>
      </c>
      <c r="O421" s="20">
        <f>IFERROR(__xludf.DUMMYFUNCTION("""COMPUTED_VALUE"""),14.0929563784911)</f>
        <v>14.09295638</v>
      </c>
      <c r="P421" s="20">
        <f>IFERROR(__xludf.DUMMYFUNCTION("""COMPUTED_VALUE"""),29600.0)</f>
        <v>29600</v>
      </c>
      <c r="Q421" s="20">
        <f>IFERROR(__xludf.DUMMYFUNCTION("""COMPUTED_VALUE"""),210033.0)</f>
        <v>210033</v>
      </c>
    </row>
    <row r="422">
      <c r="A422" s="20">
        <f>IFERROR(__xludf.DUMMYFUNCTION("""COMPUTED_VALUE"""),421.0)</f>
        <v>421</v>
      </c>
      <c r="B422" s="20" t="str">
        <f>IFERROR(__xludf.DUMMYFUNCTION("""COMPUTED_VALUE"""),"Maximum XOR of Two Numbers in an Array")</f>
        <v>Maximum XOR of Two Numbers in an Array</v>
      </c>
      <c r="C422" s="20" t="str">
        <f>IFERROR(__xludf.DUMMYFUNCTION("""COMPUTED_VALUE"""),"maximum-xor-of-two-numbers-in-an-array")</f>
        <v>maximum-xor-of-two-numbers-in-an-array</v>
      </c>
      <c r="D422" s="20" t="b">
        <f>IFERROR(__xludf.DUMMYFUNCTION("""COMPUTED_VALUE"""),FALSE)</f>
        <v>0</v>
      </c>
      <c r="E422" s="20" t="str">
        <f>IFERROR(__xludf.DUMMYFUNCTION("""COMPUTED_VALUE"""),"Medium")</f>
        <v>Medium</v>
      </c>
      <c r="F422" s="20">
        <f>IFERROR(__xludf.DUMMYFUNCTION("""COMPUTED_VALUE"""),4604.0)</f>
        <v>4604</v>
      </c>
      <c r="G422" s="20">
        <f>IFERROR(__xludf.DUMMYFUNCTION("""COMPUTED_VALUE"""),347.0)</f>
        <v>347</v>
      </c>
      <c r="H422" s="20" t="str">
        <f>IFERROR(__xludf.DUMMYFUNCTION("""COMPUTED_VALUE"""),"Algorithms")</f>
        <v>Algorithms</v>
      </c>
      <c r="I422" s="20">
        <f>IFERROR(__xludf.DUMMYFUNCTION("""COMPUTED_VALUE"""),0.545)</f>
        <v>0.545</v>
      </c>
      <c r="J422" s="20">
        <f>IFERROR(__xludf.DUMMYFUNCTION("""COMPUTED_VALUE"""),421.0)</f>
        <v>421</v>
      </c>
      <c r="K422" s="20" t="b">
        <f>IFERROR(__xludf.DUMMYFUNCTION("""COMPUTED_VALUE"""),FALSE)</f>
        <v>0</v>
      </c>
      <c r="L422" s="20" t="str">
        <f>IFERROR(__xludf.DUMMYFUNCTION("""COMPUTED_VALUE"""),"Array;Hash Table;Bit Manipulation;Trie;")</f>
        <v>Array;Hash Table;Bit Manipulation;Trie;</v>
      </c>
      <c r="M422" s="20" t="b">
        <f>IFERROR(__xludf.DUMMYFUNCTION("""COMPUTED_VALUE"""),TRUE)</f>
        <v>1</v>
      </c>
      <c r="N422" s="20" t="b">
        <f>IFERROR(__xludf.DUMMYFUNCTION("""COMPUTED_VALUE"""),FALSE)</f>
        <v>0</v>
      </c>
      <c r="O422" s="20">
        <f>IFERROR(__xludf.DUMMYFUNCTION("""COMPUTED_VALUE"""),54.4626192555091)</f>
        <v>54.46261926</v>
      </c>
      <c r="P422" s="20">
        <f>IFERROR(__xludf.DUMMYFUNCTION("""COMPUTED_VALUE"""),135978.0)</f>
        <v>135978</v>
      </c>
      <c r="Q422" s="20">
        <f>IFERROR(__xludf.DUMMYFUNCTION("""COMPUTED_VALUE"""),249672.0)</f>
        <v>249672</v>
      </c>
    </row>
    <row r="423">
      <c r="A423" s="20">
        <f>IFERROR(__xludf.DUMMYFUNCTION("""COMPUTED_VALUE"""),422.0)</f>
        <v>422</v>
      </c>
      <c r="B423" s="20" t="str">
        <f>IFERROR(__xludf.DUMMYFUNCTION("""COMPUTED_VALUE"""),"Valid Word Square")</f>
        <v>Valid Word Square</v>
      </c>
      <c r="C423" s="20" t="str">
        <f>IFERROR(__xludf.DUMMYFUNCTION("""COMPUTED_VALUE"""),"valid-word-square")</f>
        <v>valid-word-square</v>
      </c>
      <c r="D423" s="20" t="b">
        <f>IFERROR(__xludf.DUMMYFUNCTION("""COMPUTED_VALUE"""),TRUE)</f>
        <v>1</v>
      </c>
      <c r="E423" s="20" t="str">
        <f>IFERROR(__xludf.DUMMYFUNCTION("""COMPUTED_VALUE"""),"Easy")</f>
        <v>Easy</v>
      </c>
      <c r="F423" s="20">
        <f>IFERROR(__xludf.DUMMYFUNCTION("""COMPUTED_VALUE"""),316.0)</f>
        <v>316</v>
      </c>
      <c r="G423" s="20">
        <f>IFERROR(__xludf.DUMMYFUNCTION("""COMPUTED_VALUE"""),189.0)</f>
        <v>189</v>
      </c>
      <c r="H423" s="20" t="str">
        <f>IFERROR(__xludf.DUMMYFUNCTION("""COMPUTED_VALUE"""),"Algorithms")</f>
        <v>Algorithms</v>
      </c>
      <c r="I423" s="20">
        <f>IFERROR(__xludf.DUMMYFUNCTION("""COMPUTED_VALUE"""),0.389)</f>
        <v>0.389</v>
      </c>
      <c r="J423" s="20">
        <f>IFERROR(__xludf.DUMMYFUNCTION("""COMPUTED_VALUE"""),422.0)</f>
        <v>422</v>
      </c>
      <c r="K423" s="20" t="b">
        <f>IFERROR(__xludf.DUMMYFUNCTION("""COMPUTED_VALUE"""),TRUE)</f>
        <v>1</v>
      </c>
      <c r="L423" s="20" t="str">
        <f>IFERROR(__xludf.DUMMYFUNCTION("""COMPUTED_VALUE"""),"Array;Matrix;")</f>
        <v>Array;Matrix;</v>
      </c>
      <c r="M423" s="20" t="b">
        <f>IFERROR(__xludf.DUMMYFUNCTION("""COMPUTED_VALUE"""),FALSE)</f>
        <v>0</v>
      </c>
      <c r="N423" s="20" t="b">
        <f>IFERROR(__xludf.DUMMYFUNCTION("""COMPUTED_VALUE"""),FALSE)</f>
        <v>0</v>
      </c>
      <c r="O423" s="20">
        <f>IFERROR(__xludf.DUMMYFUNCTION("""COMPUTED_VALUE"""),38.9140755123671)</f>
        <v>38.91407551</v>
      </c>
      <c r="P423" s="20">
        <f>IFERROR(__xludf.DUMMYFUNCTION("""COMPUTED_VALUE"""),43690.0)</f>
        <v>43690</v>
      </c>
      <c r="Q423" s="20">
        <f>IFERROR(__xludf.DUMMYFUNCTION("""COMPUTED_VALUE"""),112273.0)</f>
        <v>112273</v>
      </c>
    </row>
    <row r="424">
      <c r="A424" s="20">
        <f>IFERROR(__xludf.DUMMYFUNCTION("""COMPUTED_VALUE"""),423.0)</f>
        <v>423</v>
      </c>
      <c r="B424" s="20" t="str">
        <f>IFERROR(__xludf.DUMMYFUNCTION("""COMPUTED_VALUE"""),"Reconstruct Original Digits from English")</f>
        <v>Reconstruct Original Digits from English</v>
      </c>
      <c r="C424" s="20" t="str">
        <f>IFERROR(__xludf.DUMMYFUNCTION("""COMPUTED_VALUE"""),"reconstruct-original-digits-from-english")</f>
        <v>reconstruct-original-digits-from-english</v>
      </c>
      <c r="D424" s="20" t="b">
        <f>IFERROR(__xludf.DUMMYFUNCTION("""COMPUTED_VALUE"""),FALSE)</f>
        <v>0</v>
      </c>
      <c r="E424" s="20" t="str">
        <f>IFERROR(__xludf.DUMMYFUNCTION("""COMPUTED_VALUE"""),"Medium")</f>
        <v>Medium</v>
      </c>
      <c r="F424" s="20">
        <f>IFERROR(__xludf.DUMMYFUNCTION("""COMPUTED_VALUE"""),698.0)</f>
        <v>698</v>
      </c>
      <c r="G424" s="20">
        <f>IFERROR(__xludf.DUMMYFUNCTION("""COMPUTED_VALUE"""),2359.0)</f>
        <v>2359</v>
      </c>
      <c r="H424" s="20" t="str">
        <f>IFERROR(__xludf.DUMMYFUNCTION("""COMPUTED_VALUE"""),"Algorithms")</f>
        <v>Algorithms</v>
      </c>
      <c r="I424" s="20">
        <f>IFERROR(__xludf.DUMMYFUNCTION("""COMPUTED_VALUE"""),0.513)</f>
        <v>0.513</v>
      </c>
      <c r="J424" s="20">
        <f>IFERROR(__xludf.DUMMYFUNCTION("""COMPUTED_VALUE"""),423.0)</f>
        <v>423</v>
      </c>
      <c r="K424" s="20" t="b">
        <f>IFERROR(__xludf.DUMMYFUNCTION("""COMPUTED_VALUE"""),FALSE)</f>
        <v>0</v>
      </c>
      <c r="L424" s="20" t="str">
        <f>IFERROR(__xludf.DUMMYFUNCTION("""COMPUTED_VALUE"""),"Hash Table;Math;String;")</f>
        <v>Hash Table;Math;String;</v>
      </c>
      <c r="M424" s="20" t="b">
        <f>IFERROR(__xludf.DUMMYFUNCTION("""COMPUTED_VALUE"""),TRUE)</f>
        <v>1</v>
      </c>
      <c r="N424" s="20" t="b">
        <f>IFERROR(__xludf.DUMMYFUNCTION("""COMPUTED_VALUE"""),FALSE)</f>
        <v>0</v>
      </c>
      <c r="O424" s="20">
        <f>IFERROR(__xludf.DUMMYFUNCTION("""COMPUTED_VALUE"""),51.3089390240315)</f>
        <v>51.30893902</v>
      </c>
      <c r="P424" s="20">
        <f>IFERROR(__xludf.DUMMYFUNCTION("""COMPUTED_VALUE"""),69774.0)</f>
        <v>69774</v>
      </c>
      <c r="Q424" s="20">
        <f>IFERROR(__xludf.DUMMYFUNCTION("""COMPUTED_VALUE"""),135988.0)</f>
        <v>135988</v>
      </c>
    </row>
    <row r="425">
      <c r="A425" s="20">
        <f>IFERROR(__xludf.DUMMYFUNCTION("""COMPUTED_VALUE"""),424.0)</f>
        <v>424</v>
      </c>
      <c r="B425" s="20" t="str">
        <f>IFERROR(__xludf.DUMMYFUNCTION("""COMPUTED_VALUE"""),"Longest Repeating Character Replacement")</f>
        <v>Longest Repeating Character Replacement</v>
      </c>
      <c r="C425" s="20" t="str">
        <f>IFERROR(__xludf.DUMMYFUNCTION("""COMPUTED_VALUE"""),"longest-repeating-character-replacement")</f>
        <v>longest-repeating-character-replacement</v>
      </c>
      <c r="D425" s="20" t="b">
        <f>IFERROR(__xludf.DUMMYFUNCTION("""COMPUTED_VALUE"""),FALSE)</f>
        <v>0</v>
      </c>
      <c r="E425" s="20" t="str">
        <f>IFERROR(__xludf.DUMMYFUNCTION("""COMPUTED_VALUE"""),"Medium")</f>
        <v>Medium</v>
      </c>
      <c r="F425" s="20">
        <f>IFERROR(__xludf.DUMMYFUNCTION("""COMPUTED_VALUE"""),6935.0)</f>
        <v>6935</v>
      </c>
      <c r="G425" s="20">
        <f>IFERROR(__xludf.DUMMYFUNCTION("""COMPUTED_VALUE"""),268.0)</f>
        <v>268</v>
      </c>
      <c r="H425" s="20" t="str">
        <f>IFERROR(__xludf.DUMMYFUNCTION("""COMPUTED_VALUE"""),"Algorithms")</f>
        <v>Algorithms</v>
      </c>
      <c r="I425" s="20">
        <f>IFERROR(__xludf.DUMMYFUNCTION("""COMPUTED_VALUE"""),0.516)</f>
        <v>0.516</v>
      </c>
      <c r="J425" s="20">
        <f>IFERROR(__xludf.DUMMYFUNCTION("""COMPUTED_VALUE"""),424.0)</f>
        <v>424</v>
      </c>
      <c r="K425" s="20" t="b">
        <f>IFERROR(__xludf.DUMMYFUNCTION("""COMPUTED_VALUE"""),FALSE)</f>
        <v>0</v>
      </c>
      <c r="L425" s="20" t="str">
        <f>IFERROR(__xludf.DUMMYFUNCTION("""COMPUTED_VALUE"""),"Hash Table;String;Sliding Window;")</f>
        <v>Hash Table;String;Sliding Window;</v>
      </c>
      <c r="M425" s="20" t="b">
        <f>IFERROR(__xludf.DUMMYFUNCTION("""COMPUTED_VALUE"""),TRUE)</f>
        <v>1</v>
      </c>
      <c r="N425" s="20" t="b">
        <f>IFERROR(__xludf.DUMMYFUNCTION("""COMPUTED_VALUE"""),FALSE)</f>
        <v>0</v>
      </c>
      <c r="O425" s="20">
        <f>IFERROR(__xludf.DUMMYFUNCTION("""COMPUTED_VALUE"""),51.5768425190979)</f>
        <v>51.57684252</v>
      </c>
      <c r="P425" s="20">
        <f>IFERROR(__xludf.DUMMYFUNCTION("""COMPUTED_VALUE"""),380445.0)</f>
        <v>380445</v>
      </c>
      <c r="Q425" s="20">
        <f>IFERROR(__xludf.DUMMYFUNCTION("""COMPUTED_VALUE"""),737633.0)</f>
        <v>737633</v>
      </c>
    </row>
    <row r="426">
      <c r="A426" s="20">
        <f>IFERROR(__xludf.DUMMYFUNCTION("""COMPUTED_VALUE"""),425.0)</f>
        <v>425</v>
      </c>
      <c r="B426" s="20" t="str">
        <f>IFERROR(__xludf.DUMMYFUNCTION("""COMPUTED_VALUE"""),"Word Squares")</f>
        <v>Word Squares</v>
      </c>
      <c r="C426" s="20" t="str">
        <f>IFERROR(__xludf.DUMMYFUNCTION("""COMPUTED_VALUE"""),"word-squares")</f>
        <v>word-squares</v>
      </c>
      <c r="D426" s="20" t="b">
        <f>IFERROR(__xludf.DUMMYFUNCTION("""COMPUTED_VALUE"""),TRUE)</f>
        <v>1</v>
      </c>
      <c r="E426" s="20" t="str">
        <f>IFERROR(__xludf.DUMMYFUNCTION("""COMPUTED_VALUE"""),"Hard")</f>
        <v>Hard</v>
      </c>
      <c r="F426" s="20">
        <f>IFERROR(__xludf.DUMMYFUNCTION("""COMPUTED_VALUE"""),1009.0)</f>
        <v>1009</v>
      </c>
      <c r="G426" s="20">
        <f>IFERROR(__xludf.DUMMYFUNCTION("""COMPUTED_VALUE"""),66.0)</f>
        <v>66</v>
      </c>
      <c r="H426" s="20" t="str">
        <f>IFERROR(__xludf.DUMMYFUNCTION("""COMPUTED_VALUE"""),"Algorithms")</f>
        <v>Algorithms</v>
      </c>
      <c r="I426" s="20">
        <f>IFERROR(__xludf.DUMMYFUNCTION("""COMPUTED_VALUE"""),0.527)</f>
        <v>0.527</v>
      </c>
      <c r="J426" s="20">
        <f>IFERROR(__xludf.DUMMYFUNCTION("""COMPUTED_VALUE"""),425.0)</f>
        <v>425</v>
      </c>
      <c r="K426" s="20" t="b">
        <f>IFERROR(__xludf.DUMMYFUNCTION("""COMPUTED_VALUE"""),TRUE)</f>
        <v>1</v>
      </c>
      <c r="L426" s="20" t="str">
        <f>IFERROR(__xludf.DUMMYFUNCTION("""COMPUTED_VALUE"""),"Array;String;Backtracking;Trie;")</f>
        <v>Array;String;Backtracking;Trie;</v>
      </c>
      <c r="M426" s="20" t="b">
        <f>IFERROR(__xludf.DUMMYFUNCTION("""COMPUTED_VALUE"""),TRUE)</f>
        <v>1</v>
      </c>
      <c r="N426" s="20" t="b">
        <f>IFERROR(__xludf.DUMMYFUNCTION("""COMPUTED_VALUE"""),FALSE)</f>
        <v>0</v>
      </c>
      <c r="O426" s="20">
        <f>IFERROR(__xludf.DUMMYFUNCTION("""COMPUTED_VALUE"""),52.658008791786)</f>
        <v>52.65800879</v>
      </c>
      <c r="P426" s="20">
        <f>IFERROR(__xludf.DUMMYFUNCTION("""COMPUTED_VALUE"""),68160.0)</f>
        <v>68160</v>
      </c>
      <c r="Q426" s="20">
        <f>IFERROR(__xludf.DUMMYFUNCTION("""COMPUTED_VALUE"""),129439.0)</f>
        <v>129439</v>
      </c>
    </row>
    <row r="427">
      <c r="A427" s="20">
        <f>IFERROR(__xludf.DUMMYFUNCTION("""COMPUTED_VALUE"""),758.0)</f>
        <v>758</v>
      </c>
      <c r="B427" s="20" t="str">
        <f>IFERROR(__xludf.DUMMYFUNCTION("""COMPUTED_VALUE"""),"Convert Binary Search Tree to Sorted Doubly Linked List")</f>
        <v>Convert Binary Search Tree to Sorted Doubly Linked List</v>
      </c>
      <c r="C427" s="20" t="str">
        <f>IFERROR(__xludf.DUMMYFUNCTION("""COMPUTED_VALUE"""),"convert-binary-search-tree-to-sorted-doubly-linked-list")</f>
        <v>convert-binary-search-tree-to-sorted-doubly-linked-list</v>
      </c>
      <c r="D427" s="20" t="b">
        <f>IFERROR(__xludf.DUMMYFUNCTION("""COMPUTED_VALUE"""),TRUE)</f>
        <v>1</v>
      </c>
      <c r="E427" s="20" t="str">
        <f>IFERROR(__xludf.DUMMYFUNCTION("""COMPUTED_VALUE"""),"Medium")</f>
        <v>Medium</v>
      </c>
      <c r="F427" s="20">
        <f>IFERROR(__xludf.DUMMYFUNCTION("""COMPUTED_VALUE"""),2382.0)</f>
        <v>2382</v>
      </c>
      <c r="G427" s="20">
        <f>IFERROR(__xludf.DUMMYFUNCTION("""COMPUTED_VALUE"""),184.0)</f>
        <v>184</v>
      </c>
      <c r="H427" s="20" t="str">
        <f>IFERROR(__xludf.DUMMYFUNCTION("""COMPUTED_VALUE"""),"Algorithms")</f>
        <v>Algorithms</v>
      </c>
      <c r="I427" s="20">
        <f>IFERROR(__xludf.DUMMYFUNCTION("""COMPUTED_VALUE"""),0.647)</f>
        <v>0.647</v>
      </c>
      <c r="J427" s="20">
        <f>IFERROR(__xludf.DUMMYFUNCTION("""COMPUTED_VALUE"""),426.0)</f>
        <v>426</v>
      </c>
      <c r="K427" s="20" t="b">
        <f>IFERROR(__xludf.DUMMYFUNCTION("""COMPUTED_VALUE"""),TRUE)</f>
        <v>1</v>
      </c>
      <c r="L427" s="20" t="str">
        <f>IFERROR(__xludf.DUMMYFUNCTION("""COMPUTED_VALUE"""),"Linked List;Stack;Tree;Depth-First Search;Binary Search Tree;Binary Tree;Doubly-Linked List;")</f>
        <v>Linked List;Stack;Tree;Depth-First Search;Binary Search Tree;Binary Tree;Doubly-Linked List;</v>
      </c>
      <c r="M427" s="20" t="b">
        <f>IFERROR(__xludf.DUMMYFUNCTION("""COMPUTED_VALUE"""),TRUE)</f>
        <v>1</v>
      </c>
      <c r="N427" s="20" t="b">
        <f>IFERROR(__xludf.DUMMYFUNCTION("""COMPUTED_VALUE"""),FALSE)</f>
        <v>0</v>
      </c>
      <c r="O427" s="20">
        <f>IFERROR(__xludf.DUMMYFUNCTION("""COMPUTED_VALUE"""),64.6654578828375)</f>
        <v>64.66545788</v>
      </c>
      <c r="P427" s="20">
        <f>IFERROR(__xludf.DUMMYFUNCTION("""COMPUTED_VALUE"""),231104.0)</f>
        <v>231104</v>
      </c>
      <c r="Q427" s="20">
        <f>IFERROR(__xludf.DUMMYFUNCTION("""COMPUTED_VALUE"""),357384.0)</f>
        <v>357384</v>
      </c>
    </row>
    <row r="428">
      <c r="A428" s="20">
        <f>IFERROR(__xludf.DUMMYFUNCTION("""COMPUTED_VALUE"""),772.0)</f>
        <v>772</v>
      </c>
      <c r="B428" s="20" t="str">
        <f>IFERROR(__xludf.DUMMYFUNCTION("""COMPUTED_VALUE"""),"Construct Quad Tree")</f>
        <v>Construct Quad Tree</v>
      </c>
      <c r="C428" s="20" t="str">
        <f>IFERROR(__xludf.DUMMYFUNCTION("""COMPUTED_VALUE"""),"construct-quad-tree")</f>
        <v>construct-quad-tree</v>
      </c>
      <c r="D428" s="20" t="b">
        <f>IFERROR(__xludf.DUMMYFUNCTION("""COMPUTED_VALUE"""),FALSE)</f>
        <v>0</v>
      </c>
      <c r="E428" s="20" t="str">
        <f>IFERROR(__xludf.DUMMYFUNCTION("""COMPUTED_VALUE"""),"Medium")</f>
        <v>Medium</v>
      </c>
      <c r="F428" s="20">
        <f>IFERROR(__xludf.DUMMYFUNCTION("""COMPUTED_VALUE"""),572.0)</f>
        <v>572</v>
      </c>
      <c r="G428" s="20">
        <f>IFERROR(__xludf.DUMMYFUNCTION("""COMPUTED_VALUE"""),776.0)</f>
        <v>776</v>
      </c>
      <c r="H428" s="20" t="str">
        <f>IFERROR(__xludf.DUMMYFUNCTION("""COMPUTED_VALUE"""),"Algorithms")</f>
        <v>Algorithms</v>
      </c>
      <c r="I428" s="20">
        <f>IFERROR(__xludf.DUMMYFUNCTION("""COMPUTED_VALUE"""),0.665)</f>
        <v>0.665</v>
      </c>
      <c r="J428" s="20">
        <f>IFERROR(__xludf.DUMMYFUNCTION("""COMPUTED_VALUE"""),427.0)</f>
        <v>427</v>
      </c>
      <c r="K428" s="20" t="b">
        <f>IFERROR(__xludf.DUMMYFUNCTION("""COMPUTED_VALUE"""),FALSE)</f>
        <v>0</v>
      </c>
      <c r="L428" s="20" t="str">
        <f>IFERROR(__xludf.DUMMYFUNCTION("""COMPUTED_VALUE"""),"Array;Divide and Conquer;Tree;Matrix;")</f>
        <v>Array;Divide and Conquer;Tree;Matrix;</v>
      </c>
      <c r="M428" s="20" t="b">
        <f>IFERROR(__xludf.DUMMYFUNCTION("""COMPUTED_VALUE"""),FALSE)</f>
        <v>0</v>
      </c>
      <c r="N428" s="20" t="b">
        <f>IFERROR(__xludf.DUMMYFUNCTION("""COMPUTED_VALUE"""),FALSE)</f>
        <v>0</v>
      </c>
      <c r="O428" s="20">
        <f>IFERROR(__xludf.DUMMYFUNCTION("""COMPUTED_VALUE"""),66.495670854762)</f>
        <v>66.49567085</v>
      </c>
      <c r="P428" s="20">
        <f>IFERROR(__xludf.DUMMYFUNCTION("""COMPUTED_VALUE"""),51072.0)</f>
        <v>51072</v>
      </c>
      <c r="Q428" s="20">
        <f>IFERROR(__xludf.DUMMYFUNCTION("""COMPUTED_VALUE"""),76805.0)</f>
        <v>76805</v>
      </c>
    </row>
    <row r="429">
      <c r="A429" s="20">
        <f>IFERROR(__xludf.DUMMYFUNCTION("""COMPUTED_VALUE"""),765.0)</f>
        <v>765</v>
      </c>
      <c r="B429" s="20" t="str">
        <f>IFERROR(__xludf.DUMMYFUNCTION("""COMPUTED_VALUE"""),"Serialize and Deserialize N-ary Tree")</f>
        <v>Serialize and Deserialize N-ary Tree</v>
      </c>
      <c r="C429" s="20" t="str">
        <f>IFERROR(__xludf.DUMMYFUNCTION("""COMPUTED_VALUE"""),"serialize-and-deserialize-n-ary-tree")</f>
        <v>serialize-and-deserialize-n-ary-tree</v>
      </c>
      <c r="D429" s="20" t="b">
        <f>IFERROR(__xludf.DUMMYFUNCTION("""COMPUTED_VALUE"""),TRUE)</f>
        <v>1</v>
      </c>
      <c r="E429" s="20" t="str">
        <f>IFERROR(__xludf.DUMMYFUNCTION("""COMPUTED_VALUE"""),"Hard")</f>
        <v>Hard</v>
      </c>
      <c r="F429" s="20">
        <f>IFERROR(__xludf.DUMMYFUNCTION("""COMPUTED_VALUE"""),960.0)</f>
        <v>960</v>
      </c>
      <c r="G429" s="20">
        <f>IFERROR(__xludf.DUMMYFUNCTION("""COMPUTED_VALUE"""),54.0)</f>
        <v>54</v>
      </c>
      <c r="H429" s="20" t="str">
        <f>IFERROR(__xludf.DUMMYFUNCTION("""COMPUTED_VALUE"""),"Algorithms")</f>
        <v>Algorithms</v>
      </c>
      <c r="I429" s="20">
        <f>IFERROR(__xludf.DUMMYFUNCTION("""COMPUTED_VALUE"""),0.657)</f>
        <v>0.657</v>
      </c>
      <c r="J429" s="20">
        <f>IFERROR(__xludf.DUMMYFUNCTION("""COMPUTED_VALUE"""),428.0)</f>
        <v>428</v>
      </c>
      <c r="K429" s="20" t="b">
        <f>IFERROR(__xludf.DUMMYFUNCTION("""COMPUTED_VALUE"""),TRUE)</f>
        <v>1</v>
      </c>
      <c r="L429" s="20" t="str">
        <f>IFERROR(__xludf.DUMMYFUNCTION("""COMPUTED_VALUE"""),"String;Tree;Depth-First Search;Breadth-First Search;")</f>
        <v>String;Tree;Depth-First Search;Breadth-First Search;</v>
      </c>
      <c r="M429" s="20" t="b">
        <f>IFERROR(__xludf.DUMMYFUNCTION("""COMPUTED_VALUE"""),TRUE)</f>
        <v>1</v>
      </c>
      <c r="N429" s="20" t="b">
        <f>IFERROR(__xludf.DUMMYFUNCTION("""COMPUTED_VALUE"""),FALSE)</f>
        <v>0</v>
      </c>
      <c r="O429" s="20">
        <f>IFERROR(__xludf.DUMMYFUNCTION("""COMPUTED_VALUE"""),65.6746801921866)</f>
        <v>65.67468019</v>
      </c>
      <c r="P429" s="20">
        <f>IFERROR(__xludf.DUMMYFUNCTION("""COMPUTED_VALUE"""),76136.0)</f>
        <v>76136</v>
      </c>
      <c r="Q429" s="20">
        <f>IFERROR(__xludf.DUMMYFUNCTION("""COMPUTED_VALUE"""),115929.0)</f>
        <v>115929</v>
      </c>
    </row>
    <row r="430">
      <c r="A430" s="20">
        <f>IFERROR(__xludf.DUMMYFUNCTION("""COMPUTED_VALUE"""),764.0)</f>
        <v>764</v>
      </c>
      <c r="B430" s="20" t="str">
        <f>IFERROR(__xludf.DUMMYFUNCTION("""COMPUTED_VALUE"""),"N-ary Tree Level Order Traversal")</f>
        <v>N-ary Tree Level Order Traversal</v>
      </c>
      <c r="C430" s="20" t="str">
        <f>IFERROR(__xludf.DUMMYFUNCTION("""COMPUTED_VALUE"""),"n-ary-tree-level-order-traversal")</f>
        <v>n-ary-tree-level-order-traversal</v>
      </c>
      <c r="D430" s="20" t="b">
        <f>IFERROR(__xludf.DUMMYFUNCTION("""COMPUTED_VALUE"""),FALSE)</f>
        <v>0</v>
      </c>
      <c r="E430" s="20" t="str">
        <f>IFERROR(__xludf.DUMMYFUNCTION("""COMPUTED_VALUE"""),"Medium")</f>
        <v>Medium</v>
      </c>
      <c r="F430" s="20">
        <f>IFERROR(__xludf.DUMMYFUNCTION("""COMPUTED_VALUE"""),3214.0)</f>
        <v>3214</v>
      </c>
      <c r="G430" s="20">
        <f>IFERROR(__xludf.DUMMYFUNCTION("""COMPUTED_VALUE"""),125.0)</f>
        <v>125</v>
      </c>
      <c r="H430" s="20" t="str">
        <f>IFERROR(__xludf.DUMMYFUNCTION("""COMPUTED_VALUE"""),"Algorithms")</f>
        <v>Algorithms</v>
      </c>
      <c r="I430" s="20">
        <f>IFERROR(__xludf.DUMMYFUNCTION("""COMPUTED_VALUE"""),0.706)</f>
        <v>0.706</v>
      </c>
      <c r="J430" s="20">
        <f>IFERROR(__xludf.DUMMYFUNCTION("""COMPUTED_VALUE"""),429.0)</f>
        <v>429</v>
      </c>
      <c r="K430" s="20" t="b">
        <f>IFERROR(__xludf.DUMMYFUNCTION("""COMPUTED_VALUE"""),FALSE)</f>
        <v>0</v>
      </c>
      <c r="L430" s="20" t="str">
        <f>IFERROR(__xludf.DUMMYFUNCTION("""COMPUTED_VALUE"""),"Tree;Breadth-First Search;")</f>
        <v>Tree;Breadth-First Search;</v>
      </c>
      <c r="M430" s="20" t="b">
        <f>IFERROR(__xludf.DUMMYFUNCTION("""COMPUTED_VALUE"""),TRUE)</f>
        <v>1</v>
      </c>
      <c r="N430" s="20" t="b">
        <f>IFERROR(__xludf.DUMMYFUNCTION("""COMPUTED_VALUE"""),FALSE)</f>
        <v>0</v>
      </c>
      <c r="O430" s="20">
        <f>IFERROR(__xludf.DUMMYFUNCTION("""COMPUTED_VALUE"""),70.6340522597036)</f>
        <v>70.63405226</v>
      </c>
      <c r="P430" s="20">
        <f>IFERROR(__xludf.DUMMYFUNCTION("""COMPUTED_VALUE"""),266615.0)</f>
        <v>266615</v>
      </c>
      <c r="Q430" s="20">
        <f>IFERROR(__xludf.DUMMYFUNCTION("""COMPUTED_VALUE"""),377459.0)</f>
        <v>377459</v>
      </c>
    </row>
    <row r="431">
      <c r="A431" s="20">
        <f>IFERROR(__xludf.DUMMYFUNCTION("""COMPUTED_VALUE"""),766.0)</f>
        <v>766</v>
      </c>
      <c r="B431" s="20" t="str">
        <f>IFERROR(__xludf.DUMMYFUNCTION("""COMPUTED_VALUE"""),"Flatten a Multilevel Doubly Linked List")</f>
        <v>Flatten a Multilevel Doubly Linked List</v>
      </c>
      <c r="C431" s="20" t="str">
        <f>IFERROR(__xludf.DUMMYFUNCTION("""COMPUTED_VALUE"""),"flatten-a-multilevel-doubly-linked-list")</f>
        <v>flatten-a-multilevel-doubly-linked-list</v>
      </c>
      <c r="D431" s="20" t="b">
        <f>IFERROR(__xludf.DUMMYFUNCTION("""COMPUTED_VALUE"""),FALSE)</f>
        <v>0</v>
      </c>
      <c r="E431" s="20" t="str">
        <f>IFERROR(__xludf.DUMMYFUNCTION("""COMPUTED_VALUE"""),"Medium")</f>
        <v>Medium</v>
      </c>
      <c r="F431" s="20">
        <f>IFERROR(__xludf.DUMMYFUNCTION("""COMPUTED_VALUE"""),4334.0)</f>
        <v>4334</v>
      </c>
      <c r="G431" s="20">
        <f>IFERROR(__xludf.DUMMYFUNCTION("""COMPUTED_VALUE"""),287.0)</f>
        <v>287</v>
      </c>
      <c r="H431" s="20" t="str">
        <f>IFERROR(__xludf.DUMMYFUNCTION("""COMPUTED_VALUE"""),"Algorithms")</f>
        <v>Algorithms</v>
      </c>
      <c r="I431" s="20">
        <f>IFERROR(__xludf.DUMMYFUNCTION("""COMPUTED_VALUE"""),0.596)</f>
        <v>0.596</v>
      </c>
      <c r="J431" s="20">
        <f>IFERROR(__xludf.DUMMYFUNCTION("""COMPUTED_VALUE"""),430.0)</f>
        <v>430</v>
      </c>
      <c r="K431" s="20" t="b">
        <f>IFERROR(__xludf.DUMMYFUNCTION("""COMPUTED_VALUE"""),FALSE)</f>
        <v>0</v>
      </c>
      <c r="L431" s="20" t="str">
        <f>IFERROR(__xludf.DUMMYFUNCTION("""COMPUTED_VALUE"""),"Linked List;Depth-First Search;Doubly-Linked List;")</f>
        <v>Linked List;Depth-First Search;Doubly-Linked List;</v>
      </c>
      <c r="M431" s="20" t="b">
        <f>IFERROR(__xludf.DUMMYFUNCTION("""COMPUTED_VALUE"""),TRUE)</f>
        <v>1</v>
      </c>
      <c r="N431" s="20" t="b">
        <f>IFERROR(__xludf.DUMMYFUNCTION("""COMPUTED_VALUE"""),FALSE)</f>
        <v>0</v>
      </c>
      <c r="O431" s="20">
        <f>IFERROR(__xludf.DUMMYFUNCTION("""COMPUTED_VALUE"""),59.5831402223771)</f>
        <v>59.58314022</v>
      </c>
      <c r="P431" s="20">
        <f>IFERROR(__xludf.DUMMYFUNCTION("""COMPUTED_VALUE"""),275118.0)</f>
        <v>275118</v>
      </c>
      <c r="Q431" s="20">
        <f>IFERROR(__xludf.DUMMYFUNCTION("""COMPUTED_VALUE"""),461738.0)</f>
        <v>461738</v>
      </c>
    </row>
    <row r="432">
      <c r="A432" s="20">
        <f>IFERROR(__xludf.DUMMYFUNCTION("""COMPUTED_VALUE"""),771.0)</f>
        <v>771</v>
      </c>
      <c r="B432" s="20" t="str">
        <f>IFERROR(__xludf.DUMMYFUNCTION("""COMPUTED_VALUE"""),"Encode N-ary Tree to Binary Tree")</f>
        <v>Encode N-ary Tree to Binary Tree</v>
      </c>
      <c r="C432" s="20" t="str">
        <f>IFERROR(__xludf.DUMMYFUNCTION("""COMPUTED_VALUE"""),"encode-n-ary-tree-to-binary-tree")</f>
        <v>encode-n-ary-tree-to-binary-tree</v>
      </c>
      <c r="D432" s="20" t="b">
        <f>IFERROR(__xludf.DUMMYFUNCTION("""COMPUTED_VALUE"""),TRUE)</f>
        <v>1</v>
      </c>
      <c r="E432" s="20" t="str">
        <f>IFERROR(__xludf.DUMMYFUNCTION("""COMPUTED_VALUE"""),"Hard")</f>
        <v>Hard</v>
      </c>
      <c r="F432" s="20">
        <f>IFERROR(__xludf.DUMMYFUNCTION("""COMPUTED_VALUE"""),464.0)</f>
        <v>464</v>
      </c>
      <c r="G432" s="20">
        <f>IFERROR(__xludf.DUMMYFUNCTION("""COMPUTED_VALUE"""),24.0)</f>
        <v>24</v>
      </c>
      <c r="H432" s="20" t="str">
        <f>IFERROR(__xludf.DUMMYFUNCTION("""COMPUTED_VALUE"""),"Algorithms")</f>
        <v>Algorithms</v>
      </c>
      <c r="I432" s="20">
        <f>IFERROR(__xludf.DUMMYFUNCTION("""COMPUTED_VALUE"""),0.787)</f>
        <v>0.787</v>
      </c>
      <c r="J432" s="20">
        <f>IFERROR(__xludf.DUMMYFUNCTION("""COMPUTED_VALUE"""),431.0)</f>
        <v>431</v>
      </c>
      <c r="K432" s="20" t="b">
        <f>IFERROR(__xludf.DUMMYFUNCTION("""COMPUTED_VALUE"""),TRUE)</f>
        <v>1</v>
      </c>
      <c r="L432" s="20" t="str">
        <f>IFERROR(__xludf.DUMMYFUNCTION("""COMPUTED_VALUE"""),"Tree;Depth-First Search;Breadth-First Search;Design;Binary Tree;")</f>
        <v>Tree;Depth-First Search;Breadth-First Search;Design;Binary Tree;</v>
      </c>
      <c r="M432" s="20" t="b">
        <f>IFERROR(__xludf.DUMMYFUNCTION("""COMPUTED_VALUE"""),TRUE)</f>
        <v>1</v>
      </c>
      <c r="N432" s="20" t="b">
        <f>IFERROR(__xludf.DUMMYFUNCTION("""COMPUTED_VALUE"""),FALSE)</f>
        <v>0</v>
      </c>
      <c r="O432" s="20">
        <f>IFERROR(__xludf.DUMMYFUNCTION("""COMPUTED_VALUE"""),78.7129126619306)</f>
        <v>78.71291266</v>
      </c>
      <c r="P432" s="20">
        <f>IFERROR(__xludf.DUMMYFUNCTION("""COMPUTED_VALUE"""),18836.0)</f>
        <v>18836</v>
      </c>
      <c r="Q432" s="20">
        <f>IFERROR(__xludf.DUMMYFUNCTION("""COMPUTED_VALUE"""),23930.0)</f>
        <v>23930</v>
      </c>
    </row>
    <row r="433">
      <c r="A433" s="20">
        <f>IFERROR(__xludf.DUMMYFUNCTION("""COMPUTED_VALUE"""),432.0)</f>
        <v>432</v>
      </c>
      <c r="B433" s="20" t="str">
        <f>IFERROR(__xludf.DUMMYFUNCTION("""COMPUTED_VALUE"""),"All O`one Data Structure")</f>
        <v>All O`one Data Structure</v>
      </c>
      <c r="C433" s="20" t="str">
        <f>IFERROR(__xludf.DUMMYFUNCTION("""COMPUTED_VALUE"""),"all-oone-data-structure")</f>
        <v>all-oone-data-structure</v>
      </c>
      <c r="D433" s="20" t="b">
        <f>IFERROR(__xludf.DUMMYFUNCTION("""COMPUTED_VALUE"""),FALSE)</f>
        <v>0</v>
      </c>
      <c r="E433" s="20" t="str">
        <f>IFERROR(__xludf.DUMMYFUNCTION("""COMPUTED_VALUE"""),"Hard")</f>
        <v>Hard</v>
      </c>
      <c r="F433" s="20">
        <f>IFERROR(__xludf.DUMMYFUNCTION("""COMPUTED_VALUE"""),1310.0)</f>
        <v>1310</v>
      </c>
      <c r="G433" s="20">
        <f>IFERROR(__xludf.DUMMYFUNCTION("""COMPUTED_VALUE"""),151.0)</f>
        <v>151</v>
      </c>
      <c r="H433" s="20" t="str">
        <f>IFERROR(__xludf.DUMMYFUNCTION("""COMPUTED_VALUE"""),"Algorithms")</f>
        <v>Algorithms</v>
      </c>
      <c r="I433" s="20">
        <f>IFERROR(__xludf.DUMMYFUNCTION("""COMPUTED_VALUE"""),0.366)</f>
        <v>0.366</v>
      </c>
      <c r="J433" s="20">
        <f>IFERROR(__xludf.DUMMYFUNCTION("""COMPUTED_VALUE"""),432.0)</f>
        <v>432</v>
      </c>
      <c r="K433" s="20" t="b">
        <f>IFERROR(__xludf.DUMMYFUNCTION("""COMPUTED_VALUE"""),FALSE)</f>
        <v>0</v>
      </c>
      <c r="L433" s="20" t="str">
        <f>IFERROR(__xludf.DUMMYFUNCTION("""COMPUTED_VALUE"""),"Hash Table;Linked List;Design;Doubly-Linked List;")</f>
        <v>Hash Table;Linked List;Design;Doubly-Linked List;</v>
      </c>
      <c r="M433" s="20" t="b">
        <f>IFERROR(__xludf.DUMMYFUNCTION("""COMPUTED_VALUE"""),FALSE)</f>
        <v>0</v>
      </c>
      <c r="N433" s="20" t="b">
        <f>IFERROR(__xludf.DUMMYFUNCTION("""COMPUTED_VALUE"""),FALSE)</f>
        <v>0</v>
      </c>
      <c r="O433" s="20">
        <f>IFERROR(__xludf.DUMMYFUNCTION("""COMPUTED_VALUE"""),36.6322621305013)</f>
        <v>36.63226213</v>
      </c>
      <c r="P433" s="20">
        <f>IFERROR(__xludf.DUMMYFUNCTION("""COMPUTED_VALUE"""),66262.0)</f>
        <v>66262</v>
      </c>
      <c r="Q433" s="20">
        <f>IFERROR(__xludf.DUMMYFUNCTION("""COMPUTED_VALUE"""),180885.0)</f>
        <v>180885</v>
      </c>
    </row>
    <row r="434">
      <c r="A434" s="20">
        <f>IFERROR(__xludf.DUMMYFUNCTION("""COMPUTED_VALUE"""),433.0)</f>
        <v>433</v>
      </c>
      <c r="B434" s="20" t="str">
        <f>IFERROR(__xludf.DUMMYFUNCTION("""COMPUTED_VALUE"""),"Minimum Genetic Mutation")</f>
        <v>Minimum Genetic Mutation</v>
      </c>
      <c r="C434" s="20" t="str">
        <f>IFERROR(__xludf.DUMMYFUNCTION("""COMPUTED_VALUE"""),"minimum-genetic-mutation")</f>
        <v>minimum-genetic-mutation</v>
      </c>
      <c r="D434" s="20" t="b">
        <f>IFERROR(__xludf.DUMMYFUNCTION("""COMPUTED_VALUE"""),FALSE)</f>
        <v>0</v>
      </c>
      <c r="E434" s="20" t="str">
        <f>IFERROR(__xludf.DUMMYFUNCTION("""COMPUTED_VALUE"""),"Medium")</f>
        <v>Medium</v>
      </c>
      <c r="F434" s="20">
        <f>IFERROR(__xludf.DUMMYFUNCTION("""COMPUTED_VALUE"""),2324.0)</f>
        <v>2324</v>
      </c>
      <c r="G434" s="20">
        <f>IFERROR(__xludf.DUMMYFUNCTION("""COMPUTED_VALUE"""),250.0)</f>
        <v>250</v>
      </c>
      <c r="H434" s="20" t="str">
        <f>IFERROR(__xludf.DUMMYFUNCTION("""COMPUTED_VALUE"""),"Algorithms")</f>
        <v>Algorithms</v>
      </c>
      <c r="I434" s="20">
        <f>IFERROR(__xludf.DUMMYFUNCTION("""COMPUTED_VALUE"""),0.521)</f>
        <v>0.521</v>
      </c>
      <c r="J434" s="20">
        <f>IFERROR(__xludf.DUMMYFUNCTION("""COMPUTED_VALUE"""),433.0)</f>
        <v>433</v>
      </c>
      <c r="K434" s="20" t="b">
        <f>IFERROR(__xludf.DUMMYFUNCTION("""COMPUTED_VALUE"""),FALSE)</f>
        <v>0</v>
      </c>
      <c r="L434" s="20" t="str">
        <f>IFERROR(__xludf.DUMMYFUNCTION("""COMPUTED_VALUE"""),"Hash Table;String;Breadth-First Search;")</f>
        <v>Hash Table;String;Breadth-First Search;</v>
      </c>
      <c r="M434" s="20" t="b">
        <f>IFERROR(__xludf.DUMMYFUNCTION("""COMPUTED_VALUE"""),TRUE)</f>
        <v>1</v>
      </c>
      <c r="N434" s="20" t="b">
        <f>IFERROR(__xludf.DUMMYFUNCTION("""COMPUTED_VALUE"""),FALSE)</f>
        <v>0</v>
      </c>
      <c r="O434" s="20">
        <f>IFERROR(__xludf.DUMMYFUNCTION("""COMPUTED_VALUE"""),52.1121500628728)</f>
        <v>52.11215006</v>
      </c>
      <c r="P434" s="20">
        <f>IFERROR(__xludf.DUMMYFUNCTION("""COMPUTED_VALUE"""),110236.0)</f>
        <v>110236</v>
      </c>
      <c r="Q434" s="20">
        <f>IFERROR(__xludf.DUMMYFUNCTION("""COMPUTED_VALUE"""),211537.0)</f>
        <v>211537</v>
      </c>
    </row>
    <row r="435">
      <c r="A435" s="20">
        <f>IFERROR(__xludf.DUMMYFUNCTION("""COMPUTED_VALUE"""),434.0)</f>
        <v>434</v>
      </c>
      <c r="B435" s="20" t="str">
        <f>IFERROR(__xludf.DUMMYFUNCTION("""COMPUTED_VALUE"""),"Number of Segments in a String")</f>
        <v>Number of Segments in a String</v>
      </c>
      <c r="C435" s="20" t="str">
        <f>IFERROR(__xludf.DUMMYFUNCTION("""COMPUTED_VALUE"""),"number-of-segments-in-a-string")</f>
        <v>number-of-segments-in-a-string</v>
      </c>
      <c r="D435" s="20" t="b">
        <f>IFERROR(__xludf.DUMMYFUNCTION("""COMPUTED_VALUE"""),FALSE)</f>
        <v>0</v>
      </c>
      <c r="E435" s="20" t="str">
        <f>IFERROR(__xludf.DUMMYFUNCTION("""COMPUTED_VALUE"""),"Easy")</f>
        <v>Easy</v>
      </c>
      <c r="F435" s="20">
        <f>IFERROR(__xludf.DUMMYFUNCTION("""COMPUTED_VALUE"""),577.0)</f>
        <v>577</v>
      </c>
      <c r="G435" s="20">
        <f>IFERROR(__xludf.DUMMYFUNCTION("""COMPUTED_VALUE"""),1093.0)</f>
        <v>1093</v>
      </c>
      <c r="H435" s="20" t="str">
        <f>IFERROR(__xludf.DUMMYFUNCTION("""COMPUTED_VALUE"""),"Algorithms")</f>
        <v>Algorithms</v>
      </c>
      <c r="I435" s="20">
        <f>IFERROR(__xludf.DUMMYFUNCTION("""COMPUTED_VALUE"""),0.376)</f>
        <v>0.376</v>
      </c>
      <c r="J435" s="20">
        <f>IFERROR(__xludf.DUMMYFUNCTION("""COMPUTED_VALUE"""),434.0)</f>
        <v>434</v>
      </c>
      <c r="K435" s="20" t="b">
        <f>IFERROR(__xludf.DUMMYFUNCTION("""COMPUTED_VALUE"""),FALSE)</f>
        <v>0</v>
      </c>
      <c r="L435" s="20" t="str">
        <f>IFERROR(__xludf.DUMMYFUNCTION("""COMPUTED_VALUE"""),"String;")</f>
        <v>String;</v>
      </c>
      <c r="M435" s="20" t="b">
        <f>IFERROR(__xludf.DUMMYFUNCTION("""COMPUTED_VALUE"""),TRUE)</f>
        <v>1</v>
      </c>
      <c r="N435" s="20" t="b">
        <f>IFERROR(__xludf.DUMMYFUNCTION("""COMPUTED_VALUE"""),FALSE)</f>
        <v>0</v>
      </c>
      <c r="O435" s="20">
        <f>IFERROR(__xludf.DUMMYFUNCTION("""COMPUTED_VALUE"""),37.5867604105464)</f>
        <v>37.58676041</v>
      </c>
      <c r="P435" s="20">
        <f>IFERROR(__xludf.DUMMYFUNCTION("""COMPUTED_VALUE"""),133703.0)</f>
        <v>133703</v>
      </c>
      <c r="Q435" s="20">
        <f>IFERROR(__xludf.DUMMYFUNCTION("""COMPUTED_VALUE"""),355720.0)</f>
        <v>355720</v>
      </c>
    </row>
    <row r="436">
      <c r="A436" s="20">
        <f>IFERROR(__xludf.DUMMYFUNCTION("""COMPUTED_VALUE"""),435.0)</f>
        <v>435</v>
      </c>
      <c r="B436" s="20" t="str">
        <f>IFERROR(__xludf.DUMMYFUNCTION("""COMPUTED_VALUE"""),"Non-overlapping Intervals")</f>
        <v>Non-overlapping Intervals</v>
      </c>
      <c r="C436" s="20" t="str">
        <f>IFERROR(__xludf.DUMMYFUNCTION("""COMPUTED_VALUE"""),"non-overlapping-intervals")</f>
        <v>non-overlapping-intervals</v>
      </c>
      <c r="D436" s="20" t="b">
        <f>IFERROR(__xludf.DUMMYFUNCTION("""COMPUTED_VALUE"""),FALSE)</f>
        <v>0</v>
      </c>
      <c r="E436" s="20" t="str">
        <f>IFERROR(__xludf.DUMMYFUNCTION("""COMPUTED_VALUE"""),"Medium")</f>
        <v>Medium</v>
      </c>
      <c r="F436" s="20">
        <f>IFERROR(__xludf.DUMMYFUNCTION("""COMPUTED_VALUE"""),5222.0)</f>
        <v>5222</v>
      </c>
      <c r="G436" s="20">
        <f>IFERROR(__xludf.DUMMYFUNCTION("""COMPUTED_VALUE"""),150.0)</f>
        <v>150</v>
      </c>
      <c r="H436" s="20" t="str">
        <f>IFERROR(__xludf.DUMMYFUNCTION("""COMPUTED_VALUE"""),"Algorithms")</f>
        <v>Algorithms</v>
      </c>
      <c r="I436" s="20">
        <f>IFERROR(__xludf.DUMMYFUNCTION("""COMPUTED_VALUE"""),0.5)</f>
        <v>0.5</v>
      </c>
      <c r="J436" s="20">
        <f>IFERROR(__xludf.DUMMYFUNCTION("""COMPUTED_VALUE"""),435.0)</f>
        <v>435</v>
      </c>
      <c r="K436" s="20" t="b">
        <f>IFERROR(__xludf.DUMMYFUNCTION("""COMPUTED_VALUE"""),FALSE)</f>
        <v>0</v>
      </c>
      <c r="L436" s="20" t="str">
        <f>IFERROR(__xludf.DUMMYFUNCTION("""COMPUTED_VALUE"""),"Array;Dynamic Programming;Greedy;Sorting;")</f>
        <v>Array;Dynamic Programming;Greedy;Sorting;</v>
      </c>
      <c r="M436" s="20" t="b">
        <f>IFERROR(__xludf.DUMMYFUNCTION("""COMPUTED_VALUE"""),TRUE)</f>
        <v>1</v>
      </c>
      <c r="N436" s="20" t="b">
        <f>IFERROR(__xludf.DUMMYFUNCTION("""COMPUTED_VALUE"""),FALSE)</f>
        <v>0</v>
      </c>
      <c r="O436" s="20">
        <f>IFERROR(__xludf.DUMMYFUNCTION("""COMPUTED_VALUE"""),49.9657819770853)</f>
        <v>49.96578198</v>
      </c>
      <c r="P436" s="20">
        <f>IFERROR(__xludf.DUMMYFUNCTION("""COMPUTED_VALUE"""),327816.0)</f>
        <v>327816</v>
      </c>
      <c r="Q436" s="20">
        <f>IFERROR(__xludf.DUMMYFUNCTION("""COMPUTED_VALUE"""),656082.0)</f>
        <v>656082</v>
      </c>
    </row>
    <row r="437">
      <c r="A437" s="20">
        <f>IFERROR(__xludf.DUMMYFUNCTION("""COMPUTED_VALUE"""),436.0)</f>
        <v>436</v>
      </c>
      <c r="B437" s="20" t="str">
        <f>IFERROR(__xludf.DUMMYFUNCTION("""COMPUTED_VALUE"""),"Find Right Interval")</f>
        <v>Find Right Interval</v>
      </c>
      <c r="C437" s="20" t="str">
        <f>IFERROR(__xludf.DUMMYFUNCTION("""COMPUTED_VALUE"""),"find-right-interval")</f>
        <v>find-right-interval</v>
      </c>
      <c r="D437" s="20" t="b">
        <f>IFERROR(__xludf.DUMMYFUNCTION("""COMPUTED_VALUE"""),FALSE)</f>
        <v>0</v>
      </c>
      <c r="E437" s="20" t="str">
        <f>IFERROR(__xludf.DUMMYFUNCTION("""COMPUTED_VALUE"""),"Medium")</f>
        <v>Medium</v>
      </c>
      <c r="F437" s="20">
        <f>IFERROR(__xludf.DUMMYFUNCTION("""COMPUTED_VALUE"""),1518.0)</f>
        <v>1518</v>
      </c>
      <c r="G437" s="20">
        <f>IFERROR(__xludf.DUMMYFUNCTION("""COMPUTED_VALUE"""),281.0)</f>
        <v>281</v>
      </c>
      <c r="H437" s="20" t="str">
        <f>IFERROR(__xludf.DUMMYFUNCTION("""COMPUTED_VALUE"""),"Algorithms")</f>
        <v>Algorithms</v>
      </c>
      <c r="I437" s="20">
        <f>IFERROR(__xludf.DUMMYFUNCTION("""COMPUTED_VALUE"""),0.504)</f>
        <v>0.504</v>
      </c>
      <c r="J437" s="20">
        <f>IFERROR(__xludf.DUMMYFUNCTION("""COMPUTED_VALUE"""),436.0)</f>
        <v>436</v>
      </c>
      <c r="K437" s="20" t="b">
        <f>IFERROR(__xludf.DUMMYFUNCTION("""COMPUTED_VALUE"""),FALSE)</f>
        <v>0</v>
      </c>
      <c r="L437" s="20" t="str">
        <f>IFERROR(__xludf.DUMMYFUNCTION("""COMPUTED_VALUE"""),"Array;Binary Search;Sorting;")</f>
        <v>Array;Binary Search;Sorting;</v>
      </c>
      <c r="M437" s="20" t="b">
        <f>IFERROR(__xludf.DUMMYFUNCTION("""COMPUTED_VALUE"""),TRUE)</f>
        <v>1</v>
      </c>
      <c r="N437" s="20" t="b">
        <f>IFERROR(__xludf.DUMMYFUNCTION("""COMPUTED_VALUE"""),FALSE)</f>
        <v>0</v>
      </c>
      <c r="O437" s="20">
        <f>IFERROR(__xludf.DUMMYFUNCTION("""COMPUTED_VALUE"""),50.4143630664006)</f>
        <v>50.41436307</v>
      </c>
      <c r="P437" s="20">
        <f>IFERROR(__xludf.DUMMYFUNCTION("""COMPUTED_VALUE"""),88452.0)</f>
        <v>88452</v>
      </c>
      <c r="Q437" s="20">
        <f>IFERROR(__xludf.DUMMYFUNCTION("""COMPUTED_VALUE"""),175450.0)</f>
        <v>175450</v>
      </c>
    </row>
    <row r="438">
      <c r="A438" s="20">
        <f>IFERROR(__xludf.DUMMYFUNCTION("""COMPUTED_VALUE"""),437.0)</f>
        <v>437</v>
      </c>
      <c r="B438" s="20" t="str">
        <f>IFERROR(__xludf.DUMMYFUNCTION("""COMPUTED_VALUE"""),"Path Sum III")</f>
        <v>Path Sum III</v>
      </c>
      <c r="C438" s="20" t="str">
        <f>IFERROR(__xludf.DUMMYFUNCTION("""COMPUTED_VALUE"""),"path-sum-iii")</f>
        <v>path-sum-iii</v>
      </c>
      <c r="D438" s="20" t="b">
        <f>IFERROR(__xludf.DUMMYFUNCTION("""COMPUTED_VALUE"""),FALSE)</f>
        <v>0</v>
      </c>
      <c r="E438" s="20" t="str">
        <f>IFERROR(__xludf.DUMMYFUNCTION("""COMPUTED_VALUE"""),"Medium")</f>
        <v>Medium</v>
      </c>
      <c r="F438" s="20">
        <f>IFERROR(__xludf.DUMMYFUNCTION("""COMPUTED_VALUE"""),9039.0)</f>
        <v>9039</v>
      </c>
      <c r="G438" s="20">
        <f>IFERROR(__xludf.DUMMYFUNCTION("""COMPUTED_VALUE"""),433.0)</f>
        <v>433</v>
      </c>
      <c r="H438" s="20" t="str">
        <f>IFERROR(__xludf.DUMMYFUNCTION("""COMPUTED_VALUE"""),"Algorithms")</f>
        <v>Algorithms</v>
      </c>
      <c r="I438" s="20">
        <f>IFERROR(__xludf.DUMMYFUNCTION("""COMPUTED_VALUE"""),0.485)</f>
        <v>0.485</v>
      </c>
      <c r="J438" s="20">
        <f>IFERROR(__xludf.DUMMYFUNCTION("""COMPUTED_VALUE"""),437.0)</f>
        <v>437</v>
      </c>
      <c r="K438" s="20" t="b">
        <f>IFERROR(__xludf.DUMMYFUNCTION("""COMPUTED_VALUE"""),FALSE)</f>
        <v>0</v>
      </c>
      <c r="L438" s="20" t="str">
        <f>IFERROR(__xludf.DUMMYFUNCTION("""COMPUTED_VALUE"""),"Tree;Depth-First Search;Binary Tree;")</f>
        <v>Tree;Depth-First Search;Binary Tree;</v>
      </c>
      <c r="M438" s="20" t="b">
        <f>IFERROR(__xludf.DUMMYFUNCTION("""COMPUTED_VALUE"""),TRUE)</f>
        <v>1</v>
      </c>
      <c r="N438" s="20" t="b">
        <f>IFERROR(__xludf.DUMMYFUNCTION("""COMPUTED_VALUE"""),FALSE)</f>
        <v>0</v>
      </c>
      <c r="O438" s="20">
        <f>IFERROR(__xludf.DUMMYFUNCTION("""COMPUTED_VALUE"""),48.472874416984)</f>
        <v>48.47287442</v>
      </c>
      <c r="P438" s="20">
        <f>IFERROR(__xludf.DUMMYFUNCTION("""COMPUTED_VALUE"""),428488.0)</f>
        <v>428488</v>
      </c>
      <c r="Q438" s="20">
        <f>IFERROR(__xludf.DUMMYFUNCTION("""COMPUTED_VALUE"""),883972.0)</f>
        <v>883972</v>
      </c>
    </row>
    <row r="439">
      <c r="A439" s="20">
        <f>IFERROR(__xludf.DUMMYFUNCTION("""COMPUTED_VALUE"""),438.0)</f>
        <v>438</v>
      </c>
      <c r="B439" s="20" t="str">
        <f>IFERROR(__xludf.DUMMYFUNCTION("""COMPUTED_VALUE"""),"Find All Anagrams in a String")</f>
        <v>Find All Anagrams in a String</v>
      </c>
      <c r="C439" s="20" t="str">
        <f>IFERROR(__xludf.DUMMYFUNCTION("""COMPUTED_VALUE"""),"find-all-anagrams-in-a-string")</f>
        <v>find-all-anagrams-in-a-string</v>
      </c>
      <c r="D439" s="20" t="b">
        <f>IFERROR(__xludf.DUMMYFUNCTION("""COMPUTED_VALUE"""),FALSE)</f>
        <v>0</v>
      </c>
      <c r="E439" s="20" t="str">
        <f>IFERROR(__xludf.DUMMYFUNCTION("""COMPUTED_VALUE"""),"Medium")</f>
        <v>Medium</v>
      </c>
      <c r="F439" s="20">
        <f>IFERROR(__xludf.DUMMYFUNCTION("""COMPUTED_VALUE"""),9334.0)</f>
        <v>9334</v>
      </c>
      <c r="G439" s="20">
        <f>IFERROR(__xludf.DUMMYFUNCTION("""COMPUTED_VALUE"""),289.0)</f>
        <v>289</v>
      </c>
      <c r="H439" s="20" t="str">
        <f>IFERROR(__xludf.DUMMYFUNCTION("""COMPUTED_VALUE"""),"Algorithms")</f>
        <v>Algorithms</v>
      </c>
      <c r="I439" s="20">
        <f>IFERROR(__xludf.DUMMYFUNCTION("""COMPUTED_VALUE"""),0.49)</f>
        <v>0.49</v>
      </c>
      <c r="J439" s="20">
        <f>IFERROR(__xludf.DUMMYFUNCTION("""COMPUTED_VALUE"""),438.0)</f>
        <v>438</v>
      </c>
      <c r="K439" s="20" t="b">
        <f>IFERROR(__xludf.DUMMYFUNCTION("""COMPUTED_VALUE"""),FALSE)</f>
        <v>0</v>
      </c>
      <c r="L439" s="20" t="str">
        <f>IFERROR(__xludf.DUMMYFUNCTION("""COMPUTED_VALUE"""),"Hash Table;String;Sliding Window;")</f>
        <v>Hash Table;String;Sliding Window;</v>
      </c>
      <c r="M439" s="20" t="b">
        <f>IFERROR(__xludf.DUMMYFUNCTION("""COMPUTED_VALUE"""),TRUE)</f>
        <v>1</v>
      </c>
      <c r="N439" s="20" t="b">
        <f>IFERROR(__xludf.DUMMYFUNCTION("""COMPUTED_VALUE"""),FALSE)</f>
        <v>0</v>
      </c>
      <c r="O439" s="20">
        <f>IFERROR(__xludf.DUMMYFUNCTION("""COMPUTED_VALUE"""),49.0259919014294)</f>
        <v>49.0259919</v>
      </c>
      <c r="P439" s="20">
        <f>IFERROR(__xludf.DUMMYFUNCTION("""COMPUTED_VALUE"""),650040.0)</f>
        <v>650040</v>
      </c>
      <c r="Q439" s="20">
        <f>IFERROR(__xludf.DUMMYFUNCTION("""COMPUTED_VALUE"""),1325901.0)</f>
        <v>1325901</v>
      </c>
    </row>
    <row r="440">
      <c r="A440" s="20">
        <f>IFERROR(__xludf.DUMMYFUNCTION("""COMPUTED_VALUE"""),439.0)</f>
        <v>439</v>
      </c>
      <c r="B440" s="20" t="str">
        <f>IFERROR(__xludf.DUMMYFUNCTION("""COMPUTED_VALUE"""),"Ternary Expression Parser")</f>
        <v>Ternary Expression Parser</v>
      </c>
      <c r="C440" s="20" t="str">
        <f>IFERROR(__xludf.DUMMYFUNCTION("""COMPUTED_VALUE"""),"ternary-expression-parser")</f>
        <v>ternary-expression-parser</v>
      </c>
      <c r="D440" s="20" t="b">
        <f>IFERROR(__xludf.DUMMYFUNCTION("""COMPUTED_VALUE"""),TRUE)</f>
        <v>1</v>
      </c>
      <c r="E440" s="20" t="str">
        <f>IFERROR(__xludf.DUMMYFUNCTION("""COMPUTED_VALUE"""),"Medium")</f>
        <v>Medium</v>
      </c>
      <c r="F440" s="20">
        <f>IFERROR(__xludf.DUMMYFUNCTION("""COMPUTED_VALUE"""),360.0)</f>
        <v>360</v>
      </c>
      <c r="G440" s="20">
        <f>IFERROR(__xludf.DUMMYFUNCTION("""COMPUTED_VALUE"""),45.0)</f>
        <v>45</v>
      </c>
      <c r="H440" s="20" t="str">
        <f>IFERROR(__xludf.DUMMYFUNCTION("""COMPUTED_VALUE"""),"Algorithms")</f>
        <v>Algorithms</v>
      </c>
      <c r="I440" s="20">
        <f>IFERROR(__xludf.DUMMYFUNCTION("""COMPUTED_VALUE"""),0.583)</f>
        <v>0.583</v>
      </c>
      <c r="J440" s="20">
        <f>IFERROR(__xludf.DUMMYFUNCTION("""COMPUTED_VALUE"""),439.0)</f>
        <v>439</v>
      </c>
      <c r="K440" s="20" t="b">
        <f>IFERROR(__xludf.DUMMYFUNCTION("""COMPUTED_VALUE"""),TRUE)</f>
        <v>1</v>
      </c>
      <c r="L440" s="20" t="str">
        <f>IFERROR(__xludf.DUMMYFUNCTION("""COMPUTED_VALUE"""),"String;Stack;Recursion;")</f>
        <v>String;Stack;Recursion;</v>
      </c>
      <c r="M440" s="20" t="b">
        <f>IFERROR(__xludf.DUMMYFUNCTION("""COMPUTED_VALUE"""),FALSE)</f>
        <v>0</v>
      </c>
      <c r="N440" s="20" t="b">
        <f>IFERROR(__xludf.DUMMYFUNCTION("""COMPUTED_VALUE"""),FALSE)</f>
        <v>0</v>
      </c>
      <c r="O440" s="20">
        <f>IFERROR(__xludf.DUMMYFUNCTION("""COMPUTED_VALUE"""),58.255879374367)</f>
        <v>58.25587937</v>
      </c>
      <c r="P440" s="20">
        <f>IFERROR(__xludf.DUMMYFUNCTION("""COMPUTED_VALUE"""),25886.0)</f>
        <v>25886</v>
      </c>
      <c r="Q440" s="20">
        <f>IFERROR(__xludf.DUMMYFUNCTION("""COMPUTED_VALUE"""),44435.0)</f>
        <v>44435</v>
      </c>
    </row>
    <row r="441">
      <c r="A441" s="20">
        <f>IFERROR(__xludf.DUMMYFUNCTION("""COMPUTED_VALUE"""),440.0)</f>
        <v>440</v>
      </c>
      <c r="B441" s="20" t="str">
        <f>IFERROR(__xludf.DUMMYFUNCTION("""COMPUTED_VALUE"""),"K-th Smallest in Lexicographical Order")</f>
        <v>K-th Smallest in Lexicographical Order</v>
      </c>
      <c r="C441" s="20" t="str">
        <f>IFERROR(__xludf.DUMMYFUNCTION("""COMPUTED_VALUE"""),"k-th-smallest-in-lexicographical-order")</f>
        <v>k-th-smallest-in-lexicographical-order</v>
      </c>
      <c r="D441" s="20" t="b">
        <f>IFERROR(__xludf.DUMMYFUNCTION("""COMPUTED_VALUE"""),FALSE)</f>
        <v>0</v>
      </c>
      <c r="E441" s="20" t="str">
        <f>IFERROR(__xludf.DUMMYFUNCTION("""COMPUTED_VALUE"""),"Hard")</f>
        <v>Hard</v>
      </c>
      <c r="F441" s="20">
        <f>IFERROR(__xludf.DUMMYFUNCTION("""COMPUTED_VALUE"""),648.0)</f>
        <v>648</v>
      </c>
      <c r="G441" s="20">
        <f>IFERROR(__xludf.DUMMYFUNCTION("""COMPUTED_VALUE"""),76.0)</f>
        <v>76</v>
      </c>
      <c r="H441" s="20" t="str">
        <f>IFERROR(__xludf.DUMMYFUNCTION("""COMPUTED_VALUE"""),"Algorithms")</f>
        <v>Algorithms</v>
      </c>
      <c r="I441" s="20">
        <f>IFERROR(__xludf.DUMMYFUNCTION("""COMPUTED_VALUE"""),0.308)</f>
        <v>0.308</v>
      </c>
      <c r="J441" s="20">
        <f>IFERROR(__xludf.DUMMYFUNCTION("""COMPUTED_VALUE"""),440.0)</f>
        <v>440</v>
      </c>
      <c r="K441" s="20" t="b">
        <f>IFERROR(__xludf.DUMMYFUNCTION("""COMPUTED_VALUE"""),FALSE)</f>
        <v>0</v>
      </c>
      <c r="L441" s="20" t="str">
        <f>IFERROR(__xludf.DUMMYFUNCTION("""COMPUTED_VALUE"""),"Trie;")</f>
        <v>Trie;</v>
      </c>
      <c r="M441" s="20" t="b">
        <f>IFERROR(__xludf.DUMMYFUNCTION("""COMPUTED_VALUE"""),FALSE)</f>
        <v>0</v>
      </c>
      <c r="N441" s="20" t="b">
        <f>IFERROR(__xludf.DUMMYFUNCTION("""COMPUTED_VALUE"""),FALSE)</f>
        <v>0</v>
      </c>
      <c r="O441" s="20">
        <f>IFERROR(__xludf.DUMMYFUNCTION("""COMPUTED_VALUE"""),30.7947612462376)</f>
        <v>30.79476125</v>
      </c>
      <c r="P441" s="20">
        <f>IFERROR(__xludf.DUMMYFUNCTION("""COMPUTED_VALUE"""),18928.0)</f>
        <v>18928</v>
      </c>
      <c r="Q441" s="20">
        <f>IFERROR(__xludf.DUMMYFUNCTION("""COMPUTED_VALUE"""),61465.0)</f>
        <v>61465</v>
      </c>
    </row>
    <row r="442">
      <c r="A442" s="20">
        <f>IFERROR(__xludf.DUMMYFUNCTION("""COMPUTED_VALUE"""),441.0)</f>
        <v>441</v>
      </c>
      <c r="B442" s="20" t="str">
        <f>IFERROR(__xludf.DUMMYFUNCTION("""COMPUTED_VALUE"""),"Arranging Coins")</f>
        <v>Arranging Coins</v>
      </c>
      <c r="C442" s="20" t="str">
        <f>IFERROR(__xludf.DUMMYFUNCTION("""COMPUTED_VALUE"""),"arranging-coins")</f>
        <v>arranging-coins</v>
      </c>
      <c r="D442" s="20" t="b">
        <f>IFERROR(__xludf.DUMMYFUNCTION("""COMPUTED_VALUE"""),FALSE)</f>
        <v>0</v>
      </c>
      <c r="E442" s="20" t="str">
        <f>IFERROR(__xludf.DUMMYFUNCTION("""COMPUTED_VALUE"""),"Easy")</f>
        <v>Easy</v>
      </c>
      <c r="F442" s="20">
        <f>IFERROR(__xludf.DUMMYFUNCTION("""COMPUTED_VALUE"""),2902.0)</f>
        <v>2902</v>
      </c>
      <c r="G442" s="20">
        <f>IFERROR(__xludf.DUMMYFUNCTION("""COMPUTED_VALUE"""),1155.0)</f>
        <v>1155</v>
      </c>
      <c r="H442" s="20" t="str">
        <f>IFERROR(__xludf.DUMMYFUNCTION("""COMPUTED_VALUE"""),"Algorithms")</f>
        <v>Algorithms</v>
      </c>
      <c r="I442" s="20">
        <f>IFERROR(__xludf.DUMMYFUNCTION("""COMPUTED_VALUE"""),0.462)</f>
        <v>0.462</v>
      </c>
      <c r="J442" s="20">
        <f>IFERROR(__xludf.DUMMYFUNCTION("""COMPUTED_VALUE"""),441.0)</f>
        <v>441</v>
      </c>
      <c r="K442" s="20" t="b">
        <f>IFERROR(__xludf.DUMMYFUNCTION("""COMPUTED_VALUE"""),FALSE)</f>
        <v>0</v>
      </c>
      <c r="L442" s="20" t="str">
        <f>IFERROR(__xludf.DUMMYFUNCTION("""COMPUTED_VALUE"""),"Math;Binary Search;")</f>
        <v>Math;Binary Search;</v>
      </c>
      <c r="M442" s="20" t="b">
        <f>IFERROR(__xludf.DUMMYFUNCTION("""COMPUTED_VALUE"""),TRUE)</f>
        <v>1</v>
      </c>
      <c r="N442" s="20" t="b">
        <f>IFERROR(__xludf.DUMMYFUNCTION("""COMPUTED_VALUE"""),FALSE)</f>
        <v>0</v>
      </c>
      <c r="O442" s="20">
        <f>IFERROR(__xludf.DUMMYFUNCTION("""COMPUTED_VALUE"""),46.1820284842376)</f>
        <v>46.18202848</v>
      </c>
      <c r="P442" s="20">
        <f>IFERROR(__xludf.DUMMYFUNCTION("""COMPUTED_VALUE"""),328992.0)</f>
        <v>328992</v>
      </c>
      <c r="Q442" s="20">
        <f>IFERROR(__xludf.DUMMYFUNCTION("""COMPUTED_VALUE"""),712385.0)</f>
        <v>712385</v>
      </c>
    </row>
    <row r="443">
      <c r="A443" s="20">
        <f>IFERROR(__xludf.DUMMYFUNCTION("""COMPUTED_VALUE"""),442.0)</f>
        <v>442</v>
      </c>
      <c r="B443" s="20" t="str">
        <f>IFERROR(__xludf.DUMMYFUNCTION("""COMPUTED_VALUE"""),"Find All Duplicates in an Array")</f>
        <v>Find All Duplicates in an Array</v>
      </c>
      <c r="C443" s="20" t="str">
        <f>IFERROR(__xludf.DUMMYFUNCTION("""COMPUTED_VALUE"""),"find-all-duplicates-in-an-array")</f>
        <v>find-all-duplicates-in-an-array</v>
      </c>
      <c r="D443" s="20" t="b">
        <f>IFERROR(__xludf.DUMMYFUNCTION("""COMPUTED_VALUE"""),FALSE)</f>
        <v>0</v>
      </c>
      <c r="E443" s="20" t="str">
        <f>IFERROR(__xludf.DUMMYFUNCTION("""COMPUTED_VALUE"""),"Medium")</f>
        <v>Medium</v>
      </c>
      <c r="F443" s="20">
        <f>IFERROR(__xludf.DUMMYFUNCTION("""COMPUTED_VALUE"""),7792.0)</f>
        <v>7792</v>
      </c>
      <c r="G443" s="20">
        <f>IFERROR(__xludf.DUMMYFUNCTION("""COMPUTED_VALUE"""),296.0)</f>
        <v>296</v>
      </c>
      <c r="H443" s="20" t="str">
        <f>IFERROR(__xludf.DUMMYFUNCTION("""COMPUTED_VALUE"""),"Algorithms")</f>
        <v>Algorithms</v>
      </c>
      <c r="I443" s="20">
        <f>IFERROR(__xludf.DUMMYFUNCTION("""COMPUTED_VALUE"""),0.734)</f>
        <v>0.734</v>
      </c>
      <c r="J443" s="20">
        <f>IFERROR(__xludf.DUMMYFUNCTION("""COMPUTED_VALUE"""),442.0)</f>
        <v>442</v>
      </c>
      <c r="K443" s="20" t="b">
        <f>IFERROR(__xludf.DUMMYFUNCTION("""COMPUTED_VALUE"""),FALSE)</f>
        <v>0</v>
      </c>
      <c r="L443" s="20" t="str">
        <f>IFERROR(__xludf.DUMMYFUNCTION("""COMPUTED_VALUE"""),"Array;Hash Table;")</f>
        <v>Array;Hash Table;</v>
      </c>
      <c r="M443" s="20" t="b">
        <f>IFERROR(__xludf.DUMMYFUNCTION("""COMPUTED_VALUE"""),TRUE)</f>
        <v>1</v>
      </c>
      <c r="N443" s="20" t="b">
        <f>IFERROR(__xludf.DUMMYFUNCTION("""COMPUTED_VALUE"""),FALSE)</f>
        <v>0</v>
      </c>
      <c r="O443" s="20">
        <f>IFERROR(__xludf.DUMMYFUNCTION("""COMPUTED_VALUE"""),73.4280903176425)</f>
        <v>73.42809032</v>
      </c>
      <c r="P443" s="20">
        <f>IFERROR(__xludf.DUMMYFUNCTION("""COMPUTED_VALUE"""),479658.0)</f>
        <v>479658</v>
      </c>
      <c r="Q443" s="20">
        <f>IFERROR(__xludf.DUMMYFUNCTION("""COMPUTED_VALUE"""),653236.0)</f>
        <v>653236</v>
      </c>
    </row>
    <row r="444">
      <c r="A444" s="20">
        <f>IFERROR(__xludf.DUMMYFUNCTION("""COMPUTED_VALUE"""),443.0)</f>
        <v>443</v>
      </c>
      <c r="B444" s="20" t="str">
        <f>IFERROR(__xludf.DUMMYFUNCTION("""COMPUTED_VALUE"""),"String Compression")</f>
        <v>String Compression</v>
      </c>
      <c r="C444" s="20" t="str">
        <f>IFERROR(__xludf.DUMMYFUNCTION("""COMPUTED_VALUE"""),"string-compression")</f>
        <v>string-compression</v>
      </c>
      <c r="D444" s="20" t="b">
        <f>IFERROR(__xludf.DUMMYFUNCTION("""COMPUTED_VALUE"""),FALSE)</f>
        <v>0</v>
      </c>
      <c r="E444" s="20" t="str">
        <f>IFERROR(__xludf.DUMMYFUNCTION("""COMPUTED_VALUE"""),"Medium")</f>
        <v>Medium</v>
      </c>
      <c r="F444" s="20">
        <f>IFERROR(__xludf.DUMMYFUNCTION("""COMPUTED_VALUE"""),2684.0)</f>
        <v>2684</v>
      </c>
      <c r="G444" s="20">
        <f>IFERROR(__xludf.DUMMYFUNCTION("""COMPUTED_VALUE"""),4756.0)</f>
        <v>4756</v>
      </c>
      <c r="H444" s="20" t="str">
        <f>IFERROR(__xludf.DUMMYFUNCTION("""COMPUTED_VALUE"""),"Algorithms")</f>
        <v>Algorithms</v>
      </c>
      <c r="I444" s="20">
        <f>IFERROR(__xludf.DUMMYFUNCTION("""COMPUTED_VALUE"""),0.49)</f>
        <v>0.49</v>
      </c>
      <c r="J444" s="20">
        <f>IFERROR(__xludf.DUMMYFUNCTION("""COMPUTED_VALUE"""),443.0)</f>
        <v>443</v>
      </c>
      <c r="K444" s="20" t="b">
        <f>IFERROR(__xludf.DUMMYFUNCTION("""COMPUTED_VALUE"""),FALSE)</f>
        <v>0</v>
      </c>
      <c r="L444" s="20" t="str">
        <f>IFERROR(__xludf.DUMMYFUNCTION("""COMPUTED_VALUE"""),"Two Pointers;String;")</f>
        <v>Two Pointers;String;</v>
      </c>
      <c r="M444" s="20" t="b">
        <f>IFERROR(__xludf.DUMMYFUNCTION("""COMPUTED_VALUE"""),FALSE)</f>
        <v>0</v>
      </c>
      <c r="N444" s="20" t="b">
        <f>IFERROR(__xludf.DUMMYFUNCTION("""COMPUTED_VALUE"""),FALSE)</f>
        <v>0</v>
      </c>
      <c r="O444" s="20">
        <f>IFERROR(__xludf.DUMMYFUNCTION("""COMPUTED_VALUE"""),48.9974576877096)</f>
        <v>48.99745769</v>
      </c>
      <c r="P444" s="20">
        <f>IFERROR(__xludf.DUMMYFUNCTION("""COMPUTED_VALUE"""),294680.0)</f>
        <v>294680</v>
      </c>
      <c r="Q444" s="20">
        <f>IFERROR(__xludf.DUMMYFUNCTION("""COMPUTED_VALUE"""),601420.0)</f>
        <v>601420</v>
      </c>
    </row>
    <row r="445">
      <c r="A445" s="20">
        <f>IFERROR(__xludf.DUMMYFUNCTION("""COMPUTED_VALUE"""),444.0)</f>
        <v>444</v>
      </c>
      <c r="B445" s="20" t="str">
        <f>IFERROR(__xludf.DUMMYFUNCTION("""COMPUTED_VALUE"""),"Sequence Reconstruction")</f>
        <v>Sequence Reconstruction</v>
      </c>
      <c r="C445" s="20" t="str">
        <f>IFERROR(__xludf.DUMMYFUNCTION("""COMPUTED_VALUE"""),"sequence-reconstruction")</f>
        <v>sequence-reconstruction</v>
      </c>
      <c r="D445" s="20" t="b">
        <f>IFERROR(__xludf.DUMMYFUNCTION("""COMPUTED_VALUE"""),TRUE)</f>
        <v>1</v>
      </c>
      <c r="E445" s="20" t="str">
        <f>IFERROR(__xludf.DUMMYFUNCTION("""COMPUTED_VALUE"""),"Medium")</f>
        <v>Medium</v>
      </c>
      <c r="F445" s="20">
        <f>IFERROR(__xludf.DUMMYFUNCTION("""COMPUTED_VALUE"""),506.0)</f>
        <v>506</v>
      </c>
      <c r="G445" s="20">
        <f>IFERROR(__xludf.DUMMYFUNCTION("""COMPUTED_VALUE"""),1448.0)</f>
        <v>1448</v>
      </c>
      <c r="H445" s="20" t="str">
        <f>IFERROR(__xludf.DUMMYFUNCTION("""COMPUTED_VALUE"""),"Algorithms")</f>
        <v>Algorithms</v>
      </c>
      <c r="I445" s="20">
        <f>IFERROR(__xludf.DUMMYFUNCTION("""COMPUTED_VALUE"""),0.265)</f>
        <v>0.265</v>
      </c>
      <c r="J445" s="20">
        <f>IFERROR(__xludf.DUMMYFUNCTION("""COMPUTED_VALUE"""),444.0)</f>
        <v>444</v>
      </c>
      <c r="K445" s="20" t="b">
        <f>IFERROR(__xludf.DUMMYFUNCTION("""COMPUTED_VALUE"""),TRUE)</f>
        <v>1</v>
      </c>
      <c r="L445" s="20" t="str">
        <f>IFERROR(__xludf.DUMMYFUNCTION("""COMPUTED_VALUE"""),"Array;Graph;Topological Sort;")</f>
        <v>Array;Graph;Topological Sort;</v>
      </c>
      <c r="M445" s="20" t="b">
        <f>IFERROR(__xludf.DUMMYFUNCTION("""COMPUTED_VALUE"""),FALSE)</f>
        <v>0</v>
      </c>
      <c r="N445" s="20" t="b">
        <f>IFERROR(__xludf.DUMMYFUNCTION("""COMPUTED_VALUE"""),FALSE)</f>
        <v>0</v>
      </c>
      <c r="O445" s="20">
        <f>IFERROR(__xludf.DUMMYFUNCTION("""COMPUTED_VALUE"""),26.487799611315)</f>
        <v>26.48779961</v>
      </c>
      <c r="P445" s="20">
        <f>IFERROR(__xludf.DUMMYFUNCTION("""COMPUTED_VALUE"""),49066.0)</f>
        <v>49066</v>
      </c>
      <c r="Q445" s="20">
        <f>IFERROR(__xludf.DUMMYFUNCTION("""COMPUTED_VALUE"""),185240.0)</f>
        <v>185240</v>
      </c>
    </row>
    <row r="446">
      <c r="A446" s="20">
        <f>IFERROR(__xludf.DUMMYFUNCTION("""COMPUTED_VALUE"""),445.0)</f>
        <v>445</v>
      </c>
      <c r="B446" s="20" t="str">
        <f>IFERROR(__xludf.DUMMYFUNCTION("""COMPUTED_VALUE"""),"Add Two Numbers II")</f>
        <v>Add Two Numbers II</v>
      </c>
      <c r="C446" s="20" t="str">
        <f>IFERROR(__xludf.DUMMYFUNCTION("""COMPUTED_VALUE"""),"add-two-numbers-ii")</f>
        <v>add-two-numbers-ii</v>
      </c>
      <c r="D446" s="20" t="b">
        <f>IFERROR(__xludf.DUMMYFUNCTION("""COMPUTED_VALUE"""),FALSE)</f>
        <v>0</v>
      </c>
      <c r="E446" s="20" t="str">
        <f>IFERROR(__xludf.DUMMYFUNCTION("""COMPUTED_VALUE"""),"Medium")</f>
        <v>Medium</v>
      </c>
      <c r="F446" s="20">
        <f>IFERROR(__xludf.DUMMYFUNCTION("""COMPUTED_VALUE"""),4171.0)</f>
        <v>4171</v>
      </c>
      <c r="G446" s="20">
        <f>IFERROR(__xludf.DUMMYFUNCTION("""COMPUTED_VALUE"""),243.0)</f>
        <v>243</v>
      </c>
      <c r="H446" s="20" t="str">
        <f>IFERROR(__xludf.DUMMYFUNCTION("""COMPUTED_VALUE"""),"Algorithms")</f>
        <v>Algorithms</v>
      </c>
      <c r="I446" s="20">
        <f>IFERROR(__xludf.DUMMYFUNCTION("""COMPUTED_VALUE"""),0.596)</f>
        <v>0.596</v>
      </c>
      <c r="J446" s="20">
        <f>IFERROR(__xludf.DUMMYFUNCTION("""COMPUTED_VALUE"""),445.0)</f>
        <v>445</v>
      </c>
      <c r="K446" s="20" t="b">
        <f>IFERROR(__xludf.DUMMYFUNCTION("""COMPUTED_VALUE"""),FALSE)</f>
        <v>0</v>
      </c>
      <c r="L446" s="20" t="str">
        <f>IFERROR(__xludf.DUMMYFUNCTION("""COMPUTED_VALUE"""),"Linked List;Math;Stack;")</f>
        <v>Linked List;Math;Stack;</v>
      </c>
      <c r="M446" s="20" t="b">
        <f>IFERROR(__xludf.DUMMYFUNCTION("""COMPUTED_VALUE"""),TRUE)</f>
        <v>1</v>
      </c>
      <c r="N446" s="20" t="b">
        <f>IFERROR(__xludf.DUMMYFUNCTION("""COMPUTED_VALUE"""),FALSE)</f>
        <v>0</v>
      </c>
      <c r="O446" s="20">
        <f>IFERROR(__xludf.DUMMYFUNCTION("""COMPUTED_VALUE"""),59.5644540482139)</f>
        <v>59.56445405</v>
      </c>
      <c r="P446" s="20">
        <f>IFERROR(__xludf.DUMMYFUNCTION("""COMPUTED_VALUE"""),352834.0)</f>
        <v>352834</v>
      </c>
      <c r="Q446" s="20">
        <f>IFERROR(__xludf.DUMMYFUNCTION("""COMPUTED_VALUE"""),592358.0)</f>
        <v>592358</v>
      </c>
    </row>
    <row r="447">
      <c r="A447" s="20">
        <f>IFERROR(__xludf.DUMMYFUNCTION("""COMPUTED_VALUE"""),446.0)</f>
        <v>446</v>
      </c>
      <c r="B447" s="20" t="str">
        <f>IFERROR(__xludf.DUMMYFUNCTION("""COMPUTED_VALUE"""),"Arithmetic Slices II - Subsequence")</f>
        <v>Arithmetic Slices II - Subsequence</v>
      </c>
      <c r="C447" s="20" t="str">
        <f>IFERROR(__xludf.DUMMYFUNCTION("""COMPUTED_VALUE"""),"arithmetic-slices-ii-subsequence")</f>
        <v>arithmetic-slices-ii-subsequence</v>
      </c>
      <c r="D447" s="20" t="b">
        <f>IFERROR(__xludf.DUMMYFUNCTION("""COMPUTED_VALUE"""),FALSE)</f>
        <v>0</v>
      </c>
      <c r="E447" s="20" t="str">
        <f>IFERROR(__xludf.DUMMYFUNCTION("""COMPUTED_VALUE"""),"Hard")</f>
        <v>Hard</v>
      </c>
      <c r="F447" s="20">
        <f>IFERROR(__xludf.DUMMYFUNCTION("""COMPUTED_VALUE"""),2180.0)</f>
        <v>2180</v>
      </c>
      <c r="G447" s="20">
        <f>IFERROR(__xludf.DUMMYFUNCTION("""COMPUTED_VALUE"""),113.0)</f>
        <v>113</v>
      </c>
      <c r="H447" s="20" t="str">
        <f>IFERROR(__xludf.DUMMYFUNCTION("""COMPUTED_VALUE"""),"Algorithms")</f>
        <v>Algorithms</v>
      </c>
      <c r="I447" s="20">
        <f>IFERROR(__xludf.DUMMYFUNCTION("""COMPUTED_VALUE"""),0.466)</f>
        <v>0.466</v>
      </c>
      <c r="J447" s="20">
        <f>IFERROR(__xludf.DUMMYFUNCTION("""COMPUTED_VALUE"""),446.0)</f>
        <v>446</v>
      </c>
      <c r="K447" s="20" t="b">
        <f>IFERROR(__xludf.DUMMYFUNCTION("""COMPUTED_VALUE"""),FALSE)</f>
        <v>0</v>
      </c>
      <c r="L447" s="20" t="str">
        <f>IFERROR(__xludf.DUMMYFUNCTION("""COMPUTED_VALUE"""),"Array;Dynamic Programming;")</f>
        <v>Array;Dynamic Programming;</v>
      </c>
      <c r="M447" s="20" t="b">
        <f>IFERROR(__xludf.DUMMYFUNCTION("""COMPUTED_VALUE"""),TRUE)</f>
        <v>1</v>
      </c>
      <c r="N447" s="20" t="b">
        <f>IFERROR(__xludf.DUMMYFUNCTION("""COMPUTED_VALUE"""),FALSE)</f>
        <v>0</v>
      </c>
      <c r="O447" s="20">
        <f>IFERROR(__xludf.DUMMYFUNCTION("""COMPUTED_VALUE"""),46.635618767875)</f>
        <v>46.63561877</v>
      </c>
      <c r="P447" s="20">
        <f>IFERROR(__xludf.DUMMYFUNCTION("""COMPUTED_VALUE"""),72399.0)</f>
        <v>72399</v>
      </c>
      <c r="Q447" s="20">
        <f>IFERROR(__xludf.DUMMYFUNCTION("""COMPUTED_VALUE"""),155244.0)</f>
        <v>155244</v>
      </c>
    </row>
    <row r="448">
      <c r="A448" s="20">
        <f>IFERROR(__xludf.DUMMYFUNCTION("""COMPUTED_VALUE"""),447.0)</f>
        <v>447</v>
      </c>
      <c r="B448" s="20" t="str">
        <f>IFERROR(__xludf.DUMMYFUNCTION("""COMPUTED_VALUE"""),"Number of Boomerangs")</f>
        <v>Number of Boomerangs</v>
      </c>
      <c r="C448" s="20" t="str">
        <f>IFERROR(__xludf.DUMMYFUNCTION("""COMPUTED_VALUE"""),"number-of-boomerangs")</f>
        <v>number-of-boomerangs</v>
      </c>
      <c r="D448" s="20" t="b">
        <f>IFERROR(__xludf.DUMMYFUNCTION("""COMPUTED_VALUE"""),FALSE)</f>
        <v>0</v>
      </c>
      <c r="E448" s="20" t="str">
        <f>IFERROR(__xludf.DUMMYFUNCTION("""COMPUTED_VALUE"""),"Medium")</f>
        <v>Medium</v>
      </c>
      <c r="F448" s="20">
        <f>IFERROR(__xludf.DUMMYFUNCTION("""COMPUTED_VALUE"""),688.0)</f>
        <v>688</v>
      </c>
      <c r="G448" s="20">
        <f>IFERROR(__xludf.DUMMYFUNCTION("""COMPUTED_VALUE"""),932.0)</f>
        <v>932</v>
      </c>
      <c r="H448" s="20" t="str">
        <f>IFERROR(__xludf.DUMMYFUNCTION("""COMPUTED_VALUE"""),"Algorithms")</f>
        <v>Algorithms</v>
      </c>
      <c r="I448" s="20">
        <f>IFERROR(__xludf.DUMMYFUNCTION("""COMPUTED_VALUE"""),0.547)</f>
        <v>0.547</v>
      </c>
      <c r="J448" s="20">
        <f>IFERROR(__xludf.DUMMYFUNCTION("""COMPUTED_VALUE"""),447.0)</f>
        <v>447</v>
      </c>
      <c r="K448" s="20" t="b">
        <f>IFERROR(__xludf.DUMMYFUNCTION("""COMPUTED_VALUE"""),FALSE)</f>
        <v>0</v>
      </c>
      <c r="L448" s="20" t="str">
        <f>IFERROR(__xludf.DUMMYFUNCTION("""COMPUTED_VALUE"""),"Array;Hash Table;Math;")</f>
        <v>Array;Hash Table;Math;</v>
      </c>
      <c r="M448" s="20" t="b">
        <f>IFERROR(__xludf.DUMMYFUNCTION("""COMPUTED_VALUE"""),FALSE)</f>
        <v>0</v>
      </c>
      <c r="N448" s="20" t="b">
        <f>IFERROR(__xludf.DUMMYFUNCTION("""COMPUTED_VALUE"""),FALSE)</f>
        <v>0</v>
      </c>
      <c r="O448" s="20">
        <f>IFERROR(__xludf.DUMMYFUNCTION("""COMPUTED_VALUE"""),54.6863813418437)</f>
        <v>54.68638134</v>
      </c>
      <c r="P448" s="20">
        <f>IFERROR(__xludf.DUMMYFUNCTION("""COMPUTED_VALUE"""),90133.0)</f>
        <v>90133</v>
      </c>
      <c r="Q448" s="20">
        <f>IFERROR(__xludf.DUMMYFUNCTION("""COMPUTED_VALUE"""),164818.0)</f>
        <v>164818</v>
      </c>
    </row>
    <row r="449">
      <c r="A449" s="20">
        <f>IFERROR(__xludf.DUMMYFUNCTION("""COMPUTED_VALUE"""),448.0)</f>
        <v>448</v>
      </c>
      <c r="B449" s="20" t="str">
        <f>IFERROR(__xludf.DUMMYFUNCTION("""COMPUTED_VALUE"""),"Find All Numbers Disappeared in an Array")</f>
        <v>Find All Numbers Disappeared in an Array</v>
      </c>
      <c r="C449" s="20" t="str">
        <f>IFERROR(__xludf.DUMMYFUNCTION("""COMPUTED_VALUE"""),"find-all-numbers-disappeared-in-an-array")</f>
        <v>find-all-numbers-disappeared-in-an-array</v>
      </c>
      <c r="D449" s="20" t="b">
        <f>IFERROR(__xludf.DUMMYFUNCTION("""COMPUTED_VALUE"""),FALSE)</f>
        <v>0</v>
      </c>
      <c r="E449" s="20" t="str">
        <f>IFERROR(__xludf.DUMMYFUNCTION("""COMPUTED_VALUE"""),"Easy")</f>
        <v>Easy</v>
      </c>
      <c r="F449" s="20">
        <f>IFERROR(__xludf.DUMMYFUNCTION("""COMPUTED_VALUE"""),7799.0)</f>
        <v>7799</v>
      </c>
      <c r="G449" s="20">
        <f>IFERROR(__xludf.DUMMYFUNCTION("""COMPUTED_VALUE"""),418.0)</f>
        <v>418</v>
      </c>
      <c r="H449" s="20" t="str">
        <f>IFERROR(__xludf.DUMMYFUNCTION("""COMPUTED_VALUE"""),"Algorithms")</f>
        <v>Algorithms</v>
      </c>
      <c r="I449" s="20">
        <f>IFERROR(__xludf.DUMMYFUNCTION("""COMPUTED_VALUE"""),0.598)</f>
        <v>0.598</v>
      </c>
      <c r="J449" s="20">
        <f>IFERROR(__xludf.DUMMYFUNCTION("""COMPUTED_VALUE"""),448.0)</f>
        <v>448</v>
      </c>
      <c r="K449" s="20" t="b">
        <f>IFERROR(__xludf.DUMMYFUNCTION("""COMPUTED_VALUE"""),FALSE)</f>
        <v>0</v>
      </c>
      <c r="L449" s="20" t="str">
        <f>IFERROR(__xludf.DUMMYFUNCTION("""COMPUTED_VALUE"""),"Array;Hash Table;")</f>
        <v>Array;Hash Table;</v>
      </c>
      <c r="M449" s="20" t="b">
        <f>IFERROR(__xludf.DUMMYFUNCTION("""COMPUTED_VALUE"""),TRUE)</f>
        <v>1</v>
      </c>
      <c r="N449" s="20" t="b">
        <f>IFERROR(__xludf.DUMMYFUNCTION("""COMPUTED_VALUE"""),FALSE)</f>
        <v>0</v>
      </c>
      <c r="O449" s="20">
        <f>IFERROR(__xludf.DUMMYFUNCTION("""COMPUTED_VALUE"""),59.7614856250836)</f>
        <v>59.76148563</v>
      </c>
      <c r="P449" s="20">
        <f>IFERROR(__xludf.DUMMYFUNCTION("""COMPUTED_VALUE"""),674544.0)</f>
        <v>674544</v>
      </c>
      <c r="Q449" s="20">
        <f>IFERROR(__xludf.DUMMYFUNCTION("""COMPUTED_VALUE"""),1128718.0)</f>
        <v>1128718</v>
      </c>
    </row>
    <row r="450">
      <c r="A450" s="20">
        <f>IFERROR(__xludf.DUMMYFUNCTION("""COMPUTED_VALUE"""),449.0)</f>
        <v>449</v>
      </c>
      <c r="B450" s="20" t="str">
        <f>IFERROR(__xludf.DUMMYFUNCTION("""COMPUTED_VALUE"""),"Serialize and Deserialize BST")</f>
        <v>Serialize and Deserialize BST</v>
      </c>
      <c r="C450" s="20" t="str">
        <f>IFERROR(__xludf.DUMMYFUNCTION("""COMPUTED_VALUE"""),"serialize-and-deserialize-bst")</f>
        <v>serialize-and-deserialize-bst</v>
      </c>
      <c r="D450" s="20" t="b">
        <f>IFERROR(__xludf.DUMMYFUNCTION("""COMPUTED_VALUE"""),FALSE)</f>
        <v>0</v>
      </c>
      <c r="E450" s="20" t="str">
        <f>IFERROR(__xludf.DUMMYFUNCTION("""COMPUTED_VALUE"""),"Medium")</f>
        <v>Medium</v>
      </c>
      <c r="F450" s="20">
        <f>IFERROR(__xludf.DUMMYFUNCTION("""COMPUTED_VALUE"""),3075.0)</f>
        <v>3075</v>
      </c>
      <c r="G450" s="20">
        <f>IFERROR(__xludf.DUMMYFUNCTION("""COMPUTED_VALUE"""),150.0)</f>
        <v>150</v>
      </c>
      <c r="H450" s="20" t="str">
        <f>IFERROR(__xludf.DUMMYFUNCTION("""COMPUTED_VALUE"""),"Algorithms")</f>
        <v>Algorithms</v>
      </c>
      <c r="I450" s="20">
        <f>IFERROR(__xludf.DUMMYFUNCTION("""COMPUTED_VALUE"""),0.568)</f>
        <v>0.568</v>
      </c>
      <c r="J450" s="20">
        <f>IFERROR(__xludf.DUMMYFUNCTION("""COMPUTED_VALUE"""),449.0)</f>
        <v>449</v>
      </c>
      <c r="K450" s="20" t="b">
        <f>IFERROR(__xludf.DUMMYFUNCTION("""COMPUTED_VALUE"""),FALSE)</f>
        <v>0</v>
      </c>
      <c r="L450" s="20" t="str">
        <f>IFERROR(__xludf.DUMMYFUNCTION("""COMPUTED_VALUE"""),"String;Tree;Depth-First Search;Breadth-First Search;Design;Binary Search Tree;Binary Tree;")</f>
        <v>String;Tree;Depth-First Search;Breadth-First Search;Design;Binary Search Tree;Binary Tree;</v>
      </c>
      <c r="M450" s="20" t="b">
        <f>IFERROR(__xludf.DUMMYFUNCTION("""COMPUTED_VALUE"""),TRUE)</f>
        <v>1</v>
      </c>
      <c r="N450" s="20" t="b">
        <f>IFERROR(__xludf.DUMMYFUNCTION("""COMPUTED_VALUE"""),FALSE)</f>
        <v>0</v>
      </c>
      <c r="O450" s="20">
        <f>IFERROR(__xludf.DUMMYFUNCTION("""COMPUTED_VALUE"""),56.8365516853119)</f>
        <v>56.83655169</v>
      </c>
      <c r="P450" s="20">
        <f>IFERROR(__xludf.DUMMYFUNCTION("""COMPUTED_VALUE"""),212010.0)</f>
        <v>212010</v>
      </c>
      <c r="Q450" s="20">
        <f>IFERROR(__xludf.DUMMYFUNCTION("""COMPUTED_VALUE"""),373017.0)</f>
        <v>373017</v>
      </c>
    </row>
    <row r="451">
      <c r="A451" s="20">
        <f>IFERROR(__xludf.DUMMYFUNCTION("""COMPUTED_VALUE"""),450.0)</f>
        <v>450</v>
      </c>
      <c r="B451" s="20" t="str">
        <f>IFERROR(__xludf.DUMMYFUNCTION("""COMPUTED_VALUE"""),"Delete Node in a BST")</f>
        <v>Delete Node in a BST</v>
      </c>
      <c r="C451" s="20" t="str">
        <f>IFERROR(__xludf.DUMMYFUNCTION("""COMPUTED_VALUE"""),"delete-node-in-a-bst")</f>
        <v>delete-node-in-a-bst</v>
      </c>
      <c r="D451" s="20" t="b">
        <f>IFERROR(__xludf.DUMMYFUNCTION("""COMPUTED_VALUE"""),FALSE)</f>
        <v>0</v>
      </c>
      <c r="E451" s="20" t="str">
        <f>IFERROR(__xludf.DUMMYFUNCTION("""COMPUTED_VALUE"""),"Medium")</f>
        <v>Medium</v>
      </c>
      <c r="F451" s="20">
        <f>IFERROR(__xludf.DUMMYFUNCTION("""COMPUTED_VALUE"""),6727.0)</f>
        <v>6727</v>
      </c>
      <c r="G451" s="20">
        <f>IFERROR(__xludf.DUMMYFUNCTION("""COMPUTED_VALUE"""),172.0)</f>
        <v>172</v>
      </c>
      <c r="H451" s="20" t="str">
        <f>IFERROR(__xludf.DUMMYFUNCTION("""COMPUTED_VALUE"""),"Algorithms")</f>
        <v>Algorithms</v>
      </c>
      <c r="I451" s="20">
        <f>IFERROR(__xludf.DUMMYFUNCTION("""COMPUTED_VALUE"""),0.5)</f>
        <v>0.5</v>
      </c>
      <c r="J451" s="20">
        <f>IFERROR(__xludf.DUMMYFUNCTION("""COMPUTED_VALUE"""),450.0)</f>
        <v>450</v>
      </c>
      <c r="K451" s="20" t="b">
        <f>IFERROR(__xludf.DUMMYFUNCTION("""COMPUTED_VALUE"""),FALSE)</f>
        <v>0</v>
      </c>
      <c r="L451" s="20" t="str">
        <f>IFERROR(__xludf.DUMMYFUNCTION("""COMPUTED_VALUE"""),"Tree;Binary Search Tree;Binary Tree;")</f>
        <v>Tree;Binary Search Tree;Binary Tree;</v>
      </c>
      <c r="M451" s="20" t="b">
        <f>IFERROR(__xludf.DUMMYFUNCTION("""COMPUTED_VALUE"""),TRUE)</f>
        <v>1</v>
      </c>
      <c r="N451" s="20" t="b">
        <f>IFERROR(__xludf.DUMMYFUNCTION("""COMPUTED_VALUE"""),FALSE)</f>
        <v>0</v>
      </c>
      <c r="O451" s="20">
        <f>IFERROR(__xludf.DUMMYFUNCTION("""COMPUTED_VALUE"""),50.0482241713454)</f>
        <v>50.04822417</v>
      </c>
      <c r="P451" s="20">
        <f>IFERROR(__xludf.DUMMYFUNCTION("""COMPUTED_VALUE"""),331065.0)</f>
        <v>331065</v>
      </c>
      <c r="Q451" s="20">
        <f>IFERROR(__xludf.DUMMYFUNCTION("""COMPUTED_VALUE"""),661491.0)</f>
        <v>661491</v>
      </c>
    </row>
    <row r="452">
      <c r="A452" s="20">
        <f>IFERROR(__xludf.DUMMYFUNCTION("""COMPUTED_VALUE"""),451.0)</f>
        <v>451</v>
      </c>
      <c r="B452" s="20" t="str">
        <f>IFERROR(__xludf.DUMMYFUNCTION("""COMPUTED_VALUE"""),"Sort Characters By Frequency")</f>
        <v>Sort Characters By Frequency</v>
      </c>
      <c r="C452" s="20" t="str">
        <f>IFERROR(__xludf.DUMMYFUNCTION("""COMPUTED_VALUE"""),"sort-characters-by-frequency")</f>
        <v>sort-characters-by-frequency</v>
      </c>
      <c r="D452" s="20" t="b">
        <f>IFERROR(__xludf.DUMMYFUNCTION("""COMPUTED_VALUE"""),FALSE)</f>
        <v>0</v>
      </c>
      <c r="E452" s="20" t="str">
        <f>IFERROR(__xludf.DUMMYFUNCTION("""COMPUTED_VALUE"""),"Medium")</f>
        <v>Medium</v>
      </c>
      <c r="F452" s="20">
        <f>IFERROR(__xludf.DUMMYFUNCTION("""COMPUTED_VALUE"""),6149.0)</f>
        <v>6149</v>
      </c>
      <c r="G452" s="20">
        <f>IFERROR(__xludf.DUMMYFUNCTION("""COMPUTED_VALUE"""),222.0)</f>
        <v>222</v>
      </c>
      <c r="H452" s="20" t="str">
        <f>IFERROR(__xludf.DUMMYFUNCTION("""COMPUTED_VALUE"""),"Algorithms")</f>
        <v>Algorithms</v>
      </c>
      <c r="I452" s="20">
        <f>IFERROR(__xludf.DUMMYFUNCTION("""COMPUTED_VALUE"""),0.699)</f>
        <v>0.699</v>
      </c>
      <c r="J452" s="20">
        <f>IFERROR(__xludf.DUMMYFUNCTION("""COMPUTED_VALUE"""),451.0)</f>
        <v>451</v>
      </c>
      <c r="K452" s="20" t="b">
        <f>IFERROR(__xludf.DUMMYFUNCTION("""COMPUTED_VALUE"""),FALSE)</f>
        <v>0</v>
      </c>
      <c r="L452" s="20" t="str">
        <f>IFERROR(__xludf.DUMMYFUNCTION("""COMPUTED_VALUE"""),"Hash Table;String;Sorting;Heap (Priority Queue);Bucket Sort;Counting;")</f>
        <v>Hash Table;String;Sorting;Heap (Priority Queue);Bucket Sort;Counting;</v>
      </c>
      <c r="M452" s="20" t="b">
        <f>IFERROR(__xludf.DUMMYFUNCTION("""COMPUTED_VALUE"""),TRUE)</f>
        <v>1</v>
      </c>
      <c r="N452" s="20" t="b">
        <f>IFERROR(__xludf.DUMMYFUNCTION("""COMPUTED_VALUE"""),FALSE)</f>
        <v>0</v>
      </c>
      <c r="O452" s="20">
        <f>IFERROR(__xludf.DUMMYFUNCTION("""COMPUTED_VALUE"""),69.931715885388)</f>
        <v>69.93171589</v>
      </c>
      <c r="P452" s="20">
        <f>IFERROR(__xludf.DUMMYFUNCTION("""COMPUTED_VALUE"""),477756.0)</f>
        <v>477756</v>
      </c>
      <c r="Q452" s="20">
        <f>IFERROR(__xludf.DUMMYFUNCTION("""COMPUTED_VALUE"""),683175.0)</f>
        <v>683175</v>
      </c>
    </row>
    <row r="453">
      <c r="A453" s="20">
        <f>IFERROR(__xludf.DUMMYFUNCTION("""COMPUTED_VALUE"""),452.0)</f>
        <v>452</v>
      </c>
      <c r="B453" s="20" t="str">
        <f>IFERROR(__xludf.DUMMYFUNCTION("""COMPUTED_VALUE"""),"Minimum Number of Arrows to Burst Balloons")</f>
        <v>Minimum Number of Arrows to Burst Balloons</v>
      </c>
      <c r="C453" s="20" t="str">
        <f>IFERROR(__xludf.DUMMYFUNCTION("""COMPUTED_VALUE"""),"minimum-number-of-arrows-to-burst-balloons")</f>
        <v>minimum-number-of-arrows-to-burst-balloons</v>
      </c>
      <c r="D453" s="20" t="b">
        <f>IFERROR(__xludf.DUMMYFUNCTION("""COMPUTED_VALUE"""),FALSE)</f>
        <v>0</v>
      </c>
      <c r="E453" s="20" t="str">
        <f>IFERROR(__xludf.DUMMYFUNCTION("""COMPUTED_VALUE"""),"Medium")</f>
        <v>Medium</v>
      </c>
      <c r="F453" s="20">
        <f>IFERROR(__xludf.DUMMYFUNCTION("""COMPUTED_VALUE"""),3952.0)</f>
        <v>3952</v>
      </c>
      <c r="G453" s="20">
        <f>IFERROR(__xludf.DUMMYFUNCTION("""COMPUTED_VALUE"""),114.0)</f>
        <v>114</v>
      </c>
      <c r="H453" s="20" t="str">
        <f>IFERROR(__xludf.DUMMYFUNCTION("""COMPUTED_VALUE"""),"Algorithms")</f>
        <v>Algorithms</v>
      </c>
      <c r="I453" s="20">
        <f>IFERROR(__xludf.DUMMYFUNCTION("""COMPUTED_VALUE"""),0.532)</f>
        <v>0.532</v>
      </c>
      <c r="J453" s="20">
        <f>IFERROR(__xludf.DUMMYFUNCTION("""COMPUTED_VALUE"""),452.0)</f>
        <v>452</v>
      </c>
      <c r="K453" s="20" t="b">
        <f>IFERROR(__xludf.DUMMYFUNCTION("""COMPUTED_VALUE"""),FALSE)</f>
        <v>0</v>
      </c>
      <c r="L453" s="20" t="str">
        <f>IFERROR(__xludf.DUMMYFUNCTION("""COMPUTED_VALUE"""),"Array;Greedy;Sorting;")</f>
        <v>Array;Greedy;Sorting;</v>
      </c>
      <c r="M453" s="20" t="b">
        <f>IFERROR(__xludf.DUMMYFUNCTION("""COMPUTED_VALUE"""),TRUE)</f>
        <v>1</v>
      </c>
      <c r="N453" s="20" t="b">
        <f>IFERROR(__xludf.DUMMYFUNCTION("""COMPUTED_VALUE"""),FALSE)</f>
        <v>0</v>
      </c>
      <c r="O453" s="20">
        <f>IFERROR(__xludf.DUMMYFUNCTION("""COMPUTED_VALUE"""),53.1893235692812)</f>
        <v>53.18932357</v>
      </c>
      <c r="P453" s="20">
        <f>IFERROR(__xludf.DUMMYFUNCTION("""COMPUTED_VALUE"""),212668.0)</f>
        <v>212668</v>
      </c>
      <c r="Q453" s="20">
        <f>IFERROR(__xludf.DUMMYFUNCTION("""COMPUTED_VALUE"""),399833.0)</f>
        <v>399833</v>
      </c>
    </row>
    <row r="454">
      <c r="A454" s="20">
        <f>IFERROR(__xludf.DUMMYFUNCTION("""COMPUTED_VALUE"""),453.0)</f>
        <v>453</v>
      </c>
      <c r="B454" s="20" t="str">
        <f>IFERROR(__xludf.DUMMYFUNCTION("""COMPUTED_VALUE"""),"Minimum Moves to Equal Array Elements")</f>
        <v>Minimum Moves to Equal Array Elements</v>
      </c>
      <c r="C454" s="20" t="str">
        <f>IFERROR(__xludf.DUMMYFUNCTION("""COMPUTED_VALUE"""),"minimum-moves-to-equal-array-elements")</f>
        <v>minimum-moves-to-equal-array-elements</v>
      </c>
      <c r="D454" s="20" t="b">
        <f>IFERROR(__xludf.DUMMYFUNCTION("""COMPUTED_VALUE"""),FALSE)</f>
        <v>0</v>
      </c>
      <c r="E454" s="20" t="str">
        <f>IFERROR(__xludf.DUMMYFUNCTION("""COMPUTED_VALUE"""),"Medium")</f>
        <v>Medium</v>
      </c>
      <c r="F454" s="20">
        <f>IFERROR(__xludf.DUMMYFUNCTION("""COMPUTED_VALUE"""),2025.0)</f>
        <v>2025</v>
      </c>
      <c r="G454" s="20">
        <f>IFERROR(__xludf.DUMMYFUNCTION("""COMPUTED_VALUE"""),1786.0)</f>
        <v>1786</v>
      </c>
      <c r="H454" s="20" t="str">
        <f>IFERROR(__xludf.DUMMYFUNCTION("""COMPUTED_VALUE"""),"Algorithms")</f>
        <v>Algorithms</v>
      </c>
      <c r="I454" s="20">
        <f>IFERROR(__xludf.DUMMYFUNCTION("""COMPUTED_VALUE"""),0.558)</f>
        <v>0.558</v>
      </c>
      <c r="J454" s="20">
        <f>IFERROR(__xludf.DUMMYFUNCTION("""COMPUTED_VALUE"""),453.0)</f>
        <v>453</v>
      </c>
      <c r="K454" s="20" t="b">
        <f>IFERROR(__xludf.DUMMYFUNCTION("""COMPUTED_VALUE"""),FALSE)</f>
        <v>0</v>
      </c>
      <c r="L454" s="20" t="str">
        <f>IFERROR(__xludf.DUMMYFUNCTION("""COMPUTED_VALUE"""),"Array;Math;")</f>
        <v>Array;Math;</v>
      </c>
      <c r="M454" s="20" t="b">
        <f>IFERROR(__xludf.DUMMYFUNCTION("""COMPUTED_VALUE"""),TRUE)</f>
        <v>1</v>
      </c>
      <c r="N454" s="20" t="b">
        <f>IFERROR(__xludf.DUMMYFUNCTION("""COMPUTED_VALUE"""),FALSE)</f>
        <v>0</v>
      </c>
      <c r="O454" s="20">
        <f>IFERROR(__xludf.DUMMYFUNCTION("""COMPUTED_VALUE"""),55.7965337727541)</f>
        <v>55.79653377</v>
      </c>
      <c r="P454" s="20">
        <f>IFERROR(__xludf.DUMMYFUNCTION("""COMPUTED_VALUE"""),144585.0)</f>
        <v>144585</v>
      </c>
      <c r="Q454" s="20">
        <f>IFERROR(__xludf.DUMMYFUNCTION("""COMPUTED_VALUE"""),259129.0)</f>
        <v>259129</v>
      </c>
    </row>
    <row r="455">
      <c r="A455" s="20">
        <f>IFERROR(__xludf.DUMMYFUNCTION("""COMPUTED_VALUE"""),454.0)</f>
        <v>454</v>
      </c>
      <c r="B455" s="20" t="str">
        <f>IFERROR(__xludf.DUMMYFUNCTION("""COMPUTED_VALUE"""),"4Sum II")</f>
        <v>4Sum II</v>
      </c>
      <c r="C455" s="20" t="str">
        <f>IFERROR(__xludf.DUMMYFUNCTION("""COMPUTED_VALUE"""),"4sum-ii")</f>
        <v>4sum-ii</v>
      </c>
      <c r="D455" s="20" t="b">
        <f>IFERROR(__xludf.DUMMYFUNCTION("""COMPUTED_VALUE"""),FALSE)</f>
        <v>0</v>
      </c>
      <c r="E455" s="20" t="str">
        <f>IFERROR(__xludf.DUMMYFUNCTION("""COMPUTED_VALUE"""),"Medium")</f>
        <v>Medium</v>
      </c>
      <c r="F455" s="20">
        <f>IFERROR(__xludf.DUMMYFUNCTION("""COMPUTED_VALUE"""),4269.0)</f>
        <v>4269</v>
      </c>
      <c r="G455" s="20">
        <f>IFERROR(__xludf.DUMMYFUNCTION("""COMPUTED_VALUE"""),125.0)</f>
        <v>125</v>
      </c>
      <c r="H455" s="20" t="str">
        <f>IFERROR(__xludf.DUMMYFUNCTION("""COMPUTED_VALUE"""),"Algorithms")</f>
        <v>Algorithms</v>
      </c>
      <c r="I455" s="20">
        <f>IFERROR(__xludf.DUMMYFUNCTION("""COMPUTED_VALUE"""),0.573)</f>
        <v>0.573</v>
      </c>
      <c r="J455" s="20">
        <f>IFERROR(__xludf.DUMMYFUNCTION("""COMPUTED_VALUE"""),454.0)</f>
        <v>454</v>
      </c>
      <c r="K455" s="20" t="b">
        <f>IFERROR(__xludf.DUMMYFUNCTION("""COMPUTED_VALUE"""),FALSE)</f>
        <v>0</v>
      </c>
      <c r="L455" s="20" t="str">
        <f>IFERROR(__xludf.DUMMYFUNCTION("""COMPUTED_VALUE"""),"Array;Hash Table;")</f>
        <v>Array;Hash Table;</v>
      </c>
      <c r="M455" s="20" t="b">
        <f>IFERROR(__xludf.DUMMYFUNCTION("""COMPUTED_VALUE"""),TRUE)</f>
        <v>1</v>
      </c>
      <c r="N455" s="20" t="b">
        <f>IFERROR(__xludf.DUMMYFUNCTION("""COMPUTED_VALUE"""),FALSE)</f>
        <v>0</v>
      </c>
      <c r="O455" s="20">
        <f>IFERROR(__xludf.DUMMYFUNCTION("""COMPUTED_VALUE"""),57.2930370878028)</f>
        <v>57.29303709</v>
      </c>
      <c r="P455" s="20">
        <f>IFERROR(__xludf.DUMMYFUNCTION("""COMPUTED_VALUE"""),280888.0)</f>
        <v>280888</v>
      </c>
      <c r="Q455" s="20">
        <f>IFERROR(__xludf.DUMMYFUNCTION("""COMPUTED_VALUE"""),490266.0)</f>
        <v>490266</v>
      </c>
    </row>
    <row r="456">
      <c r="A456" s="20">
        <f>IFERROR(__xludf.DUMMYFUNCTION("""COMPUTED_VALUE"""),455.0)</f>
        <v>455</v>
      </c>
      <c r="B456" s="20" t="str">
        <f>IFERROR(__xludf.DUMMYFUNCTION("""COMPUTED_VALUE"""),"Assign Cookies")</f>
        <v>Assign Cookies</v>
      </c>
      <c r="C456" s="20" t="str">
        <f>IFERROR(__xludf.DUMMYFUNCTION("""COMPUTED_VALUE"""),"assign-cookies")</f>
        <v>assign-cookies</v>
      </c>
      <c r="D456" s="20" t="b">
        <f>IFERROR(__xludf.DUMMYFUNCTION("""COMPUTED_VALUE"""),FALSE)</f>
        <v>0</v>
      </c>
      <c r="E456" s="20" t="str">
        <f>IFERROR(__xludf.DUMMYFUNCTION("""COMPUTED_VALUE"""),"Easy")</f>
        <v>Easy</v>
      </c>
      <c r="F456" s="20">
        <f>IFERROR(__xludf.DUMMYFUNCTION("""COMPUTED_VALUE"""),1939.0)</f>
        <v>1939</v>
      </c>
      <c r="G456" s="20">
        <f>IFERROR(__xludf.DUMMYFUNCTION("""COMPUTED_VALUE"""),192.0)</f>
        <v>192</v>
      </c>
      <c r="H456" s="20" t="str">
        <f>IFERROR(__xludf.DUMMYFUNCTION("""COMPUTED_VALUE"""),"Algorithms")</f>
        <v>Algorithms</v>
      </c>
      <c r="I456" s="20">
        <f>IFERROR(__xludf.DUMMYFUNCTION("""COMPUTED_VALUE"""),0.503)</f>
        <v>0.503</v>
      </c>
      <c r="J456" s="20">
        <f>IFERROR(__xludf.DUMMYFUNCTION("""COMPUTED_VALUE"""),455.0)</f>
        <v>455</v>
      </c>
      <c r="K456" s="20" t="b">
        <f>IFERROR(__xludf.DUMMYFUNCTION("""COMPUTED_VALUE"""),FALSE)</f>
        <v>0</v>
      </c>
      <c r="L456" s="20" t="str">
        <f>IFERROR(__xludf.DUMMYFUNCTION("""COMPUTED_VALUE"""),"Array;Two Pointers;Greedy;Sorting;")</f>
        <v>Array;Two Pointers;Greedy;Sorting;</v>
      </c>
      <c r="M456" s="20" t="b">
        <f>IFERROR(__xludf.DUMMYFUNCTION("""COMPUTED_VALUE"""),FALSE)</f>
        <v>0</v>
      </c>
      <c r="N456" s="20" t="b">
        <f>IFERROR(__xludf.DUMMYFUNCTION("""COMPUTED_VALUE"""),FALSE)</f>
        <v>0</v>
      </c>
      <c r="O456" s="20">
        <f>IFERROR(__xludf.DUMMYFUNCTION("""COMPUTED_VALUE"""),50.3357757183645)</f>
        <v>50.33577572</v>
      </c>
      <c r="P456" s="20">
        <f>IFERROR(__xludf.DUMMYFUNCTION("""COMPUTED_VALUE"""),200803.0)</f>
        <v>200803</v>
      </c>
      <c r="Q456" s="20">
        <f>IFERROR(__xludf.DUMMYFUNCTION("""COMPUTED_VALUE"""),398926.0)</f>
        <v>398926</v>
      </c>
    </row>
    <row r="457">
      <c r="A457" s="20">
        <f>IFERROR(__xludf.DUMMYFUNCTION("""COMPUTED_VALUE"""),456.0)</f>
        <v>456</v>
      </c>
      <c r="B457" s="20" t="str">
        <f>IFERROR(__xludf.DUMMYFUNCTION("""COMPUTED_VALUE"""),"132 Pattern")</f>
        <v>132 Pattern</v>
      </c>
      <c r="C457" s="20" t="str">
        <f>IFERROR(__xludf.DUMMYFUNCTION("""COMPUTED_VALUE"""),"132-pattern")</f>
        <v>132-pattern</v>
      </c>
      <c r="D457" s="20" t="b">
        <f>IFERROR(__xludf.DUMMYFUNCTION("""COMPUTED_VALUE"""),FALSE)</f>
        <v>0</v>
      </c>
      <c r="E457" s="20" t="str">
        <f>IFERROR(__xludf.DUMMYFUNCTION("""COMPUTED_VALUE"""),"Medium")</f>
        <v>Medium</v>
      </c>
      <c r="F457" s="20">
        <f>IFERROR(__xludf.DUMMYFUNCTION("""COMPUTED_VALUE"""),5280.0)</f>
        <v>5280</v>
      </c>
      <c r="G457" s="20">
        <f>IFERROR(__xludf.DUMMYFUNCTION("""COMPUTED_VALUE"""),301.0)</f>
        <v>301</v>
      </c>
      <c r="H457" s="20" t="str">
        <f>IFERROR(__xludf.DUMMYFUNCTION("""COMPUTED_VALUE"""),"Algorithms")</f>
        <v>Algorithms</v>
      </c>
      <c r="I457" s="20">
        <f>IFERROR(__xludf.DUMMYFUNCTION("""COMPUTED_VALUE"""),0.324)</f>
        <v>0.324</v>
      </c>
      <c r="J457" s="20">
        <f>IFERROR(__xludf.DUMMYFUNCTION("""COMPUTED_VALUE"""),456.0)</f>
        <v>456</v>
      </c>
      <c r="K457" s="20" t="b">
        <f>IFERROR(__xludf.DUMMYFUNCTION("""COMPUTED_VALUE"""),FALSE)</f>
        <v>0</v>
      </c>
      <c r="L457" s="20" t="str">
        <f>IFERROR(__xludf.DUMMYFUNCTION("""COMPUTED_VALUE"""),"Array;Binary Search;Stack;Monotonic Stack;Ordered Set;")</f>
        <v>Array;Binary Search;Stack;Monotonic Stack;Ordered Set;</v>
      </c>
      <c r="M457" s="20" t="b">
        <f>IFERROR(__xludf.DUMMYFUNCTION("""COMPUTED_VALUE"""),TRUE)</f>
        <v>1</v>
      </c>
      <c r="N457" s="20" t="b">
        <f>IFERROR(__xludf.DUMMYFUNCTION("""COMPUTED_VALUE"""),TRUE)</f>
        <v>1</v>
      </c>
      <c r="O457" s="20">
        <f>IFERROR(__xludf.DUMMYFUNCTION("""COMPUTED_VALUE"""),32.4373723471275)</f>
        <v>32.43737235</v>
      </c>
      <c r="P457" s="20">
        <f>IFERROR(__xludf.DUMMYFUNCTION("""COMPUTED_VALUE"""),161674.0)</f>
        <v>161674</v>
      </c>
      <c r="Q457" s="20">
        <f>IFERROR(__xludf.DUMMYFUNCTION("""COMPUTED_VALUE"""),498421.0)</f>
        <v>498421</v>
      </c>
    </row>
    <row r="458">
      <c r="A458" s="20">
        <f>IFERROR(__xludf.DUMMYFUNCTION("""COMPUTED_VALUE"""),457.0)</f>
        <v>457</v>
      </c>
      <c r="B458" s="20" t="str">
        <f>IFERROR(__xludf.DUMMYFUNCTION("""COMPUTED_VALUE"""),"Circular Array Loop")</f>
        <v>Circular Array Loop</v>
      </c>
      <c r="C458" s="20" t="str">
        <f>IFERROR(__xludf.DUMMYFUNCTION("""COMPUTED_VALUE"""),"circular-array-loop")</f>
        <v>circular-array-loop</v>
      </c>
      <c r="D458" s="20" t="b">
        <f>IFERROR(__xludf.DUMMYFUNCTION("""COMPUTED_VALUE"""),FALSE)</f>
        <v>0</v>
      </c>
      <c r="E458" s="20" t="str">
        <f>IFERROR(__xludf.DUMMYFUNCTION("""COMPUTED_VALUE"""),"Medium")</f>
        <v>Medium</v>
      </c>
      <c r="F458" s="20">
        <f>IFERROR(__xludf.DUMMYFUNCTION("""COMPUTED_VALUE"""),480.0)</f>
        <v>480</v>
      </c>
      <c r="G458" s="20">
        <f>IFERROR(__xludf.DUMMYFUNCTION("""COMPUTED_VALUE"""),455.0)</f>
        <v>455</v>
      </c>
      <c r="H458" s="20" t="str">
        <f>IFERROR(__xludf.DUMMYFUNCTION("""COMPUTED_VALUE"""),"Algorithms")</f>
        <v>Algorithms</v>
      </c>
      <c r="I458" s="20">
        <f>IFERROR(__xludf.DUMMYFUNCTION("""COMPUTED_VALUE"""),0.323)</f>
        <v>0.323</v>
      </c>
      <c r="J458" s="20">
        <f>IFERROR(__xludf.DUMMYFUNCTION("""COMPUTED_VALUE"""),457.0)</f>
        <v>457</v>
      </c>
      <c r="K458" s="20" t="b">
        <f>IFERROR(__xludf.DUMMYFUNCTION("""COMPUTED_VALUE"""),FALSE)</f>
        <v>0</v>
      </c>
      <c r="L458" s="20" t="str">
        <f>IFERROR(__xludf.DUMMYFUNCTION("""COMPUTED_VALUE"""),"Array;Hash Table;Two Pointers;")</f>
        <v>Array;Hash Table;Two Pointers;</v>
      </c>
      <c r="M458" s="20" t="b">
        <f>IFERROR(__xludf.DUMMYFUNCTION("""COMPUTED_VALUE"""),FALSE)</f>
        <v>0</v>
      </c>
      <c r="N458" s="20" t="b">
        <f>IFERROR(__xludf.DUMMYFUNCTION("""COMPUTED_VALUE"""),FALSE)</f>
        <v>0</v>
      </c>
      <c r="O458" s="20">
        <f>IFERROR(__xludf.DUMMYFUNCTION("""COMPUTED_VALUE"""),32.3372392335383)</f>
        <v>32.33723923</v>
      </c>
      <c r="P458" s="20">
        <f>IFERROR(__xludf.DUMMYFUNCTION("""COMPUTED_VALUE"""),66205.0)</f>
        <v>66205</v>
      </c>
      <c r="Q458" s="20">
        <f>IFERROR(__xludf.DUMMYFUNCTION("""COMPUTED_VALUE"""),204733.0)</f>
        <v>204733</v>
      </c>
    </row>
    <row r="459">
      <c r="A459" s="20">
        <f>IFERROR(__xludf.DUMMYFUNCTION("""COMPUTED_VALUE"""),458.0)</f>
        <v>458</v>
      </c>
      <c r="B459" s="20" t="str">
        <f>IFERROR(__xludf.DUMMYFUNCTION("""COMPUTED_VALUE"""),"Poor Pigs")</f>
        <v>Poor Pigs</v>
      </c>
      <c r="C459" s="20" t="str">
        <f>IFERROR(__xludf.DUMMYFUNCTION("""COMPUTED_VALUE"""),"poor-pigs")</f>
        <v>poor-pigs</v>
      </c>
      <c r="D459" s="20" t="b">
        <f>IFERROR(__xludf.DUMMYFUNCTION("""COMPUTED_VALUE"""),FALSE)</f>
        <v>0</v>
      </c>
      <c r="E459" s="20" t="str">
        <f>IFERROR(__xludf.DUMMYFUNCTION("""COMPUTED_VALUE"""),"Hard")</f>
        <v>Hard</v>
      </c>
      <c r="F459" s="20">
        <f>IFERROR(__xludf.DUMMYFUNCTION("""COMPUTED_VALUE"""),1342.0)</f>
        <v>1342</v>
      </c>
      <c r="G459" s="20">
        <f>IFERROR(__xludf.DUMMYFUNCTION("""COMPUTED_VALUE"""),2753.0)</f>
        <v>2753</v>
      </c>
      <c r="H459" s="20" t="str">
        <f>IFERROR(__xludf.DUMMYFUNCTION("""COMPUTED_VALUE"""),"Algorithms")</f>
        <v>Algorithms</v>
      </c>
      <c r="I459" s="20">
        <f>IFERROR(__xludf.DUMMYFUNCTION("""COMPUTED_VALUE"""),0.639)</f>
        <v>0.639</v>
      </c>
      <c r="J459" s="20">
        <f>IFERROR(__xludf.DUMMYFUNCTION("""COMPUTED_VALUE"""),458.0)</f>
        <v>458</v>
      </c>
      <c r="K459" s="20" t="b">
        <f>IFERROR(__xludf.DUMMYFUNCTION("""COMPUTED_VALUE"""),FALSE)</f>
        <v>0</v>
      </c>
      <c r="L459" s="20" t="str">
        <f>IFERROR(__xludf.DUMMYFUNCTION("""COMPUTED_VALUE"""),"Math;Dynamic Programming;Combinatorics;")</f>
        <v>Math;Dynamic Programming;Combinatorics;</v>
      </c>
      <c r="M459" s="20" t="b">
        <f>IFERROR(__xludf.DUMMYFUNCTION("""COMPUTED_VALUE"""),TRUE)</f>
        <v>1</v>
      </c>
      <c r="N459" s="20" t="b">
        <f>IFERROR(__xludf.DUMMYFUNCTION("""COMPUTED_VALUE"""),FALSE)</f>
        <v>0</v>
      </c>
      <c r="O459" s="20">
        <f>IFERROR(__xludf.DUMMYFUNCTION("""COMPUTED_VALUE"""),63.880457417146)</f>
        <v>63.88045742</v>
      </c>
      <c r="P459" s="20">
        <f>IFERROR(__xludf.DUMMYFUNCTION("""COMPUTED_VALUE"""),72396.0)</f>
        <v>72396</v>
      </c>
      <c r="Q459" s="20">
        <f>IFERROR(__xludf.DUMMYFUNCTION("""COMPUTED_VALUE"""),113330.0)</f>
        <v>113330</v>
      </c>
    </row>
    <row r="460">
      <c r="A460" s="20">
        <f>IFERROR(__xludf.DUMMYFUNCTION("""COMPUTED_VALUE"""),459.0)</f>
        <v>459</v>
      </c>
      <c r="B460" s="20" t="str">
        <f>IFERROR(__xludf.DUMMYFUNCTION("""COMPUTED_VALUE"""),"Repeated Substring Pattern")</f>
        <v>Repeated Substring Pattern</v>
      </c>
      <c r="C460" s="20" t="str">
        <f>IFERROR(__xludf.DUMMYFUNCTION("""COMPUTED_VALUE"""),"repeated-substring-pattern")</f>
        <v>repeated-substring-pattern</v>
      </c>
      <c r="D460" s="20" t="b">
        <f>IFERROR(__xludf.DUMMYFUNCTION("""COMPUTED_VALUE"""),FALSE)</f>
        <v>0</v>
      </c>
      <c r="E460" s="20" t="str">
        <f>IFERROR(__xludf.DUMMYFUNCTION("""COMPUTED_VALUE"""),"Easy")</f>
        <v>Easy</v>
      </c>
      <c r="F460" s="20">
        <f>IFERROR(__xludf.DUMMYFUNCTION("""COMPUTED_VALUE"""),4022.0)</f>
        <v>4022</v>
      </c>
      <c r="G460" s="20">
        <f>IFERROR(__xludf.DUMMYFUNCTION("""COMPUTED_VALUE"""),363.0)</f>
        <v>363</v>
      </c>
      <c r="H460" s="20" t="str">
        <f>IFERROR(__xludf.DUMMYFUNCTION("""COMPUTED_VALUE"""),"Algorithms")</f>
        <v>Algorithms</v>
      </c>
      <c r="I460" s="20">
        <f>IFERROR(__xludf.DUMMYFUNCTION("""COMPUTED_VALUE"""),0.437)</f>
        <v>0.437</v>
      </c>
      <c r="J460" s="20">
        <f>IFERROR(__xludf.DUMMYFUNCTION("""COMPUTED_VALUE"""),459.0)</f>
        <v>459</v>
      </c>
      <c r="K460" s="20" t="b">
        <f>IFERROR(__xludf.DUMMYFUNCTION("""COMPUTED_VALUE"""),FALSE)</f>
        <v>0</v>
      </c>
      <c r="L460" s="20" t="str">
        <f>IFERROR(__xludf.DUMMYFUNCTION("""COMPUTED_VALUE"""),"String;String Matching;")</f>
        <v>String;String Matching;</v>
      </c>
      <c r="M460" s="20" t="b">
        <f>IFERROR(__xludf.DUMMYFUNCTION("""COMPUTED_VALUE"""),TRUE)</f>
        <v>1</v>
      </c>
      <c r="N460" s="20" t="b">
        <f>IFERROR(__xludf.DUMMYFUNCTION("""COMPUTED_VALUE"""),FALSE)</f>
        <v>0</v>
      </c>
      <c r="O460" s="20">
        <f>IFERROR(__xludf.DUMMYFUNCTION("""COMPUTED_VALUE"""),43.7022102959944)</f>
        <v>43.7022103</v>
      </c>
      <c r="P460" s="20">
        <f>IFERROR(__xludf.DUMMYFUNCTION("""COMPUTED_VALUE"""),277026.0)</f>
        <v>277026</v>
      </c>
      <c r="Q460" s="20">
        <f>IFERROR(__xludf.DUMMYFUNCTION("""COMPUTED_VALUE"""),633896.0)</f>
        <v>633896</v>
      </c>
    </row>
    <row r="461">
      <c r="A461" s="20">
        <f>IFERROR(__xludf.DUMMYFUNCTION("""COMPUTED_VALUE"""),460.0)</f>
        <v>460</v>
      </c>
      <c r="B461" s="20" t="str">
        <f>IFERROR(__xludf.DUMMYFUNCTION("""COMPUTED_VALUE"""),"LFU Cache")</f>
        <v>LFU Cache</v>
      </c>
      <c r="C461" s="20" t="str">
        <f>IFERROR(__xludf.DUMMYFUNCTION("""COMPUTED_VALUE"""),"lfu-cache")</f>
        <v>lfu-cache</v>
      </c>
      <c r="D461" s="20" t="b">
        <f>IFERROR(__xludf.DUMMYFUNCTION("""COMPUTED_VALUE"""),FALSE)</f>
        <v>0</v>
      </c>
      <c r="E461" s="20" t="str">
        <f>IFERROR(__xludf.DUMMYFUNCTION("""COMPUTED_VALUE"""),"Hard")</f>
        <v>Hard</v>
      </c>
      <c r="F461" s="20">
        <f>IFERROR(__xludf.DUMMYFUNCTION("""COMPUTED_VALUE"""),3935.0)</f>
        <v>3935</v>
      </c>
      <c r="G461" s="20">
        <f>IFERROR(__xludf.DUMMYFUNCTION("""COMPUTED_VALUE"""),241.0)</f>
        <v>241</v>
      </c>
      <c r="H461" s="20" t="str">
        <f>IFERROR(__xludf.DUMMYFUNCTION("""COMPUTED_VALUE"""),"Algorithms")</f>
        <v>Algorithms</v>
      </c>
      <c r="I461" s="20">
        <f>IFERROR(__xludf.DUMMYFUNCTION("""COMPUTED_VALUE"""),0.405)</f>
        <v>0.405</v>
      </c>
      <c r="J461" s="20">
        <f>IFERROR(__xludf.DUMMYFUNCTION("""COMPUTED_VALUE"""),460.0)</f>
        <v>460</v>
      </c>
      <c r="K461" s="20" t="b">
        <f>IFERROR(__xludf.DUMMYFUNCTION("""COMPUTED_VALUE"""),FALSE)</f>
        <v>0</v>
      </c>
      <c r="L461" s="20" t="str">
        <f>IFERROR(__xludf.DUMMYFUNCTION("""COMPUTED_VALUE"""),"Hash Table;Linked List;Design;Doubly-Linked List;")</f>
        <v>Hash Table;Linked List;Design;Doubly-Linked List;</v>
      </c>
      <c r="M461" s="20" t="b">
        <f>IFERROR(__xludf.DUMMYFUNCTION("""COMPUTED_VALUE"""),TRUE)</f>
        <v>1</v>
      </c>
      <c r="N461" s="20" t="b">
        <f>IFERROR(__xludf.DUMMYFUNCTION("""COMPUTED_VALUE"""),FALSE)</f>
        <v>0</v>
      </c>
      <c r="O461" s="20">
        <f>IFERROR(__xludf.DUMMYFUNCTION("""COMPUTED_VALUE"""),40.470877966133)</f>
        <v>40.47087797</v>
      </c>
      <c r="P461" s="20">
        <f>IFERROR(__xludf.DUMMYFUNCTION("""COMPUTED_VALUE"""),174852.0)</f>
        <v>174852</v>
      </c>
      <c r="Q461" s="20">
        <f>IFERROR(__xludf.DUMMYFUNCTION("""COMPUTED_VALUE"""),432044.0)</f>
        <v>432044</v>
      </c>
    </row>
    <row r="462">
      <c r="A462" s="20">
        <f>IFERROR(__xludf.DUMMYFUNCTION("""COMPUTED_VALUE"""),461.0)</f>
        <v>461</v>
      </c>
      <c r="B462" s="20" t="str">
        <f>IFERROR(__xludf.DUMMYFUNCTION("""COMPUTED_VALUE"""),"Hamming Distance")</f>
        <v>Hamming Distance</v>
      </c>
      <c r="C462" s="20" t="str">
        <f>IFERROR(__xludf.DUMMYFUNCTION("""COMPUTED_VALUE"""),"hamming-distance")</f>
        <v>hamming-distance</v>
      </c>
      <c r="D462" s="20" t="b">
        <f>IFERROR(__xludf.DUMMYFUNCTION("""COMPUTED_VALUE"""),FALSE)</f>
        <v>0</v>
      </c>
      <c r="E462" s="20" t="str">
        <f>IFERROR(__xludf.DUMMYFUNCTION("""COMPUTED_VALUE"""),"Easy")</f>
        <v>Easy</v>
      </c>
      <c r="F462" s="20">
        <f>IFERROR(__xludf.DUMMYFUNCTION("""COMPUTED_VALUE"""),3390.0)</f>
        <v>3390</v>
      </c>
      <c r="G462" s="20">
        <f>IFERROR(__xludf.DUMMYFUNCTION("""COMPUTED_VALUE"""),207.0)</f>
        <v>207</v>
      </c>
      <c r="H462" s="20" t="str">
        <f>IFERROR(__xludf.DUMMYFUNCTION("""COMPUTED_VALUE"""),"Algorithms")</f>
        <v>Algorithms</v>
      </c>
      <c r="I462" s="20">
        <f>IFERROR(__xludf.DUMMYFUNCTION("""COMPUTED_VALUE"""),0.749)</f>
        <v>0.749</v>
      </c>
      <c r="J462" s="20">
        <f>IFERROR(__xludf.DUMMYFUNCTION("""COMPUTED_VALUE"""),461.0)</f>
        <v>461</v>
      </c>
      <c r="K462" s="20" t="b">
        <f>IFERROR(__xludf.DUMMYFUNCTION("""COMPUTED_VALUE"""),FALSE)</f>
        <v>0</v>
      </c>
      <c r="L462" s="20" t="str">
        <f>IFERROR(__xludf.DUMMYFUNCTION("""COMPUTED_VALUE"""),"Bit Manipulation;")</f>
        <v>Bit Manipulation;</v>
      </c>
      <c r="M462" s="20" t="b">
        <f>IFERROR(__xludf.DUMMYFUNCTION("""COMPUTED_VALUE"""),TRUE)</f>
        <v>1</v>
      </c>
      <c r="N462" s="20" t="b">
        <f>IFERROR(__xludf.DUMMYFUNCTION("""COMPUTED_VALUE"""),FALSE)</f>
        <v>0</v>
      </c>
      <c r="O462" s="20">
        <f>IFERROR(__xludf.DUMMYFUNCTION("""COMPUTED_VALUE"""),74.8794422158661)</f>
        <v>74.87944222</v>
      </c>
      <c r="P462" s="20">
        <f>IFERROR(__xludf.DUMMYFUNCTION("""COMPUTED_VALUE"""),506048.0)</f>
        <v>506048</v>
      </c>
      <c r="Q462" s="20">
        <f>IFERROR(__xludf.DUMMYFUNCTION("""COMPUTED_VALUE"""),675817.0)</f>
        <v>675817</v>
      </c>
    </row>
    <row r="463">
      <c r="A463" s="20">
        <f>IFERROR(__xludf.DUMMYFUNCTION("""COMPUTED_VALUE"""),462.0)</f>
        <v>462</v>
      </c>
      <c r="B463" s="20" t="str">
        <f>IFERROR(__xludf.DUMMYFUNCTION("""COMPUTED_VALUE"""),"Minimum Moves to Equal Array Elements II")</f>
        <v>Minimum Moves to Equal Array Elements II</v>
      </c>
      <c r="C463" s="20" t="str">
        <f>IFERROR(__xludf.DUMMYFUNCTION("""COMPUTED_VALUE"""),"minimum-moves-to-equal-array-elements-ii")</f>
        <v>minimum-moves-to-equal-array-elements-ii</v>
      </c>
      <c r="D463" s="20" t="b">
        <f>IFERROR(__xludf.DUMMYFUNCTION("""COMPUTED_VALUE"""),FALSE)</f>
        <v>0</v>
      </c>
      <c r="E463" s="20" t="str">
        <f>IFERROR(__xludf.DUMMYFUNCTION("""COMPUTED_VALUE"""),"Medium")</f>
        <v>Medium</v>
      </c>
      <c r="F463" s="20">
        <f>IFERROR(__xludf.DUMMYFUNCTION("""COMPUTED_VALUE"""),2872.0)</f>
        <v>2872</v>
      </c>
      <c r="G463" s="20">
        <f>IFERROR(__xludf.DUMMYFUNCTION("""COMPUTED_VALUE"""),111.0)</f>
        <v>111</v>
      </c>
      <c r="H463" s="20" t="str">
        <f>IFERROR(__xludf.DUMMYFUNCTION("""COMPUTED_VALUE"""),"Algorithms")</f>
        <v>Algorithms</v>
      </c>
      <c r="I463" s="20">
        <f>IFERROR(__xludf.DUMMYFUNCTION("""COMPUTED_VALUE"""),0.601)</f>
        <v>0.601</v>
      </c>
      <c r="J463" s="20">
        <f>IFERROR(__xludf.DUMMYFUNCTION("""COMPUTED_VALUE"""),462.0)</f>
        <v>462</v>
      </c>
      <c r="K463" s="20" t="b">
        <f>IFERROR(__xludf.DUMMYFUNCTION("""COMPUTED_VALUE"""),FALSE)</f>
        <v>0</v>
      </c>
      <c r="L463" s="20" t="str">
        <f>IFERROR(__xludf.DUMMYFUNCTION("""COMPUTED_VALUE"""),"Array;Math;Sorting;")</f>
        <v>Array;Math;Sorting;</v>
      </c>
      <c r="M463" s="20" t="b">
        <f>IFERROR(__xludf.DUMMYFUNCTION("""COMPUTED_VALUE"""),TRUE)</f>
        <v>1</v>
      </c>
      <c r="N463" s="20" t="b">
        <f>IFERROR(__xludf.DUMMYFUNCTION("""COMPUTED_VALUE"""),FALSE)</f>
        <v>0</v>
      </c>
      <c r="O463" s="20">
        <f>IFERROR(__xludf.DUMMYFUNCTION("""COMPUTED_VALUE"""),60.1406609050887)</f>
        <v>60.14066091</v>
      </c>
      <c r="P463" s="20">
        <f>IFERROR(__xludf.DUMMYFUNCTION("""COMPUTED_VALUE"""),155460.0)</f>
        <v>155460</v>
      </c>
      <c r="Q463" s="20">
        <f>IFERROR(__xludf.DUMMYFUNCTION("""COMPUTED_VALUE"""),258494.0)</f>
        <v>258494</v>
      </c>
    </row>
    <row r="464">
      <c r="A464" s="20">
        <f>IFERROR(__xludf.DUMMYFUNCTION("""COMPUTED_VALUE"""),463.0)</f>
        <v>463</v>
      </c>
      <c r="B464" s="20" t="str">
        <f>IFERROR(__xludf.DUMMYFUNCTION("""COMPUTED_VALUE"""),"Island Perimeter")</f>
        <v>Island Perimeter</v>
      </c>
      <c r="C464" s="20" t="str">
        <f>IFERROR(__xludf.DUMMYFUNCTION("""COMPUTED_VALUE"""),"island-perimeter")</f>
        <v>island-perimeter</v>
      </c>
      <c r="D464" s="20" t="b">
        <f>IFERROR(__xludf.DUMMYFUNCTION("""COMPUTED_VALUE"""),FALSE)</f>
        <v>0</v>
      </c>
      <c r="E464" s="20" t="str">
        <f>IFERROR(__xludf.DUMMYFUNCTION("""COMPUTED_VALUE"""),"Easy")</f>
        <v>Easy</v>
      </c>
      <c r="F464" s="20">
        <f>IFERROR(__xludf.DUMMYFUNCTION("""COMPUTED_VALUE"""),5247.0)</f>
        <v>5247</v>
      </c>
      <c r="G464" s="20">
        <f>IFERROR(__xludf.DUMMYFUNCTION("""COMPUTED_VALUE"""),261.0)</f>
        <v>261</v>
      </c>
      <c r="H464" s="20" t="str">
        <f>IFERROR(__xludf.DUMMYFUNCTION("""COMPUTED_VALUE"""),"Algorithms")</f>
        <v>Algorithms</v>
      </c>
      <c r="I464" s="20">
        <f>IFERROR(__xludf.DUMMYFUNCTION("""COMPUTED_VALUE"""),0.696)</f>
        <v>0.696</v>
      </c>
      <c r="J464" s="20">
        <f>IFERROR(__xludf.DUMMYFUNCTION("""COMPUTED_VALUE"""),463.0)</f>
        <v>463</v>
      </c>
      <c r="K464" s="20" t="b">
        <f>IFERROR(__xludf.DUMMYFUNCTION("""COMPUTED_VALUE"""),FALSE)</f>
        <v>0</v>
      </c>
      <c r="L464" s="20" t="str">
        <f>IFERROR(__xludf.DUMMYFUNCTION("""COMPUTED_VALUE"""),"Array;Depth-First Search;Breadth-First Search;Matrix;")</f>
        <v>Array;Depth-First Search;Breadth-First Search;Matrix;</v>
      </c>
      <c r="M464" s="20" t="b">
        <f>IFERROR(__xludf.DUMMYFUNCTION("""COMPUTED_VALUE"""),TRUE)</f>
        <v>1</v>
      </c>
      <c r="N464" s="20" t="b">
        <f>IFERROR(__xludf.DUMMYFUNCTION("""COMPUTED_VALUE"""),FALSE)</f>
        <v>0</v>
      </c>
      <c r="O464" s="20">
        <f>IFERROR(__xludf.DUMMYFUNCTION("""COMPUTED_VALUE"""),69.5751415180473)</f>
        <v>69.57514152</v>
      </c>
      <c r="P464" s="20">
        <f>IFERROR(__xludf.DUMMYFUNCTION("""COMPUTED_VALUE"""),411495.0)</f>
        <v>411495</v>
      </c>
      <c r="Q464" s="20">
        <f>IFERROR(__xludf.DUMMYFUNCTION("""COMPUTED_VALUE"""),591441.0)</f>
        <v>591441</v>
      </c>
    </row>
    <row r="465">
      <c r="A465" s="20">
        <f>IFERROR(__xludf.DUMMYFUNCTION("""COMPUTED_VALUE"""),464.0)</f>
        <v>464</v>
      </c>
      <c r="B465" s="20" t="str">
        <f>IFERROR(__xludf.DUMMYFUNCTION("""COMPUTED_VALUE"""),"Can I Win")</f>
        <v>Can I Win</v>
      </c>
      <c r="C465" s="20" t="str">
        <f>IFERROR(__xludf.DUMMYFUNCTION("""COMPUTED_VALUE"""),"can-i-win")</f>
        <v>can-i-win</v>
      </c>
      <c r="D465" s="20" t="b">
        <f>IFERROR(__xludf.DUMMYFUNCTION("""COMPUTED_VALUE"""),FALSE)</f>
        <v>0</v>
      </c>
      <c r="E465" s="20" t="str">
        <f>IFERROR(__xludf.DUMMYFUNCTION("""COMPUTED_VALUE"""),"Medium")</f>
        <v>Medium</v>
      </c>
      <c r="F465" s="20">
        <f>IFERROR(__xludf.DUMMYFUNCTION("""COMPUTED_VALUE"""),2167.0)</f>
        <v>2167</v>
      </c>
      <c r="G465" s="20">
        <f>IFERROR(__xludf.DUMMYFUNCTION("""COMPUTED_VALUE"""),336.0)</f>
        <v>336</v>
      </c>
      <c r="H465" s="20" t="str">
        <f>IFERROR(__xludf.DUMMYFUNCTION("""COMPUTED_VALUE"""),"Algorithms")</f>
        <v>Algorithms</v>
      </c>
      <c r="I465" s="20">
        <f>IFERROR(__xludf.DUMMYFUNCTION("""COMPUTED_VALUE"""),0.297)</f>
        <v>0.297</v>
      </c>
      <c r="J465" s="20">
        <f>IFERROR(__xludf.DUMMYFUNCTION("""COMPUTED_VALUE"""),464.0)</f>
        <v>464</v>
      </c>
      <c r="K465" s="20" t="b">
        <f>IFERROR(__xludf.DUMMYFUNCTION("""COMPUTED_VALUE"""),FALSE)</f>
        <v>0</v>
      </c>
      <c r="L465" s="20" t="str">
        <f>IFERROR(__xludf.DUMMYFUNCTION("""COMPUTED_VALUE"""),"Math;Dynamic Programming;Bit Manipulation;Memoization;Game Theory;Bitmask;")</f>
        <v>Math;Dynamic Programming;Bit Manipulation;Memoization;Game Theory;Bitmask;</v>
      </c>
      <c r="M465" s="20" t="b">
        <f>IFERROR(__xludf.DUMMYFUNCTION("""COMPUTED_VALUE"""),FALSE)</f>
        <v>0</v>
      </c>
      <c r="N465" s="20" t="b">
        <f>IFERROR(__xludf.DUMMYFUNCTION("""COMPUTED_VALUE"""),FALSE)</f>
        <v>0</v>
      </c>
      <c r="O465" s="20">
        <f>IFERROR(__xludf.DUMMYFUNCTION("""COMPUTED_VALUE"""),29.7339332132123)</f>
        <v>29.73393321</v>
      </c>
      <c r="P465" s="20">
        <f>IFERROR(__xludf.DUMMYFUNCTION("""COMPUTED_VALUE"""),82016.0)</f>
        <v>82016</v>
      </c>
      <c r="Q465" s="20">
        <f>IFERROR(__xludf.DUMMYFUNCTION("""COMPUTED_VALUE"""),275833.0)</f>
        <v>275833</v>
      </c>
    </row>
    <row r="466">
      <c r="A466" s="20">
        <f>IFERROR(__xludf.DUMMYFUNCTION("""COMPUTED_VALUE"""),465.0)</f>
        <v>465</v>
      </c>
      <c r="B466" s="20" t="str">
        <f>IFERROR(__xludf.DUMMYFUNCTION("""COMPUTED_VALUE"""),"Optimal Account Balancing")</f>
        <v>Optimal Account Balancing</v>
      </c>
      <c r="C466" s="20" t="str">
        <f>IFERROR(__xludf.DUMMYFUNCTION("""COMPUTED_VALUE"""),"optimal-account-balancing")</f>
        <v>optimal-account-balancing</v>
      </c>
      <c r="D466" s="20" t="b">
        <f>IFERROR(__xludf.DUMMYFUNCTION("""COMPUTED_VALUE"""),TRUE)</f>
        <v>1</v>
      </c>
      <c r="E466" s="20" t="str">
        <f>IFERROR(__xludf.DUMMYFUNCTION("""COMPUTED_VALUE"""),"Hard")</f>
        <v>Hard</v>
      </c>
      <c r="F466" s="20">
        <f>IFERROR(__xludf.DUMMYFUNCTION("""COMPUTED_VALUE"""),1255.0)</f>
        <v>1255</v>
      </c>
      <c r="G466" s="20">
        <f>IFERROR(__xludf.DUMMYFUNCTION("""COMPUTED_VALUE"""),119.0)</f>
        <v>119</v>
      </c>
      <c r="H466" s="20" t="str">
        <f>IFERROR(__xludf.DUMMYFUNCTION("""COMPUTED_VALUE"""),"Algorithms")</f>
        <v>Algorithms</v>
      </c>
      <c r="I466" s="20">
        <f>IFERROR(__xludf.DUMMYFUNCTION("""COMPUTED_VALUE"""),0.493)</f>
        <v>0.493</v>
      </c>
      <c r="J466" s="20">
        <f>IFERROR(__xludf.DUMMYFUNCTION("""COMPUTED_VALUE"""),465.0)</f>
        <v>465</v>
      </c>
      <c r="K466" s="20" t="b">
        <f>IFERROR(__xludf.DUMMYFUNCTION("""COMPUTED_VALUE"""),TRUE)</f>
        <v>1</v>
      </c>
      <c r="L466" s="20" t="str">
        <f>IFERROR(__xludf.DUMMYFUNCTION("""COMPUTED_VALUE"""),"Array;Dynamic Programming;Backtracking;Bit Manipulation;Bitmask;")</f>
        <v>Array;Dynamic Programming;Backtracking;Bit Manipulation;Bitmask;</v>
      </c>
      <c r="M466" s="20" t="b">
        <f>IFERROR(__xludf.DUMMYFUNCTION("""COMPUTED_VALUE"""),FALSE)</f>
        <v>0</v>
      </c>
      <c r="N466" s="20" t="b">
        <f>IFERROR(__xludf.DUMMYFUNCTION("""COMPUTED_VALUE"""),FALSE)</f>
        <v>0</v>
      </c>
      <c r="O466" s="20">
        <f>IFERROR(__xludf.DUMMYFUNCTION("""COMPUTED_VALUE"""),49.2653646299946)</f>
        <v>49.26536463</v>
      </c>
      <c r="P466" s="20">
        <f>IFERROR(__xludf.DUMMYFUNCTION("""COMPUTED_VALUE"""),76986.0)</f>
        <v>76986</v>
      </c>
      <c r="Q466" s="20">
        <f>IFERROR(__xludf.DUMMYFUNCTION("""COMPUTED_VALUE"""),156268.0)</f>
        <v>156268</v>
      </c>
    </row>
    <row r="467">
      <c r="A467" s="20">
        <f>IFERROR(__xludf.DUMMYFUNCTION("""COMPUTED_VALUE"""),466.0)</f>
        <v>466</v>
      </c>
      <c r="B467" s="20" t="str">
        <f>IFERROR(__xludf.DUMMYFUNCTION("""COMPUTED_VALUE"""),"Count The Repetitions")</f>
        <v>Count The Repetitions</v>
      </c>
      <c r="C467" s="20" t="str">
        <f>IFERROR(__xludf.DUMMYFUNCTION("""COMPUTED_VALUE"""),"count-the-repetitions")</f>
        <v>count-the-repetitions</v>
      </c>
      <c r="D467" s="20" t="b">
        <f>IFERROR(__xludf.DUMMYFUNCTION("""COMPUTED_VALUE"""),FALSE)</f>
        <v>0</v>
      </c>
      <c r="E467" s="20" t="str">
        <f>IFERROR(__xludf.DUMMYFUNCTION("""COMPUTED_VALUE"""),"Hard")</f>
        <v>Hard</v>
      </c>
      <c r="F467" s="20">
        <f>IFERROR(__xludf.DUMMYFUNCTION("""COMPUTED_VALUE"""),350.0)</f>
        <v>350</v>
      </c>
      <c r="G467" s="20">
        <f>IFERROR(__xludf.DUMMYFUNCTION("""COMPUTED_VALUE"""),294.0)</f>
        <v>294</v>
      </c>
      <c r="H467" s="20" t="str">
        <f>IFERROR(__xludf.DUMMYFUNCTION("""COMPUTED_VALUE"""),"Algorithms")</f>
        <v>Algorithms</v>
      </c>
      <c r="I467" s="20">
        <f>IFERROR(__xludf.DUMMYFUNCTION("""COMPUTED_VALUE"""),0.293)</f>
        <v>0.293</v>
      </c>
      <c r="J467" s="20">
        <f>IFERROR(__xludf.DUMMYFUNCTION("""COMPUTED_VALUE"""),466.0)</f>
        <v>466</v>
      </c>
      <c r="K467" s="20" t="b">
        <f>IFERROR(__xludf.DUMMYFUNCTION("""COMPUTED_VALUE"""),FALSE)</f>
        <v>0</v>
      </c>
      <c r="L467" s="20" t="str">
        <f>IFERROR(__xludf.DUMMYFUNCTION("""COMPUTED_VALUE"""),"String;Dynamic Programming;")</f>
        <v>String;Dynamic Programming;</v>
      </c>
      <c r="M467" s="20" t="b">
        <f>IFERROR(__xludf.DUMMYFUNCTION("""COMPUTED_VALUE"""),TRUE)</f>
        <v>1</v>
      </c>
      <c r="N467" s="20" t="b">
        <f>IFERROR(__xludf.DUMMYFUNCTION("""COMPUTED_VALUE"""),FALSE)</f>
        <v>0</v>
      </c>
      <c r="O467" s="20">
        <f>IFERROR(__xludf.DUMMYFUNCTION("""COMPUTED_VALUE"""),29.2794772340791)</f>
        <v>29.27947723</v>
      </c>
      <c r="P467" s="20">
        <f>IFERROR(__xludf.DUMMYFUNCTION("""COMPUTED_VALUE"""),15324.0)</f>
        <v>15324</v>
      </c>
      <c r="Q467" s="20">
        <f>IFERROR(__xludf.DUMMYFUNCTION("""COMPUTED_VALUE"""),52336.0)</f>
        <v>52336</v>
      </c>
    </row>
    <row r="468">
      <c r="A468" s="20">
        <f>IFERROR(__xludf.DUMMYFUNCTION("""COMPUTED_VALUE"""),467.0)</f>
        <v>467</v>
      </c>
      <c r="B468" s="20" t="str">
        <f>IFERROR(__xludf.DUMMYFUNCTION("""COMPUTED_VALUE"""),"Unique Substrings in Wraparound String")</f>
        <v>Unique Substrings in Wraparound String</v>
      </c>
      <c r="C468" s="20" t="str">
        <f>IFERROR(__xludf.DUMMYFUNCTION("""COMPUTED_VALUE"""),"unique-substrings-in-wraparound-string")</f>
        <v>unique-substrings-in-wraparound-string</v>
      </c>
      <c r="D468" s="20" t="b">
        <f>IFERROR(__xludf.DUMMYFUNCTION("""COMPUTED_VALUE"""),FALSE)</f>
        <v>0</v>
      </c>
      <c r="E468" s="20" t="str">
        <f>IFERROR(__xludf.DUMMYFUNCTION("""COMPUTED_VALUE"""),"Medium")</f>
        <v>Medium</v>
      </c>
      <c r="F468" s="20">
        <f>IFERROR(__xludf.DUMMYFUNCTION("""COMPUTED_VALUE"""),1228.0)</f>
        <v>1228</v>
      </c>
      <c r="G468" s="20">
        <f>IFERROR(__xludf.DUMMYFUNCTION("""COMPUTED_VALUE"""),153.0)</f>
        <v>153</v>
      </c>
      <c r="H468" s="20" t="str">
        <f>IFERROR(__xludf.DUMMYFUNCTION("""COMPUTED_VALUE"""),"Algorithms")</f>
        <v>Algorithms</v>
      </c>
      <c r="I468" s="20">
        <f>IFERROR(__xludf.DUMMYFUNCTION("""COMPUTED_VALUE"""),0.384)</f>
        <v>0.384</v>
      </c>
      <c r="J468" s="20">
        <f>IFERROR(__xludf.DUMMYFUNCTION("""COMPUTED_VALUE"""),467.0)</f>
        <v>467</v>
      </c>
      <c r="K468" s="20" t="b">
        <f>IFERROR(__xludf.DUMMYFUNCTION("""COMPUTED_VALUE"""),FALSE)</f>
        <v>0</v>
      </c>
      <c r="L468" s="20" t="str">
        <f>IFERROR(__xludf.DUMMYFUNCTION("""COMPUTED_VALUE"""),"String;Dynamic Programming;")</f>
        <v>String;Dynamic Programming;</v>
      </c>
      <c r="M468" s="20" t="b">
        <f>IFERROR(__xludf.DUMMYFUNCTION("""COMPUTED_VALUE"""),FALSE)</f>
        <v>0</v>
      </c>
      <c r="N468" s="20" t="b">
        <f>IFERROR(__xludf.DUMMYFUNCTION("""COMPUTED_VALUE"""),FALSE)</f>
        <v>0</v>
      </c>
      <c r="O468" s="20">
        <f>IFERROR(__xludf.DUMMYFUNCTION("""COMPUTED_VALUE"""),38.3575043168411)</f>
        <v>38.35750432</v>
      </c>
      <c r="P468" s="20">
        <f>IFERROR(__xludf.DUMMYFUNCTION("""COMPUTED_VALUE"""),38430.0)</f>
        <v>38430</v>
      </c>
      <c r="Q468" s="20">
        <f>IFERROR(__xludf.DUMMYFUNCTION("""COMPUTED_VALUE"""),100188.0)</f>
        <v>100188</v>
      </c>
    </row>
    <row r="469">
      <c r="A469" s="20">
        <f>IFERROR(__xludf.DUMMYFUNCTION("""COMPUTED_VALUE"""),468.0)</f>
        <v>468</v>
      </c>
      <c r="B469" s="20" t="str">
        <f>IFERROR(__xludf.DUMMYFUNCTION("""COMPUTED_VALUE"""),"Validate IP Address")</f>
        <v>Validate IP Address</v>
      </c>
      <c r="C469" s="20" t="str">
        <f>IFERROR(__xludf.DUMMYFUNCTION("""COMPUTED_VALUE"""),"validate-ip-address")</f>
        <v>validate-ip-address</v>
      </c>
      <c r="D469" s="20" t="b">
        <f>IFERROR(__xludf.DUMMYFUNCTION("""COMPUTED_VALUE"""),FALSE)</f>
        <v>0</v>
      </c>
      <c r="E469" s="20" t="str">
        <f>IFERROR(__xludf.DUMMYFUNCTION("""COMPUTED_VALUE"""),"Medium")</f>
        <v>Medium</v>
      </c>
      <c r="F469" s="20">
        <f>IFERROR(__xludf.DUMMYFUNCTION("""COMPUTED_VALUE"""),799.0)</f>
        <v>799</v>
      </c>
      <c r="G469" s="20">
        <f>IFERROR(__xludf.DUMMYFUNCTION("""COMPUTED_VALUE"""),2541.0)</f>
        <v>2541</v>
      </c>
      <c r="H469" s="20" t="str">
        <f>IFERROR(__xludf.DUMMYFUNCTION("""COMPUTED_VALUE"""),"Algorithms")</f>
        <v>Algorithms</v>
      </c>
      <c r="I469" s="20">
        <f>IFERROR(__xludf.DUMMYFUNCTION("""COMPUTED_VALUE"""),0.266)</f>
        <v>0.266</v>
      </c>
      <c r="J469" s="20">
        <f>IFERROR(__xludf.DUMMYFUNCTION("""COMPUTED_VALUE"""),468.0)</f>
        <v>468</v>
      </c>
      <c r="K469" s="20" t="b">
        <f>IFERROR(__xludf.DUMMYFUNCTION("""COMPUTED_VALUE"""),FALSE)</f>
        <v>0</v>
      </c>
      <c r="L469" s="20" t="str">
        <f>IFERROR(__xludf.DUMMYFUNCTION("""COMPUTED_VALUE"""),"String;")</f>
        <v>String;</v>
      </c>
      <c r="M469" s="20" t="b">
        <f>IFERROR(__xludf.DUMMYFUNCTION("""COMPUTED_VALUE"""),TRUE)</f>
        <v>1</v>
      </c>
      <c r="N469" s="20" t="b">
        <f>IFERROR(__xludf.DUMMYFUNCTION("""COMPUTED_VALUE"""),FALSE)</f>
        <v>0</v>
      </c>
      <c r="O469" s="20">
        <f>IFERROR(__xludf.DUMMYFUNCTION("""COMPUTED_VALUE"""),26.5699665919566)</f>
        <v>26.56996659</v>
      </c>
      <c r="P469" s="20">
        <f>IFERROR(__xludf.DUMMYFUNCTION("""COMPUTED_VALUE"""),138225.0)</f>
        <v>138225</v>
      </c>
      <c r="Q469" s="20">
        <f>IFERROR(__xludf.DUMMYFUNCTION("""COMPUTED_VALUE"""),520232.0)</f>
        <v>520232</v>
      </c>
    </row>
    <row r="470">
      <c r="A470" s="20">
        <f>IFERROR(__xludf.DUMMYFUNCTION("""COMPUTED_VALUE"""),469.0)</f>
        <v>469</v>
      </c>
      <c r="B470" s="20" t="str">
        <f>IFERROR(__xludf.DUMMYFUNCTION("""COMPUTED_VALUE"""),"Convex Polygon")</f>
        <v>Convex Polygon</v>
      </c>
      <c r="C470" s="20" t="str">
        <f>IFERROR(__xludf.DUMMYFUNCTION("""COMPUTED_VALUE"""),"convex-polygon")</f>
        <v>convex-polygon</v>
      </c>
      <c r="D470" s="20" t="b">
        <f>IFERROR(__xludf.DUMMYFUNCTION("""COMPUTED_VALUE"""),TRUE)</f>
        <v>1</v>
      </c>
      <c r="E470" s="20" t="str">
        <f>IFERROR(__xludf.DUMMYFUNCTION("""COMPUTED_VALUE"""),"Medium")</f>
        <v>Medium</v>
      </c>
      <c r="F470" s="20">
        <f>IFERROR(__xludf.DUMMYFUNCTION("""COMPUTED_VALUE"""),90.0)</f>
        <v>90</v>
      </c>
      <c r="G470" s="20">
        <f>IFERROR(__xludf.DUMMYFUNCTION("""COMPUTED_VALUE"""),227.0)</f>
        <v>227</v>
      </c>
      <c r="H470" s="20" t="str">
        <f>IFERROR(__xludf.DUMMYFUNCTION("""COMPUTED_VALUE"""),"Algorithms")</f>
        <v>Algorithms</v>
      </c>
      <c r="I470" s="20">
        <f>IFERROR(__xludf.DUMMYFUNCTION("""COMPUTED_VALUE"""),0.385)</f>
        <v>0.385</v>
      </c>
      <c r="J470" s="20">
        <f>IFERROR(__xludf.DUMMYFUNCTION("""COMPUTED_VALUE"""),469.0)</f>
        <v>469</v>
      </c>
      <c r="K470" s="20" t="b">
        <f>IFERROR(__xludf.DUMMYFUNCTION("""COMPUTED_VALUE"""),TRUE)</f>
        <v>1</v>
      </c>
      <c r="L470" s="20" t="str">
        <f>IFERROR(__xludf.DUMMYFUNCTION("""COMPUTED_VALUE"""),"Math;Geometry;")</f>
        <v>Math;Geometry;</v>
      </c>
      <c r="M470" s="20" t="b">
        <f>IFERROR(__xludf.DUMMYFUNCTION("""COMPUTED_VALUE"""),FALSE)</f>
        <v>0</v>
      </c>
      <c r="N470" s="20" t="b">
        <f>IFERROR(__xludf.DUMMYFUNCTION("""COMPUTED_VALUE"""),FALSE)</f>
        <v>0</v>
      </c>
      <c r="O470" s="20">
        <f>IFERROR(__xludf.DUMMYFUNCTION("""COMPUTED_VALUE"""),38.5466588739528)</f>
        <v>38.54665887</v>
      </c>
      <c r="P470" s="20">
        <f>IFERROR(__xludf.DUMMYFUNCTION("""COMPUTED_VALUE"""),9893.0)</f>
        <v>9893</v>
      </c>
      <c r="Q470" s="20">
        <f>IFERROR(__xludf.DUMMYFUNCTION("""COMPUTED_VALUE"""),25665.0)</f>
        <v>25665</v>
      </c>
    </row>
    <row r="471">
      <c r="A471" s="20">
        <f>IFERROR(__xludf.DUMMYFUNCTION("""COMPUTED_VALUE"""),903.0)</f>
        <v>903</v>
      </c>
      <c r="B471" s="20" t="str">
        <f>IFERROR(__xludf.DUMMYFUNCTION("""COMPUTED_VALUE"""),"Implement Rand10() Using Rand7()")</f>
        <v>Implement Rand10() Using Rand7()</v>
      </c>
      <c r="C471" s="20" t="str">
        <f>IFERROR(__xludf.DUMMYFUNCTION("""COMPUTED_VALUE"""),"implement-rand10-using-rand7")</f>
        <v>implement-rand10-using-rand7</v>
      </c>
      <c r="D471" s="20" t="b">
        <f>IFERROR(__xludf.DUMMYFUNCTION("""COMPUTED_VALUE"""),FALSE)</f>
        <v>0</v>
      </c>
      <c r="E471" s="20" t="str">
        <f>IFERROR(__xludf.DUMMYFUNCTION("""COMPUTED_VALUE"""),"Medium")</f>
        <v>Medium</v>
      </c>
      <c r="F471" s="20">
        <f>IFERROR(__xludf.DUMMYFUNCTION("""COMPUTED_VALUE"""),963.0)</f>
        <v>963</v>
      </c>
      <c r="G471" s="20">
        <f>IFERROR(__xludf.DUMMYFUNCTION("""COMPUTED_VALUE"""),322.0)</f>
        <v>322</v>
      </c>
      <c r="H471" s="20" t="str">
        <f>IFERROR(__xludf.DUMMYFUNCTION("""COMPUTED_VALUE"""),"Algorithms")</f>
        <v>Algorithms</v>
      </c>
      <c r="I471" s="20">
        <f>IFERROR(__xludf.DUMMYFUNCTION("""COMPUTED_VALUE"""),0.466)</f>
        <v>0.466</v>
      </c>
      <c r="J471" s="20">
        <f>IFERROR(__xludf.DUMMYFUNCTION("""COMPUTED_VALUE"""),470.0)</f>
        <v>470</v>
      </c>
      <c r="K471" s="20" t="b">
        <f>IFERROR(__xludf.DUMMYFUNCTION("""COMPUTED_VALUE"""),FALSE)</f>
        <v>0</v>
      </c>
      <c r="L471" s="20" t="str">
        <f>IFERROR(__xludf.DUMMYFUNCTION("""COMPUTED_VALUE"""),"Math;Rejection Sampling;Randomized;Probability and Statistics;")</f>
        <v>Math;Rejection Sampling;Randomized;Probability and Statistics;</v>
      </c>
      <c r="M471" s="20" t="b">
        <f>IFERROR(__xludf.DUMMYFUNCTION("""COMPUTED_VALUE"""),TRUE)</f>
        <v>1</v>
      </c>
      <c r="N471" s="20" t="b">
        <f>IFERROR(__xludf.DUMMYFUNCTION("""COMPUTED_VALUE"""),FALSE)</f>
        <v>0</v>
      </c>
      <c r="O471" s="20">
        <f>IFERROR(__xludf.DUMMYFUNCTION("""COMPUTED_VALUE"""),46.6453306629497)</f>
        <v>46.64533066</v>
      </c>
      <c r="P471" s="20">
        <f>IFERROR(__xludf.DUMMYFUNCTION("""COMPUTED_VALUE"""),68939.0)</f>
        <v>68939</v>
      </c>
      <c r="Q471" s="20">
        <f>IFERROR(__xludf.DUMMYFUNCTION("""COMPUTED_VALUE"""),147794.0)</f>
        <v>147794</v>
      </c>
    </row>
    <row r="472">
      <c r="A472" s="20">
        <f>IFERROR(__xludf.DUMMYFUNCTION("""COMPUTED_VALUE"""),471.0)</f>
        <v>471</v>
      </c>
      <c r="B472" s="20" t="str">
        <f>IFERROR(__xludf.DUMMYFUNCTION("""COMPUTED_VALUE"""),"Encode String with Shortest Length")</f>
        <v>Encode String with Shortest Length</v>
      </c>
      <c r="C472" s="20" t="str">
        <f>IFERROR(__xludf.DUMMYFUNCTION("""COMPUTED_VALUE"""),"encode-string-with-shortest-length")</f>
        <v>encode-string-with-shortest-length</v>
      </c>
      <c r="D472" s="20" t="b">
        <f>IFERROR(__xludf.DUMMYFUNCTION("""COMPUTED_VALUE"""),TRUE)</f>
        <v>1</v>
      </c>
      <c r="E472" s="20" t="str">
        <f>IFERROR(__xludf.DUMMYFUNCTION("""COMPUTED_VALUE"""),"Hard")</f>
        <v>Hard</v>
      </c>
      <c r="F472" s="20">
        <f>IFERROR(__xludf.DUMMYFUNCTION("""COMPUTED_VALUE"""),596.0)</f>
        <v>596</v>
      </c>
      <c r="G472" s="20">
        <f>IFERROR(__xludf.DUMMYFUNCTION("""COMPUTED_VALUE"""),46.0)</f>
        <v>46</v>
      </c>
      <c r="H472" s="20" t="str">
        <f>IFERROR(__xludf.DUMMYFUNCTION("""COMPUTED_VALUE"""),"Algorithms")</f>
        <v>Algorithms</v>
      </c>
      <c r="I472" s="20">
        <f>IFERROR(__xludf.DUMMYFUNCTION("""COMPUTED_VALUE"""),0.506)</f>
        <v>0.506</v>
      </c>
      <c r="J472" s="20">
        <f>IFERROR(__xludf.DUMMYFUNCTION("""COMPUTED_VALUE"""),471.0)</f>
        <v>471</v>
      </c>
      <c r="K472" s="20" t="b">
        <f>IFERROR(__xludf.DUMMYFUNCTION("""COMPUTED_VALUE"""),TRUE)</f>
        <v>1</v>
      </c>
      <c r="L472" s="20" t="str">
        <f>IFERROR(__xludf.DUMMYFUNCTION("""COMPUTED_VALUE"""),"String;Dynamic Programming;")</f>
        <v>String;Dynamic Programming;</v>
      </c>
      <c r="M472" s="20" t="b">
        <f>IFERROR(__xludf.DUMMYFUNCTION("""COMPUTED_VALUE"""),FALSE)</f>
        <v>0</v>
      </c>
      <c r="N472" s="20" t="b">
        <f>IFERROR(__xludf.DUMMYFUNCTION("""COMPUTED_VALUE"""),FALSE)</f>
        <v>0</v>
      </c>
      <c r="O472" s="20">
        <f>IFERROR(__xludf.DUMMYFUNCTION("""COMPUTED_VALUE"""),50.6368880038453)</f>
        <v>50.636888</v>
      </c>
      <c r="P472" s="20">
        <f>IFERROR(__xludf.DUMMYFUNCTION("""COMPUTED_VALUE"""),29497.0)</f>
        <v>29497</v>
      </c>
      <c r="Q472" s="20">
        <f>IFERROR(__xludf.DUMMYFUNCTION("""COMPUTED_VALUE"""),58250.0)</f>
        <v>58250</v>
      </c>
    </row>
    <row r="473">
      <c r="A473" s="20">
        <f>IFERROR(__xludf.DUMMYFUNCTION("""COMPUTED_VALUE"""),472.0)</f>
        <v>472</v>
      </c>
      <c r="B473" s="20" t="str">
        <f>IFERROR(__xludf.DUMMYFUNCTION("""COMPUTED_VALUE"""),"Concatenated Words")</f>
        <v>Concatenated Words</v>
      </c>
      <c r="C473" s="20" t="str">
        <f>IFERROR(__xludf.DUMMYFUNCTION("""COMPUTED_VALUE"""),"concatenated-words")</f>
        <v>concatenated-words</v>
      </c>
      <c r="D473" s="20" t="b">
        <f>IFERROR(__xludf.DUMMYFUNCTION("""COMPUTED_VALUE"""),FALSE)</f>
        <v>0</v>
      </c>
      <c r="E473" s="20" t="str">
        <f>IFERROR(__xludf.DUMMYFUNCTION("""COMPUTED_VALUE"""),"Hard")</f>
        <v>Hard</v>
      </c>
      <c r="F473" s="20">
        <f>IFERROR(__xludf.DUMMYFUNCTION("""COMPUTED_VALUE"""),2374.0)</f>
        <v>2374</v>
      </c>
      <c r="G473" s="20">
        <f>IFERROR(__xludf.DUMMYFUNCTION("""COMPUTED_VALUE"""),237.0)</f>
        <v>237</v>
      </c>
      <c r="H473" s="20" t="str">
        <f>IFERROR(__xludf.DUMMYFUNCTION("""COMPUTED_VALUE"""),"Algorithms")</f>
        <v>Algorithms</v>
      </c>
      <c r="I473" s="20">
        <f>IFERROR(__xludf.DUMMYFUNCTION("""COMPUTED_VALUE"""),0.459)</f>
        <v>0.459</v>
      </c>
      <c r="J473" s="20">
        <f>IFERROR(__xludf.DUMMYFUNCTION("""COMPUTED_VALUE"""),472.0)</f>
        <v>472</v>
      </c>
      <c r="K473" s="20" t="b">
        <f>IFERROR(__xludf.DUMMYFUNCTION("""COMPUTED_VALUE"""),FALSE)</f>
        <v>0</v>
      </c>
      <c r="L473" s="20" t="str">
        <f>IFERROR(__xludf.DUMMYFUNCTION("""COMPUTED_VALUE"""),"Array;String;Dynamic Programming;Depth-First Search;Trie;")</f>
        <v>Array;String;Dynamic Programming;Depth-First Search;Trie;</v>
      </c>
      <c r="M473" s="20" t="b">
        <f>IFERROR(__xludf.DUMMYFUNCTION("""COMPUTED_VALUE"""),TRUE)</f>
        <v>1</v>
      </c>
      <c r="N473" s="20" t="b">
        <f>IFERROR(__xludf.DUMMYFUNCTION("""COMPUTED_VALUE"""),FALSE)</f>
        <v>0</v>
      </c>
      <c r="O473" s="20">
        <f>IFERROR(__xludf.DUMMYFUNCTION("""COMPUTED_VALUE"""),45.8773913043478)</f>
        <v>45.8773913</v>
      </c>
      <c r="P473" s="20">
        <f>IFERROR(__xludf.DUMMYFUNCTION("""COMPUTED_VALUE"""),158275.0)</f>
        <v>158275</v>
      </c>
      <c r="Q473" s="20">
        <f>IFERROR(__xludf.DUMMYFUNCTION("""COMPUTED_VALUE"""),344997.0)</f>
        <v>344997</v>
      </c>
    </row>
    <row r="474">
      <c r="A474" s="20">
        <f>IFERROR(__xludf.DUMMYFUNCTION("""COMPUTED_VALUE"""),473.0)</f>
        <v>473</v>
      </c>
      <c r="B474" s="20" t="str">
        <f>IFERROR(__xludf.DUMMYFUNCTION("""COMPUTED_VALUE"""),"Matchsticks to Square")</f>
        <v>Matchsticks to Square</v>
      </c>
      <c r="C474" s="20" t="str">
        <f>IFERROR(__xludf.DUMMYFUNCTION("""COMPUTED_VALUE"""),"matchsticks-to-square")</f>
        <v>matchsticks-to-square</v>
      </c>
      <c r="D474" s="20" t="b">
        <f>IFERROR(__xludf.DUMMYFUNCTION("""COMPUTED_VALUE"""),FALSE)</f>
        <v>0</v>
      </c>
      <c r="E474" s="20" t="str">
        <f>IFERROR(__xludf.DUMMYFUNCTION("""COMPUTED_VALUE"""),"Medium")</f>
        <v>Medium</v>
      </c>
      <c r="F474" s="20">
        <f>IFERROR(__xludf.DUMMYFUNCTION("""COMPUTED_VALUE"""),3333.0)</f>
        <v>3333</v>
      </c>
      <c r="G474" s="20">
        <f>IFERROR(__xludf.DUMMYFUNCTION("""COMPUTED_VALUE"""),263.0)</f>
        <v>263</v>
      </c>
      <c r="H474" s="20" t="str">
        <f>IFERROR(__xludf.DUMMYFUNCTION("""COMPUTED_VALUE"""),"Algorithms")</f>
        <v>Algorithms</v>
      </c>
      <c r="I474" s="20">
        <f>IFERROR(__xludf.DUMMYFUNCTION("""COMPUTED_VALUE"""),0.403)</f>
        <v>0.403</v>
      </c>
      <c r="J474" s="20">
        <f>IFERROR(__xludf.DUMMYFUNCTION("""COMPUTED_VALUE"""),473.0)</f>
        <v>473</v>
      </c>
      <c r="K474" s="20" t="b">
        <f>IFERROR(__xludf.DUMMYFUNCTION("""COMPUTED_VALUE"""),FALSE)</f>
        <v>0</v>
      </c>
      <c r="L474" s="20" t="str">
        <f>IFERROR(__xludf.DUMMYFUNCTION("""COMPUTED_VALUE"""),"Array;Dynamic Programming;Backtracking;Bit Manipulation;Bitmask;")</f>
        <v>Array;Dynamic Programming;Backtracking;Bit Manipulation;Bitmask;</v>
      </c>
      <c r="M474" s="20" t="b">
        <f>IFERROR(__xludf.DUMMYFUNCTION("""COMPUTED_VALUE"""),TRUE)</f>
        <v>1</v>
      </c>
      <c r="N474" s="20" t="b">
        <f>IFERROR(__xludf.DUMMYFUNCTION("""COMPUTED_VALUE"""),FALSE)</f>
        <v>0</v>
      </c>
      <c r="O474" s="20">
        <f>IFERROR(__xludf.DUMMYFUNCTION("""COMPUTED_VALUE"""),40.3204431053028)</f>
        <v>40.32044311</v>
      </c>
      <c r="P474" s="20">
        <f>IFERROR(__xludf.DUMMYFUNCTION("""COMPUTED_VALUE"""),135692.0)</f>
        <v>135692</v>
      </c>
      <c r="Q474" s="20">
        <f>IFERROR(__xludf.DUMMYFUNCTION("""COMPUTED_VALUE"""),336534.0)</f>
        <v>336534</v>
      </c>
    </row>
    <row r="475">
      <c r="A475" s="20">
        <f>IFERROR(__xludf.DUMMYFUNCTION("""COMPUTED_VALUE"""),474.0)</f>
        <v>474</v>
      </c>
      <c r="B475" s="20" t="str">
        <f>IFERROR(__xludf.DUMMYFUNCTION("""COMPUTED_VALUE"""),"Ones and Zeroes")</f>
        <v>Ones and Zeroes</v>
      </c>
      <c r="C475" s="20" t="str">
        <f>IFERROR(__xludf.DUMMYFUNCTION("""COMPUTED_VALUE"""),"ones-and-zeroes")</f>
        <v>ones-and-zeroes</v>
      </c>
      <c r="D475" s="20" t="b">
        <f>IFERROR(__xludf.DUMMYFUNCTION("""COMPUTED_VALUE"""),FALSE)</f>
        <v>0</v>
      </c>
      <c r="E475" s="20" t="str">
        <f>IFERROR(__xludf.DUMMYFUNCTION("""COMPUTED_VALUE"""),"Medium")</f>
        <v>Medium</v>
      </c>
      <c r="F475" s="20">
        <f>IFERROR(__xludf.DUMMYFUNCTION("""COMPUTED_VALUE"""),4568.0)</f>
        <v>4568</v>
      </c>
      <c r="G475" s="20">
        <f>IFERROR(__xludf.DUMMYFUNCTION("""COMPUTED_VALUE"""),415.0)</f>
        <v>415</v>
      </c>
      <c r="H475" s="20" t="str">
        <f>IFERROR(__xludf.DUMMYFUNCTION("""COMPUTED_VALUE"""),"Algorithms")</f>
        <v>Algorithms</v>
      </c>
      <c r="I475" s="20">
        <f>IFERROR(__xludf.DUMMYFUNCTION("""COMPUTED_VALUE"""),0.467)</f>
        <v>0.467</v>
      </c>
      <c r="J475" s="20">
        <f>IFERROR(__xludf.DUMMYFUNCTION("""COMPUTED_VALUE"""),474.0)</f>
        <v>474</v>
      </c>
      <c r="K475" s="20" t="b">
        <f>IFERROR(__xludf.DUMMYFUNCTION("""COMPUTED_VALUE"""),FALSE)</f>
        <v>0</v>
      </c>
      <c r="L475" s="20" t="str">
        <f>IFERROR(__xludf.DUMMYFUNCTION("""COMPUTED_VALUE"""),"Array;String;Dynamic Programming;")</f>
        <v>Array;String;Dynamic Programming;</v>
      </c>
      <c r="M475" s="20" t="b">
        <f>IFERROR(__xludf.DUMMYFUNCTION("""COMPUTED_VALUE"""),TRUE)</f>
        <v>1</v>
      </c>
      <c r="N475" s="20" t="b">
        <f>IFERROR(__xludf.DUMMYFUNCTION("""COMPUTED_VALUE"""),FALSE)</f>
        <v>0</v>
      </c>
      <c r="O475" s="20">
        <f>IFERROR(__xludf.DUMMYFUNCTION("""COMPUTED_VALUE"""),46.706617790699)</f>
        <v>46.70661779</v>
      </c>
      <c r="P475" s="20">
        <f>IFERROR(__xludf.DUMMYFUNCTION("""COMPUTED_VALUE"""),162580.0)</f>
        <v>162580</v>
      </c>
      <c r="Q475" s="20">
        <f>IFERROR(__xludf.DUMMYFUNCTION("""COMPUTED_VALUE"""),348090.0)</f>
        <v>348090</v>
      </c>
    </row>
    <row r="476">
      <c r="A476" s="20">
        <f>IFERROR(__xludf.DUMMYFUNCTION("""COMPUTED_VALUE"""),475.0)</f>
        <v>475</v>
      </c>
      <c r="B476" s="20" t="str">
        <f>IFERROR(__xludf.DUMMYFUNCTION("""COMPUTED_VALUE"""),"Heaters")</f>
        <v>Heaters</v>
      </c>
      <c r="C476" s="20" t="str">
        <f>IFERROR(__xludf.DUMMYFUNCTION("""COMPUTED_VALUE"""),"heaters")</f>
        <v>heaters</v>
      </c>
      <c r="D476" s="20" t="b">
        <f>IFERROR(__xludf.DUMMYFUNCTION("""COMPUTED_VALUE"""),FALSE)</f>
        <v>0</v>
      </c>
      <c r="E476" s="20" t="str">
        <f>IFERROR(__xludf.DUMMYFUNCTION("""COMPUTED_VALUE"""),"Medium")</f>
        <v>Medium</v>
      </c>
      <c r="F476" s="20">
        <f>IFERROR(__xludf.DUMMYFUNCTION("""COMPUTED_VALUE"""),1628.0)</f>
        <v>1628</v>
      </c>
      <c r="G476" s="20">
        <f>IFERROR(__xludf.DUMMYFUNCTION("""COMPUTED_VALUE"""),1082.0)</f>
        <v>1082</v>
      </c>
      <c r="H476" s="20" t="str">
        <f>IFERROR(__xludf.DUMMYFUNCTION("""COMPUTED_VALUE"""),"Algorithms")</f>
        <v>Algorithms</v>
      </c>
      <c r="I476" s="20">
        <f>IFERROR(__xludf.DUMMYFUNCTION("""COMPUTED_VALUE"""),0.362)</f>
        <v>0.362</v>
      </c>
      <c r="J476" s="20">
        <f>IFERROR(__xludf.DUMMYFUNCTION("""COMPUTED_VALUE"""),475.0)</f>
        <v>475</v>
      </c>
      <c r="K476" s="20" t="b">
        <f>IFERROR(__xludf.DUMMYFUNCTION("""COMPUTED_VALUE"""),FALSE)</f>
        <v>0</v>
      </c>
      <c r="L476" s="20" t="str">
        <f>IFERROR(__xludf.DUMMYFUNCTION("""COMPUTED_VALUE"""),"Array;Two Pointers;Binary Search;Sorting;")</f>
        <v>Array;Two Pointers;Binary Search;Sorting;</v>
      </c>
      <c r="M476" s="20" t="b">
        <f>IFERROR(__xludf.DUMMYFUNCTION("""COMPUTED_VALUE"""),FALSE)</f>
        <v>0</v>
      </c>
      <c r="N476" s="20" t="b">
        <f>IFERROR(__xludf.DUMMYFUNCTION("""COMPUTED_VALUE"""),FALSE)</f>
        <v>0</v>
      </c>
      <c r="O476" s="20">
        <f>IFERROR(__xludf.DUMMYFUNCTION("""COMPUTED_VALUE"""),36.2029510973743)</f>
        <v>36.2029511</v>
      </c>
      <c r="P476" s="20">
        <f>IFERROR(__xludf.DUMMYFUNCTION("""COMPUTED_VALUE"""),97454.0)</f>
        <v>97454</v>
      </c>
      <c r="Q476" s="20">
        <f>IFERROR(__xludf.DUMMYFUNCTION("""COMPUTED_VALUE"""),269188.0)</f>
        <v>269188</v>
      </c>
    </row>
    <row r="477">
      <c r="A477" s="20">
        <f>IFERROR(__xludf.DUMMYFUNCTION("""COMPUTED_VALUE"""),476.0)</f>
        <v>476</v>
      </c>
      <c r="B477" s="20" t="str">
        <f>IFERROR(__xludf.DUMMYFUNCTION("""COMPUTED_VALUE"""),"Number Complement")</f>
        <v>Number Complement</v>
      </c>
      <c r="C477" s="20" t="str">
        <f>IFERROR(__xludf.DUMMYFUNCTION("""COMPUTED_VALUE"""),"number-complement")</f>
        <v>number-complement</v>
      </c>
      <c r="D477" s="20" t="b">
        <f>IFERROR(__xludf.DUMMYFUNCTION("""COMPUTED_VALUE"""),FALSE)</f>
        <v>0</v>
      </c>
      <c r="E477" s="20" t="str">
        <f>IFERROR(__xludf.DUMMYFUNCTION("""COMPUTED_VALUE"""),"Easy")</f>
        <v>Easy</v>
      </c>
      <c r="F477" s="20">
        <f>IFERROR(__xludf.DUMMYFUNCTION("""COMPUTED_VALUE"""),2259.0)</f>
        <v>2259</v>
      </c>
      <c r="G477" s="20">
        <f>IFERROR(__xludf.DUMMYFUNCTION("""COMPUTED_VALUE"""),110.0)</f>
        <v>110</v>
      </c>
      <c r="H477" s="20" t="str">
        <f>IFERROR(__xludf.DUMMYFUNCTION("""COMPUTED_VALUE"""),"Algorithms")</f>
        <v>Algorithms</v>
      </c>
      <c r="I477" s="20">
        <f>IFERROR(__xludf.DUMMYFUNCTION("""COMPUTED_VALUE"""),0.673)</f>
        <v>0.673</v>
      </c>
      <c r="J477" s="20">
        <f>IFERROR(__xludf.DUMMYFUNCTION("""COMPUTED_VALUE"""),476.0)</f>
        <v>476</v>
      </c>
      <c r="K477" s="20" t="b">
        <f>IFERROR(__xludf.DUMMYFUNCTION("""COMPUTED_VALUE"""),FALSE)</f>
        <v>0</v>
      </c>
      <c r="L477" s="20" t="str">
        <f>IFERROR(__xludf.DUMMYFUNCTION("""COMPUTED_VALUE"""),"Bit Manipulation;")</f>
        <v>Bit Manipulation;</v>
      </c>
      <c r="M477" s="20" t="b">
        <f>IFERROR(__xludf.DUMMYFUNCTION("""COMPUTED_VALUE"""),TRUE)</f>
        <v>1</v>
      </c>
      <c r="N477" s="20" t="b">
        <f>IFERROR(__xludf.DUMMYFUNCTION("""COMPUTED_VALUE"""),FALSE)</f>
        <v>0</v>
      </c>
      <c r="O477" s="20">
        <f>IFERROR(__xludf.DUMMYFUNCTION("""COMPUTED_VALUE"""),67.2526657963631)</f>
        <v>67.2526658</v>
      </c>
      <c r="P477" s="20">
        <f>IFERROR(__xludf.DUMMYFUNCTION("""COMPUTED_VALUE"""),284887.0)</f>
        <v>284887</v>
      </c>
      <c r="Q477" s="20">
        <f>IFERROR(__xludf.DUMMYFUNCTION("""COMPUTED_VALUE"""),423607.0)</f>
        <v>423607</v>
      </c>
    </row>
    <row r="478">
      <c r="A478" s="20">
        <f>IFERROR(__xludf.DUMMYFUNCTION("""COMPUTED_VALUE"""),477.0)</f>
        <v>477</v>
      </c>
      <c r="B478" s="20" t="str">
        <f>IFERROR(__xludf.DUMMYFUNCTION("""COMPUTED_VALUE"""),"Total Hamming Distance")</f>
        <v>Total Hamming Distance</v>
      </c>
      <c r="C478" s="20" t="str">
        <f>IFERROR(__xludf.DUMMYFUNCTION("""COMPUTED_VALUE"""),"total-hamming-distance")</f>
        <v>total-hamming-distance</v>
      </c>
      <c r="D478" s="20" t="b">
        <f>IFERROR(__xludf.DUMMYFUNCTION("""COMPUTED_VALUE"""),FALSE)</f>
        <v>0</v>
      </c>
      <c r="E478" s="20" t="str">
        <f>IFERROR(__xludf.DUMMYFUNCTION("""COMPUTED_VALUE"""),"Medium")</f>
        <v>Medium</v>
      </c>
      <c r="F478" s="20">
        <f>IFERROR(__xludf.DUMMYFUNCTION("""COMPUTED_VALUE"""),1888.0)</f>
        <v>1888</v>
      </c>
      <c r="G478" s="20">
        <f>IFERROR(__xludf.DUMMYFUNCTION("""COMPUTED_VALUE"""),85.0)</f>
        <v>85</v>
      </c>
      <c r="H478" s="20" t="str">
        <f>IFERROR(__xludf.DUMMYFUNCTION("""COMPUTED_VALUE"""),"Algorithms")</f>
        <v>Algorithms</v>
      </c>
      <c r="I478" s="20">
        <f>IFERROR(__xludf.DUMMYFUNCTION("""COMPUTED_VALUE"""),0.522)</f>
        <v>0.522</v>
      </c>
      <c r="J478" s="20">
        <f>IFERROR(__xludf.DUMMYFUNCTION("""COMPUTED_VALUE"""),477.0)</f>
        <v>477</v>
      </c>
      <c r="K478" s="20" t="b">
        <f>IFERROR(__xludf.DUMMYFUNCTION("""COMPUTED_VALUE"""),FALSE)</f>
        <v>0</v>
      </c>
      <c r="L478" s="20" t="str">
        <f>IFERROR(__xludf.DUMMYFUNCTION("""COMPUTED_VALUE"""),"Array;Math;Bit Manipulation;")</f>
        <v>Array;Math;Bit Manipulation;</v>
      </c>
      <c r="M478" s="20" t="b">
        <f>IFERROR(__xludf.DUMMYFUNCTION("""COMPUTED_VALUE"""),TRUE)</f>
        <v>1</v>
      </c>
      <c r="N478" s="20" t="b">
        <f>IFERROR(__xludf.DUMMYFUNCTION("""COMPUTED_VALUE"""),FALSE)</f>
        <v>0</v>
      </c>
      <c r="O478" s="20">
        <f>IFERROR(__xludf.DUMMYFUNCTION("""COMPUTED_VALUE"""),52.1520491645438)</f>
        <v>52.15204916</v>
      </c>
      <c r="P478" s="20">
        <f>IFERROR(__xludf.DUMMYFUNCTION("""COMPUTED_VALUE"""),94790.0)</f>
        <v>94790</v>
      </c>
      <c r="Q478" s="20">
        <f>IFERROR(__xludf.DUMMYFUNCTION("""COMPUTED_VALUE"""),181757.0)</f>
        <v>181757</v>
      </c>
    </row>
    <row r="479">
      <c r="A479" s="20">
        <f>IFERROR(__xludf.DUMMYFUNCTION("""COMPUTED_VALUE"""),915.0)</f>
        <v>915</v>
      </c>
      <c r="B479" s="20" t="str">
        <f>IFERROR(__xludf.DUMMYFUNCTION("""COMPUTED_VALUE"""),"Generate Random Point in a Circle")</f>
        <v>Generate Random Point in a Circle</v>
      </c>
      <c r="C479" s="20" t="str">
        <f>IFERROR(__xludf.DUMMYFUNCTION("""COMPUTED_VALUE"""),"generate-random-point-in-a-circle")</f>
        <v>generate-random-point-in-a-circle</v>
      </c>
      <c r="D479" s="20" t="b">
        <f>IFERROR(__xludf.DUMMYFUNCTION("""COMPUTED_VALUE"""),FALSE)</f>
        <v>0</v>
      </c>
      <c r="E479" s="20" t="str">
        <f>IFERROR(__xludf.DUMMYFUNCTION("""COMPUTED_VALUE"""),"Medium")</f>
        <v>Medium</v>
      </c>
      <c r="F479" s="20">
        <f>IFERROR(__xludf.DUMMYFUNCTION("""COMPUTED_VALUE"""),391.0)</f>
        <v>391</v>
      </c>
      <c r="G479" s="20">
        <f>IFERROR(__xludf.DUMMYFUNCTION("""COMPUTED_VALUE"""),710.0)</f>
        <v>710</v>
      </c>
      <c r="H479" s="20" t="str">
        <f>IFERROR(__xludf.DUMMYFUNCTION("""COMPUTED_VALUE"""),"Algorithms")</f>
        <v>Algorithms</v>
      </c>
      <c r="I479" s="20">
        <f>IFERROR(__xludf.DUMMYFUNCTION("""COMPUTED_VALUE"""),0.396)</f>
        <v>0.396</v>
      </c>
      <c r="J479" s="20">
        <f>IFERROR(__xludf.DUMMYFUNCTION("""COMPUTED_VALUE"""),478.0)</f>
        <v>478</v>
      </c>
      <c r="K479" s="20" t="b">
        <f>IFERROR(__xludf.DUMMYFUNCTION("""COMPUTED_VALUE"""),FALSE)</f>
        <v>0</v>
      </c>
      <c r="L479" s="20" t="str">
        <f>IFERROR(__xludf.DUMMYFUNCTION("""COMPUTED_VALUE"""),"Math;Geometry;Rejection Sampling;Randomized;")</f>
        <v>Math;Geometry;Rejection Sampling;Randomized;</v>
      </c>
      <c r="M479" s="20" t="b">
        <f>IFERROR(__xludf.DUMMYFUNCTION("""COMPUTED_VALUE"""),TRUE)</f>
        <v>1</v>
      </c>
      <c r="N479" s="20" t="b">
        <f>IFERROR(__xludf.DUMMYFUNCTION("""COMPUTED_VALUE"""),FALSE)</f>
        <v>0</v>
      </c>
      <c r="O479" s="20">
        <f>IFERROR(__xludf.DUMMYFUNCTION("""COMPUTED_VALUE"""),39.574374241923)</f>
        <v>39.57437424</v>
      </c>
      <c r="P479" s="20">
        <f>IFERROR(__xludf.DUMMYFUNCTION("""COMPUTED_VALUE"""),35890.0)</f>
        <v>35890</v>
      </c>
      <c r="Q479" s="20">
        <f>IFERROR(__xludf.DUMMYFUNCTION("""COMPUTED_VALUE"""),90690.0)</f>
        <v>90690</v>
      </c>
    </row>
    <row r="480">
      <c r="A480" s="20">
        <f>IFERROR(__xludf.DUMMYFUNCTION("""COMPUTED_VALUE"""),479.0)</f>
        <v>479</v>
      </c>
      <c r="B480" s="20" t="str">
        <f>IFERROR(__xludf.DUMMYFUNCTION("""COMPUTED_VALUE"""),"Largest Palindrome Product")</f>
        <v>Largest Palindrome Product</v>
      </c>
      <c r="C480" s="20" t="str">
        <f>IFERROR(__xludf.DUMMYFUNCTION("""COMPUTED_VALUE"""),"largest-palindrome-product")</f>
        <v>largest-palindrome-product</v>
      </c>
      <c r="D480" s="20" t="b">
        <f>IFERROR(__xludf.DUMMYFUNCTION("""COMPUTED_VALUE"""),FALSE)</f>
        <v>0</v>
      </c>
      <c r="E480" s="20" t="str">
        <f>IFERROR(__xludf.DUMMYFUNCTION("""COMPUTED_VALUE"""),"Hard")</f>
        <v>Hard</v>
      </c>
      <c r="F480" s="20">
        <f>IFERROR(__xludf.DUMMYFUNCTION("""COMPUTED_VALUE"""),146.0)</f>
        <v>146</v>
      </c>
      <c r="G480" s="20">
        <f>IFERROR(__xludf.DUMMYFUNCTION("""COMPUTED_VALUE"""),1495.0)</f>
        <v>1495</v>
      </c>
      <c r="H480" s="20" t="str">
        <f>IFERROR(__xludf.DUMMYFUNCTION("""COMPUTED_VALUE"""),"Algorithms")</f>
        <v>Algorithms</v>
      </c>
      <c r="I480" s="20">
        <f>IFERROR(__xludf.DUMMYFUNCTION("""COMPUTED_VALUE"""),0.318)</f>
        <v>0.318</v>
      </c>
      <c r="J480" s="20">
        <f>IFERROR(__xludf.DUMMYFUNCTION("""COMPUTED_VALUE"""),479.0)</f>
        <v>479</v>
      </c>
      <c r="K480" s="20" t="b">
        <f>IFERROR(__xludf.DUMMYFUNCTION("""COMPUTED_VALUE"""),FALSE)</f>
        <v>0</v>
      </c>
      <c r="L480" s="20" t="str">
        <f>IFERROR(__xludf.DUMMYFUNCTION("""COMPUTED_VALUE"""),"Math;")</f>
        <v>Math;</v>
      </c>
      <c r="M480" s="20" t="b">
        <f>IFERROR(__xludf.DUMMYFUNCTION("""COMPUTED_VALUE"""),FALSE)</f>
        <v>0</v>
      </c>
      <c r="N480" s="20" t="b">
        <f>IFERROR(__xludf.DUMMYFUNCTION("""COMPUTED_VALUE"""),FALSE)</f>
        <v>0</v>
      </c>
      <c r="O480" s="20">
        <f>IFERROR(__xludf.DUMMYFUNCTION("""COMPUTED_VALUE"""),31.7509566656324)</f>
        <v>31.75095667</v>
      </c>
      <c r="P480" s="20">
        <f>IFERROR(__xludf.DUMMYFUNCTION("""COMPUTED_VALUE"""),21490.0)</f>
        <v>21490</v>
      </c>
      <c r="Q480" s="20">
        <f>IFERROR(__xludf.DUMMYFUNCTION("""COMPUTED_VALUE"""),67683.0)</f>
        <v>67683</v>
      </c>
    </row>
    <row r="481">
      <c r="A481" s="20">
        <f>IFERROR(__xludf.DUMMYFUNCTION("""COMPUTED_VALUE"""),480.0)</f>
        <v>480</v>
      </c>
      <c r="B481" s="20" t="str">
        <f>IFERROR(__xludf.DUMMYFUNCTION("""COMPUTED_VALUE"""),"Sliding Window Median")</f>
        <v>Sliding Window Median</v>
      </c>
      <c r="C481" s="20" t="str">
        <f>IFERROR(__xludf.DUMMYFUNCTION("""COMPUTED_VALUE"""),"sliding-window-median")</f>
        <v>sliding-window-median</v>
      </c>
      <c r="D481" s="20" t="b">
        <f>IFERROR(__xludf.DUMMYFUNCTION("""COMPUTED_VALUE"""),FALSE)</f>
        <v>0</v>
      </c>
      <c r="E481" s="20" t="str">
        <f>IFERROR(__xludf.DUMMYFUNCTION("""COMPUTED_VALUE"""),"Hard")</f>
        <v>Hard</v>
      </c>
      <c r="F481" s="20">
        <f>IFERROR(__xludf.DUMMYFUNCTION("""COMPUTED_VALUE"""),2637.0)</f>
        <v>2637</v>
      </c>
      <c r="G481" s="20">
        <f>IFERROR(__xludf.DUMMYFUNCTION("""COMPUTED_VALUE"""),152.0)</f>
        <v>152</v>
      </c>
      <c r="H481" s="20" t="str">
        <f>IFERROR(__xludf.DUMMYFUNCTION("""COMPUTED_VALUE"""),"Algorithms")</f>
        <v>Algorithms</v>
      </c>
      <c r="I481" s="20">
        <f>IFERROR(__xludf.DUMMYFUNCTION("""COMPUTED_VALUE"""),0.414)</f>
        <v>0.414</v>
      </c>
      <c r="J481" s="20">
        <f>IFERROR(__xludf.DUMMYFUNCTION("""COMPUTED_VALUE"""),480.0)</f>
        <v>480</v>
      </c>
      <c r="K481" s="20" t="b">
        <f>IFERROR(__xludf.DUMMYFUNCTION("""COMPUTED_VALUE"""),FALSE)</f>
        <v>0</v>
      </c>
      <c r="L481" s="20" t="str">
        <f>IFERROR(__xludf.DUMMYFUNCTION("""COMPUTED_VALUE"""),"Array;Hash Table;Sliding Window;Heap (Priority Queue);")</f>
        <v>Array;Hash Table;Sliding Window;Heap (Priority Queue);</v>
      </c>
      <c r="M481" s="20" t="b">
        <f>IFERROR(__xludf.DUMMYFUNCTION("""COMPUTED_VALUE"""),TRUE)</f>
        <v>1</v>
      </c>
      <c r="N481" s="20" t="b">
        <f>IFERROR(__xludf.DUMMYFUNCTION("""COMPUTED_VALUE"""),FALSE)</f>
        <v>0</v>
      </c>
      <c r="O481" s="20">
        <f>IFERROR(__xludf.DUMMYFUNCTION("""COMPUTED_VALUE"""),41.4084804546166)</f>
        <v>41.40848045</v>
      </c>
      <c r="P481" s="20">
        <f>IFERROR(__xludf.DUMMYFUNCTION("""COMPUTED_VALUE"""),121543.0)</f>
        <v>121543</v>
      </c>
      <c r="Q481" s="20">
        <f>IFERROR(__xludf.DUMMYFUNCTION("""COMPUTED_VALUE"""),293522.0)</f>
        <v>293522</v>
      </c>
    </row>
    <row r="482">
      <c r="A482" s="20">
        <f>IFERROR(__xludf.DUMMYFUNCTION("""COMPUTED_VALUE"""),481.0)</f>
        <v>481</v>
      </c>
      <c r="B482" s="20" t="str">
        <f>IFERROR(__xludf.DUMMYFUNCTION("""COMPUTED_VALUE"""),"Magical String")</f>
        <v>Magical String</v>
      </c>
      <c r="C482" s="20" t="str">
        <f>IFERROR(__xludf.DUMMYFUNCTION("""COMPUTED_VALUE"""),"magical-string")</f>
        <v>magical-string</v>
      </c>
      <c r="D482" s="20" t="b">
        <f>IFERROR(__xludf.DUMMYFUNCTION("""COMPUTED_VALUE"""),FALSE)</f>
        <v>0</v>
      </c>
      <c r="E482" s="20" t="str">
        <f>IFERROR(__xludf.DUMMYFUNCTION("""COMPUTED_VALUE"""),"Medium")</f>
        <v>Medium</v>
      </c>
      <c r="F482" s="20">
        <f>IFERROR(__xludf.DUMMYFUNCTION("""COMPUTED_VALUE"""),228.0)</f>
        <v>228</v>
      </c>
      <c r="G482" s="20">
        <f>IFERROR(__xludf.DUMMYFUNCTION("""COMPUTED_VALUE"""),1056.0)</f>
        <v>1056</v>
      </c>
      <c r="H482" s="20" t="str">
        <f>IFERROR(__xludf.DUMMYFUNCTION("""COMPUTED_VALUE"""),"Algorithms")</f>
        <v>Algorithms</v>
      </c>
      <c r="I482" s="20">
        <f>IFERROR(__xludf.DUMMYFUNCTION("""COMPUTED_VALUE"""),0.506)</f>
        <v>0.506</v>
      </c>
      <c r="J482" s="20">
        <f>IFERROR(__xludf.DUMMYFUNCTION("""COMPUTED_VALUE"""),481.0)</f>
        <v>481</v>
      </c>
      <c r="K482" s="20" t="b">
        <f>IFERROR(__xludf.DUMMYFUNCTION("""COMPUTED_VALUE"""),FALSE)</f>
        <v>0</v>
      </c>
      <c r="L482" s="20" t="str">
        <f>IFERROR(__xludf.DUMMYFUNCTION("""COMPUTED_VALUE"""),"Two Pointers;String;")</f>
        <v>Two Pointers;String;</v>
      </c>
      <c r="M482" s="20" t="b">
        <f>IFERROR(__xludf.DUMMYFUNCTION("""COMPUTED_VALUE"""),FALSE)</f>
        <v>0</v>
      </c>
      <c r="N482" s="20" t="b">
        <f>IFERROR(__xludf.DUMMYFUNCTION("""COMPUTED_VALUE"""),FALSE)</f>
        <v>0</v>
      </c>
      <c r="O482" s="20">
        <f>IFERROR(__xludf.DUMMYFUNCTION("""COMPUTED_VALUE"""),50.5884709771122)</f>
        <v>50.58847098</v>
      </c>
      <c r="P482" s="20">
        <f>IFERROR(__xludf.DUMMYFUNCTION("""COMPUTED_VALUE"""),30303.0)</f>
        <v>30303</v>
      </c>
      <c r="Q482" s="20">
        <f>IFERROR(__xludf.DUMMYFUNCTION("""COMPUTED_VALUE"""),59901.0)</f>
        <v>59901</v>
      </c>
    </row>
    <row r="483">
      <c r="A483" s="20">
        <f>IFERROR(__xludf.DUMMYFUNCTION("""COMPUTED_VALUE"""),482.0)</f>
        <v>482</v>
      </c>
      <c r="B483" s="20" t="str">
        <f>IFERROR(__xludf.DUMMYFUNCTION("""COMPUTED_VALUE"""),"License Key Formatting")</f>
        <v>License Key Formatting</v>
      </c>
      <c r="C483" s="20" t="str">
        <f>IFERROR(__xludf.DUMMYFUNCTION("""COMPUTED_VALUE"""),"license-key-formatting")</f>
        <v>license-key-formatting</v>
      </c>
      <c r="D483" s="20" t="b">
        <f>IFERROR(__xludf.DUMMYFUNCTION("""COMPUTED_VALUE"""),FALSE)</f>
        <v>0</v>
      </c>
      <c r="E483" s="20" t="str">
        <f>IFERROR(__xludf.DUMMYFUNCTION("""COMPUTED_VALUE"""),"Easy")</f>
        <v>Easy</v>
      </c>
      <c r="F483" s="20">
        <f>IFERROR(__xludf.DUMMYFUNCTION("""COMPUTED_VALUE"""),898.0)</f>
        <v>898</v>
      </c>
      <c r="G483" s="20">
        <f>IFERROR(__xludf.DUMMYFUNCTION("""COMPUTED_VALUE"""),1210.0)</f>
        <v>1210</v>
      </c>
      <c r="H483" s="20" t="str">
        <f>IFERROR(__xludf.DUMMYFUNCTION("""COMPUTED_VALUE"""),"Algorithms")</f>
        <v>Algorithms</v>
      </c>
      <c r="I483" s="20">
        <f>IFERROR(__xludf.DUMMYFUNCTION("""COMPUTED_VALUE"""),0.432)</f>
        <v>0.432</v>
      </c>
      <c r="J483" s="20">
        <f>IFERROR(__xludf.DUMMYFUNCTION("""COMPUTED_VALUE"""),482.0)</f>
        <v>482</v>
      </c>
      <c r="K483" s="20" t="b">
        <f>IFERROR(__xludf.DUMMYFUNCTION("""COMPUTED_VALUE"""),FALSE)</f>
        <v>0</v>
      </c>
      <c r="L483" s="20" t="str">
        <f>IFERROR(__xludf.DUMMYFUNCTION("""COMPUTED_VALUE"""),"String;")</f>
        <v>String;</v>
      </c>
      <c r="M483" s="20" t="b">
        <f>IFERROR(__xludf.DUMMYFUNCTION("""COMPUTED_VALUE"""),TRUE)</f>
        <v>1</v>
      </c>
      <c r="N483" s="20" t="b">
        <f>IFERROR(__xludf.DUMMYFUNCTION("""COMPUTED_VALUE"""),FALSE)</f>
        <v>0</v>
      </c>
      <c r="O483" s="20">
        <f>IFERROR(__xludf.DUMMYFUNCTION("""COMPUTED_VALUE"""),43.2476749435665)</f>
        <v>43.24767494</v>
      </c>
      <c r="P483" s="20">
        <f>IFERROR(__xludf.DUMMYFUNCTION("""COMPUTED_VALUE"""),239484.0)</f>
        <v>239484</v>
      </c>
      <c r="Q483" s="20">
        <f>IFERROR(__xludf.DUMMYFUNCTION("""COMPUTED_VALUE"""),553750.0)</f>
        <v>553750</v>
      </c>
    </row>
    <row r="484">
      <c r="A484" s="20">
        <f>IFERROR(__xludf.DUMMYFUNCTION("""COMPUTED_VALUE"""),483.0)</f>
        <v>483</v>
      </c>
      <c r="B484" s="20" t="str">
        <f>IFERROR(__xludf.DUMMYFUNCTION("""COMPUTED_VALUE"""),"Smallest Good Base")</f>
        <v>Smallest Good Base</v>
      </c>
      <c r="C484" s="20" t="str">
        <f>IFERROR(__xludf.DUMMYFUNCTION("""COMPUTED_VALUE"""),"smallest-good-base")</f>
        <v>smallest-good-base</v>
      </c>
      <c r="D484" s="20" t="b">
        <f>IFERROR(__xludf.DUMMYFUNCTION("""COMPUTED_VALUE"""),FALSE)</f>
        <v>0</v>
      </c>
      <c r="E484" s="20" t="str">
        <f>IFERROR(__xludf.DUMMYFUNCTION("""COMPUTED_VALUE"""),"Hard")</f>
        <v>Hard</v>
      </c>
      <c r="F484" s="20">
        <f>IFERROR(__xludf.DUMMYFUNCTION("""COMPUTED_VALUE"""),318.0)</f>
        <v>318</v>
      </c>
      <c r="G484" s="20">
        <f>IFERROR(__xludf.DUMMYFUNCTION("""COMPUTED_VALUE"""),455.0)</f>
        <v>455</v>
      </c>
      <c r="H484" s="20" t="str">
        <f>IFERROR(__xludf.DUMMYFUNCTION("""COMPUTED_VALUE"""),"Algorithms")</f>
        <v>Algorithms</v>
      </c>
      <c r="I484" s="20">
        <f>IFERROR(__xludf.DUMMYFUNCTION("""COMPUTED_VALUE"""),0.384)</f>
        <v>0.384</v>
      </c>
      <c r="J484" s="20">
        <f>IFERROR(__xludf.DUMMYFUNCTION("""COMPUTED_VALUE"""),483.0)</f>
        <v>483</v>
      </c>
      <c r="K484" s="20" t="b">
        <f>IFERROR(__xludf.DUMMYFUNCTION("""COMPUTED_VALUE"""),FALSE)</f>
        <v>0</v>
      </c>
      <c r="L484" s="20" t="str">
        <f>IFERROR(__xludf.DUMMYFUNCTION("""COMPUTED_VALUE"""),"Math;Binary Search;")</f>
        <v>Math;Binary Search;</v>
      </c>
      <c r="M484" s="20" t="b">
        <f>IFERROR(__xludf.DUMMYFUNCTION("""COMPUTED_VALUE"""),FALSE)</f>
        <v>0</v>
      </c>
      <c r="N484" s="20" t="b">
        <f>IFERROR(__xludf.DUMMYFUNCTION("""COMPUTED_VALUE"""),FALSE)</f>
        <v>0</v>
      </c>
      <c r="O484" s="20">
        <f>IFERROR(__xludf.DUMMYFUNCTION("""COMPUTED_VALUE"""),38.4235318748037)</f>
        <v>38.42353187</v>
      </c>
      <c r="P484" s="20">
        <f>IFERROR(__xludf.DUMMYFUNCTION("""COMPUTED_VALUE"""),18353.0)</f>
        <v>18353</v>
      </c>
      <c r="Q484" s="20">
        <f>IFERROR(__xludf.DUMMYFUNCTION("""COMPUTED_VALUE"""),47765.0)</f>
        <v>47765</v>
      </c>
    </row>
    <row r="485">
      <c r="A485" s="20">
        <f>IFERROR(__xludf.DUMMYFUNCTION("""COMPUTED_VALUE"""),484.0)</f>
        <v>484</v>
      </c>
      <c r="B485" s="20" t="str">
        <f>IFERROR(__xludf.DUMMYFUNCTION("""COMPUTED_VALUE"""),"Find Permutation")</f>
        <v>Find Permutation</v>
      </c>
      <c r="C485" s="20" t="str">
        <f>IFERROR(__xludf.DUMMYFUNCTION("""COMPUTED_VALUE"""),"find-permutation")</f>
        <v>find-permutation</v>
      </c>
      <c r="D485" s="20" t="b">
        <f>IFERROR(__xludf.DUMMYFUNCTION("""COMPUTED_VALUE"""),TRUE)</f>
        <v>1</v>
      </c>
      <c r="E485" s="20" t="str">
        <f>IFERROR(__xludf.DUMMYFUNCTION("""COMPUTED_VALUE"""),"Medium")</f>
        <v>Medium</v>
      </c>
      <c r="F485" s="20">
        <f>IFERROR(__xludf.DUMMYFUNCTION("""COMPUTED_VALUE"""),635.0)</f>
        <v>635</v>
      </c>
      <c r="G485" s="20">
        <f>IFERROR(__xludf.DUMMYFUNCTION("""COMPUTED_VALUE"""),119.0)</f>
        <v>119</v>
      </c>
      <c r="H485" s="20" t="str">
        <f>IFERROR(__xludf.DUMMYFUNCTION("""COMPUTED_VALUE"""),"Algorithms")</f>
        <v>Algorithms</v>
      </c>
      <c r="I485" s="20">
        <f>IFERROR(__xludf.DUMMYFUNCTION("""COMPUTED_VALUE"""),0.67)</f>
        <v>0.67</v>
      </c>
      <c r="J485" s="20">
        <f>IFERROR(__xludf.DUMMYFUNCTION("""COMPUTED_VALUE"""),484.0)</f>
        <v>484</v>
      </c>
      <c r="K485" s="20" t="b">
        <f>IFERROR(__xludf.DUMMYFUNCTION("""COMPUTED_VALUE"""),TRUE)</f>
        <v>1</v>
      </c>
      <c r="L485" s="20" t="str">
        <f>IFERROR(__xludf.DUMMYFUNCTION("""COMPUTED_VALUE"""),"Array;String;Stack;Greedy;")</f>
        <v>Array;String;Stack;Greedy;</v>
      </c>
      <c r="M485" s="20" t="b">
        <f>IFERROR(__xludf.DUMMYFUNCTION("""COMPUTED_VALUE"""),TRUE)</f>
        <v>1</v>
      </c>
      <c r="N485" s="20" t="b">
        <f>IFERROR(__xludf.DUMMYFUNCTION("""COMPUTED_VALUE"""),FALSE)</f>
        <v>0</v>
      </c>
      <c r="O485" s="20">
        <f>IFERROR(__xludf.DUMMYFUNCTION("""COMPUTED_VALUE"""),66.961624089657)</f>
        <v>66.96162409</v>
      </c>
      <c r="P485" s="20">
        <f>IFERROR(__xludf.DUMMYFUNCTION("""COMPUTED_VALUE"""),35491.0)</f>
        <v>35491</v>
      </c>
      <c r="Q485" s="20">
        <f>IFERROR(__xludf.DUMMYFUNCTION("""COMPUTED_VALUE"""),53002.0)</f>
        <v>53002</v>
      </c>
    </row>
    <row r="486">
      <c r="A486" s="20">
        <f>IFERROR(__xludf.DUMMYFUNCTION("""COMPUTED_VALUE"""),485.0)</f>
        <v>485</v>
      </c>
      <c r="B486" s="20" t="str">
        <f>IFERROR(__xludf.DUMMYFUNCTION("""COMPUTED_VALUE"""),"Max Consecutive Ones")</f>
        <v>Max Consecutive Ones</v>
      </c>
      <c r="C486" s="20" t="str">
        <f>IFERROR(__xludf.DUMMYFUNCTION("""COMPUTED_VALUE"""),"max-consecutive-ones")</f>
        <v>max-consecutive-ones</v>
      </c>
      <c r="D486" s="20" t="b">
        <f>IFERROR(__xludf.DUMMYFUNCTION("""COMPUTED_VALUE"""),FALSE)</f>
        <v>0</v>
      </c>
      <c r="E486" s="20" t="str">
        <f>IFERROR(__xludf.DUMMYFUNCTION("""COMPUTED_VALUE"""),"Easy")</f>
        <v>Easy</v>
      </c>
      <c r="F486" s="20">
        <f>IFERROR(__xludf.DUMMYFUNCTION("""COMPUTED_VALUE"""),3750.0)</f>
        <v>3750</v>
      </c>
      <c r="G486" s="20">
        <f>IFERROR(__xludf.DUMMYFUNCTION("""COMPUTED_VALUE"""),417.0)</f>
        <v>417</v>
      </c>
      <c r="H486" s="20" t="str">
        <f>IFERROR(__xludf.DUMMYFUNCTION("""COMPUTED_VALUE"""),"Algorithms")</f>
        <v>Algorithms</v>
      </c>
      <c r="I486" s="20">
        <f>IFERROR(__xludf.DUMMYFUNCTION("""COMPUTED_VALUE"""),0.562)</f>
        <v>0.562</v>
      </c>
      <c r="J486" s="20">
        <f>IFERROR(__xludf.DUMMYFUNCTION("""COMPUTED_VALUE"""),485.0)</f>
        <v>485</v>
      </c>
      <c r="K486" s="20" t="b">
        <f>IFERROR(__xludf.DUMMYFUNCTION("""COMPUTED_VALUE"""),FALSE)</f>
        <v>0</v>
      </c>
      <c r="L486" s="20" t="str">
        <f>IFERROR(__xludf.DUMMYFUNCTION("""COMPUTED_VALUE"""),"Array;")</f>
        <v>Array;</v>
      </c>
      <c r="M486" s="20" t="b">
        <f>IFERROR(__xludf.DUMMYFUNCTION("""COMPUTED_VALUE"""),TRUE)</f>
        <v>1</v>
      </c>
      <c r="N486" s="20" t="b">
        <f>IFERROR(__xludf.DUMMYFUNCTION("""COMPUTED_VALUE"""),FALSE)</f>
        <v>0</v>
      </c>
      <c r="O486" s="20">
        <f>IFERROR(__xludf.DUMMYFUNCTION("""COMPUTED_VALUE"""),56.2236345175939)</f>
        <v>56.22363452</v>
      </c>
      <c r="P486" s="20">
        <f>IFERROR(__xludf.DUMMYFUNCTION("""COMPUTED_VALUE"""),794070.0)</f>
        <v>794070</v>
      </c>
      <c r="Q486" s="20">
        <f>IFERROR(__xludf.DUMMYFUNCTION("""COMPUTED_VALUE"""),1412349.0)</f>
        <v>1412349</v>
      </c>
    </row>
    <row r="487">
      <c r="A487" s="20">
        <f>IFERROR(__xludf.DUMMYFUNCTION("""COMPUTED_VALUE"""),486.0)</f>
        <v>486</v>
      </c>
      <c r="B487" s="20" t="str">
        <f>IFERROR(__xludf.DUMMYFUNCTION("""COMPUTED_VALUE"""),"Predict the Winner")</f>
        <v>Predict the Winner</v>
      </c>
      <c r="C487" s="20" t="str">
        <f>IFERROR(__xludf.DUMMYFUNCTION("""COMPUTED_VALUE"""),"predict-the-winner")</f>
        <v>predict-the-winner</v>
      </c>
      <c r="D487" s="20" t="b">
        <f>IFERROR(__xludf.DUMMYFUNCTION("""COMPUTED_VALUE"""),FALSE)</f>
        <v>0</v>
      </c>
      <c r="E487" s="20" t="str">
        <f>IFERROR(__xludf.DUMMYFUNCTION("""COMPUTED_VALUE"""),"Medium")</f>
        <v>Medium</v>
      </c>
      <c r="F487" s="20">
        <f>IFERROR(__xludf.DUMMYFUNCTION("""COMPUTED_VALUE"""),3579.0)</f>
        <v>3579</v>
      </c>
      <c r="G487" s="20">
        <f>IFERROR(__xludf.DUMMYFUNCTION("""COMPUTED_VALUE"""),174.0)</f>
        <v>174</v>
      </c>
      <c r="H487" s="20" t="str">
        <f>IFERROR(__xludf.DUMMYFUNCTION("""COMPUTED_VALUE"""),"Algorithms")</f>
        <v>Algorithms</v>
      </c>
      <c r="I487" s="20">
        <f>IFERROR(__xludf.DUMMYFUNCTION("""COMPUTED_VALUE"""),0.509)</f>
        <v>0.509</v>
      </c>
      <c r="J487" s="20">
        <f>IFERROR(__xludf.DUMMYFUNCTION("""COMPUTED_VALUE"""),486.0)</f>
        <v>486</v>
      </c>
      <c r="K487" s="20" t="b">
        <f>IFERROR(__xludf.DUMMYFUNCTION("""COMPUTED_VALUE"""),FALSE)</f>
        <v>0</v>
      </c>
      <c r="L487" s="20" t="str">
        <f>IFERROR(__xludf.DUMMYFUNCTION("""COMPUTED_VALUE"""),"Array;Math;Dynamic Programming;Recursion;Game Theory;")</f>
        <v>Array;Math;Dynamic Programming;Recursion;Game Theory;</v>
      </c>
      <c r="M487" s="20" t="b">
        <f>IFERROR(__xludf.DUMMYFUNCTION("""COMPUTED_VALUE"""),TRUE)</f>
        <v>1</v>
      </c>
      <c r="N487" s="20" t="b">
        <f>IFERROR(__xludf.DUMMYFUNCTION("""COMPUTED_VALUE"""),FALSE)</f>
        <v>0</v>
      </c>
      <c r="O487" s="20">
        <f>IFERROR(__xludf.DUMMYFUNCTION("""COMPUTED_VALUE"""),50.8810667543622)</f>
        <v>50.88106675</v>
      </c>
      <c r="P487" s="20">
        <f>IFERROR(__xludf.DUMMYFUNCTION("""COMPUTED_VALUE"""),129964.0)</f>
        <v>129964</v>
      </c>
      <c r="Q487" s="20">
        <f>IFERROR(__xludf.DUMMYFUNCTION("""COMPUTED_VALUE"""),255427.0)</f>
        <v>255427</v>
      </c>
    </row>
    <row r="488">
      <c r="A488" s="20">
        <f>IFERROR(__xludf.DUMMYFUNCTION("""COMPUTED_VALUE"""),487.0)</f>
        <v>487</v>
      </c>
      <c r="B488" s="20" t="str">
        <f>IFERROR(__xludf.DUMMYFUNCTION("""COMPUTED_VALUE"""),"Max Consecutive Ones II")</f>
        <v>Max Consecutive Ones II</v>
      </c>
      <c r="C488" s="20" t="str">
        <f>IFERROR(__xludf.DUMMYFUNCTION("""COMPUTED_VALUE"""),"max-consecutive-ones-ii")</f>
        <v>max-consecutive-ones-ii</v>
      </c>
      <c r="D488" s="20" t="b">
        <f>IFERROR(__xludf.DUMMYFUNCTION("""COMPUTED_VALUE"""),TRUE)</f>
        <v>1</v>
      </c>
      <c r="E488" s="20" t="str">
        <f>IFERROR(__xludf.DUMMYFUNCTION("""COMPUTED_VALUE"""),"Medium")</f>
        <v>Medium</v>
      </c>
      <c r="F488" s="20">
        <f>IFERROR(__xludf.DUMMYFUNCTION("""COMPUTED_VALUE"""),1319.0)</f>
        <v>1319</v>
      </c>
      <c r="G488" s="20">
        <f>IFERROR(__xludf.DUMMYFUNCTION("""COMPUTED_VALUE"""),22.0)</f>
        <v>22</v>
      </c>
      <c r="H488" s="20" t="str">
        <f>IFERROR(__xludf.DUMMYFUNCTION("""COMPUTED_VALUE"""),"Algorithms")</f>
        <v>Algorithms</v>
      </c>
      <c r="I488" s="20">
        <f>IFERROR(__xludf.DUMMYFUNCTION("""COMPUTED_VALUE"""),0.496)</f>
        <v>0.496</v>
      </c>
      <c r="J488" s="20">
        <f>IFERROR(__xludf.DUMMYFUNCTION("""COMPUTED_VALUE"""),487.0)</f>
        <v>487</v>
      </c>
      <c r="K488" s="20" t="b">
        <f>IFERROR(__xludf.DUMMYFUNCTION("""COMPUTED_VALUE"""),TRUE)</f>
        <v>1</v>
      </c>
      <c r="L488" s="20" t="str">
        <f>IFERROR(__xludf.DUMMYFUNCTION("""COMPUTED_VALUE"""),"Array;Dynamic Programming;Sliding Window;")</f>
        <v>Array;Dynamic Programming;Sliding Window;</v>
      </c>
      <c r="M488" s="20" t="b">
        <f>IFERROR(__xludf.DUMMYFUNCTION("""COMPUTED_VALUE"""),TRUE)</f>
        <v>1</v>
      </c>
      <c r="N488" s="20" t="b">
        <f>IFERROR(__xludf.DUMMYFUNCTION("""COMPUTED_VALUE"""),FALSE)</f>
        <v>0</v>
      </c>
      <c r="O488" s="20">
        <f>IFERROR(__xludf.DUMMYFUNCTION("""COMPUTED_VALUE"""),49.6489446736805)</f>
        <v>49.64894467</v>
      </c>
      <c r="P488" s="20">
        <f>IFERROR(__xludf.DUMMYFUNCTION("""COMPUTED_VALUE"""),114910.0)</f>
        <v>114910</v>
      </c>
      <c r="Q488" s="20">
        <f>IFERROR(__xludf.DUMMYFUNCTION("""COMPUTED_VALUE"""),231445.0)</f>
        <v>231445</v>
      </c>
    </row>
    <row r="489">
      <c r="A489" s="20">
        <f>IFERROR(__xludf.DUMMYFUNCTION("""COMPUTED_VALUE"""),488.0)</f>
        <v>488</v>
      </c>
      <c r="B489" s="20" t="str">
        <f>IFERROR(__xludf.DUMMYFUNCTION("""COMPUTED_VALUE"""),"Zuma Game")</f>
        <v>Zuma Game</v>
      </c>
      <c r="C489" s="20" t="str">
        <f>IFERROR(__xludf.DUMMYFUNCTION("""COMPUTED_VALUE"""),"zuma-game")</f>
        <v>zuma-game</v>
      </c>
      <c r="D489" s="20" t="b">
        <f>IFERROR(__xludf.DUMMYFUNCTION("""COMPUTED_VALUE"""),FALSE)</f>
        <v>0</v>
      </c>
      <c r="E489" s="20" t="str">
        <f>IFERROR(__xludf.DUMMYFUNCTION("""COMPUTED_VALUE"""),"Hard")</f>
        <v>Hard</v>
      </c>
      <c r="F489" s="20">
        <f>IFERROR(__xludf.DUMMYFUNCTION("""COMPUTED_VALUE"""),380.0)</f>
        <v>380</v>
      </c>
      <c r="G489" s="20">
        <f>IFERROR(__xludf.DUMMYFUNCTION("""COMPUTED_VALUE"""),447.0)</f>
        <v>447</v>
      </c>
      <c r="H489" s="20" t="str">
        <f>IFERROR(__xludf.DUMMYFUNCTION("""COMPUTED_VALUE"""),"Algorithms")</f>
        <v>Algorithms</v>
      </c>
      <c r="I489" s="20">
        <f>IFERROR(__xludf.DUMMYFUNCTION("""COMPUTED_VALUE"""),0.343)</f>
        <v>0.343</v>
      </c>
      <c r="J489" s="20">
        <f>IFERROR(__xludf.DUMMYFUNCTION("""COMPUTED_VALUE"""),488.0)</f>
        <v>488</v>
      </c>
      <c r="K489" s="20" t="b">
        <f>IFERROR(__xludf.DUMMYFUNCTION("""COMPUTED_VALUE"""),FALSE)</f>
        <v>0</v>
      </c>
      <c r="L489" s="20" t="str">
        <f>IFERROR(__xludf.DUMMYFUNCTION("""COMPUTED_VALUE"""),"String;Dynamic Programming;Breadth-First Search;Memoization;")</f>
        <v>String;Dynamic Programming;Breadth-First Search;Memoization;</v>
      </c>
      <c r="M489" s="20" t="b">
        <f>IFERROR(__xludf.DUMMYFUNCTION("""COMPUTED_VALUE"""),FALSE)</f>
        <v>0</v>
      </c>
      <c r="N489" s="20" t="b">
        <f>IFERROR(__xludf.DUMMYFUNCTION("""COMPUTED_VALUE"""),FALSE)</f>
        <v>0</v>
      </c>
      <c r="O489" s="20">
        <f>IFERROR(__xludf.DUMMYFUNCTION("""COMPUTED_VALUE"""),34.3183969191606)</f>
        <v>34.31839692</v>
      </c>
      <c r="P489" s="20">
        <f>IFERROR(__xludf.DUMMYFUNCTION("""COMPUTED_VALUE"""),21031.0)</f>
        <v>21031</v>
      </c>
      <c r="Q489" s="20">
        <f>IFERROR(__xludf.DUMMYFUNCTION("""COMPUTED_VALUE"""),61282.0)</f>
        <v>61282</v>
      </c>
    </row>
    <row r="490">
      <c r="A490" s="20">
        <f>IFERROR(__xludf.DUMMYFUNCTION("""COMPUTED_VALUE"""),865.0)</f>
        <v>865</v>
      </c>
      <c r="B490" s="20" t="str">
        <f>IFERROR(__xludf.DUMMYFUNCTION("""COMPUTED_VALUE"""),"Robot Room Cleaner")</f>
        <v>Robot Room Cleaner</v>
      </c>
      <c r="C490" s="20" t="str">
        <f>IFERROR(__xludf.DUMMYFUNCTION("""COMPUTED_VALUE"""),"robot-room-cleaner")</f>
        <v>robot-room-cleaner</v>
      </c>
      <c r="D490" s="20" t="b">
        <f>IFERROR(__xludf.DUMMYFUNCTION("""COMPUTED_VALUE"""),TRUE)</f>
        <v>1</v>
      </c>
      <c r="E490" s="20" t="str">
        <f>IFERROR(__xludf.DUMMYFUNCTION("""COMPUTED_VALUE"""),"Hard")</f>
        <v>Hard</v>
      </c>
      <c r="F490" s="20">
        <f>IFERROR(__xludf.DUMMYFUNCTION("""COMPUTED_VALUE"""),2539.0)</f>
        <v>2539</v>
      </c>
      <c r="G490" s="20">
        <f>IFERROR(__xludf.DUMMYFUNCTION("""COMPUTED_VALUE"""),157.0)</f>
        <v>157</v>
      </c>
      <c r="H490" s="20" t="str">
        <f>IFERROR(__xludf.DUMMYFUNCTION("""COMPUTED_VALUE"""),"Algorithms")</f>
        <v>Algorithms</v>
      </c>
      <c r="I490" s="20">
        <f>IFERROR(__xludf.DUMMYFUNCTION("""COMPUTED_VALUE"""),0.766)</f>
        <v>0.766</v>
      </c>
      <c r="J490" s="20">
        <f>IFERROR(__xludf.DUMMYFUNCTION("""COMPUTED_VALUE"""),489.0)</f>
        <v>489</v>
      </c>
      <c r="K490" s="20" t="b">
        <f>IFERROR(__xludf.DUMMYFUNCTION("""COMPUTED_VALUE"""),TRUE)</f>
        <v>1</v>
      </c>
      <c r="L490" s="20" t="str">
        <f>IFERROR(__xludf.DUMMYFUNCTION("""COMPUTED_VALUE"""),"Backtracking;Interactive;")</f>
        <v>Backtracking;Interactive;</v>
      </c>
      <c r="M490" s="20" t="b">
        <f>IFERROR(__xludf.DUMMYFUNCTION("""COMPUTED_VALUE"""),TRUE)</f>
        <v>1</v>
      </c>
      <c r="N490" s="20" t="b">
        <f>IFERROR(__xludf.DUMMYFUNCTION("""COMPUTED_VALUE"""),FALSE)</f>
        <v>0</v>
      </c>
      <c r="O490" s="20">
        <f>IFERROR(__xludf.DUMMYFUNCTION("""COMPUTED_VALUE"""),76.5571851997681)</f>
        <v>76.5571852</v>
      </c>
      <c r="P490" s="20">
        <f>IFERROR(__xludf.DUMMYFUNCTION("""COMPUTED_VALUE"""),139994.0)</f>
        <v>139994</v>
      </c>
      <c r="Q490" s="20">
        <f>IFERROR(__xludf.DUMMYFUNCTION("""COMPUTED_VALUE"""),182862.0)</f>
        <v>182862</v>
      </c>
    </row>
    <row r="491">
      <c r="A491" s="20">
        <f>IFERROR(__xludf.DUMMYFUNCTION("""COMPUTED_VALUE"""),490.0)</f>
        <v>490</v>
      </c>
      <c r="B491" s="20" t="str">
        <f>IFERROR(__xludf.DUMMYFUNCTION("""COMPUTED_VALUE"""),"The Maze")</f>
        <v>The Maze</v>
      </c>
      <c r="C491" s="20" t="str">
        <f>IFERROR(__xludf.DUMMYFUNCTION("""COMPUTED_VALUE"""),"the-maze")</f>
        <v>the-maze</v>
      </c>
      <c r="D491" s="20" t="b">
        <f>IFERROR(__xludf.DUMMYFUNCTION("""COMPUTED_VALUE"""),TRUE)</f>
        <v>1</v>
      </c>
      <c r="E491" s="20" t="str">
        <f>IFERROR(__xludf.DUMMYFUNCTION("""COMPUTED_VALUE"""),"Medium")</f>
        <v>Medium</v>
      </c>
      <c r="F491" s="20">
        <f>IFERROR(__xludf.DUMMYFUNCTION("""COMPUTED_VALUE"""),1572.0)</f>
        <v>1572</v>
      </c>
      <c r="G491" s="20">
        <f>IFERROR(__xludf.DUMMYFUNCTION("""COMPUTED_VALUE"""),163.0)</f>
        <v>163</v>
      </c>
      <c r="H491" s="20" t="str">
        <f>IFERROR(__xludf.DUMMYFUNCTION("""COMPUTED_VALUE"""),"Algorithms")</f>
        <v>Algorithms</v>
      </c>
      <c r="I491" s="20">
        <f>IFERROR(__xludf.DUMMYFUNCTION("""COMPUTED_VALUE"""),0.555)</f>
        <v>0.555</v>
      </c>
      <c r="J491" s="20">
        <f>IFERROR(__xludf.DUMMYFUNCTION("""COMPUTED_VALUE"""),490.0)</f>
        <v>490</v>
      </c>
      <c r="K491" s="20" t="b">
        <f>IFERROR(__xludf.DUMMYFUNCTION("""COMPUTED_VALUE"""),TRUE)</f>
        <v>1</v>
      </c>
      <c r="L491" s="20" t="str">
        <f>IFERROR(__xludf.DUMMYFUNCTION("""COMPUTED_VALUE"""),"Depth-First Search;Breadth-First Search;Graph;")</f>
        <v>Depth-First Search;Breadth-First Search;Graph;</v>
      </c>
      <c r="M491" s="20" t="b">
        <f>IFERROR(__xludf.DUMMYFUNCTION("""COMPUTED_VALUE"""),TRUE)</f>
        <v>1</v>
      </c>
      <c r="N491" s="20" t="b">
        <f>IFERROR(__xludf.DUMMYFUNCTION("""COMPUTED_VALUE"""),FALSE)</f>
        <v>0</v>
      </c>
      <c r="O491" s="20">
        <f>IFERROR(__xludf.DUMMYFUNCTION("""COMPUTED_VALUE"""),55.5074894311476)</f>
        <v>55.50748943</v>
      </c>
      <c r="P491" s="20">
        <f>IFERROR(__xludf.DUMMYFUNCTION("""COMPUTED_VALUE"""),135369.0)</f>
        <v>135369</v>
      </c>
      <c r="Q491" s="20">
        <f>IFERROR(__xludf.DUMMYFUNCTION("""COMPUTED_VALUE"""),243876.0)</f>
        <v>243876</v>
      </c>
    </row>
    <row r="492">
      <c r="A492" s="20">
        <f>IFERROR(__xludf.DUMMYFUNCTION("""COMPUTED_VALUE"""),491.0)</f>
        <v>491</v>
      </c>
      <c r="B492" s="20" t="str">
        <f>IFERROR(__xludf.DUMMYFUNCTION("""COMPUTED_VALUE"""),"Non-decreasing Subsequences")</f>
        <v>Non-decreasing Subsequences</v>
      </c>
      <c r="C492" s="20" t="str">
        <f>IFERROR(__xludf.DUMMYFUNCTION("""COMPUTED_VALUE"""),"non-decreasing-subsequences")</f>
        <v>non-decreasing-subsequences</v>
      </c>
      <c r="D492" s="20" t="b">
        <f>IFERROR(__xludf.DUMMYFUNCTION("""COMPUTED_VALUE"""),FALSE)</f>
        <v>0</v>
      </c>
      <c r="E492" s="20" t="str">
        <f>IFERROR(__xludf.DUMMYFUNCTION("""COMPUTED_VALUE"""),"Medium")</f>
        <v>Medium</v>
      </c>
      <c r="F492" s="20">
        <f>IFERROR(__xludf.DUMMYFUNCTION("""COMPUTED_VALUE"""),1793.0)</f>
        <v>1793</v>
      </c>
      <c r="G492" s="20">
        <f>IFERROR(__xludf.DUMMYFUNCTION("""COMPUTED_VALUE"""),161.0)</f>
        <v>161</v>
      </c>
      <c r="H492" s="20" t="str">
        <f>IFERROR(__xludf.DUMMYFUNCTION("""COMPUTED_VALUE"""),"Algorithms")</f>
        <v>Algorithms</v>
      </c>
      <c r="I492" s="20">
        <f>IFERROR(__xludf.DUMMYFUNCTION("""COMPUTED_VALUE"""),0.522)</f>
        <v>0.522</v>
      </c>
      <c r="J492" s="20">
        <f>IFERROR(__xludf.DUMMYFUNCTION("""COMPUTED_VALUE"""),491.0)</f>
        <v>491</v>
      </c>
      <c r="K492" s="20" t="b">
        <f>IFERROR(__xludf.DUMMYFUNCTION("""COMPUTED_VALUE"""),FALSE)</f>
        <v>0</v>
      </c>
      <c r="L492" s="20" t="str">
        <f>IFERROR(__xludf.DUMMYFUNCTION("""COMPUTED_VALUE"""),"Array;Hash Table;Backtracking;Bit Manipulation;")</f>
        <v>Array;Hash Table;Backtracking;Bit Manipulation;</v>
      </c>
      <c r="M492" s="20" t="b">
        <f>IFERROR(__xludf.DUMMYFUNCTION("""COMPUTED_VALUE"""),TRUE)</f>
        <v>1</v>
      </c>
      <c r="N492" s="20" t="b">
        <f>IFERROR(__xludf.DUMMYFUNCTION("""COMPUTED_VALUE"""),FALSE)</f>
        <v>0</v>
      </c>
      <c r="O492" s="20">
        <f>IFERROR(__xludf.DUMMYFUNCTION("""COMPUTED_VALUE"""),52.2189125666882)</f>
        <v>52.21891257</v>
      </c>
      <c r="P492" s="20">
        <f>IFERROR(__xludf.DUMMYFUNCTION("""COMPUTED_VALUE"""),86426.0)</f>
        <v>86426</v>
      </c>
      <c r="Q492" s="20">
        <f>IFERROR(__xludf.DUMMYFUNCTION("""COMPUTED_VALUE"""),165508.0)</f>
        <v>165508</v>
      </c>
    </row>
    <row r="493">
      <c r="A493" s="20">
        <f>IFERROR(__xludf.DUMMYFUNCTION("""COMPUTED_VALUE"""),492.0)</f>
        <v>492</v>
      </c>
      <c r="B493" s="20" t="str">
        <f>IFERROR(__xludf.DUMMYFUNCTION("""COMPUTED_VALUE"""),"Construct the Rectangle")</f>
        <v>Construct the Rectangle</v>
      </c>
      <c r="C493" s="20" t="str">
        <f>IFERROR(__xludf.DUMMYFUNCTION("""COMPUTED_VALUE"""),"construct-the-rectangle")</f>
        <v>construct-the-rectangle</v>
      </c>
      <c r="D493" s="20" t="b">
        <f>IFERROR(__xludf.DUMMYFUNCTION("""COMPUTED_VALUE"""),FALSE)</f>
        <v>0</v>
      </c>
      <c r="E493" s="20" t="str">
        <f>IFERROR(__xludf.DUMMYFUNCTION("""COMPUTED_VALUE"""),"Easy")</f>
        <v>Easy</v>
      </c>
      <c r="F493" s="20">
        <f>IFERROR(__xludf.DUMMYFUNCTION("""COMPUTED_VALUE"""),511.0)</f>
        <v>511</v>
      </c>
      <c r="G493" s="20">
        <f>IFERROR(__xludf.DUMMYFUNCTION("""COMPUTED_VALUE"""),345.0)</f>
        <v>345</v>
      </c>
      <c r="H493" s="20" t="str">
        <f>IFERROR(__xludf.DUMMYFUNCTION("""COMPUTED_VALUE"""),"Algorithms")</f>
        <v>Algorithms</v>
      </c>
      <c r="I493" s="20">
        <f>IFERROR(__xludf.DUMMYFUNCTION("""COMPUTED_VALUE"""),0.539)</f>
        <v>0.539</v>
      </c>
      <c r="J493" s="20">
        <f>IFERROR(__xludf.DUMMYFUNCTION("""COMPUTED_VALUE"""),492.0)</f>
        <v>492</v>
      </c>
      <c r="K493" s="20" t="b">
        <f>IFERROR(__xludf.DUMMYFUNCTION("""COMPUTED_VALUE"""),FALSE)</f>
        <v>0</v>
      </c>
      <c r="L493" s="20" t="str">
        <f>IFERROR(__xludf.DUMMYFUNCTION("""COMPUTED_VALUE"""),"Math;")</f>
        <v>Math;</v>
      </c>
      <c r="M493" s="20" t="b">
        <f>IFERROR(__xludf.DUMMYFUNCTION("""COMPUTED_VALUE"""),FALSE)</f>
        <v>0</v>
      </c>
      <c r="N493" s="20" t="b">
        <f>IFERROR(__xludf.DUMMYFUNCTION("""COMPUTED_VALUE"""),FALSE)</f>
        <v>0</v>
      </c>
      <c r="O493" s="20">
        <f>IFERROR(__xludf.DUMMYFUNCTION("""COMPUTED_VALUE"""),53.930760908763)</f>
        <v>53.93076091</v>
      </c>
      <c r="P493" s="20">
        <f>IFERROR(__xludf.DUMMYFUNCTION("""COMPUTED_VALUE"""),89729.0)</f>
        <v>89729</v>
      </c>
      <c r="Q493" s="20">
        <f>IFERROR(__xludf.DUMMYFUNCTION("""COMPUTED_VALUE"""),166379.0)</f>
        <v>166379</v>
      </c>
    </row>
    <row r="494">
      <c r="A494" s="20">
        <f>IFERROR(__xludf.DUMMYFUNCTION("""COMPUTED_VALUE"""),493.0)</f>
        <v>493</v>
      </c>
      <c r="B494" s="20" t="str">
        <f>IFERROR(__xludf.DUMMYFUNCTION("""COMPUTED_VALUE"""),"Reverse Pairs")</f>
        <v>Reverse Pairs</v>
      </c>
      <c r="C494" s="20" t="str">
        <f>IFERROR(__xludf.DUMMYFUNCTION("""COMPUTED_VALUE"""),"reverse-pairs")</f>
        <v>reverse-pairs</v>
      </c>
      <c r="D494" s="20" t="b">
        <f>IFERROR(__xludf.DUMMYFUNCTION("""COMPUTED_VALUE"""),FALSE)</f>
        <v>0</v>
      </c>
      <c r="E494" s="20" t="str">
        <f>IFERROR(__xludf.DUMMYFUNCTION("""COMPUTED_VALUE"""),"Hard")</f>
        <v>Hard</v>
      </c>
      <c r="F494" s="20">
        <f>IFERROR(__xludf.DUMMYFUNCTION("""COMPUTED_VALUE"""),4297.0)</f>
        <v>4297</v>
      </c>
      <c r="G494" s="20">
        <f>IFERROR(__xludf.DUMMYFUNCTION("""COMPUTED_VALUE"""),215.0)</f>
        <v>215</v>
      </c>
      <c r="H494" s="20" t="str">
        <f>IFERROR(__xludf.DUMMYFUNCTION("""COMPUTED_VALUE"""),"Algorithms")</f>
        <v>Algorithms</v>
      </c>
      <c r="I494" s="20">
        <f>IFERROR(__xludf.DUMMYFUNCTION("""COMPUTED_VALUE"""),0.308)</f>
        <v>0.308</v>
      </c>
      <c r="J494" s="20">
        <f>IFERROR(__xludf.DUMMYFUNCTION("""COMPUTED_VALUE"""),493.0)</f>
        <v>493</v>
      </c>
      <c r="K494" s="20" t="b">
        <f>IFERROR(__xludf.DUMMYFUNCTION("""COMPUTED_VALUE"""),FALSE)</f>
        <v>0</v>
      </c>
      <c r="L494" s="20" t="str">
        <f>IFERROR(__xludf.DUMMYFUNCTION("""COMPUTED_VALUE"""),"Array;Binary Search;Divide and Conquer;Binary Indexed Tree;Segment Tree;Merge Sort;Ordered Set;")</f>
        <v>Array;Binary Search;Divide and Conquer;Binary Indexed Tree;Segment Tree;Merge Sort;Ordered Set;</v>
      </c>
      <c r="M494" s="20" t="b">
        <f>IFERROR(__xludf.DUMMYFUNCTION("""COMPUTED_VALUE"""),FALSE)</f>
        <v>0</v>
      </c>
      <c r="N494" s="20" t="b">
        <f>IFERROR(__xludf.DUMMYFUNCTION("""COMPUTED_VALUE"""),FALSE)</f>
        <v>0</v>
      </c>
      <c r="O494" s="20">
        <f>IFERROR(__xludf.DUMMYFUNCTION("""COMPUTED_VALUE"""),30.8361863865838)</f>
        <v>30.83618639</v>
      </c>
      <c r="P494" s="20">
        <f>IFERROR(__xludf.DUMMYFUNCTION("""COMPUTED_VALUE"""),111594.0)</f>
        <v>111594</v>
      </c>
      <c r="Q494" s="20">
        <f>IFERROR(__xludf.DUMMYFUNCTION("""COMPUTED_VALUE"""),361893.0)</f>
        <v>361893</v>
      </c>
    </row>
    <row r="495">
      <c r="A495" s="20">
        <f>IFERROR(__xludf.DUMMYFUNCTION("""COMPUTED_VALUE"""),494.0)</f>
        <v>494</v>
      </c>
      <c r="B495" s="20" t="str">
        <f>IFERROR(__xludf.DUMMYFUNCTION("""COMPUTED_VALUE"""),"Target Sum")</f>
        <v>Target Sum</v>
      </c>
      <c r="C495" s="20" t="str">
        <f>IFERROR(__xludf.DUMMYFUNCTION("""COMPUTED_VALUE"""),"target-sum")</f>
        <v>target-sum</v>
      </c>
      <c r="D495" s="20" t="b">
        <f>IFERROR(__xludf.DUMMYFUNCTION("""COMPUTED_VALUE"""),FALSE)</f>
        <v>0</v>
      </c>
      <c r="E495" s="20" t="str">
        <f>IFERROR(__xludf.DUMMYFUNCTION("""COMPUTED_VALUE"""),"Medium")</f>
        <v>Medium</v>
      </c>
      <c r="F495" s="20">
        <f>IFERROR(__xludf.DUMMYFUNCTION("""COMPUTED_VALUE"""),8525.0)</f>
        <v>8525</v>
      </c>
      <c r="G495" s="20">
        <f>IFERROR(__xludf.DUMMYFUNCTION("""COMPUTED_VALUE"""),304.0)</f>
        <v>304</v>
      </c>
      <c r="H495" s="20" t="str">
        <f>IFERROR(__xludf.DUMMYFUNCTION("""COMPUTED_VALUE"""),"Algorithms")</f>
        <v>Algorithms</v>
      </c>
      <c r="I495" s="20">
        <f>IFERROR(__xludf.DUMMYFUNCTION("""COMPUTED_VALUE"""),0.456)</f>
        <v>0.456</v>
      </c>
      <c r="J495" s="20">
        <f>IFERROR(__xludf.DUMMYFUNCTION("""COMPUTED_VALUE"""),494.0)</f>
        <v>494</v>
      </c>
      <c r="K495" s="20" t="b">
        <f>IFERROR(__xludf.DUMMYFUNCTION("""COMPUTED_VALUE"""),FALSE)</f>
        <v>0</v>
      </c>
      <c r="L495" s="20" t="str">
        <f>IFERROR(__xludf.DUMMYFUNCTION("""COMPUTED_VALUE"""),"Array;Dynamic Programming;Backtracking;")</f>
        <v>Array;Dynamic Programming;Backtracking;</v>
      </c>
      <c r="M495" s="20" t="b">
        <f>IFERROR(__xludf.DUMMYFUNCTION("""COMPUTED_VALUE"""),TRUE)</f>
        <v>1</v>
      </c>
      <c r="N495" s="20" t="b">
        <f>IFERROR(__xludf.DUMMYFUNCTION("""COMPUTED_VALUE"""),FALSE)</f>
        <v>0</v>
      </c>
      <c r="O495" s="20">
        <f>IFERROR(__xludf.DUMMYFUNCTION("""COMPUTED_VALUE"""),45.6071505266633)</f>
        <v>45.60715053</v>
      </c>
      <c r="P495" s="20">
        <f>IFERROR(__xludf.DUMMYFUNCTION("""COMPUTED_VALUE"""),426877.0)</f>
        <v>426877</v>
      </c>
      <c r="Q495" s="20">
        <f>IFERROR(__xludf.DUMMYFUNCTION("""COMPUTED_VALUE"""),935986.0)</f>
        <v>935986</v>
      </c>
    </row>
    <row r="496">
      <c r="A496" s="20">
        <f>IFERROR(__xludf.DUMMYFUNCTION("""COMPUTED_VALUE"""),495.0)</f>
        <v>495</v>
      </c>
      <c r="B496" s="20" t="str">
        <f>IFERROR(__xludf.DUMMYFUNCTION("""COMPUTED_VALUE"""),"Teemo Attacking")</f>
        <v>Teemo Attacking</v>
      </c>
      <c r="C496" s="20" t="str">
        <f>IFERROR(__xludf.DUMMYFUNCTION("""COMPUTED_VALUE"""),"teemo-attacking")</f>
        <v>teemo-attacking</v>
      </c>
      <c r="D496" s="20" t="b">
        <f>IFERROR(__xludf.DUMMYFUNCTION("""COMPUTED_VALUE"""),FALSE)</f>
        <v>0</v>
      </c>
      <c r="E496" s="20" t="str">
        <f>IFERROR(__xludf.DUMMYFUNCTION("""COMPUTED_VALUE"""),"Easy")</f>
        <v>Easy</v>
      </c>
      <c r="F496" s="20">
        <f>IFERROR(__xludf.DUMMYFUNCTION("""COMPUTED_VALUE"""),686.0)</f>
        <v>686</v>
      </c>
      <c r="G496" s="20">
        <f>IFERROR(__xludf.DUMMYFUNCTION("""COMPUTED_VALUE"""),68.0)</f>
        <v>68</v>
      </c>
      <c r="H496" s="20" t="str">
        <f>IFERROR(__xludf.DUMMYFUNCTION("""COMPUTED_VALUE"""),"Algorithms")</f>
        <v>Algorithms</v>
      </c>
      <c r="I496" s="20">
        <f>IFERROR(__xludf.DUMMYFUNCTION("""COMPUTED_VALUE"""),0.57)</f>
        <v>0.57</v>
      </c>
      <c r="J496" s="20">
        <f>IFERROR(__xludf.DUMMYFUNCTION("""COMPUTED_VALUE"""),495.0)</f>
        <v>495</v>
      </c>
      <c r="K496" s="20" t="b">
        <f>IFERROR(__xludf.DUMMYFUNCTION("""COMPUTED_VALUE"""),FALSE)</f>
        <v>0</v>
      </c>
      <c r="L496" s="20" t="str">
        <f>IFERROR(__xludf.DUMMYFUNCTION("""COMPUTED_VALUE"""),"Array;Simulation;")</f>
        <v>Array;Simulation;</v>
      </c>
      <c r="M496" s="20" t="b">
        <f>IFERROR(__xludf.DUMMYFUNCTION("""COMPUTED_VALUE"""),TRUE)</f>
        <v>1</v>
      </c>
      <c r="N496" s="20" t="b">
        <f>IFERROR(__xludf.DUMMYFUNCTION("""COMPUTED_VALUE"""),FALSE)</f>
        <v>0</v>
      </c>
      <c r="O496" s="20">
        <f>IFERROR(__xludf.DUMMYFUNCTION("""COMPUTED_VALUE"""),56.9585832167348)</f>
        <v>56.95858322</v>
      </c>
      <c r="P496" s="20">
        <f>IFERROR(__xludf.DUMMYFUNCTION("""COMPUTED_VALUE"""),115204.0)</f>
        <v>115204</v>
      </c>
      <c r="Q496" s="20">
        <f>IFERROR(__xludf.DUMMYFUNCTION("""COMPUTED_VALUE"""),202260.0)</f>
        <v>202260</v>
      </c>
    </row>
    <row r="497">
      <c r="A497" s="20">
        <f>IFERROR(__xludf.DUMMYFUNCTION("""COMPUTED_VALUE"""),496.0)</f>
        <v>496</v>
      </c>
      <c r="B497" s="20" t="str">
        <f>IFERROR(__xludf.DUMMYFUNCTION("""COMPUTED_VALUE"""),"Next Greater Element I")</f>
        <v>Next Greater Element I</v>
      </c>
      <c r="C497" s="20" t="str">
        <f>IFERROR(__xludf.DUMMYFUNCTION("""COMPUTED_VALUE"""),"next-greater-element-i")</f>
        <v>next-greater-element-i</v>
      </c>
      <c r="D497" s="20" t="b">
        <f>IFERROR(__xludf.DUMMYFUNCTION("""COMPUTED_VALUE"""),FALSE)</f>
        <v>0</v>
      </c>
      <c r="E497" s="20" t="str">
        <f>IFERROR(__xludf.DUMMYFUNCTION("""COMPUTED_VALUE"""),"Easy")</f>
        <v>Easy</v>
      </c>
      <c r="F497" s="20">
        <f>IFERROR(__xludf.DUMMYFUNCTION("""COMPUTED_VALUE"""),5138.0)</f>
        <v>5138</v>
      </c>
      <c r="G497" s="20">
        <f>IFERROR(__xludf.DUMMYFUNCTION("""COMPUTED_VALUE"""),316.0)</f>
        <v>316</v>
      </c>
      <c r="H497" s="20" t="str">
        <f>IFERROR(__xludf.DUMMYFUNCTION("""COMPUTED_VALUE"""),"Algorithms")</f>
        <v>Algorithms</v>
      </c>
      <c r="I497" s="20">
        <f>IFERROR(__xludf.DUMMYFUNCTION("""COMPUTED_VALUE"""),0.714)</f>
        <v>0.714</v>
      </c>
      <c r="J497" s="20">
        <f>IFERROR(__xludf.DUMMYFUNCTION("""COMPUTED_VALUE"""),496.0)</f>
        <v>496</v>
      </c>
      <c r="K497" s="20" t="b">
        <f>IFERROR(__xludf.DUMMYFUNCTION("""COMPUTED_VALUE"""),FALSE)</f>
        <v>0</v>
      </c>
      <c r="L497" s="20" t="str">
        <f>IFERROR(__xludf.DUMMYFUNCTION("""COMPUTED_VALUE"""),"Array;Hash Table;Stack;Monotonic Stack;")</f>
        <v>Array;Hash Table;Stack;Monotonic Stack;</v>
      </c>
      <c r="M497" s="20" t="b">
        <f>IFERROR(__xludf.DUMMYFUNCTION("""COMPUTED_VALUE"""),TRUE)</f>
        <v>1</v>
      </c>
      <c r="N497" s="20" t="b">
        <f>IFERROR(__xludf.DUMMYFUNCTION("""COMPUTED_VALUE"""),FALSE)</f>
        <v>0</v>
      </c>
      <c r="O497" s="20">
        <f>IFERROR(__xludf.DUMMYFUNCTION("""COMPUTED_VALUE"""),71.4419757135178)</f>
        <v>71.44197571</v>
      </c>
      <c r="P497" s="20">
        <f>IFERROR(__xludf.DUMMYFUNCTION("""COMPUTED_VALUE"""),470539.0)</f>
        <v>470539</v>
      </c>
      <c r="Q497" s="20">
        <f>IFERROR(__xludf.DUMMYFUNCTION("""COMPUTED_VALUE"""),658631.0)</f>
        <v>658631</v>
      </c>
    </row>
    <row r="498">
      <c r="A498" s="20">
        <f>IFERROR(__xludf.DUMMYFUNCTION("""COMPUTED_VALUE"""),914.0)</f>
        <v>914</v>
      </c>
      <c r="B498" s="20" t="str">
        <f>IFERROR(__xludf.DUMMYFUNCTION("""COMPUTED_VALUE"""),"Random Point in Non-overlapping Rectangles")</f>
        <v>Random Point in Non-overlapping Rectangles</v>
      </c>
      <c r="C498" s="20" t="str">
        <f>IFERROR(__xludf.DUMMYFUNCTION("""COMPUTED_VALUE"""),"random-point-in-non-overlapping-rectangles")</f>
        <v>random-point-in-non-overlapping-rectangles</v>
      </c>
      <c r="D498" s="20" t="b">
        <f>IFERROR(__xludf.DUMMYFUNCTION("""COMPUTED_VALUE"""),FALSE)</f>
        <v>0</v>
      </c>
      <c r="E498" s="20" t="str">
        <f>IFERROR(__xludf.DUMMYFUNCTION("""COMPUTED_VALUE"""),"Medium")</f>
        <v>Medium</v>
      </c>
      <c r="F498" s="20">
        <f>IFERROR(__xludf.DUMMYFUNCTION("""COMPUTED_VALUE"""),414.0)</f>
        <v>414</v>
      </c>
      <c r="G498" s="20">
        <f>IFERROR(__xludf.DUMMYFUNCTION("""COMPUTED_VALUE"""),629.0)</f>
        <v>629</v>
      </c>
      <c r="H498" s="20" t="str">
        <f>IFERROR(__xludf.DUMMYFUNCTION("""COMPUTED_VALUE"""),"Algorithms")</f>
        <v>Algorithms</v>
      </c>
      <c r="I498" s="20">
        <f>IFERROR(__xludf.DUMMYFUNCTION("""COMPUTED_VALUE"""),0.393)</f>
        <v>0.393</v>
      </c>
      <c r="J498" s="20">
        <f>IFERROR(__xludf.DUMMYFUNCTION("""COMPUTED_VALUE"""),497.0)</f>
        <v>497</v>
      </c>
      <c r="K498" s="20" t="b">
        <f>IFERROR(__xludf.DUMMYFUNCTION("""COMPUTED_VALUE"""),FALSE)</f>
        <v>0</v>
      </c>
      <c r="L498" s="20" t="str">
        <f>IFERROR(__xludf.DUMMYFUNCTION("""COMPUTED_VALUE"""),"Math;Binary Search;Reservoir Sampling;Prefix Sum;Ordered Set;Randomized;")</f>
        <v>Math;Binary Search;Reservoir Sampling;Prefix Sum;Ordered Set;Randomized;</v>
      </c>
      <c r="M498" s="20" t="b">
        <f>IFERROR(__xludf.DUMMYFUNCTION("""COMPUTED_VALUE"""),FALSE)</f>
        <v>0</v>
      </c>
      <c r="N498" s="20" t="b">
        <f>IFERROR(__xludf.DUMMYFUNCTION("""COMPUTED_VALUE"""),FALSE)</f>
        <v>0</v>
      </c>
      <c r="O498" s="20">
        <f>IFERROR(__xludf.DUMMYFUNCTION("""COMPUTED_VALUE"""),39.319273107368)</f>
        <v>39.31927311</v>
      </c>
      <c r="P498" s="20">
        <f>IFERROR(__xludf.DUMMYFUNCTION("""COMPUTED_VALUE"""),36111.0)</f>
        <v>36111</v>
      </c>
      <c r="Q498" s="20">
        <f>IFERROR(__xludf.DUMMYFUNCTION("""COMPUTED_VALUE"""),91842.0)</f>
        <v>91842</v>
      </c>
    </row>
    <row r="499">
      <c r="A499" s="20">
        <f>IFERROR(__xludf.DUMMYFUNCTION("""COMPUTED_VALUE"""),498.0)</f>
        <v>498</v>
      </c>
      <c r="B499" s="20" t="str">
        <f>IFERROR(__xludf.DUMMYFUNCTION("""COMPUTED_VALUE"""),"Diagonal Traverse")</f>
        <v>Diagonal Traverse</v>
      </c>
      <c r="C499" s="20" t="str">
        <f>IFERROR(__xludf.DUMMYFUNCTION("""COMPUTED_VALUE"""),"diagonal-traverse")</f>
        <v>diagonal-traverse</v>
      </c>
      <c r="D499" s="20" t="b">
        <f>IFERROR(__xludf.DUMMYFUNCTION("""COMPUTED_VALUE"""),FALSE)</f>
        <v>0</v>
      </c>
      <c r="E499" s="20" t="str">
        <f>IFERROR(__xludf.DUMMYFUNCTION("""COMPUTED_VALUE"""),"Medium")</f>
        <v>Medium</v>
      </c>
      <c r="F499" s="20">
        <f>IFERROR(__xludf.DUMMYFUNCTION("""COMPUTED_VALUE"""),2735.0)</f>
        <v>2735</v>
      </c>
      <c r="G499" s="20">
        <f>IFERROR(__xludf.DUMMYFUNCTION("""COMPUTED_VALUE"""),593.0)</f>
        <v>593</v>
      </c>
      <c r="H499" s="20" t="str">
        <f>IFERROR(__xludf.DUMMYFUNCTION("""COMPUTED_VALUE"""),"Algorithms")</f>
        <v>Algorithms</v>
      </c>
      <c r="I499" s="20">
        <f>IFERROR(__xludf.DUMMYFUNCTION("""COMPUTED_VALUE"""),0.582)</f>
        <v>0.582</v>
      </c>
      <c r="J499" s="20">
        <f>IFERROR(__xludf.DUMMYFUNCTION("""COMPUTED_VALUE"""),498.0)</f>
        <v>498</v>
      </c>
      <c r="K499" s="20" t="b">
        <f>IFERROR(__xludf.DUMMYFUNCTION("""COMPUTED_VALUE"""),FALSE)</f>
        <v>0</v>
      </c>
      <c r="L499" s="20" t="str">
        <f>IFERROR(__xludf.DUMMYFUNCTION("""COMPUTED_VALUE"""),"Array;Matrix;Simulation;")</f>
        <v>Array;Matrix;Simulation;</v>
      </c>
      <c r="M499" s="20" t="b">
        <f>IFERROR(__xludf.DUMMYFUNCTION("""COMPUTED_VALUE"""),TRUE)</f>
        <v>1</v>
      </c>
      <c r="N499" s="20" t="b">
        <f>IFERROR(__xludf.DUMMYFUNCTION("""COMPUTED_VALUE"""),FALSE)</f>
        <v>0</v>
      </c>
      <c r="O499" s="20">
        <f>IFERROR(__xludf.DUMMYFUNCTION("""COMPUTED_VALUE"""),58.1643540562505)</f>
        <v>58.16435406</v>
      </c>
      <c r="P499" s="20">
        <f>IFERROR(__xludf.DUMMYFUNCTION("""COMPUTED_VALUE"""),233316.0)</f>
        <v>233316</v>
      </c>
      <c r="Q499" s="20">
        <f>IFERROR(__xludf.DUMMYFUNCTION("""COMPUTED_VALUE"""),401133.0)</f>
        <v>401133</v>
      </c>
    </row>
    <row r="500">
      <c r="A500" s="20">
        <f>IFERROR(__xludf.DUMMYFUNCTION("""COMPUTED_VALUE"""),499.0)</f>
        <v>499</v>
      </c>
      <c r="B500" s="20" t="str">
        <f>IFERROR(__xludf.DUMMYFUNCTION("""COMPUTED_VALUE"""),"The Maze III")</f>
        <v>The Maze III</v>
      </c>
      <c r="C500" s="20" t="str">
        <f>IFERROR(__xludf.DUMMYFUNCTION("""COMPUTED_VALUE"""),"the-maze-iii")</f>
        <v>the-maze-iii</v>
      </c>
      <c r="D500" s="20" t="b">
        <f>IFERROR(__xludf.DUMMYFUNCTION("""COMPUTED_VALUE"""),TRUE)</f>
        <v>1</v>
      </c>
      <c r="E500" s="20" t="str">
        <f>IFERROR(__xludf.DUMMYFUNCTION("""COMPUTED_VALUE"""),"Hard")</f>
        <v>Hard</v>
      </c>
      <c r="F500" s="20">
        <f>IFERROR(__xludf.DUMMYFUNCTION("""COMPUTED_VALUE"""),405.0)</f>
        <v>405</v>
      </c>
      <c r="G500" s="20">
        <f>IFERROR(__xludf.DUMMYFUNCTION("""COMPUTED_VALUE"""),65.0)</f>
        <v>65</v>
      </c>
      <c r="H500" s="20" t="str">
        <f>IFERROR(__xludf.DUMMYFUNCTION("""COMPUTED_VALUE"""),"Algorithms")</f>
        <v>Algorithms</v>
      </c>
      <c r="I500" s="20">
        <f>IFERROR(__xludf.DUMMYFUNCTION("""COMPUTED_VALUE"""),0.471)</f>
        <v>0.471</v>
      </c>
      <c r="J500" s="20">
        <f>IFERROR(__xludf.DUMMYFUNCTION("""COMPUTED_VALUE"""),499.0)</f>
        <v>499</v>
      </c>
      <c r="K500" s="20" t="b">
        <f>IFERROR(__xludf.DUMMYFUNCTION("""COMPUTED_VALUE"""),TRUE)</f>
        <v>1</v>
      </c>
      <c r="L500" s="20" t="str">
        <f>IFERROR(__xludf.DUMMYFUNCTION("""COMPUTED_VALUE"""),"Depth-First Search;Breadth-First Search;Graph;Heap (Priority Queue);Shortest Path;")</f>
        <v>Depth-First Search;Breadth-First Search;Graph;Heap (Priority Queue);Shortest Path;</v>
      </c>
      <c r="M500" s="20" t="b">
        <f>IFERROR(__xludf.DUMMYFUNCTION("""COMPUTED_VALUE"""),FALSE)</f>
        <v>0</v>
      </c>
      <c r="N500" s="20" t="b">
        <f>IFERROR(__xludf.DUMMYFUNCTION("""COMPUTED_VALUE"""),FALSE)</f>
        <v>0</v>
      </c>
      <c r="O500" s="20">
        <f>IFERROR(__xludf.DUMMYFUNCTION("""COMPUTED_VALUE"""),47.0715563506261)</f>
        <v>47.07155635</v>
      </c>
      <c r="P500" s="20">
        <f>IFERROR(__xludf.DUMMYFUNCTION("""COMPUTED_VALUE"""),26313.0)</f>
        <v>26313</v>
      </c>
      <c r="Q500" s="20">
        <f>IFERROR(__xludf.DUMMYFUNCTION("""COMPUTED_VALUE"""),55900.0)</f>
        <v>55900</v>
      </c>
    </row>
    <row r="501">
      <c r="A501" s="20">
        <f>IFERROR(__xludf.DUMMYFUNCTION("""COMPUTED_VALUE"""),500.0)</f>
        <v>500</v>
      </c>
      <c r="B501" s="20" t="str">
        <f>IFERROR(__xludf.DUMMYFUNCTION("""COMPUTED_VALUE"""),"Keyboard Row")</f>
        <v>Keyboard Row</v>
      </c>
      <c r="C501" s="20" t="str">
        <f>IFERROR(__xludf.DUMMYFUNCTION("""COMPUTED_VALUE"""),"keyboard-row")</f>
        <v>keyboard-row</v>
      </c>
      <c r="D501" s="20" t="b">
        <f>IFERROR(__xludf.DUMMYFUNCTION("""COMPUTED_VALUE"""),FALSE)</f>
        <v>0</v>
      </c>
      <c r="E501" s="20" t="str">
        <f>IFERROR(__xludf.DUMMYFUNCTION("""COMPUTED_VALUE"""),"Easy")</f>
        <v>Easy</v>
      </c>
      <c r="F501" s="20">
        <f>IFERROR(__xludf.DUMMYFUNCTION("""COMPUTED_VALUE"""),1181.0)</f>
        <v>1181</v>
      </c>
      <c r="G501" s="20">
        <f>IFERROR(__xludf.DUMMYFUNCTION("""COMPUTED_VALUE"""),1014.0)</f>
        <v>1014</v>
      </c>
      <c r="H501" s="20" t="str">
        <f>IFERROR(__xludf.DUMMYFUNCTION("""COMPUTED_VALUE"""),"Algorithms")</f>
        <v>Algorithms</v>
      </c>
      <c r="I501" s="20">
        <f>IFERROR(__xludf.DUMMYFUNCTION("""COMPUTED_VALUE"""),0.693)</f>
        <v>0.693</v>
      </c>
      <c r="J501" s="20">
        <f>IFERROR(__xludf.DUMMYFUNCTION("""COMPUTED_VALUE"""),500.0)</f>
        <v>500</v>
      </c>
      <c r="K501" s="20" t="b">
        <f>IFERROR(__xludf.DUMMYFUNCTION("""COMPUTED_VALUE"""),FALSE)</f>
        <v>0</v>
      </c>
      <c r="L501" s="20" t="str">
        <f>IFERROR(__xludf.DUMMYFUNCTION("""COMPUTED_VALUE"""),"Array;Hash Table;String;")</f>
        <v>Array;Hash Table;String;</v>
      </c>
      <c r="M501" s="20" t="b">
        <f>IFERROR(__xludf.DUMMYFUNCTION("""COMPUTED_VALUE"""),FALSE)</f>
        <v>0</v>
      </c>
      <c r="N501" s="20" t="b">
        <f>IFERROR(__xludf.DUMMYFUNCTION("""COMPUTED_VALUE"""),FALSE)</f>
        <v>0</v>
      </c>
      <c r="O501" s="20">
        <f>IFERROR(__xludf.DUMMYFUNCTION("""COMPUTED_VALUE"""),69.2989682476205)</f>
        <v>69.29896825</v>
      </c>
      <c r="P501" s="20">
        <f>IFERROR(__xludf.DUMMYFUNCTION("""COMPUTED_VALUE"""),173289.0)</f>
        <v>173289</v>
      </c>
      <c r="Q501" s="20">
        <f>IFERROR(__xludf.DUMMYFUNCTION("""COMPUTED_VALUE"""),250060.0)</f>
        <v>250060</v>
      </c>
    </row>
    <row r="502">
      <c r="A502" s="20">
        <f>IFERROR(__xludf.DUMMYFUNCTION("""COMPUTED_VALUE"""),501.0)</f>
        <v>501</v>
      </c>
      <c r="B502" s="20" t="str">
        <f>IFERROR(__xludf.DUMMYFUNCTION("""COMPUTED_VALUE"""),"Find Mode in Binary Search Tree")</f>
        <v>Find Mode in Binary Search Tree</v>
      </c>
      <c r="C502" s="20" t="str">
        <f>IFERROR(__xludf.DUMMYFUNCTION("""COMPUTED_VALUE"""),"find-mode-in-binary-search-tree")</f>
        <v>find-mode-in-binary-search-tree</v>
      </c>
      <c r="D502" s="20" t="b">
        <f>IFERROR(__xludf.DUMMYFUNCTION("""COMPUTED_VALUE"""),FALSE)</f>
        <v>0</v>
      </c>
      <c r="E502" s="20" t="str">
        <f>IFERROR(__xludf.DUMMYFUNCTION("""COMPUTED_VALUE"""),"Easy")</f>
        <v>Easy</v>
      </c>
      <c r="F502" s="20">
        <f>IFERROR(__xludf.DUMMYFUNCTION("""COMPUTED_VALUE"""),2690.0)</f>
        <v>2690</v>
      </c>
      <c r="G502" s="20">
        <f>IFERROR(__xludf.DUMMYFUNCTION("""COMPUTED_VALUE"""),625.0)</f>
        <v>625</v>
      </c>
      <c r="H502" s="20" t="str">
        <f>IFERROR(__xludf.DUMMYFUNCTION("""COMPUTED_VALUE"""),"Algorithms")</f>
        <v>Algorithms</v>
      </c>
      <c r="I502" s="20">
        <f>IFERROR(__xludf.DUMMYFUNCTION("""COMPUTED_VALUE"""),0.489)</f>
        <v>0.489</v>
      </c>
      <c r="J502" s="20">
        <f>IFERROR(__xludf.DUMMYFUNCTION("""COMPUTED_VALUE"""),501.0)</f>
        <v>501</v>
      </c>
      <c r="K502" s="20" t="b">
        <f>IFERROR(__xludf.DUMMYFUNCTION("""COMPUTED_VALUE"""),FALSE)</f>
        <v>0</v>
      </c>
      <c r="L502" s="20" t="str">
        <f>IFERROR(__xludf.DUMMYFUNCTION("""COMPUTED_VALUE"""),"Tree;Depth-First Search;Binary Search Tree;Binary Tree;")</f>
        <v>Tree;Depth-First Search;Binary Search Tree;Binary Tree;</v>
      </c>
      <c r="M502" s="20" t="b">
        <f>IFERROR(__xludf.DUMMYFUNCTION("""COMPUTED_VALUE"""),FALSE)</f>
        <v>0</v>
      </c>
      <c r="N502" s="20" t="b">
        <f>IFERROR(__xludf.DUMMYFUNCTION("""COMPUTED_VALUE"""),FALSE)</f>
        <v>0</v>
      </c>
      <c r="O502" s="20">
        <f>IFERROR(__xludf.DUMMYFUNCTION("""COMPUTED_VALUE"""),48.8600538883616)</f>
        <v>48.86005389</v>
      </c>
      <c r="P502" s="20">
        <f>IFERROR(__xludf.DUMMYFUNCTION("""COMPUTED_VALUE"""),179162.0)</f>
        <v>179162</v>
      </c>
      <c r="Q502" s="20">
        <f>IFERROR(__xludf.DUMMYFUNCTION("""COMPUTED_VALUE"""),366684.0)</f>
        <v>366684</v>
      </c>
    </row>
    <row r="503">
      <c r="A503" s="20">
        <f>IFERROR(__xludf.DUMMYFUNCTION("""COMPUTED_VALUE"""),502.0)</f>
        <v>502</v>
      </c>
      <c r="B503" s="20" t="str">
        <f>IFERROR(__xludf.DUMMYFUNCTION("""COMPUTED_VALUE"""),"IPO")</f>
        <v>IPO</v>
      </c>
      <c r="C503" s="20" t="str">
        <f>IFERROR(__xludf.DUMMYFUNCTION("""COMPUTED_VALUE"""),"ipo")</f>
        <v>ipo</v>
      </c>
      <c r="D503" s="20" t="b">
        <f>IFERROR(__xludf.DUMMYFUNCTION("""COMPUTED_VALUE"""),FALSE)</f>
        <v>0</v>
      </c>
      <c r="E503" s="20" t="str">
        <f>IFERROR(__xludf.DUMMYFUNCTION("""COMPUTED_VALUE"""),"Hard")</f>
        <v>Hard</v>
      </c>
      <c r="F503" s="20">
        <f>IFERROR(__xludf.DUMMYFUNCTION("""COMPUTED_VALUE"""),998.0)</f>
        <v>998</v>
      </c>
      <c r="G503" s="20">
        <f>IFERROR(__xludf.DUMMYFUNCTION("""COMPUTED_VALUE"""),89.0)</f>
        <v>89</v>
      </c>
      <c r="H503" s="20" t="str">
        <f>IFERROR(__xludf.DUMMYFUNCTION("""COMPUTED_VALUE"""),"Algorithms")</f>
        <v>Algorithms</v>
      </c>
      <c r="I503" s="20">
        <f>IFERROR(__xludf.DUMMYFUNCTION("""COMPUTED_VALUE"""),0.45)</f>
        <v>0.45</v>
      </c>
      <c r="J503" s="20">
        <f>IFERROR(__xludf.DUMMYFUNCTION("""COMPUTED_VALUE"""),502.0)</f>
        <v>502</v>
      </c>
      <c r="K503" s="20" t="b">
        <f>IFERROR(__xludf.DUMMYFUNCTION("""COMPUTED_VALUE"""),FALSE)</f>
        <v>0</v>
      </c>
      <c r="L503" s="20" t="str">
        <f>IFERROR(__xludf.DUMMYFUNCTION("""COMPUTED_VALUE"""),"Array;Greedy;Sorting;Heap (Priority Queue);")</f>
        <v>Array;Greedy;Sorting;Heap (Priority Queue);</v>
      </c>
      <c r="M503" s="20" t="b">
        <f>IFERROR(__xludf.DUMMYFUNCTION("""COMPUTED_VALUE"""),TRUE)</f>
        <v>1</v>
      </c>
      <c r="N503" s="20" t="b">
        <f>IFERROR(__xludf.DUMMYFUNCTION("""COMPUTED_VALUE"""),FALSE)</f>
        <v>0</v>
      </c>
      <c r="O503" s="20">
        <f>IFERROR(__xludf.DUMMYFUNCTION("""COMPUTED_VALUE"""),44.9922923208678)</f>
        <v>44.99229232</v>
      </c>
      <c r="P503" s="20">
        <f>IFERROR(__xludf.DUMMYFUNCTION("""COMPUTED_VALUE"""),39402.0)</f>
        <v>39402</v>
      </c>
      <c r="Q503" s="20">
        <f>IFERROR(__xludf.DUMMYFUNCTION("""COMPUTED_VALUE"""),87575.0)</f>
        <v>87575</v>
      </c>
    </row>
    <row r="504">
      <c r="A504" s="20">
        <f>IFERROR(__xludf.DUMMYFUNCTION("""COMPUTED_VALUE"""),503.0)</f>
        <v>503</v>
      </c>
      <c r="B504" s="20" t="str">
        <f>IFERROR(__xludf.DUMMYFUNCTION("""COMPUTED_VALUE"""),"Next Greater Element II")</f>
        <v>Next Greater Element II</v>
      </c>
      <c r="C504" s="20" t="str">
        <f>IFERROR(__xludf.DUMMYFUNCTION("""COMPUTED_VALUE"""),"next-greater-element-ii")</f>
        <v>next-greater-element-ii</v>
      </c>
      <c r="D504" s="20" t="b">
        <f>IFERROR(__xludf.DUMMYFUNCTION("""COMPUTED_VALUE"""),FALSE)</f>
        <v>0</v>
      </c>
      <c r="E504" s="20" t="str">
        <f>IFERROR(__xludf.DUMMYFUNCTION("""COMPUTED_VALUE"""),"Medium")</f>
        <v>Medium</v>
      </c>
      <c r="F504" s="20">
        <f>IFERROR(__xludf.DUMMYFUNCTION("""COMPUTED_VALUE"""),6019.0)</f>
        <v>6019</v>
      </c>
      <c r="G504" s="20">
        <f>IFERROR(__xludf.DUMMYFUNCTION("""COMPUTED_VALUE"""),166.0)</f>
        <v>166</v>
      </c>
      <c r="H504" s="20" t="str">
        <f>IFERROR(__xludf.DUMMYFUNCTION("""COMPUTED_VALUE"""),"Algorithms")</f>
        <v>Algorithms</v>
      </c>
      <c r="I504" s="20">
        <f>IFERROR(__xludf.DUMMYFUNCTION("""COMPUTED_VALUE"""),0.631)</f>
        <v>0.631</v>
      </c>
      <c r="J504" s="20">
        <f>IFERROR(__xludf.DUMMYFUNCTION("""COMPUTED_VALUE"""),503.0)</f>
        <v>503</v>
      </c>
      <c r="K504" s="20" t="b">
        <f>IFERROR(__xludf.DUMMYFUNCTION("""COMPUTED_VALUE"""),FALSE)</f>
        <v>0</v>
      </c>
      <c r="L504" s="20" t="str">
        <f>IFERROR(__xludf.DUMMYFUNCTION("""COMPUTED_VALUE"""),"Array;Stack;Monotonic Stack;")</f>
        <v>Array;Stack;Monotonic Stack;</v>
      </c>
      <c r="M504" s="20" t="b">
        <f>IFERROR(__xludf.DUMMYFUNCTION("""COMPUTED_VALUE"""),TRUE)</f>
        <v>1</v>
      </c>
      <c r="N504" s="20" t="b">
        <f>IFERROR(__xludf.DUMMYFUNCTION("""COMPUTED_VALUE"""),FALSE)</f>
        <v>0</v>
      </c>
      <c r="O504" s="20">
        <f>IFERROR(__xludf.DUMMYFUNCTION("""COMPUTED_VALUE"""),63.1300296967196)</f>
        <v>63.1300297</v>
      </c>
      <c r="P504" s="20">
        <f>IFERROR(__xludf.DUMMYFUNCTION("""COMPUTED_VALUE"""),276992.0)</f>
        <v>276992</v>
      </c>
      <c r="Q504" s="20">
        <f>IFERROR(__xludf.DUMMYFUNCTION("""COMPUTED_VALUE"""),438765.0)</f>
        <v>438765</v>
      </c>
    </row>
    <row r="505">
      <c r="A505" s="20">
        <f>IFERROR(__xludf.DUMMYFUNCTION("""COMPUTED_VALUE"""),504.0)</f>
        <v>504</v>
      </c>
      <c r="B505" s="20" t="str">
        <f>IFERROR(__xludf.DUMMYFUNCTION("""COMPUTED_VALUE"""),"Base 7")</f>
        <v>Base 7</v>
      </c>
      <c r="C505" s="20" t="str">
        <f>IFERROR(__xludf.DUMMYFUNCTION("""COMPUTED_VALUE"""),"base-7")</f>
        <v>base-7</v>
      </c>
      <c r="D505" s="20" t="b">
        <f>IFERROR(__xludf.DUMMYFUNCTION("""COMPUTED_VALUE"""),FALSE)</f>
        <v>0</v>
      </c>
      <c r="E505" s="20" t="str">
        <f>IFERROR(__xludf.DUMMYFUNCTION("""COMPUTED_VALUE"""),"Easy")</f>
        <v>Easy</v>
      </c>
      <c r="F505" s="20">
        <f>IFERROR(__xludf.DUMMYFUNCTION("""COMPUTED_VALUE"""),588.0)</f>
        <v>588</v>
      </c>
      <c r="G505" s="20">
        <f>IFERROR(__xludf.DUMMYFUNCTION("""COMPUTED_VALUE"""),201.0)</f>
        <v>201</v>
      </c>
      <c r="H505" s="20" t="str">
        <f>IFERROR(__xludf.DUMMYFUNCTION("""COMPUTED_VALUE"""),"Algorithms")</f>
        <v>Algorithms</v>
      </c>
      <c r="I505" s="20">
        <f>IFERROR(__xludf.DUMMYFUNCTION("""COMPUTED_VALUE"""),0.481)</f>
        <v>0.481</v>
      </c>
      <c r="J505" s="20">
        <f>IFERROR(__xludf.DUMMYFUNCTION("""COMPUTED_VALUE"""),504.0)</f>
        <v>504</v>
      </c>
      <c r="K505" s="20" t="b">
        <f>IFERROR(__xludf.DUMMYFUNCTION("""COMPUTED_VALUE"""),FALSE)</f>
        <v>0</v>
      </c>
      <c r="L505" s="20" t="str">
        <f>IFERROR(__xludf.DUMMYFUNCTION("""COMPUTED_VALUE"""),"Math;")</f>
        <v>Math;</v>
      </c>
      <c r="M505" s="20" t="b">
        <f>IFERROR(__xludf.DUMMYFUNCTION("""COMPUTED_VALUE"""),FALSE)</f>
        <v>0</v>
      </c>
      <c r="N505" s="20" t="b">
        <f>IFERROR(__xludf.DUMMYFUNCTION("""COMPUTED_VALUE"""),FALSE)</f>
        <v>0</v>
      </c>
      <c r="O505" s="20">
        <f>IFERROR(__xludf.DUMMYFUNCTION("""COMPUTED_VALUE"""),48.077989281094)</f>
        <v>48.07798928</v>
      </c>
      <c r="P505" s="20">
        <f>IFERROR(__xludf.DUMMYFUNCTION("""COMPUTED_VALUE"""),98857.0)</f>
        <v>98857</v>
      </c>
      <c r="Q505" s="20">
        <f>IFERROR(__xludf.DUMMYFUNCTION("""COMPUTED_VALUE"""),205618.0)</f>
        <v>205618</v>
      </c>
    </row>
    <row r="506">
      <c r="A506" s="20">
        <f>IFERROR(__xludf.DUMMYFUNCTION("""COMPUTED_VALUE"""),505.0)</f>
        <v>505</v>
      </c>
      <c r="B506" s="20" t="str">
        <f>IFERROR(__xludf.DUMMYFUNCTION("""COMPUTED_VALUE"""),"The Maze II")</f>
        <v>The Maze II</v>
      </c>
      <c r="C506" s="20" t="str">
        <f>IFERROR(__xludf.DUMMYFUNCTION("""COMPUTED_VALUE"""),"the-maze-ii")</f>
        <v>the-maze-ii</v>
      </c>
      <c r="D506" s="20" t="b">
        <f>IFERROR(__xludf.DUMMYFUNCTION("""COMPUTED_VALUE"""),TRUE)</f>
        <v>1</v>
      </c>
      <c r="E506" s="20" t="str">
        <f>IFERROR(__xludf.DUMMYFUNCTION("""COMPUTED_VALUE"""),"Medium")</f>
        <v>Medium</v>
      </c>
      <c r="F506" s="20">
        <f>IFERROR(__xludf.DUMMYFUNCTION("""COMPUTED_VALUE"""),1169.0)</f>
        <v>1169</v>
      </c>
      <c r="G506" s="20">
        <f>IFERROR(__xludf.DUMMYFUNCTION("""COMPUTED_VALUE"""),51.0)</f>
        <v>51</v>
      </c>
      <c r="H506" s="20" t="str">
        <f>IFERROR(__xludf.DUMMYFUNCTION("""COMPUTED_VALUE"""),"Algorithms")</f>
        <v>Algorithms</v>
      </c>
      <c r="I506" s="20">
        <f>IFERROR(__xludf.DUMMYFUNCTION("""COMPUTED_VALUE"""),0.524)</f>
        <v>0.524</v>
      </c>
      <c r="J506" s="20">
        <f>IFERROR(__xludf.DUMMYFUNCTION("""COMPUTED_VALUE"""),505.0)</f>
        <v>505</v>
      </c>
      <c r="K506" s="20" t="b">
        <f>IFERROR(__xludf.DUMMYFUNCTION("""COMPUTED_VALUE"""),TRUE)</f>
        <v>1</v>
      </c>
      <c r="L506" s="20" t="str">
        <f>IFERROR(__xludf.DUMMYFUNCTION("""COMPUTED_VALUE"""),"Depth-First Search;Breadth-First Search;Graph;Heap (Priority Queue);Shortest Path;")</f>
        <v>Depth-First Search;Breadth-First Search;Graph;Heap (Priority Queue);Shortest Path;</v>
      </c>
      <c r="M506" s="20" t="b">
        <f>IFERROR(__xludf.DUMMYFUNCTION("""COMPUTED_VALUE"""),TRUE)</f>
        <v>1</v>
      </c>
      <c r="N506" s="20" t="b">
        <f>IFERROR(__xludf.DUMMYFUNCTION("""COMPUTED_VALUE"""),FALSE)</f>
        <v>0</v>
      </c>
      <c r="O506" s="20">
        <f>IFERROR(__xludf.DUMMYFUNCTION("""COMPUTED_VALUE"""),52.4343912891079)</f>
        <v>52.43439129</v>
      </c>
      <c r="P506" s="20">
        <f>IFERROR(__xludf.DUMMYFUNCTION("""COMPUTED_VALUE"""),92747.0)</f>
        <v>92747</v>
      </c>
      <c r="Q506" s="20">
        <f>IFERROR(__xludf.DUMMYFUNCTION("""COMPUTED_VALUE"""),176881.0)</f>
        <v>176881</v>
      </c>
    </row>
    <row r="507">
      <c r="A507" s="20">
        <f>IFERROR(__xludf.DUMMYFUNCTION("""COMPUTED_VALUE"""),506.0)</f>
        <v>506</v>
      </c>
      <c r="B507" s="20" t="str">
        <f>IFERROR(__xludf.DUMMYFUNCTION("""COMPUTED_VALUE"""),"Relative Ranks")</f>
        <v>Relative Ranks</v>
      </c>
      <c r="C507" s="20" t="str">
        <f>IFERROR(__xludf.DUMMYFUNCTION("""COMPUTED_VALUE"""),"relative-ranks")</f>
        <v>relative-ranks</v>
      </c>
      <c r="D507" s="20" t="b">
        <f>IFERROR(__xludf.DUMMYFUNCTION("""COMPUTED_VALUE"""),FALSE)</f>
        <v>0</v>
      </c>
      <c r="E507" s="20" t="str">
        <f>IFERROR(__xludf.DUMMYFUNCTION("""COMPUTED_VALUE"""),"Easy")</f>
        <v>Easy</v>
      </c>
      <c r="F507" s="20">
        <f>IFERROR(__xludf.DUMMYFUNCTION("""COMPUTED_VALUE"""),832.0)</f>
        <v>832</v>
      </c>
      <c r="G507" s="20">
        <f>IFERROR(__xludf.DUMMYFUNCTION("""COMPUTED_VALUE"""),42.0)</f>
        <v>42</v>
      </c>
      <c r="H507" s="20" t="str">
        <f>IFERROR(__xludf.DUMMYFUNCTION("""COMPUTED_VALUE"""),"Algorithms")</f>
        <v>Algorithms</v>
      </c>
      <c r="I507" s="20">
        <f>IFERROR(__xludf.DUMMYFUNCTION("""COMPUTED_VALUE"""),0.594)</f>
        <v>0.594</v>
      </c>
      <c r="J507" s="20">
        <f>IFERROR(__xludf.DUMMYFUNCTION("""COMPUTED_VALUE"""),506.0)</f>
        <v>506</v>
      </c>
      <c r="K507" s="20" t="b">
        <f>IFERROR(__xludf.DUMMYFUNCTION("""COMPUTED_VALUE"""),FALSE)</f>
        <v>0</v>
      </c>
      <c r="L507" s="20" t="str">
        <f>IFERROR(__xludf.DUMMYFUNCTION("""COMPUTED_VALUE"""),"Array;Sorting;Heap (Priority Queue);")</f>
        <v>Array;Sorting;Heap (Priority Queue);</v>
      </c>
      <c r="M507" s="20" t="b">
        <f>IFERROR(__xludf.DUMMYFUNCTION("""COMPUTED_VALUE"""),FALSE)</f>
        <v>0</v>
      </c>
      <c r="N507" s="20" t="b">
        <f>IFERROR(__xludf.DUMMYFUNCTION("""COMPUTED_VALUE"""),FALSE)</f>
        <v>0</v>
      </c>
      <c r="O507" s="20">
        <f>IFERROR(__xludf.DUMMYFUNCTION("""COMPUTED_VALUE"""),59.4239431601227)</f>
        <v>59.42394316</v>
      </c>
      <c r="P507" s="20">
        <f>IFERROR(__xludf.DUMMYFUNCTION("""COMPUTED_VALUE"""),111737.0)</f>
        <v>111737</v>
      </c>
      <c r="Q507" s="20">
        <f>IFERROR(__xludf.DUMMYFUNCTION("""COMPUTED_VALUE"""),188035.0)</f>
        <v>188035</v>
      </c>
    </row>
    <row r="508">
      <c r="A508" s="20">
        <f>IFERROR(__xludf.DUMMYFUNCTION("""COMPUTED_VALUE"""),507.0)</f>
        <v>507</v>
      </c>
      <c r="B508" s="20" t="str">
        <f>IFERROR(__xludf.DUMMYFUNCTION("""COMPUTED_VALUE"""),"Perfect Number")</f>
        <v>Perfect Number</v>
      </c>
      <c r="C508" s="20" t="str">
        <f>IFERROR(__xludf.DUMMYFUNCTION("""COMPUTED_VALUE"""),"perfect-number")</f>
        <v>perfect-number</v>
      </c>
      <c r="D508" s="20" t="b">
        <f>IFERROR(__xludf.DUMMYFUNCTION("""COMPUTED_VALUE"""),FALSE)</f>
        <v>0</v>
      </c>
      <c r="E508" s="20" t="str">
        <f>IFERROR(__xludf.DUMMYFUNCTION("""COMPUTED_VALUE"""),"Easy")</f>
        <v>Easy</v>
      </c>
      <c r="F508" s="20">
        <f>IFERROR(__xludf.DUMMYFUNCTION("""COMPUTED_VALUE"""),731.0)</f>
        <v>731</v>
      </c>
      <c r="G508" s="20">
        <f>IFERROR(__xludf.DUMMYFUNCTION("""COMPUTED_VALUE"""),969.0)</f>
        <v>969</v>
      </c>
      <c r="H508" s="20" t="str">
        <f>IFERROR(__xludf.DUMMYFUNCTION("""COMPUTED_VALUE"""),"Algorithms")</f>
        <v>Algorithms</v>
      </c>
      <c r="I508" s="20">
        <f>IFERROR(__xludf.DUMMYFUNCTION("""COMPUTED_VALUE"""),0.377)</f>
        <v>0.377</v>
      </c>
      <c r="J508" s="20">
        <f>IFERROR(__xludf.DUMMYFUNCTION("""COMPUTED_VALUE"""),507.0)</f>
        <v>507</v>
      </c>
      <c r="K508" s="20" t="b">
        <f>IFERROR(__xludf.DUMMYFUNCTION("""COMPUTED_VALUE"""),FALSE)</f>
        <v>0</v>
      </c>
      <c r="L508" s="20" t="str">
        <f>IFERROR(__xludf.DUMMYFUNCTION("""COMPUTED_VALUE"""),"Math;")</f>
        <v>Math;</v>
      </c>
      <c r="M508" s="20" t="b">
        <f>IFERROR(__xludf.DUMMYFUNCTION("""COMPUTED_VALUE"""),TRUE)</f>
        <v>1</v>
      </c>
      <c r="N508" s="20" t="b">
        <f>IFERROR(__xludf.DUMMYFUNCTION("""COMPUTED_VALUE"""),FALSE)</f>
        <v>0</v>
      </c>
      <c r="O508" s="20">
        <f>IFERROR(__xludf.DUMMYFUNCTION("""COMPUTED_VALUE"""),37.7302074185848)</f>
        <v>37.73020742</v>
      </c>
      <c r="P508" s="20">
        <f>IFERROR(__xludf.DUMMYFUNCTION("""COMPUTED_VALUE"""),122021.0)</f>
        <v>122021</v>
      </c>
      <c r="Q508" s="20">
        <f>IFERROR(__xludf.DUMMYFUNCTION("""COMPUTED_VALUE"""),323404.0)</f>
        <v>323404</v>
      </c>
    </row>
    <row r="509">
      <c r="A509" s="20">
        <f>IFERROR(__xludf.DUMMYFUNCTION("""COMPUTED_VALUE"""),508.0)</f>
        <v>508</v>
      </c>
      <c r="B509" s="20" t="str">
        <f>IFERROR(__xludf.DUMMYFUNCTION("""COMPUTED_VALUE"""),"Most Frequent Subtree Sum")</f>
        <v>Most Frequent Subtree Sum</v>
      </c>
      <c r="C509" s="20" t="str">
        <f>IFERROR(__xludf.DUMMYFUNCTION("""COMPUTED_VALUE"""),"most-frequent-subtree-sum")</f>
        <v>most-frequent-subtree-sum</v>
      </c>
      <c r="D509" s="20" t="b">
        <f>IFERROR(__xludf.DUMMYFUNCTION("""COMPUTED_VALUE"""),FALSE)</f>
        <v>0</v>
      </c>
      <c r="E509" s="20" t="str">
        <f>IFERROR(__xludf.DUMMYFUNCTION("""COMPUTED_VALUE"""),"Medium")</f>
        <v>Medium</v>
      </c>
      <c r="F509" s="20">
        <f>IFERROR(__xludf.DUMMYFUNCTION("""COMPUTED_VALUE"""),1839.0)</f>
        <v>1839</v>
      </c>
      <c r="G509" s="20">
        <f>IFERROR(__xludf.DUMMYFUNCTION("""COMPUTED_VALUE"""),271.0)</f>
        <v>271</v>
      </c>
      <c r="H509" s="20" t="str">
        <f>IFERROR(__xludf.DUMMYFUNCTION("""COMPUTED_VALUE"""),"Algorithms")</f>
        <v>Algorithms</v>
      </c>
      <c r="I509" s="20">
        <f>IFERROR(__xludf.DUMMYFUNCTION("""COMPUTED_VALUE"""),0.645)</f>
        <v>0.645</v>
      </c>
      <c r="J509" s="20">
        <f>IFERROR(__xludf.DUMMYFUNCTION("""COMPUTED_VALUE"""),508.0)</f>
        <v>508</v>
      </c>
      <c r="K509" s="20" t="b">
        <f>IFERROR(__xludf.DUMMYFUNCTION("""COMPUTED_VALUE"""),FALSE)</f>
        <v>0</v>
      </c>
      <c r="L509" s="20" t="str">
        <f>IFERROR(__xludf.DUMMYFUNCTION("""COMPUTED_VALUE"""),"Hash Table;Tree;Depth-First Search;Binary Tree;")</f>
        <v>Hash Table;Tree;Depth-First Search;Binary Tree;</v>
      </c>
      <c r="M509" s="20" t="b">
        <f>IFERROR(__xludf.DUMMYFUNCTION("""COMPUTED_VALUE"""),TRUE)</f>
        <v>1</v>
      </c>
      <c r="N509" s="20" t="b">
        <f>IFERROR(__xludf.DUMMYFUNCTION("""COMPUTED_VALUE"""),FALSE)</f>
        <v>0</v>
      </c>
      <c r="O509" s="20">
        <f>IFERROR(__xludf.DUMMYFUNCTION("""COMPUTED_VALUE"""),64.5090824257976)</f>
        <v>64.50908243</v>
      </c>
      <c r="P509" s="20">
        <f>IFERROR(__xludf.DUMMYFUNCTION("""COMPUTED_VALUE"""),121665.0)</f>
        <v>121665</v>
      </c>
      <c r="Q509" s="20">
        <f>IFERROR(__xludf.DUMMYFUNCTION("""COMPUTED_VALUE"""),188603.0)</f>
        <v>188603</v>
      </c>
    </row>
    <row r="510">
      <c r="A510" s="20">
        <f>IFERROR(__xludf.DUMMYFUNCTION("""COMPUTED_VALUE"""),1013.0)</f>
        <v>1013</v>
      </c>
      <c r="B510" s="20" t="str">
        <f>IFERROR(__xludf.DUMMYFUNCTION("""COMPUTED_VALUE"""),"Fibonacci Number")</f>
        <v>Fibonacci Number</v>
      </c>
      <c r="C510" s="20" t="str">
        <f>IFERROR(__xludf.DUMMYFUNCTION("""COMPUTED_VALUE"""),"fibonacci-number")</f>
        <v>fibonacci-number</v>
      </c>
      <c r="D510" s="20" t="b">
        <f>IFERROR(__xludf.DUMMYFUNCTION("""COMPUTED_VALUE"""),FALSE)</f>
        <v>0</v>
      </c>
      <c r="E510" s="20" t="str">
        <f>IFERROR(__xludf.DUMMYFUNCTION("""COMPUTED_VALUE"""),"Easy")</f>
        <v>Easy</v>
      </c>
      <c r="F510" s="20">
        <f>IFERROR(__xludf.DUMMYFUNCTION("""COMPUTED_VALUE"""),5798.0)</f>
        <v>5798</v>
      </c>
      <c r="G510" s="20">
        <f>IFERROR(__xludf.DUMMYFUNCTION("""COMPUTED_VALUE"""),302.0)</f>
        <v>302</v>
      </c>
      <c r="H510" s="20" t="str">
        <f>IFERROR(__xludf.DUMMYFUNCTION("""COMPUTED_VALUE"""),"Algorithms")</f>
        <v>Algorithms</v>
      </c>
      <c r="I510" s="20">
        <f>IFERROR(__xludf.DUMMYFUNCTION("""COMPUTED_VALUE"""),0.693)</f>
        <v>0.693</v>
      </c>
      <c r="J510" s="20">
        <f>IFERROR(__xludf.DUMMYFUNCTION("""COMPUTED_VALUE"""),509.0)</f>
        <v>509</v>
      </c>
      <c r="K510" s="20" t="b">
        <f>IFERROR(__xludf.DUMMYFUNCTION("""COMPUTED_VALUE"""),FALSE)</f>
        <v>0</v>
      </c>
      <c r="L510" s="20" t="str">
        <f>IFERROR(__xludf.DUMMYFUNCTION("""COMPUTED_VALUE"""),"Math;Dynamic Programming;Recursion;Memoization;")</f>
        <v>Math;Dynamic Programming;Recursion;Memoization;</v>
      </c>
      <c r="M510" s="20" t="b">
        <f>IFERROR(__xludf.DUMMYFUNCTION("""COMPUTED_VALUE"""),TRUE)</f>
        <v>1</v>
      </c>
      <c r="N510" s="20" t="b">
        <f>IFERROR(__xludf.DUMMYFUNCTION("""COMPUTED_VALUE"""),FALSE)</f>
        <v>0</v>
      </c>
      <c r="O510" s="20">
        <f>IFERROR(__xludf.DUMMYFUNCTION("""COMPUTED_VALUE"""),69.3404576304836)</f>
        <v>69.34045763</v>
      </c>
      <c r="P510" s="20">
        <f>IFERROR(__xludf.DUMMYFUNCTION("""COMPUTED_VALUE"""),1166510.0)</f>
        <v>1166510</v>
      </c>
      <c r="Q510" s="20">
        <f>IFERROR(__xludf.DUMMYFUNCTION("""COMPUTED_VALUE"""),1682293.0)</f>
        <v>1682293</v>
      </c>
    </row>
    <row r="511">
      <c r="A511" s="20">
        <f>IFERROR(__xludf.DUMMYFUNCTION("""COMPUTED_VALUE"""),509.0)</f>
        <v>509</v>
      </c>
      <c r="B511" s="20" t="str">
        <f>IFERROR(__xludf.DUMMYFUNCTION("""COMPUTED_VALUE"""),"Inorder Successor in BST II")</f>
        <v>Inorder Successor in BST II</v>
      </c>
      <c r="C511" s="20" t="str">
        <f>IFERROR(__xludf.DUMMYFUNCTION("""COMPUTED_VALUE"""),"inorder-successor-in-bst-ii")</f>
        <v>inorder-successor-in-bst-ii</v>
      </c>
      <c r="D511" s="20" t="b">
        <f>IFERROR(__xludf.DUMMYFUNCTION("""COMPUTED_VALUE"""),TRUE)</f>
        <v>1</v>
      </c>
      <c r="E511" s="20" t="str">
        <f>IFERROR(__xludf.DUMMYFUNCTION("""COMPUTED_VALUE"""),"Medium")</f>
        <v>Medium</v>
      </c>
      <c r="F511" s="20">
        <f>IFERROR(__xludf.DUMMYFUNCTION("""COMPUTED_VALUE"""),807.0)</f>
        <v>807</v>
      </c>
      <c r="G511" s="20">
        <f>IFERROR(__xludf.DUMMYFUNCTION("""COMPUTED_VALUE"""),39.0)</f>
        <v>39</v>
      </c>
      <c r="H511" s="20" t="str">
        <f>IFERROR(__xludf.DUMMYFUNCTION("""COMPUTED_VALUE"""),"Algorithms")</f>
        <v>Algorithms</v>
      </c>
      <c r="I511" s="20">
        <f>IFERROR(__xludf.DUMMYFUNCTION("""COMPUTED_VALUE"""),0.611)</f>
        <v>0.611</v>
      </c>
      <c r="J511" s="20">
        <f>IFERROR(__xludf.DUMMYFUNCTION("""COMPUTED_VALUE"""),510.0)</f>
        <v>510</v>
      </c>
      <c r="K511" s="20" t="b">
        <f>IFERROR(__xludf.DUMMYFUNCTION("""COMPUTED_VALUE"""),TRUE)</f>
        <v>1</v>
      </c>
      <c r="L511" s="20" t="str">
        <f>IFERROR(__xludf.DUMMYFUNCTION("""COMPUTED_VALUE"""),"Tree;Binary Search Tree;Binary Tree;")</f>
        <v>Tree;Binary Search Tree;Binary Tree;</v>
      </c>
      <c r="M511" s="20" t="b">
        <f>IFERROR(__xludf.DUMMYFUNCTION("""COMPUTED_VALUE"""),TRUE)</f>
        <v>1</v>
      </c>
      <c r="N511" s="20" t="b">
        <f>IFERROR(__xludf.DUMMYFUNCTION("""COMPUTED_VALUE"""),FALSE)</f>
        <v>0</v>
      </c>
      <c r="O511" s="20">
        <f>IFERROR(__xludf.DUMMYFUNCTION("""COMPUTED_VALUE"""),61.0809022680753)</f>
        <v>61.08090227</v>
      </c>
      <c r="P511" s="20">
        <f>IFERROR(__xludf.DUMMYFUNCTION("""COMPUTED_VALUE"""),59086.0)</f>
        <v>59086</v>
      </c>
      <c r="Q511" s="20">
        <f>IFERROR(__xludf.DUMMYFUNCTION("""COMPUTED_VALUE"""),96734.0)</f>
        <v>96734</v>
      </c>
    </row>
    <row r="512">
      <c r="A512" s="20">
        <f>IFERROR(__xludf.DUMMYFUNCTION("""COMPUTED_VALUE"""),1179.0)</f>
        <v>1179</v>
      </c>
      <c r="B512" s="20" t="str">
        <f>IFERROR(__xludf.DUMMYFUNCTION("""COMPUTED_VALUE"""),"Game Play Analysis I")</f>
        <v>Game Play Analysis I</v>
      </c>
      <c r="C512" s="20" t="str">
        <f>IFERROR(__xludf.DUMMYFUNCTION("""COMPUTED_VALUE"""),"game-play-analysis-i")</f>
        <v>game-play-analysis-i</v>
      </c>
      <c r="D512" s="20" t="b">
        <f>IFERROR(__xludf.DUMMYFUNCTION("""COMPUTED_VALUE"""),FALSE)</f>
        <v>0</v>
      </c>
      <c r="E512" s="20" t="str">
        <f>IFERROR(__xludf.DUMMYFUNCTION("""COMPUTED_VALUE"""),"Easy")</f>
        <v>Easy</v>
      </c>
      <c r="F512" s="20">
        <f>IFERROR(__xludf.DUMMYFUNCTION("""COMPUTED_VALUE"""),476.0)</f>
        <v>476</v>
      </c>
      <c r="G512" s="20">
        <f>IFERROR(__xludf.DUMMYFUNCTION("""COMPUTED_VALUE"""),19.0)</f>
        <v>19</v>
      </c>
      <c r="H512" s="20" t="str">
        <f>IFERROR(__xludf.DUMMYFUNCTION("""COMPUTED_VALUE"""),"Database")</f>
        <v>Database</v>
      </c>
      <c r="I512" s="20">
        <f>IFERROR(__xludf.DUMMYFUNCTION("""COMPUTED_VALUE"""),0.776)</f>
        <v>0.776</v>
      </c>
      <c r="J512" s="20">
        <f>IFERROR(__xludf.DUMMYFUNCTION("""COMPUTED_VALUE"""),511.0)</f>
        <v>511</v>
      </c>
      <c r="K512" s="20" t="b">
        <f>IFERROR(__xludf.DUMMYFUNCTION("""COMPUTED_VALUE"""),FALSE)</f>
        <v>0</v>
      </c>
      <c r="L512" s="20" t="str">
        <f>IFERROR(__xludf.DUMMYFUNCTION("""COMPUTED_VALUE"""),"Database;")</f>
        <v>Database;</v>
      </c>
      <c r="M512" s="20" t="b">
        <f>IFERROR(__xludf.DUMMYFUNCTION("""COMPUTED_VALUE"""),TRUE)</f>
        <v>1</v>
      </c>
      <c r="N512" s="20" t="b">
        <f>IFERROR(__xludf.DUMMYFUNCTION("""COMPUTED_VALUE"""),FALSE)</f>
        <v>0</v>
      </c>
      <c r="O512" s="20">
        <f>IFERROR(__xludf.DUMMYFUNCTION("""COMPUTED_VALUE"""),77.6379639235634)</f>
        <v>77.63796392</v>
      </c>
      <c r="P512" s="20">
        <f>IFERROR(__xludf.DUMMYFUNCTION("""COMPUTED_VALUE"""),139193.0)</f>
        <v>139193</v>
      </c>
      <c r="Q512" s="20">
        <f>IFERROR(__xludf.DUMMYFUNCTION("""COMPUTED_VALUE"""),179278.0)</f>
        <v>179278</v>
      </c>
    </row>
    <row r="513">
      <c r="A513" s="20">
        <f>IFERROR(__xludf.DUMMYFUNCTION("""COMPUTED_VALUE"""),1180.0)</f>
        <v>1180</v>
      </c>
      <c r="B513" s="20" t="str">
        <f>IFERROR(__xludf.DUMMYFUNCTION("""COMPUTED_VALUE"""),"Game Play Analysis II")</f>
        <v>Game Play Analysis II</v>
      </c>
      <c r="C513" s="20" t="str">
        <f>IFERROR(__xludf.DUMMYFUNCTION("""COMPUTED_VALUE"""),"game-play-analysis-ii")</f>
        <v>game-play-analysis-ii</v>
      </c>
      <c r="D513" s="20" t="b">
        <f>IFERROR(__xludf.DUMMYFUNCTION("""COMPUTED_VALUE"""),TRUE)</f>
        <v>1</v>
      </c>
      <c r="E513" s="20" t="str">
        <f>IFERROR(__xludf.DUMMYFUNCTION("""COMPUTED_VALUE"""),"Easy")</f>
        <v>Easy</v>
      </c>
      <c r="F513" s="20">
        <f>IFERROR(__xludf.DUMMYFUNCTION("""COMPUTED_VALUE"""),214.0)</f>
        <v>214</v>
      </c>
      <c r="G513" s="20">
        <f>IFERROR(__xludf.DUMMYFUNCTION("""COMPUTED_VALUE"""),37.0)</f>
        <v>37</v>
      </c>
      <c r="H513" s="20" t="str">
        <f>IFERROR(__xludf.DUMMYFUNCTION("""COMPUTED_VALUE"""),"Database")</f>
        <v>Database</v>
      </c>
      <c r="I513" s="20">
        <f>IFERROR(__xludf.DUMMYFUNCTION("""COMPUTED_VALUE"""),0.537)</f>
        <v>0.537</v>
      </c>
      <c r="J513" s="20">
        <f>IFERROR(__xludf.DUMMYFUNCTION("""COMPUTED_VALUE"""),512.0)</f>
        <v>512</v>
      </c>
      <c r="K513" s="20" t="b">
        <f>IFERROR(__xludf.DUMMYFUNCTION("""COMPUTED_VALUE"""),TRUE)</f>
        <v>1</v>
      </c>
      <c r="L513" s="20" t="str">
        <f>IFERROR(__xludf.DUMMYFUNCTION("""COMPUTED_VALUE"""),"Database;")</f>
        <v>Database;</v>
      </c>
      <c r="M513" s="20" t="b">
        <f>IFERROR(__xludf.DUMMYFUNCTION("""COMPUTED_VALUE"""),TRUE)</f>
        <v>1</v>
      </c>
      <c r="N513" s="20" t="b">
        <f>IFERROR(__xludf.DUMMYFUNCTION("""COMPUTED_VALUE"""),FALSE)</f>
        <v>0</v>
      </c>
      <c r="O513" s="20">
        <f>IFERROR(__xludf.DUMMYFUNCTION("""COMPUTED_VALUE"""),53.7200226600365)</f>
        <v>53.72002266</v>
      </c>
      <c r="P513" s="20">
        <f>IFERROR(__xludf.DUMMYFUNCTION("""COMPUTED_VALUE"""),68276.0)</f>
        <v>68276</v>
      </c>
      <c r="Q513" s="20">
        <f>IFERROR(__xludf.DUMMYFUNCTION("""COMPUTED_VALUE"""),127096.0)</f>
        <v>127096</v>
      </c>
    </row>
    <row r="514">
      <c r="A514" s="20">
        <f>IFERROR(__xludf.DUMMYFUNCTION("""COMPUTED_VALUE"""),513.0)</f>
        <v>513</v>
      </c>
      <c r="B514" s="20" t="str">
        <f>IFERROR(__xludf.DUMMYFUNCTION("""COMPUTED_VALUE"""),"Find Bottom Left Tree Value")</f>
        <v>Find Bottom Left Tree Value</v>
      </c>
      <c r="C514" s="20" t="str">
        <f>IFERROR(__xludf.DUMMYFUNCTION("""COMPUTED_VALUE"""),"find-bottom-left-tree-value")</f>
        <v>find-bottom-left-tree-value</v>
      </c>
      <c r="D514" s="20" t="b">
        <f>IFERROR(__xludf.DUMMYFUNCTION("""COMPUTED_VALUE"""),FALSE)</f>
        <v>0</v>
      </c>
      <c r="E514" s="20" t="str">
        <f>IFERROR(__xludf.DUMMYFUNCTION("""COMPUTED_VALUE"""),"Medium")</f>
        <v>Medium</v>
      </c>
      <c r="F514" s="20">
        <f>IFERROR(__xludf.DUMMYFUNCTION("""COMPUTED_VALUE"""),2666.0)</f>
        <v>2666</v>
      </c>
      <c r="G514" s="20">
        <f>IFERROR(__xludf.DUMMYFUNCTION("""COMPUTED_VALUE"""),236.0)</f>
        <v>236</v>
      </c>
      <c r="H514" s="20" t="str">
        <f>IFERROR(__xludf.DUMMYFUNCTION("""COMPUTED_VALUE"""),"Algorithms")</f>
        <v>Algorithms</v>
      </c>
      <c r="I514" s="20">
        <f>IFERROR(__xludf.DUMMYFUNCTION("""COMPUTED_VALUE"""),0.666)</f>
        <v>0.666</v>
      </c>
      <c r="J514" s="20">
        <f>IFERROR(__xludf.DUMMYFUNCTION("""COMPUTED_VALUE"""),513.0)</f>
        <v>513</v>
      </c>
      <c r="K514" s="20" t="b">
        <f>IFERROR(__xludf.DUMMYFUNCTION("""COMPUTED_VALUE"""),FALSE)</f>
        <v>0</v>
      </c>
      <c r="L514" s="20" t="str">
        <f>IFERROR(__xludf.DUMMYFUNCTION("""COMPUTED_VALUE"""),"Tree;Depth-First Search;Breadth-First Search;Binary Tree;")</f>
        <v>Tree;Depth-First Search;Breadth-First Search;Binary Tree;</v>
      </c>
      <c r="M514" s="20" t="b">
        <f>IFERROR(__xludf.DUMMYFUNCTION("""COMPUTED_VALUE"""),FALSE)</f>
        <v>0</v>
      </c>
      <c r="N514" s="20" t="b">
        <f>IFERROR(__xludf.DUMMYFUNCTION("""COMPUTED_VALUE"""),FALSE)</f>
        <v>0</v>
      </c>
      <c r="O514" s="20">
        <f>IFERROR(__xludf.DUMMYFUNCTION("""COMPUTED_VALUE"""),66.5639982855377)</f>
        <v>66.56399829</v>
      </c>
      <c r="P514" s="20">
        <f>IFERROR(__xludf.DUMMYFUNCTION("""COMPUTED_VALUE"""),200335.0)</f>
        <v>200335</v>
      </c>
      <c r="Q514" s="20">
        <f>IFERROR(__xludf.DUMMYFUNCTION("""COMPUTED_VALUE"""),300964.0)</f>
        <v>300964</v>
      </c>
    </row>
    <row r="515">
      <c r="A515" s="20">
        <f>IFERROR(__xludf.DUMMYFUNCTION("""COMPUTED_VALUE"""),514.0)</f>
        <v>514</v>
      </c>
      <c r="B515" s="20" t="str">
        <f>IFERROR(__xludf.DUMMYFUNCTION("""COMPUTED_VALUE"""),"Freedom Trail")</f>
        <v>Freedom Trail</v>
      </c>
      <c r="C515" s="20" t="str">
        <f>IFERROR(__xludf.DUMMYFUNCTION("""COMPUTED_VALUE"""),"freedom-trail")</f>
        <v>freedom-trail</v>
      </c>
      <c r="D515" s="20" t="b">
        <f>IFERROR(__xludf.DUMMYFUNCTION("""COMPUTED_VALUE"""),FALSE)</f>
        <v>0</v>
      </c>
      <c r="E515" s="20" t="str">
        <f>IFERROR(__xludf.DUMMYFUNCTION("""COMPUTED_VALUE"""),"Hard")</f>
        <v>Hard</v>
      </c>
      <c r="F515" s="20">
        <f>IFERROR(__xludf.DUMMYFUNCTION("""COMPUTED_VALUE"""),787.0)</f>
        <v>787</v>
      </c>
      <c r="G515" s="20">
        <f>IFERROR(__xludf.DUMMYFUNCTION("""COMPUTED_VALUE"""),35.0)</f>
        <v>35</v>
      </c>
      <c r="H515" s="20" t="str">
        <f>IFERROR(__xludf.DUMMYFUNCTION("""COMPUTED_VALUE"""),"Algorithms")</f>
        <v>Algorithms</v>
      </c>
      <c r="I515" s="20">
        <f>IFERROR(__xludf.DUMMYFUNCTION("""COMPUTED_VALUE"""),0.468)</f>
        <v>0.468</v>
      </c>
      <c r="J515" s="20">
        <f>IFERROR(__xludf.DUMMYFUNCTION("""COMPUTED_VALUE"""),514.0)</f>
        <v>514</v>
      </c>
      <c r="K515" s="20" t="b">
        <f>IFERROR(__xludf.DUMMYFUNCTION("""COMPUTED_VALUE"""),FALSE)</f>
        <v>0</v>
      </c>
      <c r="L515" s="20" t="str">
        <f>IFERROR(__xludf.DUMMYFUNCTION("""COMPUTED_VALUE"""),"String;Dynamic Programming;Depth-First Search;Breadth-First Search;")</f>
        <v>String;Dynamic Programming;Depth-First Search;Breadth-First Search;</v>
      </c>
      <c r="M515" s="20" t="b">
        <f>IFERROR(__xludf.DUMMYFUNCTION("""COMPUTED_VALUE"""),FALSE)</f>
        <v>0</v>
      </c>
      <c r="N515" s="20" t="b">
        <f>IFERROR(__xludf.DUMMYFUNCTION("""COMPUTED_VALUE"""),FALSE)</f>
        <v>0</v>
      </c>
      <c r="O515" s="20">
        <f>IFERROR(__xludf.DUMMYFUNCTION("""COMPUTED_VALUE"""),46.8133477776591)</f>
        <v>46.81334778</v>
      </c>
      <c r="P515" s="20">
        <f>IFERROR(__xludf.DUMMYFUNCTION("""COMPUTED_VALUE"""),30681.0)</f>
        <v>30681</v>
      </c>
      <c r="Q515" s="20">
        <f>IFERROR(__xludf.DUMMYFUNCTION("""COMPUTED_VALUE"""),65539.0)</f>
        <v>65539</v>
      </c>
    </row>
    <row r="516">
      <c r="A516" s="20">
        <f>IFERROR(__xludf.DUMMYFUNCTION("""COMPUTED_VALUE"""),515.0)</f>
        <v>515</v>
      </c>
      <c r="B516" s="20" t="str">
        <f>IFERROR(__xludf.DUMMYFUNCTION("""COMPUTED_VALUE"""),"Find Largest Value in Each Tree Row")</f>
        <v>Find Largest Value in Each Tree Row</v>
      </c>
      <c r="C516" s="20" t="str">
        <f>IFERROR(__xludf.DUMMYFUNCTION("""COMPUTED_VALUE"""),"find-largest-value-in-each-tree-row")</f>
        <v>find-largest-value-in-each-tree-row</v>
      </c>
      <c r="D516" s="20" t="b">
        <f>IFERROR(__xludf.DUMMYFUNCTION("""COMPUTED_VALUE"""),FALSE)</f>
        <v>0</v>
      </c>
      <c r="E516" s="20" t="str">
        <f>IFERROR(__xludf.DUMMYFUNCTION("""COMPUTED_VALUE"""),"Medium")</f>
        <v>Medium</v>
      </c>
      <c r="F516" s="20">
        <f>IFERROR(__xludf.DUMMYFUNCTION("""COMPUTED_VALUE"""),2472.0)</f>
        <v>2472</v>
      </c>
      <c r="G516" s="20">
        <f>IFERROR(__xludf.DUMMYFUNCTION("""COMPUTED_VALUE"""),93.0)</f>
        <v>93</v>
      </c>
      <c r="H516" s="20" t="str">
        <f>IFERROR(__xludf.DUMMYFUNCTION("""COMPUTED_VALUE"""),"Algorithms")</f>
        <v>Algorithms</v>
      </c>
      <c r="I516" s="20">
        <f>IFERROR(__xludf.DUMMYFUNCTION("""COMPUTED_VALUE"""),0.646)</f>
        <v>0.646</v>
      </c>
      <c r="J516" s="20">
        <f>IFERROR(__xludf.DUMMYFUNCTION("""COMPUTED_VALUE"""),515.0)</f>
        <v>515</v>
      </c>
      <c r="K516" s="20" t="b">
        <f>IFERROR(__xludf.DUMMYFUNCTION("""COMPUTED_VALUE"""),FALSE)</f>
        <v>0</v>
      </c>
      <c r="L516" s="20" t="str">
        <f>IFERROR(__xludf.DUMMYFUNCTION("""COMPUTED_VALUE"""),"Tree;Depth-First Search;Breadth-First Search;Binary Tree;")</f>
        <v>Tree;Depth-First Search;Breadth-First Search;Binary Tree;</v>
      </c>
      <c r="M516" s="20" t="b">
        <f>IFERROR(__xludf.DUMMYFUNCTION("""COMPUTED_VALUE"""),FALSE)</f>
        <v>0</v>
      </c>
      <c r="N516" s="20" t="b">
        <f>IFERROR(__xludf.DUMMYFUNCTION("""COMPUTED_VALUE"""),FALSE)</f>
        <v>0</v>
      </c>
      <c r="O516" s="20">
        <f>IFERROR(__xludf.DUMMYFUNCTION("""COMPUTED_VALUE"""),64.6235944008438)</f>
        <v>64.6235944</v>
      </c>
      <c r="P516" s="20">
        <f>IFERROR(__xludf.DUMMYFUNCTION("""COMPUTED_VALUE"""),216891.0)</f>
        <v>216891</v>
      </c>
      <c r="Q516" s="20">
        <f>IFERROR(__xludf.DUMMYFUNCTION("""COMPUTED_VALUE"""),335622.0)</f>
        <v>335622</v>
      </c>
    </row>
    <row r="517">
      <c r="A517" s="20">
        <f>IFERROR(__xludf.DUMMYFUNCTION("""COMPUTED_VALUE"""),516.0)</f>
        <v>516</v>
      </c>
      <c r="B517" s="20" t="str">
        <f>IFERROR(__xludf.DUMMYFUNCTION("""COMPUTED_VALUE"""),"Longest Palindromic Subsequence")</f>
        <v>Longest Palindromic Subsequence</v>
      </c>
      <c r="C517" s="20" t="str">
        <f>IFERROR(__xludf.DUMMYFUNCTION("""COMPUTED_VALUE"""),"longest-palindromic-subsequence")</f>
        <v>longest-palindromic-subsequence</v>
      </c>
      <c r="D517" s="20" t="b">
        <f>IFERROR(__xludf.DUMMYFUNCTION("""COMPUTED_VALUE"""),FALSE)</f>
        <v>0</v>
      </c>
      <c r="E517" s="20" t="str">
        <f>IFERROR(__xludf.DUMMYFUNCTION("""COMPUTED_VALUE"""),"Medium")</f>
        <v>Medium</v>
      </c>
      <c r="F517" s="20">
        <f>IFERROR(__xludf.DUMMYFUNCTION("""COMPUTED_VALUE"""),6678.0)</f>
        <v>6678</v>
      </c>
      <c r="G517" s="20">
        <f>IFERROR(__xludf.DUMMYFUNCTION("""COMPUTED_VALUE"""),271.0)</f>
        <v>271</v>
      </c>
      <c r="H517" s="20" t="str">
        <f>IFERROR(__xludf.DUMMYFUNCTION("""COMPUTED_VALUE"""),"Algorithms")</f>
        <v>Algorithms</v>
      </c>
      <c r="I517" s="20">
        <f>IFERROR(__xludf.DUMMYFUNCTION("""COMPUTED_VALUE"""),0.608)</f>
        <v>0.608</v>
      </c>
      <c r="J517" s="20">
        <f>IFERROR(__xludf.DUMMYFUNCTION("""COMPUTED_VALUE"""),516.0)</f>
        <v>516</v>
      </c>
      <c r="K517" s="20" t="b">
        <f>IFERROR(__xludf.DUMMYFUNCTION("""COMPUTED_VALUE"""),FALSE)</f>
        <v>0</v>
      </c>
      <c r="L517" s="20" t="str">
        <f>IFERROR(__xludf.DUMMYFUNCTION("""COMPUTED_VALUE"""),"String;Dynamic Programming;")</f>
        <v>String;Dynamic Programming;</v>
      </c>
      <c r="M517" s="20" t="b">
        <f>IFERROR(__xludf.DUMMYFUNCTION("""COMPUTED_VALUE"""),FALSE)</f>
        <v>0</v>
      </c>
      <c r="N517" s="20" t="b">
        <f>IFERROR(__xludf.DUMMYFUNCTION("""COMPUTED_VALUE"""),FALSE)</f>
        <v>0</v>
      </c>
      <c r="O517" s="20">
        <f>IFERROR(__xludf.DUMMYFUNCTION("""COMPUTED_VALUE"""),60.7645530368252)</f>
        <v>60.76455304</v>
      </c>
      <c r="P517" s="20">
        <f>IFERROR(__xludf.DUMMYFUNCTION("""COMPUTED_VALUE"""),311964.0)</f>
        <v>311964</v>
      </c>
      <c r="Q517" s="20">
        <f>IFERROR(__xludf.DUMMYFUNCTION("""COMPUTED_VALUE"""),513398.0)</f>
        <v>513398</v>
      </c>
    </row>
    <row r="518">
      <c r="A518" s="20">
        <f>IFERROR(__xludf.DUMMYFUNCTION("""COMPUTED_VALUE"""),517.0)</f>
        <v>517</v>
      </c>
      <c r="B518" s="20" t="str">
        <f>IFERROR(__xludf.DUMMYFUNCTION("""COMPUTED_VALUE"""),"Super Washing Machines")</f>
        <v>Super Washing Machines</v>
      </c>
      <c r="C518" s="20" t="str">
        <f>IFERROR(__xludf.DUMMYFUNCTION("""COMPUTED_VALUE"""),"super-washing-machines")</f>
        <v>super-washing-machines</v>
      </c>
      <c r="D518" s="20" t="b">
        <f>IFERROR(__xludf.DUMMYFUNCTION("""COMPUTED_VALUE"""),FALSE)</f>
        <v>0</v>
      </c>
      <c r="E518" s="20" t="str">
        <f>IFERROR(__xludf.DUMMYFUNCTION("""COMPUTED_VALUE"""),"Hard")</f>
        <v>Hard</v>
      </c>
      <c r="F518" s="20">
        <f>IFERROR(__xludf.DUMMYFUNCTION("""COMPUTED_VALUE"""),626.0)</f>
        <v>626</v>
      </c>
      <c r="G518" s="20">
        <f>IFERROR(__xludf.DUMMYFUNCTION("""COMPUTED_VALUE"""),198.0)</f>
        <v>198</v>
      </c>
      <c r="H518" s="20" t="str">
        <f>IFERROR(__xludf.DUMMYFUNCTION("""COMPUTED_VALUE"""),"Algorithms")</f>
        <v>Algorithms</v>
      </c>
      <c r="I518" s="20">
        <f>IFERROR(__xludf.DUMMYFUNCTION("""COMPUTED_VALUE"""),0.402)</f>
        <v>0.402</v>
      </c>
      <c r="J518" s="20">
        <f>IFERROR(__xludf.DUMMYFUNCTION("""COMPUTED_VALUE"""),517.0)</f>
        <v>517</v>
      </c>
      <c r="K518" s="20" t="b">
        <f>IFERROR(__xludf.DUMMYFUNCTION("""COMPUTED_VALUE"""),FALSE)</f>
        <v>0</v>
      </c>
      <c r="L518" s="20" t="str">
        <f>IFERROR(__xludf.DUMMYFUNCTION("""COMPUTED_VALUE"""),"Array;Greedy;")</f>
        <v>Array;Greedy;</v>
      </c>
      <c r="M518" s="20" t="b">
        <f>IFERROR(__xludf.DUMMYFUNCTION("""COMPUTED_VALUE"""),FALSE)</f>
        <v>0</v>
      </c>
      <c r="N518" s="20" t="b">
        <f>IFERROR(__xludf.DUMMYFUNCTION("""COMPUTED_VALUE"""),FALSE)</f>
        <v>0</v>
      </c>
      <c r="O518" s="20">
        <f>IFERROR(__xludf.DUMMYFUNCTION("""COMPUTED_VALUE"""),40.152916714419)</f>
        <v>40.15291671</v>
      </c>
      <c r="P518" s="20">
        <f>IFERROR(__xludf.DUMMYFUNCTION("""COMPUTED_VALUE"""),24525.0)</f>
        <v>24525</v>
      </c>
      <c r="Q518" s="20">
        <f>IFERROR(__xludf.DUMMYFUNCTION("""COMPUTED_VALUE"""),61079.0)</f>
        <v>61079</v>
      </c>
    </row>
    <row r="519">
      <c r="A519" s="20">
        <f>IFERROR(__xludf.DUMMYFUNCTION("""COMPUTED_VALUE"""),518.0)</f>
        <v>518</v>
      </c>
      <c r="B519" s="20" t="str">
        <f>IFERROR(__xludf.DUMMYFUNCTION("""COMPUTED_VALUE"""),"Coin Change II")</f>
        <v>Coin Change II</v>
      </c>
      <c r="C519" s="20" t="str">
        <f>IFERROR(__xludf.DUMMYFUNCTION("""COMPUTED_VALUE"""),"coin-change-ii")</f>
        <v>coin-change-ii</v>
      </c>
      <c r="D519" s="20" t="b">
        <f>IFERROR(__xludf.DUMMYFUNCTION("""COMPUTED_VALUE"""),FALSE)</f>
        <v>0</v>
      </c>
      <c r="E519" s="20" t="str">
        <f>IFERROR(__xludf.DUMMYFUNCTION("""COMPUTED_VALUE"""),"Medium")</f>
        <v>Medium</v>
      </c>
      <c r="F519" s="20">
        <f>IFERROR(__xludf.DUMMYFUNCTION("""COMPUTED_VALUE"""),6587.0)</f>
        <v>6587</v>
      </c>
      <c r="G519" s="20">
        <f>IFERROR(__xludf.DUMMYFUNCTION("""COMPUTED_VALUE"""),120.0)</f>
        <v>120</v>
      </c>
      <c r="H519" s="20" t="str">
        <f>IFERROR(__xludf.DUMMYFUNCTION("""COMPUTED_VALUE"""),"Algorithms")</f>
        <v>Algorithms</v>
      </c>
      <c r="I519" s="20">
        <f>IFERROR(__xludf.DUMMYFUNCTION("""COMPUTED_VALUE"""),0.6)</f>
        <v>0.6</v>
      </c>
      <c r="J519" s="20">
        <f>IFERROR(__xludf.DUMMYFUNCTION("""COMPUTED_VALUE"""),518.0)</f>
        <v>518</v>
      </c>
      <c r="K519" s="20" t="b">
        <f>IFERROR(__xludf.DUMMYFUNCTION("""COMPUTED_VALUE"""),FALSE)</f>
        <v>0</v>
      </c>
      <c r="L519" s="20" t="str">
        <f>IFERROR(__xludf.DUMMYFUNCTION("""COMPUTED_VALUE"""),"Array;Dynamic Programming;")</f>
        <v>Array;Dynamic Programming;</v>
      </c>
      <c r="M519" s="20" t="b">
        <f>IFERROR(__xludf.DUMMYFUNCTION("""COMPUTED_VALUE"""),TRUE)</f>
        <v>1</v>
      </c>
      <c r="N519" s="20" t="b">
        <f>IFERROR(__xludf.DUMMYFUNCTION("""COMPUTED_VALUE"""),FALSE)</f>
        <v>0</v>
      </c>
      <c r="O519" s="20">
        <f>IFERROR(__xludf.DUMMYFUNCTION("""COMPUTED_VALUE"""),60.0486845920275)</f>
        <v>60.04868459</v>
      </c>
      <c r="P519" s="20">
        <f>IFERROR(__xludf.DUMMYFUNCTION("""COMPUTED_VALUE"""),376927.0)</f>
        <v>376927</v>
      </c>
      <c r="Q519" s="20">
        <f>IFERROR(__xludf.DUMMYFUNCTION("""COMPUTED_VALUE"""),627703.0)</f>
        <v>627703</v>
      </c>
    </row>
    <row r="520">
      <c r="A520" s="20">
        <f>IFERROR(__xludf.DUMMYFUNCTION("""COMPUTED_VALUE"""),913.0)</f>
        <v>913</v>
      </c>
      <c r="B520" s="20" t="str">
        <f>IFERROR(__xludf.DUMMYFUNCTION("""COMPUTED_VALUE"""),"Random Flip Matrix")</f>
        <v>Random Flip Matrix</v>
      </c>
      <c r="C520" s="20" t="str">
        <f>IFERROR(__xludf.DUMMYFUNCTION("""COMPUTED_VALUE"""),"random-flip-matrix")</f>
        <v>random-flip-matrix</v>
      </c>
      <c r="D520" s="20" t="b">
        <f>IFERROR(__xludf.DUMMYFUNCTION("""COMPUTED_VALUE"""),FALSE)</f>
        <v>0</v>
      </c>
      <c r="E520" s="20" t="str">
        <f>IFERROR(__xludf.DUMMYFUNCTION("""COMPUTED_VALUE"""),"Medium")</f>
        <v>Medium</v>
      </c>
      <c r="F520" s="20">
        <f>IFERROR(__xludf.DUMMYFUNCTION("""COMPUTED_VALUE"""),344.0)</f>
        <v>344</v>
      </c>
      <c r="G520" s="20">
        <f>IFERROR(__xludf.DUMMYFUNCTION("""COMPUTED_VALUE"""),97.0)</f>
        <v>97</v>
      </c>
      <c r="H520" s="20" t="str">
        <f>IFERROR(__xludf.DUMMYFUNCTION("""COMPUTED_VALUE"""),"Algorithms")</f>
        <v>Algorithms</v>
      </c>
      <c r="I520" s="20">
        <f>IFERROR(__xludf.DUMMYFUNCTION("""COMPUTED_VALUE"""),0.4)</f>
        <v>0.4</v>
      </c>
      <c r="J520" s="20">
        <f>IFERROR(__xludf.DUMMYFUNCTION("""COMPUTED_VALUE"""),519.0)</f>
        <v>519</v>
      </c>
      <c r="K520" s="20" t="b">
        <f>IFERROR(__xludf.DUMMYFUNCTION("""COMPUTED_VALUE"""),FALSE)</f>
        <v>0</v>
      </c>
      <c r="L520" s="20" t="str">
        <f>IFERROR(__xludf.DUMMYFUNCTION("""COMPUTED_VALUE"""),"Hash Table;Math;Reservoir Sampling;Randomized;")</f>
        <v>Hash Table;Math;Reservoir Sampling;Randomized;</v>
      </c>
      <c r="M520" s="20" t="b">
        <f>IFERROR(__xludf.DUMMYFUNCTION("""COMPUTED_VALUE"""),TRUE)</f>
        <v>1</v>
      </c>
      <c r="N520" s="20" t="b">
        <f>IFERROR(__xludf.DUMMYFUNCTION("""COMPUTED_VALUE"""),FALSE)</f>
        <v>0</v>
      </c>
      <c r="O520" s="20">
        <f>IFERROR(__xludf.DUMMYFUNCTION("""COMPUTED_VALUE"""),39.9720619810124)</f>
        <v>39.97206198</v>
      </c>
      <c r="P520" s="20">
        <f>IFERROR(__xludf.DUMMYFUNCTION("""COMPUTED_VALUE"""),15452.0)</f>
        <v>15452</v>
      </c>
      <c r="Q520" s="20">
        <f>IFERROR(__xludf.DUMMYFUNCTION("""COMPUTED_VALUE"""),38657.0)</f>
        <v>38657</v>
      </c>
    </row>
    <row r="521">
      <c r="A521" s="20">
        <f>IFERROR(__xludf.DUMMYFUNCTION("""COMPUTED_VALUE"""),520.0)</f>
        <v>520</v>
      </c>
      <c r="B521" s="20" t="str">
        <f>IFERROR(__xludf.DUMMYFUNCTION("""COMPUTED_VALUE"""),"Detect Capital")</f>
        <v>Detect Capital</v>
      </c>
      <c r="C521" s="20" t="str">
        <f>IFERROR(__xludf.DUMMYFUNCTION("""COMPUTED_VALUE"""),"detect-capital")</f>
        <v>detect-capital</v>
      </c>
      <c r="D521" s="20" t="b">
        <f>IFERROR(__xludf.DUMMYFUNCTION("""COMPUTED_VALUE"""),FALSE)</f>
        <v>0</v>
      </c>
      <c r="E521" s="20" t="str">
        <f>IFERROR(__xludf.DUMMYFUNCTION("""COMPUTED_VALUE"""),"Easy")</f>
        <v>Easy</v>
      </c>
      <c r="F521" s="20">
        <f>IFERROR(__xludf.DUMMYFUNCTION("""COMPUTED_VALUE"""),1847.0)</f>
        <v>1847</v>
      </c>
      <c r="G521" s="20">
        <f>IFERROR(__xludf.DUMMYFUNCTION("""COMPUTED_VALUE"""),383.0)</f>
        <v>383</v>
      </c>
      <c r="H521" s="20" t="str">
        <f>IFERROR(__xludf.DUMMYFUNCTION("""COMPUTED_VALUE"""),"Algorithms")</f>
        <v>Algorithms</v>
      </c>
      <c r="I521" s="20">
        <f>IFERROR(__xludf.DUMMYFUNCTION("""COMPUTED_VALUE"""),0.556)</f>
        <v>0.556</v>
      </c>
      <c r="J521" s="20">
        <f>IFERROR(__xludf.DUMMYFUNCTION("""COMPUTED_VALUE"""),520.0)</f>
        <v>520</v>
      </c>
      <c r="K521" s="20" t="b">
        <f>IFERROR(__xludf.DUMMYFUNCTION("""COMPUTED_VALUE"""),FALSE)</f>
        <v>0</v>
      </c>
      <c r="L521" s="20" t="str">
        <f>IFERROR(__xludf.DUMMYFUNCTION("""COMPUTED_VALUE"""),"String;")</f>
        <v>String;</v>
      </c>
      <c r="M521" s="20" t="b">
        <f>IFERROR(__xludf.DUMMYFUNCTION("""COMPUTED_VALUE"""),TRUE)</f>
        <v>1</v>
      </c>
      <c r="N521" s="20" t="b">
        <f>IFERROR(__xludf.DUMMYFUNCTION("""COMPUTED_VALUE"""),FALSE)</f>
        <v>0</v>
      </c>
      <c r="O521" s="20">
        <f>IFERROR(__xludf.DUMMYFUNCTION("""COMPUTED_VALUE"""),55.5575974522342)</f>
        <v>55.55759745</v>
      </c>
      <c r="P521" s="20">
        <f>IFERROR(__xludf.DUMMYFUNCTION("""COMPUTED_VALUE"""),284181.0)</f>
        <v>284181</v>
      </c>
      <c r="Q521" s="20">
        <f>IFERROR(__xludf.DUMMYFUNCTION("""COMPUTED_VALUE"""),511507.0)</f>
        <v>511507</v>
      </c>
    </row>
    <row r="522">
      <c r="A522" s="20">
        <f>IFERROR(__xludf.DUMMYFUNCTION("""COMPUTED_VALUE"""),521.0)</f>
        <v>521</v>
      </c>
      <c r="B522" s="20" t="str">
        <f>IFERROR(__xludf.DUMMYFUNCTION("""COMPUTED_VALUE"""),"Longest Uncommon Subsequence I")</f>
        <v>Longest Uncommon Subsequence I</v>
      </c>
      <c r="C522" s="20" t="str">
        <f>IFERROR(__xludf.DUMMYFUNCTION("""COMPUTED_VALUE"""),"longest-uncommon-subsequence-i")</f>
        <v>longest-uncommon-subsequence-i</v>
      </c>
      <c r="D522" s="20" t="b">
        <f>IFERROR(__xludf.DUMMYFUNCTION("""COMPUTED_VALUE"""),FALSE)</f>
        <v>0</v>
      </c>
      <c r="E522" s="20" t="str">
        <f>IFERROR(__xludf.DUMMYFUNCTION("""COMPUTED_VALUE"""),"Easy")</f>
        <v>Easy</v>
      </c>
      <c r="F522" s="20">
        <f>IFERROR(__xludf.DUMMYFUNCTION("""COMPUTED_VALUE"""),666.0)</f>
        <v>666</v>
      </c>
      <c r="G522" s="20">
        <f>IFERROR(__xludf.DUMMYFUNCTION("""COMPUTED_VALUE"""),5947.0)</f>
        <v>5947</v>
      </c>
      <c r="H522" s="20" t="str">
        <f>IFERROR(__xludf.DUMMYFUNCTION("""COMPUTED_VALUE"""),"Algorithms")</f>
        <v>Algorithms</v>
      </c>
      <c r="I522" s="20">
        <f>IFERROR(__xludf.DUMMYFUNCTION("""COMPUTED_VALUE"""),0.603)</f>
        <v>0.603</v>
      </c>
      <c r="J522" s="20">
        <f>IFERROR(__xludf.DUMMYFUNCTION("""COMPUTED_VALUE"""),521.0)</f>
        <v>521</v>
      </c>
      <c r="K522" s="20" t="b">
        <f>IFERROR(__xludf.DUMMYFUNCTION("""COMPUTED_VALUE"""),FALSE)</f>
        <v>0</v>
      </c>
      <c r="L522" s="20" t="str">
        <f>IFERROR(__xludf.DUMMYFUNCTION("""COMPUTED_VALUE"""),"String;")</f>
        <v>String;</v>
      </c>
      <c r="M522" s="20" t="b">
        <f>IFERROR(__xludf.DUMMYFUNCTION("""COMPUTED_VALUE"""),TRUE)</f>
        <v>1</v>
      </c>
      <c r="N522" s="20" t="b">
        <f>IFERROR(__xludf.DUMMYFUNCTION("""COMPUTED_VALUE"""),FALSE)</f>
        <v>0</v>
      </c>
      <c r="O522" s="20">
        <f>IFERROR(__xludf.DUMMYFUNCTION("""COMPUTED_VALUE"""),60.3192274248372)</f>
        <v>60.31922742</v>
      </c>
      <c r="P522" s="20">
        <f>IFERROR(__xludf.DUMMYFUNCTION("""COMPUTED_VALUE"""),91567.0)</f>
        <v>91567</v>
      </c>
      <c r="Q522" s="20">
        <f>IFERROR(__xludf.DUMMYFUNCTION("""COMPUTED_VALUE"""),151804.0)</f>
        <v>151804</v>
      </c>
    </row>
    <row r="523">
      <c r="A523" s="20">
        <f>IFERROR(__xludf.DUMMYFUNCTION("""COMPUTED_VALUE"""),522.0)</f>
        <v>522</v>
      </c>
      <c r="B523" s="20" t="str">
        <f>IFERROR(__xludf.DUMMYFUNCTION("""COMPUTED_VALUE"""),"Longest Uncommon Subsequence II")</f>
        <v>Longest Uncommon Subsequence II</v>
      </c>
      <c r="C523" s="20" t="str">
        <f>IFERROR(__xludf.DUMMYFUNCTION("""COMPUTED_VALUE"""),"longest-uncommon-subsequence-ii")</f>
        <v>longest-uncommon-subsequence-ii</v>
      </c>
      <c r="D523" s="20" t="b">
        <f>IFERROR(__xludf.DUMMYFUNCTION("""COMPUTED_VALUE"""),FALSE)</f>
        <v>0</v>
      </c>
      <c r="E523" s="20" t="str">
        <f>IFERROR(__xludf.DUMMYFUNCTION("""COMPUTED_VALUE"""),"Medium")</f>
        <v>Medium</v>
      </c>
      <c r="F523" s="20">
        <f>IFERROR(__xludf.DUMMYFUNCTION("""COMPUTED_VALUE"""),425.0)</f>
        <v>425</v>
      </c>
      <c r="G523" s="20">
        <f>IFERROR(__xludf.DUMMYFUNCTION("""COMPUTED_VALUE"""),1164.0)</f>
        <v>1164</v>
      </c>
      <c r="H523" s="20" t="str">
        <f>IFERROR(__xludf.DUMMYFUNCTION("""COMPUTED_VALUE"""),"Algorithms")</f>
        <v>Algorithms</v>
      </c>
      <c r="I523" s="20">
        <f>IFERROR(__xludf.DUMMYFUNCTION("""COMPUTED_VALUE"""),0.404)</f>
        <v>0.404</v>
      </c>
      <c r="J523" s="20">
        <f>IFERROR(__xludf.DUMMYFUNCTION("""COMPUTED_VALUE"""),522.0)</f>
        <v>522</v>
      </c>
      <c r="K523" s="20" t="b">
        <f>IFERROR(__xludf.DUMMYFUNCTION("""COMPUTED_VALUE"""),FALSE)</f>
        <v>0</v>
      </c>
      <c r="L523" s="20" t="str">
        <f>IFERROR(__xludf.DUMMYFUNCTION("""COMPUTED_VALUE"""),"Array;Hash Table;Two Pointers;String;Sorting;")</f>
        <v>Array;Hash Table;Two Pointers;String;Sorting;</v>
      </c>
      <c r="M523" s="20" t="b">
        <f>IFERROR(__xludf.DUMMYFUNCTION("""COMPUTED_VALUE"""),TRUE)</f>
        <v>1</v>
      </c>
      <c r="N523" s="20" t="b">
        <f>IFERROR(__xludf.DUMMYFUNCTION("""COMPUTED_VALUE"""),FALSE)</f>
        <v>0</v>
      </c>
      <c r="O523" s="20">
        <f>IFERROR(__xludf.DUMMYFUNCTION("""COMPUTED_VALUE"""),40.4042538206916)</f>
        <v>40.40425382</v>
      </c>
      <c r="P523" s="20">
        <f>IFERROR(__xludf.DUMMYFUNCTION("""COMPUTED_VALUE"""),45896.0)</f>
        <v>45896</v>
      </c>
      <c r="Q523" s="20">
        <f>IFERROR(__xludf.DUMMYFUNCTION("""COMPUTED_VALUE"""),113592.0)</f>
        <v>113592</v>
      </c>
    </row>
    <row r="524">
      <c r="A524" s="20">
        <f>IFERROR(__xludf.DUMMYFUNCTION("""COMPUTED_VALUE"""),523.0)</f>
        <v>523</v>
      </c>
      <c r="B524" s="20" t="str">
        <f>IFERROR(__xludf.DUMMYFUNCTION("""COMPUTED_VALUE"""),"Continuous Subarray Sum")</f>
        <v>Continuous Subarray Sum</v>
      </c>
      <c r="C524" s="20" t="str">
        <f>IFERROR(__xludf.DUMMYFUNCTION("""COMPUTED_VALUE"""),"continuous-subarray-sum")</f>
        <v>continuous-subarray-sum</v>
      </c>
      <c r="D524" s="20" t="b">
        <f>IFERROR(__xludf.DUMMYFUNCTION("""COMPUTED_VALUE"""),FALSE)</f>
        <v>0</v>
      </c>
      <c r="E524" s="20" t="str">
        <f>IFERROR(__xludf.DUMMYFUNCTION("""COMPUTED_VALUE"""),"Medium")</f>
        <v>Medium</v>
      </c>
      <c r="F524" s="20">
        <f>IFERROR(__xludf.DUMMYFUNCTION("""COMPUTED_VALUE"""),4306.0)</f>
        <v>4306</v>
      </c>
      <c r="G524" s="20">
        <f>IFERROR(__xludf.DUMMYFUNCTION("""COMPUTED_VALUE"""),419.0)</f>
        <v>419</v>
      </c>
      <c r="H524" s="20" t="str">
        <f>IFERROR(__xludf.DUMMYFUNCTION("""COMPUTED_VALUE"""),"Algorithms")</f>
        <v>Algorithms</v>
      </c>
      <c r="I524" s="20">
        <f>IFERROR(__xludf.DUMMYFUNCTION("""COMPUTED_VALUE"""),0.286)</f>
        <v>0.286</v>
      </c>
      <c r="J524" s="20">
        <f>IFERROR(__xludf.DUMMYFUNCTION("""COMPUTED_VALUE"""),523.0)</f>
        <v>523</v>
      </c>
      <c r="K524" s="20" t="b">
        <f>IFERROR(__xludf.DUMMYFUNCTION("""COMPUTED_VALUE"""),FALSE)</f>
        <v>0</v>
      </c>
      <c r="L524" s="20" t="str">
        <f>IFERROR(__xludf.DUMMYFUNCTION("""COMPUTED_VALUE"""),"Array;Hash Table;Math;Prefix Sum;")</f>
        <v>Array;Hash Table;Math;Prefix Sum;</v>
      </c>
      <c r="M524" s="20" t="b">
        <f>IFERROR(__xludf.DUMMYFUNCTION("""COMPUTED_VALUE"""),TRUE)</f>
        <v>1</v>
      </c>
      <c r="N524" s="20" t="b">
        <f>IFERROR(__xludf.DUMMYFUNCTION("""COMPUTED_VALUE"""),FALSE)</f>
        <v>0</v>
      </c>
      <c r="O524" s="20">
        <f>IFERROR(__xludf.DUMMYFUNCTION("""COMPUTED_VALUE"""),28.5520640788662)</f>
        <v>28.55206408</v>
      </c>
      <c r="P524" s="20">
        <f>IFERROR(__xludf.DUMMYFUNCTION("""COMPUTED_VALUE"""),377670.0)</f>
        <v>377670</v>
      </c>
      <c r="Q524" s="20">
        <f>IFERROR(__xludf.DUMMYFUNCTION("""COMPUTED_VALUE"""),1322742.0)</f>
        <v>1322742</v>
      </c>
    </row>
    <row r="525">
      <c r="A525" s="20">
        <f>IFERROR(__xludf.DUMMYFUNCTION("""COMPUTED_VALUE"""),524.0)</f>
        <v>524</v>
      </c>
      <c r="B525" s="20" t="str">
        <f>IFERROR(__xludf.DUMMYFUNCTION("""COMPUTED_VALUE"""),"Longest Word in Dictionary through Deleting")</f>
        <v>Longest Word in Dictionary through Deleting</v>
      </c>
      <c r="C525" s="20" t="str">
        <f>IFERROR(__xludf.DUMMYFUNCTION("""COMPUTED_VALUE"""),"longest-word-in-dictionary-through-deleting")</f>
        <v>longest-word-in-dictionary-through-deleting</v>
      </c>
      <c r="D525" s="20" t="b">
        <f>IFERROR(__xludf.DUMMYFUNCTION("""COMPUTED_VALUE"""),FALSE)</f>
        <v>0</v>
      </c>
      <c r="E525" s="20" t="str">
        <f>IFERROR(__xludf.DUMMYFUNCTION("""COMPUTED_VALUE"""),"Medium")</f>
        <v>Medium</v>
      </c>
      <c r="F525" s="20">
        <f>IFERROR(__xludf.DUMMYFUNCTION("""COMPUTED_VALUE"""),1534.0)</f>
        <v>1534</v>
      </c>
      <c r="G525" s="20">
        <f>IFERROR(__xludf.DUMMYFUNCTION("""COMPUTED_VALUE"""),344.0)</f>
        <v>344</v>
      </c>
      <c r="H525" s="20" t="str">
        <f>IFERROR(__xludf.DUMMYFUNCTION("""COMPUTED_VALUE"""),"Algorithms")</f>
        <v>Algorithms</v>
      </c>
      <c r="I525" s="20">
        <f>IFERROR(__xludf.DUMMYFUNCTION("""COMPUTED_VALUE"""),0.511)</f>
        <v>0.511</v>
      </c>
      <c r="J525" s="20">
        <f>IFERROR(__xludf.DUMMYFUNCTION("""COMPUTED_VALUE"""),524.0)</f>
        <v>524</v>
      </c>
      <c r="K525" s="20" t="b">
        <f>IFERROR(__xludf.DUMMYFUNCTION("""COMPUTED_VALUE"""),FALSE)</f>
        <v>0</v>
      </c>
      <c r="L525" s="20" t="str">
        <f>IFERROR(__xludf.DUMMYFUNCTION("""COMPUTED_VALUE"""),"Array;Two Pointers;String;Sorting;")</f>
        <v>Array;Two Pointers;String;Sorting;</v>
      </c>
      <c r="M525" s="20" t="b">
        <f>IFERROR(__xludf.DUMMYFUNCTION("""COMPUTED_VALUE"""),TRUE)</f>
        <v>1</v>
      </c>
      <c r="N525" s="20" t="b">
        <f>IFERROR(__xludf.DUMMYFUNCTION("""COMPUTED_VALUE"""),FALSE)</f>
        <v>0</v>
      </c>
      <c r="O525" s="20">
        <f>IFERROR(__xludf.DUMMYFUNCTION("""COMPUTED_VALUE"""),51.1348782822095)</f>
        <v>51.13487828</v>
      </c>
      <c r="P525" s="20">
        <f>IFERROR(__xludf.DUMMYFUNCTION("""COMPUTED_VALUE"""),137313.0)</f>
        <v>137313</v>
      </c>
      <c r="Q525" s="20">
        <f>IFERROR(__xludf.DUMMYFUNCTION("""COMPUTED_VALUE"""),268531.0)</f>
        <v>268531</v>
      </c>
    </row>
    <row r="526">
      <c r="A526" s="20">
        <f>IFERROR(__xludf.DUMMYFUNCTION("""COMPUTED_VALUE"""),525.0)</f>
        <v>525</v>
      </c>
      <c r="B526" s="20" t="str">
        <f>IFERROR(__xludf.DUMMYFUNCTION("""COMPUTED_VALUE"""),"Contiguous Array")</f>
        <v>Contiguous Array</v>
      </c>
      <c r="C526" s="20" t="str">
        <f>IFERROR(__xludf.DUMMYFUNCTION("""COMPUTED_VALUE"""),"contiguous-array")</f>
        <v>contiguous-array</v>
      </c>
      <c r="D526" s="20" t="b">
        <f>IFERROR(__xludf.DUMMYFUNCTION("""COMPUTED_VALUE"""),FALSE)</f>
        <v>0</v>
      </c>
      <c r="E526" s="20" t="str">
        <f>IFERROR(__xludf.DUMMYFUNCTION("""COMPUTED_VALUE"""),"Medium")</f>
        <v>Medium</v>
      </c>
      <c r="F526" s="20">
        <f>IFERROR(__xludf.DUMMYFUNCTION("""COMPUTED_VALUE"""),6043.0)</f>
        <v>6043</v>
      </c>
      <c r="G526" s="20">
        <f>IFERROR(__xludf.DUMMYFUNCTION("""COMPUTED_VALUE"""),242.0)</f>
        <v>242</v>
      </c>
      <c r="H526" s="20" t="str">
        <f>IFERROR(__xludf.DUMMYFUNCTION("""COMPUTED_VALUE"""),"Algorithms")</f>
        <v>Algorithms</v>
      </c>
      <c r="I526" s="20">
        <f>IFERROR(__xludf.DUMMYFUNCTION("""COMPUTED_VALUE"""),0.468)</f>
        <v>0.468</v>
      </c>
      <c r="J526" s="20">
        <f>IFERROR(__xludf.DUMMYFUNCTION("""COMPUTED_VALUE"""),525.0)</f>
        <v>525</v>
      </c>
      <c r="K526" s="20" t="b">
        <f>IFERROR(__xludf.DUMMYFUNCTION("""COMPUTED_VALUE"""),FALSE)</f>
        <v>0</v>
      </c>
      <c r="L526" s="20" t="str">
        <f>IFERROR(__xludf.DUMMYFUNCTION("""COMPUTED_VALUE"""),"Array;Hash Table;Prefix Sum;")</f>
        <v>Array;Hash Table;Prefix Sum;</v>
      </c>
      <c r="M526" s="20" t="b">
        <f>IFERROR(__xludf.DUMMYFUNCTION("""COMPUTED_VALUE"""),TRUE)</f>
        <v>1</v>
      </c>
      <c r="N526" s="20" t="b">
        <f>IFERROR(__xludf.DUMMYFUNCTION("""COMPUTED_VALUE"""),FALSE)</f>
        <v>0</v>
      </c>
      <c r="O526" s="20">
        <f>IFERROR(__xludf.DUMMYFUNCTION("""COMPUTED_VALUE"""),46.8361363015859)</f>
        <v>46.8361363</v>
      </c>
      <c r="P526" s="20">
        <f>IFERROR(__xludf.DUMMYFUNCTION("""COMPUTED_VALUE"""),286484.0)</f>
        <v>286484</v>
      </c>
      <c r="Q526" s="20">
        <f>IFERROR(__xludf.DUMMYFUNCTION("""COMPUTED_VALUE"""),611672.0)</f>
        <v>611672</v>
      </c>
    </row>
    <row r="527">
      <c r="A527" s="20">
        <f>IFERROR(__xludf.DUMMYFUNCTION("""COMPUTED_VALUE"""),526.0)</f>
        <v>526</v>
      </c>
      <c r="B527" s="20" t="str">
        <f>IFERROR(__xludf.DUMMYFUNCTION("""COMPUTED_VALUE"""),"Beautiful Arrangement")</f>
        <v>Beautiful Arrangement</v>
      </c>
      <c r="C527" s="20" t="str">
        <f>IFERROR(__xludf.DUMMYFUNCTION("""COMPUTED_VALUE"""),"beautiful-arrangement")</f>
        <v>beautiful-arrangement</v>
      </c>
      <c r="D527" s="20" t="b">
        <f>IFERROR(__xludf.DUMMYFUNCTION("""COMPUTED_VALUE"""),FALSE)</f>
        <v>0</v>
      </c>
      <c r="E527" s="20" t="str">
        <f>IFERROR(__xludf.DUMMYFUNCTION("""COMPUTED_VALUE"""),"Medium")</f>
        <v>Medium</v>
      </c>
      <c r="F527" s="20">
        <f>IFERROR(__xludf.DUMMYFUNCTION("""COMPUTED_VALUE"""),2651.0)</f>
        <v>2651</v>
      </c>
      <c r="G527" s="20">
        <f>IFERROR(__xludf.DUMMYFUNCTION("""COMPUTED_VALUE"""),326.0)</f>
        <v>326</v>
      </c>
      <c r="H527" s="20" t="str">
        <f>IFERROR(__xludf.DUMMYFUNCTION("""COMPUTED_VALUE"""),"Algorithms")</f>
        <v>Algorithms</v>
      </c>
      <c r="I527" s="20">
        <f>IFERROR(__xludf.DUMMYFUNCTION("""COMPUTED_VALUE"""),0.646)</f>
        <v>0.646</v>
      </c>
      <c r="J527" s="20">
        <f>IFERROR(__xludf.DUMMYFUNCTION("""COMPUTED_VALUE"""),526.0)</f>
        <v>526</v>
      </c>
      <c r="K527" s="20" t="b">
        <f>IFERROR(__xludf.DUMMYFUNCTION("""COMPUTED_VALUE"""),FALSE)</f>
        <v>0</v>
      </c>
      <c r="L527" s="20" t="str">
        <f>IFERROR(__xludf.DUMMYFUNCTION("""COMPUTED_VALUE"""),"Array;Dynamic Programming;Backtracking;Bit Manipulation;Bitmask;")</f>
        <v>Array;Dynamic Programming;Backtracking;Bit Manipulation;Bitmask;</v>
      </c>
      <c r="M527" s="20" t="b">
        <f>IFERROR(__xludf.DUMMYFUNCTION("""COMPUTED_VALUE"""),TRUE)</f>
        <v>1</v>
      </c>
      <c r="N527" s="20" t="b">
        <f>IFERROR(__xludf.DUMMYFUNCTION("""COMPUTED_VALUE"""),FALSE)</f>
        <v>0</v>
      </c>
      <c r="O527" s="20">
        <f>IFERROR(__xludf.DUMMYFUNCTION("""COMPUTED_VALUE"""),64.5624629749157)</f>
        <v>64.56246297</v>
      </c>
      <c r="P527" s="20">
        <f>IFERROR(__xludf.DUMMYFUNCTION("""COMPUTED_VALUE"""),146039.0)</f>
        <v>146039</v>
      </c>
      <c r="Q527" s="20">
        <f>IFERROR(__xludf.DUMMYFUNCTION("""COMPUTED_VALUE"""),226198.0)</f>
        <v>226198</v>
      </c>
    </row>
    <row r="528">
      <c r="A528" s="20">
        <f>IFERROR(__xludf.DUMMYFUNCTION("""COMPUTED_VALUE"""),527.0)</f>
        <v>527</v>
      </c>
      <c r="B528" s="20" t="str">
        <f>IFERROR(__xludf.DUMMYFUNCTION("""COMPUTED_VALUE"""),"Word Abbreviation")</f>
        <v>Word Abbreviation</v>
      </c>
      <c r="C528" s="20" t="str">
        <f>IFERROR(__xludf.DUMMYFUNCTION("""COMPUTED_VALUE"""),"word-abbreviation")</f>
        <v>word-abbreviation</v>
      </c>
      <c r="D528" s="20" t="b">
        <f>IFERROR(__xludf.DUMMYFUNCTION("""COMPUTED_VALUE"""),TRUE)</f>
        <v>1</v>
      </c>
      <c r="E528" s="20" t="str">
        <f>IFERROR(__xludf.DUMMYFUNCTION("""COMPUTED_VALUE"""),"Hard")</f>
        <v>Hard</v>
      </c>
      <c r="F528" s="20">
        <f>IFERROR(__xludf.DUMMYFUNCTION("""COMPUTED_VALUE"""),369.0)</f>
        <v>369</v>
      </c>
      <c r="G528" s="20">
        <f>IFERROR(__xludf.DUMMYFUNCTION("""COMPUTED_VALUE"""),274.0)</f>
        <v>274</v>
      </c>
      <c r="H528" s="20" t="str">
        <f>IFERROR(__xludf.DUMMYFUNCTION("""COMPUTED_VALUE"""),"Algorithms")</f>
        <v>Algorithms</v>
      </c>
      <c r="I528" s="20">
        <f>IFERROR(__xludf.DUMMYFUNCTION("""COMPUTED_VALUE"""),0.605)</f>
        <v>0.605</v>
      </c>
      <c r="J528" s="20">
        <f>IFERROR(__xludf.DUMMYFUNCTION("""COMPUTED_VALUE"""),527.0)</f>
        <v>527</v>
      </c>
      <c r="K528" s="20" t="b">
        <f>IFERROR(__xludf.DUMMYFUNCTION("""COMPUTED_VALUE"""),TRUE)</f>
        <v>1</v>
      </c>
      <c r="L528" s="20" t="str">
        <f>IFERROR(__xludf.DUMMYFUNCTION("""COMPUTED_VALUE"""),"Array;String;Greedy;Trie;Sorting;")</f>
        <v>Array;String;Greedy;Trie;Sorting;</v>
      </c>
      <c r="M528" s="20" t="b">
        <f>IFERROR(__xludf.DUMMYFUNCTION("""COMPUTED_VALUE"""),TRUE)</f>
        <v>1</v>
      </c>
      <c r="N528" s="20" t="b">
        <f>IFERROR(__xludf.DUMMYFUNCTION("""COMPUTED_VALUE"""),FALSE)</f>
        <v>0</v>
      </c>
      <c r="O528" s="20">
        <f>IFERROR(__xludf.DUMMYFUNCTION("""COMPUTED_VALUE"""),60.4789285629776)</f>
        <v>60.47892856</v>
      </c>
      <c r="P528" s="20">
        <f>IFERROR(__xludf.DUMMYFUNCTION("""COMPUTED_VALUE"""),25559.0)</f>
        <v>25559</v>
      </c>
      <c r="Q528" s="20">
        <f>IFERROR(__xludf.DUMMYFUNCTION("""COMPUTED_VALUE"""),42261.0)</f>
        <v>42261</v>
      </c>
    </row>
    <row r="529">
      <c r="A529" s="20">
        <f>IFERROR(__xludf.DUMMYFUNCTION("""COMPUTED_VALUE"""),912.0)</f>
        <v>912</v>
      </c>
      <c r="B529" s="20" t="str">
        <f>IFERROR(__xludf.DUMMYFUNCTION("""COMPUTED_VALUE"""),"Random Pick with Weight")</f>
        <v>Random Pick with Weight</v>
      </c>
      <c r="C529" s="20" t="str">
        <f>IFERROR(__xludf.DUMMYFUNCTION("""COMPUTED_VALUE"""),"random-pick-with-weight")</f>
        <v>random-pick-with-weight</v>
      </c>
      <c r="D529" s="20" t="b">
        <f>IFERROR(__xludf.DUMMYFUNCTION("""COMPUTED_VALUE"""),FALSE)</f>
        <v>0</v>
      </c>
      <c r="E529" s="20" t="str">
        <f>IFERROR(__xludf.DUMMYFUNCTION("""COMPUTED_VALUE"""),"Medium")</f>
        <v>Medium</v>
      </c>
      <c r="F529" s="20">
        <f>IFERROR(__xludf.DUMMYFUNCTION("""COMPUTED_VALUE"""),1220.0)</f>
        <v>1220</v>
      </c>
      <c r="G529" s="20">
        <f>IFERROR(__xludf.DUMMYFUNCTION("""COMPUTED_VALUE"""),532.0)</f>
        <v>532</v>
      </c>
      <c r="H529" s="20" t="str">
        <f>IFERROR(__xludf.DUMMYFUNCTION("""COMPUTED_VALUE"""),"Algorithms")</f>
        <v>Algorithms</v>
      </c>
      <c r="I529" s="20">
        <f>IFERROR(__xludf.DUMMYFUNCTION("""COMPUTED_VALUE"""),0.461)</f>
        <v>0.461</v>
      </c>
      <c r="J529" s="20">
        <f>IFERROR(__xludf.DUMMYFUNCTION("""COMPUTED_VALUE"""),528.0)</f>
        <v>528</v>
      </c>
      <c r="K529" s="20" t="b">
        <f>IFERROR(__xludf.DUMMYFUNCTION("""COMPUTED_VALUE"""),FALSE)</f>
        <v>0</v>
      </c>
      <c r="L529" s="20" t="str">
        <f>IFERROR(__xludf.DUMMYFUNCTION("""COMPUTED_VALUE"""),"Math;Binary Search;Prefix Sum;Randomized;")</f>
        <v>Math;Binary Search;Prefix Sum;Randomized;</v>
      </c>
      <c r="M529" s="20" t="b">
        <f>IFERROR(__xludf.DUMMYFUNCTION("""COMPUTED_VALUE"""),TRUE)</f>
        <v>1</v>
      </c>
      <c r="N529" s="20" t="b">
        <f>IFERROR(__xludf.DUMMYFUNCTION("""COMPUTED_VALUE"""),FALSE)</f>
        <v>0</v>
      </c>
      <c r="O529" s="20">
        <f>IFERROR(__xludf.DUMMYFUNCTION("""COMPUTED_VALUE"""),46.0848170397242)</f>
        <v>46.08481704</v>
      </c>
      <c r="P529" s="20">
        <f>IFERROR(__xludf.DUMMYFUNCTION("""COMPUTED_VALUE"""),347827.0)</f>
        <v>347827</v>
      </c>
      <c r="Q529" s="20">
        <f>IFERROR(__xludf.DUMMYFUNCTION("""COMPUTED_VALUE"""),754754.0)</f>
        <v>754754</v>
      </c>
    </row>
    <row r="530">
      <c r="A530" s="20">
        <f>IFERROR(__xludf.DUMMYFUNCTION("""COMPUTED_VALUE"""),529.0)</f>
        <v>529</v>
      </c>
      <c r="B530" s="20" t="str">
        <f>IFERROR(__xludf.DUMMYFUNCTION("""COMPUTED_VALUE"""),"Minesweeper")</f>
        <v>Minesweeper</v>
      </c>
      <c r="C530" s="20" t="str">
        <f>IFERROR(__xludf.DUMMYFUNCTION("""COMPUTED_VALUE"""),"minesweeper")</f>
        <v>minesweeper</v>
      </c>
      <c r="D530" s="20" t="b">
        <f>IFERROR(__xludf.DUMMYFUNCTION("""COMPUTED_VALUE"""),FALSE)</f>
        <v>0</v>
      </c>
      <c r="E530" s="20" t="str">
        <f>IFERROR(__xludf.DUMMYFUNCTION("""COMPUTED_VALUE"""),"Medium")</f>
        <v>Medium</v>
      </c>
      <c r="F530" s="20">
        <f>IFERROR(__xludf.DUMMYFUNCTION("""COMPUTED_VALUE"""),1648.0)</f>
        <v>1648</v>
      </c>
      <c r="G530" s="20">
        <f>IFERROR(__xludf.DUMMYFUNCTION("""COMPUTED_VALUE"""),948.0)</f>
        <v>948</v>
      </c>
      <c r="H530" s="20" t="str">
        <f>IFERROR(__xludf.DUMMYFUNCTION("""COMPUTED_VALUE"""),"Algorithms")</f>
        <v>Algorithms</v>
      </c>
      <c r="I530" s="20">
        <f>IFERROR(__xludf.DUMMYFUNCTION("""COMPUTED_VALUE"""),0.656)</f>
        <v>0.656</v>
      </c>
      <c r="J530" s="20">
        <f>IFERROR(__xludf.DUMMYFUNCTION("""COMPUTED_VALUE"""),529.0)</f>
        <v>529</v>
      </c>
      <c r="K530" s="20" t="b">
        <f>IFERROR(__xludf.DUMMYFUNCTION("""COMPUTED_VALUE"""),FALSE)</f>
        <v>0</v>
      </c>
      <c r="L530" s="20" t="str">
        <f>IFERROR(__xludf.DUMMYFUNCTION("""COMPUTED_VALUE"""),"Array;Depth-First Search;Breadth-First Search;Matrix;")</f>
        <v>Array;Depth-First Search;Breadth-First Search;Matrix;</v>
      </c>
      <c r="M530" s="20" t="b">
        <f>IFERROR(__xludf.DUMMYFUNCTION("""COMPUTED_VALUE"""),FALSE)</f>
        <v>0</v>
      </c>
      <c r="N530" s="20" t="b">
        <f>IFERROR(__xludf.DUMMYFUNCTION("""COMPUTED_VALUE"""),FALSE)</f>
        <v>0</v>
      </c>
      <c r="O530" s="20">
        <f>IFERROR(__xludf.DUMMYFUNCTION("""COMPUTED_VALUE"""),65.5971283445986)</f>
        <v>65.59712834</v>
      </c>
      <c r="P530" s="20">
        <f>IFERROR(__xludf.DUMMYFUNCTION("""COMPUTED_VALUE"""),131203.0)</f>
        <v>131203</v>
      </c>
      <c r="Q530" s="20">
        <f>IFERROR(__xludf.DUMMYFUNCTION("""COMPUTED_VALUE"""),200017.0)</f>
        <v>200017</v>
      </c>
    </row>
    <row r="531">
      <c r="A531" s="20">
        <f>IFERROR(__xludf.DUMMYFUNCTION("""COMPUTED_VALUE"""),530.0)</f>
        <v>530</v>
      </c>
      <c r="B531" s="20" t="str">
        <f>IFERROR(__xludf.DUMMYFUNCTION("""COMPUTED_VALUE"""),"Minimum Absolute Difference in BST")</f>
        <v>Minimum Absolute Difference in BST</v>
      </c>
      <c r="C531" s="20" t="str">
        <f>IFERROR(__xludf.DUMMYFUNCTION("""COMPUTED_VALUE"""),"minimum-absolute-difference-in-bst")</f>
        <v>minimum-absolute-difference-in-bst</v>
      </c>
      <c r="D531" s="20" t="b">
        <f>IFERROR(__xludf.DUMMYFUNCTION("""COMPUTED_VALUE"""),FALSE)</f>
        <v>0</v>
      </c>
      <c r="E531" s="20" t="str">
        <f>IFERROR(__xludf.DUMMYFUNCTION("""COMPUTED_VALUE"""),"Easy")</f>
        <v>Easy</v>
      </c>
      <c r="F531" s="20">
        <f>IFERROR(__xludf.DUMMYFUNCTION("""COMPUTED_VALUE"""),2545.0)</f>
        <v>2545</v>
      </c>
      <c r="G531" s="20">
        <f>IFERROR(__xludf.DUMMYFUNCTION("""COMPUTED_VALUE"""),135.0)</f>
        <v>135</v>
      </c>
      <c r="H531" s="20" t="str">
        <f>IFERROR(__xludf.DUMMYFUNCTION("""COMPUTED_VALUE"""),"Algorithms")</f>
        <v>Algorithms</v>
      </c>
      <c r="I531" s="20">
        <f>IFERROR(__xludf.DUMMYFUNCTION("""COMPUTED_VALUE"""),0.568)</f>
        <v>0.568</v>
      </c>
      <c r="J531" s="20">
        <f>IFERROR(__xludf.DUMMYFUNCTION("""COMPUTED_VALUE"""),530.0)</f>
        <v>530</v>
      </c>
      <c r="K531" s="20" t="b">
        <f>IFERROR(__xludf.DUMMYFUNCTION("""COMPUTED_VALUE"""),FALSE)</f>
        <v>0</v>
      </c>
      <c r="L531" s="20" t="str">
        <f>IFERROR(__xludf.DUMMYFUNCTION("""COMPUTED_VALUE"""),"Tree;Depth-First Search;Breadth-First Search;Binary Search Tree;Binary Tree;")</f>
        <v>Tree;Depth-First Search;Breadth-First Search;Binary Search Tree;Binary Tree;</v>
      </c>
      <c r="M531" s="20" t="b">
        <f>IFERROR(__xludf.DUMMYFUNCTION("""COMPUTED_VALUE"""),FALSE)</f>
        <v>0</v>
      </c>
      <c r="N531" s="20" t="b">
        <f>IFERROR(__xludf.DUMMYFUNCTION("""COMPUTED_VALUE"""),FALSE)</f>
        <v>0</v>
      </c>
      <c r="O531" s="20">
        <f>IFERROR(__xludf.DUMMYFUNCTION("""COMPUTED_VALUE"""),56.8073865031418)</f>
        <v>56.8073865</v>
      </c>
      <c r="P531" s="20">
        <f>IFERROR(__xludf.DUMMYFUNCTION("""COMPUTED_VALUE"""),187406.0)</f>
        <v>187406</v>
      </c>
      <c r="Q531" s="20">
        <f>IFERROR(__xludf.DUMMYFUNCTION("""COMPUTED_VALUE"""),329898.0)</f>
        <v>329898</v>
      </c>
    </row>
    <row r="532">
      <c r="A532" s="20">
        <f>IFERROR(__xludf.DUMMYFUNCTION("""COMPUTED_VALUE"""),531.0)</f>
        <v>531</v>
      </c>
      <c r="B532" s="20" t="str">
        <f>IFERROR(__xludf.DUMMYFUNCTION("""COMPUTED_VALUE"""),"Lonely Pixel I")</f>
        <v>Lonely Pixel I</v>
      </c>
      <c r="C532" s="20" t="str">
        <f>IFERROR(__xludf.DUMMYFUNCTION("""COMPUTED_VALUE"""),"lonely-pixel-i")</f>
        <v>lonely-pixel-i</v>
      </c>
      <c r="D532" s="20" t="b">
        <f>IFERROR(__xludf.DUMMYFUNCTION("""COMPUTED_VALUE"""),TRUE)</f>
        <v>1</v>
      </c>
      <c r="E532" s="20" t="str">
        <f>IFERROR(__xludf.DUMMYFUNCTION("""COMPUTED_VALUE"""),"Medium")</f>
        <v>Medium</v>
      </c>
      <c r="F532" s="20">
        <f>IFERROR(__xludf.DUMMYFUNCTION("""COMPUTED_VALUE"""),385.0)</f>
        <v>385</v>
      </c>
      <c r="G532" s="20">
        <f>IFERROR(__xludf.DUMMYFUNCTION("""COMPUTED_VALUE"""),40.0)</f>
        <v>40</v>
      </c>
      <c r="H532" s="20" t="str">
        <f>IFERROR(__xludf.DUMMYFUNCTION("""COMPUTED_VALUE"""),"Algorithms")</f>
        <v>Algorithms</v>
      </c>
      <c r="I532" s="20">
        <f>IFERROR(__xludf.DUMMYFUNCTION("""COMPUTED_VALUE"""),0.621)</f>
        <v>0.621</v>
      </c>
      <c r="J532" s="20">
        <f>IFERROR(__xludf.DUMMYFUNCTION("""COMPUTED_VALUE"""),531.0)</f>
        <v>531</v>
      </c>
      <c r="K532" s="20" t="b">
        <f>IFERROR(__xludf.DUMMYFUNCTION("""COMPUTED_VALUE"""),TRUE)</f>
        <v>1</v>
      </c>
      <c r="L532" s="20" t="str">
        <f>IFERROR(__xludf.DUMMYFUNCTION("""COMPUTED_VALUE"""),"Array;Hash Table;Matrix;")</f>
        <v>Array;Hash Table;Matrix;</v>
      </c>
      <c r="M532" s="20" t="b">
        <f>IFERROR(__xludf.DUMMYFUNCTION("""COMPUTED_VALUE"""),TRUE)</f>
        <v>1</v>
      </c>
      <c r="N532" s="20" t="b">
        <f>IFERROR(__xludf.DUMMYFUNCTION("""COMPUTED_VALUE"""),FALSE)</f>
        <v>0</v>
      </c>
      <c r="O532" s="20">
        <f>IFERROR(__xludf.DUMMYFUNCTION("""COMPUTED_VALUE"""),62.1208662187724)</f>
        <v>62.12086622</v>
      </c>
      <c r="P532" s="20">
        <f>IFERROR(__xludf.DUMMYFUNCTION("""COMPUTED_VALUE"""),38095.0)</f>
        <v>38095</v>
      </c>
      <c r="Q532" s="20">
        <f>IFERROR(__xludf.DUMMYFUNCTION("""COMPUTED_VALUE"""),61324.0)</f>
        <v>61324</v>
      </c>
    </row>
    <row r="533">
      <c r="A533" s="20">
        <f>IFERROR(__xludf.DUMMYFUNCTION("""COMPUTED_VALUE"""),532.0)</f>
        <v>532</v>
      </c>
      <c r="B533" s="20" t="str">
        <f>IFERROR(__xludf.DUMMYFUNCTION("""COMPUTED_VALUE"""),"K-diff Pairs in an Array")</f>
        <v>K-diff Pairs in an Array</v>
      </c>
      <c r="C533" s="20" t="str">
        <f>IFERROR(__xludf.DUMMYFUNCTION("""COMPUTED_VALUE"""),"k-diff-pairs-in-an-array")</f>
        <v>k-diff-pairs-in-an-array</v>
      </c>
      <c r="D533" s="20" t="b">
        <f>IFERROR(__xludf.DUMMYFUNCTION("""COMPUTED_VALUE"""),FALSE)</f>
        <v>0</v>
      </c>
      <c r="E533" s="20" t="str">
        <f>IFERROR(__xludf.DUMMYFUNCTION("""COMPUTED_VALUE"""),"Medium")</f>
        <v>Medium</v>
      </c>
      <c r="F533" s="20">
        <f>IFERROR(__xludf.DUMMYFUNCTION("""COMPUTED_VALUE"""),3068.0)</f>
        <v>3068</v>
      </c>
      <c r="G533" s="20">
        <f>IFERROR(__xludf.DUMMYFUNCTION("""COMPUTED_VALUE"""),2151.0)</f>
        <v>2151</v>
      </c>
      <c r="H533" s="20" t="str">
        <f>IFERROR(__xludf.DUMMYFUNCTION("""COMPUTED_VALUE"""),"Algorithms")</f>
        <v>Algorithms</v>
      </c>
      <c r="I533" s="20">
        <f>IFERROR(__xludf.DUMMYFUNCTION("""COMPUTED_VALUE"""),0.408)</f>
        <v>0.408</v>
      </c>
      <c r="J533" s="20">
        <f>IFERROR(__xludf.DUMMYFUNCTION("""COMPUTED_VALUE"""),532.0)</f>
        <v>532</v>
      </c>
      <c r="K533" s="20" t="b">
        <f>IFERROR(__xludf.DUMMYFUNCTION("""COMPUTED_VALUE"""),FALSE)</f>
        <v>0</v>
      </c>
      <c r="L533" s="20" t="str">
        <f>IFERROR(__xludf.DUMMYFUNCTION("""COMPUTED_VALUE"""),"Array;Hash Table;Two Pointers;Binary Search;Sorting;")</f>
        <v>Array;Hash Table;Two Pointers;Binary Search;Sorting;</v>
      </c>
      <c r="M533" s="20" t="b">
        <f>IFERROR(__xludf.DUMMYFUNCTION("""COMPUTED_VALUE"""),TRUE)</f>
        <v>1</v>
      </c>
      <c r="N533" s="20" t="b">
        <f>IFERROR(__xludf.DUMMYFUNCTION("""COMPUTED_VALUE"""),FALSE)</f>
        <v>0</v>
      </c>
      <c r="O533" s="20">
        <f>IFERROR(__xludf.DUMMYFUNCTION("""COMPUTED_VALUE"""),40.8470873715617)</f>
        <v>40.84708737</v>
      </c>
      <c r="P533" s="20">
        <f>IFERROR(__xludf.DUMMYFUNCTION("""COMPUTED_VALUE"""),280103.0)</f>
        <v>280103</v>
      </c>
      <c r="Q533" s="20">
        <f>IFERROR(__xludf.DUMMYFUNCTION("""COMPUTED_VALUE"""),685737.0)</f>
        <v>685737</v>
      </c>
    </row>
    <row r="534">
      <c r="A534" s="20">
        <f>IFERROR(__xludf.DUMMYFUNCTION("""COMPUTED_VALUE"""),533.0)</f>
        <v>533</v>
      </c>
      <c r="B534" s="20" t="str">
        <f>IFERROR(__xludf.DUMMYFUNCTION("""COMPUTED_VALUE"""),"Lonely Pixel II")</f>
        <v>Lonely Pixel II</v>
      </c>
      <c r="C534" s="20" t="str">
        <f>IFERROR(__xludf.DUMMYFUNCTION("""COMPUTED_VALUE"""),"lonely-pixel-ii")</f>
        <v>lonely-pixel-ii</v>
      </c>
      <c r="D534" s="20" t="b">
        <f>IFERROR(__xludf.DUMMYFUNCTION("""COMPUTED_VALUE"""),TRUE)</f>
        <v>1</v>
      </c>
      <c r="E534" s="20" t="str">
        <f>IFERROR(__xludf.DUMMYFUNCTION("""COMPUTED_VALUE"""),"Medium")</f>
        <v>Medium</v>
      </c>
      <c r="F534" s="20">
        <f>IFERROR(__xludf.DUMMYFUNCTION("""COMPUTED_VALUE"""),78.0)</f>
        <v>78</v>
      </c>
      <c r="G534" s="20">
        <f>IFERROR(__xludf.DUMMYFUNCTION("""COMPUTED_VALUE"""),724.0)</f>
        <v>724</v>
      </c>
      <c r="H534" s="20" t="str">
        <f>IFERROR(__xludf.DUMMYFUNCTION("""COMPUTED_VALUE"""),"Algorithms")</f>
        <v>Algorithms</v>
      </c>
      <c r="I534" s="20">
        <f>IFERROR(__xludf.DUMMYFUNCTION("""COMPUTED_VALUE"""),0.485)</f>
        <v>0.485</v>
      </c>
      <c r="J534" s="20">
        <f>IFERROR(__xludf.DUMMYFUNCTION("""COMPUTED_VALUE"""),533.0)</f>
        <v>533</v>
      </c>
      <c r="K534" s="20" t="b">
        <f>IFERROR(__xludf.DUMMYFUNCTION("""COMPUTED_VALUE"""),TRUE)</f>
        <v>1</v>
      </c>
      <c r="L534" s="20" t="str">
        <f>IFERROR(__xludf.DUMMYFUNCTION("""COMPUTED_VALUE"""),"Array;Hash Table;Matrix;")</f>
        <v>Array;Hash Table;Matrix;</v>
      </c>
      <c r="M534" s="20" t="b">
        <f>IFERROR(__xludf.DUMMYFUNCTION("""COMPUTED_VALUE"""),FALSE)</f>
        <v>0</v>
      </c>
      <c r="N534" s="20" t="b">
        <f>IFERROR(__xludf.DUMMYFUNCTION("""COMPUTED_VALUE"""),FALSE)</f>
        <v>0</v>
      </c>
      <c r="O534" s="20">
        <f>IFERROR(__xludf.DUMMYFUNCTION("""COMPUTED_VALUE"""),48.5222149435474)</f>
        <v>48.52221494</v>
      </c>
      <c r="P534" s="20">
        <f>IFERROR(__xludf.DUMMYFUNCTION("""COMPUTED_VALUE"""),12592.0)</f>
        <v>12592</v>
      </c>
      <c r="Q534" s="20">
        <f>IFERROR(__xludf.DUMMYFUNCTION("""COMPUTED_VALUE"""),25951.0)</f>
        <v>25951</v>
      </c>
    </row>
    <row r="535">
      <c r="A535" s="20">
        <f>IFERROR(__xludf.DUMMYFUNCTION("""COMPUTED_VALUE"""),1181.0)</f>
        <v>1181</v>
      </c>
      <c r="B535" s="20" t="str">
        <f>IFERROR(__xludf.DUMMYFUNCTION("""COMPUTED_VALUE"""),"Game Play Analysis III")</f>
        <v>Game Play Analysis III</v>
      </c>
      <c r="C535" s="20" t="str">
        <f>IFERROR(__xludf.DUMMYFUNCTION("""COMPUTED_VALUE"""),"game-play-analysis-iii")</f>
        <v>game-play-analysis-iii</v>
      </c>
      <c r="D535" s="20" t="b">
        <f>IFERROR(__xludf.DUMMYFUNCTION("""COMPUTED_VALUE"""),TRUE)</f>
        <v>1</v>
      </c>
      <c r="E535" s="20" t="str">
        <f>IFERROR(__xludf.DUMMYFUNCTION("""COMPUTED_VALUE"""),"Medium")</f>
        <v>Medium</v>
      </c>
      <c r="F535" s="20">
        <f>IFERROR(__xludf.DUMMYFUNCTION("""COMPUTED_VALUE"""),329.0)</f>
        <v>329</v>
      </c>
      <c r="G535" s="20">
        <f>IFERROR(__xludf.DUMMYFUNCTION("""COMPUTED_VALUE"""),15.0)</f>
        <v>15</v>
      </c>
      <c r="H535" s="20" t="str">
        <f>IFERROR(__xludf.DUMMYFUNCTION("""COMPUTED_VALUE"""),"Database")</f>
        <v>Database</v>
      </c>
      <c r="I535" s="20">
        <f>IFERROR(__xludf.DUMMYFUNCTION("""COMPUTED_VALUE"""),0.821)</f>
        <v>0.821</v>
      </c>
      <c r="J535" s="20">
        <f>IFERROR(__xludf.DUMMYFUNCTION("""COMPUTED_VALUE"""),534.0)</f>
        <v>534</v>
      </c>
      <c r="K535" s="20" t="b">
        <f>IFERROR(__xludf.DUMMYFUNCTION("""COMPUTED_VALUE"""),TRUE)</f>
        <v>1</v>
      </c>
      <c r="L535" s="20" t="str">
        <f>IFERROR(__xludf.DUMMYFUNCTION("""COMPUTED_VALUE"""),"Database;")</f>
        <v>Database;</v>
      </c>
      <c r="M535" s="20" t="b">
        <f>IFERROR(__xludf.DUMMYFUNCTION("""COMPUTED_VALUE"""),TRUE)</f>
        <v>1</v>
      </c>
      <c r="N535" s="20" t="b">
        <f>IFERROR(__xludf.DUMMYFUNCTION("""COMPUTED_VALUE"""),FALSE)</f>
        <v>0</v>
      </c>
      <c r="O535" s="20">
        <f>IFERROR(__xludf.DUMMYFUNCTION("""COMPUTED_VALUE"""),82.075947985318)</f>
        <v>82.07594799</v>
      </c>
      <c r="P535" s="20">
        <f>IFERROR(__xludf.DUMMYFUNCTION("""COMPUTED_VALUE"""),60151.0)</f>
        <v>60151</v>
      </c>
      <c r="Q535" s="20">
        <f>IFERROR(__xludf.DUMMYFUNCTION("""COMPUTED_VALUE"""),73287.0)</f>
        <v>73287</v>
      </c>
    </row>
    <row r="536">
      <c r="A536" s="20">
        <f>IFERROR(__xludf.DUMMYFUNCTION("""COMPUTED_VALUE"""),535.0)</f>
        <v>535</v>
      </c>
      <c r="B536" s="20" t="str">
        <f>IFERROR(__xludf.DUMMYFUNCTION("""COMPUTED_VALUE"""),"Encode and Decode TinyURL")</f>
        <v>Encode and Decode TinyURL</v>
      </c>
      <c r="C536" s="20" t="str">
        <f>IFERROR(__xludf.DUMMYFUNCTION("""COMPUTED_VALUE"""),"encode-and-decode-tinyurl")</f>
        <v>encode-and-decode-tinyurl</v>
      </c>
      <c r="D536" s="20" t="b">
        <f>IFERROR(__xludf.DUMMYFUNCTION("""COMPUTED_VALUE"""),FALSE)</f>
        <v>0</v>
      </c>
      <c r="E536" s="20" t="str">
        <f>IFERROR(__xludf.DUMMYFUNCTION("""COMPUTED_VALUE"""),"Medium")</f>
        <v>Medium</v>
      </c>
      <c r="F536" s="20">
        <f>IFERROR(__xludf.DUMMYFUNCTION("""COMPUTED_VALUE"""),1739.0)</f>
        <v>1739</v>
      </c>
      <c r="G536" s="20">
        <f>IFERROR(__xludf.DUMMYFUNCTION("""COMPUTED_VALUE"""),3348.0)</f>
        <v>3348</v>
      </c>
      <c r="H536" s="20" t="str">
        <f>IFERROR(__xludf.DUMMYFUNCTION("""COMPUTED_VALUE"""),"Algorithms")</f>
        <v>Algorithms</v>
      </c>
      <c r="I536" s="20">
        <f>IFERROR(__xludf.DUMMYFUNCTION("""COMPUTED_VALUE"""),0.858)</f>
        <v>0.858</v>
      </c>
      <c r="J536" s="20">
        <f>IFERROR(__xludf.DUMMYFUNCTION("""COMPUTED_VALUE"""),535.0)</f>
        <v>535</v>
      </c>
      <c r="K536" s="20" t="b">
        <f>IFERROR(__xludf.DUMMYFUNCTION("""COMPUTED_VALUE"""),FALSE)</f>
        <v>0</v>
      </c>
      <c r="L536" s="20" t="str">
        <f>IFERROR(__xludf.DUMMYFUNCTION("""COMPUTED_VALUE"""),"Hash Table;String;Design;Hash Function;")</f>
        <v>Hash Table;String;Design;Hash Function;</v>
      </c>
      <c r="M536" s="20" t="b">
        <f>IFERROR(__xludf.DUMMYFUNCTION("""COMPUTED_VALUE"""),TRUE)</f>
        <v>1</v>
      </c>
      <c r="N536" s="20" t="b">
        <f>IFERROR(__xludf.DUMMYFUNCTION("""COMPUTED_VALUE"""),FALSE)</f>
        <v>0</v>
      </c>
      <c r="O536" s="20">
        <f>IFERROR(__xludf.DUMMYFUNCTION("""COMPUTED_VALUE"""),85.8403697275794)</f>
        <v>85.84036973</v>
      </c>
      <c r="P536" s="20">
        <f>IFERROR(__xludf.DUMMYFUNCTION("""COMPUTED_VALUE"""),220099.0)</f>
        <v>220099</v>
      </c>
      <c r="Q536" s="20">
        <f>IFERROR(__xludf.DUMMYFUNCTION("""COMPUTED_VALUE"""),256405.0)</f>
        <v>256405</v>
      </c>
    </row>
    <row r="537">
      <c r="A537" s="20">
        <f>IFERROR(__xludf.DUMMYFUNCTION("""COMPUTED_VALUE"""),536.0)</f>
        <v>536</v>
      </c>
      <c r="B537" s="20" t="str">
        <f>IFERROR(__xludf.DUMMYFUNCTION("""COMPUTED_VALUE"""),"Construct Binary Tree from String")</f>
        <v>Construct Binary Tree from String</v>
      </c>
      <c r="C537" s="20" t="str">
        <f>IFERROR(__xludf.DUMMYFUNCTION("""COMPUTED_VALUE"""),"construct-binary-tree-from-string")</f>
        <v>construct-binary-tree-from-string</v>
      </c>
      <c r="D537" s="20" t="b">
        <f>IFERROR(__xludf.DUMMYFUNCTION("""COMPUTED_VALUE"""),TRUE)</f>
        <v>1</v>
      </c>
      <c r="E537" s="20" t="str">
        <f>IFERROR(__xludf.DUMMYFUNCTION("""COMPUTED_VALUE"""),"Medium")</f>
        <v>Medium</v>
      </c>
      <c r="F537" s="20">
        <f>IFERROR(__xludf.DUMMYFUNCTION("""COMPUTED_VALUE"""),971.0)</f>
        <v>971</v>
      </c>
      <c r="G537" s="20">
        <f>IFERROR(__xludf.DUMMYFUNCTION("""COMPUTED_VALUE"""),150.0)</f>
        <v>150</v>
      </c>
      <c r="H537" s="20" t="str">
        <f>IFERROR(__xludf.DUMMYFUNCTION("""COMPUTED_VALUE"""),"Algorithms")</f>
        <v>Algorithms</v>
      </c>
      <c r="I537" s="20">
        <f>IFERROR(__xludf.DUMMYFUNCTION("""COMPUTED_VALUE"""),0.562)</f>
        <v>0.562</v>
      </c>
      <c r="J537" s="20">
        <f>IFERROR(__xludf.DUMMYFUNCTION("""COMPUTED_VALUE"""),536.0)</f>
        <v>536</v>
      </c>
      <c r="K537" s="20" t="b">
        <f>IFERROR(__xludf.DUMMYFUNCTION("""COMPUTED_VALUE"""),TRUE)</f>
        <v>1</v>
      </c>
      <c r="L537" s="20" t="str">
        <f>IFERROR(__xludf.DUMMYFUNCTION("""COMPUTED_VALUE"""),"String;Tree;Depth-First Search;Binary Tree;")</f>
        <v>String;Tree;Depth-First Search;Binary Tree;</v>
      </c>
      <c r="M537" s="20" t="b">
        <f>IFERROR(__xludf.DUMMYFUNCTION("""COMPUTED_VALUE"""),TRUE)</f>
        <v>1</v>
      </c>
      <c r="N537" s="20" t="b">
        <f>IFERROR(__xludf.DUMMYFUNCTION("""COMPUTED_VALUE"""),FALSE)</f>
        <v>0</v>
      </c>
      <c r="O537" s="20">
        <f>IFERROR(__xludf.DUMMYFUNCTION("""COMPUTED_VALUE"""),56.1916495550992)</f>
        <v>56.19164956</v>
      </c>
      <c r="P537" s="20">
        <f>IFERROR(__xludf.DUMMYFUNCTION("""COMPUTED_VALUE"""),82096.0)</f>
        <v>82096</v>
      </c>
      <c r="Q537" s="20">
        <f>IFERROR(__xludf.DUMMYFUNCTION("""COMPUTED_VALUE"""),146100.0)</f>
        <v>146100</v>
      </c>
    </row>
    <row r="538">
      <c r="A538" s="20">
        <f>IFERROR(__xludf.DUMMYFUNCTION("""COMPUTED_VALUE"""),537.0)</f>
        <v>537</v>
      </c>
      <c r="B538" s="20" t="str">
        <f>IFERROR(__xludf.DUMMYFUNCTION("""COMPUTED_VALUE"""),"Complex Number Multiplication")</f>
        <v>Complex Number Multiplication</v>
      </c>
      <c r="C538" s="20" t="str">
        <f>IFERROR(__xludf.DUMMYFUNCTION("""COMPUTED_VALUE"""),"complex-number-multiplication")</f>
        <v>complex-number-multiplication</v>
      </c>
      <c r="D538" s="20" t="b">
        <f>IFERROR(__xludf.DUMMYFUNCTION("""COMPUTED_VALUE"""),FALSE)</f>
        <v>0</v>
      </c>
      <c r="E538" s="20" t="str">
        <f>IFERROR(__xludf.DUMMYFUNCTION("""COMPUTED_VALUE"""),"Medium")</f>
        <v>Medium</v>
      </c>
      <c r="F538" s="20">
        <f>IFERROR(__xludf.DUMMYFUNCTION("""COMPUTED_VALUE"""),587.0)</f>
        <v>587</v>
      </c>
      <c r="G538" s="20">
        <f>IFERROR(__xludf.DUMMYFUNCTION("""COMPUTED_VALUE"""),1185.0)</f>
        <v>1185</v>
      </c>
      <c r="H538" s="20" t="str">
        <f>IFERROR(__xludf.DUMMYFUNCTION("""COMPUTED_VALUE"""),"Algorithms")</f>
        <v>Algorithms</v>
      </c>
      <c r="I538" s="20">
        <f>IFERROR(__xludf.DUMMYFUNCTION("""COMPUTED_VALUE"""),0.714)</f>
        <v>0.714</v>
      </c>
      <c r="J538" s="20">
        <f>IFERROR(__xludf.DUMMYFUNCTION("""COMPUTED_VALUE"""),537.0)</f>
        <v>537</v>
      </c>
      <c r="K538" s="20" t="b">
        <f>IFERROR(__xludf.DUMMYFUNCTION("""COMPUTED_VALUE"""),FALSE)</f>
        <v>0</v>
      </c>
      <c r="L538" s="20" t="str">
        <f>IFERROR(__xludf.DUMMYFUNCTION("""COMPUTED_VALUE"""),"Math;String;Simulation;")</f>
        <v>Math;String;Simulation;</v>
      </c>
      <c r="M538" s="20" t="b">
        <f>IFERROR(__xludf.DUMMYFUNCTION("""COMPUTED_VALUE"""),TRUE)</f>
        <v>1</v>
      </c>
      <c r="N538" s="20" t="b">
        <f>IFERROR(__xludf.DUMMYFUNCTION("""COMPUTED_VALUE"""),FALSE)</f>
        <v>0</v>
      </c>
      <c r="O538" s="20">
        <f>IFERROR(__xludf.DUMMYFUNCTION("""COMPUTED_VALUE"""),71.3740489821087)</f>
        <v>71.37404898</v>
      </c>
      <c r="P538" s="20">
        <f>IFERROR(__xludf.DUMMYFUNCTION("""COMPUTED_VALUE"""),85651.0)</f>
        <v>85651</v>
      </c>
      <c r="Q538" s="20">
        <f>IFERROR(__xludf.DUMMYFUNCTION("""COMPUTED_VALUE"""),120003.0)</f>
        <v>120003</v>
      </c>
    </row>
    <row r="539">
      <c r="A539" s="20">
        <f>IFERROR(__xludf.DUMMYFUNCTION("""COMPUTED_VALUE"""),538.0)</f>
        <v>538</v>
      </c>
      <c r="B539" s="20" t="str">
        <f>IFERROR(__xludf.DUMMYFUNCTION("""COMPUTED_VALUE"""),"Convert BST to Greater Tree")</f>
        <v>Convert BST to Greater Tree</v>
      </c>
      <c r="C539" s="20" t="str">
        <f>IFERROR(__xludf.DUMMYFUNCTION("""COMPUTED_VALUE"""),"convert-bst-to-greater-tree")</f>
        <v>convert-bst-to-greater-tree</v>
      </c>
      <c r="D539" s="20" t="b">
        <f>IFERROR(__xludf.DUMMYFUNCTION("""COMPUTED_VALUE"""),FALSE)</f>
        <v>0</v>
      </c>
      <c r="E539" s="20" t="str">
        <f>IFERROR(__xludf.DUMMYFUNCTION("""COMPUTED_VALUE"""),"Medium")</f>
        <v>Medium</v>
      </c>
      <c r="F539" s="20">
        <f>IFERROR(__xludf.DUMMYFUNCTION("""COMPUTED_VALUE"""),4635.0)</f>
        <v>4635</v>
      </c>
      <c r="G539" s="20">
        <f>IFERROR(__xludf.DUMMYFUNCTION("""COMPUTED_VALUE"""),167.0)</f>
        <v>167</v>
      </c>
      <c r="H539" s="20" t="str">
        <f>IFERROR(__xludf.DUMMYFUNCTION("""COMPUTED_VALUE"""),"Algorithms")</f>
        <v>Algorithms</v>
      </c>
      <c r="I539" s="20">
        <f>IFERROR(__xludf.DUMMYFUNCTION("""COMPUTED_VALUE"""),0.675)</f>
        <v>0.675</v>
      </c>
      <c r="J539" s="20">
        <f>IFERROR(__xludf.DUMMYFUNCTION("""COMPUTED_VALUE"""),538.0)</f>
        <v>538</v>
      </c>
      <c r="K539" s="20" t="b">
        <f>IFERROR(__xludf.DUMMYFUNCTION("""COMPUTED_VALUE"""),FALSE)</f>
        <v>0</v>
      </c>
      <c r="L539" s="20" t="str">
        <f>IFERROR(__xludf.DUMMYFUNCTION("""COMPUTED_VALUE"""),"Tree;Depth-First Search;Binary Search Tree;Binary Tree;")</f>
        <v>Tree;Depth-First Search;Binary Search Tree;Binary Tree;</v>
      </c>
      <c r="M539" s="20" t="b">
        <f>IFERROR(__xludf.DUMMYFUNCTION("""COMPUTED_VALUE"""),TRUE)</f>
        <v>1</v>
      </c>
      <c r="N539" s="20" t="b">
        <f>IFERROR(__xludf.DUMMYFUNCTION("""COMPUTED_VALUE"""),FALSE)</f>
        <v>0</v>
      </c>
      <c r="O539" s="20">
        <f>IFERROR(__xludf.DUMMYFUNCTION("""COMPUTED_VALUE"""),67.4827652689556)</f>
        <v>67.48276527</v>
      </c>
      <c r="P539" s="20">
        <f>IFERROR(__xludf.DUMMYFUNCTION("""COMPUTED_VALUE"""),259009.0)</f>
        <v>259009</v>
      </c>
      <c r="Q539" s="20">
        <f>IFERROR(__xludf.DUMMYFUNCTION("""COMPUTED_VALUE"""),383814.0)</f>
        <v>383814</v>
      </c>
    </row>
    <row r="540">
      <c r="A540" s="20">
        <f>IFERROR(__xludf.DUMMYFUNCTION("""COMPUTED_VALUE"""),539.0)</f>
        <v>539</v>
      </c>
      <c r="B540" s="20" t="str">
        <f>IFERROR(__xludf.DUMMYFUNCTION("""COMPUTED_VALUE"""),"Minimum Time Difference")</f>
        <v>Minimum Time Difference</v>
      </c>
      <c r="C540" s="20" t="str">
        <f>IFERROR(__xludf.DUMMYFUNCTION("""COMPUTED_VALUE"""),"minimum-time-difference")</f>
        <v>minimum-time-difference</v>
      </c>
      <c r="D540" s="20" t="b">
        <f>IFERROR(__xludf.DUMMYFUNCTION("""COMPUTED_VALUE"""),FALSE)</f>
        <v>0</v>
      </c>
      <c r="E540" s="20" t="str">
        <f>IFERROR(__xludf.DUMMYFUNCTION("""COMPUTED_VALUE"""),"Medium")</f>
        <v>Medium</v>
      </c>
      <c r="F540" s="20">
        <f>IFERROR(__xludf.DUMMYFUNCTION("""COMPUTED_VALUE"""),1380.0)</f>
        <v>1380</v>
      </c>
      <c r="G540" s="20">
        <f>IFERROR(__xludf.DUMMYFUNCTION("""COMPUTED_VALUE"""),234.0)</f>
        <v>234</v>
      </c>
      <c r="H540" s="20" t="str">
        <f>IFERROR(__xludf.DUMMYFUNCTION("""COMPUTED_VALUE"""),"Algorithms")</f>
        <v>Algorithms</v>
      </c>
      <c r="I540" s="20">
        <f>IFERROR(__xludf.DUMMYFUNCTION("""COMPUTED_VALUE"""),0.563)</f>
        <v>0.563</v>
      </c>
      <c r="J540" s="20">
        <f>IFERROR(__xludf.DUMMYFUNCTION("""COMPUTED_VALUE"""),539.0)</f>
        <v>539</v>
      </c>
      <c r="K540" s="20" t="b">
        <f>IFERROR(__xludf.DUMMYFUNCTION("""COMPUTED_VALUE"""),FALSE)</f>
        <v>0</v>
      </c>
      <c r="L540" s="20" t="str">
        <f>IFERROR(__xludf.DUMMYFUNCTION("""COMPUTED_VALUE"""),"Array;Math;String;Sorting;")</f>
        <v>Array;Math;String;Sorting;</v>
      </c>
      <c r="M540" s="20" t="b">
        <f>IFERROR(__xludf.DUMMYFUNCTION("""COMPUTED_VALUE"""),FALSE)</f>
        <v>0</v>
      </c>
      <c r="N540" s="20" t="b">
        <f>IFERROR(__xludf.DUMMYFUNCTION("""COMPUTED_VALUE"""),FALSE)</f>
        <v>0</v>
      </c>
      <c r="O540" s="20">
        <f>IFERROR(__xludf.DUMMYFUNCTION("""COMPUTED_VALUE"""),56.2651381370079)</f>
        <v>56.26513814</v>
      </c>
      <c r="P540" s="20">
        <f>IFERROR(__xludf.DUMMYFUNCTION("""COMPUTED_VALUE"""),116614.0)</f>
        <v>116614</v>
      </c>
      <c r="Q540" s="20">
        <f>IFERROR(__xludf.DUMMYFUNCTION("""COMPUTED_VALUE"""),207251.0)</f>
        <v>207251</v>
      </c>
    </row>
    <row r="541">
      <c r="A541" s="20">
        <f>IFERROR(__xludf.DUMMYFUNCTION("""COMPUTED_VALUE"""),540.0)</f>
        <v>540</v>
      </c>
      <c r="B541" s="20" t="str">
        <f>IFERROR(__xludf.DUMMYFUNCTION("""COMPUTED_VALUE"""),"Single Element in a Sorted Array")</f>
        <v>Single Element in a Sorted Array</v>
      </c>
      <c r="C541" s="20" t="str">
        <f>IFERROR(__xludf.DUMMYFUNCTION("""COMPUTED_VALUE"""),"single-element-in-a-sorted-array")</f>
        <v>single-element-in-a-sorted-array</v>
      </c>
      <c r="D541" s="20" t="b">
        <f>IFERROR(__xludf.DUMMYFUNCTION("""COMPUTED_VALUE"""),FALSE)</f>
        <v>0</v>
      </c>
      <c r="E541" s="20" t="str">
        <f>IFERROR(__xludf.DUMMYFUNCTION("""COMPUTED_VALUE"""),"Medium")</f>
        <v>Medium</v>
      </c>
      <c r="F541" s="20">
        <f>IFERROR(__xludf.DUMMYFUNCTION("""COMPUTED_VALUE"""),6719.0)</f>
        <v>6719</v>
      </c>
      <c r="G541" s="20">
        <f>IFERROR(__xludf.DUMMYFUNCTION("""COMPUTED_VALUE"""),117.0)</f>
        <v>117</v>
      </c>
      <c r="H541" s="20" t="str">
        <f>IFERROR(__xludf.DUMMYFUNCTION("""COMPUTED_VALUE"""),"Algorithms")</f>
        <v>Algorithms</v>
      </c>
      <c r="I541" s="20">
        <f>IFERROR(__xludf.DUMMYFUNCTION("""COMPUTED_VALUE"""),0.585)</f>
        <v>0.585</v>
      </c>
      <c r="J541" s="20">
        <f>IFERROR(__xludf.DUMMYFUNCTION("""COMPUTED_VALUE"""),540.0)</f>
        <v>540</v>
      </c>
      <c r="K541" s="20" t="b">
        <f>IFERROR(__xludf.DUMMYFUNCTION("""COMPUTED_VALUE"""),FALSE)</f>
        <v>0</v>
      </c>
      <c r="L541" s="20" t="str">
        <f>IFERROR(__xludf.DUMMYFUNCTION("""COMPUTED_VALUE"""),"Array;Binary Search;")</f>
        <v>Array;Binary Search;</v>
      </c>
      <c r="M541" s="20" t="b">
        <f>IFERROR(__xludf.DUMMYFUNCTION("""COMPUTED_VALUE"""),TRUE)</f>
        <v>1</v>
      </c>
      <c r="N541" s="20" t="b">
        <f>IFERROR(__xludf.DUMMYFUNCTION("""COMPUTED_VALUE"""),FALSE)</f>
        <v>0</v>
      </c>
      <c r="O541" s="20">
        <f>IFERROR(__xludf.DUMMYFUNCTION("""COMPUTED_VALUE"""),58.4563430466966)</f>
        <v>58.45634305</v>
      </c>
      <c r="P541" s="20">
        <f>IFERROR(__xludf.DUMMYFUNCTION("""COMPUTED_VALUE"""),351738.0)</f>
        <v>351738</v>
      </c>
      <c r="Q541" s="20">
        <f>IFERROR(__xludf.DUMMYFUNCTION("""COMPUTED_VALUE"""),601712.0)</f>
        <v>601712</v>
      </c>
    </row>
    <row r="542">
      <c r="A542" s="20">
        <f>IFERROR(__xludf.DUMMYFUNCTION("""COMPUTED_VALUE"""),541.0)</f>
        <v>541</v>
      </c>
      <c r="B542" s="20" t="str">
        <f>IFERROR(__xludf.DUMMYFUNCTION("""COMPUTED_VALUE"""),"Reverse String II")</f>
        <v>Reverse String II</v>
      </c>
      <c r="C542" s="20" t="str">
        <f>IFERROR(__xludf.DUMMYFUNCTION("""COMPUTED_VALUE"""),"reverse-string-ii")</f>
        <v>reverse-string-ii</v>
      </c>
      <c r="D542" s="20" t="b">
        <f>IFERROR(__xludf.DUMMYFUNCTION("""COMPUTED_VALUE"""),FALSE)</f>
        <v>0</v>
      </c>
      <c r="E542" s="20" t="str">
        <f>IFERROR(__xludf.DUMMYFUNCTION("""COMPUTED_VALUE"""),"Easy")</f>
        <v>Easy</v>
      </c>
      <c r="F542" s="20">
        <f>IFERROR(__xludf.DUMMYFUNCTION("""COMPUTED_VALUE"""),1385.0)</f>
        <v>1385</v>
      </c>
      <c r="G542" s="20">
        <f>IFERROR(__xludf.DUMMYFUNCTION("""COMPUTED_VALUE"""),2927.0)</f>
        <v>2927</v>
      </c>
      <c r="H542" s="20" t="str">
        <f>IFERROR(__xludf.DUMMYFUNCTION("""COMPUTED_VALUE"""),"Algorithms")</f>
        <v>Algorithms</v>
      </c>
      <c r="I542" s="20">
        <f>IFERROR(__xludf.DUMMYFUNCTION("""COMPUTED_VALUE"""),0.506)</f>
        <v>0.506</v>
      </c>
      <c r="J542" s="20">
        <f>IFERROR(__xludf.DUMMYFUNCTION("""COMPUTED_VALUE"""),541.0)</f>
        <v>541</v>
      </c>
      <c r="K542" s="20" t="b">
        <f>IFERROR(__xludf.DUMMYFUNCTION("""COMPUTED_VALUE"""),FALSE)</f>
        <v>0</v>
      </c>
      <c r="L542" s="20" t="str">
        <f>IFERROR(__xludf.DUMMYFUNCTION("""COMPUTED_VALUE"""),"Two Pointers;String;")</f>
        <v>Two Pointers;String;</v>
      </c>
      <c r="M542" s="20" t="b">
        <f>IFERROR(__xludf.DUMMYFUNCTION("""COMPUTED_VALUE"""),TRUE)</f>
        <v>1</v>
      </c>
      <c r="N542" s="20" t="b">
        <f>IFERROR(__xludf.DUMMYFUNCTION("""COMPUTED_VALUE"""),FALSE)</f>
        <v>0</v>
      </c>
      <c r="O542" s="20">
        <f>IFERROR(__xludf.DUMMYFUNCTION("""COMPUTED_VALUE"""),50.5700909301307)</f>
        <v>50.57009093</v>
      </c>
      <c r="P542" s="20">
        <f>IFERROR(__xludf.DUMMYFUNCTION("""COMPUTED_VALUE"""),181356.0)</f>
        <v>181356</v>
      </c>
      <c r="Q542" s="20">
        <f>IFERROR(__xludf.DUMMYFUNCTION("""COMPUTED_VALUE"""),358624.0)</f>
        <v>358624</v>
      </c>
    </row>
    <row r="543">
      <c r="A543" s="20">
        <f>IFERROR(__xludf.DUMMYFUNCTION("""COMPUTED_VALUE"""),542.0)</f>
        <v>542</v>
      </c>
      <c r="B543" s="20" t="str">
        <f>IFERROR(__xludf.DUMMYFUNCTION("""COMPUTED_VALUE"""),"01 Matrix")</f>
        <v>01 Matrix</v>
      </c>
      <c r="C543" s="20" t="str">
        <f>IFERROR(__xludf.DUMMYFUNCTION("""COMPUTED_VALUE"""),"01-matrix")</f>
        <v>01-matrix</v>
      </c>
      <c r="D543" s="20" t="b">
        <f>IFERROR(__xludf.DUMMYFUNCTION("""COMPUTED_VALUE"""),FALSE)</f>
        <v>0</v>
      </c>
      <c r="E543" s="20" t="str">
        <f>IFERROR(__xludf.DUMMYFUNCTION("""COMPUTED_VALUE"""),"Medium")</f>
        <v>Medium</v>
      </c>
      <c r="F543" s="20">
        <f>IFERROR(__xludf.DUMMYFUNCTION("""COMPUTED_VALUE"""),6241.0)</f>
        <v>6241</v>
      </c>
      <c r="G543" s="20">
        <f>IFERROR(__xludf.DUMMYFUNCTION("""COMPUTED_VALUE"""),302.0)</f>
        <v>302</v>
      </c>
      <c r="H543" s="20" t="str">
        <f>IFERROR(__xludf.DUMMYFUNCTION("""COMPUTED_VALUE"""),"Algorithms")</f>
        <v>Algorithms</v>
      </c>
      <c r="I543" s="20">
        <f>IFERROR(__xludf.DUMMYFUNCTION("""COMPUTED_VALUE"""),0.443)</f>
        <v>0.443</v>
      </c>
      <c r="J543" s="20">
        <f>IFERROR(__xludf.DUMMYFUNCTION("""COMPUTED_VALUE"""),542.0)</f>
        <v>542</v>
      </c>
      <c r="K543" s="20" t="b">
        <f>IFERROR(__xludf.DUMMYFUNCTION("""COMPUTED_VALUE"""),FALSE)</f>
        <v>0</v>
      </c>
      <c r="L543" s="20" t="str">
        <f>IFERROR(__xludf.DUMMYFUNCTION("""COMPUTED_VALUE"""),"Array;Dynamic Programming;Breadth-First Search;Matrix;")</f>
        <v>Array;Dynamic Programming;Breadth-First Search;Matrix;</v>
      </c>
      <c r="M543" s="20" t="b">
        <f>IFERROR(__xludf.DUMMYFUNCTION("""COMPUTED_VALUE"""),TRUE)</f>
        <v>1</v>
      </c>
      <c r="N543" s="20" t="b">
        <f>IFERROR(__xludf.DUMMYFUNCTION("""COMPUTED_VALUE"""),FALSE)</f>
        <v>0</v>
      </c>
      <c r="O543" s="20">
        <f>IFERROR(__xludf.DUMMYFUNCTION("""COMPUTED_VALUE"""),44.3052775494741)</f>
        <v>44.30527755</v>
      </c>
      <c r="P543" s="20">
        <f>IFERROR(__xludf.DUMMYFUNCTION("""COMPUTED_VALUE"""),337989.0)</f>
        <v>337989</v>
      </c>
      <c r="Q543" s="20">
        <f>IFERROR(__xludf.DUMMYFUNCTION("""COMPUTED_VALUE"""),762868.0)</f>
        <v>762868</v>
      </c>
    </row>
    <row r="544">
      <c r="A544" s="20">
        <f>IFERROR(__xludf.DUMMYFUNCTION("""COMPUTED_VALUE"""),543.0)</f>
        <v>543</v>
      </c>
      <c r="B544" s="20" t="str">
        <f>IFERROR(__xludf.DUMMYFUNCTION("""COMPUTED_VALUE"""),"Diameter of Binary Tree")</f>
        <v>Diameter of Binary Tree</v>
      </c>
      <c r="C544" s="20" t="str">
        <f>IFERROR(__xludf.DUMMYFUNCTION("""COMPUTED_VALUE"""),"diameter-of-binary-tree")</f>
        <v>diameter-of-binary-tree</v>
      </c>
      <c r="D544" s="20" t="b">
        <f>IFERROR(__xludf.DUMMYFUNCTION("""COMPUTED_VALUE"""),FALSE)</f>
        <v>0</v>
      </c>
      <c r="E544" s="20" t="str">
        <f>IFERROR(__xludf.DUMMYFUNCTION("""COMPUTED_VALUE"""),"Easy")</f>
        <v>Easy</v>
      </c>
      <c r="F544" s="20">
        <f>IFERROR(__xludf.DUMMYFUNCTION("""COMPUTED_VALUE"""),10316.0)</f>
        <v>10316</v>
      </c>
      <c r="G544" s="20">
        <f>IFERROR(__xludf.DUMMYFUNCTION("""COMPUTED_VALUE"""),653.0)</f>
        <v>653</v>
      </c>
      <c r="H544" s="20" t="str">
        <f>IFERROR(__xludf.DUMMYFUNCTION("""COMPUTED_VALUE"""),"Algorithms")</f>
        <v>Algorithms</v>
      </c>
      <c r="I544" s="20">
        <f>IFERROR(__xludf.DUMMYFUNCTION("""COMPUTED_VALUE"""),0.562)</f>
        <v>0.562</v>
      </c>
      <c r="J544" s="20">
        <f>IFERROR(__xludf.DUMMYFUNCTION("""COMPUTED_VALUE"""),543.0)</f>
        <v>543</v>
      </c>
      <c r="K544" s="20" t="b">
        <f>IFERROR(__xludf.DUMMYFUNCTION("""COMPUTED_VALUE"""),FALSE)</f>
        <v>0</v>
      </c>
      <c r="L544" s="20" t="str">
        <f>IFERROR(__xludf.DUMMYFUNCTION("""COMPUTED_VALUE"""),"Tree;Depth-First Search;Binary Tree;")</f>
        <v>Tree;Depth-First Search;Binary Tree;</v>
      </c>
      <c r="M544" s="20" t="b">
        <f>IFERROR(__xludf.DUMMYFUNCTION("""COMPUTED_VALUE"""),TRUE)</f>
        <v>1</v>
      </c>
      <c r="N544" s="20" t="b">
        <f>IFERROR(__xludf.DUMMYFUNCTION("""COMPUTED_VALUE"""),FALSE)</f>
        <v>0</v>
      </c>
      <c r="O544" s="20">
        <f>IFERROR(__xludf.DUMMYFUNCTION("""COMPUTED_VALUE"""),56.2141227493522)</f>
        <v>56.21412275</v>
      </c>
      <c r="P544" s="20">
        <f>IFERROR(__xludf.DUMMYFUNCTION("""COMPUTED_VALUE"""),944899.0)</f>
        <v>944899</v>
      </c>
      <c r="Q544" s="20">
        <f>IFERROR(__xludf.DUMMYFUNCTION("""COMPUTED_VALUE"""),1680895.0)</f>
        <v>1680895</v>
      </c>
    </row>
    <row r="545">
      <c r="A545" s="20">
        <f>IFERROR(__xludf.DUMMYFUNCTION("""COMPUTED_VALUE"""),544.0)</f>
        <v>544</v>
      </c>
      <c r="B545" s="20" t="str">
        <f>IFERROR(__xludf.DUMMYFUNCTION("""COMPUTED_VALUE"""),"Output Contest Matches")</f>
        <v>Output Contest Matches</v>
      </c>
      <c r="C545" s="20" t="str">
        <f>IFERROR(__xludf.DUMMYFUNCTION("""COMPUTED_VALUE"""),"output-contest-matches")</f>
        <v>output-contest-matches</v>
      </c>
      <c r="D545" s="20" t="b">
        <f>IFERROR(__xludf.DUMMYFUNCTION("""COMPUTED_VALUE"""),TRUE)</f>
        <v>1</v>
      </c>
      <c r="E545" s="20" t="str">
        <f>IFERROR(__xludf.DUMMYFUNCTION("""COMPUTED_VALUE"""),"Medium")</f>
        <v>Medium</v>
      </c>
      <c r="F545" s="20">
        <f>IFERROR(__xludf.DUMMYFUNCTION("""COMPUTED_VALUE"""),370.0)</f>
        <v>370</v>
      </c>
      <c r="G545" s="20">
        <f>IFERROR(__xludf.DUMMYFUNCTION("""COMPUTED_VALUE"""),119.0)</f>
        <v>119</v>
      </c>
      <c r="H545" s="20" t="str">
        <f>IFERROR(__xludf.DUMMYFUNCTION("""COMPUTED_VALUE"""),"Algorithms")</f>
        <v>Algorithms</v>
      </c>
      <c r="I545" s="20">
        <f>IFERROR(__xludf.DUMMYFUNCTION("""COMPUTED_VALUE"""),0.768)</f>
        <v>0.768</v>
      </c>
      <c r="J545" s="20">
        <f>IFERROR(__xludf.DUMMYFUNCTION("""COMPUTED_VALUE"""),544.0)</f>
        <v>544</v>
      </c>
      <c r="K545" s="20" t="b">
        <f>IFERROR(__xludf.DUMMYFUNCTION("""COMPUTED_VALUE"""),TRUE)</f>
        <v>1</v>
      </c>
      <c r="L545" s="20" t="str">
        <f>IFERROR(__xludf.DUMMYFUNCTION("""COMPUTED_VALUE"""),"String;Recursion;Simulation;")</f>
        <v>String;Recursion;Simulation;</v>
      </c>
      <c r="M545" s="20" t="b">
        <f>IFERROR(__xludf.DUMMYFUNCTION("""COMPUTED_VALUE"""),FALSE)</f>
        <v>0</v>
      </c>
      <c r="N545" s="20" t="b">
        <f>IFERROR(__xludf.DUMMYFUNCTION("""COMPUTED_VALUE"""),FALSE)</f>
        <v>0</v>
      </c>
      <c r="O545" s="20">
        <f>IFERROR(__xludf.DUMMYFUNCTION("""COMPUTED_VALUE"""),76.8056054617319)</f>
        <v>76.80560546</v>
      </c>
      <c r="P545" s="20">
        <f>IFERROR(__xludf.DUMMYFUNCTION("""COMPUTED_VALUE"""),25650.0)</f>
        <v>25650</v>
      </c>
      <c r="Q545" s="20">
        <f>IFERROR(__xludf.DUMMYFUNCTION("""COMPUTED_VALUE"""),33396.0)</f>
        <v>33396</v>
      </c>
    </row>
    <row r="546">
      <c r="A546" s="20">
        <f>IFERROR(__xludf.DUMMYFUNCTION("""COMPUTED_VALUE"""),545.0)</f>
        <v>545</v>
      </c>
      <c r="B546" s="20" t="str">
        <f>IFERROR(__xludf.DUMMYFUNCTION("""COMPUTED_VALUE"""),"Boundary of Binary Tree")</f>
        <v>Boundary of Binary Tree</v>
      </c>
      <c r="C546" s="20" t="str">
        <f>IFERROR(__xludf.DUMMYFUNCTION("""COMPUTED_VALUE"""),"boundary-of-binary-tree")</f>
        <v>boundary-of-binary-tree</v>
      </c>
      <c r="D546" s="20" t="b">
        <f>IFERROR(__xludf.DUMMYFUNCTION("""COMPUTED_VALUE"""),TRUE)</f>
        <v>1</v>
      </c>
      <c r="E546" s="20" t="str">
        <f>IFERROR(__xludf.DUMMYFUNCTION("""COMPUTED_VALUE"""),"Medium")</f>
        <v>Medium</v>
      </c>
      <c r="F546" s="20">
        <f>IFERROR(__xludf.DUMMYFUNCTION("""COMPUTED_VALUE"""),1223.0)</f>
        <v>1223</v>
      </c>
      <c r="G546" s="20">
        <f>IFERROR(__xludf.DUMMYFUNCTION("""COMPUTED_VALUE"""),1962.0)</f>
        <v>1962</v>
      </c>
      <c r="H546" s="20" t="str">
        <f>IFERROR(__xludf.DUMMYFUNCTION("""COMPUTED_VALUE"""),"Algorithms")</f>
        <v>Algorithms</v>
      </c>
      <c r="I546" s="20">
        <f>IFERROR(__xludf.DUMMYFUNCTION("""COMPUTED_VALUE"""),0.444)</f>
        <v>0.444</v>
      </c>
      <c r="J546" s="20">
        <f>IFERROR(__xludf.DUMMYFUNCTION("""COMPUTED_VALUE"""),545.0)</f>
        <v>545</v>
      </c>
      <c r="K546" s="20" t="b">
        <f>IFERROR(__xludf.DUMMYFUNCTION("""COMPUTED_VALUE"""),TRUE)</f>
        <v>1</v>
      </c>
      <c r="L546" s="20" t="str">
        <f>IFERROR(__xludf.DUMMYFUNCTION("""COMPUTED_VALUE"""),"Tree;Depth-First Search;Binary Tree;")</f>
        <v>Tree;Depth-First Search;Binary Tree;</v>
      </c>
      <c r="M546" s="20" t="b">
        <f>IFERROR(__xludf.DUMMYFUNCTION("""COMPUTED_VALUE"""),TRUE)</f>
        <v>1</v>
      </c>
      <c r="N546" s="20" t="b">
        <f>IFERROR(__xludf.DUMMYFUNCTION("""COMPUTED_VALUE"""),FALSE)</f>
        <v>0</v>
      </c>
      <c r="O546" s="20">
        <f>IFERROR(__xludf.DUMMYFUNCTION("""COMPUTED_VALUE"""),44.3745452340528)</f>
        <v>44.37454523</v>
      </c>
      <c r="P546" s="20">
        <f>IFERROR(__xludf.DUMMYFUNCTION("""COMPUTED_VALUE"""),117092.0)</f>
        <v>117092</v>
      </c>
      <c r="Q546" s="20">
        <f>IFERROR(__xludf.DUMMYFUNCTION("""COMPUTED_VALUE"""),263872.0)</f>
        <v>263872</v>
      </c>
    </row>
    <row r="547">
      <c r="A547" s="20">
        <f>IFERROR(__xludf.DUMMYFUNCTION("""COMPUTED_VALUE"""),546.0)</f>
        <v>546</v>
      </c>
      <c r="B547" s="20" t="str">
        <f>IFERROR(__xludf.DUMMYFUNCTION("""COMPUTED_VALUE"""),"Remove Boxes")</f>
        <v>Remove Boxes</v>
      </c>
      <c r="C547" s="20" t="str">
        <f>IFERROR(__xludf.DUMMYFUNCTION("""COMPUTED_VALUE"""),"remove-boxes")</f>
        <v>remove-boxes</v>
      </c>
      <c r="D547" s="20" t="b">
        <f>IFERROR(__xludf.DUMMYFUNCTION("""COMPUTED_VALUE"""),FALSE)</f>
        <v>0</v>
      </c>
      <c r="E547" s="20" t="str">
        <f>IFERROR(__xludf.DUMMYFUNCTION("""COMPUTED_VALUE"""),"Hard")</f>
        <v>Hard</v>
      </c>
      <c r="F547" s="20">
        <f>IFERROR(__xludf.DUMMYFUNCTION("""COMPUTED_VALUE"""),1819.0)</f>
        <v>1819</v>
      </c>
      <c r="G547" s="20">
        <f>IFERROR(__xludf.DUMMYFUNCTION("""COMPUTED_VALUE"""),102.0)</f>
        <v>102</v>
      </c>
      <c r="H547" s="20" t="str">
        <f>IFERROR(__xludf.DUMMYFUNCTION("""COMPUTED_VALUE"""),"Algorithms")</f>
        <v>Algorithms</v>
      </c>
      <c r="I547" s="20">
        <f>IFERROR(__xludf.DUMMYFUNCTION("""COMPUTED_VALUE"""),0.479)</f>
        <v>0.479</v>
      </c>
      <c r="J547" s="20">
        <f>IFERROR(__xludf.DUMMYFUNCTION("""COMPUTED_VALUE"""),546.0)</f>
        <v>546</v>
      </c>
      <c r="K547" s="20" t="b">
        <f>IFERROR(__xludf.DUMMYFUNCTION("""COMPUTED_VALUE"""),FALSE)</f>
        <v>0</v>
      </c>
      <c r="L547" s="20" t="str">
        <f>IFERROR(__xludf.DUMMYFUNCTION("""COMPUTED_VALUE"""),"Array;Dynamic Programming;Memoization;")</f>
        <v>Array;Dynamic Programming;Memoization;</v>
      </c>
      <c r="M547" s="20" t="b">
        <f>IFERROR(__xludf.DUMMYFUNCTION("""COMPUTED_VALUE"""),TRUE)</f>
        <v>1</v>
      </c>
      <c r="N547" s="20" t="b">
        <f>IFERROR(__xludf.DUMMYFUNCTION("""COMPUTED_VALUE"""),FALSE)</f>
        <v>0</v>
      </c>
      <c r="O547" s="20">
        <f>IFERROR(__xludf.DUMMYFUNCTION("""COMPUTED_VALUE"""),47.8691935524303)</f>
        <v>47.86919355</v>
      </c>
      <c r="P547" s="20">
        <f>IFERROR(__xludf.DUMMYFUNCTION("""COMPUTED_VALUE"""),38191.0)</f>
        <v>38191</v>
      </c>
      <c r="Q547" s="20">
        <f>IFERROR(__xludf.DUMMYFUNCTION("""COMPUTED_VALUE"""),79782.0)</f>
        <v>79782</v>
      </c>
    </row>
    <row r="548">
      <c r="A548" s="20">
        <f>IFERROR(__xludf.DUMMYFUNCTION("""COMPUTED_VALUE"""),547.0)</f>
        <v>547</v>
      </c>
      <c r="B548" s="20" t="str">
        <f>IFERROR(__xludf.DUMMYFUNCTION("""COMPUTED_VALUE"""),"Number of Provinces")</f>
        <v>Number of Provinces</v>
      </c>
      <c r="C548" s="20" t="str">
        <f>IFERROR(__xludf.DUMMYFUNCTION("""COMPUTED_VALUE"""),"number-of-provinces")</f>
        <v>number-of-provinces</v>
      </c>
      <c r="D548" s="20" t="b">
        <f>IFERROR(__xludf.DUMMYFUNCTION("""COMPUTED_VALUE"""),FALSE)</f>
        <v>0</v>
      </c>
      <c r="E548" s="20" t="str">
        <f>IFERROR(__xludf.DUMMYFUNCTION("""COMPUTED_VALUE"""),"Medium")</f>
        <v>Medium</v>
      </c>
      <c r="F548" s="20">
        <f>IFERROR(__xludf.DUMMYFUNCTION("""COMPUTED_VALUE"""),6725.0)</f>
        <v>6725</v>
      </c>
      <c r="G548" s="20">
        <f>IFERROR(__xludf.DUMMYFUNCTION("""COMPUTED_VALUE"""),280.0)</f>
        <v>280</v>
      </c>
      <c r="H548" s="20" t="str">
        <f>IFERROR(__xludf.DUMMYFUNCTION("""COMPUTED_VALUE"""),"Algorithms")</f>
        <v>Algorithms</v>
      </c>
      <c r="I548" s="20">
        <f>IFERROR(__xludf.DUMMYFUNCTION("""COMPUTED_VALUE"""),0.634)</f>
        <v>0.634</v>
      </c>
      <c r="J548" s="20">
        <f>IFERROR(__xludf.DUMMYFUNCTION("""COMPUTED_VALUE"""),547.0)</f>
        <v>547</v>
      </c>
      <c r="K548" s="20" t="b">
        <f>IFERROR(__xludf.DUMMYFUNCTION("""COMPUTED_VALUE"""),FALSE)</f>
        <v>0</v>
      </c>
      <c r="L548" s="20" t="str">
        <f>IFERROR(__xludf.DUMMYFUNCTION("""COMPUTED_VALUE"""),"Depth-First Search;Breadth-First Search;Union Find;Graph;")</f>
        <v>Depth-First Search;Breadth-First Search;Union Find;Graph;</v>
      </c>
      <c r="M548" s="20" t="b">
        <f>IFERROR(__xludf.DUMMYFUNCTION("""COMPUTED_VALUE"""),TRUE)</f>
        <v>1</v>
      </c>
      <c r="N548" s="20" t="b">
        <f>IFERROR(__xludf.DUMMYFUNCTION("""COMPUTED_VALUE"""),FALSE)</f>
        <v>0</v>
      </c>
      <c r="O548" s="20">
        <f>IFERROR(__xludf.DUMMYFUNCTION("""COMPUTED_VALUE"""),63.4426265900059)</f>
        <v>63.44262659</v>
      </c>
      <c r="P548" s="20">
        <f>IFERROR(__xludf.DUMMYFUNCTION("""COMPUTED_VALUE"""),571567.0)</f>
        <v>571567</v>
      </c>
      <c r="Q548" s="20">
        <f>IFERROR(__xludf.DUMMYFUNCTION("""COMPUTED_VALUE"""),900927.0)</f>
        <v>900927</v>
      </c>
    </row>
    <row r="549">
      <c r="A549" s="20">
        <f>IFERROR(__xludf.DUMMYFUNCTION("""COMPUTED_VALUE"""),548.0)</f>
        <v>548</v>
      </c>
      <c r="B549" s="20" t="str">
        <f>IFERROR(__xludf.DUMMYFUNCTION("""COMPUTED_VALUE"""),"Split Array with Equal Sum")</f>
        <v>Split Array with Equal Sum</v>
      </c>
      <c r="C549" s="20" t="str">
        <f>IFERROR(__xludf.DUMMYFUNCTION("""COMPUTED_VALUE"""),"split-array-with-equal-sum")</f>
        <v>split-array-with-equal-sum</v>
      </c>
      <c r="D549" s="20" t="b">
        <f>IFERROR(__xludf.DUMMYFUNCTION("""COMPUTED_VALUE"""),TRUE)</f>
        <v>1</v>
      </c>
      <c r="E549" s="20" t="str">
        <f>IFERROR(__xludf.DUMMYFUNCTION("""COMPUTED_VALUE"""),"Hard")</f>
        <v>Hard</v>
      </c>
      <c r="F549" s="20">
        <f>IFERROR(__xludf.DUMMYFUNCTION("""COMPUTED_VALUE"""),394.0)</f>
        <v>394</v>
      </c>
      <c r="G549" s="20">
        <f>IFERROR(__xludf.DUMMYFUNCTION("""COMPUTED_VALUE"""),128.0)</f>
        <v>128</v>
      </c>
      <c r="H549" s="20" t="str">
        <f>IFERROR(__xludf.DUMMYFUNCTION("""COMPUTED_VALUE"""),"Algorithms")</f>
        <v>Algorithms</v>
      </c>
      <c r="I549" s="20">
        <f>IFERROR(__xludf.DUMMYFUNCTION("""COMPUTED_VALUE"""),0.501)</f>
        <v>0.501</v>
      </c>
      <c r="J549" s="20">
        <f>IFERROR(__xludf.DUMMYFUNCTION("""COMPUTED_VALUE"""),548.0)</f>
        <v>548</v>
      </c>
      <c r="K549" s="20" t="b">
        <f>IFERROR(__xludf.DUMMYFUNCTION("""COMPUTED_VALUE"""),TRUE)</f>
        <v>1</v>
      </c>
      <c r="L549" s="20" t="str">
        <f>IFERROR(__xludf.DUMMYFUNCTION("""COMPUTED_VALUE"""),"Array;Prefix Sum;")</f>
        <v>Array;Prefix Sum;</v>
      </c>
      <c r="M549" s="20" t="b">
        <f>IFERROR(__xludf.DUMMYFUNCTION("""COMPUTED_VALUE"""),TRUE)</f>
        <v>1</v>
      </c>
      <c r="N549" s="20" t="b">
        <f>IFERROR(__xludf.DUMMYFUNCTION("""COMPUTED_VALUE"""),FALSE)</f>
        <v>0</v>
      </c>
      <c r="O549" s="20">
        <f>IFERROR(__xludf.DUMMYFUNCTION("""COMPUTED_VALUE"""),50.0685393502904)</f>
        <v>50.06853935</v>
      </c>
      <c r="P549" s="20">
        <f>IFERROR(__xludf.DUMMYFUNCTION("""COMPUTED_VALUE"""),23011.0)</f>
        <v>23011</v>
      </c>
      <c r="Q549" s="20">
        <f>IFERROR(__xludf.DUMMYFUNCTION("""COMPUTED_VALUE"""),45959.0)</f>
        <v>45959</v>
      </c>
    </row>
    <row r="550">
      <c r="A550" s="20">
        <f>IFERROR(__xludf.DUMMYFUNCTION("""COMPUTED_VALUE"""),549.0)</f>
        <v>549</v>
      </c>
      <c r="B550" s="20" t="str">
        <f>IFERROR(__xludf.DUMMYFUNCTION("""COMPUTED_VALUE"""),"Binary Tree Longest Consecutive Sequence II")</f>
        <v>Binary Tree Longest Consecutive Sequence II</v>
      </c>
      <c r="C550" s="20" t="str">
        <f>IFERROR(__xludf.DUMMYFUNCTION("""COMPUTED_VALUE"""),"binary-tree-longest-consecutive-sequence-ii")</f>
        <v>binary-tree-longest-consecutive-sequence-ii</v>
      </c>
      <c r="D550" s="20" t="b">
        <f>IFERROR(__xludf.DUMMYFUNCTION("""COMPUTED_VALUE"""),TRUE)</f>
        <v>1</v>
      </c>
      <c r="E550" s="20" t="str">
        <f>IFERROR(__xludf.DUMMYFUNCTION("""COMPUTED_VALUE"""),"Medium")</f>
        <v>Medium</v>
      </c>
      <c r="F550" s="20">
        <f>IFERROR(__xludf.DUMMYFUNCTION("""COMPUTED_VALUE"""),1065.0)</f>
        <v>1065</v>
      </c>
      <c r="G550" s="20">
        <f>IFERROR(__xludf.DUMMYFUNCTION("""COMPUTED_VALUE"""),85.0)</f>
        <v>85</v>
      </c>
      <c r="H550" s="20" t="str">
        <f>IFERROR(__xludf.DUMMYFUNCTION("""COMPUTED_VALUE"""),"Algorithms")</f>
        <v>Algorithms</v>
      </c>
      <c r="I550" s="20">
        <f>IFERROR(__xludf.DUMMYFUNCTION("""COMPUTED_VALUE"""),0.495)</f>
        <v>0.495</v>
      </c>
      <c r="J550" s="20">
        <f>IFERROR(__xludf.DUMMYFUNCTION("""COMPUTED_VALUE"""),549.0)</f>
        <v>549</v>
      </c>
      <c r="K550" s="20" t="b">
        <f>IFERROR(__xludf.DUMMYFUNCTION("""COMPUTED_VALUE"""),TRUE)</f>
        <v>1</v>
      </c>
      <c r="L550" s="20" t="str">
        <f>IFERROR(__xludf.DUMMYFUNCTION("""COMPUTED_VALUE"""),"Tree;Depth-First Search;Binary Tree;")</f>
        <v>Tree;Depth-First Search;Binary Tree;</v>
      </c>
      <c r="M550" s="20" t="b">
        <f>IFERROR(__xludf.DUMMYFUNCTION("""COMPUTED_VALUE"""),TRUE)</f>
        <v>1</v>
      </c>
      <c r="N550" s="20" t="b">
        <f>IFERROR(__xludf.DUMMYFUNCTION("""COMPUTED_VALUE"""),FALSE)</f>
        <v>0</v>
      </c>
      <c r="O550" s="20">
        <f>IFERROR(__xludf.DUMMYFUNCTION("""COMPUTED_VALUE"""),49.4566366868434)</f>
        <v>49.45663669</v>
      </c>
      <c r="P550" s="20">
        <f>IFERROR(__xludf.DUMMYFUNCTION("""COMPUTED_VALUE"""),49105.0)</f>
        <v>49105</v>
      </c>
      <c r="Q550" s="20">
        <f>IFERROR(__xludf.DUMMYFUNCTION("""COMPUTED_VALUE"""),99289.0)</f>
        <v>99289</v>
      </c>
    </row>
    <row r="551">
      <c r="A551" s="20">
        <f>IFERROR(__xludf.DUMMYFUNCTION("""COMPUTED_VALUE"""),1182.0)</f>
        <v>1182</v>
      </c>
      <c r="B551" s="20" t="str">
        <f>IFERROR(__xludf.DUMMYFUNCTION("""COMPUTED_VALUE"""),"Game Play Analysis IV")</f>
        <v>Game Play Analysis IV</v>
      </c>
      <c r="C551" s="20" t="str">
        <f>IFERROR(__xludf.DUMMYFUNCTION("""COMPUTED_VALUE"""),"game-play-analysis-iv")</f>
        <v>game-play-analysis-iv</v>
      </c>
      <c r="D551" s="20" t="b">
        <f>IFERROR(__xludf.DUMMYFUNCTION("""COMPUTED_VALUE"""),TRUE)</f>
        <v>1</v>
      </c>
      <c r="E551" s="20" t="str">
        <f>IFERROR(__xludf.DUMMYFUNCTION("""COMPUTED_VALUE"""),"Medium")</f>
        <v>Medium</v>
      </c>
      <c r="F551" s="20">
        <f>IFERROR(__xludf.DUMMYFUNCTION("""COMPUTED_VALUE"""),281.0)</f>
        <v>281</v>
      </c>
      <c r="G551" s="20">
        <f>IFERROR(__xludf.DUMMYFUNCTION("""COMPUTED_VALUE"""),74.0)</f>
        <v>74</v>
      </c>
      <c r="H551" s="20" t="str">
        <f>IFERROR(__xludf.DUMMYFUNCTION("""COMPUTED_VALUE"""),"Database")</f>
        <v>Database</v>
      </c>
      <c r="I551" s="20">
        <f>IFERROR(__xludf.DUMMYFUNCTION("""COMPUTED_VALUE"""),0.44)</f>
        <v>0.44</v>
      </c>
      <c r="J551" s="20">
        <f>IFERROR(__xludf.DUMMYFUNCTION("""COMPUTED_VALUE"""),550.0)</f>
        <v>550</v>
      </c>
      <c r="K551" s="20" t="b">
        <f>IFERROR(__xludf.DUMMYFUNCTION("""COMPUTED_VALUE"""),TRUE)</f>
        <v>1</v>
      </c>
      <c r="L551" s="20" t="str">
        <f>IFERROR(__xludf.DUMMYFUNCTION("""COMPUTED_VALUE"""),"Database;")</f>
        <v>Database;</v>
      </c>
      <c r="M551" s="20" t="b">
        <f>IFERROR(__xludf.DUMMYFUNCTION("""COMPUTED_VALUE"""),TRUE)</f>
        <v>1</v>
      </c>
      <c r="N551" s="20" t="b">
        <f>IFERROR(__xludf.DUMMYFUNCTION("""COMPUTED_VALUE"""),FALSE)</f>
        <v>0</v>
      </c>
      <c r="O551" s="20">
        <f>IFERROR(__xludf.DUMMYFUNCTION("""COMPUTED_VALUE"""),43.9663261050875)</f>
        <v>43.96632611</v>
      </c>
      <c r="P551" s="20">
        <f>IFERROR(__xludf.DUMMYFUNCTION("""COMPUTED_VALUE"""),50607.0)</f>
        <v>50607</v>
      </c>
      <c r="Q551" s="20">
        <f>IFERROR(__xludf.DUMMYFUNCTION("""COMPUTED_VALUE"""),115104.0)</f>
        <v>115104</v>
      </c>
    </row>
    <row r="552">
      <c r="A552" s="20">
        <f>IFERROR(__xludf.DUMMYFUNCTION("""COMPUTED_VALUE"""),551.0)</f>
        <v>551</v>
      </c>
      <c r="B552" s="20" t="str">
        <f>IFERROR(__xludf.DUMMYFUNCTION("""COMPUTED_VALUE"""),"Student Attendance Record I")</f>
        <v>Student Attendance Record I</v>
      </c>
      <c r="C552" s="20" t="str">
        <f>IFERROR(__xludf.DUMMYFUNCTION("""COMPUTED_VALUE"""),"student-attendance-record-i")</f>
        <v>student-attendance-record-i</v>
      </c>
      <c r="D552" s="20" t="b">
        <f>IFERROR(__xludf.DUMMYFUNCTION("""COMPUTED_VALUE"""),FALSE)</f>
        <v>0</v>
      </c>
      <c r="E552" s="20" t="str">
        <f>IFERROR(__xludf.DUMMYFUNCTION("""COMPUTED_VALUE"""),"Easy")</f>
        <v>Easy</v>
      </c>
      <c r="F552" s="20">
        <f>IFERROR(__xludf.DUMMYFUNCTION("""COMPUTED_VALUE"""),476.0)</f>
        <v>476</v>
      </c>
      <c r="G552" s="20">
        <f>IFERROR(__xludf.DUMMYFUNCTION("""COMPUTED_VALUE"""),30.0)</f>
        <v>30</v>
      </c>
      <c r="H552" s="20" t="str">
        <f>IFERROR(__xludf.DUMMYFUNCTION("""COMPUTED_VALUE"""),"Algorithms")</f>
        <v>Algorithms</v>
      </c>
      <c r="I552" s="20">
        <f>IFERROR(__xludf.DUMMYFUNCTION("""COMPUTED_VALUE"""),0.481)</f>
        <v>0.481</v>
      </c>
      <c r="J552" s="20">
        <f>IFERROR(__xludf.DUMMYFUNCTION("""COMPUTED_VALUE"""),551.0)</f>
        <v>551</v>
      </c>
      <c r="K552" s="20" t="b">
        <f>IFERROR(__xludf.DUMMYFUNCTION("""COMPUTED_VALUE"""),FALSE)</f>
        <v>0</v>
      </c>
      <c r="L552" s="20" t="str">
        <f>IFERROR(__xludf.DUMMYFUNCTION("""COMPUTED_VALUE"""),"String;")</f>
        <v>String;</v>
      </c>
      <c r="M552" s="20" t="b">
        <f>IFERROR(__xludf.DUMMYFUNCTION("""COMPUTED_VALUE"""),TRUE)</f>
        <v>1</v>
      </c>
      <c r="N552" s="20" t="b">
        <f>IFERROR(__xludf.DUMMYFUNCTION("""COMPUTED_VALUE"""),FALSE)</f>
        <v>0</v>
      </c>
      <c r="O552" s="20">
        <f>IFERROR(__xludf.DUMMYFUNCTION("""COMPUTED_VALUE"""),48.1453815515864)</f>
        <v>48.14538155</v>
      </c>
      <c r="P552" s="20">
        <f>IFERROR(__xludf.DUMMYFUNCTION("""COMPUTED_VALUE"""),166934.0)</f>
        <v>166934</v>
      </c>
      <c r="Q552" s="20">
        <f>IFERROR(__xludf.DUMMYFUNCTION("""COMPUTED_VALUE"""),346719.0)</f>
        <v>346719</v>
      </c>
    </row>
    <row r="553">
      <c r="A553" s="20">
        <f>IFERROR(__xludf.DUMMYFUNCTION("""COMPUTED_VALUE"""),552.0)</f>
        <v>552</v>
      </c>
      <c r="B553" s="20" t="str">
        <f>IFERROR(__xludf.DUMMYFUNCTION("""COMPUTED_VALUE"""),"Student Attendance Record II")</f>
        <v>Student Attendance Record II</v>
      </c>
      <c r="C553" s="20" t="str">
        <f>IFERROR(__xludf.DUMMYFUNCTION("""COMPUTED_VALUE"""),"student-attendance-record-ii")</f>
        <v>student-attendance-record-ii</v>
      </c>
      <c r="D553" s="20" t="b">
        <f>IFERROR(__xludf.DUMMYFUNCTION("""COMPUTED_VALUE"""),FALSE)</f>
        <v>0</v>
      </c>
      <c r="E553" s="20" t="str">
        <f>IFERROR(__xludf.DUMMYFUNCTION("""COMPUTED_VALUE"""),"Hard")</f>
        <v>Hard</v>
      </c>
      <c r="F553" s="20">
        <f>IFERROR(__xludf.DUMMYFUNCTION("""COMPUTED_VALUE"""),1484.0)</f>
        <v>1484</v>
      </c>
      <c r="G553" s="20">
        <f>IFERROR(__xludf.DUMMYFUNCTION("""COMPUTED_VALUE"""),241.0)</f>
        <v>241</v>
      </c>
      <c r="H553" s="20" t="str">
        <f>IFERROR(__xludf.DUMMYFUNCTION("""COMPUTED_VALUE"""),"Algorithms")</f>
        <v>Algorithms</v>
      </c>
      <c r="I553" s="20">
        <f>IFERROR(__xludf.DUMMYFUNCTION("""COMPUTED_VALUE"""),0.412)</f>
        <v>0.412</v>
      </c>
      <c r="J553" s="20">
        <f>IFERROR(__xludf.DUMMYFUNCTION("""COMPUTED_VALUE"""),552.0)</f>
        <v>552</v>
      </c>
      <c r="K553" s="20" t="b">
        <f>IFERROR(__xludf.DUMMYFUNCTION("""COMPUTED_VALUE"""),FALSE)</f>
        <v>0</v>
      </c>
      <c r="L553" s="20" t="str">
        <f>IFERROR(__xludf.DUMMYFUNCTION("""COMPUTED_VALUE"""),"Dynamic Programming;")</f>
        <v>Dynamic Programming;</v>
      </c>
      <c r="M553" s="20" t="b">
        <f>IFERROR(__xludf.DUMMYFUNCTION("""COMPUTED_VALUE"""),TRUE)</f>
        <v>1</v>
      </c>
      <c r="N553" s="20" t="b">
        <f>IFERROR(__xludf.DUMMYFUNCTION("""COMPUTED_VALUE"""),FALSE)</f>
        <v>0</v>
      </c>
      <c r="O553" s="20">
        <f>IFERROR(__xludf.DUMMYFUNCTION("""COMPUTED_VALUE"""),41.2398183521949)</f>
        <v>41.23981835</v>
      </c>
      <c r="P553" s="20">
        <f>IFERROR(__xludf.DUMMYFUNCTION("""COMPUTED_VALUE"""),57212.0)</f>
        <v>57212</v>
      </c>
      <c r="Q553" s="20">
        <f>IFERROR(__xludf.DUMMYFUNCTION("""COMPUTED_VALUE"""),138730.0)</f>
        <v>138730</v>
      </c>
    </row>
    <row r="554">
      <c r="A554" s="20">
        <f>IFERROR(__xludf.DUMMYFUNCTION("""COMPUTED_VALUE"""),553.0)</f>
        <v>553</v>
      </c>
      <c r="B554" s="20" t="str">
        <f>IFERROR(__xludf.DUMMYFUNCTION("""COMPUTED_VALUE"""),"Optimal Division")</f>
        <v>Optimal Division</v>
      </c>
      <c r="C554" s="20" t="str">
        <f>IFERROR(__xludf.DUMMYFUNCTION("""COMPUTED_VALUE"""),"optimal-division")</f>
        <v>optimal-division</v>
      </c>
      <c r="D554" s="20" t="b">
        <f>IFERROR(__xludf.DUMMYFUNCTION("""COMPUTED_VALUE"""),FALSE)</f>
        <v>0</v>
      </c>
      <c r="E554" s="20" t="str">
        <f>IFERROR(__xludf.DUMMYFUNCTION("""COMPUTED_VALUE"""),"Medium")</f>
        <v>Medium</v>
      </c>
      <c r="F554" s="20">
        <f>IFERROR(__xludf.DUMMYFUNCTION("""COMPUTED_VALUE"""),308.0)</f>
        <v>308</v>
      </c>
      <c r="G554" s="20">
        <f>IFERROR(__xludf.DUMMYFUNCTION("""COMPUTED_VALUE"""),1474.0)</f>
        <v>1474</v>
      </c>
      <c r="H554" s="20" t="str">
        <f>IFERROR(__xludf.DUMMYFUNCTION("""COMPUTED_VALUE"""),"Algorithms")</f>
        <v>Algorithms</v>
      </c>
      <c r="I554" s="20">
        <f>IFERROR(__xludf.DUMMYFUNCTION("""COMPUTED_VALUE"""),0.598)</f>
        <v>0.598</v>
      </c>
      <c r="J554" s="20">
        <f>IFERROR(__xludf.DUMMYFUNCTION("""COMPUTED_VALUE"""),553.0)</f>
        <v>553</v>
      </c>
      <c r="K554" s="20" t="b">
        <f>IFERROR(__xludf.DUMMYFUNCTION("""COMPUTED_VALUE"""),FALSE)</f>
        <v>0</v>
      </c>
      <c r="L554" s="20" t="str">
        <f>IFERROR(__xludf.DUMMYFUNCTION("""COMPUTED_VALUE"""),"Array;Math;Dynamic Programming;")</f>
        <v>Array;Math;Dynamic Programming;</v>
      </c>
      <c r="M554" s="20" t="b">
        <f>IFERROR(__xludf.DUMMYFUNCTION("""COMPUTED_VALUE"""),TRUE)</f>
        <v>1</v>
      </c>
      <c r="N554" s="20" t="b">
        <f>IFERROR(__xludf.DUMMYFUNCTION("""COMPUTED_VALUE"""),FALSE)</f>
        <v>0</v>
      </c>
      <c r="O554" s="20">
        <f>IFERROR(__xludf.DUMMYFUNCTION("""COMPUTED_VALUE"""),59.8030002436392)</f>
        <v>59.80300024</v>
      </c>
      <c r="P554" s="20">
        <f>IFERROR(__xludf.DUMMYFUNCTION("""COMPUTED_VALUE"""),34364.0)</f>
        <v>34364</v>
      </c>
      <c r="Q554" s="20">
        <f>IFERROR(__xludf.DUMMYFUNCTION("""COMPUTED_VALUE"""),57462.0)</f>
        <v>57462</v>
      </c>
    </row>
    <row r="555">
      <c r="A555" s="20">
        <f>IFERROR(__xludf.DUMMYFUNCTION("""COMPUTED_VALUE"""),554.0)</f>
        <v>554</v>
      </c>
      <c r="B555" s="20" t="str">
        <f>IFERROR(__xludf.DUMMYFUNCTION("""COMPUTED_VALUE"""),"Brick Wall")</f>
        <v>Brick Wall</v>
      </c>
      <c r="C555" s="20" t="str">
        <f>IFERROR(__xludf.DUMMYFUNCTION("""COMPUTED_VALUE"""),"brick-wall")</f>
        <v>brick-wall</v>
      </c>
      <c r="D555" s="20" t="b">
        <f>IFERROR(__xludf.DUMMYFUNCTION("""COMPUTED_VALUE"""),FALSE)</f>
        <v>0</v>
      </c>
      <c r="E555" s="20" t="str">
        <f>IFERROR(__xludf.DUMMYFUNCTION("""COMPUTED_VALUE"""),"Medium")</f>
        <v>Medium</v>
      </c>
      <c r="F555" s="20">
        <f>IFERROR(__xludf.DUMMYFUNCTION("""COMPUTED_VALUE"""),2041.0)</f>
        <v>2041</v>
      </c>
      <c r="G555" s="20">
        <f>IFERROR(__xludf.DUMMYFUNCTION("""COMPUTED_VALUE"""),114.0)</f>
        <v>114</v>
      </c>
      <c r="H555" s="20" t="str">
        <f>IFERROR(__xludf.DUMMYFUNCTION("""COMPUTED_VALUE"""),"Algorithms")</f>
        <v>Algorithms</v>
      </c>
      <c r="I555" s="20">
        <f>IFERROR(__xludf.DUMMYFUNCTION("""COMPUTED_VALUE"""),0.533)</f>
        <v>0.533</v>
      </c>
      <c r="J555" s="20">
        <f>IFERROR(__xludf.DUMMYFUNCTION("""COMPUTED_VALUE"""),554.0)</f>
        <v>554</v>
      </c>
      <c r="K555" s="20" t="b">
        <f>IFERROR(__xludf.DUMMYFUNCTION("""COMPUTED_VALUE"""),FALSE)</f>
        <v>0</v>
      </c>
      <c r="L555" s="20" t="str">
        <f>IFERROR(__xludf.DUMMYFUNCTION("""COMPUTED_VALUE"""),"Array;Hash Table;")</f>
        <v>Array;Hash Table;</v>
      </c>
      <c r="M555" s="20" t="b">
        <f>IFERROR(__xludf.DUMMYFUNCTION("""COMPUTED_VALUE"""),TRUE)</f>
        <v>1</v>
      </c>
      <c r="N555" s="20" t="b">
        <f>IFERROR(__xludf.DUMMYFUNCTION("""COMPUTED_VALUE"""),TRUE)</f>
        <v>1</v>
      </c>
      <c r="O555" s="20">
        <f>IFERROR(__xludf.DUMMYFUNCTION("""COMPUTED_VALUE"""),53.2655834393431)</f>
        <v>53.26558344</v>
      </c>
      <c r="P555" s="20">
        <f>IFERROR(__xludf.DUMMYFUNCTION("""COMPUTED_VALUE"""),110541.0)</f>
        <v>110541</v>
      </c>
      <c r="Q555" s="20">
        <f>IFERROR(__xludf.DUMMYFUNCTION("""COMPUTED_VALUE"""),207528.0)</f>
        <v>207528</v>
      </c>
    </row>
    <row r="556">
      <c r="A556" s="20">
        <f>IFERROR(__xludf.DUMMYFUNCTION("""COMPUTED_VALUE"""),555.0)</f>
        <v>555</v>
      </c>
      <c r="B556" s="20" t="str">
        <f>IFERROR(__xludf.DUMMYFUNCTION("""COMPUTED_VALUE"""),"Split Concatenated Strings")</f>
        <v>Split Concatenated Strings</v>
      </c>
      <c r="C556" s="20" t="str">
        <f>IFERROR(__xludf.DUMMYFUNCTION("""COMPUTED_VALUE"""),"split-concatenated-strings")</f>
        <v>split-concatenated-strings</v>
      </c>
      <c r="D556" s="20" t="b">
        <f>IFERROR(__xludf.DUMMYFUNCTION("""COMPUTED_VALUE"""),TRUE)</f>
        <v>1</v>
      </c>
      <c r="E556" s="20" t="str">
        <f>IFERROR(__xludf.DUMMYFUNCTION("""COMPUTED_VALUE"""),"Medium")</f>
        <v>Medium</v>
      </c>
      <c r="F556" s="20">
        <f>IFERROR(__xludf.DUMMYFUNCTION("""COMPUTED_VALUE"""),70.0)</f>
        <v>70</v>
      </c>
      <c r="G556" s="20">
        <f>IFERROR(__xludf.DUMMYFUNCTION("""COMPUTED_VALUE"""),244.0)</f>
        <v>244</v>
      </c>
      <c r="H556" s="20" t="str">
        <f>IFERROR(__xludf.DUMMYFUNCTION("""COMPUTED_VALUE"""),"Algorithms")</f>
        <v>Algorithms</v>
      </c>
      <c r="I556" s="20">
        <f>IFERROR(__xludf.DUMMYFUNCTION("""COMPUTED_VALUE"""),0.436)</f>
        <v>0.436</v>
      </c>
      <c r="J556" s="20">
        <f>IFERROR(__xludf.DUMMYFUNCTION("""COMPUTED_VALUE"""),555.0)</f>
        <v>555</v>
      </c>
      <c r="K556" s="20" t="b">
        <f>IFERROR(__xludf.DUMMYFUNCTION("""COMPUTED_VALUE"""),TRUE)</f>
        <v>1</v>
      </c>
      <c r="L556" s="20" t="str">
        <f>IFERROR(__xludf.DUMMYFUNCTION("""COMPUTED_VALUE"""),"Array;String;Greedy;")</f>
        <v>Array;String;Greedy;</v>
      </c>
      <c r="M556" s="20" t="b">
        <f>IFERROR(__xludf.DUMMYFUNCTION("""COMPUTED_VALUE"""),FALSE)</f>
        <v>0</v>
      </c>
      <c r="N556" s="20" t="b">
        <f>IFERROR(__xludf.DUMMYFUNCTION("""COMPUTED_VALUE"""),FALSE)</f>
        <v>0</v>
      </c>
      <c r="O556" s="20">
        <f>IFERROR(__xludf.DUMMYFUNCTION("""COMPUTED_VALUE"""),43.5818601076095)</f>
        <v>43.58186011</v>
      </c>
      <c r="P556" s="20">
        <f>IFERROR(__xludf.DUMMYFUNCTION("""COMPUTED_VALUE"""),6237.0)</f>
        <v>6237</v>
      </c>
      <c r="Q556" s="20">
        <f>IFERROR(__xludf.DUMMYFUNCTION("""COMPUTED_VALUE"""),14311.0)</f>
        <v>14311</v>
      </c>
    </row>
    <row r="557">
      <c r="A557" s="20">
        <f>IFERROR(__xludf.DUMMYFUNCTION("""COMPUTED_VALUE"""),556.0)</f>
        <v>556</v>
      </c>
      <c r="B557" s="20" t="str">
        <f>IFERROR(__xludf.DUMMYFUNCTION("""COMPUTED_VALUE"""),"Next Greater Element III")</f>
        <v>Next Greater Element III</v>
      </c>
      <c r="C557" s="20" t="str">
        <f>IFERROR(__xludf.DUMMYFUNCTION("""COMPUTED_VALUE"""),"next-greater-element-iii")</f>
        <v>next-greater-element-iii</v>
      </c>
      <c r="D557" s="20" t="b">
        <f>IFERROR(__xludf.DUMMYFUNCTION("""COMPUTED_VALUE"""),FALSE)</f>
        <v>0</v>
      </c>
      <c r="E557" s="20" t="str">
        <f>IFERROR(__xludf.DUMMYFUNCTION("""COMPUTED_VALUE"""),"Medium")</f>
        <v>Medium</v>
      </c>
      <c r="F557" s="20">
        <f>IFERROR(__xludf.DUMMYFUNCTION("""COMPUTED_VALUE"""),2922.0)</f>
        <v>2922</v>
      </c>
      <c r="G557" s="20">
        <f>IFERROR(__xludf.DUMMYFUNCTION("""COMPUTED_VALUE"""),394.0)</f>
        <v>394</v>
      </c>
      <c r="H557" s="20" t="str">
        <f>IFERROR(__xludf.DUMMYFUNCTION("""COMPUTED_VALUE"""),"Algorithms")</f>
        <v>Algorithms</v>
      </c>
      <c r="I557" s="20">
        <f>IFERROR(__xludf.DUMMYFUNCTION("""COMPUTED_VALUE"""),0.341)</f>
        <v>0.341</v>
      </c>
      <c r="J557" s="20">
        <f>IFERROR(__xludf.DUMMYFUNCTION("""COMPUTED_VALUE"""),556.0)</f>
        <v>556</v>
      </c>
      <c r="K557" s="20" t="b">
        <f>IFERROR(__xludf.DUMMYFUNCTION("""COMPUTED_VALUE"""),FALSE)</f>
        <v>0</v>
      </c>
      <c r="L557" s="20" t="str">
        <f>IFERROR(__xludf.DUMMYFUNCTION("""COMPUTED_VALUE"""),"Math;Two Pointers;String;")</f>
        <v>Math;Two Pointers;String;</v>
      </c>
      <c r="M557" s="20" t="b">
        <f>IFERROR(__xludf.DUMMYFUNCTION("""COMPUTED_VALUE"""),TRUE)</f>
        <v>1</v>
      </c>
      <c r="N557" s="20" t="b">
        <f>IFERROR(__xludf.DUMMYFUNCTION("""COMPUTED_VALUE"""),FALSE)</f>
        <v>0</v>
      </c>
      <c r="O557" s="20">
        <f>IFERROR(__xludf.DUMMYFUNCTION("""COMPUTED_VALUE"""),34.0797386253354)</f>
        <v>34.07973863</v>
      </c>
      <c r="P557" s="20">
        <f>IFERROR(__xludf.DUMMYFUNCTION("""COMPUTED_VALUE"""),119746.0)</f>
        <v>119746</v>
      </c>
      <c r="Q557" s="20">
        <f>IFERROR(__xludf.DUMMYFUNCTION("""COMPUTED_VALUE"""),351372.0)</f>
        <v>351372</v>
      </c>
    </row>
    <row r="558">
      <c r="A558" s="20">
        <f>IFERROR(__xludf.DUMMYFUNCTION("""COMPUTED_VALUE"""),557.0)</f>
        <v>557</v>
      </c>
      <c r="B558" s="20" t="str">
        <f>IFERROR(__xludf.DUMMYFUNCTION("""COMPUTED_VALUE"""),"Reverse Words in a String III")</f>
        <v>Reverse Words in a String III</v>
      </c>
      <c r="C558" s="20" t="str">
        <f>IFERROR(__xludf.DUMMYFUNCTION("""COMPUTED_VALUE"""),"reverse-words-in-a-string-iii")</f>
        <v>reverse-words-in-a-string-iii</v>
      </c>
      <c r="D558" s="20" t="b">
        <f>IFERROR(__xludf.DUMMYFUNCTION("""COMPUTED_VALUE"""),FALSE)</f>
        <v>0</v>
      </c>
      <c r="E558" s="20" t="str">
        <f>IFERROR(__xludf.DUMMYFUNCTION("""COMPUTED_VALUE"""),"Easy")</f>
        <v>Easy</v>
      </c>
      <c r="F558" s="20">
        <f>IFERROR(__xludf.DUMMYFUNCTION("""COMPUTED_VALUE"""),4426.0)</f>
        <v>4426</v>
      </c>
      <c r="G558" s="20">
        <f>IFERROR(__xludf.DUMMYFUNCTION("""COMPUTED_VALUE"""),216.0)</f>
        <v>216</v>
      </c>
      <c r="H558" s="20" t="str">
        <f>IFERROR(__xludf.DUMMYFUNCTION("""COMPUTED_VALUE"""),"Algorithms")</f>
        <v>Algorithms</v>
      </c>
      <c r="I558" s="20">
        <f>IFERROR(__xludf.DUMMYFUNCTION("""COMPUTED_VALUE"""),0.817)</f>
        <v>0.817</v>
      </c>
      <c r="J558" s="20">
        <f>IFERROR(__xludf.DUMMYFUNCTION("""COMPUTED_VALUE"""),557.0)</f>
        <v>557</v>
      </c>
      <c r="K558" s="20" t="b">
        <f>IFERROR(__xludf.DUMMYFUNCTION("""COMPUTED_VALUE"""),FALSE)</f>
        <v>0</v>
      </c>
      <c r="L558" s="20" t="str">
        <f>IFERROR(__xludf.DUMMYFUNCTION("""COMPUTED_VALUE"""),"Two Pointers;String;")</f>
        <v>Two Pointers;String;</v>
      </c>
      <c r="M558" s="20" t="b">
        <f>IFERROR(__xludf.DUMMYFUNCTION("""COMPUTED_VALUE"""),TRUE)</f>
        <v>1</v>
      </c>
      <c r="N558" s="20" t="b">
        <f>IFERROR(__xludf.DUMMYFUNCTION("""COMPUTED_VALUE"""),FALSE)</f>
        <v>0</v>
      </c>
      <c r="O558" s="20">
        <f>IFERROR(__xludf.DUMMYFUNCTION("""COMPUTED_VALUE"""),81.6741609298503)</f>
        <v>81.67416093</v>
      </c>
      <c r="P558" s="20">
        <f>IFERROR(__xludf.DUMMYFUNCTION("""COMPUTED_VALUE"""),630093.0)</f>
        <v>630093</v>
      </c>
      <c r="Q558" s="20">
        <f>IFERROR(__xludf.DUMMYFUNCTION("""COMPUTED_VALUE"""),771471.0)</f>
        <v>771471</v>
      </c>
    </row>
    <row r="559">
      <c r="A559" s="20">
        <f>IFERROR(__xludf.DUMMYFUNCTION("""COMPUTED_VALUE"""),773.0)</f>
        <v>773</v>
      </c>
      <c r="B559" s="20" t="str">
        <f>IFERROR(__xludf.DUMMYFUNCTION("""COMPUTED_VALUE"""),"Logical OR of Two Binary Grids Represented as Quad-Trees")</f>
        <v>Logical OR of Two Binary Grids Represented as Quad-Trees</v>
      </c>
      <c r="C559" s="20" t="str">
        <f>IFERROR(__xludf.DUMMYFUNCTION("""COMPUTED_VALUE"""),"logical-or-of-two-binary-grids-represented-as-quad-trees")</f>
        <v>logical-or-of-two-binary-grids-represented-as-quad-trees</v>
      </c>
      <c r="D559" s="20" t="b">
        <f>IFERROR(__xludf.DUMMYFUNCTION("""COMPUTED_VALUE"""),FALSE)</f>
        <v>0</v>
      </c>
      <c r="E559" s="20" t="str">
        <f>IFERROR(__xludf.DUMMYFUNCTION("""COMPUTED_VALUE"""),"Medium")</f>
        <v>Medium</v>
      </c>
      <c r="F559" s="20">
        <f>IFERROR(__xludf.DUMMYFUNCTION("""COMPUTED_VALUE"""),156.0)</f>
        <v>156</v>
      </c>
      <c r="G559" s="20">
        <f>IFERROR(__xludf.DUMMYFUNCTION("""COMPUTED_VALUE"""),446.0)</f>
        <v>446</v>
      </c>
      <c r="H559" s="20" t="str">
        <f>IFERROR(__xludf.DUMMYFUNCTION("""COMPUTED_VALUE"""),"Algorithms")</f>
        <v>Algorithms</v>
      </c>
      <c r="I559" s="20">
        <f>IFERROR(__xludf.DUMMYFUNCTION("""COMPUTED_VALUE"""),0.484)</f>
        <v>0.484</v>
      </c>
      <c r="J559" s="20">
        <f>IFERROR(__xludf.DUMMYFUNCTION("""COMPUTED_VALUE"""),558.0)</f>
        <v>558</v>
      </c>
      <c r="K559" s="20" t="b">
        <f>IFERROR(__xludf.DUMMYFUNCTION("""COMPUTED_VALUE"""),FALSE)</f>
        <v>0</v>
      </c>
      <c r="L559" s="20" t="str">
        <f>IFERROR(__xludf.DUMMYFUNCTION("""COMPUTED_VALUE"""),"Divide and Conquer;Tree;")</f>
        <v>Divide and Conquer;Tree;</v>
      </c>
      <c r="M559" s="20" t="b">
        <f>IFERROR(__xludf.DUMMYFUNCTION("""COMPUTED_VALUE"""),FALSE)</f>
        <v>0</v>
      </c>
      <c r="N559" s="20" t="b">
        <f>IFERROR(__xludf.DUMMYFUNCTION("""COMPUTED_VALUE"""),FALSE)</f>
        <v>0</v>
      </c>
      <c r="O559" s="20">
        <f>IFERROR(__xludf.DUMMYFUNCTION("""COMPUTED_VALUE"""),48.3972859148338)</f>
        <v>48.39728591</v>
      </c>
      <c r="P559" s="20">
        <f>IFERROR(__xludf.DUMMYFUNCTION("""COMPUTED_VALUE"""),12411.0)</f>
        <v>12411</v>
      </c>
      <c r="Q559" s="20">
        <f>IFERROR(__xludf.DUMMYFUNCTION("""COMPUTED_VALUE"""),25644.0)</f>
        <v>25644</v>
      </c>
    </row>
    <row r="560">
      <c r="A560" s="20">
        <f>IFERROR(__xludf.DUMMYFUNCTION("""COMPUTED_VALUE"""),774.0)</f>
        <v>774</v>
      </c>
      <c r="B560" s="20" t="str">
        <f>IFERROR(__xludf.DUMMYFUNCTION("""COMPUTED_VALUE"""),"Maximum Depth of N-ary Tree")</f>
        <v>Maximum Depth of N-ary Tree</v>
      </c>
      <c r="C560" s="20" t="str">
        <f>IFERROR(__xludf.DUMMYFUNCTION("""COMPUTED_VALUE"""),"maximum-depth-of-n-ary-tree")</f>
        <v>maximum-depth-of-n-ary-tree</v>
      </c>
      <c r="D560" s="20" t="b">
        <f>IFERROR(__xludf.DUMMYFUNCTION("""COMPUTED_VALUE"""),FALSE)</f>
        <v>0</v>
      </c>
      <c r="E560" s="20" t="str">
        <f>IFERROR(__xludf.DUMMYFUNCTION("""COMPUTED_VALUE"""),"Easy")</f>
        <v>Easy</v>
      </c>
      <c r="F560" s="20">
        <f>IFERROR(__xludf.DUMMYFUNCTION("""COMPUTED_VALUE"""),2339.0)</f>
        <v>2339</v>
      </c>
      <c r="G560" s="20">
        <f>IFERROR(__xludf.DUMMYFUNCTION("""COMPUTED_VALUE"""),78.0)</f>
        <v>78</v>
      </c>
      <c r="H560" s="20" t="str">
        <f>IFERROR(__xludf.DUMMYFUNCTION("""COMPUTED_VALUE"""),"Algorithms")</f>
        <v>Algorithms</v>
      </c>
      <c r="I560" s="20">
        <f>IFERROR(__xludf.DUMMYFUNCTION("""COMPUTED_VALUE"""),0.716)</f>
        <v>0.716</v>
      </c>
      <c r="J560" s="20">
        <f>IFERROR(__xludf.DUMMYFUNCTION("""COMPUTED_VALUE"""),559.0)</f>
        <v>559</v>
      </c>
      <c r="K560" s="20" t="b">
        <f>IFERROR(__xludf.DUMMYFUNCTION("""COMPUTED_VALUE"""),FALSE)</f>
        <v>0</v>
      </c>
      <c r="L560" s="20" t="str">
        <f>IFERROR(__xludf.DUMMYFUNCTION("""COMPUTED_VALUE"""),"Tree;Depth-First Search;Breadth-First Search;")</f>
        <v>Tree;Depth-First Search;Breadth-First Search;</v>
      </c>
      <c r="M560" s="20" t="b">
        <f>IFERROR(__xludf.DUMMYFUNCTION("""COMPUTED_VALUE"""),TRUE)</f>
        <v>1</v>
      </c>
      <c r="N560" s="20" t="b">
        <f>IFERROR(__xludf.DUMMYFUNCTION("""COMPUTED_VALUE"""),FALSE)</f>
        <v>0</v>
      </c>
      <c r="O560" s="20">
        <f>IFERROR(__xludf.DUMMYFUNCTION("""COMPUTED_VALUE"""),71.5975618932952)</f>
        <v>71.59756189</v>
      </c>
      <c r="P560" s="20">
        <f>IFERROR(__xludf.DUMMYFUNCTION("""COMPUTED_VALUE"""),237865.0)</f>
        <v>237865</v>
      </c>
      <c r="Q560" s="20">
        <f>IFERROR(__xludf.DUMMYFUNCTION("""COMPUTED_VALUE"""),332225.0)</f>
        <v>332225</v>
      </c>
    </row>
    <row r="561">
      <c r="A561" s="20">
        <f>IFERROR(__xludf.DUMMYFUNCTION("""COMPUTED_VALUE"""),560.0)</f>
        <v>560</v>
      </c>
      <c r="B561" s="20" t="str">
        <f>IFERROR(__xludf.DUMMYFUNCTION("""COMPUTED_VALUE"""),"Subarray Sum Equals K")</f>
        <v>Subarray Sum Equals K</v>
      </c>
      <c r="C561" s="20" t="str">
        <f>IFERROR(__xludf.DUMMYFUNCTION("""COMPUTED_VALUE"""),"subarray-sum-equals-k")</f>
        <v>subarray-sum-equals-k</v>
      </c>
      <c r="D561" s="20" t="b">
        <f>IFERROR(__xludf.DUMMYFUNCTION("""COMPUTED_VALUE"""),FALSE)</f>
        <v>0</v>
      </c>
      <c r="E561" s="20" t="str">
        <f>IFERROR(__xludf.DUMMYFUNCTION("""COMPUTED_VALUE"""),"Medium")</f>
        <v>Medium</v>
      </c>
      <c r="F561" s="20">
        <f>IFERROR(__xludf.DUMMYFUNCTION("""COMPUTED_VALUE"""),16554.0)</f>
        <v>16554</v>
      </c>
      <c r="G561" s="20">
        <f>IFERROR(__xludf.DUMMYFUNCTION("""COMPUTED_VALUE"""),489.0)</f>
        <v>489</v>
      </c>
      <c r="H561" s="20" t="str">
        <f>IFERROR(__xludf.DUMMYFUNCTION("""COMPUTED_VALUE"""),"Algorithms")</f>
        <v>Algorithms</v>
      </c>
      <c r="I561" s="20">
        <f>IFERROR(__xludf.DUMMYFUNCTION("""COMPUTED_VALUE"""),0.439)</f>
        <v>0.439</v>
      </c>
      <c r="J561" s="20">
        <f>IFERROR(__xludf.DUMMYFUNCTION("""COMPUTED_VALUE"""),560.0)</f>
        <v>560</v>
      </c>
      <c r="K561" s="20" t="b">
        <f>IFERROR(__xludf.DUMMYFUNCTION("""COMPUTED_VALUE"""),FALSE)</f>
        <v>0</v>
      </c>
      <c r="L561" s="20" t="str">
        <f>IFERROR(__xludf.DUMMYFUNCTION("""COMPUTED_VALUE"""),"Array;Hash Table;Prefix Sum;")</f>
        <v>Array;Hash Table;Prefix Sum;</v>
      </c>
      <c r="M561" s="20" t="b">
        <f>IFERROR(__xludf.DUMMYFUNCTION("""COMPUTED_VALUE"""),TRUE)</f>
        <v>1</v>
      </c>
      <c r="N561" s="20" t="b">
        <f>IFERROR(__xludf.DUMMYFUNCTION("""COMPUTED_VALUE"""),TRUE)</f>
        <v>1</v>
      </c>
      <c r="O561" s="20">
        <f>IFERROR(__xludf.DUMMYFUNCTION("""COMPUTED_VALUE"""),43.9188649921712)</f>
        <v>43.91886499</v>
      </c>
      <c r="P561" s="20">
        <f>IFERROR(__xludf.DUMMYFUNCTION("""COMPUTED_VALUE"""),907959.0)</f>
        <v>907959</v>
      </c>
      <c r="Q561" s="20">
        <f>IFERROR(__xludf.DUMMYFUNCTION("""COMPUTED_VALUE"""),2067354.0)</f>
        <v>2067354</v>
      </c>
    </row>
    <row r="562">
      <c r="A562" s="20">
        <f>IFERROR(__xludf.DUMMYFUNCTION("""COMPUTED_VALUE"""),561.0)</f>
        <v>561</v>
      </c>
      <c r="B562" s="20" t="str">
        <f>IFERROR(__xludf.DUMMYFUNCTION("""COMPUTED_VALUE"""),"Array Partition")</f>
        <v>Array Partition</v>
      </c>
      <c r="C562" s="20" t="str">
        <f>IFERROR(__xludf.DUMMYFUNCTION("""COMPUTED_VALUE"""),"array-partition")</f>
        <v>array-partition</v>
      </c>
      <c r="D562" s="20" t="b">
        <f>IFERROR(__xludf.DUMMYFUNCTION("""COMPUTED_VALUE"""),FALSE)</f>
        <v>0</v>
      </c>
      <c r="E562" s="20" t="str">
        <f>IFERROR(__xludf.DUMMYFUNCTION("""COMPUTED_VALUE"""),"Easy")</f>
        <v>Easy</v>
      </c>
      <c r="F562" s="20">
        <f>IFERROR(__xludf.DUMMYFUNCTION("""COMPUTED_VALUE"""),1352.0)</f>
        <v>1352</v>
      </c>
      <c r="G562" s="20">
        <f>IFERROR(__xludf.DUMMYFUNCTION("""COMPUTED_VALUE"""),190.0)</f>
        <v>190</v>
      </c>
      <c r="H562" s="20" t="str">
        <f>IFERROR(__xludf.DUMMYFUNCTION("""COMPUTED_VALUE"""),"Algorithms")</f>
        <v>Algorithms</v>
      </c>
      <c r="I562" s="20">
        <f>IFERROR(__xludf.DUMMYFUNCTION("""COMPUTED_VALUE"""),0.768)</f>
        <v>0.768</v>
      </c>
      <c r="J562" s="20">
        <f>IFERROR(__xludf.DUMMYFUNCTION("""COMPUTED_VALUE"""),561.0)</f>
        <v>561</v>
      </c>
      <c r="K562" s="20" t="b">
        <f>IFERROR(__xludf.DUMMYFUNCTION("""COMPUTED_VALUE"""),FALSE)</f>
        <v>0</v>
      </c>
      <c r="L562" s="20" t="str">
        <f>IFERROR(__xludf.DUMMYFUNCTION("""COMPUTED_VALUE"""),"Array;Greedy;Sorting;Counting Sort;")</f>
        <v>Array;Greedy;Sorting;Counting Sort;</v>
      </c>
      <c r="M562" s="20" t="b">
        <f>IFERROR(__xludf.DUMMYFUNCTION("""COMPUTED_VALUE"""),TRUE)</f>
        <v>1</v>
      </c>
      <c r="N562" s="20" t="b">
        <f>IFERROR(__xludf.DUMMYFUNCTION("""COMPUTED_VALUE"""),FALSE)</f>
        <v>0</v>
      </c>
      <c r="O562" s="20">
        <f>IFERROR(__xludf.DUMMYFUNCTION("""COMPUTED_VALUE"""),76.7940716026149)</f>
        <v>76.7940716</v>
      </c>
      <c r="P562" s="20">
        <f>IFERROR(__xludf.DUMMYFUNCTION("""COMPUTED_VALUE"""),373785.0)</f>
        <v>373785</v>
      </c>
      <c r="Q562" s="20">
        <f>IFERROR(__xludf.DUMMYFUNCTION("""COMPUTED_VALUE"""),486738.0)</f>
        <v>486738</v>
      </c>
    </row>
    <row r="563">
      <c r="A563" s="20">
        <f>IFERROR(__xludf.DUMMYFUNCTION("""COMPUTED_VALUE"""),562.0)</f>
        <v>562</v>
      </c>
      <c r="B563" s="20" t="str">
        <f>IFERROR(__xludf.DUMMYFUNCTION("""COMPUTED_VALUE"""),"Longest Line of Consecutive One in Matrix")</f>
        <v>Longest Line of Consecutive One in Matrix</v>
      </c>
      <c r="C563" s="20" t="str">
        <f>IFERROR(__xludf.DUMMYFUNCTION("""COMPUTED_VALUE"""),"longest-line-of-consecutive-one-in-matrix")</f>
        <v>longest-line-of-consecutive-one-in-matrix</v>
      </c>
      <c r="D563" s="20" t="b">
        <f>IFERROR(__xludf.DUMMYFUNCTION("""COMPUTED_VALUE"""),TRUE)</f>
        <v>1</v>
      </c>
      <c r="E563" s="20" t="str">
        <f>IFERROR(__xludf.DUMMYFUNCTION("""COMPUTED_VALUE"""),"Medium")</f>
        <v>Medium</v>
      </c>
      <c r="F563" s="20">
        <f>IFERROR(__xludf.DUMMYFUNCTION("""COMPUTED_VALUE"""),822.0)</f>
        <v>822</v>
      </c>
      <c r="G563" s="20">
        <f>IFERROR(__xludf.DUMMYFUNCTION("""COMPUTED_VALUE"""),106.0)</f>
        <v>106</v>
      </c>
      <c r="H563" s="20" t="str">
        <f>IFERROR(__xludf.DUMMYFUNCTION("""COMPUTED_VALUE"""),"Algorithms")</f>
        <v>Algorithms</v>
      </c>
      <c r="I563" s="20">
        <f>IFERROR(__xludf.DUMMYFUNCTION("""COMPUTED_VALUE"""),0.501)</f>
        <v>0.501</v>
      </c>
      <c r="J563" s="20">
        <f>IFERROR(__xludf.DUMMYFUNCTION("""COMPUTED_VALUE"""),562.0)</f>
        <v>562</v>
      </c>
      <c r="K563" s="20" t="b">
        <f>IFERROR(__xludf.DUMMYFUNCTION("""COMPUTED_VALUE"""),TRUE)</f>
        <v>1</v>
      </c>
      <c r="L563" s="20" t="str">
        <f>IFERROR(__xludf.DUMMYFUNCTION("""COMPUTED_VALUE"""),"Array;Dynamic Programming;Matrix;")</f>
        <v>Array;Dynamic Programming;Matrix;</v>
      </c>
      <c r="M563" s="20" t="b">
        <f>IFERROR(__xludf.DUMMYFUNCTION("""COMPUTED_VALUE"""),TRUE)</f>
        <v>1</v>
      </c>
      <c r="N563" s="20" t="b">
        <f>IFERROR(__xludf.DUMMYFUNCTION("""COMPUTED_VALUE"""),FALSE)</f>
        <v>0</v>
      </c>
      <c r="O563" s="20">
        <f>IFERROR(__xludf.DUMMYFUNCTION("""COMPUTED_VALUE"""),50.1145912910618)</f>
        <v>50.11459129</v>
      </c>
      <c r="P563" s="20">
        <f>IFERROR(__xludf.DUMMYFUNCTION("""COMPUTED_VALUE"""),70191.0)</f>
        <v>70191</v>
      </c>
      <c r="Q563" s="20">
        <f>IFERROR(__xludf.DUMMYFUNCTION("""COMPUTED_VALUE"""),140061.0)</f>
        <v>140061</v>
      </c>
    </row>
    <row r="564">
      <c r="A564" s="20">
        <f>IFERROR(__xludf.DUMMYFUNCTION("""COMPUTED_VALUE"""),563.0)</f>
        <v>563</v>
      </c>
      <c r="B564" s="20" t="str">
        <f>IFERROR(__xludf.DUMMYFUNCTION("""COMPUTED_VALUE"""),"Binary Tree Tilt")</f>
        <v>Binary Tree Tilt</v>
      </c>
      <c r="C564" s="20" t="str">
        <f>IFERROR(__xludf.DUMMYFUNCTION("""COMPUTED_VALUE"""),"binary-tree-tilt")</f>
        <v>binary-tree-tilt</v>
      </c>
      <c r="D564" s="20" t="b">
        <f>IFERROR(__xludf.DUMMYFUNCTION("""COMPUTED_VALUE"""),FALSE)</f>
        <v>0</v>
      </c>
      <c r="E564" s="20" t="str">
        <f>IFERROR(__xludf.DUMMYFUNCTION("""COMPUTED_VALUE"""),"Easy")</f>
        <v>Easy</v>
      </c>
      <c r="F564" s="20">
        <f>IFERROR(__xludf.DUMMYFUNCTION("""COMPUTED_VALUE"""),1880.0)</f>
        <v>1880</v>
      </c>
      <c r="G564" s="20">
        <f>IFERROR(__xludf.DUMMYFUNCTION("""COMPUTED_VALUE"""),2021.0)</f>
        <v>2021</v>
      </c>
      <c r="H564" s="20" t="str">
        <f>IFERROR(__xludf.DUMMYFUNCTION("""COMPUTED_VALUE"""),"Algorithms")</f>
        <v>Algorithms</v>
      </c>
      <c r="I564" s="20">
        <f>IFERROR(__xludf.DUMMYFUNCTION("""COMPUTED_VALUE"""),0.596)</f>
        <v>0.596</v>
      </c>
      <c r="J564" s="20">
        <f>IFERROR(__xludf.DUMMYFUNCTION("""COMPUTED_VALUE"""),563.0)</f>
        <v>563</v>
      </c>
      <c r="K564" s="20" t="b">
        <f>IFERROR(__xludf.DUMMYFUNCTION("""COMPUTED_VALUE"""),FALSE)</f>
        <v>0</v>
      </c>
      <c r="L564" s="20" t="str">
        <f>IFERROR(__xludf.DUMMYFUNCTION("""COMPUTED_VALUE"""),"Tree;Depth-First Search;Binary Tree;")</f>
        <v>Tree;Depth-First Search;Binary Tree;</v>
      </c>
      <c r="M564" s="20" t="b">
        <f>IFERROR(__xludf.DUMMYFUNCTION("""COMPUTED_VALUE"""),TRUE)</f>
        <v>1</v>
      </c>
      <c r="N564" s="20" t="b">
        <f>IFERROR(__xludf.DUMMYFUNCTION("""COMPUTED_VALUE"""),FALSE)</f>
        <v>0</v>
      </c>
      <c r="O564" s="20">
        <f>IFERROR(__xludf.DUMMYFUNCTION("""COMPUTED_VALUE"""),59.5704814537952)</f>
        <v>59.57048145</v>
      </c>
      <c r="P564" s="20">
        <f>IFERROR(__xludf.DUMMYFUNCTION("""COMPUTED_VALUE"""),182490.0)</f>
        <v>182490</v>
      </c>
      <c r="Q564" s="20">
        <f>IFERROR(__xludf.DUMMYFUNCTION("""COMPUTED_VALUE"""),306343.0)</f>
        <v>306343</v>
      </c>
    </row>
    <row r="565">
      <c r="A565" s="20">
        <f>IFERROR(__xludf.DUMMYFUNCTION("""COMPUTED_VALUE"""),564.0)</f>
        <v>564</v>
      </c>
      <c r="B565" s="20" t="str">
        <f>IFERROR(__xludf.DUMMYFUNCTION("""COMPUTED_VALUE"""),"Find the Closest Palindrome")</f>
        <v>Find the Closest Palindrome</v>
      </c>
      <c r="C565" s="20" t="str">
        <f>IFERROR(__xludf.DUMMYFUNCTION("""COMPUTED_VALUE"""),"find-the-closest-palindrome")</f>
        <v>find-the-closest-palindrome</v>
      </c>
      <c r="D565" s="20" t="b">
        <f>IFERROR(__xludf.DUMMYFUNCTION("""COMPUTED_VALUE"""),FALSE)</f>
        <v>0</v>
      </c>
      <c r="E565" s="20" t="str">
        <f>IFERROR(__xludf.DUMMYFUNCTION("""COMPUTED_VALUE"""),"Hard")</f>
        <v>Hard</v>
      </c>
      <c r="F565" s="20">
        <f>IFERROR(__xludf.DUMMYFUNCTION("""COMPUTED_VALUE"""),574.0)</f>
        <v>574</v>
      </c>
      <c r="G565" s="20">
        <f>IFERROR(__xludf.DUMMYFUNCTION("""COMPUTED_VALUE"""),1279.0)</f>
        <v>1279</v>
      </c>
      <c r="H565" s="20" t="str">
        <f>IFERROR(__xludf.DUMMYFUNCTION("""COMPUTED_VALUE"""),"Algorithms")</f>
        <v>Algorithms</v>
      </c>
      <c r="I565" s="20">
        <f>IFERROR(__xludf.DUMMYFUNCTION("""COMPUTED_VALUE"""),0.22)</f>
        <v>0.22</v>
      </c>
      <c r="J565" s="20">
        <f>IFERROR(__xludf.DUMMYFUNCTION("""COMPUTED_VALUE"""),564.0)</f>
        <v>564</v>
      </c>
      <c r="K565" s="20" t="b">
        <f>IFERROR(__xludf.DUMMYFUNCTION("""COMPUTED_VALUE"""),FALSE)</f>
        <v>0</v>
      </c>
      <c r="L565" s="20" t="str">
        <f>IFERROR(__xludf.DUMMYFUNCTION("""COMPUTED_VALUE"""),"Math;String;")</f>
        <v>Math;String;</v>
      </c>
      <c r="M565" s="20" t="b">
        <f>IFERROR(__xludf.DUMMYFUNCTION("""COMPUTED_VALUE"""),TRUE)</f>
        <v>1</v>
      </c>
      <c r="N565" s="20" t="b">
        <f>IFERROR(__xludf.DUMMYFUNCTION("""COMPUTED_VALUE"""),FALSE)</f>
        <v>0</v>
      </c>
      <c r="O565" s="20">
        <f>IFERROR(__xludf.DUMMYFUNCTION("""COMPUTED_VALUE"""),21.9556518337996)</f>
        <v>21.95565183</v>
      </c>
      <c r="P565" s="20">
        <f>IFERROR(__xludf.DUMMYFUNCTION("""COMPUTED_VALUE"""),36487.0)</f>
        <v>36487</v>
      </c>
      <c r="Q565" s="20">
        <f>IFERROR(__xludf.DUMMYFUNCTION("""COMPUTED_VALUE"""),166184.0)</f>
        <v>166184</v>
      </c>
    </row>
    <row r="566">
      <c r="A566" s="20">
        <f>IFERROR(__xludf.DUMMYFUNCTION("""COMPUTED_VALUE"""),565.0)</f>
        <v>565</v>
      </c>
      <c r="B566" s="20" t="str">
        <f>IFERROR(__xludf.DUMMYFUNCTION("""COMPUTED_VALUE"""),"Array Nesting")</f>
        <v>Array Nesting</v>
      </c>
      <c r="C566" s="20" t="str">
        <f>IFERROR(__xludf.DUMMYFUNCTION("""COMPUTED_VALUE"""),"array-nesting")</f>
        <v>array-nesting</v>
      </c>
      <c r="D566" s="20" t="b">
        <f>IFERROR(__xludf.DUMMYFUNCTION("""COMPUTED_VALUE"""),FALSE)</f>
        <v>0</v>
      </c>
      <c r="E566" s="20" t="str">
        <f>IFERROR(__xludf.DUMMYFUNCTION("""COMPUTED_VALUE"""),"Medium")</f>
        <v>Medium</v>
      </c>
      <c r="F566" s="20">
        <f>IFERROR(__xludf.DUMMYFUNCTION("""COMPUTED_VALUE"""),2014.0)</f>
        <v>2014</v>
      </c>
      <c r="G566" s="20">
        <f>IFERROR(__xludf.DUMMYFUNCTION("""COMPUTED_VALUE"""),148.0)</f>
        <v>148</v>
      </c>
      <c r="H566" s="20" t="str">
        <f>IFERROR(__xludf.DUMMYFUNCTION("""COMPUTED_VALUE"""),"Algorithms")</f>
        <v>Algorithms</v>
      </c>
      <c r="I566" s="20">
        <f>IFERROR(__xludf.DUMMYFUNCTION("""COMPUTED_VALUE"""),0.565)</f>
        <v>0.565</v>
      </c>
      <c r="J566" s="20">
        <f>IFERROR(__xludf.DUMMYFUNCTION("""COMPUTED_VALUE"""),565.0)</f>
        <v>565</v>
      </c>
      <c r="K566" s="20" t="b">
        <f>IFERROR(__xludf.DUMMYFUNCTION("""COMPUTED_VALUE"""),FALSE)</f>
        <v>0</v>
      </c>
      <c r="L566" s="20" t="str">
        <f>IFERROR(__xludf.DUMMYFUNCTION("""COMPUTED_VALUE"""),"Array;Depth-First Search;")</f>
        <v>Array;Depth-First Search;</v>
      </c>
      <c r="M566" s="20" t="b">
        <f>IFERROR(__xludf.DUMMYFUNCTION("""COMPUTED_VALUE"""),TRUE)</f>
        <v>1</v>
      </c>
      <c r="N566" s="20" t="b">
        <f>IFERROR(__xludf.DUMMYFUNCTION("""COMPUTED_VALUE"""),FALSE)</f>
        <v>0</v>
      </c>
      <c r="O566" s="20">
        <f>IFERROR(__xludf.DUMMYFUNCTION("""COMPUTED_VALUE"""),56.453702874752)</f>
        <v>56.45370287</v>
      </c>
      <c r="P566" s="20">
        <f>IFERROR(__xludf.DUMMYFUNCTION("""COMPUTED_VALUE"""),119810.0)</f>
        <v>119810</v>
      </c>
      <c r="Q566" s="20">
        <f>IFERROR(__xludf.DUMMYFUNCTION("""COMPUTED_VALUE"""),212227.0)</f>
        <v>212227</v>
      </c>
    </row>
    <row r="567">
      <c r="A567" s="20">
        <f>IFERROR(__xludf.DUMMYFUNCTION("""COMPUTED_VALUE"""),566.0)</f>
        <v>566</v>
      </c>
      <c r="B567" s="20" t="str">
        <f>IFERROR(__xludf.DUMMYFUNCTION("""COMPUTED_VALUE"""),"Reshape the Matrix")</f>
        <v>Reshape the Matrix</v>
      </c>
      <c r="C567" s="20" t="str">
        <f>IFERROR(__xludf.DUMMYFUNCTION("""COMPUTED_VALUE"""),"reshape-the-matrix")</f>
        <v>reshape-the-matrix</v>
      </c>
      <c r="D567" s="20" t="b">
        <f>IFERROR(__xludf.DUMMYFUNCTION("""COMPUTED_VALUE"""),FALSE)</f>
        <v>0</v>
      </c>
      <c r="E567" s="20" t="str">
        <f>IFERROR(__xludf.DUMMYFUNCTION("""COMPUTED_VALUE"""),"Easy")</f>
        <v>Easy</v>
      </c>
      <c r="F567" s="20">
        <f>IFERROR(__xludf.DUMMYFUNCTION("""COMPUTED_VALUE"""),2936.0)</f>
        <v>2936</v>
      </c>
      <c r="G567" s="20">
        <f>IFERROR(__xludf.DUMMYFUNCTION("""COMPUTED_VALUE"""),325.0)</f>
        <v>325</v>
      </c>
      <c r="H567" s="20" t="str">
        <f>IFERROR(__xludf.DUMMYFUNCTION("""COMPUTED_VALUE"""),"Algorithms")</f>
        <v>Algorithms</v>
      </c>
      <c r="I567" s="20">
        <f>IFERROR(__xludf.DUMMYFUNCTION("""COMPUTED_VALUE"""),0.627)</f>
        <v>0.627</v>
      </c>
      <c r="J567" s="20">
        <f>IFERROR(__xludf.DUMMYFUNCTION("""COMPUTED_VALUE"""),566.0)</f>
        <v>566</v>
      </c>
      <c r="K567" s="20" t="b">
        <f>IFERROR(__xludf.DUMMYFUNCTION("""COMPUTED_VALUE"""),FALSE)</f>
        <v>0</v>
      </c>
      <c r="L567" s="20" t="str">
        <f>IFERROR(__xludf.DUMMYFUNCTION("""COMPUTED_VALUE"""),"Array;Matrix;Simulation;")</f>
        <v>Array;Matrix;Simulation;</v>
      </c>
      <c r="M567" s="20" t="b">
        <f>IFERROR(__xludf.DUMMYFUNCTION("""COMPUTED_VALUE"""),TRUE)</f>
        <v>1</v>
      </c>
      <c r="N567" s="20" t="b">
        <f>IFERROR(__xludf.DUMMYFUNCTION("""COMPUTED_VALUE"""),FALSE)</f>
        <v>0</v>
      </c>
      <c r="O567" s="20">
        <f>IFERROR(__xludf.DUMMYFUNCTION("""COMPUTED_VALUE"""),62.7162243746226)</f>
        <v>62.71622437</v>
      </c>
      <c r="P567" s="20">
        <f>IFERROR(__xludf.DUMMYFUNCTION("""COMPUTED_VALUE"""),310607.0)</f>
        <v>310607</v>
      </c>
      <c r="Q567" s="20">
        <f>IFERROR(__xludf.DUMMYFUNCTION("""COMPUTED_VALUE"""),495256.0)</f>
        <v>495256</v>
      </c>
    </row>
    <row r="568">
      <c r="A568" s="20">
        <f>IFERROR(__xludf.DUMMYFUNCTION("""COMPUTED_VALUE"""),567.0)</f>
        <v>567</v>
      </c>
      <c r="B568" s="20" t="str">
        <f>IFERROR(__xludf.DUMMYFUNCTION("""COMPUTED_VALUE"""),"Permutation in String")</f>
        <v>Permutation in String</v>
      </c>
      <c r="C568" s="20" t="str">
        <f>IFERROR(__xludf.DUMMYFUNCTION("""COMPUTED_VALUE"""),"permutation-in-string")</f>
        <v>permutation-in-string</v>
      </c>
      <c r="D568" s="20" t="b">
        <f>IFERROR(__xludf.DUMMYFUNCTION("""COMPUTED_VALUE"""),FALSE)</f>
        <v>0</v>
      </c>
      <c r="E568" s="20" t="str">
        <f>IFERROR(__xludf.DUMMYFUNCTION("""COMPUTED_VALUE"""),"Medium")</f>
        <v>Medium</v>
      </c>
      <c r="F568" s="20">
        <f>IFERROR(__xludf.DUMMYFUNCTION("""COMPUTED_VALUE"""),7773.0)</f>
        <v>7773</v>
      </c>
      <c r="G568" s="20">
        <f>IFERROR(__xludf.DUMMYFUNCTION("""COMPUTED_VALUE"""),258.0)</f>
        <v>258</v>
      </c>
      <c r="H568" s="20" t="str">
        <f>IFERROR(__xludf.DUMMYFUNCTION("""COMPUTED_VALUE"""),"Algorithms")</f>
        <v>Algorithms</v>
      </c>
      <c r="I568" s="20">
        <f>IFERROR(__xludf.DUMMYFUNCTION("""COMPUTED_VALUE"""),0.436)</f>
        <v>0.436</v>
      </c>
      <c r="J568" s="20">
        <f>IFERROR(__xludf.DUMMYFUNCTION("""COMPUTED_VALUE"""),567.0)</f>
        <v>567</v>
      </c>
      <c r="K568" s="20" t="b">
        <f>IFERROR(__xludf.DUMMYFUNCTION("""COMPUTED_VALUE"""),FALSE)</f>
        <v>0</v>
      </c>
      <c r="L568" s="20" t="str">
        <f>IFERROR(__xludf.DUMMYFUNCTION("""COMPUTED_VALUE"""),"Hash Table;Two Pointers;String;Sliding Window;")</f>
        <v>Hash Table;Two Pointers;String;Sliding Window;</v>
      </c>
      <c r="M568" s="20" t="b">
        <f>IFERROR(__xludf.DUMMYFUNCTION("""COMPUTED_VALUE"""),TRUE)</f>
        <v>1</v>
      </c>
      <c r="N568" s="20" t="b">
        <f>IFERROR(__xludf.DUMMYFUNCTION("""COMPUTED_VALUE"""),FALSE)</f>
        <v>0</v>
      </c>
      <c r="O568" s="20">
        <f>IFERROR(__xludf.DUMMYFUNCTION("""COMPUTED_VALUE"""),43.5855776262032)</f>
        <v>43.58557763</v>
      </c>
      <c r="P568" s="20">
        <f>IFERROR(__xludf.DUMMYFUNCTION("""COMPUTED_VALUE"""),523909.0)</f>
        <v>523909</v>
      </c>
      <c r="Q568" s="20">
        <f>IFERROR(__xludf.DUMMYFUNCTION("""COMPUTED_VALUE"""),1202028.0)</f>
        <v>1202028</v>
      </c>
    </row>
    <row r="569">
      <c r="A569" s="20">
        <f>IFERROR(__xludf.DUMMYFUNCTION("""COMPUTED_VALUE"""),568.0)</f>
        <v>568</v>
      </c>
      <c r="B569" s="20" t="str">
        <f>IFERROR(__xludf.DUMMYFUNCTION("""COMPUTED_VALUE"""),"Maximum Vacation Days")</f>
        <v>Maximum Vacation Days</v>
      </c>
      <c r="C569" s="20" t="str">
        <f>IFERROR(__xludf.DUMMYFUNCTION("""COMPUTED_VALUE"""),"maximum-vacation-days")</f>
        <v>maximum-vacation-days</v>
      </c>
      <c r="D569" s="20" t="b">
        <f>IFERROR(__xludf.DUMMYFUNCTION("""COMPUTED_VALUE"""),TRUE)</f>
        <v>1</v>
      </c>
      <c r="E569" s="20" t="str">
        <f>IFERROR(__xludf.DUMMYFUNCTION("""COMPUTED_VALUE"""),"Hard")</f>
        <v>Hard</v>
      </c>
      <c r="F569" s="20">
        <f>IFERROR(__xludf.DUMMYFUNCTION("""COMPUTED_VALUE"""),532.0)</f>
        <v>532</v>
      </c>
      <c r="G569" s="20">
        <f>IFERROR(__xludf.DUMMYFUNCTION("""COMPUTED_VALUE"""),100.0)</f>
        <v>100</v>
      </c>
      <c r="H569" s="20" t="str">
        <f>IFERROR(__xludf.DUMMYFUNCTION("""COMPUTED_VALUE"""),"Algorithms")</f>
        <v>Algorithms</v>
      </c>
      <c r="I569" s="20">
        <f>IFERROR(__xludf.DUMMYFUNCTION("""COMPUTED_VALUE"""),0.449)</f>
        <v>0.449</v>
      </c>
      <c r="J569" s="20">
        <f>IFERROR(__xludf.DUMMYFUNCTION("""COMPUTED_VALUE"""),568.0)</f>
        <v>568</v>
      </c>
      <c r="K569" s="20" t="b">
        <f>IFERROR(__xludf.DUMMYFUNCTION("""COMPUTED_VALUE"""),TRUE)</f>
        <v>1</v>
      </c>
      <c r="L569" s="20" t="str">
        <f>IFERROR(__xludf.DUMMYFUNCTION("""COMPUTED_VALUE"""),"Array;Dynamic Programming;Matrix;")</f>
        <v>Array;Dynamic Programming;Matrix;</v>
      </c>
      <c r="M569" s="20" t="b">
        <f>IFERROR(__xludf.DUMMYFUNCTION("""COMPUTED_VALUE"""),TRUE)</f>
        <v>1</v>
      </c>
      <c r="N569" s="20" t="b">
        <f>IFERROR(__xludf.DUMMYFUNCTION("""COMPUTED_VALUE"""),FALSE)</f>
        <v>0</v>
      </c>
      <c r="O569" s="20">
        <f>IFERROR(__xludf.DUMMYFUNCTION("""COMPUTED_VALUE"""),44.8910989052807)</f>
        <v>44.89109891</v>
      </c>
      <c r="P569" s="20">
        <f>IFERROR(__xludf.DUMMYFUNCTION("""COMPUTED_VALUE"""),35389.0)</f>
        <v>35389</v>
      </c>
      <c r="Q569" s="20">
        <f>IFERROR(__xludf.DUMMYFUNCTION("""COMPUTED_VALUE"""),78833.0)</f>
        <v>78833</v>
      </c>
    </row>
    <row r="570">
      <c r="A570" s="20">
        <f>IFERROR(__xludf.DUMMYFUNCTION("""COMPUTED_VALUE"""),569.0)</f>
        <v>569</v>
      </c>
      <c r="B570" s="20" t="str">
        <f>IFERROR(__xludf.DUMMYFUNCTION("""COMPUTED_VALUE"""),"Median Employee Salary")</f>
        <v>Median Employee Salary</v>
      </c>
      <c r="C570" s="20" t="str">
        <f>IFERROR(__xludf.DUMMYFUNCTION("""COMPUTED_VALUE"""),"median-employee-salary")</f>
        <v>median-employee-salary</v>
      </c>
      <c r="D570" s="20" t="b">
        <f>IFERROR(__xludf.DUMMYFUNCTION("""COMPUTED_VALUE"""),TRUE)</f>
        <v>1</v>
      </c>
      <c r="E570" s="20" t="str">
        <f>IFERROR(__xludf.DUMMYFUNCTION("""COMPUTED_VALUE"""),"Hard")</f>
        <v>Hard</v>
      </c>
      <c r="F570" s="20">
        <f>IFERROR(__xludf.DUMMYFUNCTION("""COMPUTED_VALUE"""),279.0)</f>
        <v>279</v>
      </c>
      <c r="G570" s="20">
        <f>IFERROR(__xludf.DUMMYFUNCTION("""COMPUTED_VALUE"""),143.0)</f>
        <v>143</v>
      </c>
      <c r="H570" s="20" t="str">
        <f>IFERROR(__xludf.DUMMYFUNCTION("""COMPUTED_VALUE"""),"Database")</f>
        <v>Database</v>
      </c>
      <c r="I570" s="20">
        <f>IFERROR(__xludf.DUMMYFUNCTION("""COMPUTED_VALUE"""),0.68)</f>
        <v>0.68</v>
      </c>
      <c r="J570" s="20">
        <f>IFERROR(__xludf.DUMMYFUNCTION("""COMPUTED_VALUE"""),569.0)</f>
        <v>569</v>
      </c>
      <c r="K570" s="20" t="b">
        <f>IFERROR(__xludf.DUMMYFUNCTION("""COMPUTED_VALUE"""),TRUE)</f>
        <v>1</v>
      </c>
      <c r="L570" s="20" t="str">
        <f>IFERROR(__xludf.DUMMYFUNCTION("""COMPUTED_VALUE"""),"Database;")</f>
        <v>Database;</v>
      </c>
      <c r="M570" s="20" t="b">
        <f>IFERROR(__xludf.DUMMYFUNCTION("""COMPUTED_VALUE"""),FALSE)</f>
        <v>0</v>
      </c>
      <c r="N570" s="20" t="b">
        <f>IFERROR(__xludf.DUMMYFUNCTION("""COMPUTED_VALUE"""),FALSE)</f>
        <v>0</v>
      </c>
      <c r="O570" s="20">
        <f>IFERROR(__xludf.DUMMYFUNCTION("""COMPUTED_VALUE"""),68.0044267190077)</f>
        <v>68.00442672</v>
      </c>
      <c r="P570" s="20">
        <f>IFERROR(__xludf.DUMMYFUNCTION("""COMPUTED_VALUE"""),32568.0)</f>
        <v>32568</v>
      </c>
      <c r="Q570" s="20">
        <f>IFERROR(__xludf.DUMMYFUNCTION("""COMPUTED_VALUE"""),47891.0)</f>
        <v>47891</v>
      </c>
    </row>
    <row r="571">
      <c r="A571" s="20">
        <f>IFERROR(__xludf.DUMMYFUNCTION("""COMPUTED_VALUE"""),570.0)</f>
        <v>570</v>
      </c>
      <c r="B571" s="20" t="str">
        <f>IFERROR(__xludf.DUMMYFUNCTION("""COMPUTED_VALUE"""),"Managers with at Least 5 Direct Reports")</f>
        <v>Managers with at Least 5 Direct Reports</v>
      </c>
      <c r="C571" s="20" t="str">
        <f>IFERROR(__xludf.DUMMYFUNCTION("""COMPUTED_VALUE"""),"managers-with-at-least-5-direct-reports")</f>
        <v>managers-with-at-least-5-direct-reports</v>
      </c>
      <c r="D571" s="20" t="b">
        <f>IFERROR(__xludf.DUMMYFUNCTION("""COMPUTED_VALUE"""),TRUE)</f>
        <v>1</v>
      </c>
      <c r="E571" s="20" t="str">
        <f>IFERROR(__xludf.DUMMYFUNCTION("""COMPUTED_VALUE"""),"Medium")</f>
        <v>Medium</v>
      </c>
      <c r="F571" s="20">
        <f>IFERROR(__xludf.DUMMYFUNCTION("""COMPUTED_VALUE"""),277.0)</f>
        <v>277</v>
      </c>
      <c r="G571" s="20">
        <f>IFERROR(__xludf.DUMMYFUNCTION("""COMPUTED_VALUE"""),39.0)</f>
        <v>39</v>
      </c>
      <c r="H571" s="20" t="str">
        <f>IFERROR(__xludf.DUMMYFUNCTION("""COMPUTED_VALUE"""),"Database")</f>
        <v>Database</v>
      </c>
      <c r="I571" s="20">
        <f>IFERROR(__xludf.DUMMYFUNCTION("""COMPUTED_VALUE"""),0.67)</f>
        <v>0.67</v>
      </c>
      <c r="J571" s="20">
        <f>IFERROR(__xludf.DUMMYFUNCTION("""COMPUTED_VALUE"""),570.0)</f>
        <v>570</v>
      </c>
      <c r="K571" s="20" t="b">
        <f>IFERROR(__xludf.DUMMYFUNCTION("""COMPUTED_VALUE"""),TRUE)</f>
        <v>1</v>
      </c>
      <c r="L571" s="20" t="str">
        <f>IFERROR(__xludf.DUMMYFUNCTION("""COMPUTED_VALUE"""),"Database;")</f>
        <v>Database;</v>
      </c>
      <c r="M571" s="20" t="b">
        <f>IFERROR(__xludf.DUMMYFUNCTION("""COMPUTED_VALUE"""),TRUE)</f>
        <v>1</v>
      </c>
      <c r="N571" s="20" t="b">
        <f>IFERROR(__xludf.DUMMYFUNCTION("""COMPUTED_VALUE"""),FALSE)</f>
        <v>0</v>
      </c>
      <c r="O571" s="20">
        <f>IFERROR(__xludf.DUMMYFUNCTION("""COMPUTED_VALUE"""),67.0412980703121)</f>
        <v>67.04129807</v>
      </c>
      <c r="P571" s="20">
        <f>IFERROR(__xludf.DUMMYFUNCTION("""COMPUTED_VALUE"""),73132.0)</f>
        <v>73132</v>
      </c>
      <c r="Q571" s="20">
        <f>IFERROR(__xludf.DUMMYFUNCTION("""COMPUTED_VALUE"""),109085.0)</f>
        <v>109085</v>
      </c>
    </row>
    <row r="572">
      <c r="A572" s="20">
        <f>IFERROR(__xludf.DUMMYFUNCTION("""COMPUTED_VALUE"""),571.0)</f>
        <v>571</v>
      </c>
      <c r="B572" s="20" t="str">
        <f>IFERROR(__xludf.DUMMYFUNCTION("""COMPUTED_VALUE"""),"Find Median Given Frequency of Numbers")</f>
        <v>Find Median Given Frequency of Numbers</v>
      </c>
      <c r="C572" s="20" t="str">
        <f>IFERROR(__xludf.DUMMYFUNCTION("""COMPUTED_VALUE"""),"find-median-given-frequency-of-numbers")</f>
        <v>find-median-given-frequency-of-numbers</v>
      </c>
      <c r="D572" s="20" t="b">
        <f>IFERROR(__xludf.DUMMYFUNCTION("""COMPUTED_VALUE"""),TRUE)</f>
        <v>1</v>
      </c>
      <c r="E572" s="20" t="str">
        <f>IFERROR(__xludf.DUMMYFUNCTION("""COMPUTED_VALUE"""),"Hard")</f>
        <v>Hard</v>
      </c>
      <c r="F572" s="20">
        <f>IFERROR(__xludf.DUMMYFUNCTION("""COMPUTED_VALUE"""),263.0)</f>
        <v>263</v>
      </c>
      <c r="G572" s="20">
        <f>IFERROR(__xludf.DUMMYFUNCTION("""COMPUTED_VALUE"""),71.0)</f>
        <v>71</v>
      </c>
      <c r="H572" s="20" t="str">
        <f>IFERROR(__xludf.DUMMYFUNCTION("""COMPUTED_VALUE"""),"Database")</f>
        <v>Database</v>
      </c>
      <c r="I572" s="20">
        <f>IFERROR(__xludf.DUMMYFUNCTION("""COMPUTED_VALUE"""),0.445)</f>
        <v>0.445</v>
      </c>
      <c r="J572" s="20">
        <f>IFERROR(__xludf.DUMMYFUNCTION("""COMPUTED_VALUE"""),571.0)</f>
        <v>571</v>
      </c>
      <c r="K572" s="20" t="b">
        <f>IFERROR(__xludf.DUMMYFUNCTION("""COMPUTED_VALUE"""),TRUE)</f>
        <v>1</v>
      </c>
      <c r="L572" s="20" t="str">
        <f>IFERROR(__xludf.DUMMYFUNCTION("""COMPUTED_VALUE"""),"Database;")</f>
        <v>Database;</v>
      </c>
      <c r="M572" s="20" t="b">
        <f>IFERROR(__xludf.DUMMYFUNCTION("""COMPUTED_VALUE"""),FALSE)</f>
        <v>0</v>
      </c>
      <c r="N572" s="20" t="b">
        <f>IFERROR(__xludf.DUMMYFUNCTION("""COMPUTED_VALUE"""),FALSE)</f>
        <v>0</v>
      </c>
      <c r="O572" s="20">
        <f>IFERROR(__xludf.DUMMYFUNCTION("""COMPUTED_VALUE"""),44.4796893323336)</f>
        <v>44.47968933</v>
      </c>
      <c r="P572" s="20">
        <f>IFERROR(__xludf.DUMMYFUNCTION("""COMPUTED_VALUE"""),23137.0)</f>
        <v>23137</v>
      </c>
      <c r="Q572" s="20">
        <f>IFERROR(__xludf.DUMMYFUNCTION("""COMPUTED_VALUE"""),52017.0)</f>
        <v>52017</v>
      </c>
    </row>
    <row r="573">
      <c r="A573" s="20">
        <f>IFERROR(__xludf.DUMMYFUNCTION("""COMPUTED_VALUE"""),572.0)</f>
        <v>572</v>
      </c>
      <c r="B573" s="20" t="str">
        <f>IFERROR(__xludf.DUMMYFUNCTION("""COMPUTED_VALUE"""),"Subtree of Another Tree")</f>
        <v>Subtree of Another Tree</v>
      </c>
      <c r="C573" s="20" t="str">
        <f>IFERROR(__xludf.DUMMYFUNCTION("""COMPUTED_VALUE"""),"subtree-of-another-tree")</f>
        <v>subtree-of-another-tree</v>
      </c>
      <c r="D573" s="20" t="b">
        <f>IFERROR(__xludf.DUMMYFUNCTION("""COMPUTED_VALUE"""),FALSE)</f>
        <v>0</v>
      </c>
      <c r="E573" s="20" t="str">
        <f>IFERROR(__xludf.DUMMYFUNCTION("""COMPUTED_VALUE"""),"Easy")</f>
        <v>Easy</v>
      </c>
      <c r="F573" s="20">
        <f>IFERROR(__xludf.DUMMYFUNCTION("""COMPUTED_VALUE"""),6664.0)</f>
        <v>6664</v>
      </c>
      <c r="G573" s="20">
        <f>IFERROR(__xludf.DUMMYFUNCTION("""COMPUTED_VALUE"""),376.0)</f>
        <v>376</v>
      </c>
      <c r="H573" s="20" t="str">
        <f>IFERROR(__xludf.DUMMYFUNCTION("""COMPUTED_VALUE"""),"Algorithms")</f>
        <v>Algorithms</v>
      </c>
      <c r="I573" s="20">
        <f>IFERROR(__xludf.DUMMYFUNCTION("""COMPUTED_VALUE"""),0.461)</f>
        <v>0.461</v>
      </c>
      <c r="J573" s="20">
        <f>IFERROR(__xludf.DUMMYFUNCTION("""COMPUTED_VALUE"""),572.0)</f>
        <v>572</v>
      </c>
      <c r="K573" s="20" t="b">
        <f>IFERROR(__xludf.DUMMYFUNCTION("""COMPUTED_VALUE"""),FALSE)</f>
        <v>0</v>
      </c>
      <c r="L573" s="20" t="str">
        <f>IFERROR(__xludf.DUMMYFUNCTION("""COMPUTED_VALUE"""),"Tree;Depth-First Search;String Matching;Binary Tree;Hash Function;")</f>
        <v>Tree;Depth-First Search;String Matching;Binary Tree;Hash Function;</v>
      </c>
      <c r="M573" s="20" t="b">
        <f>IFERROR(__xludf.DUMMYFUNCTION("""COMPUTED_VALUE"""),TRUE)</f>
        <v>1</v>
      </c>
      <c r="N573" s="20" t="b">
        <f>IFERROR(__xludf.DUMMYFUNCTION("""COMPUTED_VALUE"""),FALSE)</f>
        <v>0</v>
      </c>
      <c r="O573" s="20">
        <f>IFERROR(__xludf.DUMMYFUNCTION("""COMPUTED_VALUE"""),46.0854553169456)</f>
        <v>46.08545532</v>
      </c>
      <c r="P573" s="20">
        <f>IFERROR(__xludf.DUMMYFUNCTION("""COMPUTED_VALUE"""),601690.0)</f>
        <v>601690</v>
      </c>
      <c r="Q573" s="20">
        <f>IFERROR(__xludf.DUMMYFUNCTION("""COMPUTED_VALUE"""),1305596.0)</f>
        <v>1305596</v>
      </c>
    </row>
    <row r="574">
      <c r="A574" s="20">
        <f>IFERROR(__xludf.DUMMYFUNCTION("""COMPUTED_VALUE"""),573.0)</f>
        <v>573</v>
      </c>
      <c r="B574" s="20" t="str">
        <f>IFERROR(__xludf.DUMMYFUNCTION("""COMPUTED_VALUE"""),"Squirrel Simulation")</f>
        <v>Squirrel Simulation</v>
      </c>
      <c r="C574" s="20" t="str">
        <f>IFERROR(__xludf.DUMMYFUNCTION("""COMPUTED_VALUE"""),"squirrel-simulation")</f>
        <v>squirrel-simulation</v>
      </c>
      <c r="D574" s="20" t="b">
        <f>IFERROR(__xludf.DUMMYFUNCTION("""COMPUTED_VALUE"""),TRUE)</f>
        <v>1</v>
      </c>
      <c r="E574" s="20" t="str">
        <f>IFERROR(__xludf.DUMMYFUNCTION("""COMPUTED_VALUE"""),"Medium")</f>
        <v>Medium</v>
      </c>
      <c r="F574" s="20">
        <f>IFERROR(__xludf.DUMMYFUNCTION("""COMPUTED_VALUE"""),320.0)</f>
        <v>320</v>
      </c>
      <c r="G574" s="20">
        <f>IFERROR(__xludf.DUMMYFUNCTION("""COMPUTED_VALUE"""),34.0)</f>
        <v>34</v>
      </c>
      <c r="H574" s="20" t="str">
        <f>IFERROR(__xludf.DUMMYFUNCTION("""COMPUTED_VALUE"""),"Algorithms")</f>
        <v>Algorithms</v>
      </c>
      <c r="I574" s="20">
        <f>IFERROR(__xludf.DUMMYFUNCTION("""COMPUTED_VALUE"""),0.55)</f>
        <v>0.55</v>
      </c>
      <c r="J574" s="20">
        <f>IFERROR(__xludf.DUMMYFUNCTION("""COMPUTED_VALUE"""),573.0)</f>
        <v>573</v>
      </c>
      <c r="K574" s="20" t="b">
        <f>IFERROR(__xludf.DUMMYFUNCTION("""COMPUTED_VALUE"""),TRUE)</f>
        <v>1</v>
      </c>
      <c r="L574" s="20" t="str">
        <f>IFERROR(__xludf.DUMMYFUNCTION("""COMPUTED_VALUE"""),"Array;Math;")</f>
        <v>Array;Math;</v>
      </c>
      <c r="M574" s="20" t="b">
        <f>IFERROR(__xludf.DUMMYFUNCTION("""COMPUTED_VALUE"""),TRUE)</f>
        <v>1</v>
      </c>
      <c r="N574" s="20" t="b">
        <f>IFERROR(__xludf.DUMMYFUNCTION("""COMPUTED_VALUE"""),FALSE)</f>
        <v>0</v>
      </c>
      <c r="O574" s="20">
        <f>IFERROR(__xludf.DUMMYFUNCTION("""COMPUTED_VALUE"""),55.0295306185887)</f>
        <v>55.02953062</v>
      </c>
      <c r="P574" s="20">
        <f>IFERROR(__xludf.DUMMYFUNCTION("""COMPUTED_VALUE"""),17703.0)</f>
        <v>17703</v>
      </c>
      <c r="Q574" s="20">
        <f>IFERROR(__xludf.DUMMYFUNCTION("""COMPUTED_VALUE"""),32170.0)</f>
        <v>32170</v>
      </c>
    </row>
    <row r="575">
      <c r="A575" s="20">
        <f>IFERROR(__xludf.DUMMYFUNCTION("""COMPUTED_VALUE"""),574.0)</f>
        <v>574</v>
      </c>
      <c r="B575" s="20" t="str">
        <f>IFERROR(__xludf.DUMMYFUNCTION("""COMPUTED_VALUE"""),"Winning Candidate")</f>
        <v>Winning Candidate</v>
      </c>
      <c r="C575" s="20" t="str">
        <f>IFERROR(__xludf.DUMMYFUNCTION("""COMPUTED_VALUE"""),"winning-candidate")</f>
        <v>winning-candidate</v>
      </c>
      <c r="D575" s="20" t="b">
        <f>IFERROR(__xludf.DUMMYFUNCTION("""COMPUTED_VALUE"""),TRUE)</f>
        <v>1</v>
      </c>
      <c r="E575" s="20" t="str">
        <f>IFERROR(__xludf.DUMMYFUNCTION("""COMPUTED_VALUE"""),"Medium")</f>
        <v>Medium</v>
      </c>
      <c r="F575" s="20">
        <f>IFERROR(__xludf.DUMMYFUNCTION("""COMPUTED_VALUE"""),146.0)</f>
        <v>146</v>
      </c>
      <c r="G575" s="20">
        <f>IFERROR(__xludf.DUMMYFUNCTION("""COMPUTED_VALUE"""),401.0)</f>
        <v>401</v>
      </c>
      <c r="H575" s="20" t="str">
        <f>IFERROR(__xludf.DUMMYFUNCTION("""COMPUTED_VALUE"""),"Database")</f>
        <v>Database</v>
      </c>
      <c r="I575" s="20">
        <f>IFERROR(__xludf.DUMMYFUNCTION("""COMPUTED_VALUE"""),0.6)</f>
        <v>0.6</v>
      </c>
      <c r="J575" s="20">
        <f>IFERROR(__xludf.DUMMYFUNCTION("""COMPUTED_VALUE"""),574.0)</f>
        <v>574</v>
      </c>
      <c r="K575" s="20" t="b">
        <f>IFERROR(__xludf.DUMMYFUNCTION("""COMPUTED_VALUE"""),TRUE)</f>
        <v>1</v>
      </c>
      <c r="L575" s="20" t="str">
        <f>IFERROR(__xludf.DUMMYFUNCTION("""COMPUTED_VALUE"""),"Database;")</f>
        <v>Database;</v>
      </c>
      <c r="M575" s="20" t="b">
        <f>IFERROR(__xludf.DUMMYFUNCTION("""COMPUTED_VALUE"""),TRUE)</f>
        <v>1</v>
      </c>
      <c r="N575" s="20" t="b">
        <f>IFERROR(__xludf.DUMMYFUNCTION("""COMPUTED_VALUE"""),FALSE)</f>
        <v>0</v>
      </c>
      <c r="O575" s="20">
        <f>IFERROR(__xludf.DUMMYFUNCTION("""COMPUTED_VALUE"""),59.9658619304743)</f>
        <v>59.96586193</v>
      </c>
      <c r="P575" s="20">
        <f>IFERROR(__xludf.DUMMYFUNCTION("""COMPUTED_VALUE"""),53751.0)</f>
        <v>53751</v>
      </c>
      <c r="Q575" s="20">
        <f>IFERROR(__xludf.DUMMYFUNCTION("""COMPUTED_VALUE"""),89636.0)</f>
        <v>89636</v>
      </c>
    </row>
    <row r="576">
      <c r="A576" s="20">
        <f>IFERROR(__xludf.DUMMYFUNCTION("""COMPUTED_VALUE"""),575.0)</f>
        <v>575</v>
      </c>
      <c r="B576" s="20" t="str">
        <f>IFERROR(__xludf.DUMMYFUNCTION("""COMPUTED_VALUE"""),"Distribute Candies")</f>
        <v>Distribute Candies</v>
      </c>
      <c r="C576" s="20" t="str">
        <f>IFERROR(__xludf.DUMMYFUNCTION("""COMPUTED_VALUE"""),"distribute-candies")</f>
        <v>distribute-candies</v>
      </c>
      <c r="D576" s="20" t="b">
        <f>IFERROR(__xludf.DUMMYFUNCTION("""COMPUTED_VALUE"""),FALSE)</f>
        <v>0</v>
      </c>
      <c r="E576" s="20" t="str">
        <f>IFERROR(__xludf.DUMMYFUNCTION("""COMPUTED_VALUE"""),"Easy")</f>
        <v>Easy</v>
      </c>
      <c r="F576" s="20">
        <f>IFERROR(__xludf.DUMMYFUNCTION("""COMPUTED_VALUE"""),1134.0)</f>
        <v>1134</v>
      </c>
      <c r="G576" s="20">
        <f>IFERROR(__xludf.DUMMYFUNCTION("""COMPUTED_VALUE"""),1227.0)</f>
        <v>1227</v>
      </c>
      <c r="H576" s="20" t="str">
        <f>IFERROR(__xludf.DUMMYFUNCTION("""COMPUTED_VALUE"""),"Algorithms")</f>
        <v>Algorithms</v>
      </c>
      <c r="I576" s="20">
        <f>IFERROR(__xludf.DUMMYFUNCTION("""COMPUTED_VALUE"""),0.662)</f>
        <v>0.662</v>
      </c>
      <c r="J576" s="20">
        <f>IFERROR(__xludf.DUMMYFUNCTION("""COMPUTED_VALUE"""),575.0)</f>
        <v>575</v>
      </c>
      <c r="K576" s="20" t="b">
        <f>IFERROR(__xludf.DUMMYFUNCTION("""COMPUTED_VALUE"""),FALSE)</f>
        <v>0</v>
      </c>
      <c r="L576" s="20" t="str">
        <f>IFERROR(__xludf.DUMMYFUNCTION("""COMPUTED_VALUE"""),"Array;Hash Table;")</f>
        <v>Array;Hash Table;</v>
      </c>
      <c r="M576" s="20" t="b">
        <f>IFERROR(__xludf.DUMMYFUNCTION("""COMPUTED_VALUE"""),TRUE)</f>
        <v>1</v>
      </c>
      <c r="N576" s="20" t="b">
        <f>IFERROR(__xludf.DUMMYFUNCTION("""COMPUTED_VALUE"""),FALSE)</f>
        <v>0</v>
      </c>
      <c r="O576" s="20">
        <f>IFERROR(__xludf.DUMMYFUNCTION("""COMPUTED_VALUE"""),66.2203699481356)</f>
        <v>66.22036995</v>
      </c>
      <c r="P576" s="20">
        <f>IFERROR(__xludf.DUMMYFUNCTION("""COMPUTED_VALUE"""),229438.0)</f>
        <v>229438</v>
      </c>
      <c r="Q576" s="20">
        <f>IFERROR(__xludf.DUMMYFUNCTION("""COMPUTED_VALUE"""),346478.0)</f>
        <v>346478</v>
      </c>
    </row>
    <row r="577">
      <c r="A577" s="20">
        <f>IFERROR(__xludf.DUMMYFUNCTION("""COMPUTED_VALUE"""),576.0)</f>
        <v>576</v>
      </c>
      <c r="B577" s="20" t="str">
        <f>IFERROR(__xludf.DUMMYFUNCTION("""COMPUTED_VALUE"""),"Out of Boundary Paths")</f>
        <v>Out of Boundary Paths</v>
      </c>
      <c r="C577" s="20" t="str">
        <f>IFERROR(__xludf.DUMMYFUNCTION("""COMPUTED_VALUE"""),"out-of-boundary-paths")</f>
        <v>out-of-boundary-paths</v>
      </c>
      <c r="D577" s="20" t="b">
        <f>IFERROR(__xludf.DUMMYFUNCTION("""COMPUTED_VALUE"""),FALSE)</f>
        <v>0</v>
      </c>
      <c r="E577" s="20" t="str">
        <f>IFERROR(__xludf.DUMMYFUNCTION("""COMPUTED_VALUE"""),"Medium")</f>
        <v>Medium</v>
      </c>
      <c r="F577" s="20">
        <f>IFERROR(__xludf.DUMMYFUNCTION("""COMPUTED_VALUE"""),2883.0)</f>
        <v>2883</v>
      </c>
      <c r="G577" s="20">
        <f>IFERROR(__xludf.DUMMYFUNCTION("""COMPUTED_VALUE"""),228.0)</f>
        <v>228</v>
      </c>
      <c r="H577" s="20" t="str">
        <f>IFERROR(__xludf.DUMMYFUNCTION("""COMPUTED_VALUE"""),"Algorithms")</f>
        <v>Algorithms</v>
      </c>
      <c r="I577" s="20">
        <f>IFERROR(__xludf.DUMMYFUNCTION("""COMPUTED_VALUE"""),0.443)</f>
        <v>0.443</v>
      </c>
      <c r="J577" s="20">
        <f>IFERROR(__xludf.DUMMYFUNCTION("""COMPUTED_VALUE"""),576.0)</f>
        <v>576</v>
      </c>
      <c r="K577" s="20" t="b">
        <f>IFERROR(__xludf.DUMMYFUNCTION("""COMPUTED_VALUE"""),FALSE)</f>
        <v>0</v>
      </c>
      <c r="L577" s="20" t="str">
        <f>IFERROR(__xludf.DUMMYFUNCTION("""COMPUTED_VALUE"""),"Dynamic Programming;")</f>
        <v>Dynamic Programming;</v>
      </c>
      <c r="M577" s="20" t="b">
        <f>IFERROR(__xludf.DUMMYFUNCTION("""COMPUTED_VALUE"""),TRUE)</f>
        <v>1</v>
      </c>
      <c r="N577" s="20" t="b">
        <f>IFERROR(__xludf.DUMMYFUNCTION("""COMPUTED_VALUE"""),FALSE)</f>
        <v>0</v>
      </c>
      <c r="O577" s="20">
        <f>IFERROR(__xludf.DUMMYFUNCTION("""COMPUTED_VALUE"""),44.3011012760446)</f>
        <v>44.30110128</v>
      </c>
      <c r="P577" s="20">
        <f>IFERROR(__xludf.DUMMYFUNCTION("""COMPUTED_VALUE"""),113561.0)</f>
        <v>113561</v>
      </c>
      <c r="Q577" s="20">
        <f>IFERROR(__xludf.DUMMYFUNCTION("""COMPUTED_VALUE"""),256339.0)</f>
        <v>256339</v>
      </c>
    </row>
    <row r="578">
      <c r="A578" s="20">
        <f>IFERROR(__xludf.DUMMYFUNCTION("""COMPUTED_VALUE"""),577.0)</f>
        <v>577</v>
      </c>
      <c r="B578" s="20" t="str">
        <f>IFERROR(__xludf.DUMMYFUNCTION("""COMPUTED_VALUE"""),"Employee Bonus")</f>
        <v>Employee Bonus</v>
      </c>
      <c r="C578" s="20" t="str">
        <f>IFERROR(__xludf.DUMMYFUNCTION("""COMPUTED_VALUE"""),"employee-bonus")</f>
        <v>employee-bonus</v>
      </c>
      <c r="D578" s="20" t="b">
        <f>IFERROR(__xludf.DUMMYFUNCTION("""COMPUTED_VALUE"""),TRUE)</f>
        <v>1</v>
      </c>
      <c r="E578" s="20" t="str">
        <f>IFERROR(__xludf.DUMMYFUNCTION("""COMPUTED_VALUE"""),"Easy")</f>
        <v>Easy</v>
      </c>
      <c r="F578" s="20">
        <f>IFERROR(__xludf.DUMMYFUNCTION("""COMPUTED_VALUE"""),176.0)</f>
        <v>176</v>
      </c>
      <c r="G578" s="20">
        <f>IFERROR(__xludf.DUMMYFUNCTION("""COMPUTED_VALUE"""),101.0)</f>
        <v>101</v>
      </c>
      <c r="H578" s="20" t="str">
        <f>IFERROR(__xludf.DUMMYFUNCTION("""COMPUTED_VALUE"""),"Database")</f>
        <v>Database</v>
      </c>
      <c r="I578" s="20">
        <f>IFERROR(__xludf.DUMMYFUNCTION("""COMPUTED_VALUE"""),0.752)</f>
        <v>0.752</v>
      </c>
      <c r="J578" s="20">
        <f>IFERROR(__xludf.DUMMYFUNCTION("""COMPUTED_VALUE"""),577.0)</f>
        <v>577</v>
      </c>
      <c r="K578" s="20" t="b">
        <f>IFERROR(__xludf.DUMMYFUNCTION("""COMPUTED_VALUE"""),TRUE)</f>
        <v>1</v>
      </c>
      <c r="L578" s="20" t="str">
        <f>IFERROR(__xludf.DUMMYFUNCTION("""COMPUTED_VALUE"""),"Database;")</f>
        <v>Database;</v>
      </c>
      <c r="M578" s="20" t="b">
        <f>IFERROR(__xludf.DUMMYFUNCTION("""COMPUTED_VALUE"""),TRUE)</f>
        <v>1</v>
      </c>
      <c r="N578" s="20" t="b">
        <f>IFERROR(__xludf.DUMMYFUNCTION("""COMPUTED_VALUE"""),FALSE)</f>
        <v>0</v>
      </c>
      <c r="O578" s="20">
        <f>IFERROR(__xludf.DUMMYFUNCTION("""COMPUTED_VALUE"""),75.2412994319122)</f>
        <v>75.24129943</v>
      </c>
      <c r="P578" s="20">
        <f>IFERROR(__xludf.DUMMYFUNCTION("""COMPUTED_VALUE"""),68210.0)</f>
        <v>68210</v>
      </c>
      <c r="Q578" s="20">
        <f>IFERROR(__xludf.DUMMYFUNCTION("""COMPUTED_VALUE"""),90655.0)</f>
        <v>90655</v>
      </c>
    </row>
    <row r="579">
      <c r="A579" s="20">
        <f>IFERROR(__xludf.DUMMYFUNCTION("""COMPUTED_VALUE"""),578.0)</f>
        <v>578</v>
      </c>
      <c r="B579" s="20" t="str">
        <f>IFERROR(__xludf.DUMMYFUNCTION("""COMPUTED_VALUE"""),"Get Highest Answer Rate Question")</f>
        <v>Get Highest Answer Rate Question</v>
      </c>
      <c r="C579" s="20" t="str">
        <f>IFERROR(__xludf.DUMMYFUNCTION("""COMPUTED_VALUE"""),"get-highest-answer-rate-question")</f>
        <v>get-highest-answer-rate-question</v>
      </c>
      <c r="D579" s="20" t="b">
        <f>IFERROR(__xludf.DUMMYFUNCTION("""COMPUTED_VALUE"""),TRUE)</f>
        <v>1</v>
      </c>
      <c r="E579" s="20" t="str">
        <f>IFERROR(__xludf.DUMMYFUNCTION("""COMPUTED_VALUE"""),"Medium")</f>
        <v>Medium</v>
      </c>
      <c r="F579" s="20">
        <f>IFERROR(__xludf.DUMMYFUNCTION("""COMPUTED_VALUE"""),100.0)</f>
        <v>100</v>
      </c>
      <c r="G579" s="20">
        <f>IFERROR(__xludf.DUMMYFUNCTION("""COMPUTED_VALUE"""),874.0)</f>
        <v>874</v>
      </c>
      <c r="H579" s="20" t="str">
        <f>IFERROR(__xludf.DUMMYFUNCTION("""COMPUTED_VALUE"""),"Database")</f>
        <v>Database</v>
      </c>
      <c r="I579" s="20">
        <f>IFERROR(__xludf.DUMMYFUNCTION("""COMPUTED_VALUE"""),0.413)</f>
        <v>0.413</v>
      </c>
      <c r="J579" s="20">
        <f>IFERROR(__xludf.DUMMYFUNCTION("""COMPUTED_VALUE"""),578.0)</f>
        <v>578</v>
      </c>
      <c r="K579" s="20" t="b">
        <f>IFERROR(__xludf.DUMMYFUNCTION("""COMPUTED_VALUE"""),TRUE)</f>
        <v>1</v>
      </c>
      <c r="L579" s="20" t="str">
        <f>IFERROR(__xludf.DUMMYFUNCTION("""COMPUTED_VALUE"""),"Database;")</f>
        <v>Database;</v>
      </c>
      <c r="M579" s="20" t="b">
        <f>IFERROR(__xludf.DUMMYFUNCTION("""COMPUTED_VALUE"""),FALSE)</f>
        <v>0</v>
      </c>
      <c r="N579" s="20" t="b">
        <f>IFERROR(__xludf.DUMMYFUNCTION("""COMPUTED_VALUE"""),FALSE)</f>
        <v>0</v>
      </c>
      <c r="O579" s="20">
        <f>IFERROR(__xludf.DUMMYFUNCTION("""COMPUTED_VALUE"""),41.345394500682)</f>
        <v>41.3453945</v>
      </c>
      <c r="P579" s="20">
        <f>IFERROR(__xludf.DUMMYFUNCTION("""COMPUTED_VALUE"""),46072.0)</f>
        <v>46072</v>
      </c>
      <c r="Q579" s="20">
        <f>IFERROR(__xludf.DUMMYFUNCTION("""COMPUTED_VALUE"""),111432.0)</f>
        <v>111432</v>
      </c>
    </row>
    <row r="580">
      <c r="A580" s="20">
        <f>IFERROR(__xludf.DUMMYFUNCTION("""COMPUTED_VALUE"""),579.0)</f>
        <v>579</v>
      </c>
      <c r="B580" s="20" t="str">
        <f>IFERROR(__xludf.DUMMYFUNCTION("""COMPUTED_VALUE"""),"Find Cumulative Salary of an Employee")</f>
        <v>Find Cumulative Salary of an Employee</v>
      </c>
      <c r="C580" s="20" t="str">
        <f>IFERROR(__xludf.DUMMYFUNCTION("""COMPUTED_VALUE"""),"find-cumulative-salary-of-an-employee")</f>
        <v>find-cumulative-salary-of-an-employee</v>
      </c>
      <c r="D580" s="20" t="b">
        <f>IFERROR(__xludf.DUMMYFUNCTION("""COMPUTED_VALUE"""),TRUE)</f>
        <v>1</v>
      </c>
      <c r="E580" s="20" t="str">
        <f>IFERROR(__xludf.DUMMYFUNCTION("""COMPUTED_VALUE"""),"Hard")</f>
        <v>Hard</v>
      </c>
      <c r="F580" s="20">
        <f>IFERROR(__xludf.DUMMYFUNCTION("""COMPUTED_VALUE"""),192.0)</f>
        <v>192</v>
      </c>
      <c r="G580" s="20">
        <f>IFERROR(__xludf.DUMMYFUNCTION("""COMPUTED_VALUE"""),389.0)</f>
        <v>389</v>
      </c>
      <c r="H580" s="20" t="str">
        <f>IFERROR(__xludf.DUMMYFUNCTION("""COMPUTED_VALUE"""),"Database")</f>
        <v>Database</v>
      </c>
      <c r="I580" s="20">
        <f>IFERROR(__xludf.DUMMYFUNCTION("""COMPUTED_VALUE"""),0.453)</f>
        <v>0.453</v>
      </c>
      <c r="J580" s="20">
        <f>IFERROR(__xludf.DUMMYFUNCTION("""COMPUTED_VALUE"""),579.0)</f>
        <v>579</v>
      </c>
      <c r="K580" s="20" t="b">
        <f>IFERROR(__xludf.DUMMYFUNCTION("""COMPUTED_VALUE"""),TRUE)</f>
        <v>1</v>
      </c>
      <c r="L580" s="20" t="str">
        <f>IFERROR(__xludf.DUMMYFUNCTION("""COMPUTED_VALUE"""),"Database;")</f>
        <v>Database;</v>
      </c>
      <c r="M580" s="20" t="b">
        <f>IFERROR(__xludf.DUMMYFUNCTION("""COMPUTED_VALUE"""),TRUE)</f>
        <v>1</v>
      </c>
      <c r="N580" s="20" t="b">
        <f>IFERROR(__xludf.DUMMYFUNCTION("""COMPUTED_VALUE"""),FALSE)</f>
        <v>0</v>
      </c>
      <c r="O580" s="20">
        <f>IFERROR(__xludf.DUMMYFUNCTION("""COMPUTED_VALUE"""),45.3271966268707)</f>
        <v>45.32719663</v>
      </c>
      <c r="P580" s="20">
        <f>IFERROR(__xludf.DUMMYFUNCTION("""COMPUTED_VALUE"""),29348.0)</f>
        <v>29348</v>
      </c>
      <c r="Q580" s="20">
        <f>IFERROR(__xludf.DUMMYFUNCTION("""COMPUTED_VALUE"""),64747.0)</f>
        <v>64747</v>
      </c>
    </row>
    <row r="581">
      <c r="A581" s="20">
        <f>IFERROR(__xludf.DUMMYFUNCTION("""COMPUTED_VALUE"""),580.0)</f>
        <v>580</v>
      </c>
      <c r="B581" s="20" t="str">
        <f>IFERROR(__xludf.DUMMYFUNCTION("""COMPUTED_VALUE"""),"Count Student Number in Departments")</f>
        <v>Count Student Number in Departments</v>
      </c>
      <c r="C581" s="20" t="str">
        <f>IFERROR(__xludf.DUMMYFUNCTION("""COMPUTED_VALUE"""),"count-student-number-in-departments")</f>
        <v>count-student-number-in-departments</v>
      </c>
      <c r="D581" s="20" t="b">
        <f>IFERROR(__xludf.DUMMYFUNCTION("""COMPUTED_VALUE"""),TRUE)</f>
        <v>1</v>
      </c>
      <c r="E581" s="20" t="str">
        <f>IFERROR(__xludf.DUMMYFUNCTION("""COMPUTED_VALUE"""),"Medium")</f>
        <v>Medium</v>
      </c>
      <c r="F581" s="20">
        <f>IFERROR(__xludf.DUMMYFUNCTION("""COMPUTED_VALUE"""),218.0)</f>
        <v>218</v>
      </c>
      <c r="G581" s="20">
        <f>IFERROR(__xludf.DUMMYFUNCTION("""COMPUTED_VALUE"""),35.0)</f>
        <v>35</v>
      </c>
      <c r="H581" s="20" t="str">
        <f>IFERROR(__xludf.DUMMYFUNCTION("""COMPUTED_VALUE"""),"Database")</f>
        <v>Database</v>
      </c>
      <c r="I581" s="20">
        <f>IFERROR(__xludf.DUMMYFUNCTION("""COMPUTED_VALUE"""),0.585)</f>
        <v>0.585</v>
      </c>
      <c r="J581" s="20">
        <f>IFERROR(__xludf.DUMMYFUNCTION("""COMPUTED_VALUE"""),580.0)</f>
        <v>580</v>
      </c>
      <c r="K581" s="20" t="b">
        <f>IFERROR(__xludf.DUMMYFUNCTION("""COMPUTED_VALUE"""),TRUE)</f>
        <v>1</v>
      </c>
      <c r="L581" s="20" t="str">
        <f>IFERROR(__xludf.DUMMYFUNCTION("""COMPUTED_VALUE"""),"Database;")</f>
        <v>Database;</v>
      </c>
      <c r="M581" s="20" t="b">
        <f>IFERROR(__xludf.DUMMYFUNCTION("""COMPUTED_VALUE"""),TRUE)</f>
        <v>1</v>
      </c>
      <c r="N581" s="20" t="b">
        <f>IFERROR(__xludf.DUMMYFUNCTION("""COMPUTED_VALUE"""),FALSE)</f>
        <v>0</v>
      </c>
      <c r="O581" s="20">
        <f>IFERROR(__xludf.DUMMYFUNCTION("""COMPUTED_VALUE"""),58.5010023405438)</f>
        <v>58.50100234</v>
      </c>
      <c r="P581" s="20">
        <f>IFERROR(__xludf.DUMMYFUNCTION("""COMPUTED_VALUE"""),55738.0)</f>
        <v>55738</v>
      </c>
      <c r="Q581" s="20">
        <f>IFERROR(__xludf.DUMMYFUNCTION("""COMPUTED_VALUE"""),95277.0)</f>
        <v>95277</v>
      </c>
    </row>
    <row r="582">
      <c r="A582" s="20">
        <f>IFERROR(__xludf.DUMMYFUNCTION("""COMPUTED_VALUE"""),581.0)</f>
        <v>581</v>
      </c>
      <c r="B582" s="20" t="str">
        <f>IFERROR(__xludf.DUMMYFUNCTION("""COMPUTED_VALUE"""),"Shortest Unsorted Continuous Subarray")</f>
        <v>Shortest Unsorted Continuous Subarray</v>
      </c>
      <c r="C582" s="20" t="str">
        <f>IFERROR(__xludf.DUMMYFUNCTION("""COMPUTED_VALUE"""),"shortest-unsorted-continuous-subarray")</f>
        <v>shortest-unsorted-continuous-subarray</v>
      </c>
      <c r="D582" s="20" t="b">
        <f>IFERROR(__xludf.DUMMYFUNCTION("""COMPUTED_VALUE"""),FALSE)</f>
        <v>0</v>
      </c>
      <c r="E582" s="20" t="str">
        <f>IFERROR(__xludf.DUMMYFUNCTION("""COMPUTED_VALUE"""),"Medium")</f>
        <v>Medium</v>
      </c>
      <c r="F582" s="20">
        <f>IFERROR(__xludf.DUMMYFUNCTION("""COMPUTED_VALUE"""),7042.0)</f>
        <v>7042</v>
      </c>
      <c r="G582" s="20">
        <f>IFERROR(__xludf.DUMMYFUNCTION("""COMPUTED_VALUE"""),245.0)</f>
        <v>245</v>
      </c>
      <c r="H582" s="20" t="str">
        <f>IFERROR(__xludf.DUMMYFUNCTION("""COMPUTED_VALUE"""),"Algorithms")</f>
        <v>Algorithms</v>
      </c>
      <c r="I582" s="20">
        <f>IFERROR(__xludf.DUMMYFUNCTION("""COMPUTED_VALUE"""),0.363)</f>
        <v>0.363</v>
      </c>
      <c r="J582" s="20">
        <f>IFERROR(__xludf.DUMMYFUNCTION("""COMPUTED_VALUE"""),581.0)</f>
        <v>581</v>
      </c>
      <c r="K582" s="20" t="b">
        <f>IFERROR(__xludf.DUMMYFUNCTION("""COMPUTED_VALUE"""),FALSE)</f>
        <v>0</v>
      </c>
      <c r="L582" s="20" t="str">
        <f>IFERROR(__xludf.DUMMYFUNCTION("""COMPUTED_VALUE"""),"Array;Two Pointers;Stack;Greedy;Sorting;Monotonic Stack;")</f>
        <v>Array;Two Pointers;Stack;Greedy;Sorting;Monotonic Stack;</v>
      </c>
      <c r="M582" s="20" t="b">
        <f>IFERROR(__xludf.DUMMYFUNCTION("""COMPUTED_VALUE"""),TRUE)</f>
        <v>1</v>
      </c>
      <c r="N582" s="20" t="b">
        <f>IFERROR(__xludf.DUMMYFUNCTION("""COMPUTED_VALUE"""),FALSE)</f>
        <v>0</v>
      </c>
      <c r="O582" s="20">
        <f>IFERROR(__xludf.DUMMYFUNCTION("""COMPUTED_VALUE"""),36.2854877436481)</f>
        <v>36.28548774</v>
      </c>
      <c r="P582" s="20">
        <f>IFERROR(__xludf.DUMMYFUNCTION("""COMPUTED_VALUE"""),291969.0)</f>
        <v>291969</v>
      </c>
      <c r="Q582" s="20">
        <f>IFERROR(__xludf.DUMMYFUNCTION("""COMPUTED_VALUE"""),804644.0)</f>
        <v>804644</v>
      </c>
    </row>
    <row r="583">
      <c r="A583" s="20">
        <f>IFERROR(__xludf.DUMMYFUNCTION("""COMPUTED_VALUE"""),582.0)</f>
        <v>582</v>
      </c>
      <c r="B583" s="20" t="str">
        <f>IFERROR(__xludf.DUMMYFUNCTION("""COMPUTED_VALUE"""),"Kill Process")</f>
        <v>Kill Process</v>
      </c>
      <c r="C583" s="20" t="str">
        <f>IFERROR(__xludf.DUMMYFUNCTION("""COMPUTED_VALUE"""),"kill-process")</f>
        <v>kill-process</v>
      </c>
      <c r="D583" s="20" t="b">
        <f>IFERROR(__xludf.DUMMYFUNCTION("""COMPUTED_VALUE"""),TRUE)</f>
        <v>1</v>
      </c>
      <c r="E583" s="20" t="str">
        <f>IFERROR(__xludf.DUMMYFUNCTION("""COMPUTED_VALUE"""),"Medium")</f>
        <v>Medium</v>
      </c>
      <c r="F583" s="20">
        <f>IFERROR(__xludf.DUMMYFUNCTION("""COMPUTED_VALUE"""),1023.0)</f>
        <v>1023</v>
      </c>
      <c r="G583" s="20">
        <f>IFERROR(__xludf.DUMMYFUNCTION("""COMPUTED_VALUE"""),19.0)</f>
        <v>19</v>
      </c>
      <c r="H583" s="20" t="str">
        <f>IFERROR(__xludf.DUMMYFUNCTION("""COMPUTED_VALUE"""),"Algorithms")</f>
        <v>Algorithms</v>
      </c>
      <c r="I583" s="20">
        <f>IFERROR(__xludf.DUMMYFUNCTION("""COMPUTED_VALUE"""),0.686)</f>
        <v>0.686</v>
      </c>
      <c r="J583" s="20">
        <f>IFERROR(__xludf.DUMMYFUNCTION("""COMPUTED_VALUE"""),582.0)</f>
        <v>582</v>
      </c>
      <c r="K583" s="20" t="b">
        <f>IFERROR(__xludf.DUMMYFUNCTION("""COMPUTED_VALUE"""),TRUE)</f>
        <v>1</v>
      </c>
      <c r="L583" s="20" t="str">
        <f>IFERROR(__xludf.DUMMYFUNCTION("""COMPUTED_VALUE"""),"Array;Hash Table;Tree;Depth-First Search;Breadth-First Search;")</f>
        <v>Array;Hash Table;Tree;Depth-First Search;Breadth-First Search;</v>
      </c>
      <c r="M583" s="20" t="b">
        <f>IFERROR(__xludf.DUMMYFUNCTION("""COMPUTED_VALUE"""),TRUE)</f>
        <v>1</v>
      </c>
      <c r="N583" s="20" t="b">
        <f>IFERROR(__xludf.DUMMYFUNCTION("""COMPUTED_VALUE"""),TRUE)</f>
        <v>1</v>
      </c>
      <c r="O583" s="20">
        <f>IFERROR(__xludf.DUMMYFUNCTION("""COMPUTED_VALUE"""),68.5637483533307)</f>
        <v>68.56374835</v>
      </c>
      <c r="P583" s="20">
        <f>IFERROR(__xludf.DUMMYFUNCTION("""COMPUTED_VALUE"""),77030.0)</f>
        <v>77030</v>
      </c>
      <c r="Q583" s="20">
        <f>IFERROR(__xludf.DUMMYFUNCTION("""COMPUTED_VALUE"""),112348.0)</f>
        <v>112348</v>
      </c>
    </row>
    <row r="584">
      <c r="A584" s="20">
        <f>IFERROR(__xludf.DUMMYFUNCTION("""COMPUTED_VALUE"""),583.0)</f>
        <v>583</v>
      </c>
      <c r="B584" s="20" t="str">
        <f>IFERROR(__xludf.DUMMYFUNCTION("""COMPUTED_VALUE"""),"Delete Operation for Two Strings")</f>
        <v>Delete Operation for Two Strings</v>
      </c>
      <c r="C584" s="20" t="str">
        <f>IFERROR(__xludf.DUMMYFUNCTION("""COMPUTED_VALUE"""),"delete-operation-for-two-strings")</f>
        <v>delete-operation-for-two-strings</v>
      </c>
      <c r="D584" s="20" t="b">
        <f>IFERROR(__xludf.DUMMYFUNCTION("""COMPUTED_VALUE"""),FALSE)</f>
        <v>0</v>
      </c>
      <c r="E584" s="20" t="str">
        <f>IFERROR(__xludf.DUMMYFUNCTION("""COMPUTED_VALUE"""),"Medium")</f>
        <v>Medium</v>
      </c>
      <c r="F584" s="20">
        <f>IFERROR(__xludf.DUMMYFUNCTION("""COMPUTED_VALUE"""),4735.0)</f>
        <v>4735</v>
      </c>
      <c r="G584" s="20">
        <f>IFERROR(__xludf.DUMMYFUNCTION("""COMPUTED_VALUE"""),71.0)</f>
        <v>71</v>
      </c>
      <c r="H584" s="20" t="str">
        <f>IFERROR(__xludf.DUMMYFUNCTION("""COMPUTED_VALUE"""),"Algorithms")</f>
        <v>Algorithms</v>
      </c>
      <c r="I584" s="20">
        <f>IFERROR(__xludf.DUMMYFUNCTION("""COMPUTED_VALUE"""),0.595)</f>
        <v>0.595</v>
      </c>
      <c r="J584" s="20">
        <f>IFERROR(__xludf.DUMMYFUNCTION("""COMPUTED_VALUE"""),583.0)</f>
        <v>583</v>
      </c>
      <c r="K584" s="20" t="b">
        <f>IFERROR(__xludf.DUMMYFUNCTION("""COMPUTED_VALUE"""),FALSE)</f>
        <v>0</v>
      </c>
      <c r="L584" s="20" t="str">
        <f>IFERROR(__xludf.DUMMYFUNCTION("""COMPUTED_VALUE"""),"String;Dynamic Programming;")</f>
        <v>String;Dynamic Programming;</v>
      </c>
      <c r="M584" s="20" t="b">
        <f>IFERROR(__xludf.DUMMYFUNCTION("""COMPUTED_VALUE"""),TRUE)</f>
        <v>1</v>
      </c>
      <c r="N584" s="20" t="b">
        <f>IFERROR(__xludf.DUMMYFUNCTION("""COMPUTED_VALUE"""),FALSE)</f>
        <v>0</v>
      </c>
      <c r="O584" s="20">
        <f>IFERROR(__xludf.DUMMYFUNCTION("""COMPUTED_VALUE"""),59.4973551512754)</f>
        <v>59.49735515</v>
      </c>
      <c r="P584" s="20">
        <f>IFERROR(__xludf.DUMMYFUNCTION("""COMPUTED_VALUE"""),192562.0)</f>
        <v>192562</v>
      </c>
      <c r="Q584" s="20">
        <f>IFERROR(__xludf.DUMMYFUNCTION("""COMPUTED_VALUE"""),323648.0)</f>
        <v>323648</v>
      </c>
    </row>
    <row r="585">
      <c r="A585" s="20">
        <f>IFERROR(__xludf.DUMMYFUNCTION("""COMPUTED_VALUE"""),584.0)</f>
        <v>584</v>
      </c>
      <c r="B585" s="20" t="str">
        <f>IFERROR(__xludf.DUMMYFUNCTION("""COMPUTED_VALUE"""),"Find Customer Referee")</f>
        <v>Find Customer Referee</v>
      </c>
      <c r="C585" s="20" t="str">
        <f>IFERROR(__xludf.DUMMYFUNCTION("""COMPUTED_VALUE"""),"find-customer-referee")</f>
        <v>find-customer-referee</v>
      </c>
      <c r="D585" s="20" t="b">
        <f>IFERROR(__xludf.DUMMYFUNCTION("""COMPUTED_VALUE"""),FALSE)</f>
        <v>0</v>
      </c>
      <c r="E585" s="20" t="str">
        <f>IFERROR(__xludf.DUMMYFUNCTION("""COMPUTED_VALUE"""),"Easy")</f>
        <v>Easy</v>
      </c>
      <c r="F585" s="20">
        <f>IFERROR(__xludf.DUMMYFUNCTION("""COMPUTED_VALUE"""),763.0)</f>
        <v>763</v>
      </c>
      <c r="G585" s="20">
        <f>IFERROR(__xludf.DUMMYFUNCTION("""COMPUTED_VALUE"""),258.0)</f>
        <v>258</v>
      </c>
      <c r="H585" s="20" t="str">
        <f>IFERROR(__xludf.DUMMYFUNCTION("""COMPUTED_VALUE"""),"Database")</f>
        <v>Database</v>
      </c>
      <c r="I585" s="20">
        <f>IFERROR(__xludf.DUMMYFUNCTION("""COMPUTED_VALUE"""),0.697)</f>
        <v>0.697</v>
      </c>
      <c r="J585" s="20">
        <f>IFERROR(__xludf.DUMMYFUNCTION("""COMPUTED_VALUE"""),584.0)</f>
        <v>584</v>
      </c>
      <c r="K585" s="20" t="b">
        <f>IFERROR(__xludf.DUMMYFUNCTION("""COMPUTED_VALUE"""),FALSE)</f>
        <v>0</v>
      </c>
      <c r="L585" s="20" t="str">
        <f>IFERROR(__xludf.DUMMYFUNCTION("""COMPUTED_VALUE"""),"Database;")</f>
        <v>Database;</v>
      </c>
      <c r="M585" s="20" t="b">
        <f>IFERROR(__xludf.DUMMYFUNCTION("""COMPUTED_VALUE"""),TRUE)</f>
        <v>1</v>
      </c>
      <c r="N585" s="20" t="b">
        <f>IFERROR(__xludf.DUMMYFUNCTION("""COMPUTED_VALUE"""),FALSE)</f>
        <v>0</v>
      </c>
      <c r="O585" s="20">
        <f>IFERROR(__xludf.DUMMYFUNCTION("""COMPUTED_VALUE"""),69.7138689237034)</f>
        <v>69.71386892</v>
      </c>
      <c r="P585" s="20">
        <f>IFERROR(__xludf.DUMMYFUNCTION("""COMPUTED_VALUE"""),229377.0)</f>
        <v>229377</v>
      </c>
      <c r="Q585" s="20">
        <f>IFERROR(__xludf.DUMMYFUNCTION("""COMPUTED_VALUE"""),329031.0)</f>
        <v>329031</v>
      </c>
    </row>
    <row r="586">
      <c r="A586" s="20">
        <f>IFERROR(__xludf.DUMMYFUNCTION("""COMPUTED_VALUE"""),585.0)</f>
        <v>585</v>
      </c>
      <c r="B586" s="20" t="str">
        <f>IFERROR(__xludf.DUMMYFUNCTION("""COMPUTED_VALUE"""),"Investments in 2016")</f>
        <v>Investments in 2016</v>
      </c>
      <c r="C586" s="20" t="str">
        <f>IFERROR(__xludf.DUMMYFUNCTION("""COMPUTED_VALUE"""),"investments-in-2016")</f>
        <v>investments-in-2016</v>
      </c>
      <c r="D586" s="20" t="b">
        <f>IFERROR(__xludf.DUMMYFUNCTION("""COMPUTED_VALUE"""),TRUE)</f>
        <v>1</v>
      </c>
      <c r="E586" s="20" t="str">
        <f>IFERROR(__xludf.DUMMYFUNCTION("""COMPUTED_VALUE"""),"Medium")</f>
        <v>Medium</v>
      </c>
      <c r="F586" s="20">
        <f>IFERROR(__xludf.DUMMYFUNCTION("""COMPUTED_VALUE"""),219.0)</f>
        <v>219</v>
      </c>
      <c r="G586" s="20">
        <f>IFERROR(__xludf.DUMMYFUNCTION("""COMPUTED_VALUE"""),233.0)</f>
        <v>233</v>
      </c>
      <c r="H586" s="20" t="str">
        <f>IFERROR(__xludf.DUMMYFUNCTION("""COMPUTED_VALUE"""),"Database")</f>
        <v>Database</v>
      </c>
      <c r="I586" s="20">
        <f>IFERROR(__xludf.DUMMYFUNCTION("""COMPUTED_VALUE"""),0.532)</f>
        <v>0.532</v>
      </c>
      <c r="J586" s="20">
        <f>IFERROR(__xludf.DUMMYFUNCTION("""COMPUTED_VALUE"""),585.0)</f>
        <v>585</v>
      </c>
      <c r="K586" s="20" t="b">
        <f>IFERROR(__xludf.DUMMYFUNCTION("""COMPUTED_VALUE"""),TRUE)</f>
        <v>1</v>
      </c>
      <c r="L586" s="20" t="str">
        <f>IFERROR(__xludf.DUMMYFUNCTION("""COMPUTED_VALUE"""),"Database;")</f>
        <v>Database;</v>
      </c>
      <c r="M586" s="20" t="b">
        <f>IFERROR(__xludf.DUMMYFUNCTION("""COMPUTED_VALUE"""),TRUE)</f>
        <v>1</v>
      </c>
      <c r="N586" s="20" t="b">
        <f>IFERROR(__xludf.DUMMYFUNCTION("""COMPUTED_VALUE"""),FALSE)</f>
        <v>0</v>
      </c>
      <c r="O586" s="20">
        <f>IFERROR(__xludf.DUMMYFUNCTION("""COMPUTED_VALUE"""),53.168314019541)</f>
        <v>53.16831402</v>
      </c>
      <c r="P586" s="20">
        <f>IFERROR(__xludf.DUMMYFUNCTION("""COMPUTED_VALUE"""),37439.0)</f>
        <v>37439</v>
      </c>
      <c r="Q586" s="20">
        <f>IFERROR(__xludf.DUMMYFUNCTION("""COMPUTED_VALUE"""),70416.0)</f>
        <v>70416</v>
      </c>
    </row>
    <row r="587">
      <c r="A587" s="20">
        <f>IFERROR(__xludf.DUMMYFUNCTION("""COMPUTED_VALUE"""),586.0)</f>
        <v>586</v>
      </c>
      <c r="B587" s="20" t="str">
        <f>IFERROR(__xludf.DUMMYFUNCTION("""COMPUTED_VALUE"""),"Customer Placing the Largest Number of Orders")</f>
        <v>Customer Placing the Largest Number of Orders</v>
      </c>
      <c r="C587" s="20" t="str">
        <f>IFERROR(__xludf.DUMMYFUNCTION("""COMPUTED_VALUE"""),"customer-placing-the-largest-number-of-orders")</f>
        <v>customer-placing-the-largest-number-of-orders</v>
      </c>
      <c r="D587" s="20" t="b">
        <f>IFERROR(__xludf.DUMMYFUNCTION("""COMPUTED_VALUE"""),FALSE)</f>
        <v>0</v>
      </c>
      <c r="E587" s="20" t="str">
        <f>IFERROR(__xludf.DUMMYFUNCTION("""COMPUTED_VALUE"""),"Easy")</f>
        <v>Easy</v>
      </c>
      <c r="F587" s="20">
        <f>IFERROR(__xludf.DUMMYFUNCTION("""COMPUTED_VALUE"""),565.0)</f>
        <v>565</v>
      </c>
      <c r="G587" s="20">
        <f>IFERROR(__xludf.DUMMYFUNCTION("""COMPUTED_VALUE"""),35.0)</f>
        <v>35</v>
      </c>
      <c r="H587" s="20" t="str">
        <f>IFERROR(__xludf.DUMMYFUNCTION("""COMPUTED_VALUE"""),"Database")</f>
        <v>Database</v>
      </c>
      <c r="I587" s="20">
        <f>IFERROR(__xludf.DUMMYFUNCTION("""COMPUTED_VALUE"""),0.715)</f>
        <v>0.715</v>
      </c>
      <c r="J587" s="20">
        <f>IFERROR(__xludf.DUMMYFUNCTION("""COMPUTED_VALUE"""),586.0)</f>
        <v>586</v>
      </c>
      <c r="K587" s="20" t="b">
        <f>IFERROR(__xludf.DUMMYFUNCTION("""COMPUTED_VALUE"""),FALSE)</f>
        <v>0</v>
      </c>
      <c r="L587" s="20" t="str">
        <f>IFERROR(__xludf.DUMMYFUNCTION("""COMPUTED_VALUE"""),"Database;")</f>
        <v>Database;</v>
      </c>
      <c r="M587" s="20" t="b">
        <f>IFERROR(__xludf.DUMMYFUNCTION("""COMPUTED_VALUE"""),TRUE)</f>
        <v>1</v>
      </c>
      <c r="N587" s="20" t="b">
        <f>IFERROR(__xludf.DUMMYFUNCTION("""COMPUTED_VALUE"""),FALSE)</f>
        <v>0</v>
      </c>
      <c r="O587" s="20">
        <f>IFERROR(__xludf.DUMMYFUNCTION("""COMPUTED_VALUE"""),71.5032897650019)</f>
        <v>71.50328977</v>
      </c>
      <c r="P587" s="20">
        <f>IFERROR(__xludf.DUMMYFUNCTION("""COMPUTED_VALUE"""),137256.0)</f>
        <v>137256</v>
      </c>
      <c r="Q587" s="20">
        <f>IFERROR(__xludf.DUMMYFUNCTION("""COMPUTED_VALUE"""),191956.0)</f>
        <v>191956</v>
      </c>
    </row>
    <row r="588">
      <c r="A588" s="20">
        <f>IFERROR(__xludf.DUMMYFUNCTION("""COMPUTED_VALUE"""),587.0)</f>
        <v>587</v>
      </c>
      <c r="B588" s="20" t="str">
        <f>IFERROR(__xludf.DUMMYFUNCTION("""COMPUTED_VALUE"""),"Erect the Fence")</f>
        <v>Erect the Fence</v>
      </c>
      <c r="C588" s="20" t="str">
        <f>IFERROR(__xludf.DUMMYFUNCTION("""COMPUTED_VALUE"""),"erect-the-fence")</f>
        <v>erect-the-fence</v>
      </c>
      <c r="D588" s="20" t="b">
        <f>IFERROR(__xludf.DUMMYFUNCTION("""COMPUTED_VALUE"""),FALSE)</f>
        <v>0</v>
      </c>
      <c r="E588" s="20" t="str">
        <f>IFERROR(__xludf.DUMMYFUNCTION("""COMPUTED_VALUE"""),"Hard")</f>
        <v>Hard</v>
      </c>
      <c r="F588" s="20">
        <f>IFERROR(__xludf.DUMMYFUNCTION("""COMPUTED_VALUE"""),1308.0)</f>
        <v>1308</v>
      </c>
      <c r="G588" s="20">
        <f>IFERROR(__xludf.DUMMYFUNCTION("""COMPUTED_VALUE"""),625.0)</f>
        <v>625</v>
      </c>
      <c r="H588" s="20" t="str">
        <f>IFERROR(__xludf.DUMMYFUNCTION("""COMPUTED_VALUE"""),"Algorithms")</f>
        <v>Algorithms</v>
      </c>
      <c r="I588" s="20">
        <f>IFERROR(__xludf.DUMMYFUNCTION("""COMPUTED_VALUE"""),0.523)</f>
        <v>0.523</v>
      </c>
      <c r="J588" s="20">
        <f>IFERROR(__xludf.DUMMYFUNCTION("""COMPUTED_VALUE"""),587.0)</f>
        <v>587</v>
      </c>
      <c r="K588" s="20" t="b">
        <f>IFERROR(__xludf.DUMMYFUNCTION("""COMPUTED_VALUE"""),FALSE)</f>
        <v>0</v>
      </c>
      <c r="L588" s="20" t="str">
        <f>IFERROR(__xludf.DUMMYFUNCTION("""COMPUTED_VALUE"""),"Array;Math;Geometry;")</f>
        <v>Array;Math;Geometry;</v>
      </c>
      <c r="M588" s="20" t="b">
        <f>IFERROR(__xludf.DUMMYFUNCTION("""COMPUTED_VALUE"""),TRUE)</f>
        <v>1</v>
      </c>
      <c r="N588" s="20" t="b">
        <f>IFERROR(__xludf.DUMMYFUNCTION("""COMPUTED_VALUE"""),FALSE)</f>
        <v>0</v>
      </c>
      <c r="O588" s="20">
        <f>IFERROR(__xludf.DUMMYFUNCTION("""COMPUTED_VALUE"""),52.3078902824109)</f>
        <v>52.30789028</v>
      </c>
      <c r="P588" s="20">
        <f>IFERROR(__xludf.DUMMYFUNCTION("""COMPUTED_VALUE"""),52843.0)</f>
        <v>52843</v>
      </c>
      <c r="Q588" s="20">
        <f>IFERROR(__xludf.DUMMYFUNCTION("""COMPUTED_VALUE"""),101023.0)</f>
        <v>101023</v>
      </c>
    </row>
    <row r="589">
      <c r="A589" s="20">
        <f>IFERROR(__xludf.DUMMYFUNCTION("""COMPUTED_VALUE"""),588.0)</f>
        <v>588</v>
      </c>
      <c r="B589" s="20" t="str">
        <f>IFERROR(__xludf.DUMMYFUNCTION("""COMPUTED_VALUE"""),"Design In-Memory File System")</f>
        <v>Design In-Memory File System</v>
      </c>
      <c r="C589" s="20" t="str">
        <f>IFERROR(__xludf.DUMMYFUNCTION("""COMPUTED_VALUE"""),"design-in-memory-file-system")</f>
        <v>design-in-memory-file-system</v>
      </c>
      <c r="D589" s="20" t="b">
        <f>IFERROR(__xludf.DUMMYFUNCTION("""COMPUTED_VALUE"""),TRUE)</f>
        <v>1</v>
      </c>
      <c r="E589" s="20" t="str">
        <f>IFERROR(__xludf.DUMMYFUNCTION("""COMPUTED_VALUE"""),"Hard")</f>
        <v>Hard</v>
      </c>
      <c r="F589" s="20">
        <f>IFERROR(__xludf.DUMMYFUNCTION("""COMPUTED_VALUE"""),1299.0)</f>
        <v>1299</v>
      </c>
      <c r="G589" s="20">
        <f>IFERROR(__xludf.DUMMYFUNCTION("""COMPUTED_VALUE"""),140.0)</f>
        <v>140</v>
      </c>
      <c r="H589" s="20" t="str">
        <f>IFERROR(__xludf.DUMMYFUNCTION("""COMPUTED_VALUE"""),"Algorithms")</f>
        <v>Algorithms</v>
      </c>
      <c r="I589" s="20">
        <f>IFERROR(__xludf.DUMMYFUNCTION("""COMPUTED_VALUE"""),0.488)</f>
        <v>0.488</v>
      </c>
      <c r="J589" s="20">
        <f>IFERROR(__xludf.DUMMYFUNCTION("""COMPUTED_VALUE"""),588.0)</f>
        <v>588</v>
      </c>
      <c r="K589" s="20" t="b">
        <f>IFERROR(__xludf.DUMMYFUNCTION("""COMPUTED_VALUE"""),TRUE)</f>
        <v>1</v>
      </c>
      <c r="L589" s="20" t="str">
        <f>IFERROR(__xludf.DUMMYFUNCTION("""COMPUTED_VALUE"""),"Hash Table;String;Design;Trie;")</f>
        <v>Hash Table;String;Design;Trie;</v>
      </c>
      <c r="M589" s="20" t="b">
        <f>IFERROR(__xludf.DUMMYFUNCTION("""COMPUTED_VALUE"""),TRUE)</f>
        <v>1</v>
      </c>
      <c r="N589" s="20" t="b">
        <f>IFERROR(__xludf.DUMMYFUNCTION("""COMPUTED_VALUE"""),FALSE)</f>
        <v>0</v>
      </c>
      <c r="O589" s="20">
        <f>IFERROR(__xludf.DUMMYFUNCTION("""COMPUTED_VALUE"""),48.7625306767605)</f>
        <v>48.76253068</v>
      </c>
      <c r="P589" s="20">
        <f>IFERROR(__xludf.DUMMYFUNCTION("""COMPUTED_VALUE"""),82061.0)</f>
        <v>82061</v>
      </c>
      <c r="Q589" s="20">
        <f>IFERROR(__xludf.DUMMYFUNCTION("""COMPUTED_VALUE"""),168287.0)</f>
        <v>168287</v>
      </c>
    </row>
    <row r="590">
      <c r="A590" s="20">
        <f>IFERROR(__xludf.DUMMYFUNCTION("""COMPUTED_VALUE"""),775.0)</f>
        <v>775</v>
      </c>
      <c r="B590" s="20" t="str">
        <f>IFERROR(__xludf.DUMMYFUNCTION("""COMPUTED_VALUE"""),"N-ary Tree Preorder Traversal")</f>
        <v>N-ary Tree Preorder Traversal</v>
      </c>
      <c r="C590" s="20" t="str">
        <f>IFERROR(__xludf.DUMMYFUNCTION("""COMPUTED_VALUE"""),"n-ary-tree-preorder-traversal")</f>
        <v>n-ary-tree-preorder-traversal</v>
      </c>
      <c r="D590" s="20" t="b">
        <f>IFERROR(__xludf.DUMMYFUNCTION("""COMPUTED_VALUE"""),FALSE)</f>
        <v>0</v>
      </c>
      <c r="E590" s="20" t="str">
        <f>IFERROR(__xludf.DUMMYFUNCTION("""COMPUTED_VALUE"""),"Easy")</f>
        <v>Easy</v>
      </c>
      <c r="F590" s="20">
        <f>IFERROR(__xludf.DUMMYFUNCTION("""COMPUTED_VALUE"""),2558.0)</f>
        <v>2558</v>
      </c>
      <c r="G590" s="20">
        <f>IFERROR(__xludf.DUMMYFUNCTION("""COMPUTED_VALUE"""),124.0)</f>
        <v>124</v>
      </c>
      <c r="H590" s="20" t="str">
        <f>IFERROR(__xludf.DUMMYFUNCTION("""COMPUTED_VALUE"""),"Algorithms")</f>
        <v>Algorithms</v>
      </c>
      <c r="I590" s="20">
        <f>IFERROR(__xludf.DUMMYFUNCTION("""COMPUTED_VALUE"""),0.762)</f>
        <v>0.762</v>
      </c>
      <c r="J590" s="20">
        <f>IFERROR(__xludf.DUMMYFUNCTION("""COMPUTED_VALUE"""),589.0)</f>
        <v>589</v>
      </c>
      <c r="K590" s="20" t="b">
        <f>IFERROR(__xludf.DUMMYFUNCTION("""COMPUTED_VALUE"""),FALSE)</f>
        <v>0</v>
      </c>
      <c r="L590" s="20" t="str">
        <f>IFERROR(__xludf.DUMMYFUNCTION("""COMPUTED_VALUE"""),"Stack;Tree;Depth-First Search;")</f>
        <v>Stack;Tree;Depth-First Search;</v>
      </c>
      <c r="M590" s="20" t="b">
        <f>IFERROR(__xludf.DUMMYFUNCTION("""COMPUTED_VALUE"""),TRUE)</f>
        <v>1</v>
      </c>
      <c r="N590" s="20" t="b">
        <f>IFERROR(__xludf.DUMMYFUNCTION("""COMPUTED_VALUE"""),FALSE)</f>
        <v>0</v>
      </c>
      <c r="O590" s="20">
        <f>IFERROR(__xludf.DUMMYFUNCTION("""COMPUTED_VALUE"""),76.1691863565486)</f>
        <v>76.16918636</v>
      </c>
      <c r="P590" s="20">
        <f>IFERROR(__xludf.DUMMYFUNCTION("""COMPUTED_VALUE"""),338520.0)</f>
        <v>338520</v>
      </c>
      <c r="Q590" s="20">
        <f>IFERROR(__xludf.DUMMYFUNCTION("""COMPUTED_VALUE"""),444432.0)</f>
        <v>444432</v>
      </c>
    </row>
    <row r="591">
      <c r="A591" s="20">
        <f>IFERROR(__xludf.DUMMYFUNCTION("""COMPUTED_VALUE"""),776.0)</f>
        <v>776</v>
      </c>
      <c r="B591" s="20" t="str">
        <f>IFERROR(__xludf.DUMMYFUNCTION("""COMPUTED_VALUE"""),"N-ary Tree Postorder Traversal")</f>
        <v>N-ary Tree Postorder Traversal</v>
      </c>
      <c r="C591" s="20" t="str">
        <f>IFERROR(__xludf.DUMMYFUNCTION("""COMPUTED_VALUE"""),"n-ary-tree-postorder-traversal")</f>
        <v>n-ary-tree-postorder-traversal</v>
      </c>
      <c r="D591" s="20" t="b">
        <f>IFERROR(__xludf.DUMMYFUNCTION("""COMPUTED_VALUE"""),FALSE)</f>
        <v>0</v>
      </c>
      <c r="E591" s="20" t="str">
        <f>IFERROR(__xludf.DUMMYFUNCTION("""COMPUTED_VALUE"""),"Easy")</f>
        <v>Easy</v>
      </c>
      <c r="F591" s="20">
        <f>IFERROR(__xludf.DUMMYFUNCTION("""COMPUTED_VALUE"""),1983.0)</f>
        <v>1983</v>
      </c>
      <c r="G591" s="20">
        <f>IFERROR(__xludf.DUMMYFUNCTION("""COMPUTED_VALUE"""),90.0)</f>
        <v>90</v>
      </c>
      <c r="H591" s="20" t="str">
        <f>IFERROR(__xludf.DUMMYFUNCTION("""COMPUTED_VALUE"""),"Algorithms")</f>
        <v>Algorithms</v>
      </c>
      <c r="I591" s="20">
        <f>IFERROR(__xludf.DUMMYFUNCTION("""COMPUTED_VALUE"""),0.772)</f>
        <v>0.772</v>
      </c>
      <c r="J591" s="20">
        <f>IFERROR(__xludf.DUMMYFUNCTION("""COMPUTED_VALUE"""),590.0)</f>
        <v>590</v>
      </c>
      <c r="K591" s="20" t="b">
        <f>IFERROR(__xludf.DUMMYFUNCTION("""COMPUTED_VALUE"""),FALSE)</f>
        <v>0</v>
      </c>
      <c r="L591" s="20" t="str">
        <f>IFERROR(__xludf.DUMMYFUNCTION("""COMPUTED_VALUE"""),"Stack;Tree;Depth-First Search;")</f>
        <v>Stack;Tree;Depth-First Search;</v>
      </c>
      <c r="M591" s="20" t="b">
        <f>IFERROR(__xludf.DUMMYFUNCTION("""COMPUTED_VALUE"""),TRUE)</f>
        <v>1</v>
      </c>
      <c r="N591" s="20" t="b">
        <f>IFERROR(__xludf.DUMMYFUNCTION("""COMPUTED_VALUE"""),FALSE)</f>
        <v>0</v>
      </c>
      <c r="O591" s="20">
        <f>IFERROR(__xludf.DUMMYFUNCTION("""COMPUTED_VALUE"""),77.2410831583505)</f>
        <v>77.24108316</v>
      </c>
      <c r="P591" s="20">
        <f>IFERROR(__xludf.DUMMYFUNCTION("""COMPUTED_VALUE"""),212250.0)</f>
        <v>212250</v>
      </c>
      <c r="Q591" s="20">
        <f>IFERROR(__xludf.DUMMYFUNCTION("""COMPUTED_VALUE"""),274789.0)</f>
        <v>274789</v>
      </c>
    </row>
    <row r="592">
      <c r="A592" s="20">
        <f>IFERROR(__xludf.DUMMYFUNCTION("""COMPUTED_VALUE"""),591.0)</f>
        <v>591</v>
      </c>
      <c r="B592" s="20" t="str">
        <f>IFERROR(__xludf.DUMMYFUNCTION("""COMPUTED_VALUE"""),"Tag Validator")</f>
        <v>Tag Validator</v>
      </c>
      <c r="C592" s="20" t="str">
        <f>IFERROR(__xludf.DUMMYFUNCTION("""COMPUTED_VALUE"""),"tag-validator")</f>
        <v>tag-validator</v>
      </c>
      <c r="D592" s="20" t="b">
        <f>IFERROR(__xludf.DUMMYFUNCTION("""COMPUTED_VALUE"""),FALSE)</f>
        <v>0</v>
      </c>
      <c r="E592" s="20" t="str">
        <f>IFERROR(__xludf.DUMMYFUNCTION("""COMPUTED_VALUE"""),"Hard")</f>
        <v>Hard</v>
      </c>
      <c r="F592" s="20">
        <f>IFERROR(__xludf.DUMMYFUNCTION("""COMPUTED_VALUE"""),148.0)</f>
        <v>148</v>
      </c>
      <c r="G592" s="20">
        <f>IFERROR(__xludf.DUMMYFUNCTION("""COMPUTED_VALUE"""),615.0)</f>
        <v>615</v>
      </c>
      <c r="H592" s="20" t="str">
        <f>IFERROR(__xludf.DUMMYFUNCTION("""COMPUTED_VALUE"""),"Algorithms")</f>
        <v>Algorithms</v>
      </c>
      <c r="I592" s="20">
        <f>IFERROR(__xludf.DUMMYFUNCTION("""COMPUTED_VALUE"""),0.371)</f>
        <v>0.371</v>
      </c>
      <c r="J592" s="20">
        <f>IFERROR(__xludf.DUMMYFUNCTION("""COMPUTED_VALUE"""),591.0)</f>
        <v>591</v>
      </c>
      <c r="K592" s="20" t="b">
        <f>IFERROR(__xludf.DUMMYFUNCTION("""COMPUTED_VALUE"""),FALSE)</f>
        <v>0</v>
      </c>
      <c r="L592" s="20" t="str">
        <f>IFERROR(__xludf.DUMMYFUNCTION("""COMPUTED_VALUE"""),"String;Stack;")</f>
        <v>String;Stack;</v>
      </c>
      <c r="M592" s="20" t="b">
        <f>IFERROR(__xludf.DUMMYFUNCTION("""COMPUTED_VALUE"""),TRUE)</f>
        <v>1</v>
      </c>
      <c r="N592" s="20" t="b">
        <f>IFERROR(__xludf.DUMMYFUNCTION("""COMPUTED_VALUE"""),FALSE)</f>
        <v>0</v>
      </c>
      <c r="O592" s="20">
        <f>IFERROR(__xludf.DUMMYFUNCTION("""COMPUTED_VALUE"""),37.120386462046)</f>
        <v>37.12038646</v>
      </c>
      <c r="P592" s="20">
        <f>IFERROR(__xludf.DUMMYFUNCTION("""COMPUTED_VALUE"""),12602.0)</f>
        <v>12602</v>
      </c>
      <c r="Q592" s="20">
        <f>IFERROR(__xludf.DUMMYFUNCTION("""COMPUTED_VALUE"""),33949.0)</f>
        <v>33949</v>
      </c>
    </row>
    <row r="593">
      <c r="A593" s="20">
        <f>IFERROR(__xludf.DUMMYFUNCTION("""COMPUTED_VALUE"""),592.0)</f>
        <v>592</v>
      </c>
      <c r="B593" s="20" t="str">
        <f>IFERROR(__xludf.DUMMYFUNCTION("""COMPUTED_VALUE"""),"Fraction Addition and Subtraction")</f>
        <v>Fraction Addition and Subtraction</v>
      </c>
      <c r="C593" s="20" t="str">
        <f>IFERROR(__xludf.DUMMYFUNCTION("""COMPUTED_VALUE"""),"fraction-addition-and-subtraction")</f>
        <v>fraction-addition-and-subtraction</v>
      </c>
      <c r="D593" s="20" t="b">
        <f>IFERROR(__xludf.DUMMYFUNCTION("""COMPUTED_VALUE"""),FALSE)</f>
        <v>0</v>
      </c>
      <c r="E593" s="20" t="str">
        <f>IFERROR(__xludf.DUMMYFUNCTION("""COMPUTED_VALUE"""),"Medium")</f>
        <v>Medium</v>
      </c>
      <c r="F593" s="20">
        <f>IFERROR(__xludf.DUMMYFUNCTION("""COMPUTED_VALUE"""),338.0)</f>
        <v>338</v>
      </c>
      <c r="G593" s="20">
        <f>IFERROR(__xludf.DUMMYFUNCTION("""COMPUTED_VALUE"""),474.0)</f>
        <v>474</v>
      </c>
      <c r="H593" s="20" t="str">
        <f>IFERROR(__xludf.DUMMYFUNCTION("""COMPUTED_VALUE"""),"Algorithms")</f>
        <v>Algorithms</v>
      </c>
      <c r="I593" s="20">
        <f>IFERROR(__xludf.DUMMYFUNCTION("""COMPUTED_VALUE"""),0.522)</f>
        <v>0.522</v>
      </c>
      <c r="J593" s="20">
        <f>IFERROR(__xludf.DUMMYFUNCTION("""COMPUTED_VALUE"""),592.0)</f>
        <v>592</v>
      </c>
      <c r="K593" s="20" t="b">
        <f>IFERROR(__xludf.DUMMYFUNCTION("""COMPUTED_VALUE"""),FALSE)</f>
        <v>0</v>
      </c>
      <c r="L593" s="20" t="str">
        <f>IFERROR(__xludf.DUMMYFUNCTION("""COMPUTED_VALUE"""),"Math;String;Simulation;")</f>
        <v>Math;String;Simulation;</v>
      </c>
      <c r="M593" s="20" t="b">
        <f>IFERROR(__xludf.DUMMYFUNCTION("""COMPUTED_VALUE"""),TRUE)</f>
        <v>1</v>
      </c>
      <c r="N593" s="20" t="b">
        <f>IFERROR(__xludf.DUMMYFUNCTION("""COMPUTED_VALUE"""),FALSE)</f>
        <v>0</v>
      </c>
      <c r="O593" s="20">
        <f>IFERROR(__xludf.DUMMYFUNCTION("""COMPUTED_VALUE"""),52.1867533846562)</f>
        <v>52.18675338</v>
      </c>
      <c r="P593" s="20">
        <f>IFERROR(__xludf.DUMMYFUNCTION("""COMPUTED_VALUE"""),31454.0)</f>
        <v>31454</v>
      </c>
      <c r="Q593" s="20">
        <f>IFERROR(__xludf.DUMMYFUNCTION("""COMPUTED_VALUE"""),60272.0)</f>
        <v>60272</v>
      </c>
    </row>
    <row r="594">
      <c r="A594" s="20">
        <f>IFERROR(__xludf.DUMMYFUNCTION("""COMPUTED_VALUE"""),593.0)</f>
        <v>593</v>
      </c>
      <c r="B594" s="20" t="str">
        <f>IFERROR(__xludf.DUMMYFUNCTION("""COMPUTED_VALUE"""),"Valid Square")</f>
        <v>Valid Square</v>
      </c>
      <c r="C594" s="20" t="str">
        <f>IFERROR(__xludf.DUMMYFUNCTION("""COMPUTED_VALUE"""),"valid-square")</f>
        <v>valid-square</v>
      </c>
      <c r="D594" s="20" t="b">
        <f>IFERROR(__xludf.DUMMYFUNCTION("""COMPUTED_VALUE"""),FALSE)</f>
        <v>0</v>
      </c>
      <c r="E594" s="20" t="str">
        <f>IFERROR(__xludf.DUMMYFUNCTION("""COMPUTED_VALUE"""),"Medium")</f>
        <v>Medium</v>
      </c>
      <c r="F594" s="20">
        <f>IFERROR(__xludf.DUMMYFUNCTION("""COMPUTED_VALUE"""),845.0)</f>
        <v>845</v>
      </c>
      <c r="G594" s="20">
        <f>IFERROR(__xludf.DUMMYFUNCTION("""COMPUTED_VALUE"""),834.0)</f>
        <v>834</v>
      </c>
      <c r="H594" s="20" t="str">
        <f>IFERROR(__xludf.DUMMYFUNCTION("""COMPUTED_VALUE"""),"Algorithms")</f>
        <v>Algorithms</v>
      </c>
      <c r="I594" s="20">
        <f>IFERROR(__xludf.DUMMYFUNCTION("""COMPUTED_VALUE"""),0.44)</f>
        <v>0.44</v>
      </c>
      <c r="J594" s="20">
        <f>IFERROR(__xludf.DUMMYFUNCTION("""COMPUTED_VALUE"""),593.0)</f>
        <v>593</v>
      </c>
      <c r="K594" s="20" t="b">
        <f>IFERROR(__xludf.DUMMYFUNCTION("""COMPUTED_VALUE"""),FALSE)</f>
        <v>0</v>
      </c>
      <c r="L594" s="20" t="str">
        <f>IFERROR(__xludf.DUMMYFUNCTION("""COMPUTED_VALUE"""),"Math;Geometry;")</f>
        <v>Math;Geometry;</v>
      </c>
      <c r="M594" s="20" t="b">
        <f>IFERROR(__xludf.DUMMYFUNCTION("""COMPUTED_VALUE"""),TRUE)</f>
        <v>1</v>
      </c>
      <c r="N594" s="20" t="b">
        <f>IFERROR(__xludf.DUMMYFUNCTION("""COMPUTED_VALUE"""),FALSE)</f>
        <v>0</v>
      </c>
      <c r="O594" s="20">
        <f>IFERROR(__xludf.DUMMYFUNCTION("""COMPUTED_VALUE"""),44.0326621333986)</f>
        <v>44.03266213</v>
      </c>
      <c r="P594" s="20">
        <f>IFERROR(__xludf.DUMMYFUNCTION("""COMPUTED_VALUE"""),93506.0)</f>
        <v>93506</v>
      </c>
      <c r="Q594" s="20">
        <f>IFERROR(__xludf.DUMMYFUNCTION("""COMPUTED_VALUE"""),212356.0)</f>
        <v>212356</v>
      </c>
    </row>
    <row r="595">
      <c r="A595" s="20">
        <f>IFERROR(__xludf.DUMMYFUNCTION("""COMPUTED_VALUE"""),594.0)</f>
        <v>594</v>
      </c>
      <c r="B595" s="20" t="str">
        <f>IFERROR(__xludf.DUMMYFUNCTION("""COMPUTED_VALUE"""),"Longest Harmonious Subsequence")</f>
        <v>Longest Harmonious Subsequence</v>
      </c>
      <c r="C595" s="20" t="str">
        <f>IFERROR(__xludf.DUMMYFUNCTION("""COMPUTED_VALUE"""),"longest-harmonious-subsequence")</f>
        <v>longest-harmonious-subsequence</v>
      </c>
      <c r="D595" s="20" t="b">
        <f>IFERROR(__xludf.DUMMYFUNCTION("""COMPUTED_VALUE"""),FALSE)</f>
        <v>0</v>
      </c>
      <c r="E595" s="20" t="str">
        <f>IFERROR(__xludf.DUMMYFUNCTION("""COMPUTED_VALUE"""),"Easy")</f>
        <v>Easy</v>
      </c>
      <c r="F595" s="20">
        <f>IFERROR(__xludf.DUMMYFUNCTION("""COMPUTED_VALUE"""),1802.0)</f>
        <v>1802</v>
      </c>
      <c r="G595" s="20">
        <f>IFERROR(__xludf.DUMMYFUNCTION("""COMPUTED_VALUE"""),168.0)</f>
        <v>168</v>
      </c>
      <c r="H595" s="20" t="str">
        <f>IFERROR(__xludf.DUMMYFUNCTION("""COMPUTED_VALUE"""),"Algorithms")</f>
        <v>Algorithms</v>
      </c>
      <c r="I595" s="20">
        <f>IFERROR(__xludf.DUMMYFUNCTION("""COMPUTED_VALUE"""),0.533)</f>
        <v>0.533</v>
      </c>
      <c r="J595" s="20">
        <f>IFERROR(__xludf.DUMMYFUNCTION("""COMPUTED_VALUE"""),594.0)</f>
        <v>594</v>
      </c>
      <c r="K595" s="20" t="b">
        <f>IFERROR(__xludf.DUMMYFUNCTION("""COMPUTED_VALUE"""),FALSE)</f>
        <v>0</v>
      </c>
      <c r="L595" s="20" t="str">
        <f>IFERROR(__xludf.DUMMYFUNCTION("""COMPUTED_VALUE"""),"Array;Hash Table;Sorting;")</f>
        <v>Array;Hash Table;Sorting;</v>
      </c>
      <c r="M595" s="20" t="b">
        <f>IFERROR(__xludf.DUMMYFUNCTION("""COMPUTED_VALUE"""),TRUE)</f>
        <v>1</v>
      </c>
      <c r="N595" s="20" t="b">
        <f>IFERROR(__xludf.DUMMYFUNCTION("""COMPUTED_VALUE"""),FALSE)</f>
        <v>0</v>
      </c>
      <c r="O595" s="20">
        <f>IFERROR(__xludf.DUMMYFUNCTION("""COMPUTED_VALUE"""),53.3052021874248)</f>
        <v>53.30520219</v>
      </c>
      <c r="P595" s="20">
        <f>IFERROR(__xludf.DUMMYFUNCTION("""COMPUTED_VALUE"""),128473.0)</f>
        <v>128473</v>
      </c>
      <c r="Q595" s="20">
        <f>IFERROR(__xludf.DUMMYFUNCTION("""COMPUTED_VALUE"""),241014.0)</f>
        <v>241014</v>
      </c>
    </row>
    <row r="596">
      <c r="A596" s="20">
        <f>IFERROR(__xludf.DUMMYFUNCTION("""COMPUTED_VALUE"""),595.0)</f>
        <v>595</v>
      </c>
      <c r="B596" s="20" t="str">
        <f>IFERROR(__xludf.DUMMYFUNCTION("""COMPUTED_VALUE"""),"Big Countries")</f>
        <v>Big Countries</v>
      </c>
      <c r="C596" s="20" t="str">
        <f>IFERROR(__xludf.DUMMYFUNCTION("""COMPUTED_VALUE"""),"big-countries")</f>
        <v>big-countries</v>
      </c>
      <c r="D596" s="20" t="b">
        <f>IFERROR(__xludf.DUMMYFUNCTION("""COMPUTED_VALUE"""),FALSE)</f>
        <v>0</v>
      </c>
      <c r="E596" s="20" t="str">
        <f>IFERROR(__xludf.DUMMYFUNCTION("""COMPUTED_VALUE"""),"Easy")</f>
        <v>Easy</v>
      </c>
      <c r="F596" s="20">
        <f>IFERROR(__xludf.DUMMYFUNCTION("""COMPUTED_VALUE"""),1489.0)</f>
        <v>1489</v>
      </c>
      <c r="G596" s="20">
        <f>IFERROR(__xludf.DUMMYFUNCTION("""COMPUTED_VALUE"""),1059.0)</f>
        <v>1059</v>
      </c>
      <c r="H596" s="20" t="str">
        <f>IFERROR(__xludf.DUMMYFUNCTION("""COMPUTED_VALUE"""),"Database")</f>
        <v>Database</v>
      </c>
      <c r="I596" s="20">
        <f>IFERROR(__xludf.DUMMYFUNCTION("""COMPUTED_VALUE"""),0.725)</f>
        <v>0.725</v>
      </c>
      <c r="J596" s="20">
        <f>IFERROR(__xludf.DUMMYFUNCTION("""COMPUTED_VALUE"""),595.0)</f>
        <v>595</v>
      </c>
      <c r="K596" s="20" t="b">
        <f>IFERROR(__xludf.DUMMYFUNCTION("""COMPUTED_VALUE"""),FALSE)</f>
        <v>0</v>
      </c>
      <c r="L596" s="20" t="str">
        <f>IFERROR(__xludf.DUMMYFUNCTION("""COMPUTED_VALUE"""),"Database;")</f>
        <v>Database;</v>
      </c>
      <c r="M596" s="20" t="b">
        <f>IFERROR(__xludf.DUMMYFUNCTION("""COMPUTED_VALUE"""),TRUE)</f>
        <v>1</v>
      </c>
      <c r="N596" s="20" t="b">
        <f>IFERROR(__xludf.DUMMYFUNCTION("""COMPUTED_VALUE"""),FALSE)</f>
        <v>0</v>
      </c>
      <c r="O596" s="20">
        <f>IFERROR(__xludf.DUMMYFUNCTION("""COMPUTED_VALUE"""),72.4875415282392)</f>
        <v>72.48754153</v>
      </c>
      <c r="P596" s="20">
        <f>IFERROR(__xludf.DUMMYFUNCTION("""COMPUTED_VALUE"""),502690.0)</f>
        <v>502690</v>
      </c>
      <c r="Q596" s="20">
        <f>IFERROR(__xludf.DUMMYFUNCTION("""COMPUTED_VALUE"""),693486.0)</f>
        <v>693486</v>
      </c>
    </row>
    <row r="597">
      <c r="A597" s="20">
        <f>IFERROR(__xludf.DUMMYFUNCTION("""COMPUTED_VALUE"""),596.0)</f>
        <v>596</v>
      </c>
      <c r="B597" s="20" t="str">
        <f>IFERROR(__xludf.DUMMYFUNCTION("""COMPUTED_VALUE"""),"Classes More Than 5 Students")</f>
        <v>Classes More Than 5 Students</v>
      </c>
      <c r="C597" s="20" t="str">
        <f>IFERROR(__xludf.DUMMYFUNCTION("""COMPUTED_VALUE"""),"classes-more-than-5-students")</f>
        <v>classes-more-than-5-students</v>
      </c>
      <c r="D597" s="20" t="b">
        <f>IFERROR(__xludf.DUMMYFUNCTION("""COMPUTED_VALUE"""),FALSE)</f>
        <v>0</v>
      </c>
      <c r="E597" s="20" t="str">
        <f>IFERROR(__xludf.DUMMYFUNCTION("""COMPUTED_VALUE"""),"Easy")</f>
        <v>Easy</v>
      </c>
      <c r="F597" s="20">
        <f>IFERROR(__xludf.DUMMYFUNCTION("""COMPUTED_VALUE"""),615.0)</f>
        <v>615</v>
      </c>
      <c r="G597" s="20">
        <f>IFERROR(__xludf.DUMMYFUNCTION("""COMPUTED_VALUE"""),977.0)</f>
        <v>977</v>
      </c>
      <c r="H597" s="20" t="str">
        <f>IFERROR(__xludf.DUMMYFUNCTION("""COMPUTED_VALUE"""),"Database")</f>
        <v>Database</v>
      </c>
      <c r="I597" s="20">
        <f>IFERROR(__xludf.DUMMYFUNCTION("""COMPUTED_VALUE"""),0.472)</f>
        <v>0.472</v>
      </c>
      <c r="J597" s="20">
        <f>IFERROR(__xludf.DUMMYFUNCTION("""COMPUTED_VALUE"""),596.0)</f>
        <v>596</v>
      </c>
      <c r="K597" s="20" t="b">
        <f>IFERROR(__xludf.DUMMYFUNCTION("""COMPUTED_VALUE"""),FALSE)</f>
        <v>0</v>
      </c>
      <c r="L597" s="20" t="str">
        <f>IFERROR(__xludf.DUMMYFUNCTION("""COMPUTED_VALUE"""),"Database;")</f>
        <v>Database;</v>
      </c>
      <c r="M597" s="20" t="b">
        <f>IFERROR(__xludf.DUMMYFUNCTION("""COMPUTED_VALUE"""),TRUE)</f>
        <v>1</v>
      </c>
      <c r="N597" s="20" t="b">
        <f>IFERROR(__xludf.DUMMYFUNCTION("""COMPUTED_VALUE"""),FALSE)</f>
        <v>0</v>
      </c>
      <c r="O597" s="20">
        <f>IFERROR(__xludf.DUMMYFUNCTION("""COMPUTED_VALUE"""),47.1966835875758)</f>
        <v>47.19668359</v>
      </c>
      <c r="P597" s="20">
        <f>IFERROR(__xludf.DUMMYFUNCTION("""COMPUTED_VALUE"""),220072.0)</f>
        <v>220072</v>
      </c>
      <c r="Q597" s="20">
        <f>IFERROR(__xludf.DUMMYFUNCTION("""COMPUTED_VALUE"""),466287.0)</f>
        <v>466287</v>
      </c>
    </row>
    <row r="598">
      <c r="A598" s="20">
        <f>IFERROR(__xludf.DUMMYFUNCTION("""COMPUTED_VALUE"""),597.0)</f>
        <v>597</v>
      </c>
      <c r="B598" s="20" t="str">
        <f>IFERROR(__xludf.DUMMYFUNCTION("""COMPUTED_VALUE"""),"Friend Requests I: Overall Acceptance Rate")</f>
        <v>Friend Requests I: Overall Acceptance Rate</v>
      </c>
      <c r="C598" s="20" t="str">
        <f>IFERROR(__xludf.DUMMYFUNCTION("""COMPUTED_VALUE"""),"friend-requests-i-overall-acceptance-rate")</f>
        <v>friend-requests-i-overall-acceptance-rate</v>
      </c>
      <c r="D598" s="20" t="b">
        <f>IFERROR(__xludf.DUMMYFUNCTION("""COMPUTED_VALUE"""),TRUE)</f>
        <v>1</v>
      </c>
      <c r="E598" s="20" t="str">
        <f>IFERROR(__xludf.DUMMYFUNCTION("""COMPUTED_VALUE"""),"Easy")</f>
        <v>Easy</v>
      </c>
      <c r="F598" s="20">
        <f>IFERROR(__xludf.DUMMYFUNCTION("""COMPUTED_VALUE"""),276.0)</f>
        <v>276</v>
      </c>
      <c r="G598" s="20">
        <f>IFERROR(__xludf.DUMMYFUNCTION("""COMPUTED_VALUE"""),679.0)</f>
        <v>679</v>
      </c>
      <c r="H598" s="20" t="str">
        <f>IFERROR(__xludf.DUMMYFUNCTION("""COMPUTED_VALUE"""),"Database")</f>
        <v>Database</v>
      </c>
      <c r="I598" s="20">
        <f>IFERROR(__xludf.DUMMYFUNCTION("""COMPUTED_VALUE"""),0.428)</f>
        <v>0.428</v>
      </c>
      <c r="J598" s="20">
        <f>IFERROR(__xludf.DUMMYFUNCTION("""COMPUTED_VALUE"""),597.0)</f>
        <v>597</v>
      </c>
      <c r="K598" s="20" t="b">
        <f>IFERROR(__xludf.DUMMYFUNCTION("""COMPUTED_VALUE"""),TRUE)</f>
        <v>1</v>
      </c>
      <c r="L598" s="20" t="str">
        <f>IFERROR(__xludf.DUMMYFUNCTION("""COMPUTED_VALUE"""),"Database;")</f>
        <v>Database;</v>
      </c>
      <c r="M598" s="20" t="b">
        <f>IFERROR(__xludf.DUMMYFUNCTION("""COMPUTED_VALUE"""),TRUE)</f>
        <v>1</v>
      </c>
      <c r="N598" s="20" t="b">
        <f>IFERROR(__xludf.DUMMYFUNCTION("""COMPUTED_VALUE"""),FALSE)</f>
        <v>0</v>
      </c>
      <c r="O598" s="20">
        <f>IFERROR(__xludf.DUMMYFUNCTION("""COMPUTED_VALUE"""),42.773093400771)</f>
        <v>42.7730934</v>
      </c>
      <c r="P598" s="20">
        <f>IFERROR(__xludf.DUMMYFUNCTION("""COMPUTED_VALUE"""),65794.0)</f>
        <v>65794</v>
      </c>
      <c r="Q598" s="20">
        <f>IFERROR(__xludf.DUMMYFUNCTION("""COMPUTED_VALUE"""),153821.0)</f>
        <v>153821</v>
      </c>
    </row>
    <row r="599">
      <c r="A599" s="20">
        <f>IFERROR(__xludf.DUMMYFUNCTION("""COMPUTED_VALUE"""),598.0)</f>
        <v>598</v>
      </c>
      <c r="B599" s="20" t="str">
        <f>IFERROR(__xludf.DUMMYFUNCTION("""COMPUTED_VALUE"""),"Range Addition II")</f>
        <v>Range Addition II</v>
      </c>
      <c r="C599" s="20" t="str">
        <f>IFERROR(__xludf.DUMMYFUNCTION("""COMPUTED_VALUE"""),"range-addition-ii")</f>
        <v>range-addition-ii</v>
      </c>
      <c r="D599" s="20" t="b">
        <f>IFERROR(__xludf.DUMMYFUNCTION("""COMPUTED_VALUE"""),FALSE)</f>
        <v>0</v>
      </c>
      <c r="E599" s="20" t="str">
        <f>IFERROR(__xludf.DUMMYFUNCTION("""COMPUTED_VALUE"""),"Easy")</f>
        <v>Easy</v>
      </c>
      <c r="F599" s="20">
        <f>IFERROR(__xludf.DUMMYFUNCTION("""COMPUTED_VALUE"""),764.0)</f>
        <v>764</v>
      </c>
      <c r="G599" s="20">
        <f>IFERROR(__xludf.DUMMYFUNCTION("""COMPUTED_VALUE"""),870.0)</f>
        <v>870</v>
      </c>
      <c r="H599" s="20" t="str">
        <f>IFERROR(__xludf.DUMMYFUNCTION("""COMPUTED_VALUE"""),"Algorithms")</f>
        <v>Algorithms</v>
      </c>
      <c r="I599" s="20">
        <f>IFERROR(__xludf.DUMMYFUNCTION("""COMPUTED_VALUE"""),0.551)</f>
        <v>0.551</v>
      </c>
      <c r="J599" s="20">
        <f>IFERROR(__xludf.DUMMYFUNCTION("""COMPUTED_VALUE"""),598.0)</f>
        <v>598</v>
      </c>
      <c r="K599" s="20" t="b">
        <f>IFERROR(__xludf.DUMMYFUNCTION("""COMPUTED_VALUE"""),FALSE)</f>
        <v>0</v>
      </c>
      <c r="L599" s="20" t="str">
        <f>IFERROR(__xludf.DUMMYFUNCTION("""COMPUTED_VALUE"""),"Array;Math;")</f>
        <v>Array;Math;</v>
      </c>
      <c r="M599" s="20" t="b">
        <f>IFERROR(__xludf.DUMMYFUNCTION("""COMPUTED_VALUE"""),TRUE)</f>
        <v>1</v>
      </c>
      <c r="N599" s="20" t="b">
        <f>IFERROR(__xludf.DUMMYFUNCTION("""COMPUTED_VALUE"""),FALSE)</f>
        <v>0</v>
      </c>
      <c r="O599" s="20">
        <f>IFERROR(__xludf.DUMMYFUNCTION("""COMPUTED_VALUE"""),55.1226448631354)</f>
        <v>55.12264486</v>
      </c>
      <c r="P599" s="20">
        <f>IFERROR(__xludf.DUMMYFUNCTION("""COMPUTED_VALUE"""),85283.0)</f>
        <v>85283</v>
      </c>
      <c r="Q599" s="20">
        <f>IFERROR(__xludf.DUMMYFUNCTION("""COMPUTED_VALUE"""),154715.0)</f>
        <v>154715</v>
      </c>
    </row>
    <row r="600">
      <c r="A600" s="20">
        <f>IFERROR(__xludf.DUMMYFUNCTION("""COMPUTED_VALUE"""),599.0)</f>
        <v>599</v>
      </c>
      <c r="B600" s="20" t="str">
        <f>IFERROR(__xludf.DUMMYFUNCTION("""COMPUTED_VALUE"""),"Minimum Index Sum of Two Lists")</f>
        <v>Minimum Index Sum of Two Lists</v>
      </c>
      <c r="C600" s="20" t="str">
        <f>IFERROR(__xludf.DUMMYFUNCTION("""COMPUTED_VALUE"""),"minimum-index-sum-of-two-lists")</f>
        <v>minimum-index-sum-of-two-lists</v>
      </c>
      <c r="D600" s="20" t="b">
        <f>IFERROR(__xludf.DUMMYFUNCTION("""COMPUTED_VALUE"""),FALSE)</f>
        <v>0</v>
      </c>
      <c r="E600" s="20" t="str">
        <f>IFERROR(__xludf.DUMMYFUNCTION("""COMPUTED_VALUE"""),"Easy")</f>
        <v>Easy</v>
      </c>
      <c r="F600" s="20">
        <f>IFERROR(__xludf.DUMMYFUNCTION("""COMPUTED_VALUE"""),1572.0)</f>
        <v>1572</v>
      </c>
      <c r="G600" s="20">
        <f>IFERROR(__xludf.DUMMYFUNCTION("""COMPUTED_VALUE"""),353.0)</f>
        <v>353</v>
      </c>
      <c r="H600" s="20" t="str">
        <f>IFERROR(__xludf.DUMMYFUNCTION("""COMPUTED_VALUE"""),"Algorithms")</f>
        <v>Algorithms</v>
      </c>
      <c r="I600" s="20">
        <f>IFERROR(__xludf.DUMMYFUNCTION("""COMPUTED_VALUE"""),0.531)</f>
        <v>0.531</v>
      </c>
      <c r="J600" s="20">
        <f>IFERROR(__xludf.DUMMYFUNCTION("""COMPUTED_VALUE"""),599.0)</f>
        <v>599</v>
      </c>
      <c r="K600" s="20" t="b">
        <f>IFERROR(__xludf.DUMMYFUNCTION("""COMPUTED_VALUE"""),FALSE)</f>
        <v>0</v>
      </c>
      <c r="L600" s="20" t="str">
        <f>IFERROR(__xludf.DUMMYFUNCTION("""COMPUTED_VALUE"""),"Array;Hash Table;String;")</f>
        <v>Array;Hash Table;String;</v>
      </c>
      <c r="M600" s="20" t="b">
        <f>IFERROR(__xludf.DUMMYFUNCTION("""COMPUTED_VALUE"""),TRUE)</f>
        <v>1</v>
      </c>
      <c r="N600" s="20" t="b">
        <f>IFERROR(__xludf.DUMMYFUNCTION("""COMPUTED_VALUE"""),FALSE)</f>
        <v>0</v>
      </c>
      <c r="O600" s="20">
        <f>IFERROR(__xludf.DUMMYFUNCTION("""COMPUTED_VALUE"""),53.072500559994)</f>
        <v>53.07250056</v>
      </c>
      <c r="P600" s="20">
        <f>IFERROR(__xludf.DUMMYFUNCTION("""COMPUTED_VALUE"""),177699.0)</f>
        <v>177699</v>
      </c>
      <c r="Q600" s="20">
        <f>IFERROR(__xludf.DUMMYFUNCTION("""COMPUTED_VALUE"""),334823.0)</f>
        <v>334823</v>
      </c>
    </row>
    <row r="601">
      <c r="A601" s="20">
        <f>IFERROR(__xludf.DUMMYFUNCTION("""COMPUTED_VALUE"""),600.0)</f>
        <v>600</v>
      </c>
      <c r="B601" s="20" t="str">
        <f>IFERROR(__xludf.DUMMYFUNCTION("""COMPUTED_VALUE"""),"Non-negative Integers without Consecutive Ones")</f>
        <v>Non-negative Integers without Consecutive Ones</v>
      </c>
      <c r="C601" s="20" t="str">
        <f>IFERROR(__xludf.DUMMYFUNCTION("""COMPUTED_VALUE"""),"non-negative-integers-without-consecutive-ones")</f>
        <v>non-negative-integers-without-consecutive-ones</v>
      </c>
      <c r="D601" s="20" t="b">
        <f>IFERROR(__xludf.DUMMYFUNCTION("""COMPUTED_VALUE"""),FALSE)</f>
        <v>0</v>
      </c>
      <c r="E601" s="20" t="str">
        <f>IFERROR(__xludf.DUMMYFUNCTION("""COMPUTED_VALUE"""),"Hard")</f>
        <v>Hard</v>
      </c>
      <c r="F601" s="20">
        <f>IFERROR(__xludf.DUMMYFUNCTION("""COMPUTED_VALUE"""),1243.0)</f>
        <v>1243</v>
      </c>
      <c r="G601" s="20">
        <f>IFERROR(__xludf.DUMMYFUNCTION("""COMPUTED_VALUE"""),119.0)</f>
        <v>119</v>
      </c>
      <c r="H601" s="20" t="str">
        <f>IFERROR(__xludf.DUMMYFUNCTION("""COMPUTED_VALUE"""),"Algorithms")</f>
        <v>Algorithms</v>
      </c>
      <c r="I601" s="20">
        <f>IFERROR(__xludf.DUMMYFUNCTION("""COMPUTED_VALUE"""),0.39)</f>
        <v>0.39</v>
      </c>
      <c r="J601" s="20">
        <f>IFERROR(__xludf.DUMMYFUNCTION("""COMPUTED_VALUE"""),600.0)</f>
        <v>600</v>
      </c>
      <c r="K601" s="20" t="b">
        <f>IFERROR(__xludf.DUMMYFUNCTION("""COMPUTED_VALUE"""),FALSE)</f>
        <v>0</v>
      </c>
      <c r="L601" s="20" t="str">
        <f>IFERROR(__xludf.DUMMYFUNCTION("""COMPUTED_VALUE"""),"Dynamic Programming;")</f>
        <v>Dynamic Programming;</v>
      </c>
      <c r="M601" s="20" t="b">
        <f>IFERROR(__xludf.DUMMYFUNCTION("""COMPUTED_VALUE"""),TRUE)</f>
        <v>1</v>
      </c>
      <c r="N601" s="20" t="b">
        <f>IFERROR(__xludf.DUMMYFUNCTION("""COMPUTED_VALUE"""),FALSE)</f>
        <v>0</v>
      </c>
      <c r="O601" s="20">
        <f>IFERROR(__xludf.DUMMYFUNCTION("""COMPUTED_VALUE"""),39.0331328852729)</f>
        <v>39.03313289</v>
      </c>
      <c r="P601" s="20">
        <f>IFERROR(__xludf.DUMMYFUNCTION("""COMPUTED_VALUE"""),33104.0)</f>
        <v>33104</v>
      </c>
      <c r="Q601" s="20">
        <f>IFERROR(__xludf.DUMMYFUNCTION("""COMPUTED_VALUE"""),84810.0)</f>
        <v>84810</v>
      </c>
    </row>
    <row r="602">
      <c r="A602" s="20">
        <f>IFERROR(__xludf.DUMMYFUNCTION("""COMPUTED_VALUE"""),601.0)</f>
        <v>601</v>
      </c>
      <c r="B602" s="20" t="str">
        <f>IFERROR(__xludf.DUMMYFUNCTION("""COMPUTED_VALUE"""),"Human Traffic of Stadium")</f>
        <v>Human Traffic of Stadium</v>
      </c>
      <c r="C602" s="20" t="str">
        <f>IFERROR(__xludf.DUMMYFUNCTION("""COMPUTED_VALUE"""),"human-traffic-of-stadium")</f>
        <v>human-traffic-of-stadium</v>
      </c>
      <c r="D602" s="20" t="b">
        <f>IFERROR(__xludf.DUMMYFUNCTION("""COMPUTED_VALUE"""),FALSE)</f>
        <v>0</v>
      </c>
      <c r="E602" s="20" t="str">
        <f>IFERROR(__xludf.DUMMYFUNCTION("""COMPUTED_VALUE"""),"Hard")</f>
        <v>Hard</v>
      </c>
      <c r="F602" s="20">
        <f>IFERROR(__xludf.DUMMYFUNCTION("""COMPUTED_VALUE"""),456.0)</f>
        <v>456</v>
      </c>
      <c r="G602" s="20">
        <f>IFERROR(__xludf.DUMMYFUNCTION("""COMPUTED_VALUE"""),521.0)</f>
        <v>521</v>
      </c>
      <c r="H602" s="20" t="str">
        <f>IFERROR(__xludf.DUMMYFUNCTION("""COMPUTED_VALUE"""),"Database")</f>
        <v>Database</v>
      </c>
      <c r="I602" s="20">
        <f>IFERROR(__xludf.DUMMYFUNCTION("""COMPUTED_VALUE"""),0.507)</f>
        <v>0.507</v>
      </c>
      <c r="J602" s="20">
        <f>IFERROR(__xludf.DUMMYFUNCTION("""COMPUTED_VALUE"""),601.0)</f>
        <v>601</v>
      </c>
      <c r="K602" s="20" t="b">
        <f>IFERROR(__xludf.DUMMYFUNCTION("""COMPUTED_VALUE"""),FALSE)</f>
        <v>0</v>
      </c>
      <c r="L602" s="20" t="str">
        <f>IFERROR(__xludf.DUMMYFUNCTION("""COMPUTED_VALUE"""),"Database;")</f>
        <v>Database;</v>
      </c>
      <c r="M602" s="20" t="b">
        <f>IFERROR(__xludf.DUMMYFUNCTION("""COMPUTED_VALUE"""),TRUE)</f>
        <v>1</v>
      </c>
      <c r="N602" s="20" t="b">
        <f>IFERROR(__xludf.DUMMYFUNCTION("""COMPUTED_VALUE"""),FALSE)</f>
        <v>0</v>
      </c>
      <c r="O602" s="20">
        <f>IFERROR(__xludf.DUMMYFUNCTION("""COMPUTED_VALUE"""),50.6561697899704)</f>
        <v>50.65616979</v>
      </c>
      <c r="P602" s="20">
        <f>IFERROR(__xludf.DUMMYFUNCTION("""COMPUTED_VALUE"""),73417.0)</f>
        <v>73417</v>
      </c>
      <c r="Q602" s="20">
        <f>IFERROR(__xludf.DUMMYFUNCTION("""COMPUTED_VALUE"""),144932.0)</f>
        <v>144932</v>
      </c>
    </row>
    <row r="603">
      <c r="A603" s="20">
        <f>IFERROR(__xludf.DUMMYFUNCTION("""COMPUTED_VALUE"""),602.0)</f>
        <v>602</v>
      </c>
      <c r="B603" s="20" t="str">
        <f>IFERROR(__xludf.DUMMYFUNCTION("""COMPUTED_VALUE"""),"Friend Requests II: Who Has the Most Friends")</f>
        <v>Friend Requests II: Who Has the Most Friends</v>
      </c>
      <c r="C603" s="20" t="str">
        <f>IFERROR(__xludf.DUMMYFUNCTION("""COMPUTED_VALUE"""),"friend-requests-ii-who-has-the-most-friends")</f>
        <v>friend-requests-ii-who-has-the-most-friends</v>
      </c>
      <c r="D603" s="20" t="b">
        <f>IFERROR(__xludf.DUMMYFUNCTION("""COMPUTED_VALUE"""),TRUE)</f>
        <v>1</v>
      </c>
      <c r="E603" s="20" t="str">
        <f>IFERROR(__xludf.DUMMYFUNCTION("""COMPUTED_VALUE"""),"Medium")</f>
        <v>Medium</v>
      </c>
      <c r="F603" s="20">
        <f>IFERROR(__xludf.DUMMYFUNCTION("""COMPUTED_VALUE"""),277.0)</f>
        <v>277</v>
      </c>
      <c r="G603" s="20">
        <f>IFERROR(__xludf.DUMMYFUNCTION("""COMPUTED_VALUE"""),76.0)</f>
        <v>76</v>
      </c>
      <c r="H603" s="20" t="str">
        <f>IFERROR(__xludf.DUMMYFUNCTION("""COMPUTED_VALUE"""),"Database")</f>
        <v>Database</v>
      </c>
      <c r="I603" s="20">
        <f>IFERROR(__xludf.DUMMYFUNCTION("""COMPUTED_VALUE"""),0.614)</f>
        <v>0.614</v>
      </c>
      <c r="J603" s="20">
        <f>IFERROR(__xludf.DUMMYFUNCTION("""COMPUTED_VALUE"""),602.0)</f>
        <v>602</v>
      </c>
      <c r="K603" s="20" t="b">
        <f>IFERROR(__xludf.DUMMYFUNCTION("""COMPUTED_VALUE"""),TRUE)</f>
        <v>1</v>
      </c>
      <c r="L603" s="20" t="str">
        <f>IFERROR(__xludf.DUMMYFUNCTION("""COMPUTED_VALUE"""),"Database;")</f>
        <v>Database;</v>
      </c>
      <c r="M603" s="20" t="b">
        <f>IFERROR(__xludf.DUMMYFUNCTION("""COMPUTED_VALUE"""),FALSE)</f>
        <v>0</v>
      </c>
      <c r="N603" s="20" t="b">
        <f>IFERROR(__xludf.DUMMYFUNCTION("""COMPUTED_VALUE"""),FALSE)</f>
        <v>0</v>
      </c>
      <c r="O603" s="20">
        <f>IFERROR(__xludf.DUMMYFUNCTION("""COMPUTED_VALUE"""),61.3649818486456)</f>
        <v>61.36498185</v>
      </c>
      <c r="P603" s="20">
        <f>IFERROR(__xludf.DUMMYFUNCTION("""COMPUTED_VALUE"""),54937.0)</f>
        <v>54937</v>
      </c>
      <c r="Q603" s="20">
        <f>IFERROR(__xludf.DUMMYFUNCTION("""COMPUTED_VALUE"""),89525.0)</f>
        <v>89525</v>
      </c>
    </row>
    <row r="604">
      <c r="A604" s="20">
        <f>IFERROR(__xludf.DUMMYFUNCTION("""COMPUTED_VALUE"""),603.0)</f>
        <v>603</v>
      </c>
      <c r="B604" s="20" t="str">
        <f>IFERROR(__xludf.DUMMYFUNCTION("""COMPUTED_VALUE"""),"Consecutive Available Seats")</f>
        <v>Consecutive Available Seats</v>
      </c>
      <c r="C604" s="20" t="str">
        <f>IFERROR(__xludf.DUMMYFUNCTION("""COMPUTED_VALUE"""),"consecutive-available-seats")</f>
        <v>consecutive-available-seats</v>
      </c>
      <c r="D604" s="20" t="b">
        <f>IFERROR(__xludf.DUMMYFUNCTION("""COMPUTED_VALUE"""),TRUE)</f>
        <v>1</v>
      </c>
      <c r="E604" s="20" t="str">
        <f>IFERROR(__xludf.DUMMYFUNCTION("""COMPUTED_VALUE"""),"Easy")</f>
        <v>Easy</v>
      </c>
      <c r="F604" s="20">
        <f>IFERROR(__xludf.DUMMYFUNCTION("""COMPUTED_VALUE"""),547.0)</f>
        <v>547</v>
      </c>
      <c r="G604" s="20">
        <f>IFERROR(__xludf.DUMMYFUNCTION("""COMPUTED_VALUE"""),52.0)</f>
        <v>52</v>
      </c>
      <c r="H604" s="20" t="str">
        <f>IFERROR(__xludf.DUMMYFUNCTION("""COMPUTED_VALUE"""),"Database")</f>
        <v>Database</v>
      </c>
      <c r="I604" s="20">
        <f>IFERROR(__xludf.DUMMYFUNCTION("""COMPUTED_VALUE"""),0.681)</f>
        <v>0.681</v>
      </c>
      <c r="J604" s="20">
        <f>IFERROR(__xludf.DUMMYFUNCTION("""COMPUTED_VALUE"""),603.0)</f>
        <v>603</v>
      </c>
      <c r="K604" s="20" t="b">
        <f>IFERROR(__xludf.DUMMYFUNCTION("""COMPUTED_VALUE"""),TRUE)</f>
        <v>1</v>
      </c>
      <c r="L604" s="20" t="str">
        <f>IFERROR(__xludf.DUMMYFUNCTION("""COMPUTED_VALUE"""),"Database;")</f>
        <v>Database;</v>
      </c>
      <c r="M604" s="20" t="b">
        <f>IFERROR(__xludf.DUMMYFUNCTION("""COMPUTED_VALUE"""),TRUE)</f>
        <v>1</v>
      </c>
      <c r="N604" s="20" t="b">
        <f>IFERROR(__xludf.DUMMYFUNCTION("""COMPUTED_VALUE"""),FALSE)</f>
        <v>0</v>
      </c>
      <c r="O604" s="20">
        <f>IFERROR(__xludf.DUMMYFUNCTION("""COMPUTED_VALUE"""),68.0995762919182)</f>
        <v>68.09957629</v>
      </c>
      <c r="P604" s="20">
        <f>IFERROR(__xludf.DUMMYFUNCTION("""COMPUTED_VALUE"""),69592.0)</f>
        <v>69592</v>
      </c>
      <c r="Q604" s="20">
        <f>IFERROR(__xludf.DUMMYFUNCTION("""COMPUTED_VALUE"""),102192.0)</f>
        <v>102192</v>
      </c>
    </row>
    <row r="605">
      <c r="A605" s="20">
        <f>IFERROR(__xludf.DUMMYFUNCTION("""COMPUTED_VALUE"""),604.0)</f>
        <v>604</v>
      </c>
      <c r="B605" s="20" t="str">
        <f>IFERROR(__xludf.DUMMYFUNCTION("""COMPUTED_VALUE"""),"Design Compressed String Iterator")</f>
        <v>Design Compressed String Iterator</v>
      </c>
      <c r="C605" s="20" t="str">
        <f>IFERROR(__xludf.DUMMYFUNCTION("""COMPUTED_VALUE"""),"design-compressed-string-iterator")</f>
        <v>design-compressed-string-iterator</v>
      </c>
      <c r="D605" s="20" t="b">
        <f>IFERROR(__xludf.DUMMYFUNCTION("""COMPUTED_VALUE"""),TRUE)</f>
        <v>1</v>
      </c>
      <c r="E605" s="20" t="str">
        <f>IFERROR(__xludf.DUMMYFUNCTION("""COMPUTED_VALUE"""),"Easy")</f>
        <v>Easy</v>
      </c>
      <c r="F605" s="20">
        <f>IFERROR(__xludf.DUMMYFUNCTION("""COMPUTED_VALUE"""),396.0)</f>
        <v>396</v>
      </c>
      <c r="G605" s="20">
        <f>IFERROR(__xludf.DUMMYFUNCTION("""COMPUTED_VALUE"""),139.0)</f>
        <v>139</v>
      </c>
      <c r="H605" s="20" t="str">
        <f>IFERROR(__xludf.DUMMYFUNCTION("""COMPUTED_VALUE"""),"Algorithms")</f>
        <v>Algorithms</v>
      </c>
      <c r="I605" s="20">
        <f>IFERROR(__xludf.DUMMYFUNCTION("""COMPUTED_VALUE"""),0.395)</f>
        <v>0.395</v>
      </c>
      <c r="J605" s="20">
        <f>IFERROR(__xludf.DUMMYFUNCTION("""COMPUTED_VALUE"""),604.0)</f>
        <v>604</v>
      </c>
      <c r="K605" s="20" t="b">
        <f>IFERROR(__xludf.DUMMYFUNCTION("""COMPUTED_VALUE"""),TRUE)</f>
        <v>1</v>
      </c>
      <c r="L605" s="20" t="str">
        <f>IFERROR(__xludf.DUMMYFUNCTION("""COMPUTED_VALUE"""),"Array;Hash Table;String;Design;Iterator;")</f>
        <v>Array;Hash Table;String;Design;Iterator;</v>
      </c>
      <c r="M605" s="20" t="b">
        <f>IFERROR(__xludf.DUMMYFUNCTION("""COMPUTED_VALUE"""),TRUE)</f>
        <v>1</v>
      </c>
      <c r="N605" s="20" t="b">
        <f>IFERROR(__xludf.DUMMYFUNCTION("""COMPUTED_VALUE"""),FALSE)</f>
        <v>0</v>
      </c>
      <c r="O605" s="20">
        <f>IFERROR(__xludf.DUMMYFUNCTION("""COMPUTED_VALUE"""),39.4983979670754)</f>
        <v>39.49839797</v>
      </c>
      <c r="P605" s="20">
        <f>IFERROR(__xludf.DUMMYFUNCTION("""COMPUTED_VALUE"""),28600.0)</f>
        <v>28600</v>
      </c>
      <c r="Q605" s="20">
        <f>IFERROR(__xludf.DUMMYFUNCTION("""COMPUTED_VALUE"""),72408.0)</f>
        <v>72408</v>
      </c>
    </row>
    <row r="606">
      <c r="A606" s="20">
        <f>IFERROR(__xludf.DUMMYFUNCTION("""COMPUTED_VALUE"""),605.0)</f>
        <v>605</v>
      </c>
      <c r="B606" s="20" t="str">
        <f>IFERROR(__xludf.DUMMYFUNCTION("""COMPUTED_VALUE"""),"Can Place Flowers")</f>
        <v>Can Place Flowers</v>
      </c>
      <c r="C606" s="20" t="str">
        <f>IFERROR(__xludf.DUMMYFUNCTION("""COMPUTED_VALUE"""),"can-place-flowers")</f>
        <v>can-place-flowers</v>
      </c>
      <c r="D606" s="20" t="b">
        <f>IFERROR(__xludf.DUMMYFUNCTION("""COMPUTED_VALUE"""),FALSE)</f>
        <v>0</v>
      </c>
      <c r="E606" s="20" t="str">
        <f>IFERROR(__xludf.DUMMYFUNCTION("""COMPUTED_VALUE"""),"Easy")</f>
        <v>Easy</v>
      </c>
      <c r="F606" s="20">
        <f>IFERROR(__xludf.DUMMYFUNCTION("""COMPUTED_VALUE"""),3395.0)</f>
        <v>3395</v>
      </c>
      <c r="G606" s="20">
        <f>IFERROR(__xludf.DUMMYFUNCTION("""COMPUTED_VALUE"""),704.0)</f>
        <v>704</v>
      </c>
      <c r="H606" s="20" t="str">
        <f>IFERROR(__xludf.DUMMYFUNCTION("""COMPUTED_VALUE"""),"Algorithms")</f>
        <v>Algorithms</v>
      </c>
      <c r="I606" s="20">
        <f>IFERROR(__xludf.DUMMYFUNCTION("""COMPUTED_VALUE"""),0.328)</f>
        <v>0.328</v>
      </c>
      <c r="J606" s="20">
        <f>IFERROR(__xludf.DUMMYFUNCTION("""COMPUTED_VALUE"""),605.0)</f>
        <v>605</v>
      </c>
      <c r="K606" s="20" t="b">
        <f>IFERROR(__xludf.DUMMYFUNCTION("""COMPUTED_VALUE"""),FALSE)</f>
        <v>0</v>
      </c>
      <c r="L606" s="20" t="str">
        <f>IFERROR(__xludf.DUMMYFUNCTION("""COMPUTED_VALUE"""),"Array;Greedy;")</f>
        <v>Array;Greedy;</v>
      </c>
      <c r="M606" s="20" t="b">
        <f>IFERROR(__xludf.DUMMYFUNCTION("""COMPUTED_VALUE"""),TRUE)</f>
        <v>1</v>
      </c>
      <c r="N606" s="20" t="b">
        <f>IFERROR(__xludf.DUMMYFUNCTION("""COMPUTED_VALUE"""),FALSE)</f>
        <v>0</v>
      </c>
      <c r="O606" s="20">
        <f>IFERROR(__xludf.DUMMYFUNCTION("""COMPUTED_VALUE"""),32.7978315354027)</f>
        <v>32.79783154</v>
      </c>
      <c r="P606" s="20">
        <f>IFERROR(__xludf.DUMMYFUNCTION("""COMPUTED_VALUE"""),335527.0)</f>
        <v>335527</v>
      </c>
      <c r="Q606" s="20">
        <f>IFERROR(__xludf.DUMMYFUNCTION("""COMPUTED_VALUE"""),1023008.0)</f>
        <v>1023008</v>
      </c>
    </row>
    <row r="607">
      <c r="A607" s="20">
        <f>IFERROR(__xludf.DUMMYFUNCTION("""COMPUTED_VALUE"""),606.0)</f>
        <v>606</v>
      </c>
      <c r="B607" s="20" t="str">
        <f>IFERROR(__xludf.DUMMYFUNCTION("""COMPUTED_VALUE"""),"Construct String from Binary Tree")</f>
        <v>Construct String from Binary Tree</v>
      </c>
      <c r="C607" s="20" t="str">
        <f>IFERROR(__xludf.DUMMYFUNCTION("""COMPUTED_VALUE"""),"construct-string-from-binary-tree")</f>
        <v>construct-string-from-binary-tree</v>
      </c>
      <c r="D607" s="20" t="b">
        <f>IFERROR(__xludf.DUMMYFUNCTION("""COMPUTED_VALUE"""),FALSE)</f>
        <v>0</v>
      </c>
      <c r="E607" s="20" t="str">
        <f>IFERROR(__xludf.DUMMYFUNCTION("""COMPUTED_VALUE"""),"Easy")</f>
        <v>Easy</v>
      </c>
      <c r="F607" s="20">
        <f>IFERROR(__xludf.DUMMYFUNCTION("""COMPUTED_VALUE"""),2436.0)</f>
        <v>2436</v>
      </c>
      <c r="G607" s="20">
        <f>IFERROR(__xludf.DUMMYFUNCTION("""COMPUTED_VALUE"""),2935.0)</f>
        <v>2935</v>
      </c>
      <c r="H607" s="20" t="str">
        <f>IFERROR(__xludf.DUMMYFUNCTION("""COMPUTED_VALUE"""),"Algorithms")</f>
        <v>Algorithms</v>
      </c>
      <c r="I607" s="20">
        <f>IFERROR(__xludf.DUMMYFUNCTION("""COMPUTED_VALUE"""),0.637)</f>
        <v>0.637</v>
      </c>
      <c r="J607" s="20">
        <f>IFERROR(__xludf.DUMMYFUNCTION("""COMPUTED_VALUE"""),606.0)</f>
        <v>606</v>
      </c>
      <c r="K607" s="20" t="b">
        <f>IFERROR(__xludf.DUMMYFUNCTION("""COMPUTED_VALUE"""),FALSE)</f>
        <v>0</v>
      </c>
      <c r="L607" s="20" t="str">
        <f>IFERROR(__xludf.DUMMYFUNCTION("""COMPUTED_VALUE"""),"String;Tree;Depth-First Search;Binary Tree;")</f>
        <v>String;Tree;Depth-First Search;Binary Tree;</v>
      </c>
      <c r="M607" s="20" t="b">
        <f>IFERROR(__xludf.DUMMYFUNCTION("""COMPUTED_VALUE"""),TRUE)</f>
        <v>1</v>
      </c>
      <c r="N607" s="20" t="b">
        <f>IFERROR(__xludf.DUMMYFUNCTION("""COMPUTED_VALUE"""),FALSE)</f>
        <v>0</v>
      </c>
      <c r="O607" s="20">
        <f>IFERROR(__xludf.DUMMYFUNCTION("""COMPUTED_VALUE"""),63.6879337143696)</f>
        <v>63.68793371</v>
      </c>
      <c r="P607" s="20">
        <f>IFERROR(__xludf.DUMMYFUNCTION("""COMPUTED_VALUE"""),208150.0)</f>
        <v>208150</v>
      </c>
      <c r="Q607" s="20">
        <f>IFERROR(__xludf.DUMMYFUNCTION("""COMPUTED_VALUE"""),326828.0)</f>
        <v>326828</v>
      </c>
    </row>
    <row r="608">
      <c r="A608" s="20">
        <f>IFERROR(__xludf.DUMMYFUNCTION("""COMPUTED_VALUE"""),607.0)</f>
        <v>607</v>
      </c>
      <c r="B608" s="20" t="str">
        <f>IFERROR(__xludf.DUMMYFUNCTION("""COMPUTED_VALUE"""),"Sales Person")</f>
        <v>Sales Person</v>
      </c>
      <c r="C608" s="20" t="str">
        <f>IFERROR(__xludf.DUMMYFUNCTION("""COMPUTED_VALUE"""),"sales-person")</f>
        <v>sales-person</v>
      </c>
      <c r="D608" s="20" t="b">
        <f>IFERROR(__xludf.DUMMYFUNCTION("""COMPUTED_VALUE"""),FALSE)</f>
        <v>0</v>
      </c>
      <c r="E608" s="20" t="str">
        <f>IFERROR(__xludf.DUMMYFUNCTION("""COMPUTED_VALUE"""),"Easy")</f>
        <v>Easy</v>
      </c>
      <c r="F608" s="20">
        <f>IFERROR(__xludf.DUMMYFUNCTION("""COMPUTED_VALUE"""),680.0)</f>
        <v>680</v>
      </c>
      <c r="G608" s="20">
        <f>IFERROR(__xludf.DUMMYFUNCTION("""COMPUTED_VALUE"""),66.0)</f>
        <v>66</v>
      </c>
      <c r="H608" s="20" t="str">
        <f>IFERROR(__xludf.DUMMYFUNCTION("""COMPUTED_VALUE"""),"Database")</f>
        <v>Database</v>
      </c>
      <c r="I608" s="20">
        <f>IFERROR(__xludf.DUMMYFUNCTION("""COMPUTED_VALUE"""),0.715)</f>
        <v>0.715</v>
      </c>
      <c r="J608" s="20">
        <f>IFERROR(__xludf.DUMMYFUNCTION("""COMPUTED_VALUE"""),607.0)</f>
        <v>607</v>
      </c>
      <c r="K608" s="20" t="b">
        <f>IFERROR(__xludf.DUMMYFUNCTION("""COMPUTED_VALUE"""),FALSE)</f>
        <v>0</v>
      </c>
      <c r="L608" s="20" t="str">
        <f>IFERROR(__xludf.DUMMYFUNCTION("""COMPUTED_VALUE"""),"Database;")</f>
        <v>Database;</v>
      </c>
      <c r="M608" s="20" t="b">
        <f>IFERROR(__xludf.DUMMYFUNCTION("""COMPUTED_VALUE"""),TRUE)</f>
        <v>1</v>
      </c>
      <c r="N608" s="20" t="b">
        <f>IFERROR(__xludf.DUMMYFUNCTION("""COMPUTED_VALUE"""),FALSE)</f>
        <v>0</v>
      </c>
      <c r="O608" s="20">
        <f>IFERROR(__xludf.DUMMYFUNCTION("""COMPUTED_VALUE"""),71.5380831096691)</f>
        <v>71.53808311</v>
      </c>
      <c r="P608" s="20">
        <f>IFERROR(__xludf.DUMMYFUNCTION("""COMPUTED_VALUE"""),114877.0)</f>
        <v>114877</v>
      </c>
      <c r="Q608" s="20">
        <f>IFERROR(__xludf.DUMMYFUNCTION("""COMPUTED_VALUE"""),160581.0)</f>
        <v>160581</v>
      </c>
    </row>
    <row r="609">
      <c r="A609" s="20">
        <f>IFERROR(__xludf.DUMMYFUNCTION("""COMPUTED_VALUE"""),608.0)</f>
        <v>608</v>
      </c>
      <c r="B609" s="20" t="str">
        <f>IFERROR(__xludf.DUMMYFUNCTION("""COMPUTED_VALUE"""),"Tree Node")</f>
        <v>Tree Node</v>
      </c>
      <c r="C609" s="20" t="str">
        <f>IFERROR(__xludf.DUMMYFUNCTION("""COMPUTED_VALUE"""),"tree-node")</f>
        <v>tree-node</v>
      </c>
      <c r="D609" s="20" t="b">
        <f>IFERROR(__xludf.DUMMYFUNCTION("""COMPUTED_VALUE"""),FALSE)</f>
        <v>0</v>
      </c>
      <c r="E609" s="20" t="str">
        <f>IFERROR(__xludf.DUMMYFUNCTION("""COMPUTED_VALUE"""),"Medium")</f>
        <v>Medium</v>
      </c>
      <c r="F609" s="20">
        <f>IFERROR(__xludf.DUMMYFUNCTION("""COMPUTED_VALUE"""),835.0)</f>
        <v>835</v>
      </c>
      <c r="G609" s="20">
        <f>IFERROR(__xludf.DUMMYFUNCTION("""COMPUTED_VALUE"""),100.0)</f>
        <v>100</v>
      </c>
      <c r="H609" s="20" t="str">
        <f>IFERROR(__xludf.DUMMYFUNCTION("""COMPUTED_VALUE"""),"Database")</f>
        <v>Database</v>
      </c>
      <c r="I609" s="20">
        <f>IFERROR(__xludf.DUMMYFUNCTION("""COMPUTED_VALUE"""),0.719)</f>
        <v>0.719</v>
      </c>
      <c r="J609" s="20">
        <f>IFERROR(__xludf.DUMMYFUNCTION("""COMPUTED_VALUE"""),608.0)</f>
        <v>608</v>
      </c>
      <c r="K609" s="20" t="b">
        <f>IFERROR(__xludf.DUMMYFUNCTION("""COMPUTED_VALUE"""),FALSE)</f>
        <v>0</v>
      </c>
      <c r="L609" s="20" t="str">
        <f>IFERROR(__xludf.DUMMYFUNCTION("""COMPUTED_VALUE"""),"Database;")</f>
        <v>Database;</v>
      </c>
      <c r="M609" s="20" t="b">
        <f>IFERROR(__xludf.DUMMYFUNCTION("""COMPUTED_VALUE"""),TRUE)</f>
        <v>1</v>
      </c>
      <c r="N609" s="20" t="b">
        <f>IFERROR(__xludf.DUMMYFUNCTION("""COMPUTED_VALUE"""),FALSE)</f>
        <v>0</v>
      </c>
      <c r="O609" s="20">
        <f>IFERROR(__xludf.DUMMYFUNCTION("""COMPUTED_VALUE"""),71.9028363806844)</f>
        <v>71.90283638</v>
      </c>
      <c r="P609" s="20">
        <f>IFERROR(__xludf.DUMMYFUNCTION("""COMPUTED_VALUE"""),98154.0)</f>
        <v>98154</v>
      </c>
      <c r="Q609" s="20">
        <f>IFERROR(__xludf.DUMMYFUNCTION("""COMPUTED_VALUE"""),136509.0)</f>
        <v>136509</v>
      </c>
    </row>
    <row r="610">
      <c r="A610" s="20">
        <f>IFERROR(__xludf.DUMMYFUNCTION("""COMPUTED_VALUE"""),609.0)</f>
        <v>609</v>
      </c>
      <c r="B610" s="20" t="str">
        <f>IFERROR(__xludf.DUMMYFUNCTION("""COMPUTED_VALUE"""),"Find Duplicate File in System")</f>
        <v>Find Duplicate File in System</v>
      </c>
      <c r="C610" s="20" t="str">
        <f>IFERROR(__xludf.DUMMYFUNCTION("""COMPUTED_VALUE"""),"find-duplicate-file-in-system")</f>
        <v>find-duplicate-file-in-system</v>
      </c>
      <c r="D610" s="20" t="b">
        <f>IFERROR(__xludf.DUMMYFUNCTION("""COMPUTED_VALUE"""),FALSE)</f>
        <v>0</v>
      </c>
      <c r="E610" s="20" t="str">
        <f>IFERROR(__xludf.DUMMYFUNCTION("""COMPUTED_VALUE"""),"Medium")</f>
        <v>Medium</v>
      </c>
      <c r="F610" s="20">
        <f>IFERROR(__xludf.DUMMYFUNCTION("""COMPUTED_VALUE"""),1426.0)</f>
        <v>1426</v>
      </c>
      <c r="G610" s="20">
        <f>IFERROR(__xludf.DUMMYFUNCTION("""COMPUTED_VALUE"""),1600.0)</f>
        <v>1600</v>
      </c>
      <c r="H610" s="20" t="str">
        <f>IFERROR(__xludf.DUMMYFUNCTION("""COMPUTED_VALUE"""),"Algorithms")</f>
        <v>Algorithms</v>
      </c>
      <c r="I610" s="20">
        <f>IFERROR(__xludf.DUMMYFUNCTION("""COMPUTED_VALUE"""),0.678)</f>
        <v>0.678</v>
      </c>
      <c r="J610" s="20">
        <f>IFERROR(__xludf.DUMMYFUNCTION("""COMPUTED_VALUE"""),609.0)</f>
        <v>609</v>
      </c>
      <c r="K610" s="20" t="b">
        <f>IFERROR(__xludf.DUMMYFUNCTION("""COMPUTED_VALUE"""),FALSE)</f>
        <v>0</v>
      </c>
      <c r="L610" s="20" t="str">
        <f>IFERROR(__xludf.DUMMYFUNCTION("""COMPUTED_VALUE"""),"Array;Hash Table;String;")</f>
        <v>Array;Hash Table;String;</v>
      </c>
      <c r="M610" s="20" t="b">
        <f>IFERROR(__xludf.DUMMYFUNCTION("""COMPUTED_VALUE"""),TRUE)</f>
        <v>1</v>
      </c>
      <c r="N610" s="20" t="b">
        <f>IFERROR(__xludf.DUMMYFUNCTION("""COMPUTED_VALUE"""),FALSE)</f>
        <v>0</v>
      </c>
      <c r="O610" s="20">
        <f>IFERROR(__xludf.DUMMYFUNCTION("""COMPUTED_VALUE"""),67.8096139505535)</f>
        <v>67.80961395</v>
      </c>
      <c r="P610" s="20">
        <f>IFERROR(__xludf.DUMMYFUNCTION("""COMPUTED_VALUE"""),141855.0)</f>
        <v>141855</v>
      </c>
      <c r="Q610" s="20">
        <f>IFERROR(__xludf.DUMMYFUNCTION("""COMPUTED_VALUE"""),209196.0)</f>
        <v>209196</v>
      </c>
    </row>
    <row r="611">
      <c r="A611" s="20">
        <f>IFERROR(__xludf.DUMMYFUNCTION("""COMPUTED_VALUE"""),610.0)</f>
        <v>610</v>
      </c>
      <c r="B611" s="20" t="str">
        <f>IFERROR(__xludf.DUMMYFUNCTION("""COMPUTED_VALUE"""),"Triangle Judgement")</f>
        <v>Triangle Judgement</v>
      </c>
      <c r="C611" s="20" t="str">
        <f>IFERROR(__xludf.DUMMYFUNCTION("""COMPUTED_VALUE"""),"triangle-judgement")</f>
        <v>triangle-judgement</v>
      </c>
      <c r="D611" s="20" t="b">
        <f>IFERROR(__xludf.DUMMYFUNCTION("""COMPUTED_VALUE"""),TRUE)</f>
        <v>1</v>
      </c>
      <c r="E611" s="20" t="str">
        <f>IFERROR(__xludf.DUMMYFUNCTION("""COMPUTED_VALUE"""),"Easy")</f>
        <v>Easy</v>
      </c>
      <c r="F611" s="20">
        <f>IFERROR(__xludf.DUMMYFUNCTION("""COMPUTED_VALUE"""),228.0)</f>
        <v>228</v>
      </c>
      <c r="G611" s="20">
        <f>IFERROR(__xludf.DUMMYFUNCTION("""COMPUTED_VALUE"""),58.0)</f>
        <v>58</v>
      </c>
      <c r="H611" s="20" t="str">
        <f>IFERROR(__xludf.DUMMYFUNCTION("""COMPUTED_VALUE"""),"Database")</f>
        <v>Database</v>
      </c>
      <c r="I611" s="20">
        <f>IFERROR(__xludf.DUMMYFUNCTION("""COMPUTED_VALUE"""),0.71)</f>
        <v>0.71</v>
      </c>
      <c r="J611" s="20">
        <f>IFERROR(__xludf.DUMMYFUNCTION("""COMPUTED_VALUE"""),610.0)</f>
        <v>610</v>
      </c>
      <c r="K611" s="20" t="b">
        <f>IFERROR(__xludf.DUMMYFUNCTION("""COMPUTED_VALUE"""),TRUE)</f>
        <v>1</v>
      </c>
      <c r="L611" s="20" t="str">
        <f>IFERROR(__xludf.DUMMYFUNCTION("""COMPUTED_VALUE"""),"Database;")</f>
        <v>Database;</v>
      </c>
      <c r="M611" s="20" t="b">
        <f>IFERROR(__xludf.DUMMYFUNCTION("""COMPUTED_VALUE"""),TRUE)</f>
        <v>1</v>
      </c>
      <c r="N611" s="20" t="b">
        <f>IFERROR(__xludf.DUMMYFUNCTION("""COMPUTED_VALUE"""),FALSE)</f>
        <v>0</v>
      </c>
      <c r="O611" s="20">
        <f>IFERROR(__xludf.DUMMYFUNCTION("""COMPUTED_VALUE"""),71.0364956342588)</f>
        <v>71.03649563</v>
      </c>
      <c r="P611" s="20">
        <f>IFERROR(__xludf.DUMMYFUNCTION("""COMPUTED_VALUE"""),57926.0)</f>
        <v>57926</v>
      </c>
      <c r="Q611" s="20">
        <f>IFERROR(__xludf.DUMMYFUNCTION("""COMPUTED_VALUE"""),81544.0)</f>
        <v>81544</v>
      </c>
    </row>
    <row r="612">
      <c r="A612" s="20">
        <f>IFERROR(__xludf.DUMMYFUNCTION("""COMPUTED_VALUE"""),611.0)</f>
        <v>611</v>
      </c>
      <c r="B612" s="20" t="str">
        <f>IFERROR(__xludf.DUMMYFUNCTION("""COMPUTED_VALUE"""),"Valid Triangle Number")</f>
        <v>Valid Triangle Number</v>
      </c>
      <c r="C612" s="20" t="str">
        <f>IFERROR(__xludf.DUMMYFUNCTION("""COMPUTED_VALUE"""),"valid-triangle-number")</f>
        <v>valid-triangle-number</v>
      </c>
      <c r="D612" s="20" t="b">
        <f>IFERROR(__xludf.DUMMYFUNCTION("""COMPUTED_VALUE"""),FALSE)</f>
        <v>0</v>
      </c>
      <c r="E612" s="20" t="str">
        <f>IFERROR(__xludf.DUMMYFUNCTION("""COMPUTED_VALUE"""),"Medium")</f>
        <v>Medium</v>
      </c>
      <c r="F612" s="20">
        <f>IFERROR(__xludf.DUMMYFUNCTION("""COMPUTED_VALUE"""),3136.0)</f>
        <v>3136</v>
      </c>
      <c r="G612" s="20">
        <f>IFERROR(__xludf.DUMMYFUNCTION("""COMPUTED_VALUE"""),175.0)</f>
        <v>175</v>
      </c>
      <c r="H612" s="20" t="str">
        <f>IFERROR(__xludf.DUMMYFUNCTION("""COMPUTED_VALUE"""),"Algorithms")</f>
        <v>Algorithms</v>
      </c>
      <c r="I612" s="20">
        <f>IFERROR(__xludf.DUMMYFUNCTION("""COMPUTED_VALUE"""),0.504)</f>
        <v>0.504</v>
      </c>
      <c r="J612" s="20">
        <f>IFERROR(__xludf.DUMMYFUNCTION("""COMPUTED_VALUE"""),611.0)</f>
        <v>611</v>
      </c>
      <c r="K612" s="20" t="b">
        <f>IFERROR(__xludf.DUMMYFUNCTION("""COMPUTED_VALUE"""),FALSE)</f>
        <v>0</v>
      </c>
      <c r="L612" s="20" t="str">
        <f>IFERROR(__xludf.DUMMYFUNCTION("""COMPUTED_VALUE"""),"Array;Two Pointers;Binary Search;Greedy;Sorting;")</f>
        <v>Array;Two Pointers;Binary Search;Greedy;Sorting;</v>
      </c>
      <c r="M612" s="20" t="b">
        <f>IFERROR(__xludf.DUMMYFUNCTION("""COMPUTED_VALUE"""),TRUE)</f>
        <v>1</v>
      </c>
      <c r="N612" s="20" t="b">
        <f>IFERROR(__xludf.DUMMYFUNCTION("""COMPUTED_VALUE"""),FALSE)</f>
        <v>0</v>
      </c>
      <c r="O612" s="20">
        <f>IFERROR(__xludf.DUMMYFUNCTION("""COMPUTED_VALUE"""),50.4385414575386)</f>
        <v>50.43854146</v>
      </c>
      <c r="P612" s="20">
        <f>IFERROR(__xludf.DUMMYFUNCTION("""COMPUTED_VALUE"""),160789.0)</f>
        <v>160789</v>
      </c>
      <c r="Q612" s="20">
        <f>IFERROR(__xludf.DUMMYFUNCTION("""COMPUTED_VALUE"""),318781.0)</f>
        <v>318781</v>
      </c>
    </row>
    <row r="613">
      <c r="A613" s="20">
        <f>IFERROR(__xludf.DUMMYFUNCTION("""COMPUTED_VALUE"""),612.0)</f>
        <v>612</v>
      </c>
      <c r="B613" s="20" t="str">
        <f>IFERROR(__xludf.DUMMYFUNCTION("""COMPUTED_VALUE"""),"Shortest Distance in a Plane")</f>
        <v>Shortest Distance in a Plane</v>
      </c>
      <c r="C613" s="20" t="str">
        <f>IFERROR(__xludf.DUMMYFUNCTION("""COMPUTED_VALUE"""),"shortest-distance-in-a-plane")</f>
        <v>shortest-distance-in-a-plane</v>
      </c>
      <c r="D613" s="20" t="b">
        <f>IFERROR(__xludf.DUMMYFUNCTION("""COMPUTED_VALUE"""),TRUE)</f>
        <v>1</v>
      </c>
      <c r="E613" s="20" t="str">
        <f>IFERROR(__xludf.DUMMYFUNCTION("""COMPUTED_VALUE"""),"Medium")</f>
        <v>Medium</v>
      </c>
      <c r="F613" s="20">
        <f>IFERROR(__xludf.DUMMYFUNCTION("""COMPUTED_VALUE"""),193.0)</f>
        <v>193</v>
      </c>
      <c r="G613" s="20">
        <f>IFERROR(__xludf.DUMMYFUNCTION("""COMPUTED_VALUE"""),65.0)</f>
        <v>65</v>
      </c>
      <c r="H613" s="20" t="str">
        <f>IFERROR(__xludf.DUMMYFUNCTION("""COMPUTED_VALUE"""),"Database")</f>
        <v>Database</v>
      </c>
      <c r="I613" s="20">
        <f>IFERROR(__xludf.DUMMYFUNCTION("""COMPUTED_VALUE"""),0.633)</f>
        <v>0.633</v>
      </c>
      <c r="J613" s="20">
        <f>IFERROR(__xludf.DUMMYFUNCTION("""COMPUTED_VALUE"""),612.0)</f>
        <v>612</v>
      </c>
      <c r="K613" s="20" t="b">
        <f>IFERROR(__xludf.DUMMYFUNCTION("""COMPUTED_VALUE"""),TRUE)</f>
        <v>1</v>
      </c>
      <c r="L613" s="20" t="str">
        <f>IFERROR(__xludf.DUMMYFUNCTION("""COMPUTED_VALUE"""),"Database;")</f>
        <v>Database;</v>
      </c>
      <c r="M613" s="20" t="b">
        <f>IFERROR(__xludf.DUMMYFUNCTION("""COMPUTED_VALUE"""),TRUE)</f>
        <v>1</v>
      </c>
      <c r="N613" s="20" t="b">
        <f>IFERROR(__xludf.DUMMYFUNCTION("""COMPUTED_VALUE"""),FALSE)</f>
        <v>0</v>
      </c>
      <c r="O613" s="20">
        <f>IFERROR(__xludf.DUMMYFUNCTION("""COMPUTED_VALUE"""),63.2600659224591)</f>
        <v>63.26006592</v>
      </c>
      <c r="P613" s="20">
        <f>IFERROR(__xludf.DUMMYFUNCTION("""COMPUTED_VALUE"""),34738.0)</f>
        <v>34738</v>
      </c>
      <c r="Q613" s="20">
        <f>IFERROR(__xludf.DUMMYFUNCTION("""COMPUTED_VALUE"""),54913.0)</f>
        <v>54913</v>
      </c>
    </row>
    <row r="614">
      <c r="A614" s="20">
        <f>IFERROR(__xludf.DUMMYFUNCTION("""COMPUTED_VALUE"""),613.0)</f>
        <v>613</v>
      </c>
      <c r="B614" s="20" t="str">
        <f>IFERROR(__xludf.DUMMYFUNCTION("""COMPUTED_VALUE"""),"Shortest Distance in a Line")</f>
        <v>Shortest Distance in a Line</v>
      </c>
      <c r="C614" s="20" t="str">
        <f>IFERROR(__xludf.DUMMYFUNCTION("""COMPUTED_VALUE"""),"shortest-distance-in-a-line")</f>
        <v>shortest-distance-in-a-line</v>
      </c>
      <c r="D614" s="20" t="b">
        <f>IFERROR(__xludf.DUMMYFUNCTION("""COMPUTED_VALUE"""),TRUE)</f>
        <v>1</v>
      </c>
      <c r="E614" s="20" t="str">
        <f>IFERROR(__xludf.DUMMYFUNCTION("""COMPUTED_VALUE"""),"Easy")</f>
        <v>Easy</v>
      </c>
      <c r="F614" s="20">
        <f>IFERROR(__xludf.DUMMYFUNCTION("""COMPUTED_VALUE"""),283.0)</f>
        <v>283</v>
      </c>
      <c r="G614" s="20">
        <f>IFERROR(__xludf.DUMMYFUNCTION("""COMPUTED_VALUE"""),37.0)</f>
        <v>37</v>
      </c>
      <c r="H614" s="20" t="str">
        <f>IFERROR(__xludf.DUMMYFUNCTION("""COMPUTED_VALUE"""),"Database")</f>
        <v>Database</v>
      </c>
      <c r="I614" s="20">
        <f>IFERROR(__xludf.DUMMYFUNCTION("""COMPUTED_VALUE"""),0.813)</f>
        <v>0.813</v>
      </c>
      <c r="J614" s="20">
        <f>IFERROR(__xludf.DUMMYFUNCTION("""COMPUTED_VALUE"""),613.0)</f>
        <v>613</v>
      </c>
      <c r="K614" s="20" t="b">
        <f>IFERROR(__xludf.DUMMYFUNCTION("""COMPUTED_VALUE"""),TRUE)</f>
        <v>1</v>
      </c>
      <c r="L614" s="20" t="str">
        <f>IFERROR(__xludf.DUMMYFUNCTION("""COMPUTED_VALUE"""),"Database;")</f>
        <v>Database;</v>
      </c>
      <c r="M614" s="20" t="b">
        <f>IFERROR(__xludf.DUMMYFUNCTION("""COMPUTED_VALUE"""),TRUE)</f>
        <v>1</v>
      </c>
      <c r="N614" s="20" t="b">
        <f>IFERROR(__xludf.DUMMYFUNCTION("""COMPUTED_VALUE"""),FALSE)</f>
        <v>0</v>
      </c>
      <c r="O614" s="20">
        <f>IFERROR(__xludf.DUMMYFUNCTION("""COMPUTED_VALUE"""),81.3090759865946)</f>
        <v>81.30907599</v>
      </c>
      <c r="P614" s="20">
        <f>IFERROR(__xludf.DUMMYFUNCTION("""COMPUTED_VALUE"""),59441.0)</f>
        <v>59441</v>
      </c>
      <c r="Q614" s="20">
        <f>IFERROR(__xludf.DUMMYFUNCTION("""COMPUTED_VALUE"""),73105.0)</f>
        <v>73105</v>
      </c>
    </row>
    <row r="615">
      <c r="A615" s="20">
        <f>IFERROR(__xludf.DUMMYFUNCTION("""COMPUTED_VALUE"""),614.0)</f>
        <v>614</v>
      </c>
      <c r="B615" s="20" t="str">
        <f>IFERROR(__xludf.DUMMYFUNCTION("""COMPUTED_VALUE"""),"Second Degree Follower")</f>
        <v>Second Degree Follower</v>
      </c>
      <c r="C615" s="20" t="str">
        <f>IFERROR(__xludf.DUMMYFUNCTION("""COMPUTED_VALUE"""),"second-degree-follower")</f>
        <v>second-degree-follower</v>
      </c>
      <c r="D615" s="20" t="b">
        <f>IFERROR(__xludf.DUMMYFUNCTION("""COMPUTED_VALUE"""),TRUE)</f>
        <v>1</v>
      </c>
      <c r="E615" s="20" t="str">
        <f>IFERROR(__xludf.DUMMYFUNCTION("""COMPUTED_VALUE"""),"Medium")</f>
        <v>Medium</v>
      </c>
      <c r="F615" s="20">
        <f>IFERROR(__xludf.DUMMYFUNCTION("""COMPUTED_VALUE"""),134.0)</f>
        <v>134</v>
      </c>
      <c r="G615" s="20">
        <f>IFERROR(__xludf.DUMMYFUNCTION("""COMPUTED_VALUE"""),726.0)</f>
        <v>726</v>
      </c>
      <c r="H615" s="20" t="str">
        <f>IFERROR(__xludf.DUMMYFUNCTION("""COMPUTED_VALUE"""),"Database")</f>
        <v>Database</v>
      </c>
      <c r="I615" s="20">
        <f>IFERROR(__xludf.DUMMYFUNCTION("""COMPUTED_VALUE"""),0.372)</f>
        <v>0.372</v>
      </c>
      <c r="J615" s="20">
        <f>IFERROR(__xludf.DUMMYFUNCTION("""COMPUTED_VALUE"""),614.0)</f>
        <v>614</v>
      </c>
      <c r="K615" s="20" t="b">
        <f>IFERROR(__xludf.DUMMYFUNCTION("""COMPUTED_VALUE"""),TRUE)</f>
        <v>1</v>
      </c>
      <c r="L615" s="20" t="str">
        <f>IFERROR(__xludf.DUMMYFUNCTION("""COMPUTED_VALUE"""),"Database;")</f>
        <v>Database;</v>
      </c>
      <c r="M615" s="20" t="b">
        <f>IFERROR(__xludf.DUMMYFUNCTION("""COMPUTED_VALUE"""),FALSE)</f>
        <v>0</v>
      </c>
      <c r="N615" s="20" t="b">
        <f>IFERROR(__xludf.DUMMYFUNCTION("""COMPUTED_VALUE"""),FALSE)</f>
        <v>0</v>
      </c>
      <c r="O615" s="20">
        <f>IFERROR(__xludf.DUMMYFUNCTION("""COMPUTED_VALUE"""),37.1689154401248)</f>
        <v>37.16891544</v>
      </c>
      <c r="P615" s="20">
        <f>IFERROR(__xludf.DUMMYFUNCTION("""COMPUTED_VALUE"""),45481.0)</f>
        <v>45481</v>
      </c>
      <c r="Q615" s="20">
        <f>IFERROR(__xludf.DUMMYFUNCTION("""COMPUTED_VALUE"""),122363.0)</f>
        <v>122363</v>
      </c>
    </row>
    <row r="616">
      <c r="A616" s="20">
        <f>IFERROR(__xludf.DUMMYFUNCTION("""COMPUTED_VALUE"""),615.0)</f>
        <v>615</v>
      </c>
      <c r="B616" s="20" t="str">
        <f>IFERROR(__xludf.DUMMYFUNCTION("""COMPUTED_VALUE"""),"Average Salary: Departments VS Company")</f>
        <v>Average Salary: Departments VS Company</v>
      </c>
      <c r="C616" s="20" t="str">
        <f>IFERROR(__xludf.DUMMYFUNCTION("""COMPUTED_VALUE"""),"average-salary-departments-vs-company")</f>
        <v>average-salary-departments-vs-company</v>
      </c>
      <c r="D616" s="20" t="b">
        <f>IFERROR(__xludf.DUMMYFUNCTION("""COMPUTED_VALUE"""),TRUE)</f>
        <v>1</v>
      </c>
      <c r="E616" s="20" t="str">
        <f>IFERROR(__xludf.DUMMYFUNCTION("""COMPUTED_VALUE"""),"Hard")</f>
        <v>Hard</v>
      </c>
      <c r="F616" s="20">
        <f>IFERROR(__xludf.DUMMYFUNCTION("""COMPUTED_VALUE"""),203.0)</f>
        <v>203</v>
      </c>
      <c r="G616" s="20">
        <f>IFERROR(__xludf.DUMMYFUNCTION("""COMPUTED_VALUE"""),68.0)</f>
        <v>68</v>
      </c>
      <c r="H616" s="20" t="str">
        <f>IFERROR(__xludf.DUMMYFUNCTION("""COMPUTED_VALUE"""),"Database")</f>
        <v>Database</v>
      </c>
      <c r="I616" s="20">
        <f>IFERROR(__xludf.DUMMYFUNCTION("""COMPUTED_VALUE"""),0.572)</f>
        <v>0.572</v>
      </c>
      <c r="J616" s="20">
        <f>IFERROR(__xludf.DUMMYFUNCTION("""COMPUTED_VALUE"""),615.0)</f>
        <v>615</v>
      </c>
      <c r="K616" s="20" t="b">
        <f>IFERROR(__xludf.DUMMYFUNCTION("""COMPUTED_VALUE"""),TRUE)</f>
        <v>1</v>
      </c>
      <c r="L616" s="20" t="str">
        <f>IFERROR(__xludf.DUMMYFUNCTION("""COMPUTED_VALUE"""),"Database;")</f>
        <v>Database;</v>
      </c>
      <c r="M616" s="20" t="b">
        <f>IFERROR(__xludf.DUMMYFUNCTION("""COMPUTED_VALUE"""),TRUE)</f>
        <v>1</v>
      </c>
      <c r="N616" s="20" t="b">
        <f>IFERROR(__xludf.DUMMYFUNCTION("""COMPUTED_VALUE"""),FALSE)</f>
        <v>0</v>
      </c>
      <c r="O616" s="20">
        <f>IFERROR(__xludf.DUMMYFUNCTION("""COMPUTED_VALUE"""),57.2239818580504)</f>
        <v>57.22398186</v>
      </c>
      <c r="P616" s="20">
        <f>IFERROR(__xludf.DUMMYFUNCTION("""COMPUTED_VALUE"""),30533.0)</f>
        <v>30533</v>
      </c>
      <c r="Q616" s="20">
        <f>IFERROR(__xludf.DUMMYFUNCTION("""COMPUTED_VALUE"""),53357.0)</f>
        <v>53357</v>
      </c>
    </row>
    <row r="617">
      <c r="A617" s="20">
        <f>IFERROR(__xludf.DUMMYFUNCTION("""COMPUTED_VALUE"""),616.0)</f>
        <v>616</v>
      </c>
      <c r="B617" s="20" t="str">
        <f>IFERROR(__xludf.DUMMYFUNCTION("""COMPUTED_VALUE"""),"Add Bold Tag in String")</f>
        <v>Add Bold Tag in String</v>
      </c>
      <c r="C617" s="20" t="str">
        <f>IFERROR(__xludf.DUMMYFUNCTION("""COMPUTED_VALUE"""),"add-bold-tag-in-string")</f>
        <v>add-bold-tag-in-string</v>
      </c>
      <c r="D617" s="20" t="b">
        <f>IFERROR(__xludf.DUMMYFUNCTION("""COMPUTED_VALUE"""),TRUE)</f>
        <v>1</v>
      </c>
      <c r="E617" s="20" t="str">
        <f>IFERROR(__xludf.DUMMYFUNCTION("""COMPUTED_VALUE"""),"Medium")</f>
        <v>Medium</v>
      </c>
      <c r="F617" s="20">
        <f>IFERROR(__xludf.DUMMYFUNCTION("""COMPUTED_VALUE"""),962.0)</f>
        <v>962</v>
      </c>
      <c r="G617" s="20">
        <f>IFERROR(__xludf.DUMMYFUNCTION("""COMPUTED_VALUE"""),172.0)</f>
        <v>172</v>
      </c>
      <c r="H617" s="20" t="str">
        <f>IFERROR(__xludf.DUMMYFUNCTION("""COMPUTED_VALUE"""),"Algorithms")</f>
        <v>Algorithms</v>
      </c>
      <c r="I617" s="20">
        <f>IFERROR(__xludf.DUMMYFUNCTION("""COMPUTED_VALUE"""),0.487)</f>
        <v>0.487</v>
      </c>
      <c r="J617" s="20">
        <f>IFERROR(__xludf.DUMMYFUNCTION("""COMPUTED_VALUE"""),616.0)</f>
        <v>616</v>
      </c>
      <c r="K617" s="20" t="b">
        <f>IFERROR(__xludf.DUMMYFUNCTION("""COMPUTED_VALUE"""),TRUE)</f>
        <v>1</v>
      </c>
      <c r="L617" s="20" t="str">
        <f>IFERROR(__xludf.DUMMYFUNCTION("""COMPUTED_VALUE"""),"Array;Hash Table;String;Trie;String Matching;")</f>
        <v>Array;Hash Table;String;Trie;String Matching;</v>
      </c>
      <c r="M617" s="20" t="b">
        <f>IFERROR(__xludf.DUMMYFUNCTION("""COMPUTED_VALUE"""),FALSE)</f>
        <v>0</v>
      </c>
      <c r="N617" s="20" t="b">
        <f>IFERROR(__xludf.DUMMYFUNCTION("""COMPUTED_VALUE"""),FALSE)</f>
        <v>0</v>
      </c>
      <c r="O617" s="20">
        <f>IFERROR(__xludf.DUMMYFUNCTION("""COMPUTED_VALUE"""),48.7362304587948)</f>
        <v>48.73623046</v>
      </c>
      <c r="P617" s="20">
        <f>IFERROR(__xludf.DUMMYFUNCTION("""COMPUTED_VALUE"""),81273.0)</f>
        <v>81273</v>
      </c>
      <c r="Q617" s="20">
        <f>IFERROR(__xludf.DUMMYFUNCTION("""COMPUTED_VALUE"""),166762.0)</f>
        <v>166762</v>
      </c>
    </row>
    <row r="618">
      <c r="A618" s="20">
        <f>IFERROR(__xludf.DUMMYFUNCTION("""COMPUTED_VALUE"""),617.0)</f>
        <v>617</v>
      </c>
      <c r="B618" s="20" t="str">
        <f>IFERROR(__xludf.DUMMYFUNCTION("""COMPUTED_VALUE"""),"Merge Two Binary Trees")</f>
        <v>Merge Two Binary Trees</v>
      </c>
      <c r="C618" s="20" t="str">
        <f>IFERROR(__xludf.DUMMYFUNCTION("""COMPUTED_VALUE"""),"merge-two-binary-trees")</f>
        <v>merge-two-binary-trees</v>
      </c>
      <c r="D618" s="20" t="b">
        <f>IFERROR(__xludf.DUMMYFUNCTION("""COMPUTED_VALUE"""),FALSE)</f>
        <v>0</v>
      </c>
      <c r="E618" s="20" t="str">
        <f>IFERROR(__xludf.DUMMYFUNCTION("""COMPUTED_VALUE"""),"Easy")</f>
        <v>Easy</v>
      </c>
      <c r="F618" s="20">
        <f>IFERROR(__xludf.DUMMYFUNCTION("""COMPUTED_VALUE"""),7663.0)</f>
        <v>7663</v>
      </c>
      <c r="G618" s="20">
        <f>IFERROR(__xludf.DUMMYFUNCTION("""COMPUTED_VALUE"""),269.0)</f>
        <v>269</v>
      </c>
      <c r="H618" s="20" t="str">
        <f>IFERROR(__xludf.DUMMYFUNCTION("""COMPUTED_VALUE"""),"Algorithms")</f>
        <v>Algorithms</v>
      </c>
      <c r="I618" s="20">
        <f>IFERROR(__xludf.DUMMYFUNCTION("""COMPUTED_VALUE"""),0.786)</f>
        <v>0.786</v>
      </c>
      <c r="J618" s="20">
        <f>IFERROR(__xludf.DUMMYFUNCTION("""COMPUTED_VALUE"""),617.0)</f>
        <v>617</v>
      </c>
      <c r="K618" s="20" t="b">
        <f>IFERROR(__xludf.DUMMYFUNCTION("""COMPUTED_VALUE"""),FALSE)</f>
        <v>0</v>
      </c>
      <c r="L618" s="20" t="str">
        <f>IFERROR(__xludf.DUMMYFUNCTION("""COMPUTED_VALUE"""),"Tree;Depth-First Search;Breadth-First Search;Binary Tree;")</f>
        <v>Tree;Depth-First Search;Breadth-First Search;Binary Tree;</v>
      </c>
      <c r="M618" s="20" t="b">
        <f>IFERROR(__xludf.DUMMYFUNCTION("""COMPUTED_VALUE"""),TRUE)</f>
        <v>1</v>
      </c>
      <c r="N618" s="20" t="b">
        <f>IFERROR(__xludf.DUMMYFUNCTION("""COMPUTED_VALUE"""),FALSE)</f>
        <v>0</v>
      </c>
      <c r="O618" s="20">
        <f>IFERROR(__xludf.DUMMYFUNCTION("""COMPUTED_VALUE"""),78.5640088592231)</f>
        <v>78.56400886</v>
      </c>
      <c r="P618" s="20">
        <f>IFERROR(__xludf.DUMMYFUNCTION("""COMPUTED_VALUE"""),646656.0)</f>
        <v>646656</v>
      </c>
      <c r="Q618" s="20">
        <f>IFERROR(__xludf.DUMMYFUNCTION("""COMPUTED_VALUE"""),823094.0)</f>
        <v>823094</v>
      </c>
    </row>
    <row r="619">
      <c r="A619" s="20">
        <f>IFERROR(__xludf.DUMMYFUNCTION("""COMPUTED_VALUE"""),618.0)</f>
        <v>618</v>
      </c>
      <c r="B619" s="20" t="str">
        <f>IFERROR(__xludf.DUMMYFUNCTION("""COMPUTED_VALUE"""),"Students Report By Geography")</f>
        <v>Students Report By Geography</v>
      </c>
      <c r="C619" s="20" t="str">
        <f>IFERROR(__xludf.DUMMYFUNCTION("""COMPUTED_VALUE"""),"students-report-by-geography")</f>
        <v>students-report-by-geography</v>
      </c>
      <c r="D619" s="20" t="b">
        <f>IFERROR(__xludf.DUMMYFUNCTION("""COMPUTED_VALUE"""),TRUE)</f>
        <v>1</v>
      </c>
      <c r="E619" s="20" t="str">
        <f>IFERROR(__xludf.DUMMYFUNCTION("""COMPUTED_VALUE"""),"Hard")</f>
        <v>Hard</v>
      </c>
      <c r="F619" s="20">
        <f>IFERROR(__xludf.DUMMYFUNCTION("""COMPUTED_VALUE"""),147.0)</f>
        <v>147</v>
      </c>
      <c r="G619" s="20">
        <f>IFERROR(__xludf.DUMMYFUNCTION("""COMPUTED_VALUE"""),152.0)</f>
        <v>152</v>
      </c>
      <c r="H619" s="20" t="str">
        <f>IFERROR(__xludf.DUMMYFUNCTION("""COMPUTED_VALUE"""),"Database")</f>
        <v>Database</v>
      </c>
      <c r="I619" s="20">
        <f>IFERROR(__xludf.DUMMYFUNCTION("""COMPUTED_VALUE"""),0.642)</f>
        <v>0.642</v>
      </c>
      <c r="J619" s="20">
        <f>IFERROR(__xludf.DUMMYFUNCTION("""COMPUTED_VALUE"""),618.0)</f>
        <v>618</v>
      </c>
      <c r="K619" s="20" t="b">
        <f>IFERROR(__xludf.DUMMYFUNCTION("""COMPUTED_VALUE"""),TRUE)</f>
        <v>1</v>
      </c>
      <c r="L619" s="20" t="str">
        <f>IFERROR(__xludf.DUMMYFUNCTION("""COMPUTED_VALUE"""),"Database;")</f>
        <v>Database;</v>
      </c>
      <c r="M619" s="20" t="b">
        <f>IFERROR(__xludf.DUMMYFUNCTION("""COMPUTED_VALUE"""),TRUE)</f>
        <v>1</v>
      </c>
      <c r="N619" s="20" t="b">
        <f>IFERROR(__xludf.DUMMYFUNCTION("""COMPUTED_VALUE"""),FALSE)</f>
        <v>0</v>
      </c>
      <c r="O619" s="20">
        <f>IFERROR(__xludf.DUMMYFUNCTION("""COMPUTED_VALUE"""),64.2413428495902)</f>
        <v>64.24134285</v>
      </c>
      <c r="P619" s="20">
        <f>IFERROR(__xludf.DUMMYFUNCTION("""COMPUTED_VALUE"""),19442.0)</f>
        <v>19442</v>
      </c>
      <c r="Q619" s="20">
        <f>IFERROR(__xludf.DUMMYFUNCTION("""COMPUTED_VALUE"""),30264.0)</f>
        <v>30264</v>
      </c>
    </row>
    <row r="620">
      <c r="A620" s="20">
        <f>IFERROR(__xludf.DUMMYFUNCTION("""COMPUTED_VALUE"""),619.0)</f>
        <v>619</v>
      </c>
      <c r="B620" s="20" t="str">
        <f>IFERROR(__xludf.DUMMYFUNCTION("""COMPUTED_VALUE"""),"Biggest Single Number")</f>
        <v>Biggest Single Number</v>
      </c>
      <c r="C620" s="20" t="str">
        <f>IFERROR(__xludf.DUMMYFUNCTION("""COMPUTED_VALUE"""),"biggest-single-number")</f>
        <v>biggest-single-number</v>
      </c>
      <c r="D620" s="20" t="b">
        <f>IFERROR(__xludf.DUMMYFUNCTION("""COMPUTED_VALUE"""),TRUE)</f>
        <v>1</v>
      </c>
      <c r="E620" s="20" t="str">
        <f>IFERROR(__xludf.DUMMYFUNCTION("""COMPUTED_VALUE"""),"Easy")</f>
        <v>Easy</v>
      </c>
      <c r="F620" s="20">
        <f>IFERROR(__xludf.DUMMYFUNCTION("""COMPUTED_VALUE"""),147.0)</f>
        <v>147</v>
      </c>
      <c r="G620" s="20">
        <f>IFERROR(__xludf.DUMMYFUNCTION("""COMPUTED_VALUE"""),122.0)</f>
        <v>122</v>
      </c>
      <c r="H620" s="20" t="str">
        <f>IFERROR(__xludf.DUMMYFUNCTION("""COMPUTED_VALUE"""),"Database")</f>
        <v>Database</v>
      </c>
      <c r="I620" s="20">
        <f>IFERROR(__xludf.DUMMYFUNCTION("""COMPUTED_VALUE"""),0.491)</f>
        <v>0.491</v>
      </c>
      <c r="J620" s="20">
        <f>IFERROR(__xludf.DUMMYFUNCTION("""COMPUTED_VALUE"""),619.0)</f>
        <v>619</v>
      </c>
      <c r="K620" s="20" t="b">
        <f>IFERROR(__xludf.DUMMYFUNCTION("""COMPUTED_VALUE"""),TRUE)</f>
        <v>1</v>
      </c>
      <c r="L620" s="20" t="str">
        <f>IFERROR(__xludf.DUMMYFUNCTION("""COMPUTED_VALUE"""),"Database;")</f>
        <v>Database;</v>
      </c>
      <c r="M620" s="20" t="b">
        <f>IFERROR(__xludf.DUMMYFUNCTION("""COMPUTED_VALUE"""),TRUE)</f>
        <v>1</v>
      </c>
      <c r="N620" s="20" t="b">
        <f>IFERROR(__xludf.DUMMYFUNCTION("""COMPUTED_VALUE"""),FALSE)</f>
        <v>0</v>
      </c>
      <c r="O620" s="20">
        <f>IFERROR(__xludf.DUMMYFUNCTION("""COMPUTED_VALUE"""),49.1383366150307)</f>
        <v>49.13833662</v>
      </c>
      <c r="P620" s="20">
        <f>IFERROR(__xludf.DUMMYFUNCTION("""COMPUTED_VALUE"""),56400.0)</f>
        <v>56400</v>
      </c>
      <c r="Q620" s="20">
        <f>IFERROR(__xludf.DUMMYFUNCTION("""COMPUTED_VALUE"""),114778.0)</f>
        <v>114778</v>
      </c>
    </row>
    <row r="621">
      <c r="A621" s="20">
        <f>IFERROR(__xludf.DUMMYFUNCTION("""COMPUTED_VALUE"""),620.0)</f>
        <v>620</v>
      </c>
      <c r="B621" s="20" t="str">
        <f>IFERROR(__xludf.DUMMYFUNCTION("""COMPUTED_VALUE"""),"Not Boring Movies")</f>
        <v>Not Boring Movies</v>
      </c>
      <c r="C621" s="20" t="str">
        <f>IFERROR(__xludf.DUMMYFUNCTION("""COMPUTED_VALUE"""),"not-boring-movies")</f>
        <v>not-boring-movies</v>
      </c>
      <c r="D621" s="20" t="b">
        <f>IFERROR(__xludf.DUMMYFUNCTION("""COMPUTED_VALUE"""),FALSE)</f>
        <v>0</v>
      </c>
      <c r="E621" s="20" t="str">
        <f>IFERROR(__xludf.DUMMYFUNCTION("""COMPUTED_VALUE"""),"Easy")</f>
        <v>Easy</v>
      </c>
      <c r="F621" s="20">
        <f>IFERROR(__xludf.DUMMYFUNCTION("""COMPUTED_VALUE"""),610.0)</f>
        <v>610</v>
      </c>
      <c r="G621" s="20">
        <f>IFERROR(__xludf.DUMMYFUNCTION("""COMPUTED_VALUE"""),428.0)</f>
        <v>428</v>
      </c>
      <c r="H621" s="20" t="str">
        <f>IFERROR(__xludf.DUMMYFUNCTION("""COMPUTED_VALUE"""),"Database")</f>
        <v>Database</v>
      </c>
      <c r="I621" s="20">
        <f>IFERROR(__xludf.DUMMYFUNCTION("""COMPUTED_VALUE"""),0.729)</f>
        <v>0.729</v>
      </c>
      <c r="J621" s="20">
        <f>IFERROR(__xludf.DUMMYFUNCTION("""COMPUTED_VALUE"""),620.0)</f>
        <v>620</v>
      </c>
      <c r="K621" s="20" t="b">
        <f>IFERROR(__xludf.DUMMYFUNCTION("""COMPUTED_VALUE"""),FALSE)</f>
        <v>0</v>
      </c>
      <c r="L621" s="20" t="str">
        <f>IFERROR(__xludf.DUMMYFUNCTION("""COMPUTED_VALUE"""),"Database;")</f>
        <v>Database;</v>
      </c>
      <c r="M621" s="20" t="b">
        <f>IFERROR(__xludf.DUMMYFUNCTION("""COMPUTED_VALUE"""),TRUE)</f>
        <v>1</v>
      </c>
      <c r="N621" s="20" t="b">
        <f>IFERROR(__xludf.DUMMYFUNCTION("""COMPUTED_VALUE"""),FALSE)</f>
        <v>0</v>
      </c>
      <c r="O621" s="20">
        <f>IFERROR(__xludf.DUMMYFUNCTION("""COMPUTED_VALUE"""),72.9304246280907)</f>
        <v>72.93042463</v>
      </c>
      <c r="P621" s="20">
        <f>IFERROR(__xludf.DUMMYFUNCTION("""COMPUTED_VALUE"""),215462.0)</f>
        <v>215462</v>
      </c>
      <c r="Q621" s="20">
        <f>IFERROR(__xludf.DUMMYFUNCTION("""COMPUTED_VALUE"""),295435.0)</f>
        <v>295435</v>
      </c>
    </row>
    <row r="622">
      <c r="A622" s="20">
        <f>IFERROR(__xludf.DUMMYFUNCTION("""COMPUTED_VALUE"""),621.0)</f>
        <v>621</v>
      </c>
      <c r="B622" s="20" t="str">
        <f>IFERROR(__xludf.DUMMYFUNCTION("""COMPUTED_VALUE"""),"Task Scheduler")</f>
        <v>Task Scheduler</v>
      </c>
      <c r="C622" s="20" t="str">
        <f>IFERROR(__xludf.DUMMYFUNCTION("""COMPUTED_VALUE"""),"task-scheduler")</f>
        <v>task-scheduler</v>
      </c>
      <c r="D622" s="20" t="b">
        <f>IFERROR(__xludf.DUMMYFUNCTION("""COMPUTED_VALUE"""),FALSE)</f>
        <v>0</v>
      </c>
      <c r="E622" s="20" t="str">
        <f>IFERROR(__xludf.DUMMYFUNCTION("""COMPUTED_VALUE"""),"Medium")</f>
        <v>Medium</v>
      </c>
      <c r="F622" s="20">
        <f>IFERROR(__xludf.DUMMYFUNCTION("""COMPUTED_VALUE"""),7766.0)</f>
        <v>7766</v>
      </c>
      <c r="G622" s="20">
        <f>IFERROR(__xludf.DUMMYFUNCTION("""COMPUTED_VALUE"""),1528.0)</f>
        <v>1528</v>
      </c>
      <c r="H622" s="20" t="str">
        <f>IFERROR(__xludf.DUMMYFUNCTION("""COMPUTED_VALUE"""),"Algorithms")</f>
        <v>Algorithms</v>
      </c>
      <c r="I622" s="20">
        <f>IFERROR(__xludf.DUMMYFUNCTION("""COMPUTED_VALUE"""),0.559)</f>
        <v>0.559</v>
      </c>
      <c r="J622" s="20">
        <f>IFERROR(__xludf.DUMMYFUNCTION("""COMPUTED_VALUE"""),621.0)</f>
        <v>621</v>
      </c>
      <c r="K622" s="20" t="b">
        <f>IFERROR(__xludf.DUMMYFUNCTION("""COMPUTED_VALUE"""),FALSE)</f>
        <v>0</v>
      </c>
      <c r="L622" s="20" t="str">
        <f>IFERROR(__xludf.DUMMYFUNCTION("""COMPUTED_VALUE"""),"Array;Hash Table;Greedy;Sorting;Heap (Priority Queue);Counting;")</f>
        <v>Array;Hash Table;Greedy;Sorting;Heap (Priority Queue);Counting;</v>
      </c>
      <c r="M622" s="20" t="b">
        <f>IFERROR(__xludf.DUMMYFUNCTION("""COMPUTED_VALUE"""),TRUE)</f>
        <v>1</v>
      </c>
      <c r="N622" s="20" t="b">
        <f>IFERROR(__xludf.DUMMYFUNCTION("""COMPUTED_VALUE"""),FALSE)</f>
        <v>0</v>
      </c>
      <c r="O622" s="20">
        <f>IFERROR(__xludf.DUMMYFUNCTION("""COMPUTED_VALUE"""),55.9090046758696)</f>
        <v>55.90900468</v>
      </c>
      <c r="P622" s="20">
        <f>IFERROR(__xludf.DUMMYFUNCTION("""COMPUTED_VALUE"""),400793.0)</f>
        <v>400793</v>
      </c>
      <c r="Q622" s="20">
        <f>IFERROR(__xludf.DUMMYFUNCTION("""COMPUTED_VALUE"""),716869.0)</f>
        <v>716869</v>
      </c>
    </row>
    <row r="623">
      <c r="A623" s="20">
        <f>IFERROR(__xludf.DUMMYFUNCTION("""COMPUTED_VALUE"""),860.0)</f>
        <v>860</v>
      </c>
      <c r="B623" s="20" t="str">
        <f>IFERROR(__xludf.DUMMYFUNCTION("""COMPUTED_VALUE"""),"Design Circular Queue")</f>
        <v>Design Circular Queue</v>
      </c>
      <c r="C623" s="20" t="str">
        <f>IFERROR(__xludf.DUMMYFUNCTION("""COMPUTED_VALUE"""),"design-circular-queue")</f>
        <v>design-circular-queue</v>
      </c>
      <c r="D623" s="20" t="b">
        <f>IFERROR(__xludf.DUMMYFUNCTION("""COMPUTED_VALUE"""),FALSE)</f>
        <v>0</v>
      </c>
      <c r="E623" s="20" t="str">
        <f>IFERROR(__xludf.DUMMYFUNCTION("""COMPUTED_VALUE"""),"Medium")</f>
        <v>Medium</v>
      </c>
      <c r="F623" s="20">
        <f>IFERROR(__xludf.DUMMYFUNCTION("""COMPUTED_VALUE"""),2945.0)</f>
        <v>2945</v>
      </c>
      <c r="G623" s="20">
        <f>IFERROR(__xludf.DUMMYFUNCTION("""COMPUTED_VALUE"""),239.0)</f>
        <v>239</v>
      </c>
      <c r="H623" s="20" t="str">
        <f>IFERROR(__xludf.DUMMYFUNCTION("""COMPUTED_VALUE"""),"Algorithms")</f>
        <v>Algorithms</v>
      </c>
      <c r="I623" s="20">
        <f>IFERROR(__xludf.DUMMYFUNCTION("""COMPUTED_VALUE"""),0.517)</f>
        <v>0.517</v>
      </c>
      <c r="J623" s="20">
        <f>IFERROR(__xludf.DUMMYFUNCTION("""COMPUTED_VALUE"""),622.0)</f>
        <v>622</v>
      </c>
      <c r="K623" s="20" t="b">
        <f>IFERROR(__xludf.DUMMYFUNCTION("""COMPUTED_VALUE"""),FALSE)</f>
        <v>0</v>
      </c>
      <c r="L623" s="20" t="str">
        <f>IFERROR(__xludf.DUMMYFUNCTION("""COMPUTED_VALUE"""),"Array;Linked List;Design;Queue;")</f>
        <v>Array;Linked List;Design;Queue;</v>
      </c>
      <c r="M623" s="20" t="b">
        <f>IFERROR(__xludf.DUMMYFUNCTION("""COMPUTED_VALUE"""),TRUE)</f>
        <v>1</v>
      </c>
      <c r="N623" s="20" t="b">
        <f>IFERROR(__xludf.DUMMYFUNCTION("""COMPUTED_VALUE"""),FALSE)</f>
        <v>0</v>
      </c>
      <c r="O623" s="20">
        <f>IFERROR(__xludf.DUMMYFUNCTION("""COMPUTED_VALUE"""),51.7460730927779)</f>
        <v>51.74607309</v>
      </c>
      <c r="P623" s="20">
        <f>IFERROR(__xludf.DUMMYFUNCTION("""COMPUTED_VALUE"""),250302.0)</f>
        <v>250302</v>
      </c>
      <c r="Q623" s="20">
        <f>IFERROR(__xludf.DUMMYFUNCTION("""COMPUTED_VALUE"""),483712.0)</f>
        <v>483712</v>
      </c>
    </row>
    <row r="624">
      <c r="A624" s="20">
        <f>IFERROR(__xludf.DUMMYFUNCTION("""COMPUTED_VALUE"""),623.0)</f>
        <v>623</v>
      </c>
      <c r="B624" s="20" t="str">
        <f>IFERROR(__xludf.DUMMYFUNCTION("""COMPUTED_VALUE"""),"Add One Row to Tree")</f>
        <v>Add One Row to Tree</v>
      </c>
      <c r="C624" s="20" t="str">
        <f>IFERROR(__xludf.DUMMYFUNCTION("""COMPUTED_VALUE"""),"add-one-row-to-tree")</f>
        <v>add-one-row-to-tree</v>
      </c>
      <c r="D624" s="20" t="b">
        <f>IFERROR(__xludf.DUMMYFUNCTION("""COMPUTED_VALUE"""),FALSE)</f>
        <v>0</v>
      </c>
      <c r="E624" s="20" t="str">
        <f>IFERROR(__xludf.DUMMYFUNCTION("""COMPUTED_VALUE"""),"Medium")</f>
        <v>Medium</v>
      </c>
      <c r="F624" s="20">
        <f>IFERROR(__xludf.DUMMYFUNCTION("""COMPUTED_VALUE"""),2636.0)</f>
        <v>2636</v>
      </c>
      <c r="G624" s="20">
        <f>IFERROR(__xludf.DUMMYFUNCTION("""COMPUTED_VALUE"""),223.0)</f>
        <v>223</v>
      </c>
      <c r="H624" s="20" t="str">
        <f>IFERROR(__xludf.DUMMYFUNCTION("""COMPUTED_VALUE"""),"Algorithms")</f>
        <v>Algorithms</v>
      </c>
      <c r="I624" s="20">
        <f>IFERROR(__xludf.DUMMYFUNCTION("""COMPUTED_VALUE"""),0.595)</f>
        <v>0.595</v>
      </c>
      <c r="J624" s="20">
        <f>IFERROR(__xludf.DUMMYFUNCTION("""COMPUTED_VALUE"""),623.0)</f>
        <v>623</v>
      </c>
      <c r="K624" s="20" t="b">
        <f>IFERROR(__xludf.DUMMYFUNCTION("""COMPUTED_VALUE"""),FALSE)</f>
        <v>0</v>
      </c>
      <c r="L624" s="20" t="str">
        <f>IFERROR(__xludf.DUMMYFUNCTION("""COMPUTED_VALUE"""),"Tree;Depth-First Search;Breadth-First Search;Binary Tree;")</f>
        <v>Tree;Depth-First Search;Breadth-First Search;Binary Tree;</v>
      </c>
      <c r="M624" s="20" t="b">
        <f>IFERROR(__xludf.DUMMYFUNCTION("""COMPUTED_VALUE"""),TRUE)</f>
        <v>1</v>
      </c>
      <c r="N624" s="20" t="b">
        <f>IFERROR(__xludf.DUMMYFUNCTION("""COMPUTED_VALUE"""),FALSE)</f>
        <v>0</v>
      </c>
      <c r="O624" s="20">
        <f>IFERROR(__xludf.DUMMYFUNCTION("""COMPUTED_VALUE"""),59.4608269170349)</f>
        <v>59.46082692</v>
      </c>
      <c r="P624" s="20">
        <f>IFERROR(__xludf.DUMMYFUNCTION("""COMPUTED_VALUE"""),145726.0)</f>
        <v>145726</v>
      </c>
      <c r="Q624" s="20">
        <f>IFERROR(__xludf.DUMMYFUNCTION("""COMPUTED_VALUE"""),245079.0)</f>
        <v>245079</v>
      </c>
    </row>
    <row r="625">
      <c r="A625" s="20">
        <f>IFERROR(__xludf.DUMMYFUNCTION("""COMPUTED_VALUE"""),624.0)</f>
        <v>624</v>
      </c>
      <c r="B625" s="20" t="str">
        <f>IFERROR(__xludf.DUMMYFUNCTION("""COMPUTED_VALUE"""),"Maximum Distance in Arrays")</f>
        <v>Maximum Distance in Arrays</v>
      </c>
      <c r="C625" s="20" t="str">
        <f>IFERROR(__xludf.DUMMYFUNCTION("""COMPUTED_VALUE"""),"maximum-distance-in-arrays")</f>
        <v>maximum-distance-in-arrays</v>
      </c>
      <c r="D625" s="20" t="b">
        <f>IFERROR(__xludf.DUMMYFUNCTION("""COMPUTED_VALUE"""),TRUE)</f>
        <v>1</v>
      </c>
      <c r="E625" s="20" t="str">
        <f>IFERROR(__xludf.DUMMYFUNCTION("""COMPUTED_VALUE"""),"Medium")</f>
        <v>Medium</v>
      </c>
      <c r="F625" s="20">
        <f>IFERROR(__xludf.DUMMYFUNCTION("""COMPUTED_VALUE"""),612.0)</f>
        <v>612</v>
      </c>
      <c r="G625" s="20">
        <f>IFERROR(__xludf.DUMMYFUNCTION("""COMPUTED_VALUE"""),62.0)</f>
        <v>62</v>
      </c>
      <c r="H625" s="20" t="str">
        <f>IFERROR(__xludf.DUMMYFUNCTION("""COMPUTED_VALUE"""),"Algorithms")</f>
        <v>Algorithms</v>
      </c>
      <c r="I625" s="20">
        <f>IFERROR(__xludf.DUMMYFUNCTION("""COMPUTED_VALUE"""),0.417)</f>
        <v>0.417</v>
      </c>
      <c r="J625" s="20">
        <f>IFERROR(__xludf.DUMMYFUNCTION("""COMPUTED_VALUE"""),624.0)</f>
        <v>624</v>
      </c>
      <c r="K625" s="20" t="b">
        <f>IFERROR(__xludf.DUMMYFUNCTION("""COMPUTED_VALUE"""),TRUE)</f>
        <v>1</v>
      </c>
      <c r="L625" s="20" t="str">
        <f>IFERROR(__xludf.DUMMYFUNCTION("""COMPUTED_VALUE"""),"Array;Greedy;")</f>
        <v>Array;Greedy;</v>
      </c>
      <c r="M625" s="20" t="b">
        <f>IFERROR(__xludf.DUMMYFUNCTION("""COMPUTED_VALUE"""),TRUE)</f>
        <v>1</v>
      </c>
      <c r="N625" s="20" t="b">
        <f>IFERROR(__xludf.DUMMYFUNCTION("""COMPUTED_VALUE"""),FALSE)</f>
        <v>0</v>
      </c>
      <c r="O625" s="20">
        <f>IFERROR(__xludf.DUMMYFUNCTION("""COMPUTED_VALUE"""),41.7493484522884)</f>
        <v>41.74934845</v>
      </c>
      <c r="P625" s="20">
        <f>IFERROR(__xludf.DUMMYFUNCTION("""COMPUTED_VALUE"""),36524.0)</f>
        <v>36524</v>
      </c>
      <c r="Q625" s="20">
        <f>IFERROR(__xludf.DUMMYFUNCTION("""COMPUTED_VALUE"""),87484.0)</f>
        <v>87484</v>
      </c>
    </row>
    <row r="626">
      <c r="A626" s="20">
        <f>IFERROR(__xludf.DUMMYFUNCTION("""COMPUTED_VALUE"""),625.0)</f>
        <v>625</v>
      </c>
      <c r="B626" s="20" t="str">
        <f>IFERROR(__xludf.DUMMYFUNCTION("""COMPUTED_VALUE"""),"Minimum Factorization")</f>
        <v>Minimum Factorization</v>
      </c>
      <c r="C626" s="20" t="str">
        <f>IFERROR(__xludf.DUMMYFUNCTION("""COMPUTED_VALUE"""),"minimum-factorization")</f>
        <v>minimum-factorization</v>
      </c>
      <c r="D626" s="20" t="b">
        <f>IFERROR(__xludf.DUMMYFUNCTION("""COMPUTED_VALUE"""),TRUE)</f>
        <v>1</v>
      </c>
      <c r="E626" s="20" t="str">
        <f>IFERROR(__xludf.DUMMYFUNCTION("""COMPUTED_VALUE"""),"Medium")</f>
        <v>Medium</v>
      </c>
      <c r="F626" s="20">
        <f>IFERROR(__xludf.DUMMYFUNCTION("""COMPUTED_VALUE"""),122.0)</f>
        <v>122</v>
      </c>
      <c r="G626" s="20">
        <f>IFERROR(__xludf.DUMMYFUNCTION("""COMPUTED_VALUE"""),106.0)</f>
        <v>106</v>
      </c>
      <c r="H626" s="20" t="str">
        <f>IFERROR(__xludf.DUMMYFUNCTION("""COMPUTED_VALUE"""),"Algorithms")</f>
        <v>Algorithms</v>
      </c>
      <c r="I626" s="20">
        <f>IFERROR(__xludf.DUMMYFUNCTION("""COMPUTED_VALUE"""),0.335)</f>
        <v>0.335</v>
      </c>
      <c r="J626" s="20">
        <f>IFERROR(__xludf.DUMMYFUNCTION("""COMPUTED_VALUE"""),625.0)</f>
        <v>625</v>
      </c>
      <c r="K626" s="20" t="b">
        <f>IFERROR(__xludf.DUMMYFUNCTION("""COMPUTED_VALUE"""),TRUE)</f>
        <v>1</v>
      </c>
      <c r="L626" s="20" t="str">
        <f>IFERROR(__xludf.DUMMYFUNCTION("""COMPUTED_VALUE"""),"Math;Greedy;")</f>
        <v>Math;Greedy;</v>
      </c>
      <c r="M626" s="20" t="b">
        <f>IFERROR(__xludf.DUMMYFUNCTION("""COMPUTED_VALUE"""),TRUE)</f>
        <v>1</v>
      </c>
      <c r="N626" s="20" t="b">
        <f>IFERROR(__xludf.DUMMYFUNCTION("""COMPUTED_VALUE"""),FALSE)</f>
        <v>0</v>
      </c>
      <c r="O626" s="20">
        <f>IFERROR(__xludf.DUMMYFUNCTION("""COMPUTED_VALUE"""),33.4893793191299)</f>
        <v>33.48937932</v>
      </c>
      <c r="P626" s="20">
        <f>IFERROR(__xludf.DUMMYFUNCTION("""COMPUTED_VALUE"""),10516.0)</f>
        <v>10516</v>
      </c>
      <c r="Q626" s="20">
        <f>IFERROR(__xludf.DUMMYFUNCTION("""COMPUTED_VALUE"""),31401.0)</f>
        <v>31401</v>
      </c>
    </row>
    <row r="627">
      <c r="A627" s="20">
        <f>IFERROR(__xludf.DUMMYFUNCTION("""COMPUTED_VALUE"""),626.0)</f>
        <v>626</v>
      </c>
      <c r="B627" s="20" t="str">
        <f>IFERROR(__xludf.DUMMYFUNCTION("""COMPUTED_VALUE"""),"Exchange Seats")</f>
        <v>Exchange Seats</v>
      </c>
      <c r="C627" s="20" t="str">
        <f>IFERROR(__xludf.DUMMYFUNCTION("""COMPUTED_VALUE"""),"exchange-seats")</f>
        <v>exchange-seats</v>
      </c>
      <c r="D627" s="20" t="b">
        <f>IFERROR(__xludf.DUMMYFUNCTION("""COMPUTED_VALUE"""),FALSE)</f>
        <v>0</v>
      </c>
      <c r="E627" s="20" t="str">
        <f>IFERROR(__xludf.DUMMYFUNCTION("""COMPUTED_VALUE"""),"Medium")</f>
        <v>Medium</v>
      </c>
      <c r="F627" s="20">
        <f>IFERROR(__xludf.DUMMYFUNCTION("""COMPUTED_VALUE"""),875.0)</f>
        <v>875</v>
      </c>
      <c r="G627" s="20">
        <f>IFERROR(__xludf.DUMMYFUNCTION("""COMPUTED_VALUE"""),402.0)</f>
        <v>402</v>
      </c>
      <c r="H627" s="20" t="str">
        <f>IFERROR(__xludf.DUMMYFUNCTION("""COMPUTED_VALUE"""),"Database")</f>
        <v>Database</v>
      </c>
      <c r="I627" s="20">
        <f>IFERROR(__xludf.DUMMYFUNCTION("""COMPUTED_VALUE"""),0.705)</f>
        <v>0.705</v>
      </c>
      <c r="J627" s="20">
        <f>IFERROR(__xludf.DUMMYFUNCTION("""COMPUTED_VALUE"""),626.0)</f>
        <v>626</v>
      </c>
      <c r="K627" s="20" t="b">
        <f>IFERROR(__xludf.DUMMYFUNCTION("""COMPUTED_VALUE"""),FALSE)</f>
        <v>0</v>
      </c>
      <c r="L627" s="20" t="str">
        <f>IFERROR(__xludf.DUMMYFUNCTION("""COMPUTED_VALUE"""),"Database;")</f>
        <v>Database;</v>
      </c>
      <c r="M627" s="20" t="b">
        <f>IFERROR(__xludf.DUMMYFUNCTION("""COMPUTED_VALUE"""),TRUE)</f>
        <v>1</v>
      </c>
      <c r="N627" s="20" t="b">
        <f>IFERROR(__xludf.DUMMYFUNCTION("""COMPUTED_VALUE"""),FALSE)</f>
        <v>0</v>
      </c>
      <c r="O627" s="20">
        <f>IFERROR(__xludf.DUMMYFUNCTION("""COMPUTED_VALUE"""),70.4882463442904)</f>
        <v>70.48824634</v>
      </c>
      <c r="P627" s="20">
        <f>IFERROR(__xludf.DUMMYFUNCTION("""COMPUTED_VALUE"""),123451.0)</f>
        <v>123451</v>
      </c>
      <c r="Q627" s="20">
        <f>IFERROR(__xludf.DUMMYFUNCTION("""COMPUTED_VALUE"""),175137.0)</f>
        <v>175137</v>
      </c>
    </row>
    <row r="628">
      <c r="A628" s="20">
        <f>IFERROR(__xludf.DUMMYFUNCTION("""COMPUTED_VALUE"""),627.0)</f>
        <v>627</v>
      </c>
      <c r="B628" s="20" t="str">
        <f>IFERROR(__xludf.DUMMYFUNCTION("""COMPUTED_VALUE"""),"Swap Salary")</f>
        <v>Swap Salary</v>
      </c>
      <c r="C628" s="20" t="str">
        <f>IFERROR(__xludf.DUMMYFUNCTION("""COMPUTED_VALUE"""),"swap-salary")</f>
        <v>swap-salary</v>
      </c>
      <c r="D628" s="20" t="b">
        <f>IFERROR(__xludf.DUMMYFUNCTION("""COMPUTED_VALUE"""),FALSE)</f>
        <v>0</v>
      </c>
      <c r="E628" s="20" t="str">
        <f>IFERROR(__xludf.DUMMYFUNCTION("""COMPUTED_VALUE"""),"Easy")</f>
        <v>Easy</v>
      </c>
      <c r="F628" s="20">
        <f>IFERROR(__xludf.DUMMYFUNCTION("""COMPUTED_VALUE"""),1339.0)</f>
        <v>1339</v>
      </c>
      <c r="G628" s="20">
        <f>IFERROR(__xludf.DUMMYFUNCTION("""COMPUTED_VALUE"""),543.0)</f>
        <v>543</v>
      </c>
      <c r="H628" s="20" t="str">
        <f>IFERROR(__xludf.DUMMYFUNCTION("""COMPUTED_VALUE"""),"Database")</f>
        <v>Database</v>
      </c>
      <c r="I628" s="20">
        <f>IFERROR(__xludf.DUMMYFUNCTION("""COMPUTED_VALUE"""),0.832)</f>
        <v>0.832</v>
      </c>
      <c r="J628" s="20">
        <f>IFERROR(__xludf.DUMMYFUNCTION("""COMPUTED_VALUE"""),627.0)</f>
        <v>627</v>
      </c>
      <c r="K628" s="20" t="b">
        <f>IFERROR(__xludf.DUMMYFUNCTION("""COMPUTED_VALUE"""),FALSE)</f>
        <v>0</v>
      </c>
      <c r="L628" s="20" t="str">
        <f>IFERROR(__xludf.DUMMYFUNCTION("""COMPUTED_VALUE"""),"Database;")</f>
        <v>Database;</v>
      </c>
      <c r="M628" s="20" t="b">
        <f>IFERROR(__xludf.DUMMYFUNCTION("""COMPUTED_VALUE"""),TRUE)</f>
        <v>1</v>
      </c>
      <c r="N628" s="20" t="b">
        <f>IFERROR(__xludf.DUMMYFUNCTION("""COMPUTED_VALUE"""),FALSE)</f>
        <v>0</v>
      </c>
      <c r="O628" s="20">
        <f>IFERROR(__xludf.DUMMYFUNCTION("""COMPUTED_VALUE"""),83.1517510836513)</f>
        <v>83.15175108</v>
      </c>
      <c r="P628" s="20">
        <f>IFERROR(__xludf.DUMMYFUNCTION("""COMPUTED_VALUE"""),291774.0)</f>
        <v>291774</v>
      </c>
      <c r="Q628" s="20">
        <f>IFERROR(__xludf.DUMMYFUNCTION("""COMPUTED_VALUE"""),350894.0)</f>
        <v>350894</v>
      </c>
    </row>
    <row r="629">
      <c r="A629" s="20">
        <f>IFERROR(__xludf.DUMMYFUNCTION("""COMPUTED_VALUE"""),628.0)</f>
        <v>628</v>
      </c>
      <c r="B629" s="20" t="str">
        <f>IFERROR(__xludf.DUMMYFUNCTION("""COMPUTED_VALUE"""),"Maximum Product of Three Numbers")</f>
        <v>Maximum Product of Three Numbers</v>
      </c>
      <c r="C629" s="20" t="str">
        <f>IFERROR(__xludf.DUMMYFUNCTION("""COMPUTED_VALUE"""),"maximum-product-of-three-numbers")</f>
        <v>maximum-product-of-three-numbers</v>
      </c>
      <c r="D629" s="20" t="b">
        <f>IFERROR(__xludf.DUMMYFUNCTION("""COMPUTED_VALUE"""),FALSE)</f>
        <v>0</v>
      </c>
      <c r="E629" s="20" t="str">
        <f>IFERROR(__xludf.DUMMYFUNCTION("""COMPUTED_VALUE"""),"Easy")</f>
        <v>Easy</v>
      </c>
      <c r="F629" s="20">
        <f>IFERROR(__xludf.DUMMYFUNCTION("""COMPUTED_VALUE"""),3398.0)</f>
        <v>3398</v>
      </c>
      <c r="G629" s="20">
        <f>IFERROR(__xludf.DUMMYFUNCTION("""COMPUTED_VALUE"""),574.0)</f>
        <v>574</v>
      </c>
      <c r="H629" s="20" t="str">
        <f>IFERROR(__xludf.DUMMYFUNCTION("""COMPUTED_VALUE"""),"Algorithms")</f>
        <v>Algorithms</v>
      </c>
      <c r="I629" s="20">
        <f>IFERROR(__xludf.DUMMYFUNCTION("""COMPUTED_VALUE"""),0.463)</f>
        <v>0.463</v>
      </c>
      <c r="J629" s="20">
        <f>IFERROR(__xludf.DUMMYFUNCTION("""COMPUTED_VALUE"""),628.0)</f>
        <v>628</v>
      </c>
      <c r="K629" s="20" t="b">
        <f>IFERROR(__xludf.DUMMYFUNCTION("""COMPUTED_VALUE"""),FALSE)</f>
        <v>0</v>
      </c>
      <c r="L629" s="20" t="str">
        <f>IFERROR(__xludf.DUMMYFUNCTION("""COMPUTED_VALUE"""),"Array;Math;Sorting;")</f>
        <v>Array;Math;Sorting;</v>
      </c>
      <c r="M629" s="20" t="b">
        <f>IFERROR(__xludf.DUMMYFUNCTION("""COMPUTED_VALUE"""),TRUE)</f>
        <v>1</v>
      </c>
      <c r="N629" s="20" t="b">
        <f>IFERROR(__xludf.DUMMYFUNCTION("""COMPUTED_VALUE"""),FALSE)</f>
        <v>0</v>
      </c>
      <c r="O629" s="20">
        <f>IFERROR(__xludf.DUMMYFUNCTION("""COMPUTED_VALUE"""),46.2804078495207)</f>
        <v>46.28040785</v>
      </c>
      <c r="P629" s="20">
        <f>IFERROR(__xludf.DUMMYFUNCTION("""COMPUTED_VALUE"""),245644.0)</f>
        <v>245644</v>
      </c>
      <c r="Q629" s="20">
        <f>IFERROR(__xludf.DUMMYFUNCTION("""COMPUTED_VALUE"""),530777.0)</f>
        <v>530777</v>
      </c>
    </row>
    <row r="630">
      <c r="A630" s="20">
        <f>IFERROR(__xludf.DUMMYFUNCTION("""COMPUTED_VALUE"""),629.0)</f>
        <v>629</v>
      </c>
      <c r="B630" s="20" t="str">
        <f>IFERROR(__xludf.DUMMYFUNCTION("""COMPUTED_VALUE"""),"K Inverse Pairs Array")</f>
        <v>K Inverse Pairs Array</v>
      </c>
      <c r="C630" s="20" t="str">
        <f>IFERROR(__xludf.DUMMYFUNCTION("""COMPUTED_VALUE"""),"k-inverse-pairs-array")</f>
        <v>k-inverse-pairs-array</v>
      </c>
      <c r="D630" s="20" t="b">
        <f>IFERROR(__xludf.DUMMYFUNCTION("""COMPUTED_VALUE"""),FALSE)</f>
        <v>0</v>
      </c>
      <c r="E630" s="20" t="str">
        <f>IFERROR(__xludf.DUMMYFUNCTION("""COMPUTED_VALUE"""),"Hard")</f>
        <v>Hard</v>
      </c>
      <c r="F630" s="20">
        <f>IFERROR(__xludf.DUMMYFUNCTION("""COMPUTED_VALUE"""),1868.0)</f>
        <v>1868</v>
      </c>
      <c r="G630" s="20">
        <f>IFERROR(__xludf.DUMMYFUNCTION("""COMPUTED_VALUE"""),216.0)</f>
        <v>216</v>
      </c>
      <c r="H630" s="20" t="str">
        <f>IFERROR(__xludf.DUMMYFUNCTION("""COMPUTED_VALUE"""),"Algorithms")</f>
        <v>Algorithms</v>
      </c>
      <c r="I630" s="20">
        <f>IFERROR(__xludf.DUMMYFUNCTION("""COMPUTED_VALUE"""),0.428)</f>
        <v>0.428</v>
      </c>
      <c r="J630" s="20">
        <f>IFERROR(__xludf.DUMMYFUNCTION("""COMPUTED_VALUE"""),629.0)</f>
        <v>629</v>
      </c>
      <c r="K630" s="20" t="b">
        <f>IFERROR(__xludf.DUMMYFUNCTION("""COMPUTED_VALUE"""),FALSE)</f>
        <v>0</v>
      </c>
      <c r="L630" s="20" t="str">
        <f>IFERROR(__xludf.DUMMYFUNCTION("""COMPUTED_VALUE"""),"Dynamic Programming;")</f>
        <v>Dynamic Programming;</v>
      </c>
      <c r="M630" s="20" t="b">
        <f>IFERROR(__xludf.DUMMYFUNCTION("""COMPUTED_VALUE"""),TRUE)</f>
        <v>1</v>
      </c>
      <c r="N630" s="20" t="b">
        <f>IFERROR(__xludf.DUMMYFUNCTION("""COMPUTED_VALUE"""),FALSE)</f>
        <v>0</v>
      </c>
      <c r="O630" s="20">
        <f>IFERROR(__xludf.DUMMYFUNCTION("""COMPUTED_VALUE"""),42.8427652325607)</f>
        <v>42.84276523</v>
      </c>
      <c r="P630" s="20">
        <f>IFERROR(__xludf.DUMMYFUNCTION("""COMPUTED_VALUE"""),57468.0)</f>
        <v>57468</v>
      </c>
      <c r="Q630" s="20">
        <f>IFERROR(__xludf.DUMMYFUNCTION("""COMPUTED_VALUE"""),134137.0)</f>
        <v>134137</v>
      </c>
    </row>
    <row r="631">
      <c r="A631" s="20">
        <f>IFERROR(__xludf.DUMMYFUNCTION("""COMPUTED_VALUE"""),630.0)</f>
        <v>630</v>
      </c>
      <c r="B631" s="20" t="str">
        <f>IFERROR(__xludf.DUMMYFUNCTION("""COMPUTED_VALUE"""),"Course Schedule III")</f>
        <v>Course Schedule III</v>
      </c>
      <c r="C631" s="20" t="str">
        <f>IFERROR(__xludf.DUMMYFUNCTION("""COMPUTED_VALUE"""),"course-schedule-iii")</f>
        <v>course-schedule-iii</v>
      </c>
      <c r="D631" s="20" t="b">
        <f>IFERROR(__xludf.DUMMYFUNCTION("""COMPUTED_VALUE"""),FALSE)</f>
        <v>0</v>
      </c>
      <c r="E631" s="20" t="str">
        <f>IFERROR(__xludf.DUMMYFUNCTION("""COMPUTED_VALUE"""),"Hard")</f>
        <v>Hard</v>
      </c>
      <c r="F631" s="20">
        <f>IFERROR(__xludf.DUMMYFUNCTION("""COMPUTED_VALUE"""),3372.0)</f>
        <v>3372</v>
      </c>
      <c r="G631" s="20">
        <f>IFERROR(__xludf.DUMMYFUNCTION("""COMPUTED_VALUE"""),89.0)</f>
        <v>89</v>
      </c>
      <c r="H631" s="20" t="str">
        <f>IFERROR(__xludf.DUMMYFUNCTION("""COMPUTED_VALUE"""),"Algorithms")</f>
        <v>Algorithms</v>
      </c>
      <c r="I631" s="20">
        <f>IFERROR(__xludf.DUMMYFUNCTION("""COMPUTED_VALUE"""),0.402)</f>
        <v>0.402</v>
      </c>
      <c r="J631" s="20">
        <f>IFERROR(__xludf.DUMMYFUNCTION("""COMPUTED_VALUE"""),630.0)</f>
        <v>630</v>
      </c>
      <c r="K631" s="20" t="b">
        <f>IFERROR(__xludf.DUMMYFUNCTION("""COMPUTED_VALUE"""),FALSE)</f>
        <v>0</v>
      </c>
      <c r="L631" s="20" t="str">
        <f>IFERROR(__xludf.DUMMYFUNCTION("""COMPUTED_VALUE"""),"Array;Greedy;Heap (Priority Queue);")</f>
        <v>Array;Greedy;Heap (Priority Queue);</v>
      </c>
      <c r="M631" s="20" t="b">
        <f>IFERROR(__xludf.DUMMYFUNCTION("""COMPUTED_VALUE"""),TRUE)</f>
        <v>1</v>
      </c>
      <c r="N631" s="20" t="b">
        <f>IFERROR(__xludf.DUMMYFUNCTION("""COMPUTED_VALUE"""),FALSE)</f>
        <v>0</v>
      </c>
      <c r="O631" s="20">
        <f>IFERROR(__xludf.DUMMYFUNCTION("""COMPUTED_VALUE"""),40.1577031945006)</f>
        <v>40.15770319</v>
      </c>
      <c r="P631" s="20">
        <f>IFERROR(__xludf.DUMMYFUNCTION("""COMPUTED_VALUE"""),99310.0)</f>
        <v>99310</v>
      </c>
      <c r="Q631" s="20">
        <f>IFERROR(__xludf.DUMMYFUNCTION("""COMPUTED_VALUE"""),247300.0)</f>
        <v>247300</v>
      </c>
    </row>
    <row r="632">
      <c r="A632" s="20">
        <f>IFERROR(__xludf.DUMMYFUNCTION("""COMPUTED_VALUE"""),631.0)</f>
        <v>631</v>
      </c>
      <c r="B632" s="20" t="str">
        <f>IFERROR(__xludf.DUMMYFUNCTION("""COMPUTED_VALUE"""),"Design Excel Sum Formula")</f>
        <v>Design Excel Sum Formula</v>
      </c>
      <c r="C632" s="20" t="str">
        <f>IFERROR(__xludf.DUMMYFUNCTION("""COMPUTED_VALUE"""),"design-excel-sum-formula")</f>
        <v>design-excel-sum-formula</v>
      </c>
      <c r="D632" s="20" t="b">
        <f>IFERROR(__xludf.DUMMYFUNCTION("""COMPUTED_VALUE"""),TRUE)</f>
        <v>1</v>
      </c>
      <c r="E632" s="20" t="str">
        <f>IFERROR(__xludf.DUMMYFUNCTION("""COMPUTED_VALUE"""),"Hard")</f>
        <v>Hard</v>
      </c>
      <c r="F632" s="20">
        <f>IFERROR(__xludf.DUMMYFUNCTION("""COMPUTED_VALUE"""),204.0)</f>
        <v>204</v>
      </c>
      <c r="G632" s="20">
        <f>IFERROR(__xludf.DUMMYFUNCTION("""COMPUTED_VALUE"""),240.0)</f>
        <v>240</v>
      </c>
      <c r="H632" s="20" t="str">
        <f>IFERROR(__xludf.DUMMYFUNCTION("""COMPUTED_VALUE"""),"Algorithms")</f>
        <v>Algorithms</v>
      </c>
      <c r="I632" s="20">
        <f>IFERROR(__xludf.DUMMYFUNCTION("""COMPUTED_VALUE"""),0.434)</f>
        <v>0.434</v>
      </c>
      <c r="J632" s="20">
        <f>IFERROR(__xludf.DUMMYFUNCTION("""COMPUTED_VALUE"""),631.0)</f>
        <v>631</v>
      </c>
      <c r="K632" s="20" t="b">
        <f>IFERROR(__xludf.DUMMYFUNCTION("""COMPUTED_VALUE"""),TRUE)</f>
        <v>1</v>
      </c>
      <c r="L632" s="20" t="str">
        <f>IFERROR(__xludf.DUMMYFUNCTION("""COMPUTED_VALUE"""),"Graph;Design;Topological Sort;")</f>
        <v>Graph;Design;Topological Sort;</v>
      </c>
      <c r="M632" s="20" t="b">
        <f>IFERROR(__xludf.DUMMYFUNCTION("""COMPUTED_VALUE"""),TRUE)</f>
        <v>1</v>
      </c>
      <c r="N632" s="20" t="b">
        <f>IFERROR(__xludf.DUMMYFUNCTION("""COMPUTED_VALUE"""),FALSE)</f>
        <v>0</v>
      </c>
      <c r="O632" s="20">
        <f>IFERROR(__xludf.DUMMYFUNCTION("""COMPUTED_VALUE"""),43.4157809344061)</f>
        <v>43.41578093</v>
      </c>
      <c r="P632" s="20">
        <f>IFERROR(__xludf.DUMMYFUNCTION("""COMPUTED_VALUE"""),13112.0)</f>
        <v>13112</v>
      </c>
      <c r="Q632" s="20">
        <f>IFERROR(__xludf.DUMMYFUNCTION("""COMPUTED_VALUE"""),30201.0)</f>
        <v>30201</v>
      </c>
    </row>
    <row r="633">
      <c r="A633" s="20">
        <f>IFERROR(__xludf.DUMMYFUNCTION("""COMPUTED_VALUE"""),632.0)</f>
        <v>632</v>
      </c>
      <c r="B633" s="20" t="str">
        <f>IFERROR(__xludf.DUMMYFUNCTION("""COMPUTED_VALUE"""),"Smallest Range Covering Elements from K Lists")</f>
        <v>Smallest Range Covering Elements from K Lists</v>
      </c>
      <c r="C633" s="20" t="str">
        <f>IFERROR(__xludf.DUMMYFUNCTION("""COMPUTED_VALUE"""),"smallest-range-covering-elements-from-k-lists")</f>
        <v>smallest-range-covering-elements-from-k-lists</v>
      </c>
      <c r="D633" s="20" t="b">
        <f>IFERROR(__xludf.DUMMYFUNCTION("""COMPUTED_VALUE"""),FALSE)</f>
        <v>0</v>
      </c>
      <c r="E633" s="20" t="str">
        <f>IFERROR(__xludf.DUMMYFUNCTION("""COMPUTED_VALUE"""),"Hard")</f>
        <v>Hard</v>
      </c>
      <c r="F633" s="20">
        <f>IFERROR(__xludf.DUMMYFUNCTION("""COMPUTED_VALUE"""),2752.0)</f>
        <v>2752</v>
      </c>
      <c r="G633" s="20">
        <f>IFERROR(__xludf.DUMMYFUNCTION("""COMPUTED_VALUE"""),46.0)</f>
        <v>46</v>
      </c>
      <c r="H633" s="20" t="str">
        <f>IFERROR(__xludf.DUMMYFUNCTION("""COMPUTED_VALUE"""),"Algorithms")</f>
        <v>Algorithms</v>
      </c>
      <c r="I633" s="20">
        <f>IFERROR(__xludf.DUMMYFUNCTION("""COMPUTED_VALUE"""),0.607)</f>
        <v>0.607</v>
      </c>
      <c r="J633" s="20">
        <f>IFERROR(__xludf.DUMMYFUNCTION("""COMPUTED_VALUE"""),632.0)</f>
        <v>632</v>
      </c>
      <c r="K633" s="20" t="b">
        <f>IFERROR(__xludf.DUMMYFUNCTION("""COMPUTED_VALUE"""),FALSE)</f>
        <v>0</v>
      </c>
      <c r="L633" s="20" t="str">
        <f>IFERROR(__xludf.DUMMYFUNCTION("""COMPUTED_VALUE"""),"Array;Hash Table;Greedy;Sliding Window;Sorting;Heap (Priority Queue);")</f>
        <v>Array;Hash Table;Greedy;Sliding Window;Sorting;Heap (Priority Queue);</v>
      </c>
      <c r="M633" s="20" t="b">
        <f>IFERROR(__xludf.DUMMYFUNCTION("""COMPUTED_VALUE"""),TRUE)</f>
        <v>1</v>
      </c>
      <c r="N633" s="20" t="b">
        <f>IFERROR(__xludf.DUMMYFUNCTION("""COMPUTED_VALUE"""),FALSE)</f>
        <v>0</v>
      </c>
      <c r="O633" s="20">
        <f>IFERROR(__xludf.DUMMYFUNCTION("""COMPUTED_VALUE"""),60.6676078145635)</f>
        <v>60.66760781</v>
      </c>
      <c r="P633" s="20">
        <f>IFERROR(__xludf.DUMMYFUNCTION("""COMPUTED_VALUE"""),79932.0)</f>
        <v>79932</v>
      </c>
      <c r="Q633" s="20">
        <f>IFERROR(__xludf.DUMMYFUNCTION("""COMPUTED_VALUE"""),131754.0)</f>
        <v>131754</v>
      </c>
    </row>
    <row r="634">
      <c r="A634" s="20">
        <f>IFERROR(__xludf.DUMMYFUNCTION("""COMPUTED_VALUE"""),633.0)</f>
        <v>633</v>
      </c>
      <c r="B634" s="20" t="str">
        <f>IFERROR(__xludf.DUMMYFUNCTION("""COMPUTED_VALUE"""),"Sum of Square Numbers")</f>
        <v>Sum of Square Numbers</v>
      </c>
      <c r="C634" s="20" t="str">
        <f>IFERROR(__xludf.DUMMYFUNCTION("""COMPUTED_VALUE"""),"sum-of-square-numbers")</f>
        <v>sum-of-square-numbers</v>
      </c>
      <c r="D634" s="20" t="b">
        <f>IFERROR(__xludf.DUMMYFUNCTION("""COMPUTED_VALUE"""),FALSE)</f>
        <v>0</v>
      </c>
      <c r="E634" s="20" t="str">
        <f>IFERROR(__xludf.DUMMYFUNCTION("""COMPUTED_VALUE"""),"Medium")</f>
        <v>Medium</v>
      </c>
      <c r="F634" s="20">
        <f>IFERROR(__xludf.DUMMYFUNCTION("""COMPUTED_VALUE"""),1893.0)</f>
        <v>1893</v>
      </c>
      <c r="G634" s="20">
        <f>IFERROR(__xludf.DUMMYFUNCTION("""COMPUTED_VALUE"""),503.0)</f>
        <v>503</v>
      </c>
      <c r="H634" s="20" t="str">
        <f>IFERROR(__xludf.DUMMYFUNCTION("""COMPUTED_VALUE"""),"Algorithms")</f>
        <v>Algorithms</v>
      </c>
      <c r="I634" s="20">
        <f>IFERROR(__xludf.DUMMYFUNCTION("""COMPUTED_VALUE"""),0.345)</f>
        <v>0.345</v>
      </c>
      <c r="J634" s="20">
        <f>IFERROR(__xludf.DUMMYFUNCTION("""COMPUTED_VALUE"""),633.0)</f>
        <v>633</v>
      </c>
      <c r="K634" s="20" t="b">
        <f>IFERROR(__xludf.DUMMYFUNCTION("""COMPUTED_VALUE"""),FALSE)</f>
        <v>0</v>
      </c>
      <c r="L634" s="20" t="str">
        <f>IFERROR(__xludf.DUMMYFUNCTION("""COMPUTED_VALUE"""),"Math;Two Pointers;Binary Search;")</f>
        <v>Math;Two Pointers;Binary Search;</v>
      </c>
      <c r="M634" s="20" t="b">
        <f>IFERROR(__xludf.DUMMYFUNCTION("""COMPUTED_VALUE"""),TRUE)</f>
        <v>1</v>
      </c>
      <c r="N634" s="20" t="b">
        <f>IFERROR(__xludf.DUMMYFUNCTION("""COMPUTED_VALUE"""),FALSE)</f>
        <v>0</v>
      </c>
      <c r="O634" s="20">
        <f>IFERROR(__xludf.DUMMYFUNCTION("""COMPUTED_VALUE"""),34.5465928933218)</f>
        <v>34.54659289</v>
      </c>
      <c r="P634" s="20">
        <f>IFERROR(__xludf.DUMMYFUNCTION("""COMPUTED_VALUE"""),159464.0)</f>
        <v>159464</v>
      </c>
      <c r="Q634" s="20">
        <f>IFERROR(__xludf.DUMMYFUNCTION("""COMPUTED_VALUE"""),461589.0)</f>
        <v>461589</v>
      </c>
    </row>
    <row r="635">
      <c r="A635" s="20">
        <f>IFERROR(__xludf.DUMMYFUNCTION("""COMPUTED_VALUE"""),634.0)</f>
        <v>634</v>
      </c>
      <c r="B635" s="20" t="str">
        <f>IFERROR(__xludf.DUMMYFUNCTION("""COMPUTED_VALUE"""),"Find the Derangement of An Array")</f>
        <v>Find the Derangement of An Array</v>
      </c>
      <c r="C635" s="20" t="str">
        <f>IFERROR(__xludf.DUMMYFUNCTION("""COMPUTED_VALUE"""),"find-the-derangement-of-an-array")</f>
        <v>find-the-derangement-of-an-array</v>
      </c>
      <c r="D635" s="20" t="b">
        <f>IFERROR(__xludf.DUMMYFUNCTION("""COMPUTED_VALUE"""),TRUE)</f>
        <v>1</v>
      </c>
      <c r="E635" s="20" t="str">
        <f>IFERROR(__xludf.DUMMYFUNCTION("""COMPUTED_VALUE"""),"Medium")</f>
        <v>Medium</v>
      </c>
      <c r="F635" s="20">
        <f>IFERROR(__xludf.DUMMYFUNCTION("""COMPUTED_VALUE"""),200.0)</f>
        <v>200</v>
      </c>
      <c r="G635" s="20">
        <f>IFERROR(__xludf.DUMMYFUNCTION("""COMPUTED_VALUE"""),157.0)</f>
        <v>157</v>
      </c>
      <c r="H635" s="20" t="str">
        <f>IFERROR(__xludf.DUMMYFUNCTION("""COMPUTED_VALUE"""),"Algorithms")</f>
        <v>Algorithms</v>
      </c>
      <c r="I635" s="20">
        <f>IFERROR(__xludf.DUMMYFUNCTION("""COMPUTED_VALUE"""),0.42)</f>
        <v>0.42</v>
      </c>
      <c r="J635" s="20">
        <f>IFERROR(__xludf.DUMMYFUNCTION("""COMPUTED_VALUE"""),634.0)</f>
        <v>634</v>
      </c>
      <c r="K635" s="20" t="b">
        <f>IFERROR(__xludf.DUMMYFUNCTION("""COMPUTED_VALUE"""),TRUE)</f>
        <v>1</v>
      </c>
      <c r="L635" s="20" t="str">
        <f>IFERROR(__xludf.DUMMYFUNCTION("""COMPUTED_VALUE"""),"Math;Dynamic Programming;")</f>
        <v>Math;Dynamic Programming;</v>
      </c>
      <c r="M635" s="20" t="b">
        <f>IFERROR(__xludf.DUMMYFUNCTION("""COMPUTED_VALUE"""),TRUE)</f>
        <v>1</v>
      </c>
      <c r="N635" s="20" t="b">
        <f>IFERROR(__xludf.DUMMYFUNCTION("""COMPUTED_VALUE"""),FALSE)</f>
        <v>0</v>
      </c>
      <c r="O635" s="20">
        <f>IFERROR(__xludf.DUMMYFUNCTION("""COMPUTED_VALUE"""),41.9640989162726)</f>
        <v>41.96409892</v>
      </c>
      <c r="P635" s="20">
        <f>IFERROR(__xludf.DUMMYFUNCTION("""COMPUTED_VALUE"""),10029.0)</f>
        <v>10029</v>
      </c>
      <c r="Q635" s="20">
        <f>IFERROR(__xludf.DUMMYFUNCTION("""COMPUTED_VALUE"""),23899.0)</f>
        <v>23899</v>
      </c>
    </row>
    <row r="636">
      <c r="A636" s="20">
        <f>IFERROR(__xludf.DUMMYFUNCTION("""COMPUTED_VALUE"""),635.0)</f>
        <v>635</v>
      </c>
      <c r="B636" s="20" t="str">
        <f>IFERROR(__xludf.DUMMYFUNCTION("""COMPUTED_VALUE"""),"Design Log Storage System")</f>
        <v>Design Log Storage System</v>
      </c>
      <c r="C636" s="20" t="str">
        <f>IFERROR(__xludf.DUMMYFUNCTION("""COMPUTED_VALUE"""),"design-log-storage-system")</f>
        <v>design-log-storage-system</v>
      </c>
      <c r="D636" s="20" t="b">
        <f>IFERROR(__xludf.DUMMYFUNCTION("""COMPUTED_VALUE"""),TRUE)</f>
        <v>1</v>
      </c>
      <c r="E636" s="20" t="str">
        <f>IFERROR(__xludf.DUMMYFUNCTION("""COMPUTED_VALUE"""),"Medium")</f>
        <v>Medium</v>
      </c>
      <c r="F636" s="20">
        <f>IFERROR(__xludf.DUMMYFUNCTION("""COMPUTED_VALUE"""),448.0)</f>
        <v>448</v>
      </c>
      <c r="G636" s="20">
        <f>IFERROR(__xludf.DUMMYFUNCTION("""COMPUTED_VALUE"""),189.0)</f>
        <v>189</v>
      </c>
      <c r="H636" s="20" t="str">
        <f>IFERROR(__xludf.DUMMYFUNCTION("""COMPUTED_VALUE"""),"Algorithms")</f>
        <v>Algorithms</v>
      </c>
      <c r="I636" s="20">
        <f>IFERROR(__xludf.DUMMYFUNCTION("""COMPUTED_VALUE"""),0.628)</f>
        <v>0.628</v>
      </c>
      <c r="J636" s="20">
        <f>IFERROR(__xludf.DUMMYFUNCTION("""COMPUTED_VALUE"""),635.0)</f>
        <v>635</v>
      </c>
      <c r="K636" s="20" t="b">
        <f>IFERROR(__xludf.DUMMYFUNCTION("""COMPUTED_VALUE"""),TRUE)</f>
        <v>1</v>
      </c>
      <c r="L636" s="20" t="str">
        <f>IFERROR(__xludf.DUMMYFUNCTION("""COMPUTED_VALUE"""),"Hash Table;String;Design;Ordered Set;")</f>
        <v>Hash Table;String;Design;Ordered Set;</v>
      </c>
      <c r="M636" s="20" t="b">
        <f>IFERROR(__xludf.DUMMYFUNCTION("""COMPUTED_VALUE"""),TRUE)</f>
        <v>1</v>
      </c>
      <c r="N636" s="20" t="b">
        <f>IFERROR(__xludf.DUMMYFUNCTION("""COMPUTED_VALUE"""),FALSE)</f>
        <v>0</v>
      </c>
      <c r="O636" s="20">
        <f>IFERROR(__xludf.DUMMYFUNCTION("""COMPUTED_VALUE"""),62.7929442222608)</f>
        <v>62.79294422</v>
      </c>
      <c r="P636" s="20">
        <f>IFERROR(__xludf.DUMMYFUNCTION("""COMPUTED_VALUE"""),32501.0)</f>
        <v>32501</v>
      </c>
      <c r="Q636" s="20">
        <f>IFERROR(__xludf.DUMMYFUNCTION("""COMPUTED_VALUE"""),51759.0)</f>
        <v>51759</v>
      </c>
    </row>
    <row r="637">
      <c r="A637" s="20">
        <f>IFERROR(__xludf.DUMMYFUNCTION("""COMPUTED_VALUE"""),636.0)</f>
        <v>636</v>
      </c>
      <c r="B637" s="20" t="str">
        <f>IFERROR(__xludf.DUMMYFUNCTION("""COMPUTED_VALUE"""),"Exclusive Time of Functions")</f>
        <v>Exclusive Time of Functions</v>
      </c>
      <c r="C637" s="20" t="str">
        <f>IFERROR(__xludf.DUMMYFUNCTION("""COMPUTED_VALUE"""),"exclusive-time-of-functions")</f>
        <v>exclusive-time-of-functions</v>
      </c>
      <c r="D637" s="20" t="b">
        <f>IFERROR(__xludf.DUMMYFUNCTION("""COMPUTED_VALUE"""),FALSE)</f>
        <v>0</v>
      </c>
      <c r="E637" s="20" t="str">
        <f>IFERROR(__xludf.DUMMYFUNCTION("""COMPUTED_VALUE"""),"Medium")</f>
        <v>Medium</v>
      </c>
      <c r="F637" s="20">
        <f>IFERROR(__xludf.DUMMYFUNCTION("""COMPUTED_VALUE"""),1742.0)</f>
        <v>1742</v>
      </c>
      <c r="G637" s="20">
        <f>IFERROR(__xludf.DUMMYFUNCTION("""COMPUTED_VALUE"""),2553.0)</f>
        <v>2553</v>
      </c>
      <c r="H637" s="20" t="str">
        <f>IFERROR(__xludf.DUMMYFUNCTION("""COMPUTED_VALUE"""),"Algorithms")</f>
        <v>Algorithms</v>
      </c>
      <c r="I637" s="20">
        <f>IFERROR(__xludf.DUMMYFUNCTION("""COMPUTED_VALUE"""),0.611)</f>
        <v>0.611</v>
      </c>
      <c r="J637" s="20">
        <f>IFERROR(__xludf.DUMMYFUNCTION("""COMPUTED_VALUE"""),636.0)</f>
        <v>636</v>
      </c>
      <c r="K637" s="20" t="b">
        <f>IFERROR(__xludf.DUMMYFUNCTION("""COMPUTED_VALUE"""),FALSE)</f>
        <v>0</v>
      </c>
      <c r="L637" s="20" t="str">
        <f>IFERROR(__xludf.DUMMYFUNCTION("""COMPUTED_VALUE"""),"Array;Stack;")</f>
        <v>Array;Stack;</v>
      </c>
      <c r="M637" s="20" t="b">
        <f>IFERROR(__xludf.DUMMYFUNCTION("""COMPUTED_VALUE"""),FALSE)</f>
        <v>0</v>
      </c>
      <c r="N637" s="20" t="b">
        <f>IFERROR(__xludf.DUMMYFUNCTION("""COMPUTED_VALUE"""),FALSE)</f>
        <v>0</v>
      </c>
      <c r="O637" s="20">
        <f>IFERROR(__xludf.DUMMYFUNCTION("""COMPUTED_VALUE"""),61.1227055362923)</f>
        <v>61.12270554</v>
      </c>
      <c r="P637" s="20">
        <f>IFERROR(__xludf.DUMMYFUNCTION("""COMPUTED_VALUE"""),185975.0)</f>
        <v>185975</v>
      </c>
      <c r="Q637" s="20">
        <f>IFERROR(__xludf.DUMMYFUNCTION("""COMPUTED_VALUE"""),304265.0)</f>
        <v>304265</v>
      </c>
    </row>
    <row r="638">
      <c r="A638" s="20">
        <f>IFERROR(__xludf.DUMMYFUNCTION("""COMPUTED_VALUE"""),637.0)</f>
        <v>637</v>
      </c>
      <c r="B638" s="20" t="str">
        <f>IFERROR(__xludf.DUMMYFUNCTION("""COMPUTED_VALUE"""),"Average of Levels in Binary Tree")</f>
        <v>Average of Levels in Binary Tree</v>
      </c>
      <c r="C638" s="20" t="str">
        <f>IFERROR(__xludf.DUMMYFUNCTION("""COMPUTED_VALUE"""),"average-of-levels-in-binary-tree")</f>
        <v>average-of-levels-in-binary-tree</v>
      </c>
      <c r="D638" s="20" t="b">
        <f>IFERROR(__xludf.DUMMYFUNCTION("""COMPUTED_VALUE"""),FALSE)</f>
        <v>0</v>
      </c>
      <c r="E638" s="20" t="str">
        <f>IFERROR(__xludf.DUMMYFUNCTION("""COMPUTED_VALUE"""),"Easy")</f>
        <v>Easy</v>
      </c>
      <c r="F638" s="20">
        <f>IFERROR(__xludf.DUMMYFUNCTION("""COMPUTED_VALUE"""),4446.0)</f>
        <v>4446</v>
      </c>
      <c r="G638" s="20">
        <f>IFERROR(__xludf.DUMMYFUNCTION("""COMPUTED_VALUE"""),277.0)</f>
        <v>277</v>
      </c>
      <c r="H638" s="20" t="str">
        <f>IFERROR(__xludf.DUMMYFUNCTION("""COMPUTED_VALUE"""),"Algorithms")</f>
        <v>Algorithms</v>
      </c>
      <c r="I638" s="20">
        <f>IFERROR(__xludf.DUMMYFUNCTION("""COMPUTED_VALUE"""),0.717)</f>
        <v>0.717</v>
      </c>
      <c r="J638" s="20">
        <f>IFERROR(__xludf.DUMMYFUNCTION("""COMPUTED_VALUE"""),637.0)</f>
        <v>637</v>
      </c>
      <c r="K638" s="20" t="b">
        <f>IFERROR(__xludf.DUMMYFUNCTION("""COMPUTED_VALUE"""),FALSE)</f>
        <v>0</v>
      </c>
      <c r="L638" s="20" t="str">
        <f>IFERROR(__xludf.DUMMYFUNCTION("""COMPUTED_VALUE"""),"Tree;Depth-First Search;Breadth-First Search;Binary Tree;")</f>
        <v>Tree;Depth-First Search;Breadth-First Search;Binary Tree;</v>
      </c>
      <c r="M638" s="20" t="b">
        <f>IFERROR(__xludf.DUMMYFUNCTION("""COMPUTED_VALUE"""),TRUE)</f>
        <v>1</v>
      </c>
      <c r="N638" s="20" t="b">
        <f>IFERROR(__xludf.DUMMYFUNCTION("""COMPUTED_VALUE"""),FALSE)</f>
        <v>0</v>
      </c>
      <c r="O638" s="20">
        <f>IFERROR(__xludf.DUMMYFUNCTION("""COMPUTED_VALUE"""),71.6956808256787)</f>
        <v>71.69568083</v>
      </c>
      <c r="P638" s="20">
        <f>IFERROR(__xludf.DUMMYFUNCTION("""COMPUTED_VALUE"""),373164.0)</f>
        <v>373164</v>
      </c>
      <c r="Q638" s="20">
        <f>IFERROR(__xludf.DUMMYFUNCTION("""COMPUTED_VALUE"""),520483.0)</f>
        <v>520483</v>
      </c>
    </row>
    <row r="639">
      <c r="A639" s="20">
        <f>IFERROR(__xludf.DUMMYFUNCTION("""COMPUTED_VALUE"""),638.0)</f>
        <v>638</v>
      </c>
      <c r="B639" s="20" t="str">
        <f>IFERROR(__xludf.DUMMYFUNCTION("""COMPUTED_VALUE"""),"Shopping Offers")</f>
        <v>Shopping Offers</v>
      </c>
      <c r="C639" s="20" t="str">
        <f>IFERROR(__xludf.DUMMYFUNCTION("""COMPUTED_VALUE"""),"shopping-offers")</f>
        <v>shopping-offers</v>
      </c>
      <c r="D639" s="20" t="b">
        <f>IFERROR(__xludf.DUMMYFUNCTION("""COMPUTED_VALUE"""),FALSE)</f>
        <v>0</v>
      </c>
      <c r="E639" s="20" t="str">
        <f>IFERROR(__xludf.DUMMYFUNCTION("""COMPUTED_VALUE"""),"Medium")</f>
        <v>Medium</v>
      </c>
      <c r="F639" s="20">
        <f>IFERROR(__xludf.DUMMYFUNCTION("""COMPUTED_VALUE"""),1213.0)</f>
        <v>1213</v>
      </c>
      <c r="G639" s="20">
        <f>IFERROR(__xludf.DUMMYFUNCTION("""COMPUTED_VALUE"""),689.0)</f>
        <v>689</v>
      </c>
      <c r="H639" s="20" t="str">
        <f>IFERROR(__xludf.DUMMYFUNCTION("""COMPUTED_VALUE"""),"Algorithms")</f>
        <v>Algorithms</v>
      </c>
      <c r="I639" s="20">
        <f>IFERROR(__xludf.DUMMYFUNCTION("""COMPUTED_VALUE"""),0.539)</f>
        <v>0.539</v>
      </c>
      <c r="J639" s="20">
        <f>IFERROR(__xludf.DUMMYFUNCTION("""COMPUTED_VALUE"""),638.0)</f>
        <v>638</v>
      </c>
      <c r="K639" s="20" t="b">
        <f>IFERROR(__xludf.DUMMYFUNCTION("""COMPUTED_VALUE"""),FALSE)</f>
        <v>0</v>
      </c>
      <c r="L639" s="20" t="str">
        <f>IFERROR(__xludf.DUMMYFUNCTION("""COMPUTED_VALUE"""),"Array;Dynamic Programming;Backtracking;Bit Manipulation;Memoization;Bitmask;")</f>
        <v>Array;Dynamic Programming;Backtracking;Bit Manipulation;Memoization;Bitmask;</v>
      </c>
      <c r="M639" s="20" t="b">
        <f>IFERROR(__xludf.DUMMYFUNCTION("""COMPUTED_VALUE"""),TRUE)</f>
        <v>1</v>
      </c>
      <c r="N639" s="20" t="b">
        <f>IFERROR(__xludf.DUMMYFUNCTION("""COMPUTED_VALUE"""),FALSE)</f>
        <v>0</v>
      </c>
      <c r="O639" s="20">
        <f>IFERROR(__xludf.DUMMYFUNCTION("""COMPUTED_VALUE"""),53.9296975359103)</f>
        <v>53.92969754</v>
      </c>
      <c r="P639" s="20">
        <f>IFERROR(__xludf.DUMMYFUNCTION("""COMPUTED_VALUE"""),50798.0)</f>
        <v>50798</v>
      </c>
      <c r="Q639" s="20">
        <f>IFERROR(__xludf.DUMMYFUNCTION("""COMPUTED_VALUE"""),94193.0)</f>
        <v>94193</v>
      </c>
    </row>
    <row r="640">
      <c r="A640" s="20">
        <f>IFERROR(__xludf.DUMMYFUNCTION("""COMPUTED_VALUE"""),639.0)</f>
        <v>639</v>
      </c>
      <c r="B640" s="20" t="str">
        <f>IFERROR(__xludf.DUMMYFUNCTION("""COMPUTED_VALUE"""),"Decode Ways II")</f>
        <v>Decode Ways II</v>
      </c>
      <c r="C640" s="20" t="str">
        <f>IFERROR(__xludf.DUMMYFUNCTION("""COMPUTED_VALUE"""),"decode-ways-ii")</f>
        <v>decode-ways-ii</v>
      </c>
      <c r="D640" s="20" t="b">
        <f>IFERROR(__xludf.DUMMYFUNCTION("""COMPUTED_VALUE"""),FALSE)</f>
        <v>0</v>
      </c>
      <c r="E640" s="20" t="str">
        <f>IFERROR(__xludf.DUMMYFUNCTION("""COMPUTED_VALUE"""),"Hard")</f>
        <v>Hard</v>
      </c>
      <c r="F640" s="20">
        <f>IFERROR(__xludf.DUMMYFUNCTION("""COMPUTED_VALUE"""),1306.0)</f>
        <v>1306</v>
      </c>
      <c r="G640" s="20">
        <f>IFERROR(__xludf.DUMMYFUNCTION("""COMPUTED_VALUE"""),781.0)</f>
        <v>781</v>
      </c>
      <c r="H640" s="20" t="str">
        <f>IFERROR(__xludf.DUMMYFUNCTION("""COMPUTED_VALUE"""),"Algorithms")</f>
        <v>Algorithms</v>
      </c>
      <c r="I640" s="20">
        <f>IFERROR(__xludf.DUMMYFUNCTION("""COMPUTED_VALUE"""),0.304)</f>
        <v>0.304</v>
      </c>
      <c r="J640" s="20">
        <f>IFERROR(__xludf.DUMMYFUNCTION("""COMPUTED_VALUE"""),639.0)</f>
        <v>639</v>
      </c>
      <c r="K640" s="20" t="b">
        <f>IFERROR(__xludf.DUMMYFUNCTION("""COMPUTED_VALUE"""),FALSE)</f>
        <v>0</v>
      </c>
      <c r="L640" s="20" t="str">
        <f>IFERROR(__xludf.DUMMYFUNCTION("""COMPUTED_VALUE"""),"String;Dynamic Programming;")</f>
        <v>String;Dynamic Programming;</v>
      </c>
      <c r="M640" s="20" t="b">
        <f>IFERROR(__xludf.DUMMYFUNCTION("""COMPUTED_VALUE"""),TRUE)</f>
        <v>1</v>
      </c>
      <c r="N640" s="20" t="b">
        <f>IFERROR(__xludf.DUMMYFUNCTION("""COMPUTED_VALUE"""),FALSE)</f>
        <v>0</v>
      </c>
      <c r="O640" s="20">
        <f>IFERROR(__xludf.DUMMYFUNCTION("""COMPUTED_VALUE"""),30.4081878721549)</f>
        <v>30.40818787</v>
      </c>
      <c r="P640" s="20">
        <f>IFERROR(__xludf.DUMMYFUNCTION("""COMPUTED_VALUE"""),65571.0)</f>
        <v>65571</v>
      </c>
      <c r="Q640" s="20">
        <f>IFERROR(__xludf.DUMMYFUNCTION("""COMPUTED_VALUE"""),215636.0)</f>
        <v>215636</v>
      </c>
    </row>
    <row r="641">
      <c r="A641" s="20">
        <f>IFERROR(__xludf.DUMMYFUNCTION("""COMPUTED_VALUE"""),640.0)</f>
        <v>640</v>
      </c>
      <c r="B641" s="20" t="str">
        <f>IFERROR(__xludf.DUMMYFUNCTION("""COMPUTED_VALUE"""),"Solve the Equation")</f>
        <v>Solve the Equation</v>
      </c>
      <c r="C641" s="20" t="str">
        <f>IFERROR(__xludf.DUMMYFUNCTION("""COMPUTED_VALUE"""),"solve-the-equation")</f>
        <v>solve-the-equation</v>
      </c>
      <c r="D641" s="20" t="b">
        <f>IFERROR(__xludf.DUMMYFUNCTION("""COMPUTED_VALUE"""),FALSE)</f>
        <v>0</v>
      </c>
      <c r="E641" s="20" t="str">
        <f>IFERROR(__xludf.DUMMYFUNCTION("""COMPUTED_VALUE"""),"Medium")</f>
        <v>Medium</v>
      </c>
      <c r="F641" s="20">
        <f>IFERROR(__xludf.DUMMYFUNCTION("""COMPUTED_VALUE"""),407.0)</f>
        <v>407</v>
      </c>
      <c r="G641" s="20">
        <f>IFERROR(__xludf.DUMMYFUNCTION("""COMPUTED_VALUE"""),762.0)</f>
        <v>762</v>
      </c>
      <c r="H641" s="20" t="str">
        <f>IFERROR(__xludf.DUMMYFUNCTION("""COMPUTED_VALUE"""),"Algorithms")</f>
        <v>Algorithms</v>
      </c>
      <c r="I641" s="20">
        <f>IFERROR(__xludf.DUMMYFUNCTION("""COMPUTED_VALUE"""),0.434)</f>
        <v>0.434</v>
      </c>
      <c r="J641" s="20">
        <f>IFERROR(__xludf.DUMMYFUNCTION("""COMPUTED_VALUE"""),640.0)</f>
        <v>640</v>
      </c>
      <c r="K641" s="20" t="b">
        <f>IFERROR(__xludf.DUMMYFUNCTION("""COMPUTED_VALUE"""),FALSE)</f>
        <v>0</v>
      </c>
      <c r="L641" s="20" t="str">
        <f>IFERROR(__xludf.DUMMYFUNCTION("""COMPUTED_VALUE"""),"Math;String;Simulation;")</f>
        <v>Math;String;Simulation;</v>
      </c>
      <c r="M641" s="20" t="b">
        <f>IFERROR(__xludf.DUMMYFUNCTION("""COMPUTED_VALUE"""),TRUE)</f>
        <v>1</v>
      </c>
      <c r="N641" s="20" t="b">
        <f>IFERROR(__xludf.DUMMYFUNCTION("""COMPUTED_VALUE"""),FALSE)</f>
        <v>0</v>
      </c>
      <c r="O641" s="20">
        <f>IFERROR(__xludf.DUMMYFUNCTION("""COMPUTED_VALUE"""),43.3862961761991)</f>
        <v>43.38629618</v>
      </c>
      <c r="P641" s="20">
        <f>IFERROR(__xludf.DUMMYFUNCTION("""COMPUTED_VALUE"""),34788.0)</f>
        <v>34788</v>
      </c>
      <c r="Q641" s="20">
        <f>IFERROR(__xludf.DUMMYFUNCTION("""COMPUTED_VALUE"""),80182.0)</f>
        <v>80182</v>
      </c>
    </row>
    <row r="642">
      <c r="A642" s="20">
        <f>IFERROR(__xludf.DUMMYFUNCTION("""COMPUTED_VALUE"""),859.0)</f>
        <v>859</v>
      </c>
      <c r="B642" s="20" t="str">
        <f>IFERROR(__xludf.DUMMYFUNCTION("""COMPUTED_VALUE"""),"Design Circular Deque")</f>
        <v>Design Circular Deque</v>
      </c>
      <c r="C642" s="20" t="str">
        <f>IFERROR(__xludf.DUMMYFUNCTION("""COMPUTED_VALUE"""),"design-circular-deque")</f>
        <v>design-circular-deque</v>
      </c>
      <c r="D642" s="20" t="b">
        <f>IFERROR(__xludf.DUMMYFUNCTION("""COMPUTED_VALUE"""),FALSE)</f>
        <v>0</v>
      </c>
      <c r="E642" s="20" t="str">
        <f>IFERROR(__xludf.DUMMYFUNCTION("""COMPUTED_VALUE"""),"Medium")</f>
        <v>Medium</v>
      </c>
      <c r="F642" s="20">
        <f>IFERROR(__xludf.DUMMYFUNCTION("""COMPUTED_VALUE"""),922.0)</f>
        <v>922</v>
      </c>
      <c r="G642" s="20">
        <f>IFERROR(__xludf.DUMMYFUNCTION("""COMPUTED_VALUE"""),67.0)</f>
        <v>67</v>
      </c>
      <c r="H642" s="20" t="str">
        <f>IFERROR(__xludf.DUMMYFUNCTION("""COMPUTED_VALUE"""),"Algorithms")</f>
        <v>Algorithms</v>
      </c>
      <c r="I642" s="20">
        <f>IFERROR(__xludf.DUMMYFUNCTION("""COMPUTED_VALUE"""),0.575)</f>
        <v>0.575</v>
      </c>
      <c r="J642" s="20">
        <f>IFERROR(__xludf.DUMMYFUNCTION("""COMPUTED_VALUE"""),641.0)</f>
        <v>641</v>
      </c>
      <c r="K642" s="20" t="b">
        <f>IFERROR(__xludf.DUMMYFUNCTION("""COMPUTED_VALUE"""),FALSE)</f>
        <v>0</v>
      </c>
      <c r="L642" s="20" t="str">
        <f>IFERROR(__xludf.DUMMYFUNCTION("""COMPUTED_VALUE"""),"Array;Linked List;Design;Queue;")</f>
        <v>Array;Linked List;Design;Queue;</v>
      </c>
      <c r="M642" s="20" t="b">
        <f>IFERROR(__xludf.DUMMYFUNCTION("""COMPUTED_VALUE"""),FALSE)</f>
        <v>0</v>
      </c>
      <c r="N642" s="20" t="b">
        <f>IFERROR(__xludf.DUMMYFUNCTION("""COMPUTED_VALUE"""),FALSE)</f>
        <v>0</v>
      </c>
      <c r="O642" s="20">
        <f>IFERROR(__xludf.DUMMYFUNCTION("""COMPUTED_VALUE"""),57.540190795866)</f>
        <v>57.5401908</v>
      </c>
      <c r="P642" s="20">
        <f>IFERROR(__xludf.DUMMYFUNCTION("""COMPUTED_VALUE"""),52113.0)</f>
        <v>52113</v>
      </c>
      <c r="Q642" s="20">
        <f>IFERROR(__xludf.DUMMYFUNCTION("""COMPUTED_VALUE"""),90568.0)</f>
        <v>90568</v>
      </c>
    </row>
    <row r="643">
      <c r="A643" s="20">
        <f>IFERROR(__xludf.DUMMYFUNCTION("""COMPUTED_VALUE"""),642.0)</f>
        <v>642</v>
      </c>
      <c r="B643" s="20" t="str">
        <f>IFERROR(__xludf.DUMMYFUNCTION("""COMPUTED_VALUE"""),"Design Search Autocomplete System")</f>
        <v>Design Search Autocomplete System</v>
      </c>
      <c r="C643" s="20" t="str">
        <f>IFERROR(__xludf.DUMMYFUNCTION("""COMPUTED_VALUE"""),"design-search-autocomplete-system")</f>
        <v>design-search-autocomplete-system</v>
      </c>
      <c r="D643" s="20" t="b">
        <f>IFERROR(__xludf.DUMMYFUNCTION("""COMPUTED_VALUE"""),TRUE)</f>
        <v>1</v>
      </c>
      <c r="E643" s="20" t="str">
        <f>IFERROR(__xludf.DUMMYFUNCTION("""COMPUTED_VALUE"""),"Hard")</f>
        <v>Hard</v>
      </c>
      <c r="F643" s="20">
        <f>IFERROR(__xludf.DUMMYFUNCTION("""COMPUTED_VALUE"""),1964.0)</f>
        <v>1964</v>
      </c>
      <c r="G643" s="20">
        <f>IFERROR(__xludf.DUMMYFUNCTION("""COMPUTED_VALUE"""),137.0)</f>
        <v>137</v>
      </c>
      <c r="H643" s="20" t="str">
        <f>IFERROR(__xludf.DUMMYFUNCTION("""COMPUTED_VALUE"""),"Algorithms")</f>
        <v>Algorithms</v>
      </c>
      <c r="I643" s="20">
        <f>IFERROR(__xludf.DUMMYFUNCTION("""COMPUTED_VALUE"""),0.487)</f>
        <v>0.487</v>
      </c>
      <c r="J643" s="20">
        <f>IFERROR(__xludf.DUMMYFUNCTION("""COMPUTED_VALUE"""),642.0)</f>
        <v>642</v>
      </c>
      <c r="K643" s="20" t="b">
        <f>IFERROR(__xludf.DUMMYFUNCTION("""COMPUTED_VALUE"""),TRUE)</f>
        <v>1</v>
      </c>
      <c r="L643" s="20" t="str">
        <f>IFERROR(__xludf.DUMMYFUNCTION("""COMPUTED_VALUE"""),"String;Design;Trie;Data Stream;")</f>
        <v>String;Design;Trie;Data Stream;</v>
      </c>
      <c r="M643" s="20" t="b">
        <f>IFERROR(__xludf.DUMMYFUNCTION("""COMPUTED_VALUE"""),FALSE)</f>
        <v>0</v>
      </c>
      <c r="N643" s="20" t="b">
        <f>IFERROR(__xludf.DUMMYFUNCTION("""COMPUTED_VALUE"""),FALSE)</f>
        <v>0</v>
      </c>
      <c r="O643" s="20">
        <f>IFERROR(__xludf.DUMMYFUNCTION("""COMPUTED_VALUE"""),48.7221075016951)</f>
        <v>48.7221075</v>
      </c>
      <c r="P643" s="20">
        <f>IFERROR(__xludf.DUMMYFUNCTION("""COMPUTED_VALUE"""),126467.0)</f>
        <v>126467</v>
      </c>
      <c r="Q643" s="20">
        <f>IFERROR(__xludf.DUMMYFUNCTION("""COMPUTED_VALUE"""),259568.0)</f>
        <v>259568</v>
      </c>
    </row>
    <row r="644">
      <c r="A644" s="20">
        <f>IFERROR(__xludf.DUMMYFUNCTION("""COMPUTED_VALUE"""),643.0)</f>
        <v>643</v>
      </c>
      <c r="B644" s="20" t="str">
        <f>IFERROR(__xludf.DUMMYFUNCTION("""COMPUTED_VALUE"""),"Maximum Average Subarray I")</f>
        <v>Maximum Average Subarray I</v>
      </c>
      <c r="C644" s="20" t="str">
        <f>IFERROR(__xludf.DUMMYFUNCTION("""COMPUTED_VALUE"""),"maximum-average-subarray-i")</f>
        <v>maximum-average-subarray-i</v>
      </c>
      <c r="D644" s="20" t="b">
        <f>IFERROR(__xludf.DUMMYFUNCTION("""COMPUTED_VALUE"""),FALSE)</f>
        <v>0</v>
      </c>
      <c r="E644" s="20" t="str">
        <f>IFERROR(__xludf.DUMMYFUNCTION("""COMPUTED_VALUE"""),"Easy")</f>
        <v>Easy</v>
      </c>
      <c r="F644" s="20">
        <f>IFERROR(__xludf.DUMMYFUNCTION("""COMPUTED_VALUE"""),2090.0)</f>
        <v>2090</v>
      </c>
      <c r="G644" s="20">
        <f>IFERROR(__xludf.DUMMYFUNCTION("""COMPUTED_VALUE"""),173.0)</f>
        <v>173</v>
      </c>
      <c r="H644" s="20" t="str">
        <f>IFERROR(__xludf.DUMMYFUNCTION("""COMPUTED_VALUE"""),"Algorithms")</f>
        <v>Algorithms</v>
      </c>
      <c r="I644" s="20">
        <f>IFERROR(__xludf.DUMMYFUNCTION("""COMPUTED_VALUE"""),0.438)</f>
        <v>0.438</v>
      </c>
      <c r="J644" s="20">
        <f>IFERROR(__xludf.DUMMYFUNCTION("""COMPUTED_VALUE"""),643.0)</f>
        <v>643</v>
      </c>
      <c r="K644" s="20" t="b">
        <f>IFERROR(__xludf.DUMMYFUNCTION("""COMPUTED_VALUE"""),FALSE)</f>
        <v>0</v>
      </c>
      <c r="L644" s="20" t="str">
        <f>IFERROR(__xludf.DUMMYFUNCTION("""COMPUTED_VALUE"""),"Array;Sliding Window;")</f>
        <v>Array;Sliding Window;</v>
      </c>
      <c r="M644" s="20" t="b">
        <f>IFERROR(__xludf.DUMMYFUNCTION("""COMPUTED_VALUE"""),TRUE)</f>
        <v>1</v>
      </c>
      <c r="N644" s="20" t="b">
        <f>IFERROR(__xludf.DUMMYFUNCTION("""COMPUTED_VALUE"""),FALSE)</f>
        <v>0</v>
      </c>
      <c r="O644" s="20">
        <f>IFERROR(__xludf.DUMMYFUNCTION("""COMPUTED_VALUE"""),43.8293919646832)</f>
        <v>43.82939196</v>
      </c>
      <c r="P644" s="20">
        <f>IFERROR(__xludf.DUMMYFUNCTION("""COMPUTED_VALUE"""),183076.0)</f>
        <v>183076</v>
      </c>
      <c r="Q644" s="20">
        <f>IFERROR(__xludf.DUMMYFUNCTION("""COMPUTED_VALUE"""),417703.0)</f>
        <v>417703</v>
      </c>
    </row>
    <row r="645">
      <c r="A645" s="20">
        <f>IFERROR(__xludf.DUMMYFUNCTION("""COMPUTED_VALUE"""),644.0)</f>
        <v>644</v>
      </c>
      <c r="B645" s="20" t="str">
        <f>IFERROR(__xludf.DUMMYFUNCTION("""COMPUTED_VALUE"""),"Maximum Average Subarray II")</f>
        <v>Maximum Average Subarray II</v>
      </c>
      <c r="C645" s="20" t="str">
        <f>IFERROR(__xludf.DUMMYFUNCTION("""COMPUTED_VALUE"""),"maximum-average-subarray-ii")</f>
        <v>maximum-average-subarray-ii</v>
      </c>
      <c r="D645" s="20" t="b">
        <f>IFERROR(__xludf.DUMMYFUNCTION("""COMPUTED_VALUE"""),TRUE)</f>
        <v>1</v>
      </c>
      <c r="E645" s="20" t="str">
        <f>IFERROR(__xludf.DUMMYFUNCTION("""COMPUTED_VALUE"""),"Hard")</f>
        <v>Hard</v>
      </c>
      <c r="F645" s="20">
        <f>IFERROR(__xludf.DUMMYFUNCTION("""COMPUTED_VALUE"""),572.0)</f>
        <v>572</v>
      </c>
      <c r="G645" s="20">
        <f>IFERROR(__xludf.DUMMYFUNCTION("""COMPUTED_VALUE"""),64.0)</f>
        <v>64</v>
      </c>
      <c r="H645" s="20" t="str">
        <f>IFERROR(__xludf.DUMMYFUNCTION("""COMPUTED_VALUE"""),"Algorithms")</f>
        <v>Algorithms</v>
      </c>
      <c r="I645" s="20">
        <f>IFERROR(__xludf.DUMMYFUNCTION("""COMPUTED_VALUE"""),0.358)</f>
        <v>0.358</v>
      </c>
      <c r="J645" s="20">
        <f>IFERROR(__xludf.DUMMYFUNCTION("""COMPUTED_VALUE"""),644.0)</f>
        <v>644</v>
      </c>
      <c r="K645" s="20" t="b">
        <f>IFERROR(__xludf.DUMMYFUNCTION("""COMPUTED_VALUE"""),TRUE)</f>
        <v>1</v>
      </c>
      <c r="L645" s="20" t="str">
        <f>IFERROR(__xludf.DUMMYFUNCTION("""COMPUTED_VALUE"""),"Array;Binary Search;Prefix Sum;")</f>
        <v>Array;Binary Search;Prefix Sum;</v>
      </c>
      <c r="M645" s="20" t="b">
        <f>IFERROR(__xludf.DUMMYFUNCTION("""COMPUTED_VALUE"""),TRUE)</f>
        <v>1</v>
      </c>
      <c r="N645" s="20" t="b">
        <f>IFERROR(__xludf.DUMMYFUNCTION("""COMPUTED_VALUE"""),TRUE)</f>
        <v>1</v>
      </c>
      <c r="O645" s="20">
        <f>IFERROR(__xludf.DUMMYFUNCTION("""COMPUTED_VALUE"""),35.8499395546542)</f>
        <v>35.84993955</v>
      </c>
      <c r="P645" s="20">
        <f>IFERROR(__xludf.DUMMYFUNCTION("""COMPUTED_VALUE"""),18386.0)</f>
        <v>18386</v>
      </c>
      <c r="Q645" s="20">
        <f>IFERROR(__xludf.DUMMYFUNCTION("""COMPUTED_VALUE"""),51286.0)</f>
        <v>51286</v>
      </c>
    </row>
    <row r="646">
      <c r="A646" s="20">
        <f>IFERROR(__xludf.DUMMYFUNCTION("""COMPUTED_VALUE"""),645.0)</f>
        <v>645</v>
      </c>
      <c r="B646" s="20" t="str">
        <f>IFERROR(__xludf.DUMMYFUNCTION("""COMPUTED_VALUE"""),"Set Mismatch")</f>
        <v>Set Mismatch</v>
      </c>
      <c r="C646" s="20" t="str">
        <f>IFERROR(__xludf.DUMMYFUNCTION("""COMPUTED_VALUE"""),"set-mismatch")</f>
        <v>set-mismatch</v>
      </c>
      <c r="D646" s="20" t="b">
        <f>IFERROR(__xludf.DUMMYFUNCTION("""COMPUTED_VALUE"""),FALSE)</f>
        <v>0</v>
      </c>
      <c r="E646" s="20" t="str">
        <f>IFERROR(__xludf.DUMMYFUNCTION("""COMPUTED_VALUE"""),"Easy")</f>
        <v>Easy</v>
      </c>
      <c r="F646" s="20">
        <f>IFERROR(__xludf.DUMMYFUNCTION("""COMPUTED_VALUE"""),3379.0)</f>
        <v>3379</v>
      </c>
      <c r="G646" s="20">
        <f>IFERROR(__xludf.DUMMYFUNCTION("""COMPUTED_VALUE"""),785.0)</f>
        <v>785</v>
      </c>
      <c r="H646" s="20" t="str">
        <f>IFERROR(__xludf.DUMMYFUNCTION("""COMPUTED_VALUE"""),"Algorithms")</f>
        <v>Algorithms</v>
      </c>
      <c r="I646" s="20">
        <f>IFERROR(__xludf.DUMMYFUNCTION("""COMPUTED_VALUE"""),0.429)</f>
        <v>0.429</v>
      </c>
      <c r="J646" s="20">
        <f>IFERROR(__xludf.DUMMYFUNCTION("""COMPUTED_VALUE"""),645.0)</f>
        <v>645</v>
      </c>
      <c r="K646" s="20" t="b">
        <f>IFERROR(__xludf.DUMMYFUNCTION("""COMPUTED_VALUE"""),FALSE)</f>
        <v>0</v>
      </c>
      <c r="L646" s="20" t="str">
        <f>IFERROR(__xludf.DUMMYFUNCTION("""COMPUTED_VALUE"""),"Array;Hash Table;Bit Manipulation;Sorting;")</f>
        <v>Array;Hash Table;Bit Manipulation;Sorting;</v>
      </c>
      <c r="M646" s="20" t="b">
        <f>IFERROR(__xludf.DUMMYFUNCTION("""COMPUTED_VALUE"""),TRUE)</f>
        <v>1</v>
      </c>
      <c r="N646" s="20" t="b">
        <f>IFERROR(__xludf.DUMMYFUNCTION("""COMPUTED_VALUE"""),FALSE)</f>
        <v>0</v>
      </c>
      <c r="O646" s="20">
        <f>IFERROR(__xludf.DUMMYFUNCTION("""COMPUTED_VALUE"""),42.9476378444634)</f>
        <v>42.94763784</v>
      </c>
      <c r="P646" s="20">
        <f>IFERROR(__xludf.DUMMYFUNCTION("""COMPUTED_VALUE"""),254377.0)</f>
        <v>254377</v>
      </c>
      <c r="Q646" s="20">
        <f>IFERROR(__xludf.DUMMYFUNCTION("""COMPUTED_VALUE"""),592297.0)</f>
        <v>592297</v>
      </c>
    </row>
    <row r="647">
      <c r="A647" s="20">
        <f>IFERROR(__xludf.DUMMYFUNCTION("""COMPUTED_VALUE"""),646.0)</f>
        <v>646</v>
      </c>
      <c r="B647" s="20" t="str">
        <f>IFERROR(__xludf.DUMMYFUNCTION("""COMPUTED_VALUE"""),"Maximum Length of Pair Chain")</f>
        <v>Maximum Length of Pair Chain</v>
      </c>
      <c r="C647" s="20" t="str">
        <f>IFERROR(__xludf.DUMMYFUNCTION("""COMPUTED_VALUE"""),"maximum-length-of-pair-chain")</f>
        <v>maximum-length-of-pair-chain</v>
      </c>
      <c r="D647" s="20" t="b">
        <f>IFERROR(__xludf.DUMMYFUNCTION("""COMPUTED_VALUE"""),FALSE)</f>
        <v>0</v>
      </c>
      <c r="E647" s="20" t="str">
        <f>IFERROR(__xludf.DUMMYFUNCTION("""COMPUTED_VALUE"""),"Medium")</f>
        <v>Medium</v>
      </c>
      <c r="F647" s="20">
        <f>IFERROR(__xludf.DUMMYFUNCTION("""COMPUTED_VALUE"""),2748.0)</f>
        <v>2748</v>
      </c>
      <c r="G647" s="20">
        <f>IFERROR(__xludf.DUMMYFUNCTION("""COMPUTED_VALUE"""),109.0)</f>
        <v>109</v>
      </c>
      <c r="H647" s="20" t="str">
        <f>IFERROR(__xludf.DUMMYFUNCTION("""COMPUTED_VALUE"""),"Algorithms")</f>
        <v>Algorithms</v>
      </c>
      <c r="I647" s="20">
        <f>IFERROR(__xludf.DUMMYFUNCTION("""COMPUTED_VALUE"""),0.565)</f>
        <v>0.565</v>
      </c>
      <c r="J647" s="20">
        <f>IFERROR(__xludf.DUMMYFUNCTION("""COMPUTED_VALUE"""),646.0)</f>
        <v>646</v>
      </c>
      <c r="K647" s="20" t="b">
        <f>IFERROR(__xludf.DUMMYFUNCTION("""COMPUTED_VALUE"""),FALSE)</f>
        <v>0</v>
      </c>
      <c r="L647" s="20" t="str">
        <f>IFERROR(__xludf.DUMMYFUNCTION("""COMPUTED_VALUE"""),"Array;Dynamic Programming;Greedy;Sorting;")</f>
        <v>Array;Dynamic Programming;Greedy;Sorting;</v>
      </c>
      <c r="M647" s="20" t="b">
        <f>IFERROR(__xludf.DUMMYFUNCTION("""COMPUTED_VALUE"""),TRUE)</f>
        <v>1</v>
      </c>
      <c r="N647" s="20" t="b">
        <f>IFERROR(__xludf.DUMMYFUNCTION("""COMPUTED_VALUE"""),FALSE)</f>
        <v>0</v>
      </c>
      <c r="O647" s="20">
        <f>IFERROR(__xludf.DUMMYFUNCTION("""COMPUTED_VALUE"""),56.4690883083306)</f>
        <v>56.46908831</v>
      </c>
      <c r="P647" s="20">
        <f>IFERROR(__xludf.DUMMYFUNCTION("""COMPUTED_VALUE"""),127117.0)</f>
        <v>127117</v>
      </c>
      <c r="Q647" s="20">
        <f>IFERROR(__xludf.DUMMYFUNCTION("""COMPUTED_VALUE"""),225107.0)</f>
        <v>225107</v>
      </c>
    </row>
    <row r="648">
      <c r="A648" s="20">
        <f>IFERROR(__xludf.DUMMYFUNCTION("""COMPUTED_VALUE"""),647.0)</f>
        <v>647</v>
      </c>
      <c r="B648" s="20" t="str">
        <f>IFERROR(__xludf.DUMMYFUNCTION("""COMPUTED_VALUE"""),"Palindromic Substrings")</f>
        <v>Palindromic Substrings</v>
      </c>
      <c r="C648" s="20" t="str">
        <f>IFERROR(__xludf.DUMMYFUNCTION("""COMPUTED_VALUE"""),"palindromic-substrings")</f>
        <v>palindromic-substrings</v>
      </c>
      <c r="D648" s="20" t="b">
        <f>IFERROR(__xludf.DUMMYFUNCTION("""COMPUTED_VALUE"""),FALSE)</f>
        <v>0</v>
      </c>
      <c r="E648" s="20" t="str">
        <f>IFERROR(__xludf.DUMMYFUNCTION("""COMPUTED_VALUE"""),"Medium")</f>
        <v>Medium</v>
      </c>
      <c r="F648" s="20">
        <f>IFERROR(__xludf.DUMMYFUNCTION("""COMPUTED_VALUE"""),8468.0)</f>
        <v>8468</v>
      </c>
      <c r="G648" s="20">
        <f>IFERROR(__xludf.DUMMYFUNCTION("""COMPUTED_VALUE"""),183.0)</f>
        <v>183</v>
      </c>
      <c r="H648" s="20" t="str">
        <f>IFERROR(__xludf.DUMMYFUNCTION("""COMPUTED_VALUE"""),"Algorithms")</f>
        <v>Algorithms</v>
      </c>
      <c r="I648" s="20">
        <f>IFERROR(__xludf.DUMMYFUNCTION("""COMPUTED_VALUE"""),0.665)</f>
        <v>0.665</v>
      </c>
      <c r="J648" s="20">
        <f>IFERROR(__xludf.DUMMYFUNCTION("""COMPUTED_VALUE"""),647.0)</f>
        <v>647</v>
      </c>
      <c r="K648" s="20" t="b">
        <f>IFERROR(__xludf.DUMMYFUNCTION("""COMPUTED_VALUE"""),FALSE)</f>
        <v>0</v>
      </c>
      <c r="L648" s="20" t="str">
        <f>IFERROR(__xludf.DUMMYFUNCTION("""COMPUTED_VALUE"""),"String;Dynamic Programming;")</f>
        <v>String;Dynamic Programming;</v>
      </c>
      <c r="M648" s="20" t="b">
        <f>IFERROR(__xludf.DUMMYFUNCTION("""COMPUTED_VALUE"""),TRUE)</f>
        <v>1</v>
      </c>
      <c r="N648" s="20" t="b">
        <f>IFERROR(__xludf.DUMMYFUNCTION("""COMPUTED_VALUE"""),FALSE)</f>
        <v>0</v>
      </c>
      <c r="O648" s="20">
        <f>IFERROR(__xludf.DUMMYFUNCTION("""COMPUTED_VALUE"""),66.5182192278411)</f>
        <v>66.51821923</v>
      </c>
      <c r="P648" s="20">
        <f>IFERROR(__xludf.DUMMYFUNCTION("""COMPUTED_VALUE"""),534717.0)</f>
        <v>534717</v>
      </c>
      <c r="Q648" s="20">
        <f>IFERROR(__xludf.DUMMYFUNCTION("""COMPUTED_VALUE"""),803869.0)</f>
        <v>803869</v>
      </c>
    </row>
    <row r="649">
      <c r="A649" s="20">
        <f>IFERROR(__xludf.DUMMYFUNCTION("""COMPUTED_VALUE"""),648.0)</f>
        <v>648</v>
      </c>
      <c r="B649" s="20" t="str">
        <f>IFERROR(__xludf.DUMMYFUNCTION("""COMPUTED_VALUE"""),"Replace Words")</f>
        <v>Replace Words</v>
      </c>
      <c r="C649" s="20" t="str">
        <f>IFERROR(__xludf.DUMMYFUNCTION("""COMPUTED_VALUE"""),"replace-words")</f>
        <v>replace-words</v>
      </c>
      <c r="D649" s="20" t="b">
        <f>IFERROR(__xludf.DUMMYFUNCTION("""COMPUTED_VALUE"""),FALSE)</f>
        <v>0</v>
      </c>
      <c r="E649" s="20" t="str">
        <f>IFERROR(__xludf.DUMMYFUNCTION("""COMPUTED_VALUE"""),"Medium")</f>
        <v>Medium</v>
      </c>
      <c r="F649" s="20">
        <f>IFERROR(__xludf.DUMMYFUNCTION("""COMPUTED_VALUE"""),1843.0)</f>
        <v>1843</v>
      </c>
      <c r="G649" s="20">
        <f>IFERROR(__xludf.DUMMYFUNCTION("""COMPUTED_VALUE"""),162.0)</f>
        <v>162</v>
      </c>
      <c r="H649" s="20" t="str">
        <f>IFERROR(__xludf.DUMMYFUNCTION("""COMPUTED_VALUE"""),"Algorithms")</f>
        <v>Algorithms</v>
      </c>
      <c r="I649" s="20">
        <f>IFERROR(__xludf.DUMMYFUNCTION("""COMPUTED_VALUE"""),0.627)</f>
        <v>0.627</v>
      </c>
      <c r="J649" s="20">
        <f>IFERROR(__xludf.DUMMYFUNCTION("""COMPUTED_VALUE"""),648.0)</f>
        <v>648</v>
      </c>
      <c r="K649" s="20" t="b">
        <f>IFERROR(__xludf.DUMMYFUNCTION("""COMPUTED_VALUE"""),FALSE)</f>
        <v>0</v>
      </c>
      <c r="L649" s="20" t="str">
        <f>IFERROR(__xludf.DUMMYFUNCTION("""COMPUTED_VALUE"""),"Array;Hash Table;String;Trie;")</f>
        <v>Array;Hash Table;String;Trie;</v>
      </c>
      <c r="M649" s="20" t="b">
        <f>IFERROR(__xludf.DUMMYFUNCTION("""COMPUTED_VALUE"""),TRUE)</f>
        <v>1</v>
      </c>
      <c r="N649" s="20" t="b">
        <f>IFERROR(__xludf.DUMMYFUNCTION("""COMPUTED_VALUE"""),FALSE)</f>
        <v>0</v>
      </c>
      <c r="O649" s="20">
        <f>IFERROR(__xludf.DUMMYFUNCTION("""COMPUTED_VALUE"""),62.73654296222)</f>
        <v>62.73654296</v>
      </c>
      <c r="P649" s="20">
        <f>IFERROR(__xludf.DUMMYFUNCTION("""COMPUTED_VALUE"""),112587.0)</f>
        <v>112587</v>
      </c>
      <c r="Q649" s="20">
        <f>IFERROR(__xludf.DUMMYFUNCTION("""COMPUTED_VALUE"""),179460.0)</f>
        <v>179460</v>
      </c>
    </row>
    <row r="650">
      <c r="A650" s="20">
        <f>IFERROR(__xludf.DUMMYFUNCTION("""COMPUTED_VALUE"""),649.0)</f>
        <v>649</v>
      </c>
      <c r="B650" s="20" t="str">
        <f>IFERROR(__xludf.DUMMYFUNCTION("""COMPUTED_VALUE"""),"Dota2 Senate")</f>
        <v>Dota2 Senate</v>
      </c>
      <c r="C650" s="20" t="str">
        <f>IFERROR(__xludf.DUMMYFUNCTION("""COMPUTED_VALUE"""),"dota2-senate")</f>
        <v>dota2-senate</v>
      </c>
      <c r="D650" s="20" t="b">
        <f>IFERROR(__xludf.DUMMYFUNCTION("""COMPUTED_VALUE"""),FALSE)</f>
        <v>0</v>
      </c>
      <c r="E650" s="20" t="str">
        <f>IFERROR(__xludf.DUMMYFUNCTION("""COMPUTED_VALUE"""),"Medium")</f>
        <v>Medium</v>
      </c>
      <c r="F650" s="20">
        <f>IFERROR(__xludf.DUMMYFUNCTION("""COMPUTED_VALUE"""),490.0)</f>
        <v>490</v>
      </c>
      <c r="G650" s="20">
        <f>IFERROR(__xludf.DUMMYFUNCTION("""COMPUTED_VALUE"""),345.0)</f>
        <v>345</v>
      </c>
      <c r="H650" s="20" t="str">
        <f>IFERROR(__xludf.DUMMYFUNCTION("""COMPUTED_VALUE"""),"Algorithms")</f>
        <v>Algorithms</v>
      </c>
      <c r="I650" s="20">
        <f>IFERROR(__xludf.DUMMYFUNCTION("""COMPUTED_VALUE"""),0.404)</f>
        <v>0.404</v>
      </c>
      <c r="J650" s="20">
        <f>IFERROR(__xludf.DUMMYFUNCTION("""COMPUTED_VALUE"""),649.0)</f>
        <v>649</v>
      </c>
      <c r="K650" s="20" t="b">
        <f>IFERROR(__xludf.DUMMYFUNCTION("""COMPUTED_VALUE"""),FALSE)</f>
        <v>0</v>
      </c>
      <c r="L650" s="20" t="str">
        <f>IFERROR(__xludf.DUMMYFUNCTION("""COMPUTED_VALUE"""),"String;Greedy;Queue;")</f>
        <v>String;Greedy;Queue;</v>
      </c>
      <c r="M650" s="20" t="b">
        <f>IFERROR(__xludf.DUMMYFUNCTION("""COMPUTED_VALUE"""),FALSE)</f>
        <v>0</v>
      </c>
      <c r="N650" s="20" t="b">
        <f>IFERROR(__xludf.DUMMYFUNCTION("""COMPUTED_VALUE"""),FALSE)</f>
        <v>0</v>
      </c>
      <c r="O650" s="20">
        <f>IFERROR(__xludf.DUMMYFUNCTION("""COMPUTED_VALUE"""),40.435997764114)</f>
        <v>40.43599776</v>
      </c>
      <c r="P650" s="20">
        <f>IFERROR(__xludf.DUMMYFUNCTION("""COMPUTED_VALUE"""),21702.0)</f>
        <v>21702</v>
      </c>
      <c r="Q650" s="20">
        <f>IFERROR(__xludf.DUMMYFUNCTION("""COMPUTED_VALUE"""),53670.0)</f>
        <v>53670</v>
      </c>
    </row>
    <row r="651">
      <c r="A651" s="20">
        <f>IFERROR(__xludf.DUMMYFUNCTION("""COMPUTED_VALUE"""),650.0)</f>
        <v>650</v>
      </c>
      <c r="B651" s="20" t="str">
        <f>IFERROR(__xludf.DUMMYFUNCTION("""COMPUTED_VALUE"""),"2 Keys Keyboard")</f>
        <v>2 Keys Keyboard</v>
      </c>
      <c r="C651" s="20" t="str">
        <f>IFERROR(__xludf.DUMMYFUNCTION("""COMPUTED_VALUE"""),"2-keys-keyboard")</f>
        <v>2-keys-keyboard</v>
      </c>
      <c r="D651" s="20" t="b">
        <f>IFERROR(__xludf.DUMMYFUNCTION("""COMPUTED_VALUE"""),FALSE)</f>
        <v>0</v>
      </c>
      <c r="E651" s="20" t="str">
        <f>IFERROR(__xludf.DUMMYFUNCTION("""COMPUTED_VALUE"""),"Medium")</f>
        <v>Medium</v>
      </c>
      <c r="F651" s="20">
        <f>IFERROR(__xludf.DUMMYFUNCTION("""COMPUTED_VALUE"""),2955.0)</f>
        <v>2955</v>
      </c>
      <c r="G651" s="20">
        <f>IFERROR(__xludf.DUMMYFUNCTION("""COMPUTED_VALUE"""),179.0)</f>
        <v>179</v>
      </c>
      <c r="H651" s="20" t="str">
        <f>IFERROR(__xludf.DUMMYFUNCTION("""COMPUTED_VALUE"""),"Algorithms")</f>
        <v>Algorithms</v>
      </c>
      <c r="I651" s="20">
        <f>IFERROR(__xludf.DUMMYFUNCTION("""COMPUTED_VALUE"""),0.533)</f>
        <v>0.533</v>
      </c>
      <c r="J651" s="20">
        <f>IFERROR(__xludf.DUMMYFUNCTION("""COMPUTED_VALUE"""),650.0)</f>
        <v>650</v>
      </c>
      <c r="K651" s="20" t="b">
        <f>IFERROR(__xludf.DUMMYFUNCTION("""COMPUTED_VALUE"""),FALSE)</f>
        <v>0</v>
      </c>
      <c r="L651" s="20" t="str">
        <f>IFERROR(__xludf.DUMMYFUNCTION("""COMPUTED_VALUE"""),"Math;Dynamic Programming;")</f>
        <v>Math;Dynamic Programming;</v>
      </c>
      <c r="M651" s="20" t="b">
        <f>IFERROR(__xludf.DUMMYFUNCTION("""COMPUTED_VALUE"""),TRUE)</f>
        <v>1</v>
      </c>
      <c r="N651" s="20" t="b">
        <f>IFERROR(__xludf.DUMMYFUNCTION("""COMPUTED_VALUE"""),FALSE)</f>
        <v>0</v>
      </c>
      <c r="O651" s="20">
        <f>IFERROR(__xludf.DUMMYFUNCTION("""COMPUTED_VALUE"""),53.2580149172484)</f>
        <v>53.25801492</v>
      </c>
      <c r="P651" s="20">
        <f>IFERROR(__xludf.DUMMYFUNCTION("""COMPUTED_VALUE"""),111533.0)</f>
        <v>111533</v>
      </c>
      <c r="Q651" s="20">
        <f>IFERROR(__xludf.DUMMYFUNCTION("""COMPUTED_VALUE"""),209421.0)</f>
        <v>209421</v>
      </c>
    </row>
    <row r="652">
      <c r="A652" s="20">
        <f>IFERROR(__xludf.DUMMYFUNCTION("""COMPUTED_VALUE"""),651.0)</f>
        <v>651</v>
      </c>
      <c r="B652" s="20" t="str">
        <f>IFERROR(__xludf.DUMMYFUNCTION("""COMPUTED_VALUE"""),"4 Keys Keyboard")</f>
        <v>4 Keys Keyboard</v>
      </c>
      <c r="C652" s="20" t="str">
        <f>IFERROR(__xludf.DUMMYFUNCTION("""COMPUTED_VALUE"""),"4-keys-keyboard")</f>
        <v>4-keys-keyboard</v>
      </c>
      <c r="D652" s="20" t="b">
        <f>IFERROR(__xludf.DUMMYFUNCTION("""COMPUTED_VALUE"""),TRUE)</f>
        <v>1</v>
      </c>
      <c r="E652" s="20" t="str">
        <f>IFERROR(__xludf.DUMMYFUNCTION("""COMPUTED_VALUE"""),"Medium")</f>
        <v>Medium</v>
      </c>
      <c r="F652" s="20">
        <f>IFERROR(__xludf.DUMMYFUNCTION("""COMPUTED_VALUE"""),551.0)</f>
        <v>551</v>
      </c>
      <c r="G652" s="20">
        <f>IFERROR(__xludf.DUMMYFUNCTION("""COMPUTED_VALUE"""),79.0)</f>
        <v>79</v>
      </c>
      <c r="H652" s="20" t="str">
        <f>IFERROR(__xludf.DUMMYFUNCTION("""COMPUTED_VALUE"""),"Algorithms")</f>
        <v>Algorithms</v>
      </c>
      <c r="I652" s="20">
        <f>IFERROR(__xludf.DUMMYFUNCTION("""COMPUTED_VALUE"""),0.545)</f>
        <v>0.545</v>
      </c>
      <c r="J652" s="20">
        <f>IFERROR(__xludf.DUMMYFUNCTION("""COMPUTED_VALUE"""),651.0)</f>
        <v>651</v>
      </c>
      <c r="K652" s="20" t="b">
        <f>IFERROR(__xludf.DUMMYFUNCTION("""COMPUTED_VALUE"""),TRUE)</f>
        <v>1</v>
      </c>
      <c r="L652" s="20" t="str">
        <f>IFERROR(__xludf.DUMMYFUNCTION("""COMPUTED_VALUE"""),"Math;Dynamic Programming;")</f>
        <v>Math;Dynamic Programming;</v>
      </c>
      <c r="M652" s="20" t="b">
        <f>IFERROR(__xludf.DUMMYFUNCTION("""COMPUTED_VALUE"""),TRUE)</f>
        <v>1</v>
      </c>
      <c r="N652" s="20" t="b">
        <f>IFERROR(__xludf.DUMMYFUNCTION("""COMPUTED_VALUE"""),FALSE)</f>
        <v>0</v>
      </c>
      <c r="O652" s="20">
        <f>IFERROR(__xludf.DUMMYFUNCTION("""COMPUTED_VALUE"""),54.4720206040739)</f>
        <v>54.4720206</v>
      </c>
      <c r="P652" s="20">
        <f>IFERROR(__xludf.DUMMYFUNCTION("""COMPUTED_VALUE"""),23265.0)</f>
        <v>23265</v>
      </c>
      <c r="Q652" s="20">
        <f>IFERROR(__xludf.DUMMYFUNCTION("""COMPUTED_VALUE"""),42710.0)</f>
        <v>42710</v>
      </c>
    </row>
    <row r="653">
      <c r="A653" s="20">
        <f>IFERROR(__xludf.DUMMYFUNCTION("""COMPUTED_VALUE"""),652.0)</f>
        <v>652</v>
      </c>
      <c r="B653" s="20" t="str">
        <f>IFERROR(__xludf.DUMMYFUNCTION("""COMPUTED_VALUE"""),"Find Duplicate Subtrees")</f>
        <v>Find Duplicate Subtrees</v>
      </c>
      <c r="C653" s="20" t="str">
        <f>IFERROR(__xludf.DUMMYFUNCTION("""COMPUTED_VALUE"""),"find-duplicate-subtrees")</f>
        <v>find-duplicate-subtrees</v>
      </c>
      <c r="D653" s="20" t="b">
        <f>IFERROR(__xludf.DUMMYFUNCTION("""COMPUTED_VALUE"""),FALSE)</f>
        <v>0</v>
      </c>
      <c r="E653" s="20" t="str">
        <f>IFERROR(__xludf.DUMMYFUNCTION("""COMPUTED_VALUE"""),"Medium")</f>
        <v>Medium</v>
      </c>
      <c r="F653" s="20">
        <f>IFERROR(__xludf.DUMMYFUNCTION("""COMPUTED_VALUE"""),3888.0)</f>
        <v>3888</v>
      </c>
      <c r="G653" s="20">
        <f>IFERROR(__xludf.DUMMYFUNCTION("""COMPUTED_VALUE"""),330.0)</f>
        <v>330</v>
      </c>
      <c r="H653" s="20" t="str">
        <f>IFERROR(__xludf.DUMMYFUNCTION("""COMPUTED_VALUE"""),"Algorithms")</f>
        <v>Algorithms</v>
      </c>
      <c r="I653" s="20">
        <f>IFERROR(__xludf.DUMMYFUNCTION("""COMPUTED_VALUE"""),0.565)</f>
        <v>0.565</v>
      </c>
      <c r="J653" s="20">
        <f>IFERROR(__xludf.DUMMYFUNCTION("""COMPUTED_VALUE"""),652.0)</f>
        <v>652</v>
      </c>
      <c r="K653" s="20" t="b">
        <f>IFERROR(__xludf.DUMMYFUNCTION("""COMPUTED_VALUE"""),FALSE)</f>
        <v>0</v>
      </c>
      <c r="L653" s="20" t="str">
        <f>IFERROR(__xludf.DUMMYFUNCTION("""COMPUTED_VALUE"""),"Hash Table;Tree;Depth-First Search;Binary Tree;")</f>
        <v>Hash Table;Tree;Depth-First Search;Binary Tree;</v>
      </c>
      <c r="M653" s="20" t="b">
        <f>IFERROR(__xludf.DUMMYFUNCTION("""COMPUTED_VALUE"""),FALSE)</f>
        <v>0</v>
      </c>
      <c r="N653" s="20" t="b">
        <f>IFERROR(__xludf.DUMMYFUNCTION("""COMPUTED_VALUE"""),FALSE)</f>
        <v>0</v>
      </c>
      <c r="O653" s="20">
        <f>IFERROR(__xludf.DUMMYFUNCTION("""COMPUTED_VALUE"""),56.5086278045126)</f>
        <v>56.5086278</v>
      </c>
      <c r="P653" s="20">
        <f>IFERROR(__xludf.DUMMYFUNCTION("""COMPUTED_VALUE"""),178018.0)</f>
        <v>178018</v>
      </c>
      <c r="Q653" s="20">
        <f>IFERROR(__xludf.DUMMYFUNCTION("""COMPUTED_VALUE"""),315028.0)</f>
        <v>315028</v>
      </c>
    </row>
    <row r="654">
      <c r="A654" s="20">
        <f>IFERROR(__xludf.DUMMYFUNCTION("""COMPUTED_VALUE"""),653.0)</f>
        <v>653</v>
      </c>
      <c r="B654" s="20" t="str">
        <f>IFERROR(__xludf.DUMMYFUNCTION("""COMPUTED_VALUE"""),"Two Sum IV - Input is a BST")</f>
        <v>Two Sum IV - Input is a BST</v>
      </c>
      <c r="C654" s="20" t="str">
        <f>IFERROR(__xludf.DUMMYFUNCTION("""COMPUTED_VALUE"""),"two-sum-iv-input-is-a-bst")</f>
        <v>two-sum-iv-input-is-a-bst</v>
      </c>
      <c r="D654" s="20" t="b">
        <f>IFERROR(__xludf.DUMMYFUNCTION("""COMPUTED_VALUE"""),FALSE)</f>
        <v>0</v>
      </c>
      <c r="E654" s="20" t="str">
        <f>IFERROR(__xludf.DUMMYFUNCTION("""COMPUTED_VALUE"""),"Easy")</f>
        <v>Easy</v>
      </c>
      <c r="F654" s="20">
        <f>IFERROR(__xludf.DUMMYFUNCTION("""COMPUTED_VALUE"""),5433.0)</f>
        <v>5433</v>
      </c>
      <c r="G654" s="20">
        <f>IFERROR(__xludf.DUMMYFUNCTION("""COMPUTED_VALUE"""),235.0)</f>
        <v>235</v>
      </c>
      <c r="H654" s="20" t="str">
        <f>IFERROR(__xludf.DUMMYFUNCTION("""COMPUTED_VALUE"""),"Algorithms")</f>
        <v>Algorithms</v>
      </c>
      <c r="I654" s="20">
        <f>IFERROR(__xludf.DUMMYFUNCTION("""COMPUTED_VALUE"""),0.61)</f>
        <v>0.61</v>
      </c>
      <c r="J654" s="20">
        <f>IFERROR(__xludf.DUMMYFUNCTION("""COMPUTED_VALUE"""),653.0)</f>
        <v>653</v>
      </c>
      <c r="K654" s="20" t="b">
        <f>IFERROR(__xludf.DUMMYFUNCTION("""COMPUTED_VALUE"""),FALSE)</f>
        <v>0</v>
      </c>
      <c r="L654" s="20" t="str">
        <f>IFERROR(__xludf.DUMMYFUNCTION("""COMPUTED_VALUE"""),"Hash Table;Two Pointers;Tree;Depth-First Search;Breadth-First Search;Binary Search Tree;Binary Tree;")</f>
        <v>Hash Table;Two Pointers;Tree;Depth-First Search;Breadth-First Search;Binary Search Tree;Binary Tree;</v>
      </c>
      <c r="M654" s="20" t="b">
        <f>IFERROR(__xludf.DUMMYFUNCTION("""COMPUTED_VALUE"""),TRUE)</f>
        <v>1</v>
      </c>
      <c r="N654" s="20" t="b">
        <f>IFERROR(__xludf.DUMMYFUNCTION("""COMPUTED_VALUE"""),FALSE)</f>
        <v>0</v>
      </c>
      <c r="O654" s="20">
        <f>IFERROR(__xludf.DUMMYFUNCTION("""COMPUTED_VALUE"""),61.003028774785)</f>
        <v>61.00302877</v>
      </c>
      <c r="P654" s="20">
        <f>IFERROR(__xludf.DUMMYFUNCTION("""COMPUTED_VALUE"""),428201.0)</f>
        <v>428201</v>
      </c>
      <c r="Q654" s="20">
        <f>IFERROR(__xludf.DUMMYFUNCTION("""COMPUTED_VALUE"""),701933.0)</f>
        <v>701933</v>
      </c>
    </row>
    <row r="655">
      <c r="A655" s="20">
        <f>IFERROR(__xludf.DUMMYFUNCTION("""COMPUTED_VALUE"""),654.0)</f>
        <v>654</v>
      </c>
      <c r="B655" s="20" t="str">
        <f>IFERROR(__xludf.DUMMYFUNCTION("""COMPUTED_VALUE"""),"Maximum Binary Tree")</f>
        <v>Maximum Binary Tree</v>
      </c>
      <c r="C655" s="20" t="str">
        <f>IFERROR(__xludf.DUMMYFUNCTION("""COMPUTED_VALUE"""),"maximum-binary-tree")</f>
        <v>maximum-binary-tree</v>
      </c>
      <c r="D655" s="20" t="b">
        <f>IFERROR(__xludf.DUMMYFUNCTION("""COMPUTED_VALUE"""),FALSE)</f>
        <v>0</v>
      </c>
      <c r="E655" s="20" t="str">
        <f>IFERROR(__xludf.DUMMYFUNCTION("""COMPUTED_VALUE"""),"Medium")</f>
        <v>Medium</v>
      </c>
      <c r="F655" s="20">
        <f>IFERROR(__xludf.DUMMYFUNCTION("""COMPUTED_VALUE"""),4382.0)</f>
        <v>4382</v>
      </c>
      <c r="G655" s="20">
        <f>IFERROR(__xludf.DUMMYFUNCTION("""COMPUTED_VALUE"""),311.0)</f>
        <v>311</v>
      </c>
      <c r="H655" s="20" t="str">
        <f>IFERROR(__xludf.DUMMYFUNCTION("""COMPUTED_VALUE"""),"Algorithms")</f>
        <v>Algorithms</v>
      </c>
      <c r="I655" s="20">
        <f>IFERROR(__xludf.DUMMYFUNCTION("""COMPUTED_VALUE"""),0.846)</f>
        <v>0.846</v>
      </c>
      <c r="J655" s="20">
        <f>IFERROR(__xludf.DUMMYFUNCTION("""COMPUTED_VALUE"""),654.0)</f>
        <v>654</v>
      </c>
      <c r="K655" s="20" t="b">
        <f>IFERROR(__xludf.DUMMYFUNCTION("""COMPUTED_VALUE"""),FALSE)</f>
        <v>0</v>
      </c>
      <c r="L655" s="20" t="str">
        <f>IFERROR(__xludf.DUMMYFUNCTION("""COMPUTED_VALUE"""),"Array;Divide and Conquer;Stack;Tree;Monotonic Stack;Binary Tree;")</f>
        <v>Array;Divide and Conquer;Stack;Tree;Monotonic Stack;Binary Tree;</v>
      </c>
      <c r="M655" s="20" t="b">
        <f>IFERROR(__xludf.DUMMYFUNCTION("""COMPUTED_VALUE"""),TRUE)</f>
        <v>1</v>
      </c>
      <c r="N655" s="20" t="b">
        <f>IFERROR(__xludf.DUMMYFUNCTION("""COMPUTED_VALUE"""),FALSE)</f>
        <v>0</v>
      </c>
      <c r="O655" s="20">
        <f>IFERROR(__xludf.DUMMYFUNCTION("""COMPUTED_VALUE"""),84.581047311918)</f>
        <v>84.58104731</v>
      </c>
      <c r="P655" s="20">
        <f>IFERROR(__xludf.DUMMYFUNCTION("""COMPUTED_VALUE"""),242345.0)</f>
        <v>242345</v>
      </c>
      <c r="Q655" s="20">
        <f>IFERROR(__xludf.DUMMYFUNCTION("""COMPUTED_VALUE"""),286524.0)</f>
        <v>286524</v>
      </c>
    </row>
    <row r="656">
      <c r="A656" s="20">
        <f>IFERROR(__xludf.DUMMYFUNCTION("""COMPUTED_VALUE"""),655.0)</f>
        <v>655</v>
      </c>
      <c r="B656" s="20" t="str">
        <f>IFERROR(__xludf.DUMMYFUNCTION("""COMPUTED_VALUE"""),"Print Binary Tree")</f>
        <v>Print Binary Tree</v>
      </c>
      <c r="C656" s="20" t="str">
        <f>IFERROR(__xludf.DUMMYFUNCTION("""COMPUTED_VALUE"""),"print-binary-tree")</f>
        <v>print-binary-tree</v>
      </c>
      <c r="D656" s="20" t="b">
        <f>IFERROR(__xludf.DUMMYFUNCTION("""COMPUTED_VALUE"""),FALSE)</f>
        <v>0</v>
      </c>
      <c r="E656" s="20" t="str">
        <f>IFERROR(__xludf.DUMMYFUNCTION("""COMPUTED_VALUE"""),"Medium")</f>
        <v>Medium</v>
      </c>
      <c r="F656" s="20">
        <f>IFERROR(__xludf.DUMMYFUNCTION("""COMPUTED_VALUE"""),313.0)</f>
        <v>313</v>
      </c>
      <c r="G656" s="20">
        <f>IFERROR(__xludf.DUMMYFUNCTION("""COMPUTED_VALUE"""),338.0)</f>
        <v>338</v>
      </c>
      <c r="H656" s="20" t="str">
        <f>IFERROR(__xludf.DUMMYFUNCTION("""COMPUTED_VALUE"""),"Algorithms")</f>
        <v>Algorithms</v>
      </c>
      <c r="I656" s="20">
        <f>IFERROR(__xludf.DUMMYFUNCTION("""COMPUTED_VALUE"""),0.616)</f>
        <v>0.616</v>
      </c>
      <c r="J656" s="20">
        <f>IFERROR(__xludf.DUMMYFUNCTION("""COMPUTED_VALUE"""),655.0)</f>
        <v>655</v>
      </c>
      <c r="K656" s="20" t="b">
        <f>IFERROR(__xludf.DUMMYFUNCTION("""COMPUTED_VALUE"""),FALSE)</f>
        <v>0</v>
      </c>
      <c r="L656" s="20" t="str">
        <f>IFERROR(__xludf.DUMMYFUNCTION("""COMPUTED_VALUE"""),"Tree;Depth-First Search;Breadth-First Search;Binary Tree;")</f>
        <v>Tree;Depth-First Search;Breadth-First Search;Binary Tree;</v>
      </c>
      <c r="M656" s="20" t="b">
        <f>IFERROR(__xludf.DUMMYFUNCTION("""COMPUTED_VALUE"""),FALSE)</f>
        <v>0</v>
      </c>
      <c r="N656" s="20" t="b">
        <f>IFERROR(__xludf.DUMMYFUNCTION("""COMPUTED_VALUE"""),FALSE)</f>
        <v>0</v>
      </c>
      <c r="O656" s="20">
        <f>IFERROR(__xludf.DUMMYFUNCTION("""COMPUTED_VALUE"""),61.5561768265904)</f>
        <v>61.55617683</v>
      </c>
      <c r="P656" s="20">
        <f>IFERROR(__xludf.DUMMYFUNCTION("""COMPUTED_VALUE"""),57467.0)</f>
        <v>57467</v>
      </c>
      <c r="Q656" s="20">
        <f>IFERROR(__xludf.DUMMYFUNCTION("""COMPUTED_VALUE"""),93357.0)</f>
        <v>93357</v>
      </c>
    </row>
    <row r="657">
      <c r="A657" s="20">
        <f>IFERROR(__xludf.DUMMYFUNCTION("""COMPUTED_VALUE"""),656.0)</f>
        <v>656</v>
      </c>
      <c r="B657" s="20" t="str">
        <f>IFERROR(__xludf.DUMMYFUNCTION("""COMPUTED_VALUE"""),"Coin Path")</f>
        <v>Coin Path</v>
      </c>
      <c r="C657" s="20" t="str">
        <f>IFERROR(__xludf.DUMMYFUNCTION("""COMPUTED_VALUE"""),"coin-path")</f>
        <v>coin-path</v>
      </c>
      <c r="D657" s="20" t="b">
        <f>IFERROR(__xludf.DUMMYFUNCTION("""COMPUTED_VALUE"""),TRUE)</f>
        <v>1</v>
      </c>
      <c r="E657" s="20" t="str">
        <f>IFERROR(__xludf.DUMMYFUNCTION("""COMPUTED_VALUE"""),"Hard")</f>
        <v>Hard</v>
      </c>
      <c r="F657" s="20">
        <f>IFERROR(__xludf.DUMMYFUNCTION("""COMPUTED_VALUE"""),232.0)</f>
        <v>232</v>
      </c>
      <c r="G657" s="20">
        <f>IFERROR(__xludf.DUMMYFUNCTION("""COMPUTED_VALUE"""),105.0)</f>
        <v>105</v>
      </c>
      <c r="H657" s="20" t="str">
        <f>IFERROR(__xludf.DUMMYFUNCTION("""COMPUTED_VALUE"""),"Algorithms")</f>
        <v>Algorithms</v>
      </c>
      <c r="I657" s="20">
        <f>IFERROR(__xludf.DUMMYFUNCTION("""COMPUTED_VALUE"""),0.316)</f>
        <v>0.316</v>
      </c>
      <c r="J657" s="20">
        <f>IFERROR(__xludf.DUMMYFUNCTION("""COMPUTED_VALUE"""),656.0)</f>
        <v>656</v>
      </c>
      <c r="K657" s="20" t="b">
        <f>IFERROR(__xludf.DUMMYFUNCTION("""COMPUTED_VALUE"""),TRUE)</f>
        <v>1</v>
      </c>
      <c r="L657" s="20" t="str">
        <f>IFERROR(__xludf.DUMMYFUNCTION("""COMPUTED_VALUE"""),"Array;Dynamic Programming;")</f>
        <v>Array;Dynamic Programming;</v>
      </c>
      <c r="M657" s="20" t="b">
        <f>IFERROR(__xludf.DUMMYFUNCTION("""COMPUTED_VALUE"""),TRUE)</f>
        <v>1</v>
      </c>
      <c r="N657" s="20" t="b">
        <f>IFERROR(__xludf.DUMMYFUNCTION("""COMPUTED_VALUE"""),FALSE)</f>
        <v>0</v>
      </c>
      <c r="O657" s="20">
        <f>IFERROR(__xludf.DUMMYFUNCTION("""COMPUTED_VALUE"""),31.6466986476387)</f>
        <v>31.64669865</v>
      </c>
      <c r="P657" s="20">
        <f>IFERROR(__xludf.DUMMYFUNCTION("""COMPUTED_VALUE"""),13128.0)</f>
        <v>13128</v>
      </c>
      <c r="Q657" s="20">
        <f>IFERROR(__xludf.DUMMYFUNCTION("""COMPUTED_VALUE"""),41483.0)</f>
        <v>41483</v>
      </c>
    </row>
    <row r="658">
      <c r="A658" s="20">
        <f>IFERROR(__xludf.DUMMYFUNCTION("""COMPUTED_VALUE"""),657.0)</f>
        <v>657</v>
      </c>
      <c r="B658" s="20" t="str">
        <f>IFERROR(__xludf.DUMMYFUNCTION("""COMPUTED_VALUE"""),"Robot Return to Origin")</f>
        <v>Robot Return to Origin</v>
      </c>
      <c r="C658" s="20" t="str">
        <f>IFERROR(__xludf.DUMMYFUNCTION("""COMPUTED_VALUE"""),"robot-return-to-origin")</f>
        <v>robot-return-to-origin</v>
      </c>
      <c r="D658" s="20" t="b">
        <f>IFERROR(__xludf.DUMMYFUNCTION("""COMPUTED_VALUE"""),FALSE)</f>
        <v>0</v>
      </c>
      <c r="E658" s="20" t="str">
        <f>IFERROR(__xludf.DUMMYFUNCTION("""COMPUTED_VALUE"""),"Easy")</f>
        <v>Easy</v>
      </c>
      <c r="F658" s="20">
        <f>IFERROR(__xludf.DUMMYFUNCTION("""COMPUTED_VALUE"""),1954.0)</f>
        <v>1954</v>
      </c>
      <c r="G658" s="20">
        <f>IFERROR(__xludf.DUMMYFUNCTION("""COMPUTED_VALUE"""),729.0)</f>
        <v>729</v>
      </c>
      <c r="H658" s="20" t="str">
        <f>IFERROR(__xludf.DUMMYFUNCTION("""COMPUTED_VALUE"""),"Algorithms")</f>
        <v>Algorithms</v>
      </c>
      <c r="I658" s="20">
        <f>IFERROR(__xludf.DUMMYFUNCTION("""COMPUTED_VALUE"""),0.753)</f>
        <v>0.753</v>
      </c>
      <c r="J658" s="20">
        <f>IFERROR(__xludf.DUMMYFUNCTION("""COMPUTED_VALUE"""),657.0)</f>
        <v>657</v>
      </c>
      <c r="K658" s="20" t="b">
        <f>IFERROR(__xludf.DUMMYFUNCTION("""COMPUTED_VALUE"""),FALSE)</f>
        <v>0</v>
      </c>
      <c r="L658" s="20" t="str">
        <f>IFERROR(__xludf.DUMMYFUNCTION("""COMPUTED_VALUE"""),"String;Simulation;")</f>
        <v>String;Simulation;</v>
      </c>
      <c r="M658" s="20" t="b">
        <f>IFERROR(__xludf.DUMMYFUNCTION("""COMPUTED_VALUE"""),TRUE)</f>
        <v>1</v>
      </c>
      <c r="N658" s="20" t="b">
        <f>IFERROR(__xludf.DUMMYFUNCTION("""COMPUTED_VALUE"""),FALSE)</f>
        <v>0</v>
      </c>
      <c r="O658" s="20">
        <f>IFERROR(__xludf.DUMMYFUNCTION("""COMPUTED_VALUE"""),75.3141761076173)</f>
        <v>75.31417611</v>
      </c>
      <c r="P658" s="20">
        <f>IFERROR(__xludf.DUMMYFUNCTION("""COMPUTED_VALUE"""),356522.0)</f>
        <v>356522</v>
      </c>
      <c r="Q658" s="20">
        <f>IFERROR(__xludf.DUMMYFUNCTION("""COMPUTED_VALUE"""),473380.0)</f>
        <v>473380</v>
      </c>
    </row>
    <row r="659">
      <c r="A659" s="20">
        <f>IFERROR(__xludf.DUMMYFUNCTION("""COMPUTED_VALUE"""),658.0)</f>
        <v>658</v>
      </c>
      <c r="B659" s="20" t="str">
        <f>IFERROR(__xludf.DUMMYFUNCTION("""COMPUTED_VALUE"""),"Find K Closest Elements")</f>
        <v>Find K Closest Elements</v>
      </c>
      <c r="C659" s="20" t="str">
        <f>IFERROR(__xludf.DUMMYFUNCTION("""COMPUTED_VALUE"""),"find-k-closest-elements")</f>
        <v>find-k-closest-elements</v>
      </c>
      <c r="D659" s="20" t="b">
        <f>IFERROR(__xludf.DUMMYFUNCTION("""COMPUTED_VALUE"""),FALSE)</f>
        <v>0</v>
      </c>
      <c r="E659" s="20" t="str">
        <f>IFERROR(__xludf.DUMMYFUNCTION("""COMPUTED_VALUE"""),"Medium")</f>
        <v>Medium</v>
      </c>
      <c r="F659" s="20">
        <f>IFERROR(__xludf.DUMMYFUNCTION("""COMPUTED_VALUE"""),6475.0)</f>
        <v>6475</v>
      </c>
      <c r="G659" s="20">
        <f>IFERROR(__xludf.DUMMYFUNCTION("""COMPUTED_VALUE"""),526.0)</f>
        <v>526</v>
      </c>
      <c r="H659" s="20" t="str">
        <f>IFERROR(__xludf.DUMMYFUNCTION("""COMPUTED_VALUE"""),"Algorithms")</f>
        <v>Algorithms</v>
      </c>
      <c r="I659" s="20">
        <f>IFERROR(__xludf.DUMMYFUNCTION("""COMPUTED_VALUE"""),0.468)</f>
        <v>0.468</v>
      </c>
      <c r="J659" s="20">
        <f>IFERROR(__xludf.DUMMYFUNCTION("""COMPUTED_VALUE"""),658.0)</f>
        <v>658</v>
      </c>
      <c r="K659" s="20" t="b">
        <f>IFERROR(__xludf.DUMMYFUNCTION("""COMPUTED_VALUE"""),FALSE)</f>
        <v>0</v>
      </c>
      <c r="L659" s="20" t="str">
        <f>IFERROR(__xludf.DUMMYFUNCTION("""COMPUTED_VALUE"""),"Array;Two Pointers;Binary Search;Sliding Window;Sorting;Heap (Priority Queue);")</f>
        <v>Array;Two Pointers;Binary Search;Sliding Window;Sorting;Heap (Priority Queue);</v>
      </c>
      <c r="M659" s="20" t="b">
        <f>IFERROR(__xludf.DUMMYFUNCTION("""COMPUTED_VALUE"""),TRUE)</f>
        <v>1</v>
      </c>
      <c r="N659" s="20" t="b">
        <f>IFERROR(__xludf.DUMMYFUNCTION("""COMPUTED_VALUE"""),FALSE)</f>
        <v>0</v>
      </c>
      <c r="O659" s="20">
        <f>IFERROR(__xludf.DUMMYFUNCTION("""COMPUTED_VALUE"""),46.7752759371664)</f>
        <v>46.77527594</v>
      </c>
      <c r="P659" s="20">
        <f>IFERROR(__xludf.DUMMYFUNCTION("""COMPUTED_VALUE"""),403564.0)</f>
        <v>403564</v>
      </c>
      <c r="Q659" s="20">
        <f>IFERROR(__xludf.DUMMYFUNCTION("""COMPUTED_VALUE"""),862776.0)</f>
        <v>862776</v>
      </c>
    </row>
    <row r="660">
      <c r="A660" s="20">
        <f>IFERROR(__xludf.DUMMYFUNCTION("""COMPUTED_VALUE"""),659.0)</f>
        <v>659</v>
      </c>
      <c r="B660" s="20" t="str">
        <f>IFERROR(__xludf.DUMMYFUNCTION("""COMPUTED_VALUE"""),"Split Array into Consecutive Subsequences")</f>
        <v>Split Array into Consecutive Subsequences</v>
      </c>
      <c r="C660" s="20" t="str">
        <f>IFERROR(__xludf.DUMMYFUNCTION("""COMPUTED_VALUE"""),"split-array-into-consecutive-subsequences")</f>
        <v>split-array-into-consecutive-subsequences</v>
      </c>
      <c r="D660" s="20" t="b">
        <f>IFERROR(__xludf.DUMMYFUNCTION("""COMPUTED_VALUE"""),FALSE)</f>
        <v>0</v>
      </c>
      <c r="E660" s="20" t="str">
        <f>IFERROR(__xludf.DUMMYFUNCTION("""COMPUTED_VALUE"""),"Medium")</f>
        <v>Medium</v>
      </c>
      <c r="F660" s="20">
        <f>IFERROR(__xludf.DUMMYFUNCTION("""COMPUTED_VALUE"""),3996.0)</f>
        <v>3996</v>
      </c>
      <c r="G660" s="20">
        <f>IFERROR(__xludf.DUMMYFUNCTION("""COMPUTED_VALUE"""),758.0)</f>
        <v>758</v>
      </c>
      <c r="H660" s="20" t="str">
        <f>IFERROR(__xludf.DUMMYFUNCTION("""COMPUTED_VALUE"""),"Algorithms")</f>
        <v>Algorithms</v>
      </c>
      <c r="I660" s="20">
        <f>IFERROR(__xludf.DUMMYFUNCTION("""COMPUTED_VALUE"""),0.507)</f>
        <v>0.507</v>
      </c>
      <c r="J660" s="20">
        <f>IFERROR(__xludf.DUMMYFUNCTION("""COMPUTED_VALUE"""),659.0)</f>
        <v>659</v>
      </c>
      <c r="K660" s="20" t="b">
        <f>IFERROR(__xludf.DUMMYFUNCTION("""COMPUTED_VALUE"""),FALSE)</f>
        <v>0</v>
      </c>
      <c r="L660" s="20" t="str">
        <f>IFERROR(__xludf.DUMMYFUNCTION("""COMPUTED_VALUE"""),"Array;Hash Table;Greedy;Heap (Priority Queue);")</f>
        <v>Array;Hash Table;Greedy;Heap (Priority Queue);</v>
      </c>
      <c r="M660" s="20" t="b">
        <f>IFERROR(__xludf.DUMMYFUNCTION("""COMPUTED_VALUE"""),TRUE)</f>
        <v>1</v>
      </c>
      <c r="N660" s="20" t="b">
        <f>IFERROR(__xludf.DUMMYFUNCTION("""COMPUTED_VALUE"""),FALSE)</f>
        <v>0</v>
      </c>
      <c r="O660" s="20">
        <f>IFERROR(__xludf.DUMMYFUNCTION("""COMPUTED_VALUE"""),50.6730272681865)</f>
        <v>50.67302727</v>
      </c>
      <c r="P660" s="20">
        <f>IFERROR(__xludf.DUMMYFUNCTION("""COMPUTED_VALUE"""),119713.0)</f>
        <v>119713</v>
      </c>
      <c r="Q660" s="20">
        <f>IFERROR(__xludf.DUMMYFUNCTION("""COMPUTED_VALUE"""),236246.0)</f>
        <v>236246</v>
      </c>
    </row>
    <row r="661">
      <c r="A661" s="20">
        <f>IFERROR(__xludf.DUMMYFUNCTION("""COMPUTED_VALUE"""),660.0)</f>
        <v>660</v>
      </c>
      <c r="B661" s="20" t="str">
        <f>IFERROR(__xludf.DUMMYFUNCTION("""COMPUTED_VALUE"""),"Remove 9")</f>
        <v>Remove 9</v>
      </c>
      <c r="C661" s="20" t="str">
        <f>IFERROR(__xludf.DUMMYFUNCTION("""COMPUTED_VALUE"""),"remove-9")</f>
        <v>remove-9</v>
      </c>
      <c r="D661" s="20" t="b">
        <f>IFERROR(__xludf.DUMMYFUNCTION("""COMPUTED_VALUE"""),TRUE)</f>
        <v>1</v>
      </c>
      <c r="E661" s="20" t="str">
        <f>IFERROR(__xludf.DUMMYFUNCTION("""COMPUTED_VALUE"""),"Hard")</f>
        <v>Hard</v>
      </c>
      <c r="F661" s="20">
        <f>IFERROR(__xludf.DUMMYFUNCTION("""COMPUTED_VALUE"""),151.0)</f>
        <v>151</v>
      </c>
      <c r="G661" s="20">
        <f>IFERROR(__xludf.DUMMYFUNCTION("""COMPUTED_VALUE"""),196.0)</f>
        <v>196</v>
      </c>
      <c r="H661" s="20" t="str">
        <f>IFERROR(__xludf.DUMMYFUNCTION("""COMPUTED_VALUE"""),"Algorithms")</f>
        <v>Algorithms</v>
      </c>
      <c r="I661" s="20">
        <f>IFERROR(__xludf.DUMMYFUNCTION("""COMPUTED_VALUE"""),0.568)</f>
        <v>0.568</v>
      </c>
      <c r="J661" s="20">
        <f>IFERROR(__xludf.DUMMYFUNCTION("""COMPUTED_VALUE"""),660.0)</f>
        <v>660</v>
      </c>
      <c r="K661" s="20" t="b">
        <f>IFERROR(__xludf.DUMMYFUNCTION("""COMPUTED_VALUE"""),TRUE)</f>
        <v>1</v>
      </c>
      <c r="L661" s="20" t="str">
        <f>IFERROR(__xludf.DUMMYFUNCTION("""COMPUTED_VALUE"""),"Math;")</f>
        <v>Math;</v>
      </c>
      <c r="M661" s="20" t="b">
        <f>IFERROR(__xludf.DUMMYFUNCTION("""COMPUTED_VALUE"""),TRUE)</f>
        <v>1</v>
      </c>
      <c r="N661" s="20" t="b">
        <f>IFERROR(__xludf.DUMMYFUNCTION("""COMPUTED_VALUE"""),FALSE)</f>
        <v>0</v>
      </c>
      <c r="O661" s="20">
        <f>IFERROR(__xludf.DUMMYFUNCTION("""COMPUTED_VALUE"""),56.8236507390855)</f>
        <v>56.82365074</v>
      </c>
      <c r="P661" s="20">
        <f>IFERROR(__xludf.DUMMYFUNCTION("""COMPUTED_VALUE"""),9918.0)</f>
        <v>9918</v>
      </c>
      <c r="Q661" s="20">
        <f>IFERROR(__xludf.DUMMYFUNCTION("""COMPUTED_VALUE"""),17454.0)</f>
        <v>17454</v>
      </c>
    </row>
    <row r="662">
      <c r="A662" s="20">
        <f>IFERROR(__xludf.DUMMYFUNCTION("""COMPUTED_VALUE"""),661.0)</f>
        <v>661</v>
      </c>
      <c r="B662" s="20" t="str">
        <f>IFERROR(__xludf.DUMMYFUNCTION("""COMPUTED_VALUE"""),"Image Smoother")</f>
        <v>Image Smoother</v>
      </c>
      <c r="C662" s="20" t="str">
        <f>IFERROR(__xludf.DUMMYFUNCTION("""COMPUTED_VALUE"""),"image-smoother")</f>
        <v>image-smoother</v>
      </c>
      <c r="D662" s="20" t="b">
        <f>IFERROR(__xludf.DUMMYFUNCTION("""COMPUTED_VALUE"""),FALSE)</f>
        <v>0</v>
      </c>
      <c r="E662" s="20" t="str">
        <f>IFERROR(__xludf.DUMMYFUNCTION("""COMPUTED_VALUE"""),"Easy")</f>
        <v>Easy</v>
      </c>
      <c r="F662" s="20">
        <f>IFERROR(__xludf.DUMMYFUNCTION("""COMPUTED_VALUE"""),432.0)</f>
        <v>432</v>
      </c>
      <c r="G662" s="20">
        <f>IFERROR(__xludf.DUMMYFUNCTION("""COMPUTED_VALUE"""),1733.0)</f>
        <v>1733</v>
      </c>
      <c r="H662" s="20" t="str">
        <f>IFERROR(__xludf.DUMMYFUNCTION("""COMPUTED_VALUE"""),"Algorithms")</f>
        <v>Algorithms</v>
      </c>
      <c r="I662" s="20">
        <f>IFERROR(__xludf.DUMMYFUNCTION("""COMPUTED_VALUE"""),0.552)</f>
        <v>0.552</v>
      </c>
      <c r="J662" s="20">
        <f>IFERROR(__xludf.DUMMYFUNCTION("""COMPUTED_VALUE"""),661.0)</f>
        <v>661</v>
      </c>
      <c r="K662" s="20" t="b">
        <f>IFERROR(__xludf.DUMMYFUNCTION("""COMPUTED_VALUE"""),FALSE)</f>
        <v>0</v>
      </c>
      <c r="L662" s="20" t="str">
        <f>IFERROR(__xludf.DUMMYFUNCTION("""COMPUTED_VALUE"""),"Array;Matrix;")</f>
        <v>Array;Matrix;</v>
      </c>
      <c r="M662" s="20" t="b">
        <f>IFERROR(__xludf.DUMMYFUNCTION("""COMPUTED_VALUE"""),TRUE)</f>
        <v>1</v>
      </c>
      <c r="N662" s="20" t="b">
        <f>IFERROR(__xludf.DUMMYFUNCTION("""COMPUTED_VALUE"""),FALSE)</f>
        <v>0</v>
      </c>
      <c r="O662" s="20">
        <f>IFERROR(__xludf.DUMMYFUNCTION("""COMPUTED_VALUE"""),55.1607085194023)</f>
        <v>55.16070852</v>
      </c>
      <c r="P662" s="20">
        <f>IFERROR(__xludf.DUMMYFUNCTION("""COMPUTED_VALUE"""),70037.0)</f>
        <v>70037</v>
      </c>
      <c r="Q662" s="20">
        <f>IFERROR(__xludf.DUMMYFUNCTION("""COMPUTED_VALUE"""),126969.0)</f>
        <v>126969</v>
      </c>
    </row>
    <row r="663">
      <c r="A663" s="20">
        <f>IFERROR(__xludf.DUMMYFUNCTION("""COMPUTED_VALUE"""),662.0)</f>
        <v>662</v>
      </c>
      <c r="B663" s="20" t="str">
        <f>IFERROR(__xludf.DUMMYFUNCTION("""COMPUTED_VALUE"""),"Maximum Width of Binary Tree")</f>
        <v>Maximum Width of Binary Tree</v>
      </c>
      <c r="C663" s="20" t="str">
        <f>IFERROR(__xludf.DUMMYFUNCTION("""COMPUTED_VALUE"""),"maximum-width-of-binary-tree")</f>
        <v>maximum-width-of-binary-tree</v>
      </c>
      <c r="D663" s="20" t="b">
        <f>IFERROR(__xludf.DUMMYFUNCTION("""COMPUTED_VALUE"""),FALSE)</f>
        <v>0</v>
      </c>
      <c r="E663" s="20" t="str">
        <f>IFERROR(__xludf.DUMMYFUNCTION("""COMPUTED_VALUE"""),"Medium")</f>
        <v>Medium</v>
      </c>
      <c r="F663" s="20">
        <f>IFERROR(__xludf.DUMMYFUNCTION("""COMPUTED_VALUE"""),6033.0)</f>
        <v>6033</v>
      </c>
      <c r="G663" s="20">
        <f>IFERROR(__xludf.DUMMYFUNCTION("""COMPUTED_VALUE"""),840.0)</f>
        <v>840</v>
      </c>
      <c r="H663" s="20" t="str">
        <f>IFERROR(__xludf.DUMMYFUNCTION("""COMPUTED_VALUE"""),"Algorithms")</f>
        <v>Algorithms</v>
      </c>
      <c r="I663" s="20">
        <f>IFERROR(__xludf.DUMMYFUNCTION("""COMPUTED_VALUE"""),0.406)</f>
        <v>0.406</v>
      </c>
      <c r="J663" s="20">
        <f>IFERROR(__xludf.DUMMYFUNCTION("""COMPUTED_VALUE"""),662.0)</f>
        <v>662</v>
      </c>
      <c r="K663" s="20" t="b">
        <f>IFERROR(__xludf.DUMMYFUNCTION("""COMPUTED_VALUE"""),FALSE)</f>
        <v>0</v>
      </c>
      <c r="L663" s="20" t="str">
        <f>IFERROR(__xludf.DUMMYFUNCTION("""COMPUTED_VALUE"""),"Tree;Depth-First Search;Breadth-First Search;Binary Tree;")</f>
        <v>Tree;Depth-First Search;Breadth-First Search;Binary Tree;</v>
      </c>
      <c r="M663" s="20" t="b">
        <f>IFERROR(__xludf.DUMMYFUNCTION("""COMPUTED_VALUE"""),TRUE)</f>
        <v>1</v>
      </c>
      <c r="N663" s="20" t="b">
        <f>IFERROR(__xludf.DUMMYFUNCTION("""COMPUTED_VALUE"""),FALSE)</f>
        <v>0</v>
      </c>
      <c r="O663" s="20">
        <f>IFERROR(__xludf.DUMMYFUNCTION("""COMPUTED_VALUE"""),40.648479396116)</f>
        <v>40.6484794</v>
      </c>
      <c r="P663" s="20">
        <f>IFERROR(__xludf.DUMMYFUNCTION("""COMPUTED_VALUE"""),231337.0)</f>
        <v>231337</v>
      </c>
      <c r="Q663" s="20">
        <f>IFERROR(__xludf.DUMMYFUNCTION("""COMPUTED_VALUE"""),569101.0)</f>
        <v>569101</v>
      </c>
    </row>
    <row r="664">
      <c r="A664" s="20">
        <f>IFERROR(__xludf.DUMMYFUNCTION("""COMPUTED_VALUE"""),663.0)</f>
        <v>663</v>
      </c>
      <c r="B664" s="20" t="str">
        <f>IFERROR(__xludf.DUMMYFUNCTION("""COMPUTED_VALUE"""),"Equal Tree Partition")</f>
        <v>Equal Tree Partition</v>
      </c>
      <c r="C664" s="20" t="str">
        <f>IFERROR(__xludf.DUMMYFUNCTION("""COMPUTED_VALUE"""),"equal-tree-partition")</f>
        <v>equal-tree-partition</v>
      </c>
      <c r="D664" s="20" t="b">
        <f>IFERROR(__xludf.DUMMYFUNCTION("""COMPUTED_VALUE"""),TRUE)</f>
        <v>1</v>
      </c>
      <c r="E664" s="20" t="str">
        <f>IFERROR(__xludf.DUMMYFUNCTION("""COMPUTED_VALUE"""),"Medium")</f>
        <v>Medium</v>
      </c>
      <c r="F664" s="20">
        <f>IFERROR(__xludf.DUMMYFUNCTION("""COMPUTED_VALUE"""),445.0)</f>
        <v>445</v>
      </c>
      <c r="G664" s="20">
        <f>IFERROR(__xludf.DUMMYFUNCTION("""COMPUTED_VALUE"""),35.0)</f>
        <v>35</v>
      </c>
      <c r="H664" s="20" t="str">
        <f>IFERROR(__xludf.DUMMYFUNCTION("""COMPUTED_VALUE"""),"Algorithms")</f>
        <v>Algorithms</v>
      </c>
      <c r="I664" s="20">
        <f>IFERROR(__xludf.DUMMYFUNCTION("""COMPUTED_VALUE"""),0.414)</f>
        <v>0.414</v>
      </c>
      <c r="J664" s="20">
        <f>IFERROR(__xludf.DUMMYFUNCTION("""COMPUTED_VALUE"""),663.0)</f>
        <v>663</v>
      </c>
      <c r="K664" s="20" t="b">
        <f>IFERROR(__xludf.DUMMYFUNCTION("""COMPUTED_VALUE"""),TRUE)</f>
        <v>1</v>
      </c>
      <c r="L664" s="20" t="str">
        <f>IFERROR(__xludf.DUMMYFUNCTION("""COMPUTED_VALUE"""),"Tree;Depth-First Search;Binary Tree;")</f>
        <v>Tree;Depth-First Search;Binary Tree;</v>
      </c>
      <c r="M664" s="20" t="b">
        <f>IFERROR(__xludf.DUMMYFUNCTION("""COMPUTED_VALUE"""),TRUE)</f>
        <v>1</v>
      </c>
      <c r="N664" s="20" t="b">
        <f>IFERROR(__xludf.DUMMYFUNCTION("""COMPUTED_VALUE"""),FALSE)</f>
        <v>0</v>
      </c>
      <c r="O664" s="20">
        <f>IFERROR(__xludf.DUMMYFUNCTION("""COMPUTED_VALUE"""),41.4102159635185)</f>
        <v>41.41021596</v>
      </c>
      <c r="P664" s="20">
        <f>IFERROR(__xludf.DUMMYFUNCTION("""COMPUTED_VALUE"""),28877.0)</f>
        <v>28877</v>
      </c>
      <c r="Q664" s="20">
        <f>IFERROR(__xludf.DUMMYFUNCTION("""COMPUTED_VALUE"""),69734.0)</f>
        <v>69734</v>
      </c>
    </row>
    <row r="665">
      <c r="A665" s="20">
        <f>IFERROR(__xludf.DUMMYFUNCTION("""COMPUTED_VALUE"""),664.0)</f>
        <v>664</v>
      </c>
      <c r="B665" s="20" t="str">
        <f>IFERROR(__xludf.DUMMYFUNCTION("""COMPUTED_VALUE"""),"Strange Printer")</f>
        <v>Strange Printer</v>
      </c>
      <c r="C665" s="20" t="str">
        <f>IFERROR(__xludf.DUMMYFUNCTION("""COMPUTED_VALUE"""),"strange-printer")</f>
        <v>strange-printer</v>
      </c>
      <c r="D665" s="20" t="b">
        <f>IFERROR(__xludf.DUMMYFUNCTION("""COMPUTED_VALUE"""),FALSE)</f>
        <v>0</v>
      </c>
      <c r="E665" s="20" t="str">
        <f>IFERROR(__xludf.DUMMYFUNCTION("""COMPUTED_VALUE"""),"Hard")</f>
        <v>Hard</v>
      </c>
      <c r="F665" s="20">
        <f>IFERROR(__xludf.DUMMYFUNCTION("""COMPUTED_VALUE"""),1003.0)</f>
        <v>1003</v>
      </c>
      <c r="G665" s="20">
        <f>IFERROR(__xludf.DUMMYFUNCTION("""COMPUTED_VALUE"""),92.0)</f>
        <v>92</v>
      </c>
      <c r="H665" s="20" t="str">
        <f>IFERROR(__xludf.DUMMYFUNCTION("""COMPUTED_VALUE"""),"Algorithms")</f>
        <v>Algorithms</v>
      </c>
      <c r="I665" s="20">
        <f>IFERROR(__xludf.DUMMYFUNCTION("""COMPUTED_VALUE"""),0.468)</f>
        <v>0.468</v>
      </c>
      <c r="J665" s="20">
        <f>IFERROR(__xludf.DUMMYFUNCTION("""COMPUTED_VALUE"""),664.0)</f>
        <v>664</v>
      </c>
      <c r="K665" s="20" t="b">
        <f>IFERROR(__xludf.DUMMYFUNCTION("""COMPUTED_VALUE"""),FALSE)</f>
        <v>0</v>
      </c>
      <c r="L665" s="20" t="str">
        <f>IFERROR(__xludf.DUMMYFUNCTION("""COMPUTED_VALUE"""),"String;Dynamic Programming;")</f>
        <v>String;Dynamic Programming;</v>
      </c>
      <c r="M665" s="20" t="b">
        <f>IFERROR(__xludf.DUMMYFUNCTION("""COMPUTED_VALUE"""),FALSE)</f>
        <v>0</v>
      </c>
      <c r="N665" s="20" t="b">
        <f>IFERROR(__xludf.DUMMYFUNCTION("""COMPUTED_VALUE"""),FALSE)</f>
        <v>0</v>
      </c>
      <c r="O665" s="20">
        <f>IFERROR(__xludf.DUMMYFUNCTION("""COMPUTED_VALUE"""),46.7714316022367)</f>
        <v>46.7714316</v>
      </c>
      <c r="P665" s="20">
        <f>IFERROR(__xludf.DUMMYFUNCTION("""COMPUTED_VALUE"""),30864.0)</f>
        <v>30864</v>
      </c>
      <c r="Q665" s="20">
        <f>IFERROR(__xludf.DUMMYFUNCTION("""COMPUTED_VALUE"""),65989.0)</f>
        <v>65989</v>
      </c>
    </row>
    <row r="666">
      <c r="A666" s="20">
        <f>IFERROR(__xludf.DUMMYFUNCTION("""COMPUTED_VALUE"""),665.0)</f>
        <v>665</v>
      </c>
      <c r="B666" s="20" t="str">
        <f>IFERROR(__xludf.DUMMYFUNCTION("""COMPUTED_VALUE"""),"Non-decreasing Array")</f>
        <v>Non-decreasing Array</v>
      </c>
      <c r="C666" s="20" t="str">
        <f>IFERROR(__xludf.DUMMYFUNCTION("""COMPUTED_VALUE"""),"non-decreasing-array")</f>
        <v>non-decreasing-array</v>
      </c>
      <c r="D666" s="20" t="b">
        <f>IFERROR(__xludf.DUMMYFUNCTION("""COMPUTED_VALUE"""),FALSE)</f>
        <v>0</v>
      </c>
      <c r="E666" s="20" t="str">
        <f>IFERROR(__xludf.DUMMYFUNCTION("""COMPUTED_VALUE"""),"Medium")</f>
        <v>Medium</v>
      </c>
      <c r="F666" s="20">
        <f>IFERROR(__xludf.DUMMYFUNCTION("""COMPUTED_VALUE"""),5172.0)</f>
        <v>5172</v>
      </c>
      <c r="G666" s="20">
        <f>IFERROR(__xludf.DUMMYFUNCTION("""COMPUTED_VALUE"""),744.0)</f>
        <v>744</v>
      </c>
      <c r="H666" s="20" t="str">
        <f>IFERROR(__xludf.DUMMYFUNCTION("""COMPUTED_VALUE"""),"Algorithms")</f>
        <v>Algorithms</v>
      </c>
      <c r="I666" s="20">
        <f>IFERROR(__xludf.DUMMYFUNCTION("""COMPUTED_VALUE"""),0.242)</f>
        <v>0.242</v>
      </c>
      <c r="J666" s="20">
        <f>IFERROR(__xludf.DUMMYFUNCTION("""COMPUTED_VALUE"""),665.0)</f>
        <v>665</v>
      </c>
      <c r="K666" s="20" t="b">
        <f>IFERROR(__xludf.DUMMYFUNCTION("""COMPUTED_VALUE"""),FALSE)</f>
        <v>0</v>
      </c>
      <c r="L666" s="20" t="str">
        <f>IFERROR(__xludf.DUMMYFUNCTION("""COMPUTED_VALUE"""),"Array;")</f>
        <v>Array;</v>
      </c>
      <c r="M666" s="20" t="b">
        <f>IFERROR(__xludf.DUMMYFUNCTION("""COMPUTED_VALUE"""),TRUE)</f>
        <v>1</v>
      </c>
      <c r="N666" s="20" t="b">
        <f>IFERROR(__xludf.DUMMYFUNCTION("""COMPUTED_VALUE"""),FALSE)</f>
        <v>0</v>
      </c>
      <c r="O666" s="20">
        <f>IFERROR(__xludf.DUMMYFUNCTION("""COMPUTED_VALUE"""),24.2049625271596)</f>
        <v>24.20496253</v>
      </c>
      <c r="P666" s="20">
        <f>IFERROR(__xludf.DUMMYFUNCTION("""COMPUTED_VALUE"""),234054.0)</f>
        <v>234054</v>
      </c>
      <c r="Q666" s="20">
        <f>IFERROR(__xludf.DUMMYFUNCTION("""COMPUTED_VALUE"""),966967.0)</f>
        <v>966967</v>
      </c>
    </row>
    <row r="667">
      <c r="A667" s="20">
        <f>IFERROR(__xludf.DUMMYFUNCTION("""COMPUTED_VALUE"""),666.0)</f>
        <v>666</v>
      </c>
      <c r="B667" s="20" t="str">
        <f>IFERROR(__xludf.DUMMYFUNCTION("""COMPUTED_VALUE"""),"Path Sum IV")</f>
        <v>Path Sum IV</v>
      </c>
      <c r="C667" s="20" t="str">
        <f>IFERROR(__xludf.DUMMYFUNCTION("""COMPUTED_VALUE"""),"path-sum-iv")</f>
        <v>path-sum-iv</v>
      </c>
      <c r="D667" s="20" t="b">
        <f>IFERROR(__xludf.DUMMYFUNCTION("""COMPUTED_VALUE"""),TRUE)</f>
        <v>1</v>
      </c>
      <c r="E667" s="20" t="str">
        <f>IFERROR(__xludf.DUMMYFUNCTION("""COMPUTED_VALUE"""),"Medium")</f>
        <v>Medium</v>
      </c>
      <c r="F667" s="20">
        <f>IFERROR(__xludf.DUMMYFUNCTION("""COMPUTED_VALUE"""),316.0)</f>
        <v>316</v>
      </c>
      <c r="G667" s="20">
        <f>IFERROR(__xludf.DUMMYFUNCTION("""COMPUTED_VALUE"""),401.0)</f>
        <v>401</v>
      </c>
      <c r="H667" s="20" t="str">
        <f>IFERROR(__xludf.DUMMYFUNCTION("""COMPUTED_VALUE"""),"Algorithms")</f>
        <v>Algorithms</v>
      </c>
      <c r="I667" s="20">
        <f>IFERROR(__xludf.DUMMYFUNCTION("""COMPUTED_VALUE"""),0.592)</f>
        <v>0.592</v>
      </c>
      <c r="J667" s="20">
        <f>IFERROR(__xludf.DUMMYFUNCTION("""COMPUTED_VALUE"""),666.0)</f>
        <v>666</v>
      </c>
      <c r="K667" s="20" t="b">
        <f>IFERROR(__xludf.DUMMYFUNCTION("""COMPUTED_VALUE"""),TRUE)</f>
        <v>1</v>
      </c>
      <c r="L667" s="20" t="str">
        <f>IFERROR(__xludf.DUMMYFUNCTION("""COMPUTED_VALUE"""),"Array;Tree;Depth-First Search;Binary Tree;")</f>
        <v>Array;Tree;Depth-First Search;Binary Tree;</v>
      </c>
      <c r="M667" s="20" t="b">
        <f>IFERROR(__xludf.DUMMYFUNCTION("""COMPUTED_VALUE"""),TRUE)</f>
        <v>1</v>
      </c>
      <c r="N667" s="20" t="b">
        <f>IFERROR(__xludf.DUMMYFUNCTION("""COMPUTED_VALUE"""),FALSE)</f>
        <v>0</v>
      </c>
      <c r="O667" s="20">
        <f>IFERROR(__xludf.DUMMYFUNCTION("""COMPUTED_VALUE"""),59.2489058308626)</f>
        <v>59.24890583</v>
      </c>
      <c r="P667" s="20">
        <f>IFERROR(__xludf.DUMMYFUNCTION("""COMPUTED_VALUE"""),20983.0)</f>
        <v>20983</v>
      </c>
      <c r="Q667" s="20">
        <f>IFERROR(__xludf.DUMMYFUNCTION("""COMPUTED_VALUE"""),35415.0)</f>
        <v>35415</v>
      </c>
    </row>
    <row r="668">
      <c r="A668" s="20">
        <f>IFERROR(__xludf.DUMMYFUNCTION("""COMPUTED_VALUE"""),667.0)</f>
        <v>667</v>
      </c>
      <c r="B668" s="20" t="str">
        <f>IFERROR(__xludf.DUMMYFUNCTION("""COMPUTED_VALUE"""),"Beautiful Arrangement II")</f>
        <v>Beautiful Arrangement II</v>
      </c>
      <c r="C668" s="20" t="str">
        <f>IFERROR(__xludf.DUMMYFUNCTION("""COMPUTED_VALUE"""),"beautiful-arrangement-ii")</f>
        <v>beautiful-arrangement-ii</v>
      </c>
      <c r="D668" s="20" t="b">
        <f>IFERROR(__xludf.DUMMYFUNCTION("""COMPUTED_VALUE"""),FALSE)</f>
        <v>0</v>
      </c>
      <c r="E668" s="20" t="str">
        <f>IFERROR(__xludf.DUMMYFUNCTION("""COMPUTED_VALUE"""),"Medium")</f>
        <v>Medium</v>
      </c>
      <c r="F668" s="20">
        <f>IFERROR(__xludf.DUMMYFUNCTION("""COMPUTED_VALUE"""),718.0)</f>
        <v>718</v>
      </c>
      <c r="G668" s="20">
        <f>IFERROR(__xludf.DUMMYFUNCTION("""COMPUTED_VALUE"""),1004.0)</f>
        <v>1004</v>
      </c>
      <c r="H668" s="20" t="str">
        <f>IFERROR(__xludf.DUMMYFUNCTION("""COMPUTED_VALUE"""),"Algorithms")</f>
        <v>Algorithms</v>
      </c>
      <c r="I668" s="20">
        <f>IFERROR(__xludf.DUMMYFUNCTION("""COMPUTED_VALUE"""),0.597)</f>
        <v>0.597</v>
      </c>
      <c r="J668" s="20">
        <f>IFERROR(__xludf.DUMMYFUNCTION("""COMPUTED_VALUE"""),667.0)</f>
        <v>667</v>
      </c>
      <c r="K668" s="20" t="b">
        <f>IFERROR(__xludf.DUMMYFUNCTION("""COMPUTED_VALUE"""),FALSE)</f>
        <v>0</v>
      </c>
      <c r="L668" s="20" t="str">
        <f>IFERROR(__xludf.DUMMYFUNCTION("""COMPUTED_VALUE"""),"Array;Math;")</f>
        <v>Array;Math;</v>
      </c>
      <c r="M668" s="20" t="b">
        <f>IFERROR(__xludf.DUMMYFUNCTION("""COMPUTED_VALUE"""),TRUE)</f>
        <v>1</v>
      </c>
      <c r="N668" s="20" t="b">
        <f>IFERROR(__xludf.DUMMYFUNCTION("""COMPUTED_VALUE"""),FALSE)</f>
        <v>0</v>
      </c>
      <c r="O668" s="20">
        <f>IFERROR(__xludf.DUMMYFUNCTION("""COMPUTED_VALUE"""),59.7114691031497)</f>
        <v>59.7114691</v>
      </c>
      <c r="P668" s="20">
        <f>IFERROR(__xludf.DUMMYFUNCTION("""COMPUTED_VALUE"""),49668.0)</f>
        <v>49668</v>
      </c>
      <c r="Q668" s="20">
        <f>IFERROR(__xludf.DUMMYFUNCTION("""COMPUTED_VALUE"""),83180.0)</f>
        <v>83180</v>
      </c>
    </row>
    <row r="669">
      <c r="A669" s="20">
        <f>IFERROR(__xludf.DUMMYFUNCTION("""COMPUTED_VALUE"""),668.0)</f>
        <v>668</v>
      </c>
      <c r="B669" s="20" t="str">
        <f>IFERROR(__xludf.DUMMYFUNCTION("""COMPUTED_VALUE"""),"Kth Smallest Number in Multiplication Table")</f>
        <v>Kth Smallest Number in Multiplication Table</v>
      </c>
      <c r="C669" s="20" t="str">
        <f>IFERROR(__xludf.DUMMYFUNCTION("""COMPUTED_VALUE"""),"kth-smallest-number-in-multiplication-table")</f>
        <v>kth-smallest-number-in-multiplication-table</v>
      </c>
      <c r="D669" s="20" t="b">
        <f>IFERROR(__xludf.DUMMYFUNCTION("""COMPUTED_VALUE"""),FALSE)</f>
        <v>0</v>
      </c>
      <c r="E669" s="20" t="str">
        <f>IFERROR(__xludf.DUMMYFUNCTION("""COMPUTED_VALUE"""),"Hard")</f>
        <v>Hard</v>
      </c>
      <c r="F669" s="20">
        <f>IFERROR(__xludf.DUMMYFUNCTION("""COMPUTED_VALUE"""),1830.0)</f>
        <v>1830</v>
      </c>
      <c r="G669" s="20">
        <f>IFERROR(__xludf.DUMMYFUNCTION("""COMPUTED_VALUE"""),51.0)</f>
        <v>51</v>
      </c>
      <c r="H669" s="20" t="str">
        <f>IFERROR(__xludf.DUMMYFUNCTION("""COMPUTED_VALUE"""),"Algorithms")</f>
        <v>Algorithms</v>
      </c>
      <c r="I669" s="20">
        <f>IFERROR(__xludf.DUMMYFUNCTION("""COMPUTED_VALUE"""),0.516)</f>
        <v>0.516</v>
      </c>
      <c r="J669" s="20">
        <f>IFERROR(__xludf.DUMMYFUNCTION("""COMPUTED_VALUE"""),668.0)</f>
        <v>668</v>
      </c>
      <c r="K669" s="20" t="b">
        <f>IFERROR(__xludf.DUMMYFUNCTION("""COMPUTED_VALUE"""),FALSE)</f>
        <v>0</v>
      </c>
      <c r="L669" s="20" t="str">
        <f>IFERROR(__xludf.DUMMYFUNCTION("""COMPUTED_VALUE"""),"Math;Binary Search;")</f>
        <v>Math;Binary Search;</v>
      </c>
      <c r="M669" s="20" t="b">
        <f>IFERROR(__xludf.DUMMYFUNCTION("""COMPUTED_VALUE"""),TRUE)</f>
        <v>1</v>
      </c>
      <c r="N669" s="20" t="b">
        <f>IFERROR(__xludf.DUMMYFUNCTION("""COMPUTED_VALUE"""),FALSE)</f>
        <v>0</v>
      </c>
      <c r="O669" s="20">
        <f>IFERROR(__xludf.DUMMYFUNCTION("""COMPUTED_VALUE"""),51.5671698980764)</f>
        <v>51.5671699</v>
      </c>
      <c r="P669" s="20">
        <f>IFERROR(__xludf.DUMMYFUNCTION("""COMPUTED_VALUE"""),53832.0)</f>
        <v>53832</v>
      </c>
      <c r="Q669" s="20">
        <f>IFERROR(__xludf.DUMMYFUNCTION("""COMPUTED_VALUE"""),104392.0)</f>
        <v>104392</v>
      </c>
    </row>
    <row r="670">
      <c r="A670" s="20">
        <f>IFERROR(__xludf.DUMMYFUNCTION("""COMPUTED_VALUE"""),669.0)</f>
        <v>669</v>
      </c>
      <c r="B670" s="20" t="str">
        <f>IFERROR(__xludf.DUMMYFUNCTION("""COMPUTED_VALUE"""),"Trim a Binary Search Tree")</f>
        <v>Trim a Binary Search Tree</v>
      </c>
      <c r="C670" s="20" t="str">
        <f>IFERROR(__xludf.DUMMYFUNCTION("""COMPUTED_VALUE"""),"trim-a-binary-search-tree")</f>
        <v>trim-a-binary-search-tree</v>
      </c>
      <c r="D670" s="20" t="b">
        <f>IFERROR(__xludf.DUMMYFUNCTION("""COMPUTED_VALUE"""),FALSE)</f>
        <v>0</v>
      </c>
      <c r="E670" s="20" t="str">
        <f>IFERROR(__xludf.DUMMYFUNCTION("""COMPUTED_VALUE"""),"Medium")</f>
        <v>Medium</v>
      </c>
      <c r="F670" s="20">
        <f>IFERROR(__xludf.DUMMYFUNCTION("""COMPUTED_VALUE"""),5204.0)</f>
        <v>5204</v>
      </c>
      <c r="G670" s="20">
        <f>IFERROR(__xludf.DUMMYFUNCTION("""COMPUTED_VALUE"""),246.0)</f>
        <v>246</v>
      </c>
      <c r="H670" s="20" t="str">
        <f>IFERROR(__xludf.DUMMYFUNCTION("""COMPUTED_VALUE"""),"Algorithms")</f>
        <v>Algorithms</v>
      </c>
      <c r="I670" s="20">
        <f>IFERROR(__xludf.DUMMYFUNCTION("""COMPUTED_VALUE"""),0.663)</f>
        <v>0.663</v>
      </c>
      <c r="J670" s="20">
        <f>IFERROR(__xludf.DUMMYFUNCTION("""COMPUTED_VALUE"""),669.0)</f>
        <v>669</v>
      </c>
      <c r="K670" s="20" t="b">
        <f>IFERROR(__xludf.DUMMYFUNCTION("""COMPUTED_VALUE"""),FALSE)</f>
        <v>0</v>
      </c>
      <c r="L670" s="20" t="str">
        <f>IFERROR(__xludf.DUMMYFUNCTION("""COMPUTED_VALUE"""),"Tree;Depth-First Search;Binary Search Tree;Binary Tree;")</f>
        <v>Tree;Depth-First Search;Binary Search Tree;Binary Tree;</v>
      </c>
      <c r="M670" s="20" t="b">
        <f>IFERROR(__xludf.DUMMYFUNCTION("""COMPUTED_VALUE"""),TRUE)</f>
        <v>1</v>
      </c>
      <c r="N670" s="20" t="b">
        <f>IFERROR(__xludf.DUMMYFUNCTION("""COMPUTED_VALUE"""),TRUE)</f>
        <v>1</v>
      </c>
      <c r="O670" s="20">
        <f>IFERROR(__xludf.DUMMYFUNCTION("""COMPUTED_VALUE"""),66.3281761634694)</f>
        <v>66.32817616</v>
      </c>
      <c r="P670" s="20">
        <f>IFERROR(__xludf.DUMMYFUNCTION("""COMPUTED_VALUE"""),256238.0)</f>
        <v>256238</v>
      </c>
      <c r="Q670" s="20">
        <f>IFERROR(__xludf.DUMMYFUNCTION("""COMPUTED_VALUE"""),386320.0)</f>
        <v>386320</v>
      </c>
    </row>
    <row r="671">
      <c r="A671" s="20">
        <f>IFERROR(__xludf.DUMMYFUNCTION("""COMPUTED_VALUE"""),670.0)</f>
        <v>670</v>
      </c>
      <c r="B671" s="20" t="str">
        <f>IFERROR(__xludf.DUMMYFUNCTION("""COMPUTED_VALUE"""),"Maximum Swap")</f>
        <v>Maximum Swap</v>
      </c>
      <c r="C671" s="20" t="str">
        <f>IFERROR(__xludf.DUMMYFUNCTION("""COMPUTED_VALUE"""),"maximum-swap")</f>
        <v>maximum-swap</v>
      </c>
      <c r="D671" s="20" t="b">
        <f>IFERROR(__xludf.DUMMYFUNCTION("""COMPUTED_VALUE"""),FALSE)</f>
        <v>0</v>
      </c>
      <c r="E671" s="20" t="str">
        <f>IFERROR(__xludf.DUMMYFUNCTION("""COMPUTED_VALUE"""),"Medium")</f>
        <v>Medium</v>
      </c>
      <c r="F671" s="20">
        <f>IFERROR(__xludf.DUMMYFUNCTION("""COMPUTED_VALUE"""),2857.0)</f>
        <v>2857</v>
      </c>
      <c r="G671" s="20">
        <f>IFERROR(__xludf.DUMMYFUNCTION("""COMPUTED_VALUE"""),164.0)</f>
        <v>164</v>
      </c>
      <c r="H671" s="20" t="str">
        <f>IFERROR(__xludf.DUMMYFUNCTION("""COMPUTED_VALUE"""),"Algorithms")</f>
        <v>Algorithms</v>
      </c>
      <c r="I671" s="20">
        <f>IFERROR(__xludf.DUMMYFUNCTION("""COMPUTED_VALUE"""),0.479)</f>
        <v>0.479</v>
      </c>
      <c r="J671" s="20">
        <f>IFERROR(__xludf.DUMMYFUNCTION("""COMPUTED_VALUE"""),670.0)</f>
        <v>670</v>
      </c>
      <c r="K671" s="20" t="b">
        <f>IFERROR(__xludf.DUMMYFUNCTION("""COMPUTED_VALUE"""),FALSE)</f>
        <v>0</v>
      </c>
      <c r="L671" s="20" t="str">
        <f>IFERROR(__xludf.DUMMYFUNCTION("""COMPUTED_VALUE"""),"Math;Greedy;")</f>
        <v>Math;Greedy;</v>
      </c>
      <c r="M671" s="20" t="b">
        <f>IFERROR(__xludf.DUMMYFUNCTION("""COMPUTED_VALUE"""),FALSE)</f>
        <v>0</v>
      </c>
      <c r="N671" s="20" t="b">
        <f>IFERROR(__xludf.DUMMYFUNCTION("""COMPUTED_VALUE"""),FALSE)</f>
        <v>0</v>
      </c>
      <c r="O671" s="20">
        <f>IFERROR(__xludf.DUMMYFUNCTION("""COMPUTED_VALUE"""),47.9006533557805)</f>
        <v>47.90065336</v>
      </c>
      <c r="P671" s="20">
        <f>IFERROR(__xludf.DUMMYFUNCTION("""COMPUTED_VALUE"""),188639.0)</f>
        <v>188639</v>
      </c>
      <c r="Q671" s="20">
        <f>IFERROR(__xludf.DUMMYFUNCTION("""COMPUTED_VALUE"""),393813.0)</f>
        <v>393813</v>
      </c>
    </row>
    <row r="672">
      <c r="A672" s="20">
        <f>IFERROR(__xludf.DUMMYFUNCTION("""COMPUTED_VALUE"""),671.0)</f>
        <v>671</v>
      </c>
      <c r="B672" s="20" t="str">
        <f>IFERROR(__xludf.DUMMYFUNCTION("""COMPUTED_VALUE"""),"Second Minimum Node In a Binary Tree")</f>
        <v>Second Minimum Node In a Binary Tree</v>
      </c>
      <c r="C672" s="20" t="str">
        <f>IFERROR(__xludf.DUMMYFUNCTION("""COMPUTED_VALUE"""),"second-minimum-node-in-a-binary-tree")</f>
        <v>second-minimum-node-in-a-binary-tree</v>
      </c>
      <c r="D672" s="20" t="b">
        <f>IFERROR(__xludf.DUMMYFUNCTION("""COMPUTED_VALUE"""),FALSE)</f>
        <v>0</v>
      </c>
      <c r="E672" s="20" t="str">
        <f>IFERROR(__xludf.DUMMYFUNCTION("""COMPUTED_VALUE"""),"Easy")</f>
        <v>Easy</v>
      </c>
      <c r="F672" s="20">
        <f>IFERROR(__xludf.DUMMYFUNCTION("""COMPUTED_VALUE"""),1507.0)</f>
        <v>1507</v>
      </c>
      <c r="G672" s="20">
        <f>IFERROR(__xludf.DUMMYFUNCTION("""COMPUTED_VALUE"""),1694.0)</f>
        <v>1694</v>
      </c>
      <c r="H672" s="20" t="str">
        <f>IFERROR(__xludf.DUMMYFUNCTION("""COMPUTED_VALUE"""),"Algorithms")</f>
        <v>Algorithms</v>
      </c>
      <c r="I672" s="20">
        <f>IFERROR(__xludf.DUMMYFUNCTION("""COMPUTED_VALUE"""),0.44)</f>
        <v>0.44</v>
      </c>
      <c r="J672" s="20">
        <f>IFERROR(__xludf.DUMMYFUNCTION("""COMPUTED_VALUE"""),671.0)</f>
        <v>671</v>
      </c>
      <c r="K672" s="20" t="b">
        <f>IFERROR(__xludf.DUMMYFUNCTION("""COMPUTED_VALUE"""),FALSE)</f>
        <v>0</v>
      </c>
      <c r="L672" s="20" t="str">
        <f>IFERROR(__xludf.DUMMYFUNCTION("""COMPUTED_VALUE"""),"Tree;Depth-First Search;Binary Tree;")</f>
        <v>Tree;Depth-First Search;Binary Tree;</v>
      </c>
      <c r="M672" s="20" t="b">
        <f>IFERROR(__xludf.DUMMYFUNCTION("""COMPUTED_VALUE"""),TRUE)</f>
        <v>1</v>
      </c>
      <c r="N672" s="20" t="b">
        <f>IFERROR(__xludf.DUMMYFUNCTION("""COMPUTED_VALUE"""),FALSE)</f>
        <v>0</v>
      </c>
      <c r="O672" s="20">
        <f>IFERROR(__xludf.DUMMYFUNCTION("""COMPUTED_VALUE"""),44.0356242023769)</f>
        <v>44.0356242</v>
      </c>
      <c r="P672" s="20">
        <f>IFERROR(__xludf.DUMMYFUNCTION("""COMPUTED_VALUE"""),161140.0)</f>
        <v>161140</v>
      </c>
      <c r="Q672" s="20">
        <f>IFERROR(__xludf.DUMMYFUNCTION("""COMPUTED_VALUE"""),365931.0)</f>
        <v>365931</v>
      </c>
    </row>
    <row r="673">
      <c r="A673" s="20">
        <f>IFERROR(__xludf.DUMMYFUNCTION("""COMPUTED_VALUE"""),672.0)</f>
        <v>672</v>
      </c>
      <c r="B673" s="20" t="str">
        <f>IFERROR(__xludf.DUMMYFUNCTION("""COMPUTED_VALUE"""),"Bulb Switcher II")</f>
        <v>Bulb Switcher II</v>
      </c>
      <c r="C673" s="20" t="str">
        <f>IFERROR(__xludf.DUMMYFUNCTION("""COMPUTED_VALUE"""),"bulb-switcher-ii")</f>
        <v>bulb-switcher-ii</v>
      </c>
      <c r="D673" s="20" t="b">
        <f>IFERROR(__xludf.DUMMYFUNCTION("""COMPUTED_VALUE"""),FALSE)</f>
        <v>0</v>
      </c>
      <c r="E673" s="20" t="str">
        <f>IFERROR(__xludf.DUMMYFUNCTION("""COMPUTED_VALUE"""),"Medium")</f>
        <v>Medium</v>
      </c>
      <c r="F673" s="20">
        <f>IFERROR(__xludf.DUMMYFUNCTION("""COMPUTED_VALUE"""),72.0)</f>
        <v>72</v>
      </c>
      <c r="G673" s="20">
        <f>IFERROR(__xludf.DUMMYFUNCTION("""COMPUTED_VALUE"""),130.0)</f>
        <v>130</v>
      </c>
      <c r="H673" s="20" t="str">
        <f>IFERROR(__xludf.DUMMYFUNCTION("""COMPUTED_VALUE"""),"Algorithms")</f>
        <v>Algorithms</v>
      </c>
      <c r="I673" s="20">
        <f>IFERROR(__xludf.DUMMYFUNCTION("""COMPUTED_VALUE"""),0.51)</f>
        <v>0.51</v>
      </c>
      <c r="J673" s="20">
        <f>IFERROR(__xludf.DUMMYFUNCTION("""COMPUTED_VALUE"""),672.0)</f>
        <v>672</v>
      </c>
      <c r="K673" s="20" t="b">
        <f>IFERROR(__xludf.DUMMYFUNCTION("""COMPUTED_VALUE"""),FALSE)</f>
        <v>0</v>
      </c>
      <c r="L673" s="20" t="str">
        <f>IFERROR(__xludf.DUMMYFUNCTION("""COMPUTED_VALUE"""),"Math;Bit Manipulation;Depth-First Search;Breadth-First Search;")</f>
        <v>Math;Bit Manipulation;Depth-First Search;Breadth-First Search;</v>
      </c>
      <c r="M673" s="20" t="b">
        <f>IFERROR(__xludf.DUMMYFUNCTION("""COMPUTED_VALUE"""),FALSE)</f>
        <v>0</v>
      </c>
      <c r="N673" s="20" t="b">
        <f>IFERROR(__xludf.DUMMYFUNCTION("""COMPUTED_VALUE"""),FALSE)</f>
        <v>0</v>
      </c>
      <c r="O673" s="20">
        <f>IFERROR(__xludf.DUMMYFUNCTION("""COMPUTED_VALUE"""),50.9668996654608)</f>
        <v>50.96689967</v>
      </c>
      <c r="P673" s="20">
        <f>IFERROR(__xludf.DUMMYFUNCTION("""COMPUTED_VALUE"""),18739.0)</f>
        <v>18739</v>
      </c>
      <c r="Q673" s="20">
        <f>IFERROR(__xludf.DUMMYFUNCTION("""COMPUTED_VALUE"""),36767.0)</f>
        <v>36767</v>
      </c>
    </row>
    <row r="674">
      <c r="A674" s="20">
        <f>IFERROR(__xludf.DUMMYFUNCTION("""COMPUTED_VALUE"""),673.0)</f>
        <v>673</v>
      </c>
      <c r="B674" s="20" t="str">
        <f>IFERROR(__xludf.DUMMYFUNCTION("""COMPUTED_VALUE"""),"Number of Longest Increasing Subsequence")</f>
        <v>Number of Longest Increasing Subsequence</v>
      </c>
      <c r="C674" s="20" t="str">
        <f>IFERROR(__xludf.DUMMYFUNCTION("""COMPUTED_VALUE"""),"number-of-longest-increasing-subsequence")</f>
        <v>number-of-longest-increasing-subsequence</v>
      </c>
      <c r="D674" s="20" t="b">
        <f>IFERROR(__xludf.DUMMYFUNCTION("""COMPUTED_VALUE"""),FALSE)</f>
        <v>0</v>
      </c>
      <c r="E674" s="20" t="str">
        <f>IFERROR(__xludf.DUMMYFUNCTION("""COMPUTED_VALUE"""),"Medium")</f>
        <v>Medium</v>
      </c>
      <c r="F674" s="20">
        <f>IFERROR(__xludf.DUMMYFUNCTION("""COMPUTED_VALUE"""),4450.0)</f>
        <v>4450</v>
      </c>
      <c r="G674" s="20">
        <f>IFERROR(__xludf.DUMMYFUNCTION("""COMPUTED_VALUE"""),198.0)</f>
        <v>198</v>
      </c>
      <c r="H674" s="20" t="str">
        <f>IFERROR(__xludf.DUMMYFUNCTION("""COMPUTED_VALUE"""),"Algorithms")</f>
        <v>Algorithms</v>
      </c>
      <c r="I674" s="20">
        <f>IFERROR(__xludf.DUMMYFUNCTION("""COMPUTED_VALUE"""),0.424)</f>
        <v>0.424</v>
      </c>
      <c r="J674" s="20">
        <f>IFERROR(__xludf.DUMMYFUNCTION("""COMPUTED_VALUE"""),673.0)</f>
        <v>673</v>
      </c>
      <c r="K674" s="20" t="b">
        <f>IFERROR(__xludf.DUMMYFUNCTION("""COMPUTED_VALUE"""),FALSE)</f>
        <v>0</v>
      </c>
      <c r="L674" s="20" t="str">
        <f>IFERROR(__xludf.DUMMYFUNCTION("""COMPUTED_VALUE"""),"Array;Dynamic Programming;Binary Indexed Tree;Segment Tree;")</f>
        <v>Array;Dynamic Programming;Binary Indexed Tree;Segment Tree;</v>
      </c>
      <c r="M674" s="20" t="b">
        <f>IFERROR(__xludf.DUMMYFUNCTION("""COMPUTED_VALUE"""),FALSE)</f>
        <v>0</v>
      </c>
      <c r="N674" s="20" t="b">
        <f>IFERROR(__xludf.DUMMYFUNCTION("""COMPUTED_VALUE"""),FALSE)</f>
        <v>0</v>
      </c>
      <c r="O674" s="20">
        <f>IFERROR(__xludf.DUMMYFUNCTION("""COMPUTED_VALUE"""),42.4215418915599)</f>
        <v>42.42154189</v>
      </c>
      <c r="P674" s="20">
        <f>IFERROR(__xludf.DUMMYFUNCTION("""COMPUTED_VALUE"""),134713.0)</f>
        <v>134713</v>
      </c>
      <c r="Q674" s="20">
        <f>IFERROR(__xludf.DUMMYFUNCTION("""COMPUTED_VALUE"""),317558.0)</f>
        <v>317558</v>
      </c>
    </row>
    <row r="675">
      <c r="A675" s="20">
        <f>IFERROR(__xludf.DUMMYFUNCTION("""COMPUTED_VALUE"""),674.0)</f>
        <v>674</v>
      </c>
      <c r="B675" s="20" t="str">
        <f>IFERROR(__xludf.DUMMYFUNCTION("""COMPUTED_VALUE"""),"Longest Continuous Increasing Subsequence")</f>
        <v>Longest Continuous Increasing Subsequence</v>
      </c>
      <c r="C675" s="20" t="str">
        <f>IFERROR(__xludf.DUMMYFUNCTION("""COMPUTED_VALUE"""),"longest-continuous-increasing-subsequence")</f>
        <v>longest-continuous-increasing-subsequence</v>
      </c>
      <c r="D675" s="20" t="b">
        <f>IFERROR(__xludf.DUMMYFUNCTION("""COMPUTED_VALUE"""),FALSE)</f>
        <v>0</v>
      </c>
      <c r="E675" s="20" t="str">
        <f>IFERROR(__xludf.DUMMYFUNCTION("""COMPUTED_VALUE"""),"Easy")</f>
        <v>Easy</v>
      </c>
      <c r="F675" s="20">
        <f>IFERROR(__xludf.DUMMYFUNCTION("""COMPUTED_VALUE"""),1975.0)</f>
        <v>1975</v>
      </c>
      <c r="G675" s="20">
        <f>IFERROR(__xludf.DUMMYFUNCTION("""COMPUTED_VALUE"""),168.0)</f>
        <v>168</v>
      </c>
      <c r="H675" s="20" t="str">
        <f>IFERROR(__xludf.DUMMYFUNCTION("""COMPUTED_VALUE"""),"Algorithms")</f>
        <v>Algorithms</v>
      </c>
      <c r="I675" s="20">
        <f>IFERROR(__xludf.DUMMYFUNCTION("""COMPUTED_VALUE"""),0.492)</f>
        <v>0.492</v>
      </c>
      <c r="J675" s="20">
        <f>IFERROR(__xludf.DUMMYFUNCTION("""COMPUTED_VALUE"""),674.0)</f>
        <v>674</v>
      </c>
      <c r="K675" s="20" t="b">
        <f>IFERROR(__xludf.DUMMYFUNCTION("""COMPUTED_VALUE"""),FALSE)</f>
        <v>0</v>
      </c>
      <c r="L675" s="20" t="str">
        <f>IFERROR(__xludf.DUMMYFUNCTION("""COMPUTED_VALUE"""),"Array;")</f>
        <v>Array;</v>
      </c>
      <c r="M675" s="20" t="b">
        <f>IFERROR(__xludf.DUMMYFUNCTION("""COMPUTED_VALUE"""),TRUE)</f>
        <v>1</v>
      </c>
      <c r="N675" s="20" t="b">
        <f>IFERROR(__xludf.DUMMYFUNCTION("""COMPUTED_VALUE"""),FALSE)</f>
        <v>0</v>
      </c>
      <c r="O675" s="20">
        <f>IFERROR(__xludf.DUMMYFUNCTION("""COMPUTED_VALUE"""),49.1707330383413)</f>
        <v>49.17073304</v>
      </c>
      <c r="P675" s="20">
        <f>IFERROR(__xludf.DUMMYFUNCTION("""COMPUTED_VALUE"""),216246.0)</f>
        <v>216246</v>
      </c>
      <c r="Q675" s="20">
        <f>IFERROR(__xludf.DUMMYFUNCTION("""COMPUTED_VALUE"""),439786.0)</f>
        <v>439786</v>
      </c>
    </row>
    <row r="676">
      <c r="A676" s="20">
        <f>IFERROR(__xludf.DUMMYFUNCTION("""COMPUTED_VALUE"""),675.0)</f>
        <v>675</v>
      </c>
      <c r="B676" s="20" t="str">
        <f>IFERROR(__xludf.DUMMYFUNCTION("""COMPUTED_VALUE"""),"Cut Off Trees for Golf Event")</f>
        <v>Cut Off Trees for Golf Event</v>
      </c>
      <c r="C676" s="20" t="str">
        <f>IFERROR(__xludf.DUMMYFUNCTION("""COMPUTED_VALUE"""),"cut-off-trees-for-golf-event")</f>
        <v>cut-off-trees-for-golf-event</v>
      </c>
      <c r="D676" s="20" t="b">
        <f>IFERROR(__xludf.DUMMYFUNCTION("""COMPUTED_VALUE"""),FALSE)</f>
        <v>0</v>
      </c>
      <c r="E676" s="20" t="str">
        <f>IFERROR(__xludf.DUMMYFUNCTION("""COMPUTED_VALUE"""),"Hard")</f>
        <v>Hard</v>
      </c>
      <c r="F676" s="20">
        <f>IFERROR(__xludf.DUMMYFUNCTION("""COMPUTED_VALUE"""),1040.0)</f>
        <v>1040</v>
      </c>
      <c r="G676" s="20">
        <f>IFERROR(__xludf.DUMMYFUNCTION("""COMPUTED_VALUE"""),620.0)</f>
        <v>620</v>
      </c>
      <c r="H676" s="20" t="str">
        <f>IFERROR(__xludf.DUMMYFUNCTION("""COMPUTED_VALUE"""),"Algorithms")</f>
        <v>Algorithms</v>
      </c>
      <c r="I676" s="20">
        <f>IFERROR(__xludf.DUMMYFUNCTION("""COMPUTED_VALUE"""),0.342)</f>
        <v>0.342</v>
      </c>
      <c r="J676" s="20">
        <f>IFERROR(__xludf.DUMMYFUNCTION("""COMPUTED_VALUE"""),675.0)</f>
        <v>675</v>
      </c>
      <c r="K676" s="20" t="b">
        <f>IFERROR(__xludf.DUMMYFUNCTION("""COMPUTED_VALUE"""),FALSE)</f>
        <v>0</v>
      </c>
      <c r="L676" s="20" t="str">
        <f>IFERROR(__xludf.DUMMYFUNCTION("""COMPUTED_VALUE"""),"Array;Breadth-First Search;Heap (Priority Queue);Matrix;")</f>
        <v>Array;Breadth-First Search;Heap (Priority Queue);Matrix;</v>
      </c>
      <c r="M676" s="20" t="b">
        <f>IFERROR(__xludf.DUMMYFUNCTION("""COMPUTED_VALUE"""),TRUE)</f>
        <v>1</v>
      </c>
      <c r="N676" s="20" t="b">
        <f>IFERROR(__xludf.DUMMYFUNCTION("""COMPUTED_VALUE"""),FALSE)</f>
        <v>0</v>
      </c>
      <c r="O676" s="20">
        <f>IFERROR(__xludf.DUMMYFUNCTION("""COMPUTED_VALUE"""),34.1537422242238)</f>
        <v>34.15374222</v>
      </c>
      <c r="P676" s="20">
        <f>IFERROR(__xludf.DUMMYFUNCTION("""COMPUTED_VALUE"""),60669.0)</f>
        <v>60669</v>
      </c>
      <c r="Q676" s="20">
        <f>IFERROR(__xludf.DUMMYFUNCTION("""COMPUTED_VALUE"""),177635.0)</f>
        <v>177635</v>
      </c>
    </row>
    <row r="677">
      <c r="A677" s="20">
        <f>IFERROR(__xludf.DUMMYFUNCTION("""COMPUTED_VALUE"""),676.0)</f>
        <v>676</v>
      </c>
      <c r="B677" s="20" t="str">
        <f>IFERROR(__xludf.DUMMYFUNCTION("""COMPUTED_VALUE"""),"Implement Magic Dictionary")</f>
        <v>Implement Magic Dictionary</v>
      </c>
      <c r="C677" s="20" t="str">
        <f>IFERROR(__xludf.DUMMYFUNCTION("""COMPUTED_VALUE"""),"implement-magic-dictionary")</f>
        <v>implement-magic-dictionary</v>
      </c>
      <c r="D677" s="20" t="b">
        <f>IFERROR(__xludf.DUMMYFUNCTION("""COMPUTED_VALUE"""),FALSE)</f>
        <v>0</v>
      </c>
      <c r="E677" s="20" t="str">
        <f>IFERROR(__xludf.DUMMYFUNCTION("""COMPUTED_VALUE"""),"Medium")</f>
        <v>Medium</v>
      </c>
      <c r="F677" s="20">
        <f>IFERROR(__xludf.DUMMYFUNCTION("""COMPUTED_VALUE"""),1193.0)</f>
        <v>1193</v>
      </c>
      <c r="G677" s="20">
        <f>IFERROR(__xludf.DUMMYFUNCTION("""COMPUTED_VALUE"""),192.0)</f>
        <v>192</v>
      </c>
      <c r="H677" s="20" t="str">
        <f>IFERROR(__xludf.DUMMYFUNCTION("""COMPUTED_VALUE"""),"Algorithms")</f>
        <v>Algorithms</v>
      </c>
      <c r="I677" s="20">
        <f>IFERROR(__xludf.DUMMYFUNCTION("""COMPUTED_VALUE"""),0.569)</f>
        <v>0.569</v>
      </c>
      <c r="J677" s="20">
        <f>IFERROR(__xludf.DUMMYFUNCTION("""COMPUTED_VALUE"""),676.0)</f>
        <v>676</v>
      </c>
      <c r="K677" s="20" t="b">
        <f>IFERROR(__xludf.DUMMYFUNCTION("""COMPUTED_VALUE"""),FALSE)</f>
        <v>0</v>
      </c>
      <c r="L677" s="20" t="str">
        <f>IFERROR(__xludf.DUMMYFUNCTION("""COMPUTED_VALUE"""),"Hash Table;String;Design;Trie;")</f>
        <v>Hash Table;String;Design;Trie;</v>
      </c>
      <c r="M677" s="20" t="b">
        <f>IFERROR(__xludf.DUMMYFUNCTION("""COMPUTED_VALUE"""),TRUE)</f>
        <v>1</v>
      </c>
      <c r="N677" s="20" t="b">
        <f>IFERROR(__xludf.DUMMYFUNCTION("""COMPUTED_VALUE"""),FALSE)</f>
        <v>0</v>
      </c>
      <c r="O677" s="20">
        <f>IFERROR(__xludf.DUMMYFUNCTION("""COMPUTED_VALUE"""),56.9065702032932)</f>
        <v>56.9065702</v>
      </c>
      <c r="P677" s="20">
        <f>IFERROR(__xludf.DUMMYFUNCTION("""COMPUTED_VALUE"""),69533.0)</f>
        <v>69533</v>
      </c>
      <c r="Q677" s="20">
        <f>IFERROR(__xludf.DUMMYFUNCTION("""COMPUTED_VALUE"""),122188.0)</f>
        <v>122188</v>
      </c>
    </row>
    <row r="678">
      <c r="A678" s="20">
        <f>IFERROR(__xludf.DUMMYFUNCTION("""COMPUTED_VALUE"""),677.0)</f>
        <v>677</v>
      </c>
      <c r="B678" s="20" t="str">
        <f>IFERROR(__xludf.DUMMYFUNCTION("""COMPUTED_VALUE"""),"Map Sum Pairs")</f>
        <v>Map Sum Pairs</v>
      </c>
      <c r="C678" s="20" t="str">
        <f>IFERROR(__xludf.DUMMYFUNCTION("""COMPUTED_VALUE"""),"map-sum-pairs")</f>
        <v>map-sum-pairs</v>
      </c>
      <c r="D678" s="20" t="b">
        <f>IFERROR(__xludf.DUMMYFUNCTION("""COMPUTED_VALUE"""),FALSE)</f>
        <v>0</v>
      </c>
      <c r="E678" s="20" t="str">
        <f>IFERROR(__xludf.DUMMYFUNCTION("""COMPUTED_VALUE"""),"Medium")</f>
        <v>Medium</v>
      </c>
      <c r="F678" s="20">
        <f>IFERROR(__xludf.DUMMYFUNCTION("""COMPUTED_VALUE"""),1416.0)</f>
        <v>1416</v>
      </c>
      <c r="G678" s="20">
        <f>IFERROR(__xludf.DUMMYFUNCTION("""COMPUTED_VALUE"""),138.0)</f>
        <v>138</v>
      </c>
      <c r="H678" s="20" t="str">
        <f>IFERROR(__xludf.DUMMYFUNCTION("""COMPUTED_VALUE"""),"Algorithms")</f>
        <v>Algorithms</v>
      </c>
      <c r="I678" s="20">
        <f>IFERROR(__xludf.DUMMYFUNCTION("""COMPUTED_VALUE"""),0.569)</f>
        <v>0.569</v>
      </c>
      <c r="J678" s="20">
        <f>IFERROR(__xludf.DUMMYFUNCTION("""COMPUTED_VALUE"""),677.0)</f>
        <v>677</v>
      </c>
      <c r="K678" s="20" t="b">
        <f>IFERROR(__xludf.DUMMYFUNCTION("""COMPUTED_VALUE"""),FALSE)</f>
        <v>0</v>
      </c>
      <c r="L678" s="20" t="str">
        <f>IFERROR(__xludf.DUMMYFUNCTION("""COMPUTED_VALUE"""),"Hash Table;String;Design;Trie;")</f>
        <v>Hash Table;String;Design;Trie;</v>
      </c>
      <c r="M678" s="20" t="b">
        <f>IFERROR(__xludf.DUMMYFUNCTION("""COMPUTED_VALUE"""),TRUE)</f>
        <v>1</v>
      </c>
      <c r="N678" s="20" t="b">
        <f>IFERROR(__xludf.DUMMYFUNCTION("""COMPUTED_VALUE"""),FALSE)</f>
        <v>0</v>
      </c>
      <c r="O678" s="20">
        <f>IFERROR(__xludf.DUMMYFUNCTION("""COMPUTED_VALUE"""),56.8863546405236)</f>
        <v>56.88635464</v>
      </c>
      <c r="P678" s="20">
        <f>IFERROR(__xludf.DUMMYFUNCTION("""COMPUTED_VALUE"""),99166.0)</f>
        <v>99166</v>
      </c>
      <c r="Q678" s="20">
        <f>IFERROR(__xludf.DUMMYFUNCTION("""COMPUTED_VALUE"""),174323.0)</f>
        <v>174323</v>
      </c>
    </row>
    <row r="679">
      <c r="A679" s="20">
        <f>IFERROR(__xludf.DUMMYFUNCTION("""COMPUTED_VALUE"""),678.0)</f>
        <v>678</v>
      </c>
      <c r="B679" s="20" t="str">
        <f>IFERROR(__xludf.DUMMYFUNCTION("""COMPUTED_VALUE"""),"Valid Parenthesis String")</f>
        <v>Valid Parenthesis String</v>
      </c>
      <c r="C679" s="20" t="str">
        <f>IFERROR(__xludf.DUMMYFUNCTION("""COMPUTED_VALUE"""),"valid-parenthesis-string")</f>
        <v>valid-parenthesis-string</v>
      </c>
      <c r="D679" s="20" t="b">
        <f>IFERROR(__xludf.DUMMYFUNCTION("""COMPUTED_VALUE"""),FALSE)</f>
        <v>0</v>
      </c>
      <c r="E679" s="20" t="str">
        <f>IFERROR(__xludf.DUMMYFUNCTION("""COMPUTED_VALUE"""),"Medium")</f>
        <v>Medium</v>
      </c>
      <c r="F679" s="20">
        <f>IFERROR(__xludf.DUMMYFUNCTION("""COMPUTED_VALUE"""),4059.0)</f>
        <v>4059</v>
      </c>
      <c r="G679" s="20">
        <f>IFERROR(__xludf.DUMMYFUNCTION("""COMPUTED_VALUE"""),97.0)</f>
        <v>97</v>
      </c>
      <c r="H679" s="20" t="str">
        <f>IFERROR(__xludf.DUMMYFUNCTION("""COMPUTED_VALUE"""),"Algorithms")</f>
        <v>Algorithms</v>
      </c>
      <c r="I679" s="20">
        <f>IFERROR(__xludf.DUMMYFUNCTION("""COMPUTED_VALUE"""),0.34)</f>
        <v>0.34</v>
      </c>
      <c r="J679" s="20">
        <f>IFERROR(__xludf.DUMMYFUNCTION("""COMPUTED_VALUE"""),678.0)</f>
        <v>678</v>
      </c>
      <c r="K679" s="20" t="b">
        <f>IFERROR(__xludf.DUMMYFUNCTION("""COMPUTED_VALUE"""),FALSE)</f>
        <v>0</v>
      </c>
      <c r="L679" s="20" t="str">
        <f>IFERROR(__xludf.DUMMYFUNCTION("""COMPUTED_VALUE"""),"String;Dynamic Programming;Stack;Greedy;")</f>
        <v>String;Dynamic Programming;Stack;Greedy;</v>
      </c>
      <c r="M679" s="20" t="b">
        <f>IFERROR(__xludf.DUMMYFUNCTION("""COMPUTED_VALUE"""),TRUE)</f>
        <v>1</v>
      </c>
      <c r="N679" s="20" t="b">
        <f>IFERROR(__xludf.DUMMYFUNCTION("""COMPUTED_VALUE"""),FALSE)</f>
        <v>0</v>
      </c>
      <c r="O679" s="20">
        <f>IFERROR(__xludf.DUMMYFUNCTION("""COMPUTED_VALUE"""),33.9884330406626)</f>
        <v>33.98843304</v>
      </c>
      <c r="P679" s="20">
        <f>IFERROR(__xludf.DUMMYFUNCTION("""COMPUTED_VALUE"""),194405.0)</f>
        <v>194405</v>
      </c>
      <c r="Q679" s="20">
        <f>IFERROR(__xludf.DUMMYFUNCTION("""COMPUTED_VALUE"""),571974.0)</f>
        <v>571974</v>
      </c>
    </row>
    <row r="680">
      <c r="A680" s="20">
        <f>IFERROR(__xludf.DUMMYFUNCTION("""COMPUTED_VALUE"""),679.0)</f>
        <v>679</v>
      </c>
      <c r="B680" s="20" t="str">
        <f>IFERROR(__xludf.DUMMYFUNCTION("""COMPUTED_VALUE"""),"24 Game")</f>
        <v>24 Game</v>
      </c>
      <c r="C680" s="20" t="str">
        <f>IFERROR(__xludf.DUMMYFUNCTION("""COMPUTED_VALUE"""),"24-game")</f>
        <v>24-game</v>
      </c>
      <c r="D680" s="20" t="b">
        <f>IFERROR(__xludf.DUMMYFUNCTION("""COMPUTED_VALUE"""),FALSE)</f>
        <v>0</v>
      </c>
      <c r="E680" s="20" t="str">
        <f>IFERROR(__xludf.DUMMYFUNCTION("""COMPUTED_VALUE"""),"Hard")</f>
        <v>Hard</v>
      </c>
      <c r="F680" s="20">
        <f>IFERROR(__xludf.DUMMYFUNCTION("""COMPUTED_VALUE"""),1319.0)</f>
        <v>1319</v>
      </c>
      <c r="G680" s="20">
        <f>IFERROR(__xludf.DUMMYFUNCTION("""COMPUTED_VALUE"""),231.0)</f>
        <v>231</v>
      </c>
      <c r="H680" s="20" t="str">
        <f>IFERROR(__xludf.DUMMYFUNCTION("""COMPUTED_VALUE"""),"Algorithms")</f>
        <v>Algorithms</v>
      </c>
      <c r="I680" s="20">
        <f>IFERROR(__xludf.DUMMYFUNCTION("""COMPUTED_VALUE"""),0.492)</f>
        <v>0.492</v>
      </c>
      <c r="J680" s="20">
        <f>IFERROR(__xludf.DUMMYFUNCTION("""COMPUTED_VALUE"""),679.0)</f>
        <v>679</v>
      </c>
      <c r="K680" s="20" t="b">
        <f>IFERROR(__xludf.DUMMYFUNCTION("""COMPUTED_VALUE"""),FALSE)</f>
        <v>0</v>
      </c>
      <c r="L680" s="20" t="str">
        <f>IFERROR(__xludf.DUMMYFUNCTION("""COMPUTED_VALUE"""),"Array;Math;Backtracking;")</f>
        <v>Array;Math;Backtracking;</v>
      </c>
      <c r="M680" s="20" t="b">
        <f>IFERROR(__xludf.DUMMYFUNCTION("""COMPUTED_VALUE"""),TRUE)</f>
        <v>1</v>
      </c>
      <c r="N680" s="20" t="b">
        <f>IFERROR(__xludf.DUMMYFUNCTION("""COMPUTED_VALUE"""),FALSE)</f>
        <v>0</v>
      </c>
      <c r="O680" s="20">
        <f>IFERROR(__xludf.DUMMYFUNCTION("""COMPUTED_VALUE"""),49.1760932199781)</f>
        <v>49.17609322</v>
      </c>
      <c r="P680" s="20">
        <f>IFERROR(__xludf.DUMMYFUNCTION("""COMPUTED_VALUE"""),69296.0)</f>
        <v>69296</v>
      </c>
      <c r="Q680" s="20">
        <f>IFERROR(__xludf.DUMMYFUNCTION("""COMPUTED_VALUE"""),140914.0)</f>
        <v>140914</v>
      </c>
    </row>
    <row r="681">
      <c r="A681" s="20">
        <f>IFERROR(__xludf.DUMMYFUNCTION("""COMPUTED_VALUE"""),680.0)</f>
        <v>680</v>
      </c>
      <c r="B681" s="20" t="str">
        <f>IFERROR(__xludf.DUMMYFUNCTION("""COMPUTED_VALUE"""),"Valid Palindrome II")</f>
        <v>Valid Palindrome II</v>
      </c>
      <c r="C681" s="20" t="str">
        <f>IFERROR(__xludf.DUMMYFUNCTION("""COMPUTED_VALUE"""),"valid-palindrome-ii")</f>
        <v>valid-palindrome-ii</v>
      </c>
      <c r="D681" s="20" t="b">
        <f>IFERROR(__xludf.DUMMYFUNCTION("""COMPUTED_VALUE"""),FALSE)</f>
        <v>0</v>
      </c>
      <c r="E681" s="20" t="str">
        <f>IFERROR(__xludf.DUMMYFUNCTION("""COMPUTED_VALUE"""),"Easy")</f>
        <v>Easy</v>
      </c>
      <c r="F681" s="20">
        <f>IFERROR(__xludf.DUMMYFUNCTION("""COMPUTED_VALUE"""),6645.0)</f>
        <v>6645</v>
      </c>
      <c r="G681" s="20">
        <f>IFERROR(__xludf.DUMMYFUNCTION("""COMPUTED_VALUE"""),341.0)</f>
        <v>341</v>
      </c>
      <c r="H681" s="20" t="str">
        <f>IFERROR(__xludf.DUMMYFUNCTION("""COMPUTED_VALUE"""),"Algorithms")</f>
        <v>Algorithms</v>
      </c>
      <c r="I681" s="20">
        <f>IFERROR(__xludf.DUMMYFUNCTION("""COMPUTED_VALUE"""),0.393)</f>
        <v>0.393</v>
      </c>
      <c r="J681" s="20">
        <f>IFERROR(__xludf.DUMMYFUNCTION("""COMPUTED_VALUE"""),680.0)</f>
        <v>680</v>
      </c>
      <c r="K681" s="20" t="b">
        <f>IFERROR(__xludf.DUMMYFUNCTION("""COMPUTED_VALUE"""),FALSE)</f>
        <v>0</v>
      </c>
      <c r="L681" s="20" t="str">
        <f>IFERROR(__xludf.DUMMYFUNCTION("""COMPUTED_VALUE"""),"Two Pointers;String;Greedy;")</f>
        <v>Two Pointers;String;Greedy;</v>
      </c>
      <c r="M681" s="20" t="b">
        <f>IFERROR(__xludf.DUMMYFUNCTION("""COMPUTED_VALUE"""),TRUE)</f>
        <v>1</v>
      </c>
      <c r="N681" s="20" t="b">
        <f>IFERROR(__xludf.DUMMYFUNCTION("""COMPUTED_VALUE"""),FALSE)</f>
        <v>0</v>
      </c>
      <c r="O681" s="20">
        <f>IFERROR(__xludf.DUMMYFUNCTION("""COMPUTED_VALUE"""),39.3214758600781)</f>
        <v>39.32147586</v>
      </c>
      <c r="P681" s="20">
        <f>IFERROR(__xludf.DUMMYFUNCTION("""COMPUTED_VALUE"""),563948.0)</f>
        <v>563948</v>
      </c>
      <c r="Q681" s="20">
        <f>IFERROR(__xludf.DUMMYFUNCTION("""COMPUTED_VALUE"""),1434196.0)</f>
        <v>1434196</v>
      </c>
    </row>
    <row r="682">
      <c r="A682" s="20">
        <f>IFERROR(__xludf.DUMMYFUNCTION("""COMPUTED_VALUE"""),681.0)</f>
        <v>681</v>
      </c>
      <c r="B682" s="20" t="str">
        <f>IFERROR(__xludf.DUMMYFUNCTION("""COMPUTED_VALUE"""),"Next Closest Time")</f>
        <v>Next Closest Time</v>
      </c>
      <c r="C682" s="20" t="str">
        <f>IFERROR(__xludf.DUMMYFUNCTION("""COMPUTED_VALUE"""),"next-closest-time")</f>
        <v>next-closest-time</v>
      </c>
      <c r="D682" s="20" t="b">
        <f>IFERROR(__xludf.DUMMYFUNCTION("""COMPUTED_VALUE"""),TRUE)</f>
        <v>1</v>
      </c>
      <c r="E682" s="20" t="str">
        <f>IFERROR(__xludf.DUMMYFUNCTION("""COMPUTED_VALUE"""),"Medium")</f>
        <v>Medium</v>
      </c>
      <c r="F682" s="20">
        <f>IFERROR(__xludf.DUMMYFUNCTION("""COMPUTED_VALUE"""),688.0)</f>
        <v>688</v>
      </c>
      <c r="G682" s="20">
        <f>IFERROR(__xludf.DUMMYFUNCTION("""COMPUTED_VALUE"""),1017.0)</f>
        <v>1017</v>
      </c>
      <c r="H682" s="20" t="str">
        <f>IFERROR(__xludf.DUMMYFUNCTION("""COMPUTED_VALUE"""),"Algorithms")</f>
        <v>Algorithms</v>
      </c>
      <c r="I682" s="20">
        <f>IFERROR(__xludf.DUMMYFUNCTION("""COMPUTED_VALUE"""),0.464)</f>
        <v>0.464</v>
      </c>
      <c r="J682" s="20">
        <f>IFERROR(__xludf.DUMMYFUNCTION("""COMPUTED_VALUE"""),681.0)</f>
        <v>681</v>
      </c>
      <c r="K682" s="20" t="b">
        <f>IFERROR(__xludf.DUMMYFUNCTION("""COMPUTED_VALUE"""),TRUE)</f>
        <v>1</v>
      </c>
      <c r="L682" s="20" t="str">
        <f>IFERROR(__xludf.DUMMYFUNCTION("""COMPUTED_VALUE"""),"String;Enumeration;")</f>
        <v>String;Enumeration;</v>
      </c>
      <c r="M682" s="20" t="b">
        <f>IFERROR(__xludf.DUMMYFUNCTION("""COMPUTED_VALUE"""),FALSE)</f>
        <v>0</v>
      </c>
      <c r="N682" s="20" t="b">
        <f>IFERROR(__xludf.DUMMYFUNCTION("""COMPUTED_VALUE"""),FALSE)</f>
        <v>0</v>
      </c>
      <c r="O682" s="20">
        <f>IFERROR(__xludf.DUMMYFUNCTION("""COMPUTED_VALUE"""),46.3827705711609)</f>
        <v>46.38277057</v>
      </c>
      <c r="P682" s="20">
        <f>IFERROR(__xludf.DUMMYFUNCTION("""COMPUTED_VALUE"""),100511.0)</f>
        <v>100511</v>
      </c>
      <c r="Q682" s="20">
        <f>IFERROR(__xludf.DUMMYFUNCTION("""COMPUTED_VALUE"""),216699.0)</f>
        <v>216699</v>
      </c>
    </row>
    <row r="683">
      <c r="A683" s="20">
        <f>IFERROR(__xludf.DUMMYFUNCTION("""COMPUTED_VALUE"""),682.0)</f>
        <v>682</v>
      </c>
      <c r="B683" s="20" t="str">
        <f>IFERROR(__xludf.DUMMYFUNCTION("""COMPUTED_VALUE"""),"Baseball Game")</f>
        <v>Baseball Game</v>
      </c>
      <c r="C683" s="20" t="str">
        <f>IFERROR(__xludf.DUMMYFUNCTION("""COMPUTED_VALUE"""),"baseball-game")</f>
        <v>baseball-game</v>
      </c>
      <c r="D683" s="20" t="b">
        <f>IFERROR(__xludf.DUMMYFUNCTION("""COMPUTED_VALUE"""),FALSE)</f>
        <v>0</v>
      </c>
      <c r="E683" s="20" t="str">
        <f>IFERROR(__xludf.DUMMYFUNCTION("""COMPUTED_VALUE"""),"Easy")</f>
        <v>Easy</v>
      </c>
      <c r="F683" s="20">
        <f>IFERROR(__xludf.DUMMYFUNCTION("""COMPUTED_VALUE"""),2027.0)</f>
        <v>2027</v>
      </c>
      <c r="G683" s="20">
        <f>IFERROR(__xludf.DUMMYFUNCTION("""COMPUTED_VALUE"""),1736.0)</f>
        <v>1736</v>
      </c>
      <c r="H683" s="20" t="str">
        <f>IFERROR(__xludf.DUMMYFUNCTION("""COMPUTED_VALUE"""),"Algorithms")</f>
        <v>Algorithms</v>
      </c>
      <c r="I683" s="20">
        <f>IFERROR(__xludf.DUMMYFUNCTION("""COMPUTED_VALUE"""),0.738)</f>
        <v>0.738</v>
      </c>
      <c r="J683" s="20">
        <f>IFERROR(__xludf.DUMMYFUNCTION("""COMPUTED_VALUE"""),682.0)</f>
        <v>682</v>
      </c>
      <c r="K683" s="20" t="b">
        <f>IFERROR(__xludf.DUMMYFUNCTION("""COMPUTED_VALUE"""),FALSE)</f>
        <v>0</v>
      </c>
      <c r="L683" s="20" t="str">
        <f>IFERROR(__xludf.DUMMYFUNCTION("""COMPUTED_VALUE"""),"Array;Stack;Simulation;")</f>
        <v>Array;Stack;Simulation;</v>
      </c>
      <c r="M683" s="20" t="b">
        <f>IFERROR(__xludf.DUMMYFUNCTION("""COMPUTED_VALUE"""),TRUE)</f>
        <v>1</v>
      </c>
      <c r="N683" s="20" t="b">
        <f>IFERROR(__xludf.DUMMYFUNCTION("""COMPUTED_VALUE"""),FALSE)</f>
        <v>0</v>
      </c>
      <c r="O683" s="20">
        <f>IFERROR(__xludf.DUMMYFUNCTION("""COMPUTED_VALUE"""),73.8172525950883)</f>
        <v>73.8172526</v>
      </c>
      <c r="P683" s="20">
        <f>IFERROR(__xludf.DUMMYFUNCTION("""COMPUTED_VALUE"""),227630.0)</f>
        <v>227630</v>
      </c>
      <c r="Q683" s="20">
        <f>IFERROR(__xludf.DUMMYFUNCTION("""COMPUTED_VALUE"""),308370.0)</f>
        <v>308370</v>
      </c>
    </row>
    <row r="684">
      <c r="A684" s="20">
        <f>IFERROR(__xludf.DUMMYFUNCTION("""COMPUTED_VALUE"""),683.0)</f>
        <v>683</v>
      </c>
      <c r="B684" s="20" t="str">
        <f>IFERROR(__xludf.DUMMYFUNCTION("""COMPUTED_VALUE"""),"K Empty Slots")</f>
        <v>K Empty Slots</v>
      </c>
      <c r="C684" s="20" t="str">
        <f>IFERROR(__xludf.DUMMYFUNCTION("""COMPUTED_VALUE"""),"k-empty-slots")</f>
        <v>k-empty-slots</v>
      </c>
      <c r="D684" s="20" t="b">
        <f>IFERROR(__xludf.DUMMYFUNCTION("""COMPUTED_VALUE"""),TRUE)</f>
        <v>1</v>
      </c>
      <c r="E684" s="20" t="str">
        <f>IFERROR(__xludf.DUMMYFUNCTION("""COMPUTED_VALUE"""),"Hard")</f>
        <v>Hard</v>
      </c>
      <c r="F684" s="20">
        <f>IFERROR(__xludf.DUMMYFUNCTION("""COMPUTED_VALUE"""),761.0)</f>
        <v>761</v>
      </c>
      <c r="G684" s="20">
        <f>IFERROR(__xludf.DUMMYFUNCTION("""COMPUTED_VALUE"""),676.0)</f>
        <v>676</v>
      </c>
      <c r="H684" s="20" t="str">
        <f>IFERROR(__xludf.DUMMYFUNCTION("""COMPUTED_VALUE"""),"Algorithms")</f>
        <v>Algorithms</v>
      </c>
      <c r="I684" s="20">
        <f>IFERROR(__xludf.DUMMYFUNCTION("""COMPUTED_VALUE"""),0.369)</f>
        <v>0.369</v>
      </c>
      <c r="J684" s="20">
        <f>IFERROR(__xludf.DUMMYFUNCTION("""COMPUTED_VALUE"""),683.0)</f>
        <v>683</v>
      </c>
      <c r="K684" s="20" t="b">
        <f>IFERROR(__xludf.DUMMYFUNCTION("""COMPUTED_VALUE"""),TRUE)</f>
        <v>1</v>
      </c>
      <c r="L684" s="20" t="str">
        <f>IFERROR(__xludf.DUMMYFUNCTION("""COMPUTED_VALUE"""),"Array;Binary Indexed Tree;Sliding Window;Ordered Set;")</f>
        <v>Array;Binary Indexed Tree;Sliding Window;Ordered Set;</v>
      </c>
      <c r="M684" s="20" t="b">
        <f>IFERROR(__xludf.DUMMYFUNCTION("""COMPUTED_VALUE"""),FALSE)</f>
        <v>0</v>
      </c>
      <c r="N684" s="20" t="b">
        <f>IFERROR(__xludf.DUMMYFUNCTION("""COMPUTED_VALUE"""),FALSE)</f>
        <v>0</v>
      </c>
      <c r="O684" s="20">
        <f>IFERROR(__xludf.DUMMYFUNCTION("""COMPUTED_VALUE"""),36.929832309187)</f>
        <v>36.92983231</v>
      </c>
      <c r="P684" s="20">
        <f>IFERROR(__xludf.DUMMYFUNCTION("""COMPUTED_VALUE"""),58536.0)</f>
        <v>58536</v>
      </c>
      <c r="Q684" s="20">
        <f>IFERROR(__xludf.DUMMYFUNCTION("""COMPUTED_VALUE"""),158506.0)</f>
        <v>158506</v>
      </c>
    </row>
    <row r="685">
      <c r="A685" s="20">
        <f>IFERROR(__xludf.DUMMYFUNCTION("""COMPUTED_VALUE"""),684.0)</f>
        <v>684</v>
      </c>
      <c r="B685" s="20" t="str">
        <f>IFERROR(__xludf.DUMMYFUNCTION("""COMPUTED_VALUE"""),"Redundant Connection")</f>
        <v>Redundant Connection</v>
      </c>
      <c r="C685" s="20" t="str">
        <f>IFERROR(__xludf.DUMMYFUNCTION("""COMPUTED_VALUE"""),"redundant-connection")</f>
        <v>redundant-connection</v>
      </c>
      <c r="D685" s="20" t="b">
        <f>IFERROR(__xludf.DUMMYFUNCTION("""COMPUTED_VALUE"""),FALSE)</f>
        <v>0</v>
      </c>
      <c r="E685" s="20" t="str">
        <f>IFERROR(__xludf.DUMMYFUNCTION("""COMPUTED_VALUE"""),"Medium")</f>
        <v>Medium</v>
      </c>
      <c r="F685" s="20">
        <f>IFERROR(__xludf.DUMMYFUNCTION("""COMPUTED_VALUE"""),4820.0)</f>
        <v>4820</v>
      </c>
      <c r="G685" s="20">
        <f>IFERROR(__xludf.DUMMYFUNCTION("""COMPUTED_VALUE"""),334.0)</f>
        <v>334</v>
      </c>
      <c r="H685" s="20" t="str">
        <f>IFERROR(__xludf.DUMMYFUNCTION("""COMPUTED_VALUE"""),"Algorithms")</f>
        <v>Algorithms</v>
      </c>
      <c r="I685" s="20">
        <f>IFERROR(__xludf.DUMMYFUNCTION("""COMPUTED_VALUE"""),0.621)</f>
        <v>0.621</v>
      </c>
      <c r="J685" s="20">
        <f>IFERROR(__xludf.DUMMYFUNCTION("""COMPUTED_VALUE"""),684.0)</f>
        <v>684</v>
      </c>
      <c r="K685" s="20" t="b">
        <f>IFERROR(__xludf.DUMMYFUNCTION("""COMPUTED_VALUE"""),FALSE)</f>
        <v>0</v>
      </c>
      <c r="L685" s="20" t="str">
        <f>IFERROR(__xludf.DUMMYFUNCTION("""COMPUTED_VALUE"""),"Depth-First Search;Breadth-First Search;Union Find;Graph;")</f>
        <v>Depth-First Search;Breadth-First Search;Union Find;Graph;</v>
      </c>
      <c r="M685" s="20" t="b">
        <f>IFERROR(__xludf.DUMMYFUNCTION("""COMPUTED_VALUE"""),TRUE)</f>
        <v>1</v>
      </c>
      <c r="N685" s="20" t="b">
        <f>IFERROR(__xludf.DUMMYFUNCTION("""COMPUTED_VALUE"""),FALSE)</f>
        <v>0</v>
      </c>
      <c r="O685" s="20">
        <f>IFERROR(__xludf.DUMMYFUNCTION("""COMPUTED_VALUE"""),62.0820050026975)</f>
        <v>62.082005</v>
      </c>
      <c r="P685" s="20">
        <f>IFERROR(__xludf.DUMMYFUNCTION("""COMPUTED_VALUE"""),253155.0)</f>
        <v>253155</v>
      </c>
      <c r="Q685" s="20">
        <f>IFERROR(__xludf.DUMMYFUNCTION("""COMPUTED_VALUE"""),407775.0)</f>
        <v>407775</v>
      </c>
    </row>
    <row r="686">
      <c r="A686" s="20">
        <f>IFERROR(__xludf.DUMMYFUNCTION("""COMPUTED_VALUE"""),685.0)</f>
        <v>685</v>
      </c>
      <c r="B686" s="20" t="str">
        <f>IFERROR(__xludf.DUMMYFUNCTION("""COMPUTED_VALUE"""),"Redundant Connection II")</f>
        <v>Redundant Connection II</v>
      </c>
      <c r="C686" s="20" t="str">
        <f>IFERROR(__xludf.DUMMYFUNCTION("""COMPUTED_VALUE"""),"redundant-connection-ii")</f>
        <v>redundant-connection-ii</v>
      </c>
      <c r="D686" s="20" t="b">
        <f>IFERROR(__xludf.DUMMYFUNCTION("""COMPUTED_VALUE"""),FALSE)</f>
        <v>0</v>
      </c>
      <c r="E686" s="20" t="str">
        <f>IFERROR(__xludf.DUMMYFUNCTION("""COMPUTED_VALUE"""),"Hard")</f>
        <v>Hard</v>
      </c>
      <c r="F686" s="20">
        <f>IFERROR(__xludf.DUMMYFUNCTION("""COMPUTED_VALUE"""),1926.0)</f>
        <v>1926</v>
      </c>
      <c r="G686" s="20">
        <f>IFERROR(__xludf.DUMMYFUNCTION("""COMPUTED_VALUE"""),289.0)</f>
        <v>289</v>
      </c>
      <c r="H686" s="20" t="str">
        <f>IFERROR(__xludf.DUMMYFUNCTION("""COMPUTED_VALUE"""),"Algorithms")</f>
        <v>Algorithms</v>
      </c>
      <c r="I686" s="20">
        <f>IFERROR(__xludf.DUMMYFUNCTION("""COMPUTED_VALUE"""),0.342)</f>
        <v>0.342</v>
      </c>
      <c r="J686" s="20">
        <f>IFERROR(__xludf.DUMMYFUNCTION("""COMPUTED_VALUE"""),685.0)</f>
        <v>685</v>
      </c>
      <c r="K686" s="20" t="b">
        <f>IFERROR(__xludf.DUMMYFUNCTION("""COMPUTED_VALUE"""),FALSE)</f>
        <v>0</v>
      </c>
      <c r="L686" s="20" t="str">
        <f>IFERROR(__xludf.DUMMYFUNCTION("""COMPUTED_VALUE"""),"Depth-First Search;Breadth-First Search;Union Find;Graph;")</f>
        <v>Depth-First Search;Breadth-First Search;Union Find;Graph;</v>
      </c>
      <c r="M686" s="20" t="b">
        <f>IFERROR(__xludf.DUMMYFUNCTION("""COMPUTED_VALUE"""),FALSE)</f>
        <v>0</v>
      </c>
      <c r="N686" s="20" t="b">
        <f>IFERROR(__xludf.DUMMYFUNCTION("""COMPUTED_VALUE"""),FALSE)</f>
        <v>0</v>
      </c>
      <c r="O686" s="20">
        <f>IFERROR(__xludf.DUMMYFUNCTION("""COMPUTED_VALUE"""),34.154913214211)</f>
        <v>34.15491321</v>
      </c>
      <c r="P686" s="20">
        <f>IFERROR(__xludf.DUMMYFUNCTION("""COMPUTED_VALUE"""),58797.0)</f>
        <v>58797</v>
      </c>
      <c r="Q686" s="20">
        <f>IFERROR(__xludf.DUMMYFUNCTION("""COMPUTED_VALUE"""),172147.0)</f>
        <v>172147</v>
      </c>
    </row>
    <row r="687">
      <c r="A687" s="20">
        <f>IFERROR(__xludf.DUMMYFUNCTION("""COMPUTED_VALUE"""),686.0)</f>
        <v>686</v>
      </c>
      <c r="B687" s="20" t="str">
        <f>IFERROR(__xludf.DUMMYFUNCTION("""COMPUTED_VALUE"""),"Repeated String Match")</f>
        <v>Repeated String Match</v>
      </c>
      <c r="C687" s="20" t="str">
        <f>IFERROR(__xludf.DUMMYFUNCTION("""COMPUTED_VALUE"""),"repeated-string-match")</f>
        <v>repeated-string-match</v>
      </c>
      <c r="D687" s="20" t="b">
        <f>IFERROR(__xludf.DUMMYFUNCTION("""COMPUTED_VALUE"""),FALSE)</f>
        <v>0</v>
      </c>
      <c r="E687" s="20" t="str">
        <f>IFERROR(__xludf.DUMMYFUNCTION("""COMPUTED_VALUE"""),"Medium")</f>
        <v>Medium</v>
      </c>
      <c r="F687" s="20">
        <f>IFERROR(__xludf.DUMMYFUNCTION("""COMPUTED_VALUE"""),1855.0)</f>
        <v>1855</v>
      </c>
      <c r="G687" s="20">
        <f>IFERROR(__xludf.DUMMYFUNCTION("""COMPUTED_VALUE"""),926.0)</f>
        <v>926</v>
      </c>
      <c r="H687" s="20" t="str">
        <f>IFERROR(__xludf.DUMMYFUNCTION("""COMPUTED_VALUE"""),"Algorithms")</f>
        <v>Algorithms</v>
      </c>
      <c r="I687" s="20">
        <f>IFERROR(__xludf.DUMMYFUNCTION("""COMPUTED_VALUE"""),0.34)</f>
        <v>0.34</v>
      </c>
      <c r="J687" s="20">
        <f>IFERROR(__xludf.DUMMYFUNCTION("""COMPUTED_VALUE"""),686.0)</f>
        <v>686</v>
      </c>
      <c r="K687" s="20" t="b">
        <f>IFERROR(__xludf.DUMMYFUNCTION("""COMPUTED_VALUE"""),FALSE)</f>
        <v>0</v>
      </c>
      <c r="L687" s="20" t="str">
        <f>IFERROR(__xludf.DUMMYFUNCTION("""COMPUTED_VALUE"""),"String;String Matching;")</f>
        <v>String;String Matching;</v>
      </c>
      <c r="M687" s="20" t="b">
        <f>IFERROR(__xludf.DUMMYFUNCTION("""COMPUTED_VALUE"""),FALSE)</f>
        <v>0</v>
      </c>
      <c r="N687" s="20" t="b">
        <f>IFERROR(__xludf.DUMMYFUNCTION("""COMPUTED_VALUE"""),FALSE)</f>
        <v>0</v>
      </c>
      <c r="O687" s="20">
        <f>IFERROR(__xludf.DUMMYFUNCTION("""COMPUTED_VALUE"""),34.0425531914893)</f>
        <v>34.04255319</v>
      </c>
      <c r="P687" s="20">
        <f>IFERROR(__xludf.DUMMYFUNCTION("""COMPUTED_VALUE"""),133488.0)</f>
        <v>133488</v>
      </c>
      <c r="Q687" s="20">
        <f>IFERROR(__xludf.DUMMYFUNCTION("""COMPUTED_VALUE"""),392121.0)</f>
        <v>392121</v>
      </c>
    </row>
    <row r="688">
      <c r="A688" s="20">
        <f>IFERROR(__xludf.DUMMYFUNCTION("""COMPUTED_VALUE"""),687.0)</f>
        <v>687</v>
      </c>
      <c r="B688" s="20" t="str">
        <f>IFERROR(__xludf.DUMMYFUNCTION("""COMPUTED_VALUE"""),"Longest Univalue Path")</f>
        <v>Longest Univalue Path</v>
      </c>
      <c r="C688" s="20" t="str">
        <f>IFERROR(__xludf.DUMMYFUNCTION("""COMPUTED_VALUE"""),"longest-univalue-path")</f>
        <v>longest-univalue-path</v>
      </c>
      <c r="D688" s="20" t="b">
        <f>IFERROR(__xludf.DUMMYFUNCTION("""COMPUTED_VALUE"""),FALSE)</f>
        <v>0</v>
      </c>
      <c r="E688" s="20" t="str">
        <f>IFERROR(__xludf.DUMMYFUNCTION("""COMPUTED_VALUE"""),"Medium")</f>
        <v>Medium</v>
      </c>
      <c r="F688" s="20">
        <f>IFERROR(__xludf.DUMMYFUNCTION("""COMPUTED_VALUE"""),3638.0)</f>
        <v>3638</v>
      </c>
      <c r="G688" s="20">
        <f>IFERROR(__xludf.DUMMYFUNCTION("""COMPUTED_VALUE"""),641.0)</f>
        <v>641</v>
      </c>
      <c r="H688" s="20" t="str">
        <f>IFERROR(__xludf.DUMMYFUNCTION("""COMPUTED_VALUE"""),"Algorithms")</f>
        <v>Algorithms</v>
      </c>
      <c r="I688" s="20">
        <f>IFERROR(__xludf.DUMMYFUNCTION("""COMPUTED_VALUE"""),0.402)</f>
        <v>0.402</v>
      </c>
      <c r="J688" s="20">
        <f>IFERROR(__xludf.DUMMYFUNCTION("""COMPUTED_VALUE"""),687.0)</f>
        <v>687</v>
      </c>
      <c r="K688" s="20" t="b">
        <f>IFERROR(__xludf.DUMMYFUNCTION("""COMPUTED_VALUE"""),FALSE)</f>
        <v>0</v>
      </c>
      <c r="L688" s="20" t="str">
        <f>IFERROR(__xludf.DUMMYFUNCTION("""COMPUTED_VALUE"""),"Tree;Depth-First Search;Binary Tree;")</f>
        <v>Tree;Depth-First Search;Binary Tree;</v>
      </c>
      <c r="M688" s="20" t="b">
        <f>IFERROR(__xludf.DUMMYFUNCTION("""COMPUTED_VALUE"""),TRUE)</f>
        <v>1</v>
      </c>
      <c r="N688" s="20" t="b">
        <f>IFERROR(__xludf.DUMMYFUNCTION("""COMPUTED_VALUE"""),FALSE)</f>
        <v>0</v>
      </c>
      <c r="O688" s="20">
        <f>IFERROR(__xludf.DUMMYFUNCTION("""COMPUTED_VALUE"""),40.2152801913601)</f>
        <v>40.21528019</v>
      </c>
      <c r="P688" s="20">
        <f>IFERROR(__xludf.DUMMYFUNCTION("""COMPUTED_VALUE"""),157364.0)</f>
        <v>157364</v>
      </c>
      <c r="Q688" s="20">
        <f>IFERROR(__xludf.DUMMYFUNCTION("""COMPUTED_VALUE"""),391304.0)</f>
        <v>391304</v>
      </c>
    </row>
    <row r="689">
      <c r="A689" s="20">
        <f>IFERROR(__xludf.DUMMYFUNCTION("""COMPUTED_VALUE"""),688.0)</f>
        <v>688</v>
      </c>
      <c r="B689" s="20" t="str">
        <f>IFERROR(__xludf.DUMMYFUNCTION("""COMPUTED_VALUE"""),"Knight Probability in Chessboard")</f>
        <v>Knight Probability in Chessboard</v>
      </c>
      <c r="C689" s="20" t="str">
        <f>IFERROR(__xludf.DUMMYFUNCTION("""COMPUTED_VALUE"""),"knight-probability-in-chessboard")</f>
        <v>knight-probability-in-chessboard</v>
      </c>
      <c r="D689" s="20" t="b">
        <f>IFERROR(__xludf.DUMMYFUNCTION("""COMPUTED_VALUE"""),FALSE)</f>
        <v>0</v>
      </c>
      <c r="E689" s="20" t="str">
        <f>IFERROR(__xludf.DUMMYFUNCTION("""COMPUTED_VALUE"""),"Medium")</f>
        <v>Medium</v>
      </c>
      <c r="F689" s="20">
        <f>IFERROR(__xludf.DUMMYFUNCTION("""COMPUTED_VALUE"""),2344.0)</f>
        <v>2344</v>
      </c>
      <c r="G689" s="20">
        <f>IFERROR(__xludf.DUMMYFUNCTION("""COMPUTED_VALUE"""),324.0)</f>
        <v>324</v>
      </c>
      <c r="H689" s="20" t="str">
        <f>IFERROR(__xludf.DUMMYFUNCTION("""COMPUTED_VALUE"""),"Algorithms")</f>
        <v>Algorithms</v>
      </c>
      <c r="I689" s="20">
        <f>IFERROR(__xludf.DUMMYFUNCTION("""COMPUTED_VALUE"""),0.521)</f>
        <v>0.521</v>
      </c>
      <c r="J689" s="20">
        <f>IFERROR(__xludf.DUMMYFUNCTION("""COMPUTED_VALUE"""),688.0)</f>
        <v>688</v>
      </c>
      <c r="K689" s="20" t="b">
        <f>IFERROR(__xludf.DUMMYFUNCTION("""COMPUTED_VALUE"""),FALSE)</f>
        <v>0</v>
      </c>
      <c r="L689" s="20" t="str">
        <f>IFERROR(__xludf.DUMMYFUNCTION("""COMPUTED_VALUE"""),"Dynamic Programming;")</f>
        <v>Dynamic Programming;</v>
      </c>
      <c r="M689" s="20" t="b">
        <f>IFERROR(__xludf.DUMMYFUNCTION("""COMPUTED_VALUE"""),TRUE)</f>
        <v>1</v>
      </c>
      <c r="N689" s="20" t="b">
        <f>IFERROR(__xludf.DUMMYFUNCTION("""COMPUTED_VALUE"""),FALSE)</f>
        <v>0</v>
      </c>
      <c r="O689" s="20">
        <f>IFERROR(__xludf.DUMMYFUNCTION("""COMPUTED_VALUE"""),52.0945945945945)</f>
        <v>52.09459459</v>
      </c>
      <c r="P689" s="20">
        <f>IFERROR(__xludf.DUMMYFUNCTION("""COMPUTED_VALUE"""),90978.0)</f>
        <v>90978</v>
      </c>
      <c r="Q689" s="20">
        <f>IFERROR(__xludf.DUMMYFUNCTION("""COMPUTED_VALUE"""),174640.0)</f>
        <v>174640</v>
      </c>
    </row>
    <row r="690">
      <c r="A690" s="20">
        <f>IFERROR(__xludf.DUMMYFUNCTION("""COMPUTED_VALUE"""),689.0)</f>
        <v>689</v>
      </c>
      <c r="B690" s="20" t="str">
        <f>IFERROR(__xludf.DUMMYFUNCTION("""COMPUTED_VALUE"""),"Maximum Sum of 3 Non-Overlapping Subarrays")</f>
        <v>Maximum Sum of 3 Non-Overlapping Subarrays</v>
      </c>
      <c r="C690" s="20" t="str">
        <f>IFERROR(__xludf.DUMMYFUNCTION("""COMPUTED_VALUE"""),"maximum-sum-of-3-non-overlapping-subarrays")</f>
        <v>maximum-sum-of-3-non-overlapping-subarrays</v>
      </c>
      <c r="D690" s="20" t="b">
        <f>IFERROR(__xludf.DUMMYFUNCTION("""COMPUTED_VALUE"""),FALSE)</f>
        <v>0</v>
      </c>
      <c r="E690" s="20" t="str">
        <f>IFERROR(__xludf.DUMMYFUNCTION("""COMPUTED_VALUE"""),"Hard")</f>
        <v>Hard</v>
      </c>
      <c r="F690" s="20">
        <f>IFERROR(__xludf.DUMMYFUNCTION("""COMPUTED_VALUE"""),1759.0)</f>
        <v>1759</v>
      </c>
      <c r="G690" s="20">
        <f>IFERROR(__xludf.DUMMYFUNCTION("""COMPUTED_VALUE"""),100.0)</f>
        <v>100</v>
      </c>
      <c r="H690" s="20" t="str">
        <f>IFERROR(__xludf.DUMMYFUNCTION("""COMPUTED_VALUE"""),"Algorithms")</f>
        <v>Algorithms</v>
      </c>
      <c r="I690" s="20">
        <f>IFERROR(__xludf.DUMMYFUNCTION("""COMPUTED_VALUE"""),0.489)</f>
        <v>0.489</v>
      </c>
      <c r="J690" s="20">
        <f>IFERROR(__xludf.DUMMYFUNCTION("""COMPUTED_VALUE"""),689.0)</f>
        <v>689</v>
      </c>
      <c r="K690" s="20" t="b">
        <f>IFERROR(__xludf.DUMMYFUNCTION("""COMPUTED_VALUE"""),FALSE)</f>
        <v>0</v>
      </c>
      <c r="L690" s="20" t="str">
        <f>IFERROR(__xludf.DUMMYFUNCTION("""COMPUTED_VALUE"""),"Array;Dynamic Programming;")</f>
        <v>Array;Dynamic Programming;</v>
      </c>
      <c r="M690" s="20" t="b">
        <f>IFERROR(__xludf.DUMMYFUNCTION("""COMPUTED_VALUE"""),TRUE)</f>
        <v>1</v>
      </c>
      <c r="N690" s="20" t="b">
        <f>IFERROR(__xludf.DUMMYFUNCTION("""COMPUTED_VALUE"""),FALSE)</f>
        <v>0</v>
      </c>
      <c r="O690" s="20">
        <f>IFERROR(__xludf.DUMMYFUNCTION("""COMPUTED_VALUE"""),48.909247618623)</f>
        <v>48.90924762</v>
      </c>
      <c r="P690" s="20">
        <f>IFERROR(__xludf.DUMMYFUNCTION("""COMPUTED_VALUE"""),65825.0)</f>
        <v>65825</v>
      </c>
      <c r="Q690" s="20">
        <f>IFERROR(__xludf.DUMMYFUNCTION("""COMPUTED_VALUE"""),134585.0)</f>
        <v>134585</v>
      </c>
    </row>
    <row r="691">
      <c r="A691" s="20">
        <f>IFERROR(__xludf.DUMMYFUNCTION("""COMPUTED_VALUE"""),690.0)</f>
        <v>690</v>
      </c>
      <c r="B691" s="20" t="str">
        <f>IFERROR(__xludf.DUMMYFUNCTION("""COMPUTED_VALUE"""),"Employee Importance")</f>
        <v>Employee Importance</v>
      </c>
      <c r="C691" s="20" t="str">
        <f>IFERROR(__xludf.DUMMYFUNCTION("""COMPUTED_VALUE"""),"employee-importance")</f>
        <v>employee-importance</v>
      </c>
      <c r="D691" s="20" t="b">
        <f>IFERROR(__xludf.DUMMYFUNCTION("""COMPUTED_VALUE"""),FALSE)</f>
        <v>0</v>
      </c>
      <c r="E691" s="20" t="str">
        <f>IFERROR(__xludf.DUMMYFUNCTION("""COMPUTED_VALUE"""),"Medium")</f>
        <v>Medium</v>
      </c>
      <c r="F691" s="20">
        <f>IFERROR(__xludf.DUMMYFUNCTION("""COMPUTED_VALUE"""),1828.0)</f>
        <v>1828</v>
      </c>
      <c r="G691" s="20">
        <f>IFERROR(__xludf.DUMMYFUNCTION("""COMPUTED_VALUE"""),1286.0)</f>
        <v>1286</v>
      </c>
      <c r="H691" s="20" t="str">
        <f>IFERROR(__xludf.DUMMYFUNCTION("""COMPUTED_VALUE"""),"Algorithms")</f>
        <v>Algorithms</v>
      </c>
      <c r="I691" s="20">
        <f>IFERROR(__xludf.DUMMYFUNCTION("""COMPUTED_VALUE"""),0.653)</f>
        <v>0.653</v>
      </c>
      <c r="J691" s="20">
        <f>IFERROR(__xludf.DUMMYFUNCTION("""COMPUTED_VALUE"""),690.0)</f>
        <v>690</v>
      </c>
      <c r="K691" s="20" t="b">
        <f>IFERROR(__xludf.DUMMYFUNCTION("""COMPUTED_VALUE"""),FALSE)</f>
        <v>0</v>
      </c>
      <c r="L691" s="20" t="str">
        <f>IFERROR(__xludf.DUMMYFUNCTION("""COMPUTED_VALUE"""),"Hash Table;Depth-First Search;Breadth-First Search;")</f>
        <v>Hash Table;Depth-First Search;Breadth-First Search;</v>
      </c>
      <c r="M691" s="20" t="b">
        <f>IFERROR(__xludf.DUMMYFUNCTION("""COMPUTED_VALUE"""),TRUE)</f>
        <v>1</v>
      </c>
      <c r="N691" s="20" t="b">
        <f>IFERROR(__xludf.DUMMYFUNCTION("""COMPUTED_VALUE"""),FALSE)</f>
        <v>0</v>
      </c>
      <c r="O691" s="20">
        <f>IFERROR(__xludf.DUMMYFUNCTION("""COMPUTED_VALUE"""),65.289810480609)</f>
        <v>65.28981048</v>
      </c>
      <c r="P691" s="20">
        <f>IFERROR(__xludf.DUMMYFUNCTION("""COMPUTED_VALUE"""),188856.0)</f>
        <v>188856</v>
      </c>
      <c r="Q691" s="20">
        <f>IFERROR(__xludf.DUMMYFUNCTION("""COMPUTED_VALUE"""),289258.0)</f>
        <v>289258</v>
      </c>
    </row>
    <row r="692">
      <c r="A692" s="20">
        <f>IFERROR(__xludf.DUMMYFUNCTION("""COMPUTED_VALUE"""),691.0)</f>
        <v>691</v>
      </c>
      <c r="B692" s="20" t="str">
        <f>IFERROR(__xludf.DUMMYFUNCTION("""COMPUTED_VALUE"""),"Stickers to Spell Word")</f>
        <v>Stickers to Spell Word</v>
      </c>
      <c r="C692" s="20" t="str">
        <f>IFERROR(__xludf.DUMMYFUNCTION("""COMPUTED_VALUE"""),"stickers-to-spell-word")</f>
        <v>stickers-to-spell-word</v>
      </c>
      <c r="D692" s="20" t="b">
        <f>IFERROR(__xludf.DUMMYFUNCTION("""COMPUTED_VALUE"""),FALSE)</f>
        <v>0</v>
      </c>
      <c r="E692" s="20" t="str">
        <f>IFERROR(__xludf.DUMMYFUNCTION("""COMPUTED_VALUE"""),"Hard")</f>
        <v>Hard</v>
      </c>
      <c r="F692" s="20">
        <f>IFERROR(__xludf.DUMMYFUNCTION("""COMPUTED_VALUE"""),919.0)</f>
        <v>919</v>
      </c>
      <c r="G692" s="20">
        <f>IFERROR(__xludf.DUMMYFUNCTION("""COMPUTED_VALUE"""),76.0)</f>
        <v>76</v>
      </c>
      <c r="H692" s="20" t="str">
        <f>IFERROR(__xludf.DUMMYFUNCTION("""COMPUTED_VALUE"""),"Algorithms")</f>
        <v>Algorithms</v>
      </c>
      <c r="I692" s="20">
        <f>IFERROR(__xludf.DUMMYFUNCTION("""COMPUTED_VALUE"""),0.462)</f>
        <v>0.462</v>
      </c>
      <c r="J692" s="20">
        <f>IFERROR(__xludf.DUMMYFUNCTION("""COMPUTED_VALUE"""),691.0)</f>
        <v>691</v>
      </c>
      <c r="K692" s="20" t="b">
        <f>IFERROR(__xludf.DUMMYFUNCTION("""COMPUTED_VALUE"""),FALSE)</f>
        <v>0</v>
      </c>
      <c r="L692" s="20" t="str">
        <f>IFERROR(__xludf.DUMMYFUNCTION("""COMPUTED_VALUE"""),"Array;String;Dynamic Programming;Backtracking;Bit Manipulation;Bitmask;")</f>
        <v>Array;String;Dynamic Programming;Backtracking;Bit Manipulation;Bitmask;</v>
      </c>
      <c r="M692" s="20" t="b">
        <f>IFERROR(__xludf.DUMMYFUNCTION("""COMPUTED_VALUE"""),FALSE)</f>
        <v>0</v>
      </c>
      <c r="N692" s="20" t="b">
        <f>IFERROR(__xludf.DUMMYFUNCTION("""COMPUTED_VALUE"""),FALSE)</f>
        <v>0</v>
      </c>
      <c r="O692" s="20">
        <f>IFERROR(__xludf.DUMMYFUNCTION("""COMPUTED_VALUE"""),46.2466246624662)</f>
        <v>46.24662466</v>
      </c>
      <c r="P692" s="20">
        <f>IFERROR(__xludf.DUMMYFUNCTION("""COMPUTED_VALUE"""),35966.0)</f>
        <v>35966</v>
      </c>
      <c r="Q692" s="20">
        <f>IFERROR(__xludf.DUMMYFUNCTION("""COMPUTED_VALUE"""),77770.0)</f>
        <v>77770</v>
      </c>
    </row>
    <row r="693">
      <c r="A693" s="20">
        <f>IFERROR(__xludf.DUMMYFUNCTION("""COMPUTED_VALUE"""),692.0)</f>
        <v>692</v>
      </c>
      <c r="B693" s="20" t="str">
        <f>IFERROR(__xludf.DUMMYFUNCTION("""COMPUTED_VALUE"""),"Top K Frequent Words")</f>
        <v>Top K Frequent Words</v>
      </c>
      <c r="C693" s="20" t="str">
        <f>IFERROR(__xludf.DUMMYFUNCTION("""COMPUTED_VALUE"""),"top-k-frequent-words")</f>
        <v>top-k-frequent-words</v>
      </c>
      <c r="D693" s="20" t="b">
        <f>IFERROR(__xludf.DUMMYFUNCTION("""COMPUTED_VALUE"""),FALSE)</f>
        <v>0</v>
      </c>
      <c r="E693" s="20" t="str">
        <f>IFERROR(__xludf.DUMMYFUNCTION("""COMPUTED_VALUE"""),"Medium")</f>
        <v>Medium</v>
      </c>
      <c r="F693" s="20">
        <f>IFERROR(__xludf.DUMMYFUNCTION("""COMPUTED_VALUE"""),6559.0)</f>
        <v>6559</v>
      </c>
      <c r="G693" s="20">
        <f>IFERROR(__xludf.DUMMYFUNCTION("""COMPUTED_VALUE"""),307.0)</f>
        <v>307</v>
      </c>
      <c r="H693" s="20" t="str">
        <f>IFERROR(__xludf.DUMMYFUNCTION("""COMPUTED_VALUE"""),"Algorithms")</f>
        <v>Algorithms</v>
      </c>
      <c r="I693" s="20">
        <f>IFERROR(__xludf.DUMMYFUNCTION("""COMPUTED_VALUE"""),0.569)</f>
        <v>0.569</v>
      </c>
      <c r="J693" s="20">
        <f>IFERROR(__xludf.DUMMYFUNCTION("""COMPUTED_VALUE"""),692.0)</f>
        <v>692</v>
      </c>
      <c r="K693" s="20" t="b">
        <f>IFERROR(__xludf.DUMMYFUNCTION("""COMPUTED_VALUE"""),FALSE)</f>
        <v>0</v>
      </c>
      <c r="L693" s="20" t="str">
        <f>IFERROR(__xludf.DUMMYFUNCTION("""COMPUTED_VALUE"""),"Hash Table;String;Trie;Sorting;Heap (Priority Queue);Bucket Sort;Counting;")</f>
        <v>Hash Table;String;Trie;Sorting;Heap (Priority Queue);Bucket Sort;Counting;</v>
      </c>
      <c r="M693" s="20" t="b">
        <f>IFERROR(__xludf.DUMMYFUNCTION("""COMPUTED_VALUE"""),TRUE)</f>
        <v>1</v>
      </c>
      <c r="N693" s="20" t="b">
        <f>IFERROR(__xludf.DUMMYFUNCTION("""COMPUTED_VALUE"""),FALSE)</f>
        <v>0</v>
      </c>
      <c r="O693" s="20">
        <f>IFERROR(__xludf.DUMMYFUNCTION("""COMPUTED_VALUE"""),56.9218622645574)</f>
        <v>56.92186226</v>
      </c>
      <c r="P693" s="20">
        <f>IFERROR(__xludf.DUMMYFUNCTION("""COMPUTED_VALUE"""),512600.0)</f>
        <v>512600</v>
      </c>
      <c r="Q693" s="20">
        <f>IFERROR(__xludf.DUMMYFUNCTION("""COMPUTED_VALUE"""),900534.0)</f>
        <v>900534</v>
      </c>
    </row>
    <row r="694">
      <c r="A694" s="20">
        <f>IFERROR(__xludf.DUMMYFUNCTION("""COMPUTED_VALUE"""),693.0)</f>
        <v>693</v>
      </c>
      <c r="B694" s="20" t="str">
        <f>IFERROR(__xludf.DUMMYFUNCTION("""COMPUTED_VALUE"""),"Binary Number with Alternating Bits")</f>
        <v>Binary Number with Alternating Bits</v>
      </c>
      <c r="C694" s="20" t="str">
        <f>IFERROR(__xludf.DUMMYFUNCTION("""COMPUTED_VALUE"""),"binary-number-with-alternating-bits")</f>
        <v>binary-number-with-alternating-bits</v>
      </c>
      <c r="D694" s="20" t="b">
        <f>IFERROR(__xludf.DUMMYFUNCTION("""COMPUTED_VALUE"""),FALSE)</f>
        <v>0</v>
      </c>
      <c r="E694" s="20" t="str">
        <f>IFERROR(__xludf.DUMMYFUNCTION("""COMPUTED_VALUE"""),"Easy")</f>
        <v>Easy</v>
      </c>
      <c r="F694" s="20">
        <f>IFERROR(__xludf.DUMMYFUNCTION("""COMPUTED_VALUE"""),1096.0)</f>
        <v>1096</v>
      </c>
      <c r="G694" s="20">
        <f>IFERROR(__xludf.DUMMYFUNCTION("""COMPUTED_VALUE"""),106.0)</f>
        <v>106</v>
      </c>
      <c r="H694" s="20" t="str">
        <f>IFERROR(__xludf.DUMMYFUNCTION("""COMPUTED_VALUE"""),"Algorithms")</f>
        <v>Algorithms</v>
      </c>
      <c r="I694" s="20">
        <f>IFERROR(__xludf.DUMMYFUNCTION("""COMPUTED_VALUE"""),0.614)</f>
        <v>0.614</v>
      </c>
      <c r="J694" s="20">
        <f>IFERROR(__xludf.DUMMYFUNCTION("""COMPUTED_VALUE"""),693.0)</f>
        <v>693</v>
      </c>
      <c r="K694" s="20" t="b">
        <f>IFERROR(__xludf.DUMMYFUNCTION("""COMPUTED_VALUE"""),FALSE)</f>
        <v>0</v>
      </c>
      <c r="L694" s="20" t="str">
        <f>IFERROR(__xludf.DUMMYFUNCTION("""COMPUTED_VALUE"""),"Bit Manipulation;")</f>
        <v>Bit Manipulation;</v>
      </c>
      <c r="M694" s="20" t="b">
        <f>IFERROR(__xludf.DUMMYFUNCTION("""COMPUTED_VALUE"""),TRUE)</f>
        <v>1</v>
      </c>
      <c r="N694" s="20" t="b">
        <f>IFERROR(__xludf.DUMMYFUNCTION("""COMPUTED_VALUE"""),FALSE)</f>
        <v>0</v>
      </c>
      <c r="O694" s="20">
        <f>IFERROR(__xludf.DUMMYFUNCTION("""COMPUTED_VALUE"""),61.3668569577715)</f>
        <v>61.36685696</v>
      </c>
      <c r="P694" s="20">
        <f>IFERROR(__xludf.DUMMYFUNCTION("""COMPUTED_VALUE"""),106099.0)</f>
        <v>106099</v>
      </c>
      <c r="Q694" s="20">
        <f>IFERROR(__xludf.DUMMYFUNCTION("""COMPUTED_VALUE"""),172893.0)</f>
        <v>172893</v>
      </c>
    </row>
    <row r="695">
      <c r="A695" s="20">
        <f>IFERROR(__xludf.DUMMYFUNCTION("""COMPUTED_VALUE"""),694.0)</f>
        <v>694</v>
      </c>
      <c r="B695" s="20" t="str">
        <f>IFERROR(__xludf.DUMMYFUNCTION("""COMPUTED_VALUE"""),"Number of Distinct Islands")</f>
        <v>Number of Distinct Islands</v>
      </c>
      <c r="C695" s="20" t="str">
        <f>IFERROR(__xludf.DUMMYFUNCTION("""COMPUTED_VALUE"""),"number-of-distinct-islands")</f>
        <v>number-of-distinct-islands</v>
      </c>
      <c r="D695" s="20" t="b">
        <f>IFERROR(__xludf.DUMMYFUNCTION("""COMPUTED_VALUE"""),TRUE)</f>
        <v>1</v>
      </c>
      <c r="E695" s="20" t="str">
        <f>IFERROR(__xludf.DUMMYFUNCTION("""COMPUTED_VALUE"""),"Medium")</f>
        <v>Medium</v>
      </c>
      <c r="F695" s="20">
        <f>IFERROR(__xludf.DUMMYFUNCTION("""COMPUTED_VALUE"""),2008.0)</f>
        <v>2008</v>
      </c>
      <c r="G695" s="20">
        <f>IFERROR(__xludf.DUMMYFUNCTION("""COMPUTED_VALUE"""),126.0)</f>
        <v>126</v>
      </c>
      <c r="H695" s="20" t="str">
        <f>IFERROR(__xludf.DUMMYFUNCTION("""COMPUTED_VALUE"""),"Algorithms")</f>
        <v>Algorithms</v>
      </c>
      <c r="I695" s="20">
        <f>IFERROR(__xludf.DUMMYFUNCTION("""COMPUTED_VALUE"""),0.607)</f>
        <v>0.607</v>
      </c>
      <c r="J695" s="20">
        <f>IFERROR(__xludf.DUMMYFUNCTION("""COMPUTED_VALUE"""),694.0)</f>
        <v>694</v>
      </c>
      <c r="K695" s="20" t="b">
        <f>IFERROR(__xludf.DUMMYFUNCTION("""COMPUTED_VALUE"""),TRUE)</f>
        <v>1</v>
      </c>
      <c r="L695" s="20" t="str">
        <f>IFERROR(__xludf.DUMMYFUNCTION("""COMPUTED_VALUE"""),"Hash Table;Depth-First Search;Breadth-First Search;Union Find;Hash Function;")</f>
        <v>Hash Table;Depth-First Search;Breadth-First Search;Union Find;Hash Function;</v>
      </c>
      <c r="M695" s="20" t="b">
        <f>IFERROR(__xludf.DUMMYFUNCTION("""COMPUTED_VALUE"""),TRUE)</f>
        <v>1</v>
      </c>
      <c r="N695" s="20" t="b">
        <f>IFERROR(__xludf.DUMMYFUNCTION("""COMPUTED_VALUE"""),TRUE)</f>
        <v>1</v>
      </c>
      <c r="O695" s="20">
        <f>IFERROR(__xludf.DUMMYFUNCTION("""COMPUTED_VALUE"""),60.6812299585297)</f>
        <v>60.68122996</v>
      </c>
      <c r="P695" s="20">
        <f>IFERROR(__xludf.DUMMYFUNCTION("""COMPUTED_VALUE"""),143252.0)</f>
        <v>143252</v>
      </c>
      <c r="Q695" s="20">
        <f>IFERROR(__xludf.DUMMYFUNCTION("""COMPUTED_VALUE"""),236073.0)</f>
        <v>236073</v>
      </c>
    </row>
    <row r="696">
      <c r="A696" s="20">
        <f>IFERROR(__xludf.DUMMYFUNCTION("""COMPUTED_VALUE"""),695.0)</f>
        <v>695</v>
      </c>
      <c r="B696" s="20" t="str">
        <f>IFERROR(__xludf.DUMMYFUNCTION("""COMPUTED_VALUE"""),"Max Area of Island")</f>
        <v>Max Area of Island</v>
      </c>
      <c r="C696" s="20" t="str">
        <f>IFERROR(__xludf.DUMMYFUNCTION("""COMPUTED_VALUE"""),"max-area-of-island")</f>
        <v>max-area-of-island</v>
      </c>
      <c r="D696" s="20" t="b">
        <f>IFERROR(__xludf.DUMMYFUNCTION("""COMPUTED_VALUE"""),FALSE)</f>
        <v>0</v>
      </c>
      <c r="E696" s="20" t="str">
        <f>IFERROR(__xludf.DUMMYFUNCTION("""COMPUTED_VALUE"""),"Medium")</f>
        <v>Medium</v>
      </c>
      <c r="F696" s="20">
        <f>IFERROR(__xludf.DUMMYFUNCTION("""COMPUTED_VALUE"""),8382.0)</f>
        <v>8382</v>
      </c>
      <c r="G696" s="20">
        <f>IFERROR(__xludf.DUMMYFUNCTION("""COMPUTED_VALUE"""),185.0)</f>
        <v>185</v>
      </c>
      <c r="H696" s="20" t="str">
        <f>IFERROR(__xludf.DUMMYFUNCTION("""COMPUTED_VALUE"""),"Algorithms")</f>
        <v>Algorithms</v>
      </c>
      <c r="I696" s="20">
        <f>IFERROR(__xludf.DUMMYFUNCTION("""COMPUTED_VALUE"""),0.717)</f>
        <v>0.717</v>
      </c>
      <c r="J696" s="20">
        <f>IFERROR(__xludf.DUMMYFUNCTION("""COMPUTED_VALUE"""),695.0)</f>
        <v>695</v>
      </c>
      <c r="K696" s="20" t="b">
        <f>IFERROR(__xludf.DUMMYFUNCTION("""COMPUTED_VALUE"""),FALSE)</f>
        <v>0</v>
      </c>
      <c r="L696" s="20" t="str">
        <f>IFERROR(__xludf.DUMMYFUNCTION("""COMPUTED_VALUE"""),"Array;Depth-First Search;Breadth-First Search;Union Find;Matrix;")</f>
        <v>Array;Depth-First Search;Breadth-First Search;Union Find;Matrix;</v>
      </c>
      <c r="M696" s="20" t="b">
        <f>IFERROR(__xludf.DUMMYFUNCTION("""COMPUTED_VALUE"""),TRUE)</f>
        <v>1</v>
      </c>
      <c r="N696" s="20" t="b">
        <f>IFERROR(__xludf.DUMMYFUNCTION("""COMPUTED_VALUE"""),FALSE)</f>
        <v>0</v>
      </c>
      <c r="O696" s="20">
        <f>IFERROR(__xludf.DUMMYFUNCTION("""COMPUTED_VALUE"""),71.713623745929)</f>
        <v>71.71362375</v>
      </c>
      <c r="P696" s="20">
        <f>IFERROR(__xludf.DUMMYFUNCTION("""COMPUTED_VALUE"""),656188.0)</f>
        <v>656188</v>
      </c>
      <c r="Q696" s="20">
        <f>IFERROR(__xludf.DUMMYFUNCTION("""COMPUTED_VALUE"""),915011.0)</f>
        <v>915011</v>
      </c>
    </row>
    <row r="697">
      <c r="A697" s="20">
        <f>IFERROR(__xludf.DUMMYFUNCTION("""COMPUTED_VALUE"""),696.0)</f>
        <v>696</v>
      </c>
      <c r="B697" s="20" t="str">
        <f>IFERROR(__xludf.DUMMYFUNCTION("""COMPUTED_VALUE"""),"Count Binary Substrings")</f>
        <v>Count Binary Substrings</v>
      </c>
      <c r="C697" s="20" t="str">
        <f>IFERROR(__xludf.DUMMYFUNCTION("""COMPUTED_VALUE"""),"count-binary-substrings")</f>
        <v>count-binary-substrings</v>
      </c>
      <c r="D697" s="20" t="b">
        <f>IFERROR(__xludf.DUMMYFUNCTION("""COMPUTED_VALUE"""),FALSE)</f>
        <v>0</v>
      </c>
      <c r="E697" s="20" t="str">
        <f>IFERROR(__xludf.DUMMYFUNCTION("""COMPUTED_VALUE"""),"Easy")</f>
        <v>Easy</v>
      </c>
      <c r="F697" s="20">
        <f>IFERROR(__xludf.DUMMYFUNCTION("""COMPUTED_VALUE"""),3426.0)</f>
        <v>3426</v>
      </c>
      <c r="G697" s="20">
        <f>IFERROR(__xludf.DUMMYFUNCTION("""COMPUTED_VALUE"""),743.0)</f>
        <v>743</v>
      </c>
      <c r="H697" s="20" t="str">
        <f>IFERROR(__xludf.DUMMYFUNCTION("""COMPUTED_VALUE"""),"Algorithms")</f>
        <v>Algorithms</v>
      </c>
      <c r="I697" s="20">
        <f>IFERROR(__xludf.DUMMYFUNCTION("""COMPUTED_VALUE"""),0.656)</f>
        <v>0.656</v>
      </c>
      <c r="J697" s="20">
        <f>IFERROR(__xludf.DUMMYFUNCTION("""COMPUTED_VALUE"""),696.0)</f>
        <v>696</v>
      </c>
      <c r="K697" s="20" t="b">
        <f>IFERROR(__xludf.DUMMYFUNCTION("""COMPUTED_VALUE"""),FALSE)</f>
        <v>0</v>
      </c>
      <c r="L697" s="20" t="str">
        <f>IFERROR(__xludf.DUMMYFUNCTION("""COMPUTED_VALUE"""),"Two Pointers;String;")</f>
        <v>Two Pointers;String;</v>
      </c>
      <c r="M697" s="20" t="b">
        <f>IFERROR(__xludf.DUMMYFUNCTION("""COMPUTED_VALUE"""),TRUE)</f>
        <v>1</v>
      </c>
      <c r="N697" s="20" t="b">
        <f>IFERROR(__xludf.DUMMYFUNCTION("""COMPUTED_VALUE"""),FALSE)</f>
        <v>0</v>
      </c>
      <c r="O697" s="20">
        <f>IFERROR(__xludf.DUMMYFUNCTION("""COMPUTED_VALUE"""),65.5714402357464)</f>
        <v>65.57144024</v>
      </c>
      <c r="P697" s="20">
        <f>IFERROR(__xludf.DUMMYFUNCTION("""COMPUTED_VALUE"""),176677.0)</f>
        <v>176677</v>
      </c>
      <c r="Q697" s="20">
        <f>IFERROR(__xludf.DUMMYFUNCTION("""COMPUTED_VALUE"""),269442.0)</f>
        <v>269442</v>
      </c>
    </row>
    <row r="698">
      <c r="A698" s="20">
        <f>IFERROR(__xludf.DUMMYFUNCTION("""COMPUTED_VALUE"""),697.0)</f>
        <v>697</v>
      </c>
      <c r="B698" s="20" t="str">
        <f>IFERROR(__xludf.DUMMYFUNCTION("""COMPUTED_VALUE"""),"Degree of an Array")</f>
        <v>Degree of an Array</v>
      </c>
      <c r="C698" s="20" t="str">
        <f>IFERROR(__xludf.DUMMYFUNCTION("""COMPUTED_VALUE"""),"degree-of-an-array")</f>
        <v>degree-of-an-array</v>
      </c>
      <c r="D698" s="20" t="b">
        <f>IFERROR(__xludf.DUMMYFUNCTION("""COMPUTED_VALUE"""),FALSE)</f>
        <v>0</v>
      </c>
      <c r="E698" s="20" t="str">
        <f>IFERROR(__xludf.DUMMYFUNCTION("""COMPUTED_VALUE"""),"Easy")</f>
        <v>Easy</v>
      </c>
      <c r="F698" s="20">
        <f>IFERROR(__xludf.DUMMYFUNCTION("""COMPUTED_VALUE"""),2471.0)</f>
        <v>2471</v>
      </c>
      <c r="G698" s="20">
        <f>IFERROR(__xludf.DUMMYFUNCTION("""COMPUTED_VALUE"""),1469.0)</f>
        <v>1469</v>
      </c>
      <c r="H698" s="20" t="str">
        <f>IFERROR(__xludf.DUMMYFUNCTION("""COMPUTED_VALUE"""),"Algorithms")</f>
        <v>Algorithms</v>
      </c>
      <c r="I698" s="20">
        <f>IFERROR(__xludf.DUMMYFUNCTION("""COMPUTED_VALUE"""),0.559)</f>
        <v>0.559</v>
      </c>
      <c r="J698" s="20">
        <f>IFERROR(__xludf.DUMMYFUNCTION("""COMPUTED_VALUE"""),697.0)</f>
        <v>697</v>
      </c>
      <c r="K698" s="20" t="b">
        <f>IFERROR(__xludf.DUMMYFUNCTION("""COMPUTED_VALUE"""),FALSE)</f>
        <v>0</v>
      </c>
      <c r="L698" s="20" t="str">
        <f>IFERROR(__xludf.DUMMYFUNCTION("""COMPUTED_VALUE"""),"Array;Hash Table;")</f>
        <v>Array;Hash Table;</v>
      </c>
      <c r="M698" s="20" t="b">
        <f>IFERROR(__xludf.DUMMYFUNCTION("""COMPUTED_VALUE"""),TRUE)</f>
        <v>1</v>
      </c>
      <c r="N698" s="20" t="b">
        <f>IFERROR(__xludf.DUMMYFUNCTION("""COMPUTED_VALUE"""),FALSE)</f>
        <v>0</v>
      </c>
      <c r="O698" s="20">
        <f>IFERROR(__xludf.DUMMYFUNCTION("""COMPUTED_VALUE"""),55.895948104443)</f>
        <v>55.8959481</v>
      </c>
      <c r="P698" s="20">
        <f>IFERROR(__xludf.DUMMYFUNCTION("""COMPUTED_VALUE"""),171470.0)</f>
        <v>171470</v>
      </c>
      <c r="Q698" s="20">
        <f>IFERROR(__xludf.DUMMYFUNCTION("""COMPUTED_VALUE"""),306768.0)</f>
        <v>306768</v>
      </c>
    </row>
    <row r="699">
      <c r="A699" s="20">
        <f>IFERROR(__xludf.DUMMYFUNCTION("""COMPUTED_VALUE"""),698.0)</f>
        <v>698</v>
      </c>
      <c r="B699" s="20" t="str">
        <f>IFERROR(__xludf.DUMMYFUNCTION("""COMPUTED_VALUE"""),"Partition to K Equal Sum Subsets")</f>
        <v>Partition to K Equal Sum Subsets</v>
      </c>
      <c r="C699" s="20" t="str">
        <f>IFERROR(__xludf.DUMMYFUNCTION("""COMPUTED_VALUE"""),"partition-to-k-equal-sum-subsets")</f>
        <v>partition-to-k-equal-sum-subsets</v>
      </c>
      <c r="D699" s="20" t="b">
        <f>IFERROR(__xludf.DUMMYFUNCTION("""COMPUTED_VALUE"""),FALSE)</f>
        <v>0</v>
      </c>
      <c r="E699" s="20" t="str">
        <f>IFERROR(__xludf.DUMMYFUNCTION("""COMPUTED_VALUE"""),"Medium")</f>
        <v>Medium</v>
      </c>
      <c r="F699" s="20">
        <f>IFERROR(__xludf.DUMMYFUNCTION("""COMPUTED_VALUE"""),5959.0)</f>
        <v>5959</v>
      </c>
      <c r="G699" s="20">
        <f>IFERROR(__xludf.DUMMYFUNCTION("""COMPUTED_VALUE"""),410.0)</f>
        <v>410</v>
      </c>
      <c r="H699" s="20" t="str">
        <f>IFERROR(__xludf.DUMMYFUNCTION("""COMPUTED_VALUE"""),"Algorithms")</f>
        <v>Algorithms</v>
      </c>
      <c r="I699" s="20">
        <f>IFERROR(__xludf.DUMMYFUNCTION("""COMPUTED_VALUE"""),0.406)</f>
        <v>0.406</v>
      </c>
      <c r="J699" s="20">
        <f>IFERROR(__xludf.DUMMYFUNCTION("""COMPUTED_VALUE"""),698.0)</f>
        <v>698</v>
      </c>
      <c r="K699" s="20" t="b">
        <f>IFERROR(__xludf.DUMMYFUNCTION("""COMPUTED_VALUE"""),FALSE)</f>
        <v>0</v>
      </c>
      <c r="L699" s="20" t="str">
        <f>IFERROR(__xludf.DUMMYFUNCTION("""COMPUTED_VALUE"""),"Array;Dynamic Programming;Backtracking;Bit Manipulation;Memoization;Bitmask;")</f>
        <v>Array;Dynamic Programming;Backtracking;Bit Manipulation;Memoization;Bitmask;</v>
      </c>
      <c r="M699" s="20" t="b">
        <f>IFERROR(__xludf.DUMMYFUNCTION("""COMPUTED_VALUE"""),TRUE)</f>
        <v>1</v>
      </c>
      <c r="N699" s="20" t="b">
        <f>IFERROR(__xludf.DUMMYFUNCTION("""COMPUTED_VALUE"""),FALSE)</f>
        <v>0</v>
      </c>
      <c r="O699" s="20">
        <f>IFERROR(__xludf.DUMMYFUNCTION("""COMPUTED_VALUE"""),40.6085173060443)</f>
        <v>40.60851731</v>
      </c>
      <c r="P699" s="20">
        <f>IFERROR(__xludf.DUMMYFUNCTION("""COMPUTED_VALUE"""),226507.0)</f>
        <v>226507</v>
      </c>
      <c r="Q699" s="20">
        <f>IFERROR(__xludf.DUMMYFUNCTION("""COMPUTED_VALUE"""),557781.0)</f>
        <v>557781</v>
      </c>
    </row>
    <row r="700">
      <c r="A700" s="20">
        <f>IFERROR(__xludf.DUMMYFUNCTION("""COMPUTED_VALUE"""),699.0)</f>
        <v>699</v>
      </c>
      <c r="B700" s="20" t="str">
        <f>IFERROR(__xludf.DUMMYFUNCTION("""COMPUTED_VALUE"""),"Falling Squares")</f>
        <v>Falling Squares</v>
      </c>
      <c r="C700" s="20" t="str">
        <f>IFERROR(__xludf.DUMMYFUNCTION("""COMPUTED_VALUE"""),"falling-squares")</f>
        <v>falling-squares</v>
      </c>
      <c r="D700" s="20" t="b">
        <f>IFERROR(__xludf.DUMMYFUNCTION("""COMPUTED_VALUE"""),FALSE)</f>
        <v>0</v>
      </c>
      <c r="E700" s="20" t="str">
        <f>IFERROR(__xludf.DUMMYFUNCTION("""COMPUTED_VALUE"""),"Hard")</f>
        <v>Hard</v>
      </c>
      <c r="F700" s="20">
        <f>IFERROR(__xludf.DUMMYFUNCTION("""COMPUTED_VALUE"""),530.0)</f>
        <v>530</v>
      </c>
      <c r="G700" s="20">
        <f>IFERROR(__xludf.DUMMYFUNCTION("""COMPUTED_VALUE"""),72.0)</f>
        <v>72</v>
      </c>
      <c r="H700" s="20" t="str">
        <f>IFERROR(__xludf.DUMMYFUNCTION("""COMPUTED_VALUE"""),"Algorithms")</f>
        <v>Algorithms</v>
      </c>
      <c r="I700" s="20">
        <f>IFERROR(__xludf.DUMMYFUNCTION("""COMPUTED_VALUE"""),0.445)</f>
        <v>0.445</v>
      </c>
      <c r="J700" s="20">
        <f>IFERROR(__xludf.DUMMYFUNCTION("""COMPUTED_VALUE"""),699.0)</f>
        <v>699</v>
      </c>
      <c r="K700" s="20" t="b">
        <f>IFERROR(__xludf.DUMMYFUNCTION("""COMPUTED_VALUE"""),FALSE)</f>
        <v>0</v>
      </c>
      <c r="L700" s="20" t="str">
        <f>IFERROR(__xludf.DUMMYFUNCTION("""COMPUTED_VALUE"""),"Array;Segment Tree;Ordered Set;")</f>
        <v>Array;Segment Tree;Ordered Set;</v>
      </c>
      <c r="M700" s="20" t="b">
        <f>IFERROR(__xludf.DUMMYFUNCTION("""COMPUTED_VALUE"""),TRUE)</f>
        <v>1</v>
      </c>
      <c r="N700" s="20" t="b">
        <f>IFERROR(__xludf.DUMMYFUNCTION("""COMPUTED_VALUE"""),FALSE)</f>
        <v>0</v>
      </c>
      <c r="O700" s="20">
        <f>IFERROR(__xludf.DUMMYFUNCTION("""COMPUTED_VALUE"""),44.4896151988407)</f>
        <v>44.4896152</v>
      </c>
      <c r="P700" s="20">
        <f>IFERROR(__xludf.DUMMYFUNCTION("""COMPUTED_VALUE"""),22106.0)</f>
        <v>22106</v>
      </c>
      <c r="Q700" s="20">
        <f>IFERROR(__xludf.DUMMYFUNCTION("""COMPUTED_VALUE"""),49688.0)</f>
        <v>49688</v>
      </c>
    </row>
    <row r="701">
      <c r="A701" s="20">
        <f>IFERROR(__xludf.DUMMYFUNCTION("""COMPUTED_VALUE"""),783.0)</f>
        <v>783</v>
      </c>
      <c r="B701" s="20" t="str">
        <f>IFERROR(__xludf.DUMMYFUNCTION("""COMPUTED_VALUE"""),"Search in a Binary Search Tree")</f>
        <v>Search in a Binary Search Tree</v>
      </c>
      <c r="C701" s="20" t="str">
        <f>IFERROR(__xludf.DUMMYFUNCTION("""COMPUTED_VALUE"""),"search-in-a-binary-search-tree")</f>
        <v>search-in-a-binary-search-tree</v>
      </c>
      <c r="D701" s="20" t="b">
        <f>IFERROR(__xludf.DUMMYFUNCTION("""COMPUTED_VALUE"""),FALSE)</f>
        <v>0</v>
      </c>
      <c r="E701" s="20" t="str">
        <f>IFERROR(__xludf.DUMMYFUNCTION("""COMPUTED_VALUE"""),"Easy")</f>
        <v>Easy</v>
      </c>
      <c r="F701" s="20">
        <f>IFERROR(__xludf.DUMMYFUNCTION("""COMPUTED_VALUE"""),4383.0)</f>
        <v>4383</v>
      </c>
      <c r="G701" s="20">
        <f>IFERROR(__xludf.DUMMYFUNCTION("""COMPUTED_VALUE"""),161.0)</f>
        <v>161</v>
      </c>
      <c r="H701" s="20" t="str">
        <f>IFERROR(__xludf.DUMMYFUNCTION("""COMPUTED_VALUE"""),"Algorithms")</f>
        <v>Algorithms</v>
      </c>
      <c r="I701" s="20">
        <f>IFERROR(__xludf.DUMMYFUNCTION("""COMPUTED_VALUE"""),0.772)</f>
        <v>0.772</v>
      </c>
      <c r="J701" s="20">
        <f>IFERROR(__xludf.DUMMYFUNCTION("""COMPUTED_VALUE"""),700.0)</f>
        <v>700</v>
      </c>
      <c r="K701" s="20" t="b">
        <f>IFERROR(__xludf.DUMMYFUNCTION("""COMPUTED_VALUE"""),FALSE)</f>
        <v>0</v>
      </c>
      <c r="L701" s="20" t="str">
        <f>IFERROR(__xludf.DUMMYFUNCTION("""COMPUTED_VALUE"""),"Tree;Binary Search Tree;Binary Tree;")</f>
        <v>Tree;Binary Search Tree;Binary Tree;</v>
      </c>
      <c r="M701" s="20" t="b">
        <f>IFERROR(__xludf.DUMMYFUNCTION("""COMPUTED_VALUE"""),TRUE)</f>
        <v>1</v>
      </c>
      <c r="N701" s="20" t="b">
        <f>IFERROR(__xludf.DUMMYFUNCTION("""COMPUTED_VALUE"""),FALSE)</f>
        <v>0</v>
      </c>
      <c r="O701" s="20">
        <f>IFERROR(__xludf.DUMMYFUNCTION("""COMPUTED_VALUE"""),77.2494994706443)</f>
        <v>77.24949947</v>
      </c>
      <c r="P701" s="20">
        <f>IFERROR(__xludf.DUMMYFUNCTION("""COMPUTED_VALUE"""),589558.0)</f>
        <v>589558</v>
      </c>
      <c r="Q701" s="20">
        <f>IFERROR(__xludf.DUMMYFUNCTION("""COMPUTED_VALUE"""),763187.0)</f>
        <v>763187</v>
      </c>
    </row>
    <row r="702">
      <c r="A702" s="20">
        <f>IFERROR(__xludf.DUMMYFUNCTION("""COMPUTED_VALUE"""),784.0)</f>
        <v>784</v>
      </c>
      <c r="B702" s="20" t="str">
        <f>IFERROR(__xludf.DUMMYFUNCTION("""COMPUTED_VALUE"""),"Insert into a Binary Search Tree")</f>
        <v>Insert into a Binary Search Tree</v>
      </c>
      <c r="C702" s="20" t="str">
        <f>IFERROR(__xludf.DUMMYFUNCTION("""COMPUTED_VALUE"""),"insert-into-a-binary-search-tree")</f>
        <v>insert-into-a-binary-search-tree</v>
      </c>
      <c r="D702" s="20" t="b">
        <f>IFERROR(__xludf.DUMMYFUNCTION("""COMPUTED_VALUE"""),FALSE)</f>
        <v>0</v>
      </c>
      <c r="E702" s="20" t="str">
        <f>IFERROR(__xludf.DUMMYFUNCTION("""COMPUTED_VALUE"""),"Medium")</f>
        <v>Medium</v>
      </c>
      <c r="F702" s="20">
        <f>IFERROR(__xludf.DUMMYFUNCTION("""COMPUTED_VALUE"""),4348.0)</f>
        <v>4348</v>
      </c>
      <c r="G702" s="20">
        <f>IFERROR(__xludf.DUMMYFUNCTION("""COMPUTED_VALUE"""),155.0)</f>
        <v>155</v>
      </c>
      <c r="H702" s="20" t="str">
        <f>IFERROR(__xludf.DUMMYFUNCTION("""COMPUTED_VALUE"""),"Algorithms")</f>
        <v>Algorithms</v>
      </c>
      <c r="I702" s="20">
        <f>IFERROR(__xludf.DUMMYFUNCTION("""COMPUTED_VALUE"""),0.745)</f>
        <v>0.745</v>
      </c>
      <c r="J702" s="20">
        <f>IFERROR(__xludf.DUMMYFUNCTION("""COMPUTED_VALUE"""),701.0)</f>
        <v>701</v>
      </c>
      <c r="K702" s="20" t="b">
        <f>IFERROR(__xludf.DUMMYFUNCTION("""COMPUTED_VALUE"""),FALSE)</f>
        <v>0</v>
      </c>
      <c r="L702" s="20" t="str">
        <f>IFERROR(__xludf.DUMMYFUNCTION("""COMPUTED_VALUE"""),"Tree;Binary Search Tree;Binary Tree;")</f>
        <v>Tree;Binary Search Tree;Binary Tree;</v>
      </c>
      <c r="M702" s="20" t="b">
        <f>IFERROR(__xludf.DUMMYFUNCTION("""COMPUTED_VALUE"""),TRUE)</f>
        <v>1</v>
      </c>
      <c r="N702" s="20" t="b">
        <f>IFERROR(__xludf.DUMMYFUNCTION("""COMPUTED_VALUE"""),FALSE)</f>
        <v>0</v>
      </c>
      <c r="O702" s="20">
        <f>IFERROR(__xludf.DUMMYFUNCTION("""COMPUTED_VALUE"""),74.5187579875225)</f>
        <v>74.51875799</v>
      </c>
      <c r="P702" s="20">
        <f>IFERROR(__xludf.DUMMYFUNCTION("""COMPUTED_VALUE"""),374338.0)</f>
        <v>374338</v>
      </c>
      <c r="Q702" s="20">
        <f>IFERROR(__xludf.DUMMYFUNCTION("""COMPUTED_VALUE"""),502337.0)</f>
        <v>502337</v>
      </c>
    </row>
    <row r="703">
      <c r="A703" s="20">
        <f>IFERROR(__xludf.DUMMYFUNCTION("""COMPUTED_VALUE"""),786.0)</f>
        <v>786</v>
      </c>
      <c r="B703" s="20" t="str">
        <f>IFERROR(__xludf.DUMMYFUNCTION("""COMPUTED_VALUE"""),"Search in a Sorted Array of Unknown Size")</f>
        <v>Search in a Sorted Array of Unknown Size</v>
      </c>
      <c r="C703" s="20" t="str">
        <f>IFERROR(__xludf.DUMMYFUNCTION("""COMPUTED_VALUE"""),"search-in-a-sorted-array-of-unknown-size")</f>
        <v>search-in-a-sorted-array-of-unknown-size</v>
      </c>
      <c r="D703" s="20" t="b">
        <f>IFERROR(__xludf.DUMMYFUNCTION("""COMPUTED_VALUE"""),TRUE)</f>
        <v>1</v>
      </c>
      <c r="E703" s="20" t="str">
        <f>IFERROR(__xludf.DUMMYFUNCTION("""COMPUTED_VALUE"""),"Medium")</f>
        <v>Medium</v>
      </c>
      <c r="F703" s="20">
        <f>IFERROR(__xludf.DUMMYFUNCTION("""COMPUTED_VALUE"""),816.0)</f>
        <v>816</v>
      </c>
      <c r="G703" s="20">
        <f>IFERROR(__xludf.DUMMYFUNCTION("""COMPUTED_VALUE"""),44.0)</f>
        <v>44</v>
      </c>
      <c r="H703" s="20" t="str">
        <f>IFERROR(__xludf.DUMMYFUNCTION("""COMPUTED_VALUE"""),"Algorithms")</f>
        <v>Algorithms</v>
      </c>
      <c r="I703" s="20">
        <f>IFERROR(__xludf.DUMMYFUNCTION("""COMPUTED_VALUE"""),0.714)</f>
        <v>0.714</v>
      </c>
      <c r="J703" s="20">
        <f>IFERROR(__xludf.DUMMYFUNCTION("""COMPUTED_VALUE"""),702.0)</f>
        <v>702</v>
      </c>
      <c r="K703" s="20" t="b">
        <f>IFERROR(__xludf.DUMMYFUNCTION("""COMPUTED_VALUE"""),TRUE)</f>
        <v>1</v>
      </c>
      <c r="L703" s="20" t="str">
        <f>IFERROR(__xludf.DUMMYFUNCTION("""COMPUTED_VALUE"""),"Array;Binary Search;Interactive;")</f>
        <v>Array;Binary Search;Interactive;</v>
      </c>
      <c r="M703" s="20" t="b">
        <f>IFERROR(__xludf.DUMMYFUNCTION("""COMPUTED_VALUE"""),TRUE)</f>
        <v>1</v>
      </c>
      <c r="N703" s="20" t="b">
        <f>IFERROR(__xludf.DUMMYFUNCTION("""COMPUTED_VALUE"""),FALSE)</f>
        <v>0</v>
      </c>
      <c r="O703" s="20">
        <f>IFERROR(__xludf.DUMMYFUNCTION("""COMPUTED_VALUE"""),71.3840222745769)</f>
        <v>71.38402227</v>
      </c>
      <c r="P703" s="20">
        <f>IFERROR(__xludf.DUMMYFUNCTION("""COMPUTED_VALUE"""),83322.0)</f>
        <v>83322</v>
      </c>
      <c r="Q703" s="20">
        <f>IFERROR(__xludf.DUMMYFUNCTION("""COMPUTED_VALUE"""),116724.0)</f>
        <v>116724</v>
      </c>
    </row>
    <row r="704">
      <c r="A704" s="20">
        <f>IFERROR(__xludf.DUMMYFUNCTION("""COMPUTED_VALUE"""),789.0)</f>
        <v>789</v>
      </c>
      <c r="B704" s="20" t="str">
        <f>IFERROR(__xludf.DUMMYFUNCTION("""COMPUTED_VALUE"""),"Kth Largest Element in a Stream")</f>
        <v>Kth Largest Element in a Stream</v>
      </c>
      <c r="C704" s="20" t="str">
        <f>IFERROR(__xludf.DUMMYFUNCTION("""COMPUTED_VALUE"""),"kth-largest-element-in-a-stream")</f>
        <v>kth-largest-element-in-a-stream</v>
      </c>
      <c r="D704" s="20" t="b">
        <f>IFERROR(__xludf.DUMMYFUNCTION("""COMPUTED_VALUE"""),FALSE)</f>
        <v>0</v>
      </c>
      <c r="E704" s="20" t="str">
        <f>IFERROR(__xludf.DUMMYFUNCTION("""COMPUTED_VALUE"""),"Easy")</f>
        <v>Easy</v>
      </c>
      <c r="F704" s="20">
        <f>IFERROR(__xludf.DUMMYFUNCTION("""COMPUTED_VALUE"""),3684.0)</f>
        <v>3684</v>
      </c>
      <c r="G704" s="20">
        <f>IFERROR(__xludf.DUMMYFUNCTION("""COMPUTED_VALUE"""),2182.0)</f>
        <v>2182</v>
      </c>
      <c r="H704" s="20" t="str">
        <f>IFERROR(__xludf.DUMMYFUNCTION("""COMPUTED_VALUE"""),"Algorithms")</f>
        <v>Algorithms</v>
      </c>
      <c r="I704" s="20">
        <f>IFERROR(__xludf.DUMMYFUNCTION("""COMPUTED_VALUE"""),0.555)</f>
        <v>0.555</v>
      </c>
      <c r="J704" s="20">
        <f>IFERROR(__xludf.DUMMYFUNCTION("""COMPUTED_VALUE"""),703.0)</f>
        <v>703</v>
      </c>
      <c r="K704" s="20" t="b">
        <f>IFERROR(__xludf.DUMMYFUNCTION("""COMPUTED_VALUE"""),FALSE)</f>
        <v>0</v>
      </c>
      <c r="L704" s="20" t="str">
        <f>IFERROR(__xludf.DUMMYFUNCTION("""COMPUTED_VALUE"""),"Tree;Design;Binary Search Tree;Heap (Priority Queue);Binary Tree;Data Stream;")</f>
        <v>Tree;Design;Binary Search Tree;Heap (Priority Queue);Binary Tree;Data Stream;</v>
      </c>
      <c r="M704" s="20" t="b">
        <f>IFERROR(__xludf.DUMMYFUNCTION("""COMPUTED_VALUE"""),TRUE)</f>
        <v>1</v>
      </c>
      <c r="N704" s="20" t="b">
        <f>IFERROR(__xludf.DUMMYFUNCTION("""COMPUTED_VALUE"""),FALSE)</f>
        <v>0</v>
      </c>
      <c r="O704" s="20">
        <f>IFERROR(__xludf.DUMMYFUNCTION("""COMPUTED_VALUE"""),55.5069002123142)</f>
        <v>55.50690021</v>
      </c>
      <c r="P704" s="20">
        <f>IFERROR(__xludf.DUMMYFUNCTION("""COMPUTED_VALUE"""),322088.0)</f>
        <v>322088</v>
      </c>
      <c r="Q704" s="20">
        <f>IFERROR(__xludf.DUMMYFUNCTION("""COMPUTED_VALUE"""),580267.0)</f>
        <v>580267</v>
      </c>
    </row>
    <row r="705">
      <c r="A705" s="20">
        <f>IFERROR(__xludf.DUMMYFUNCTION("""COMPUTED_VALUE"""),792.0)</f>
        <v>792</v>
      </c>
      <c r="B705" s="20" t="str">
        <f>IFERROR(__xludf.DUMMYFUNCTION("""COMPUTED_VALUE"""),"Binary Search")</f>
        <v>Binary Search</v>
      </c>
      <c r="C705" s="20" t="str">
        <f>IFERROR(__xludf.DUMMYFUNCTION("""COMPUTED_VALUE"""),"binary-search")</f>
        <v>binary-search</v>
      </c>
      <c r="D705" s="20" t="b">
        <f>IFERROR(__xludf.DUMMYFUNCTION("""COMPUTED_VALUE"""),FALSE)</f>
        <v>0</v>
      </c>
      <c r="E705" s="20" t="str">
        <f>IFERROR(__xludf.DUMMYFUNCTION("""COMPUTED_VALUE"""),"Easy")</f>
        <v>Easy</v>
      </c>
      <c r="F705" s="20">
        <f>IFERROR(__xludf.DUMMYFUNCTION("""COMPUTED_VALUE"""),7527.0)</f>
        <v>7527</v>
      </c>
      <c r="G705" s="20">
        <f>IFERROR(__xludf.DUMMYFUNCTION("""COMPUTED_VALUE"""),163.0)</f>
        <v>163</v>
      </c>
      <c r="H705" s="20" t="str">
        <f>IFERROR(__xludf.DUMMYFUNCTION("""COMPUTED_VALUE"""),"Algorithms")</f>
        <v>Algorithms</v>
      </c>
      <c r="I705" s="20">
        <f>IFERROR(__xludf.DUMMYFUNCTION("""COMPUTED_VALUE"""),0.551)</f>
        <v>0.551</v>
      </c>
      <c r="J705" s="20">
        <f>IFERROR(__xludf.DUMMYFUNCTION("""COMPUTED_VALUE"""),704.0)</f>
        <v>704</v>
      </c>
      <c r="K705" s="20" t="b">
        <f>IFERROR(__xludf.DUMMYFUNCTION("""COMPUTED_VALUE"""),FALSE)</f>
        <v>0</v>
      </c>
      <c r="L705" s="20" t="str">
        <f>IFERROR(__xludf.DUMMYFUNCTION("""COMPUTED_VALUE"""),"Array;Binary Search;")</f>
        <v>Array;Binary Search;</v>
      </c>
      <c r="M705" s="20" t="b">
        <f>IFERROR(__xludf.DUMMYFUNCTION("""COMPUTED_VALUE"""),TRUE)</f>
        <v>1</v>
      </c>
      <c r="N705" s="20" t="b">
        <f>IFERROR(__xludf.DUMMYFUNCTION("""COMPUTED_VALUE"""),FALSE)</f>
        <v>0</v>
      </c>
      <c r="O705" s="20">
        <f>IFERROR(__xludf.DUMMYFUNCTION("""COMPUTED_VALUE"""),55.1380804688047)</f>
        <v>55.13808047</v>
      </c>
      <c r="P705" s="20">
        <f>IFERROR(__xludf.DUMMYFUNCTION("""COMPUTED_VALUE"""),1440141.0)</f>
        <v>1440141</v>
      </c>
      <c r="Q705" s="20">
        <f>IFERROR(__xludf.DUMMYFUNCTION("""COMPUTED_VALUE"""),2611888.0)</f>
        <v>2611888</v>
      </c>
    </row>
    <row r="706">
      <c r="A706" s="20">
        <f>IFERROR(__xludf.DUMMYFUNCTION("""COMPUTED_VALUE"""),816.0)</f>
        <v>816</v>
      </c>
      <c r="B706" s="20" t="str">
        <f>IFERROR(__xludf.DUMMYFUNCTION("""COMPUTED_VALUE"""),"Design HashSet")</f>
        <v>Design HashSet</v>
      </c>
      <c r="C706" s="20" t="str">
        <f>IFERROR(__xludf.DUMMYFUNCTION("""COMPUTED_VALUE"""),"design-hashset")</f>
        <v>design-hashset</v>
      </c>
      <c r="D706" s="20" t="b">
        <f>IFERROR(__xludf.DUMMYFUNCTION("""COMPUTED_VALUE"""),FALSE)</f>
        <v>0</v>
      </c>
      <c r="E706" s="20" t="str">
        <f>IFERROR(__xludf.DUMMYFUNCTION("""COMPUTED_VALUE"""),"Easy")</f>
        <v>Easy</v>
      </c>
      <c r="F706" s="20">
        <f>IFERROR(__xludf.DUMMYFUNCTION("""COMPUTED_VALUE"""),2490.0)</f>
        <v>2490</v>
      </c>
      <c r="G706" s="20">
        <f>IFERROR(__xludf.DUMMYFUNCTION("""COMPUTED_VALUE"""),233.0)</f>
        <v>233</v>
      </c>
      <c r="H706" s="20" t="str">
        <f>IFERROR(__xludf.DUMMYFUNCTION("""COMPUTED_VALUE"""),"Algorithms")</f>
        <v>Algorithms</v>
      </c>
      <c r="I706" s="20">
        <f>IFERROR(__xludf.DUMMYFUNCTION("""COMPUTED_VALUE"""),0.658)</f>
        <v>0.658</v>
      </c>
      <c r="J706" s="20">
        <f>IFERROR(__xludf.DUMMYFUNCTION("""COMPUTED_VALUE"""),705.0)</f>
        <v>705</v>
      </c>
      <c r="K706" s="20" t="b">
        <f>IFERROR(__xludf.DUMMYFUNCTION("""COMPUTED_VALUE"""),FALSE)</f>
        <v>0</v>
      </c>
      <c r="L706" s="20" t="str">
        <f>IFERROR(__xludf.DUMMYFUNCTION("""COMPUTED_VALUE"""),"Array;Hash Table;Linked List;Design;Hash Function;")</f>
        <v>Array;Hash Table;Linked List;Design;Hash Function;</v>
      </c>
      <c r="M706" s="20" t="b">
        <f>IFERROR(__xludf.DUMMYFUNCTION("""COMPUTED_VALUE"""),TRUE)</f>
        <v>1</v>
      </c>
      <c r="N706" s="20" t="b">
        <f>IFERROR(__xludf.DUMMYFUNCTION("""COMPUTED_VALUE"""),FALSE)</f>
        <v>0</v>
      </c>
      <c r="O706" s="20">
        <f>IFERROR(__xludf.DUMMYFUNCTION("""COMPUTED_VALUE"""),65.8423557537719)</f>
        <v>65.84235575</v>
      </c>
      <c r="P706" s="20">
        <f>IFERROR(__xludf.DUMMYFUNCTION("""COMPUTED_VALUE"""),268244.0)</f>
        <v>268244</v>
      </c>
      <c r="Q706" s="20">
        <f>IFERROR(__xludf.DUMMYFUNCTION("""COMPUTED_VALUE"""),407399.0)</f>
        <v>407399</v>
      </c>
    </row>
    <row r="707">
      <c r="A707" s="20">
        <f>IFERROR(__xludf.DUMMYFUNCTION("""COMPUTED_VALUE"""),817.0)</f>
        <v>817</v>
      </c>
      <c r="B707" s="20" t="str">
        <f>IFERROR(__xludf.DUMMYFUNCTION("""COMPUTED_VALUE"""),"Design HashMap")</f>
        <v>Design HashMap</v>
      </c>
      <c r="C707" s="20" t="str">
        <f>IFERROR(__xludf.DUMMYFUNCTION("""COMPUTED_VALUE"""),"design-hashmap")</f>
        <v>design-hashmap</v>
      </c>
      <c r="D707" s="20" t="b">
        <f>IFERROR(__xludf.DUMMYFUNCTION("""COMPUTED_VALUE"""),FALSE)</f>
        <v>0</v>
      </c>
      <c r="E707" s="20" t="str">
        <f>IFERROR(__xludf.DUMMYFUNCTION("""COMPUTED_VALUE"""),"Easy")</f>
        <v>Easy</v>
      </c>
      <c r="F707" s="20">
        <f>IFERROR(__xludf.DUMMYFUNCTION("""COMPUTED_VALUE"""),3800.0)</f>
        <v>3800</v>
      </c>
      <c r="G707" s="20">
        <f>IFERROR(__xludf.DUMMYFUNCTION("""COMPUTED_VALUE"""),345.0)</f>
        <v>345</v>
      </c>
      <c r="H707" s="20" t="str">
        <f>IFERROR(__xludf.DUMMYFUNCTION("""COMPUTED_VALUE"""),"Algorithms")</f>
        <v>Algorithms</v>
      </c>
      <c r="I707" s="20">
        <f>IFERROR(__xludf.DUMMYFUNCTION("""COMPUTED_VALUE"""),0.649)</f>
        <v>0.649</v>
      </c>
      <c r="J707" s="20">
        <f>IFERROR(__xludf.DUMMYFUNCTION("""COMPUTED_VALUE"""),706.0)</f>
        <v>706</v>
      </c>
      <c r="K707" s="20" t="b">
        <f>IFERROR(__xludf.DUMMYFUNCTION("""COMPUTED_VALUE"""),FALSE)</f>
        <v>0</v>
      </c>
      <c r="L707" s="20" t="str">
        <f>IFERROR(__xludf.DUMMYFUNCTION("""COMPUTED_VALUE"""),"Array;Hash Table;Linked List;Design;Hash Function;")</f>
        <v>Array;Hash Table;Linked List;Design;Hash Function;</v>
      </c>
      <c r="M707" s="20" t="b">
        <f>IFERROR(__xludf.DUMMYFUNCTION("""COMPUTED_VALUE"""),TRUE)</f>
        <v>1</v>
      </c>
      <c r="N707" s="20" t="b">
        <f>IFERROR(__xludf.DUMMYFUNCTION("""COMPUTED_VALUE"""),FALSE)</f>
        <v>0</v>
      </c>
      <c r="O707" s="20">
        <f>IFERROR(__xludf.DUMMYFUNCTION("""COMPUTED_VALUE"""),64.9288217441607)</f>
        <v>64.92882174</v>
      </c>
      <c r="P707" s="20">
        <f>IFERROR(__xludf.DUMMYFUNCTION("""COMPUTED_VALUE"""),387220.0)</f>
        <v>387220</v>
      </c>
      <c r="Q707" s="20">
        <f>IFERROR(__xludf.DUMMYFUNCTION("""COMPUTED_VALUE"""),596379.0)</f>
        <v>596379</v>
      </c>
    </row>
    <row r="708">
      <c r="A708" s="20">
        <f>IFERROR(__xludf.DUMMYFUNCTION("""COMPUTED_VALUE"""),838.0)</f>
        <v>838</v>
      </c>
      <c r="B708" s="20" t="str">
        <f>IFERROR(__xludf.DUMMYFUNCTION("""COMPUTED_VALUE"""),"Design Linked List")</f>
        <v>Design Linked List</v>
      </c>
      <c r="C708" s="20" t="str">
        <f>IFERROR(__xludf.DUMMYFUNCTION("""COMPUTED_VALUE"""),"design-linked-list")</f>
        <v>design-linked-list</v>
      </c>
      <c r="D708" s="20" t="b">
        <f>IFERROR(__xludf.DUMMYFUNCTION("""COMPUTED_VALUE"""),FALSE)</f>
        <v>0</v>
      </c>
      <c r="E708" s="20" t="str">
        <f>IFERROR(__xludf.DUMMYFUNCTION("""COMPUTED_VALUE"""),"Medium")</f>
        <v>Medium</v>
      </c>
      <c r="F708" s="20">
        <f>IFERROR(__xludf.DUMMYFUNCTION("""COMPUTED_VALUE"""),1939.0)</f>
        <v>1939</v>
      </c>
      <c r="G708" s="20">
        <f>IFERROR(__xludf.DUMMYFUNCTION("""COMPUTED_VALUE"""),1350.0)</f>
        <v>1350</v>
      </c>
      <c r="H708" s="20" t="str">
        <f>IFERROR(__xludf.DUMMYFUNCTION("""COMPUTED_VALUE"""),"Algorithms")</f>
        <v>Algorithms</v>
      </c>
      <c r="I708" s="20">
        <f>IFERROR(__xludf.DUMMYFUNCTION("""COMPUTED_VALUE"""),0.275)</f>
        <v>0.275</v>
      </c>
      <c r="J708" s="20">
        <f>IFERROR(__xludf.DUMMYFUNCTION("""COMPUTED_VALUE"""),707.0)</f>
        <v>707</v>
      </c>
      <c r="K708" s="20" t="b">
        <f>IFERROR(__xludf.DUMMYFUNCTION("""COMPUTED_VALUE"""),FALSE)</f>
        <v>0</v>
      </c>
      <c r="L708" s="20" t="str">
        <f>IFERROR(__xludf.DUMMYFUNCTION("""COMPUTED_VALUE"""),"Linked List;Design;")</f>
        <v>Linked List;Design;</v>
      </c>
      <c r="M708" s="20" t="b">
        <f>IFERROR(__xludf.DUMMYFUNCTION("""COMPUTED_VALUE"""),TRUE)</f>
        <v>1</v>
      </c>
      <c r="N708" s="20" t="b">
        <f>IFERROR(__xludf.DUMMYFUNCTION("""COMPUTED_VALUE"""),FALSE)</f>
        <v>0</v>
      </c>
      <c r="O708" s="20">
        <f>IFERROR(__xludf.DUMMYFUNCTION("""COMPUTED_VALUE"""),27.524337548896)</f>
        <v>27.52433755</v>
      </c>
      <c r="P708" s="20">
        <f>IFERROR(__xludf.DUMMYFUNCTION("""COMPUTED_VALUE"""),236703.0)</f>
        <v>236703</v>
      </c>
      <c r="Q708" s="20">
        <f>IFERROR(__xludf.DUMMYFUNCTION("""COMPUTED_VALUE"""),859975.0)</f>
        <v>859975</v>
      </c>
    </row>
    <row r="709">
      <c r="A709" s="20">
        <f>IFERROR(__xludf.DUMMYFUNCTION("""COMPUTED_VALUE"""),850.0)</f>
        <v>850</v>
      </c>
      <c r="B709" s="20" t="str">
        <f>IFERROR(__xludf.DUMMYFUNCTION("""COMPUTED_VALUE"""),"Insert into a Sorted Circular Linked List")</f>
        <v>Insert into a Sorted Circular Linked List</v>
      </c>
      <c r="C709" s="20" t="str">
        <f>IFERROR(__xludf.DUMMYFUNCTION("""COMPUTED_VALUE"""),"insert-into-a-sorted-circular-linked-list")</f>
        <v>insert-into-a-sorted-circular-linked-list</v>
      </c>
      <c r="D709" s="20" t="b">
        <f>IFERROR(__xludf.DUMMYFUNCTION("""COMPUTED_VALUE"""),TRUE)</f>
        <v>1</v>
      </c>
      <c r="E709" s="20" t="str">
        <f>IFERROR(__xludf.DUMMYFUNCTION("""COMPUTED_VALUE"""),"Medium")</f>
        <v>Medium</v>
      </c>
      <c r="F709" s="20">
        <f>IFERROR(__xludf.DUMMYFUNCTION("""COMPUTED_VALUE"""),1026.0)</f>
        <v>1026</v>
      </c>
      <c r="G709" s="20">
        <f>IFERROR(__xludf.DUMMYFUNCTION("""COMPUTED_VALUE"""),682.0)</f>
        <v>682</v>
      </c>
      <c r="H709" s="20" t="str">
        <f>IFERROR(__xludf.DUMMYFUNCTION("""COMPUTED_VALUE"""),"Algorithms")</f>
        <v>Algorithms</v>
      </c>
      <c r="I709" s="20">
        <f>IFERROR(__xludf.DUMMYFUNCTION("""COMPUTED_VALUE"""),0.345)</f>
        <v>0.345</v>
      </c>
      <c r="J709" s="20">
        <f>IFERROR(__xludf.DUMMYFUNCTION("""COMPUTED_VALUE"""),708.0)</f>
        <v>708</v>
      </c>
      <c r="K709" s="20" t="b">
        <f>IFERROR(__xludf.DUMMYFUNCTION("""COMPUTED_VALUE"""),TRUE)</f>
        <v>1</v>
      </c>
      <c r="L709" s="20" t="str">
        <f>IFERROR(__xludf.DUMMYFUNCTION("""COMPUTED_VALUE"""),"Linked List;")</f>
        <v>Linked List;</v>
      </c>
      <c r="M709" s="20" t="b">
        <f>IFERROR(__xludf.DUMMYFUNCTION("""COMPUTED_VALUE"""),TRUE)</f>
        <v>1</v>
      </c>
      <c r="N709" s="20" t="b">
        <f>IFERROR(__xludf.DUMMYFUNCTION("""COMPUTED_VALUE"""),FALSE)</f>
        <v>0</v>
      </c>
      <c r="O709" s="20">
        <f>IFERROR(__xludf.DUMMYFUNCTION("""COMPUTED_VALUE"""),34.5080368734688)</f>
        <v>34.50803687</v>
      </c>
      <c r="P709" s="20">
        <f>IFERROR(__xludf.DUMMYFUNCTION("""COMPUTED_VALUE"""),127051.0)</f>
        <v>127051</v>
      </c>
      <c r="Q709" s="20">
        <f>IFERROR(__xludf.DUMMYFUNCTION("""COMPUTED_VALUE"""),368178.0)</f>
        <v>368178</v>
      </c>
    </row>
    <row r="710">
      <c r="A710" s="20">
        <f>IFERROR(__xludf.DUMMYFUNCTION("""COMPUTED_VALUE"""),742.0)</f>
        <v>742</v>
      </c>
      <c r="B710" s="20" t="str">
        <f>IFERROR(__xludf.DUMMYFUNCTION("""COMPUTED_VALUE"""),"To Lower Case")</f>
        <v>To Lower Case</v>
      </c>
      <c r="C710" s="20" t="str">
        <f>IFERROR(__xludf.DUMMYFUNCTION("""COMPUTED_VALUE"""),"to-lower-case")</f>
        <v>to-lower-case</v>
      </c>
      <c r="D710" s="20" t="b">
        <f>IFERROR(__xludf.DUMMYFUNCTION("""COMPUTED_VALUE"""),FALSE)</f>
        <v>0</v>
      </c>
      <c r="E710" s="20" t="str">
        <f>IFERROR(__xludf.DUMMYFUNCTION("""COMPUTED_VALUE"""),"Easy")</f>
        <v>Easy</v>
      </c>
      <c r="F710" s="20">
        <f>IFERROR(__xludf.DUMMYFUNCTION("""COMPUTED_VALUE"""),1388.0)</f>
        <v>1388</v>
      </c>
      <c r="G710" s="20">
        <f>IFERROR(__xludf.DUMMYFUNCTION("""COMPUTED_VALUE"""),2521.0)</f>
        <v>2521</v>
      </c>
      <c r="H710" s="20" t="str">
        <f>IFERROR(__xludf.DUMMYFUNCTION("""COMPUTED_VALUE"""),"Algorithms")</f>
        <v>Algorithms</v>
      </c>
      <c r="I710" s="20">
        <f>IFERROR(__xludf.DUMMYFUNCTION("""COMPUTED_VALUE"""),0.821)</f>
        <v>0.821</v>
      </c>
      <c r="J710" s="20">
        <f>IFERROR(__xludf.DUMMYFUNCTION("""COMPUTED_VALUE"""),709.0)</f>
        <v>709</v>
      </c>
      <c r="K710" s="20" t="b">
        <f>IFERROR(__xludf.DUMMYFUNCTION("""COMPUTED_VALUE"""),FALSE)</f>
        <v>0</v>
      </c>
      <c r="L710" s="20" t="str">
        <f>IFERROR(__xludf.DUMMYFUNCTION("""COMPUTED_VALUE"""),"String;")</f>
        <v>String;</v>
      </c>
      <c r="M710" s="20" t="b">
        <f>IFERROR(__xludf.DUMMYFUNCTION("""COMPUTED_VALUE"""),TRUE)</f>
        <v>1</v>
      </c>
      <c r="N710" s="20" t="b">
        <f>IFERROR(__xludf.DUMMYFUNCTION("""COMPUTED_VALUE"""),FALSE)</f>
        <v>0</v>
      </c>
      <c r="O710" s="20">
        <f>IFERROR(__xludf.DUMMYFUNCTION("""COMPUTED_VALUE"""),82.0601924980518)</f>
        <v>82.0601925</v>
      </c>
      <c r="P710" s="20">
        <f>IFERROR(__xludf.DUMMYFUNCTION("""COMPUTED_VALUE"""),389627.0)</f>
        <v>389627</v>
      </c>
      <c r="Q710" s="20">
        <f>IFERROR(__xludf.DUMMYFUNCTION("""COMPUTED_VALUE"""),474807.0)</f>
        <v>474807</v>
      </c>
    </row>
    <row r="711">
      <c r="A711" s="20">
        <f>IFERROR(__xludf.DUMMYFUNCTION("""COMPUTED_VALUE"""),894.0)</f>
        <v>894</v>
      </c>
      <c r="B711" s="20" t="str">
        <f>IFERROR(__xludf.DUMMYFUNCTION("""COMPUTED_VALUE"""),"Random Pick with Blacklist")</f>
        <v>Random Pick with Blacklist</v>
      </c>
      <c r="C711" s="20" t="str">
        <f>IFERROR(__xludf.DUMMYFUNCTION("""COMPUTED_VALUE"""),"random-pick-with-blacklist")</f>
        <v>random-pick-with-blacklist</v>
      </c>
      <c r="D711" s="20" t="b">
        <f>IFERROR(__xludf.DUMMYFUNCTION("""COMPUTED_VALUE"""),FALSE)</f>
        <v>0</v>
      </c>
      <c r="E711" s="20" t="str">
        <f>IFERROR(__xludf.DUMMYFUNCTION("""COMPUTED_VALUE"""),"Hard")</f>
        <v>Hard</v>
      </c>
      <c r="F711" s="20">
        <f>IFERROR(__xludf.DUMMYFUNCTION("""COMPUTED_VALUE"""),743.0)</f>
        <v>743</v>
      </c>
      <c r="G711" s="20">
        <f>IFERROR(__xludf.DUMMYFUNCTION("""COMPUTED_VALUE"""),101.0)</f>
        <v>101</v>
      </c>
      <c r="H711" s="20" t="str">
        <f>IFERROR(__xludf.DUMMYFUNCTION("""COMPUTED_VALUE"""),"Algorithms")</f>
        <v>Algorithms</v>
      </c>
      <c r="I711" s="20">
        <f>IFERROR(__xludf.DUMMYFUNCTION("""COMPUTED_VALUE"""),0.337)</f>
        <v>0.337</v>
      </c>
      <c r="J711" s="20">
        <f>IFERROR(__xludf.DUMMYFUNCTION("""COMPUTED_VALUE"""),710.0)</f>
        <v>710</v>
      </c>
      <c r="K711" s="20" t="b">
        <f>IFERROR(__xludf.DUMMYFUNCTION("""COMPUTED_VALUE"""),FALSE)</f>
        <v>0</v>
      </c>
      <c r="L711" s="20" t="str">
        <f>IFERROR(__xludf.DUMMYFUNCTION("""COMPUTED_VALUE"""),"Hash Table;Math;Binary Search;Sorting;Randomized;")</f>
        <v>Hash Table;Math;Binary Search;Sorting;Randomized;</v>
      </c>
      <c r="M711" s="20" t="b">
        <f>IFERROR(__xludf.DUMMYFUNCTION("""COMPUTED_VALUE"""),TRUE)</f>
        <v>1</v>
      </c>
      <c r="N711" s="20" t="b">
        <f>IFERROR(__xludf.DUMMYFUNCTION("""COMPUTED_VALUE"""),FALSE)</f>
        <v>0</v>
      </c>
      <c r="O711" s="20">
        <f>IFERROR(__xludf.DUMMYFUNCTION("""COMPUTED_VALUE"""),33.6690746069967)</f>
        <v>33.66907461</v>
      </c>
      <c r="P711" s="20">
        <f>IFERROR(__xludf.DUMMYFUNCTION("""COMPUTED_VALUE"""),34397.0)</f>
        <v>34397</v>
      </c>
      <c r="Q711" s="20">
        <f>IFERROR(__xludf.DUMMYFUNCTION("""COMPUTED_VALUE"""),102162.0)</f>
        <v>102162</v>
      </c>
    </row>
    <row r="712">
      <c r="A712" s="20">
        <f>IFERROR(__xludf.DUMMYFUNCTION("""COMPUTED_VALUE"""),711.0)</f>
        <v>711</v>
      </c>
      <c r="B712" s="20" t="str">
        <f>IFERROR(__xludf.DUMMYFUNCTION("""COMPUTED_VALUE"""),"Number of Distinct Islands II")</f>
        <v>Number of Distinct Islands II</v>
      </c>
      <c r="C712" s="20" t="str">
        <f>IFERROR(__xludf.DUMMYFUNCTION("""COMPUTED_VALUE"""),"number-of-distinct-islands-ii")</f>
        <v>number-of-distinct-islands-ii</v>
      </c>
      <c r="D712" s="20" t="b">
        <f>IFERROR(__xludf.DUMMYFUNCTION("""COMPUTED_VALUE"""),TRUE)</f>
        <v>1</v>
      </c>
      <c r="E712" s="20" t="str">
        <f>IFERROR(__xludf.DUMMYFUNCTION("""COMPUTED_VALUE"""),"Hard")</f>
        <v>Hard</v>
      </c>
      <c r="F712" s="20">
        <f>IFERROR(__xludf.DUMMYFUNCTION("""COMPUTED_VALUE"""),231.0)</f>
        <v>231</v>
      </c>
      <c r="G712" s="20">
        <f>IFERROR(__xludf.DUMMYFUNCTION("""COMPUTED_VALUE"""),233.0)</f>
        <v>233</v>
      </c>
      <c r="H712" s="20" t="str">
        <f>IFERROR(__xludf.DUMMYFUNCTION("""COMPUTED_VALUE"""),"Algorithms")</f>
        <v>Algorithms</v>
      </c>
      <c r="I712" s="20">
        <f>IFERROR(__xludf.DUMMYFUNCTION("""COMPUTED_VALUE"""),0.517)</f>
        <v>0.517</v>
      </c>
      <c r="J712" s="20">
        <f>IFERROR(__xludf.DUMMYFUNCTION("""COMPUTED_VALUE"""),711.0)</f>
        <v>711</v>
      </c>
      <c r="K712" s="20" t="b">
        <f>IFERROR(__xludf.DUMMYFUNCTION("""COMPUTED_VALUE"""),TRUE)</f>
        <v>1</v>
      </c>
      <c r="L712" s="20" t="str">
        <f>IFERROR(__xludf.DUMMYFUNCTION("""COMPUTED_VALUE"""),"Hash Table;Depth-First Search;Breadth-First Search;Union Find;Hash Function;")</f>
        <v>Hash Table;Depth-First Search;Breadth-First Search;Union Find;Hash Function;</v>
      </c>
      <c r="M712" s="20" t="b">
        <f>IFERROR(__xludf.DUMMYFUNCTION("""COMPUTED_VALUE"""),TRUE)</f>
        <v>1</v>
      </c>
      <c r="N712" s="20" t="b">
        <f>IFERROR(__xludf.DUMMYFUNCTION("""COMPUTED_VALUE"""),FALSE)</f>
        <v>0</v>
      </c>
      <c r="O712" s="20">
        <f>IFERROR(__xludf.DUMMYFUNCTION("""COMPUTED_VALUE"""),51.7404972849385)</f>
        <v>51.74049728</v>
      </c>
      <c r="P712" s="20">
        <f>IFERROR(__xludf.DUMMYFUNCTION("""COMPUTED_VALUE"""),9052.0)</f>
        <v>9052</v>
      </c>
      <c r="Q712" s="20">
        <f>IFERROR(__xludf.DUMMYFUNCTION("""COMPUTED_VALUE"""),17495.0)</f>
        <v>17495</v>
      </c>
    </row>
    <row r="713">
      <c r="A713" s="20">
        <f>IFERROR(__xludf.DUMMYFUNCTION("""COMPUTED_VALUE"""),712.0)</f>
        <v>712</v>
      </c>
      <c r="B713" s="20" t="str">
        <f>IFERROR(__xludf.DUMMYFUNCTION("""COMPUTED_VALUE"""),"Minimum ASCII Delete Sum for Two Strings")</f>
        <v>Minimum ASCII Delete Sum for Two Strings</v>
      </c>
      <c r="C713" s="20" t="str">
        <f>IFERROR(__xludf.DUMMYFUNCTION("""COMPUTED_VALUE"""),"minimum-ascii-delete-sum-for-two-strings")</f>
        <v>minimum-ascii-delete-sum-for-two-strings</v>
      </c>
      <c r="D713" s="20" t="b">
        <f>IFERROR(__xludf.DUMMYFUNCTION("""COMPUTED_VALUE"""),FALSE)</f>
        <v>0</v>
      </c>
      <c r="E713" s="20" t="str">
        <f>IFERROR(__xludf.DUMMYFUNCTION("""COMPUTED_VALUE"""),"Medium")</f>
        <v>Medium</v>
      </c>
      <c r="F713" s="20">
        <f>IFERROR(__xludf.DUMMYFUNCTION("""COMPUTED_VALUE"""),2326.0)</f>
        <v>2326</v>
      </c>
      <c r="G713" s="20">
        <f>IFERROR(__xludf.DUMMYFUNCTION("""COMPUTED_VALUE"""),68.0)</f>
        <v>68</v>
      </c>
      <c r="H713" s="20" t="str">
        <f>IFERROR(__xludf.DUMMYFUNCTION("""COMPUTED_VALUE"""),"Algorithms")</f>
        <v>Algorithms</v>
      </c>
      <c r="I713" s="20">
        <f>IFERROR(__xludf.DUMMYFUNCTION("""COMPUTED_VALUE"""),0.624)</f>
        <v>0.624</v>
      </c>
      <c r="J713" s="20">
        <f>IFERROR(__xludf.DUMMYFUNCTION("""COMPUTED_VALUE"""),712.0)</f>
        <v>712</v>
      </c>
      <c r="K713" s="20" t="b">
        <f>IFERROR(__xludf.DUMMYFUNCTION("""COMPUTED_VALUE"""),FALSE)</f>
        <v>0</v>
      </c>
      <c r="L713" s="20" t="str">
        <f>IFERROR(__xludf.DUMMYFUNCTION("""COMPUTED_VALUE"""),"String;Dynamic Programming;")</f>
        <v>String;Dynamic Programming;</v>
      </c>
      <c r="M713" s="20" t="b">
        <f>IFERROR(__xludf.DUMMYFUNCTION("""COMPUTED_VALUE"""),TRUE)</f>
        <v>1</v>
      </c>
      <c r="N713" s="20" t="b">
        <f>IFERROR(__xludf.DUMMYFUNCTION("""COMPUTED_VALUE"""),FALSE)</f>
        <v>0</v>
      </c>
      <c r="O713" s="20">
        <f>IFERROR(__xludf.DUMMYFUNCTION("""COMPUTED_VALUE"""),62.3644064878267)</f>
        <v>62.36440649</v>
      </c>
      <c r="P713" s="20">
        <f>IFERROR(__xludf.DUMMYFUNCTION("""COMPUTED_VALUE"""),72440.0)</f>
        <v>72440</v>
      </c>
      <c r="Q713" s="20">
        <f>IFERROR(__xludf.DUMMYFUNCTION("""COMPUTED_VALUE"""),116156.0)</f>
        <v>116156</v>
      </c>
    </row>
    <row r="714">
      <c r="A714" s="20">
        <f>IFERROR(__xludf.DUMMYFUNCTION("""COMPUTED_VALUE"""),713.0)</f>
        <v>713</v>
      </c>
      <c r="B714" s="20" t="str">
        <f>IFERROR(__xludf.DUMMYFUNCTION("""COMPUTED_VALUE"""),"Subarray Product Less Than K")</f>
        <v>Subarray Product Less Than K</v>
      </c>
      <c r="C714" s="20" t="str">
        <f>IFERROR(__xludf.DUMMYFUNCTION("""COMPUTED_VALUE"""),"subarray-product-less-than-k")</f>
        <v>subarray-product-less-than-k</v>
      </c>
      <c r="D714" s="20" t="b">
        <f>IFERROR(__xludf.DUMMYFUNCTION("""COMPUTED_VALUE"""),FALSE)</f>
        <v>0</v>
      </c>
      <c r="E714" s="20" t="str">
        <f>IFERROR(__xludf.DUMMYFUNCTION("""COMPUTED_VALUE"""),"Medium")</f>
        <v>Medium</v>
      </c>
      <c r="F714" s="20">
        <f>IFERROR(__xludf.DUMMYFUNCTION("""COMPUTED_VALUE"""),4895.0)</f>
        <v>4895</v>
      </c>
      <c r="G714" s="20">
        <f>IFERROR(__xludf.DUMMYFUNCTION("""COMPUTED_VALUE"""),158.0)</f>
        <v>158</v>
      </c>
      <c r="H714" s="20" t="str">
        <f>IFERROR(__xludf.DUMMYFUNCTION("""COMPUTED_VALUE"""),"Algorithms")</f>
        <v>Algorithms</v>
      </c>
      <c r="I714" s="20">
        <f>IFERROR(__xludf.DUMMYFUNCTION("""COMPUTED_VALUE"""),0.453)</f>
        <v>0.453</v>
      </c>
      <c r="J714" s="20">
        <f>IFERROR(__xludf.DUMMYFUNCTION("""COMPUTED_VALUE"""),713.0)</f>
        <v>713</v>
      </c>
      <c r="K714" s="20" t="b">
        <f>IFERROR(__xludf.DUMMYFUNCTION("""COMPUTED_VALUE"""),FALSE)</f>
        <v>0</v>
      </c>
      <c r="L714" s="20" t="str">
        <f>IFERROR(__xludf.DUMMYFUNCTION("""COMPUTED_VALUE"""),"Array;Sliding Window;")</f>
        <v>Array;Sliding Window;</v>
      </c>
      <c r="M714" s="20" t="b">
        <f>IFERROR(__xludf.DUMMYFUNCTION("""COMPUTED_VALUE"""),TRUE)</f>
        <v>1</v>
      </c>
      <c r="N714" s="20" t="b">
        <f>IFERROR(__xludf.DUMMYFUNCTION("""COMPUTED_VALUE"""),FALSE)</f>
        <v>0</v>
      </c>
      <c r="O714" s="20">
        <f>IFERROR(__xludf.DUMMYFUNCTION("""COMPUTED_VALUE"""),45.315604991556)</f>
        <v>45.31560499</v>
      </c>
      <c r="P714" s="20">
        <f>IFERROR(__xludf.DUMMYFUNCTION("""COMPUTED_VALUE"""),209565.0)</f>
        <v>209565</v>
      </c>
      <c r="Q714" s="20">
        <f>IFERROR(__xludf.DUMMYFUNCTION("""COMPUTED_VALUE"""),462459.0)</f>
        <v>462459</v>
      </c>
    </row>
    <row r="715">
      <c r="A715" s="20">
        <f>IFERROR(__xludf.DUMMYFUNCTION("""COMPUTED_VALUE"""),714.0)</f>
        <v>714</v>
      </c>
      <c r="B715" s="20" t="str">
        <f>IFERROR(__xludf.DUMMYFUNCTION("""COMPUTED_VALUE"""),"Best Time to Buy and Sell Stock with Transaction Fee")</f>
        <v>Best Time to Buy and Sell Stock with Transaction Fee</v>
      </c>
      <c r="C715" s="20" t="str">
        <f>IFERROR(__xludf.DUMMYFUNCTION("""COMPUTED_VALUE"""),"best-time-to-buy-and-sell-stock-with-transaction-fee")</f>
        <v>best-time-to-buy-and-sell-stock-with-transaction-fee</v>
      </c>
      <c r="D715" s="20" t="b">
        <f>IFERROR(__xludf.DUMMYFUNCTION("""COMPUTED_VALUE"""),FALSE)</f>
        <v>0</v>
      </c>
      <c r="E715" s="20" t="str">
        <f>IFERROR(__xludf.DUMMYFUNCTION("""COMPUTED_VALUE"""),"Medium")</f>
        <v>Medium</v>
      </c>
      <c r="F715" s="20">
        <f>IFERROR(__xludf.DUMMYFUNCTION("""COMPUTED_VALUE"""),4890.0)</f>
        <v>4890</v>
      </c>
      <c r="G715" s="20">
        <f>IFERROR(__xludf.DUMMYFUNCTION("""COMPUTED_VALUE"""),120.0)</f>
        <v>120</v>
      </c>
      <c r="H715" s="20" t="str">
        <f>IFERROR(__xludf.DUMMYFUNCTION("""COMPUTED_VALUE"""),"Algorithms")</f>
        <v>Algorithms</v>
      </c>
      <c r="I715" s="20">
        <f>IFERROR(__xludf.DUMMYFUNCTION("""COMPUTED_VALUE"""),0.646)</f>
        <v>0.646</v>
      </c>
      <c r="J715" s="20">
        <f>IFERROR(__xludf.DUMMYFUNCTION("""COMPUTED_VALUE"""),714.0)</f>
        <v>714</v>
      </c>
      <c r="K715" s="20" t="b">
        <f>IFERROR(__xludf.DUMMYFUNCTION("""COMPUTED_VALUE"""),FALSE)</f>
        <v>0</v>
      </c>
      <c r="L715" s="20" t="str">
        <f>IFERROR(__xludf.DUMMYFUNCTION("""COMPUTED_VALUE"""),"Array;Dynamic Programming;Greedy;")</f>
        <v>Array;Dynamic Programming;Greedy;</v>
      </c>
      <c r="M715" s="20" t="b">
        <f>IFERROR(__xludf.DUMMYFUNCTION("""COMPUTED_VALUE"""),TRUE)</f>
        <v>1</v>
      </c>
      <c r="N715" s="20" t="b">
        <f>IFERROR(__xludf.DUMMYFUNCTION("""COMPUTED_VALUE"""),FALSE)</f>
        <v>0</v>
      </c>
      <c r="O715" s="20">
        <f>IFERROR(__xludf.DUMMYFUNCTION("""COMPUTED_VALUE"""),64.5929499003338)</f>
        <v>64.5929499</v>
      </c>
      <c r="P715" s="20">
        <f>IFERROR(__xludf.DUMMYFUNCTION("""COMPUTED_VALUE"""),208357.0)</f>
        <v>208357</v>
      </c>
      <c r="Q715" s="20">
        <f>IFERROR(__xludf.DUMMYFUNCTION("""COMPUTED_VALUE"""),322572.0)</f>
        <v>322572</v>
      </c>
    </row>
    <row r="716">
      <c r="A716" s="20">
        <f>IFERROR(__xludf.DUMMYFUNCTION("""COMPUTED_VALUE"""),715.0)</f>
        <v>715</v>
      </c>
      <c r="B716" s="20" t="str">
        <f>IFERROR(__xludf.DUMMYFUNCTION("""COMPUTED_VALUE"""),"Range Module")</f>
        <v>Range Module</v>
      </c>
      <c r="C716" s="20" t="str">
        <f>IFERROR(__xludf.DUMMYFUNCTION("""COMPUTED_VALUE"""),"range-module")</f>
        <v>range-module</v>
      </c>
      <c r="D716" s="20" t="b">
        <f>IFERROR(__xludf.DUMMYFUNCTION("""COMPUTED_VALUE"""),FALSE)</f>
        <v>0</v>
      </c>
      <c r="E716" s="20" t="str">
        <f>IFERROR(__xludf.DUMMYFUNCTION("""COMPUTED_VALUE"""),"Hard")</f>
        <v>Hard</v>
      </c>
      <c r="F716" s="20">
        <f>IFERROR(__xludf.DUMMYFUNCTION("""COMPUTED_VALUE"""),1192.0)</f>
        <v>1192</v>
      </c>
      <c r="G716" s="20">
        <f>IFERROR(__xludf.DUMMYFUNCTION("""COMPUTED_VALUE"""),93.0)</f>
        <v>93</v>
      </c>
      <c r="H716" s="20" t="str">
        <f>IFERROR(__xludf.DUMMYFUNCTION("""COMPUTED_VALUE"""),"Algorithms")</f>
        <v>Algorithms</v>
      </c>
      <c r="I716" s="20">
        <f>IFERROR(__xludf.DUMMYFUNCTION("""COMPUTED_VALUE"""),0.446)</f>
        <v>0.446</v>
      </c>
      <c r="J716" s="20">
        <f>IFERROR(__xludf.DUMMYFUNCTION("""COMPUTED_VALUE"""),715.0)</f>
        <v>715</v>
      </c>
      <c r="K716" s="20" t="b">
        <f>IFERROR(__xludf.DUMMYFUNCTION("""COMPUTED_VALUE"""),FALSE)</f>
        <v>0</v>
      </c>
      <c r="L716" s="20" t="str">
        <f>IFERROR(__xludf.DUMMYFUNCTION("""COMPUTED_VALUE"""),"Design;Segment Tree;Ordered Set;")</f>
        <v>Design;Segment Tree;Ordered Set;</v>
      </c>
      <c r="M716" s="20" t="b">
        <f>IFERROR(__xludf.DUMMYFUNCTION("""COMPUTED_VALUE"""),FALSE)</f>
        <v>0</v>
      </c>
      <c r="N716" s="20" t="b">
        <f>IFERROR(__xludf.DUMMYFUNCTION("""COMPUTED_VALUE"""),FALSE)</f>
        <v>0</v>
      </c>
      <c r="O716" s="20">
        <f>IFERROR(__xludf.DUMMYFUNCTION("""COMPUTED_VALUE"""),44.6360634992739)</f>
        <v>44.6360635</v>
      </c>
      <c r="P716" s="20">
        <f>IFERROR(__xludf.DUMMYFUNCTION("""COMPUTED_VALUE"""),55026.0)</f>
        <v>55026</v>
      </c>
      <c r="Q716" s="20">
        <f>IFERROR(__xludf.DUMMYFUNCTION("""COMPUTED_VALUE"""),123277.0)</f>
        <v>123277</v>
      </c>
    </row>
    <row r="717">
      <c r="A717" s="20">
        <f>IFERROR(__xludf.DUMMYFUNCTION("""COMPUTED_VALUE"""),716.0)</f>
        <v>716</v>
      </c>
      <c r="B717" s="20" t="str">
        <f>IFERROR(__xludf.DUMMYFUNCTION("""COMPUTED_VALUE"""),"Max Stack")</f>
        <v>Max Stack</v>
      </c>
      <c r="C717" s="20" t="str">
        <f>IFERROR(__xludf.DUMMYFUNCTION("""COMPUTED_VALUE"""),"max-stack")</f>
        <v>max-stack</v>
      </c>
      <c r="D717" s="20" t="b">
        <f>IFERROR(__xludf.DUMMYFUNCTION("""COMPUTED_VALUE"""),TRUE)</f>
        <v>1</v>
      </c>
      <c r="E717" s="20" t="str">
        <f>IFERROR(__xludf.DUMMYFUNCTION("""COMPUTED_VALUE"""),"Hard")</f>
        <v>Hard</v>
      </c>
      <c r="F717" s="20">
        <f>IFERROR(__xludf.DUMMYFUNCTION("""COMPUTED_VALUE"""),1767.0)</f>
        <v>1767</v>
      </c>
      <c r="G717" s="20">
        <f>IFERROR(__xludf.DUMMYFUNCTION("""COMPUTED_VALUE"""),491.0)</f>
        <v>491</v>
      </c>
      <c r="H717" s="20" t="str">
        <f>IFERROR(__xludf.DUMMYFUNCTION("""COMPUTED_VALUE"""),"Algorithms")</f>
        <v>Algorithms</v>
      </c>
      <c r="I717" s="20">
        <f>IFERROR(__xludf.DUMMYFUNCTION("""COMPUTED_VALUE"""),0.453)</f>
        <v>0.453</v>
      </c>
      <c r="J717" s="20">
        <f>IFERROR(__xludf.DUMMYFUNCTION("""COMPUTED_VALUE"""),716.0)</f>
        <v>716</v>
      </c>
      <c r="K717" s="20" t="b">
        <f>IFERROR(__xludf.DUMMYFUNCTION("""COMPUTED_VALUE"""),TRUE)</f>
        <v>1</v>
      </c>
      <c r="L717" s="20" t="str">
        <f>IFERROR(__xludf.DUMMYFUNCTION("""COMPUTED_VALUE"""),"Linked List;Stack;Design;Doubly-Linked List;Ordered Set;")</f>
        <v>Linked List;Stack;Design;Doubly-Linked List;Ordered Set;</v>
      </c>
      <c r="M717" s="20" t="b">
        <f>IFERROR(__xludf.DUMMYFUNCTION("""COMPUTED_VALUE"""),TRUE)</f>
        <v>1</v>
      </c>
      <c r="N717" s="20" t="b">
        <f>IFERROR(__xludf.DUMMYFUNCTION("""COMPUTED_VALUE"""),FALSE)</f>
        <v>0</v>
      </c>
      <c r="O717" s="20">
        <f>IFERROR(__xludf.DUMMYFUNCTION("""COMPUTED_VALUE"""),45.3035625669287)</f>
        <v>45.30356257</v>
      </c>
      <c r="P717" s="20">
        <f>IFERROR(__xludf.DUMMYFUNCTION("""COMPUTED_VALUE"""),138763.0)</f>
        <v>138763</v>
      </c>
      <c r="Q717" s="20">
        <f>IFERROR(__xludf.DUMMYFUNCTION("""COMPUTED_VALUE"""),306296.0)</f>
        <v>306296</v>
      </c>
    </row>
    <row r="718">
      <c r="A718" s="20">
        <f>IFERROR(__xludf.DUMMYFUNCTION("""COMPUTED_VALUE"""),717.0)</f>
        <v>717</v>
      </c>
      <c r="B718" s="20" t="str">
        <f>IFERROR(__xludf.DUMMYFUNCTION("""COMPUTED_VALUE"""),"1-bit and 2-bit Characters")</f>
        <v>1-bit and 2-bit Characters</v>
      </c>
      <c r="C718" s="20" t="str">
        <f>IFERROR(__xludf.DUMMYFUNCTION("""COMPUTED_VALUE"""),"1-bit-and-2-bit-characters")</f>
        <v>1-bit-and-2-bit-characters</v>
      </c>
      <c r="D718" s="20" t="b">
        <f>IFERROR(__xludf.DUMMYFUNCTION("""COMPUTED_VALUE"""),FALSE)</f>
        <v>0</v>
      </c>
      <c r="E718" s="20" t="str">
        <f>IFERROR(__xludf.DUMMYFUNCTION("""COMPUTED_VALUE"""),"Easy")</f>
        <v>Easy</v>
      </c>
      <c r="F718" s="20">
        <f>IFERROR(__xludf.DUMMYFUNCTION("""COMPUTED_VALUE"""),738.0)</f>
        <v>738</v>
      </c>
      <c r="G718" s="20">
        <f>IFERROR(__xludf.DUMMYFUNCTION("""COMPUTED_VALUE"""),1873.0)</f>
        <v>1873</v>
      </c>
      <c r="H718" s="20" t="str">
        <f>IFERROR(__xludf.DUMMYFUNCTION("""COMPUTED_VALUE"""),"Algorithms")</f>
        <v>Algorithms</v>
      </c>
      <c r="I718" s="20">
        <f>IFERROR(__xludf.DUMMYFUNCTION("""COMPUTED_VALUE"""),0.459)</f>
        <v>0.459</v>
      </c>
      <c r="J718" s="20">
        <f>IFERROR(__xludf.DUMMYFUNCTION("""COMPUTED_VALUE"""),717.0)</f>
        <v>717</v>
      </c>
      <c r="K718" s="20" t="b">
        <f>IFERROR(__xludf.DUMMYFUNCTION("""COMPUTED_VALUE"""),FALSE)</f>
        <v>0</v>
      </c>
      <c r="L718" s="20" t="str">
        <f>IFERROR(__xludf.DUMMYFUNCTION("""COMPUTED_VALUE"""),"Array;")</f>
        <v>Array;</v>
      </c>
      <c r="M718" s="20" t="b">
        <f>IFERROR(__xludf.DUMMYFUNCTION("""COMPUTED_VALUE"""),FALSE)</f>
        <v>0</v>
      </c>
      <c r="N718" s="20" t="b">
        <f>IFERROR(__xludf.DUMMYFUNCTION("""COMPUTED_VALUE"""),FALSE)</f>
        <v>0</v>
      </c>
      <c r="O718" s="20">
        <f>IFERROR(__xludf.DUMMYFUNCTION("""COMPUTED_VALUE"""),45.9120751199697)</f>
        <v>45.91207512</v>
      </c>
      <c r="P718" s="20">
        <f>IFERROR(__xludf.DUMMYFUNCTION("""COMPUTED_VALUE"""),112800.0)</f>
        <v>112800</v>
      </c>
      <c r="Q718" s="20">
        <f>IFERROR(__xludf.DUMMYFUNCTION("""COMPUTED_VALUE"""),245687.0)</f>
        <v>245687</v>
      </c>
    </row>
    <row r="719">
      <c r="A719" s="20">
        <f>IFERROR(__xludf.DUMMYFUNCTION("""COMPUTED_VALUE"""),718.0)</f>
        <v>718</v>
      </c>
      <c r="B719" s="20" t="str">
        <f>IFERROR(__xludf.DUMMYFUNCTION("""COMPUTED_VALUE"""),"Maximum Length of Repeated Subarray")</f>
        <v>Maximum Length of Repeated Subarray</v>
      </c>
      <c r="C719" s="20" t="str">
        <f>IFERROR(__xludf.DUMMYFUNCTION("""COMPUTED_VALUE"""),"maximum-length-of-repeated-subarray")</f>
        <v>maximum-length-of-repeated-subarray</v>
      </c>
      <c r="D719" s="20" t="b">
        <f>IFERROR(__xludf.DUMMYFUNCTION("""COMPUTED_VALUE"""),FALSE)</f>
        <v>0</v>
      </c>
      <c r="E719" s="20" t="str">
        <f>IFERROR(__xludf.DUMMYFUNCTION("""COMPUTED_VALUE"""),"Medium")</f>
        <v>Medium</v>
      </c>
      <c r="F719" s="20">
        <f>IFERROR(__xludf.DUMMYFUNCTION("""COMPUTED_VALUE"""),5870.0)</f>
        <v>5870</v>
      </c>
      <c r="G719" s="20">
        <f>IFERROR(__xludf.DUMMYFUNCTION("""COMPUTED_VALUE"""),148.0)</f>
        <v>148</v>
      </c>
      <c r="H719" s="20" t="str">
        <f>IFERROR(__xludf.DUMMYFUNCTION("""COMPUTED_VALUE"""),"Algorithms")</f>
        <v>Algorithms</v>
      </c>
      <c r="I719" s="20">
        <f>IFERROR(__xludf.DUMMYFUNCTION("""COMPUTED_VALUE"""),0.514)</f>
        <v>0.514</v>
      </c>
      <c r="J719" s="20">
        <f>IFERROR(__xludf.DUMMYFUNCTION("""COMPUTED_VALUE"""),718.0)</f>
        <v>718</v>
      </c>
      <c r="K719" s="20" t="b">
        <f>IFERROR(__xludf.DUMMYFUNCTION("""COMPUTED_VALUE"""),FALSE)</f>
        <v>0</v>
      </c>
      <c r="L719" s="20" t="str">
        <f>IFERROR(__xludf.DUMMYFUNCTION("""COMPUTED_VALUE"""),"Array;Binary Search;Dynamic Programming;Sliding Window;Rolling Hash;Hash Function;")</f>
        <v>Array;Binary Search;Dynamic Programming;Sliding Window;Rolling Hash;Hash Function;</v>
      </c>
      <c r="M719" s="20" t="b">
        <f>IFERROR(__xludf.DUMMYFUNCTION("""COMPUTED_VALUE"""),TRUE)</f>
        <v>1</v>
      </c>
      <c r="N719" s="20" t="b">
        <f>IFERROR(__xludf.DUMMYFUNCTION("""COMPUTED_VALUE"""),FALSE)</f>
        <v>0</v>
      </c>
      <c r="O719" s="20">
        <f>IFERROR(__xludf.DUMMYFUNCTION("""COMPUTED_VALUE"""),51.4222431861528)</f>
        <v>51.42224319</v>
      </c>
      <c r="P719" s="20">
        <f>IFERROR(__xludf.DUMMYFUNCTION("""COMPUTED_VALUE"""),250740.0)</f>
        <v>250740</v>
      </c>
      <c r="Q719" s="20">
        <f>IFERROR(__xludf.DUMMYFUNCTION("""COMPUTED_VALUE"""),487610.0)</f>
        <v>487610</v>
      </c>
    </row>
    <row r="720">
      <c r="A720" s="20">
        <f>IFERROR(__xludf.DUMMYFUNCTION("""COMPUTED_VALUE"""),719.0)</f>
        <v>719</v>
      </c>
      <c r="B720" s="20" t="str">
        <f>IFERROR(__xludf.DUMMYFUNCTION("""COMPUTED_VALUE"""),"Find K-th Smallest Pair Distance")</f>
        <v>Find K-th Smallest Pair Distance</v>
      </c>
      <c r="C720" s="20" t="str">
        <f>IFERROR(__xludf.DUMMYFUNCTION("""COMPUTED_VALUE"""),"find-k-th-smallest-pair-distance")</f>
        <v>find-k-th-smallest-pair-distance</v>
      </c>
      <c r="D720" s="20" t="b">
        <f>IFERROR(__xludf.DUMMYFUNCTION("""COMPUTED_VALUE"""),FALSE)</f>
        <v>0</v>
      </c>
      <c r="E720" s="20" t="str">
        <f>IFERROR(__xludf.DUMMYFUNCTION("""COMPUTED_VALUE"""),"Hard")</f>
        <v>Hard</v>
      </c>
      <c r="F720" s="20">
        <f>IFERROR(__xludf.DUMMYFUNCTION("""COMPUTED_VALUE"""),2452.0)</f>
        <v>2452</v>
      </c>
      <c r="G720" s="20">
        <f>IFERROR(__xludf.DUMMYFUNCTION("""COMPUTED_VALUE"""),76.0)</f>
        <v>76</v>
      </c>
      <c r="H720" s="20" t="str">
        <f>IFERROR(__xludf.DUMMYFUNCTION("""COMPUTED_VALUE"""),"Algorithms")</f>
        <v>Algorithms</v>
      </c>
      <c r="I720" s="20">
        <f>IFERROR(__xludf.DUMMYFUNCTION("""COMPUTED_VALUE"""),0.365)</f>
        <v>0.365</v>
      </c>
      <c r="J720" s="20">
        <f>IFERROR(__xludf.DUMMYFUNCTION("""COMPUTED_VALUE"""),719.0)</f>
        <v>719</v>
      </c>
      <c r="K720" s="20" t="b">
        <f>IFERROR(__xludf.DUMMYFUNCTION("""COMPUTED_VALUE"""),FALSE)</f>
        <v>0</v>
      </c>
      <c r="L720" s="20" t="str">
        <f>IFERROR(__xludf.DUMMYFUNCTION("""COMPUTED_VALUE"""),"Array;Two Pointers;Binary Search;Sorting;")</f>
        <v>Array;Two Pointers;Binary Search;Sorting;</v>
      </c>
      <c r="M720" s="20" t="b">
        <f>IFERROR(__xludf.DUMMYFUNCTION("""COMPUTED_VALUE"""),TRUE)</f>
        <v>1</v>
      </c>
      <c r="N720" s="20" t="b">
        <f>IFERROR(__xludf.DUMMYFUNCTION("""COMPUTED_VALUE"""),FALSE)</f>
        <v>0</v>
      </c>
      <c r="O720" s="20">
        <f>IFERROR(__xludf.DUMMYFUNCTION("""COMPUTED_VALUE"""),36.4952482005397)</f>
        <v>36.4952482</v>
      </c>
      <c r="P720" s="20">
        <f>IFERROR(__xludf.DUMMYFUNCTION("""COMPUTED_VALUE"""),71542.0)</f>
        <v>71542</v>
      </c>
      <c r="Q720" s="20">
        <f>IFERROR(__xludf.DUMMYFUNCTION("""COMPUTED_VALUE"""),196031.0)</f>
        <v>196031</v>
      </c>
    </row>
    <row r="721">
      <c r="A721" s="20">
        <f>IFERROR(__xludf.DUMMYFUNCTION("""COMPUTED_VALUE"""),720.0)</f>
        <v>720</v>
      </c>
      <c r="B721" s="20" t="str">
        <f>IFERROR(__xludf.DUMMYFUNCTION("""COMPUTED_VALUE"""),"Longest Word in Dictionary")</f>
        <v>Longest Word in Dictionary</v>
      </c>
      <c r="C721" s="20" t="str">
        <f>IFERROR(__xludf.DUMMYFUNCTION("""COMPUTED_VALUE"""),"longest-word-in-dictionary")</f>
        <v>longest-word-in-dictionary</v>
      </c>
      <c r="D721" s="20" t="b">
        <f>IFERROR(__xludf.DUMMYFUNCTION("""COMPUTED_VALUE"""),FALSE)</f>
        <v>0</v>
      </c>
      <c r="E721" s="20" t="str">
        <f>IFERROR(__xludf.DUMMYFUNCTION("""COMPUTED_VALUE"""),"Medium")</f>
        <v>Medium</v>
      </c>
      <c r="F721" s="20">
        <f>IFERROR(__xludf.DUMMYFUNCTION("""COMPUTED_VALUE"""),1633.0)</f>
        <v>1633</v>
      </c>
      <c r="G721" s="20">
        <f>IFERROR(__xludf.DUMMYFUNCTION("""COMPUTED_VALUE"""),1404.0)</f>
        <v>1404</v>
      </c>
      <c r="H721" s="20" t="str">
        <f>IFERROR(__xludf.DUMMYFUNCTION("""COMPUTED_VALUE"""),"Algorithms")</f>
        <v>Algorithms</v>
      </c>
      <c r="I721" s="20">
        <f>IFERROR(__xludf.DUMMYFUNCTION("""COMPUTED_VALUE"""),0.519)</f>
        <v>0.519</v>
      </c>
      <c r="J721" s="20">
        <f>IFERROR(__xludf.DUMMYFUNCTION("""COMPUTED_VALUE"""),720.0)</f>
        <v>720</v>
      </c>
      <c r="K721" s="20" t="b">
        <f>IFERROR(__xludf.DUMMYFUNCTION("""COMPUTED_VALUE"""),FALSE)</f>
        <v>0</v>
      </c>
      <c r="L721" s="20" t="str">
        <f>IFERROR(__xludf.DUMMYFUNCTION("""COMPUTED_VALUE"""),"Array;Hash Table;String;Trie;Sorting;")</f>
        <v>Array;Hash Table;String;Trie;Sorting;</v>
      </c>
      <c r="M721" s="20" t="b">
        <f>IFERROR(__xludf.DUMMYFUNCTION("""COMPUTED_VALUE"""),TRUE)</f>
        <v>1</v>
      </c>
      <c r="N721" s="20" t="b">
        <f>IFERROR(__xludf.DUMMYFUNCTION("""COMPUTED_VALUE"""),FALSE)</f>
        <v>0</v>
      </c>
      <c r="O721" s="20">
        <f>IFERROR(__xludf.DUMMYFUNCTION("""COMPUTED_VALUE"""),51.8617808819523)</f>
        <v>51.86178088</v>
      </c>
      <c r="P721" s="20">
        <f>IFERROR(__xludf.DUMMYFUNCTION("""COMPUTED_VALUE"""),131355.0)</f>
        <v>131355</v>
      </c>
      <c r="Q721" s="20">
        <f>IFERROR(__xludf.DUMMYFUNCTION("""COMPUTED_VALUE"""),253279.0)</f>
        <v>253279</v>
      </c>
    </row>
    <row r="722">
      <c r="A722" s="20">
        <f>IFERROR(__xludf.DUMMYFUNCTION("""COMPUTED_VALUE"""),721.0)</f>
        <v>721</v>
      </c>
      <c r="B722" s="20" t="str">
        <f>IFERROR(__xludf.DUMMYFUNCTION("""COMPUTED_VALUE"""),"Accounts Merge")</f>
        <v>Accounts Merge</v>
      </c>
      <c r="C722" s="20" t="str">
        <f>IFERROR(__xludf.DUMMYFUNCTION("""COMPUTED_VALUE"""),"accounts-merge")</f>
        <v>accounts-merge</v>
      </c>
      <c r="D722" s="20" t="b">
        <f>IFERROR(__xludf.DUMMYFUNCTION("""COMPUTED_VALUE"""),FALSE)</f>
        <v>0</v>
      </c>
      <c r="E722" s="20" t="str">
        <f>IFERROR(__xludf.DUMMYFUNCTION("""COMPUTED_VALUE"""),"Medium")</f>
        <v>Medium</v>
      </c>
      <c r="F722" s="20">
        <f>IFERROR(__xludf.DUMMYFUNCTION("""COMPUTED_VALUE"""),5118.0)</f>
        <v>5118</v>
      </c>
      <c r="G722" s="20">
        <f>IFERROR(__xludf.DUMMYFUNCTION("""COMPUTED_VALUE"""),881.0)</f>
        <v>881</v>
      </c>
      <c r="H722" s="20" t="str">
        <f>IFERROR(__xludf.DUMMYFUNCTION("""COMPUTED_VALUE"""),"Algorithms")</f>
        <v>Algorithms</v>
      </c>
      <c r="I722" s="20">
        <f>IFERROR(__xludf.DUMMYFUNCTION("""COMPUTED_VALUE"""),0.563)</f>
        <v>0.563</v>
      </c>
      <c r="J722" s="20">
        <f>IFERROR(__xludf.DUMMYFUNCTION("""COMPUTED_VALUE"""),721.0)</f>
        <v>721</v>
      </c>
      <c r="K722" s="20" t="b">
        <f>IFERROR(__xludf.DUMMYFUNCTION("""COMPUTED_VALUE"""),FALSE)</f>
        <v>0</v>
      </c>
      <c r="L722" s="20" t="str">
        <f>IFERROR(__xludf.DUMMYFUNCTION("""COMPUTED_VALUE"""),"Array;String;Depth-First Search;Breadth-First Search;Union Find;")</f>
        <v>Array;String;Depth-First Search;Breadth-First Search;Union Find;</v>
      </c>
      <c r="M722" s="20" t="b">
        <f>IFERROR(__xludf.DUMMYFUNCTION("""COMPUTED_VALUE"""),TRUE)</f>
        <v>1</v>
      </c>
      <c r="N722" s="20" t="b">
        <f>IFERROR(__xludf.DUMMYFUNCTION("""COMPUTED_VALUE"""),FALSE)</f>
        <v>0</v>
      </c>
      <c r="O722" s="20">
        <f>IFERROR(__xludf.DUMMYFUNCTION("""COMPUTED_VALUE"""),56.3455259958286)</f>
        <v>56.345526</v>
      </c>
      <c r="P722" s="20">
        <f>IFERROR(__xludf.DUMMYFUNCTION("""COMPUTED_VALUE"""),291494.0)</f>
        <v>291494</v>
      </c>
      <c r="Q722" s="20">
        <f>IFERROR(__xludf.DUMMYFUNCTION("""COMPUTED_VALUE"""),517333.0)</f>
        <v>517333</v>
      </c>
    </row>
    <row r="723">
      <c r="A723" s="20">
        <f>IFERROR(__xludf.DUMMYFUNCTION("""COMPUTED_VALUE"""),722.0)</f>
        <v>722</v>
      </c>
      <c r="B723" s="20" t="str">
        <f>IFERROR(__xludf.DUMMYFUNCTION("""COMPUTED_VALUE"""),"Remove Comments")</f>
        <v>Remove Comments</v>
      </c>
      <c r="C723" s="20" t="str">
        <f>IFERROR(__xludf.DUMMYFUNCTION("""COMPUTED_VALUE"""),"remove-comments")</f>
        <v>remove-comments</v>
      </c>
      <c r="D723" s="20" t="b">
        <f>IFERROR(__xludf.DUMMYFUNCTION("""COMPUTED_VALUE"""),FALSE)</f>
        <v>0</v>
      </c>
      <c r="E723" s="20" t="str">
        <f>IFERROR(__xludf.DUMMYFUNCTION("""COMPUTED_VALUE"""),"Medium")</f>
        <v>Medium</v>
      </c>
      <c r="F723" s="20">
        <f>IFERROR(__xludf.DUMMYFUNCTION("""COMPUTED_VALUE"""),629.0)</f>
        <v>629</v>
      </c>
      <c r="G723" s="20">
        <f>IFERROR(__xludf.DUMMYFUNCTION("""COMPUTED_VALUE"""),1649.0)</f>
        <v>1649</v>
      </c>
      <c r="H723" s="20" t="str">
        <f>IFERROR(__xludf.DUMMYFUNCTION("""COMPUTED_VALUE"""),"Algorithms")</f>
        <v>Algorithms</v>
      </c>
      <c r="I723" s="20">
        <f>IFERROR(__xludf.DUMMYFUNCTION("""COMPUTED_VALUE"""),0.381)</f>
        <v>0.381</v>
      </c>
      <c r="J723" s="20">
        <f>IFERROR(__xludf.DUMMYFUNCTION("""COMPUTED_VALUE"""),722.0)</f>
        <v>722</v>
      </c>
      <c r="K723" s="20" t="b">
        <f>IFERROR(__xludf.DUMMYFUNCTION("""COMPUTED_VALUE"""),FALSE)</f>
        <v>0</v>
      </c>
      <c r="L723" s="20" t="str">
        <f>IFERROR(__xludf.DUMMYFUNCTION("""COMPUTED_VALUE"""),"Array;String;")</f>
        <v>Array;String;</v>
      </c>
      <c r="M723" s="20" t="b">
        <f>IFERROR(__xludf.DUMMYFUNCTION("""COMPUTED_VALUE"""),FALSE)</f>
        <v>0</v>
      </c>
      <c r="N723" s="20" t="b">
        <f>IFERROR(__xludf.DUMMYFUNCTION("""COMPUTED_VALUE"""),FALSE)</f>
        <v>0</v>
      </c>
      <c r="O723" s="20">
        <f>IFERROR(__xludf.DUMMYFUNCTION("""COMPUTED_VALUE"""),38.1111806040984)</f>
        <v>38.1111806</v>
      </c>
      <c r="P723" s="20">
        <f>IFERROR(__xludf.DUMMYFUNCTION("""COMPUTED_VALUE"""),62154.0)</f>
        <v>62154</v>
      </c>
      <c r="Q723" s="20">
        <f>IFERROR(__xludf.DUMMYFUNCTION("""COMPUTED_VALUE"""),163086.0)</f>
        <v>163086</v>
      </c>
    </row>
    <row r="724">
      <c r="A724" s="20">
        <f>IFERROR(__xludf.DUMMYFUNCTION("""COMPUTED_VALUE"""),723.0)</f>
        <v>723</v>
      </c>
      <c r="B724" s="20" t="str">
        <f>IFERROR(__xludf.DUMMYFUNCTION("""COMPUTED_VALUE"""),"Candy Crush")</f>
        <v>Candy Crush</v>
      </c>
      <c r="C724" s="20" t="str">
        <f>IFERROR(__xludf.DUMMYFUNCTION("""COMPUTED_VALUE"""),"candy-crush")</f>
        <v>candy-crush</v>
      </c>
      <c r="D724" s="20" t="b">
        <f>IFERROR(__xludf.DUMMYFUNCTION("""COMPUTED_VALUE"""),TRUE)</f>
        <v>1</v>
      </c>
      <c r="E724" s="20" t="str">
        <f>IFERROR(__xludf.DUMMYFUNCTION("""COMPUTED_VALUE"""),"Medium")</f>
        <v>Medium</v>
      </c>
      <c r="F724" s="20">
        <f>IFERROR(__xludf.DUMMYFUNCTION("""COMPUTED_VALUE"""),895.0)</f>
        <v>895</v>
      </c>
      <c r="G724" s="20">
        <f>IFERROR(__xludf.DUMMYFUNCTION("""COMPUTED_VALUE"""),433.0)</f>
        <v>433</v>
      </c>
      <c r="H724" s="20" t="str">
        <f>IFERROR(__xludf.DUMMYFUNCTION("""COMPUTED_VALUE"""),"Algorithms")</f>
        <v>Algorithms</v>
      </c>
      <c r="I724" s="20">
        <f>IFERROR(__xludf.DUMMYFUNCTION("""COMPUTED_VALUE"""),0.766)</f>
        <v>0.766</v>
      </c>
      <c r="J724" s="20">
        <f>IFERROR(__xludf.DUMMYFUNCTION("""COMPUTED_VALUE"""),723.0)</f>
        <v>723</v>
      </c>
      <c r="K724" s="20" t="b">
        <f>IFERROR(__xludf.DUMMYFUNCTION("""COMPUTED_VALUE"""),TRUE)</f>
        <v>1</v>
      </c>
      <c r="L724" s="20" t="str">
        <f>IFERROR(__xludf.DUMMYFUNCTION("""COMPUTED_VALUE"""),"Array;Two Pointers;Matrix;Simulation;")</f>
        <v>Array;Two Pointers;Matrix;Simulation;</v>
      </c>
      <c r="M724" s="20" t="b">
        <f>IFERROR(__xludf.DUMMYFUNCTION("""COMPUTED_VALUE"""),TRUE)</f>
        <v>1</v>
      </c>
      <c r="N724" s="20" t="b">
        <f>IFERROR(__xludf.DUMMYFUNCTION("""COMPUTED_VALUE"""),FALSE)</f>
        <v>0</v>
      </c>
      <c r="O724" s="20">
        <f>IFERROR(__xludf.DUMMYFUNCTION("""COMPUTED_VALUE"""),76.5514664674014)</f>
        <v>76.55146647</v>
      </c>
      <c r="P724" s="20">
        <f>IFERROR(__xludf.DUMMYFUNCTION("""COMPUTED_VALUE"""),61467.0)</f>
        <v>61467</v>
      </c>
      <c r="Q724" s="20">
        <f>IFERROR(__xludf.DUMMYFUNCTION("""COMPUTED_VALUE"""),80295.0)</f>
        <v>80295</v>
      </c>
    </row>
    <row r="725">
      <c r="A725" s="20">
        <f>IFERROR(__xludf.DUMMYFUNCTION("""COMPUTED_VALUE"""),724.0)</f>
        <v>724</v>
      </c>
      <c r="B725" s="20" t="str">
        <f>IFERROR(__xludf.DUMMYFUNCTION("""COMPUTED_VALUE"""),"Find Pivot Index")</f>
        <v>Find Pivot Index</v>
      </c>
      <c r="C725" s="20" t="str">
        <f>IFERROR(__xludf.DUMMYFUNCTION("""COMPUTED_VALUE"""),"find-pivot-index")</f>
        <v>find-pivot-index</v>
      </c>
      <c r="D725" s="20" t="b">
        <f>IFERROR(__xludf.DUMMYFUNCTION("""COMPUTED_VALUE"""),FALSE)</f>
        <v>0</v>
      </c>
      <c r="E725" s="20" t="str">
        <f>IFERROR(__xludf.DUMMYFUNCTION("""COMPUTED_VALUE"""),"Easy")</f>
        <v>Easy</v>
      </c>
      <c r="F725" s="20">
        <f>IFERROR(__xludf.DUMMYFUNCTION("""COMPUTED_VALUE"""),5716.0)</f>
        <v>5716</v>
      </c>
      <c r="G725" s="20">
        <f>IFERROR(__xludf.DUMMYFUNCTION("""COMPUTED_VALUE"""),603.0)</f>
        <v>603</v>
      </c>
      <c r="H725" s="20" t="str">
        <f>IFERROR(__xludf.DUMMYFUNCTION("""COMPUTED_VALUE"""),"Algorithms")</f>
        <v>Algorithms</v>
      </c>
      <c r="I725" s="20">
        <f>IFERROR(__xludf.DUMMYFUNCTION("""COMPUTED_VALUE"""),0.537)</f>
        <v>0.537</v>
      </c>
      <c r="J725" s="20">
        <f>IFERROR(__xludf.DUMMYFUNCTION("""COMPUTED_VALUE"""),724.0)</f>
        <v>724</v>
      </c>
      <c r="K725" s="20" t="b">
        <f>IFERROR(__xludf.DUMMYFUNCTION("""COMPUTED_VALUE"""),FALSE)</f>
        <v>0</v>
      </c>
      <c r="L725" s="20" t="str">
        <f>IFERROR(__xludf.DUMMYFUNCTION("""COMPUTED_VALUE"""),"Array;Prefix Sum;")</f>
        <v>Array;Prefix Sum;</v>
      </c>
      <c r="M725" s="20" t="b">
        <f>IFERROR(__xludf.DUMMYFUNCTION("""COMPUTED_VALUE"""),TRUE)</f>
        <v>1</v>
      </c>
      <c r="N725" s="20" t="b">
        <f>IFERROR(__xludf.DUMMYFUNCTION("""COMPUTED_VALUE"""),FALSE)</f>
        <v>0</v>
      </c>
      <c r="O725" s="20">
        <f>IFERROR(__xludf.DUMMYFUNCTION("""COMPUTED_VALUE"""),53.66041560069)</f>
        <v>53.6604156</v>
      </c>
      <c r="P725" s="20">
        <f>IFERROR(__xludf.DUMMYFUNCTION("""COMPUTED_VALUE"""),649140.0)</f>
        <v>649140</v>
      </c>
      <c r="Q725" s="20">
        <f>IFERROR(__xludf.DUMMYFUNCTION("""COMPUTED_VALUE"""),1209731.0)</f>
        <v>1209731</v>
      </c>
    </row>
    <row r="726">
      <c r="A726" s="20">
        <f>IFERROR(__xludf.DUMMYFUNCTION("""COMPUTED_VALUE"""),725.0)</f>
        <v>725</v>
      </c>
      <c r="B726" s="20" t="str">
        <f>IFERROR(__xludf.DUMMYFUNCTION("""COMPUTED_VALUE"""),"Split Linked List in Parts")</f>
        <v>Split Linked List in Parts</v>
      </c>
      <c r="C726" s="20" t="str">
        <f>IFERROR(__xludf.DUMMYFUNCTION("""COMPUTED_VALUE"""),"split-linked-list-in-parts")</f>
        <v>split-linked-list-in-parts</v>
      </c>
      <c r="D726" s="20" t="b">
        <f>IFERROR(__xludf.DUMMYFUNCTION("""COMPUTED_VALUE"""),FALSE)</f>
        <v>0</v>
      </c>
      <c r="E726" s="20" t="str">
        <f>IFERROR(__xludf.DUMMYFUNCTION("""COMPUTED_VALUE"""),"Medium")</f>
        <v>Medium</v>
      </c>
      <c r="F726" s="20">
        <f>IFERROR(__xludf.DUMMYFUNCTION("""COMPUTED_VALUE"""),2213.0)</f>
        <v>2213</v>
      </c>
      <c r="G726" s="20">
        <f>IFERROR(__xludf.DUMMYFUNCTION("""COMPUTED_VALUE"""),216.0)</f>
        <v>216</v>
      </c>
      <c r="H726" s="20" t="str">
        <f>IFERROR(__xludf.DUMMYFUNCTION("""COMPUTED_VALUE"""),"Algorithms")</f>
        <v>Algorithms</v>
      </c>
      <c r="I726" s="20">
        <f>IFERROR(__xludf.DUMMYFUNCTION("""COMPUTED_VALUE"""),0.574)</f>
        <v>0.574</v>
      </c>
      <c r="J726" s="20">
        <f>IFERROR(__xludf.DUMMYFUNCTION("""COMPUTED_VALUE"""),725.0)</f>
        <v>725</v>
      </c>
      <c r="K726" s="20" t="b">
        <f>IFERROR(__xludf.DUMMYFUNCTION("""COMPUTED_VALUE"""),FALSE)</f>
        <v>0</v>
      </c>
      <c r="L726" s="20" t="str">
        <f>IFERROR(__xludf.DUMMYFUNCTION("""COMPUTED_VALUE"""),"Linked List;")</f>
        <v>Linked List;</v>
      </c>
      <c r="M726" s="20" t="b">
        <f>IFERROR(__xludf.DUMMYFUNCTION("""COMPUTED_VALUE"""),TRUE)</f>
        <v>1</v>
      </c>
      <c r="N726" s="20" t="b">
        <f>IFERROR(__xludf.DUMMYFUNCTION("""COMPUTED_VALUE"""),FALSE)</f>
        <v>0</v>
      </c>
      <c r="O726" s="20">
        <f>IFERROR(__xludf.DUMMYFUNCTION("""COMPUTED_VALUE"""),57.3605601554804)</f>
        <v>57.36056016</v>
      </c>
      <c r="P726" s="20">
        <f>IFERROR(__xludf.DUMMYFUNCTION("""COMPUTED_VALUE"""),107726.0)</f>
        <v>107726</v>
      </c>
      <c r="Q726" s="20">
        <f>IFERROR(__xludf.DUMMYFUNCTION("""COMPUTED_VALUE"""),187805.0)</f>
        <v>187805</v>
      </c>
    </row>
    <row r="727">
      <c r="A727" s="20">
        <f>IFERROR(__xludf.DUMMYFUNCTION("""COMPUTED_VALUE"""),726.0)</f>
        <v>726</v>
      </c>
      <c r="B727" s="20" t="str">
        <f>IFERROR(__xludf.DUMMYFUNCTION("""COMPUTED_VALUE"""),"Number of Atoms")</f>
        <v>Number of Atoms</v>
      </c>
      <c r="C727" s="20" t="str">
        <f>IFERROR(__xludf.DUMMYFUNCTION("""COMPUTED_VALUE"""),"number-of-atoms")</f>
        <v>number-of-atoms</v>
      </c>
      <c r="D727" s="20" t="b">
        <f>IFERROR(__xludf.DUMMYFUNCTION("""COMPUTED_VALUE"""),FALSE)</f>
        <v>0</v>
      </c>
      <c r="E727" s="20" t="str">
        <f>IFERROR(__xludf.DUMMYFUNCTION("""COMPUTED_VALUE"""),"Hard")</f>
        <v>Hard</v>
      </c>
      <c r="F727" s="20">
        <f>IFERROR(__xludf.DUMMYFUNCTION("""COMPUTED_VALUE"""),1092.0)</f>
        <v>1092</v>
      </c>
      <c r="G727" s="20">
        <f>IFERROR(__xludf.DUMMYFUNCTION("""COMPUTED_VALUE"""),269.0)</f>
        <v>269</v>
      </c>
      <c r="H727" s="20" t="str">
        <f>IFERROR(__xludf.DUMMYFUNCTION("""COMPUTED_VALUE"""),"Algorithms")</f>
        <v>Algorithms</v>
      </c>
      <c r="I727" s="20">
        <f>IFERROR(__xludf.DUMMYFUNCTION("""COMPUTED_VALUE"""),0.522)</f>
        <v>0.522</v>
      </c>
      <c r="J727" s="20">
        <f>IFERROR(__xludf.DUMMYFUNCTION("""COMPUTED_VALUE"""),726.0)</f>
        <v>726</v>
      </c>
      <c r="K727" s="20" t="b">
        <f>IFERROR(__xludf.DUMMYFUNCTION("""COMPUTED_VALUE"""),FALSE)</f>
        <v>0</v>
      </c>
      <c r="L727" s="20" t="str">
        <f>IFERROR(__xludf.DUMMYFUNCTION("""COMPUTED_VALUE"""),"Hash Table;String;Stack;Sorting;")</f>
        <v>Hash Table;String;Stack;Sorting;</v>
      </c>
      <c r="M727" s="20" t="b">
        <f>IFERROR(__xludf.DUMMYFUNCTION("""COMPUTED_VALUE"""),TRUE)</f>
        <v>1</v>
      </c>
      <c r="N727" s="20" t="b">
        <f>IFERROR(__xludf.DUMMYFUNCTION("""COMPUTED_VALUE"""),FALSE)</f>
        <v>0</v>
      </c>
      <c r="O727" s="20">
        <f>IFERROR(__xludf.DUMMYFUNCTION("""COMPUTED_VALUE"""),52.2179650043027)</f>
        <v>52.217965</v>
      </c>
      <c r="P727" s="20">
        <f>IFERROR(__xludf.DUMMYFUNCTION("""COMPUTED_VALUE"""),50970.0)</f>
        <v>50970</v>
      </c>
      <c r="Q727" s="20">
        <f>IFERROR(__xludf.DUMMYFUNCTION("""COMPUTED_VALUE"""),97611.0)</f>
        <v>97611</v>
      </c>
    </row>
    <row r="728">
      <c r="A728" s="20">
        <f>IFERROR(__xludf.DUMMYFUNCTION("""COMPUTED_VALUE"""),727.0)</f>
        <v>727</v>
      </c>
      <c r="B728" s="20" t="str">
        <f>IFERROR(__xludf.DUMMYFUNCTION("""COMPUTED_VALUE"""),"Minimum Window Subsequence")</f>
        <v>Minimum Window Subsequence</v>
      </c>
      <c r="C728" s="20" t="str">
        <f>IFERROR(__xludf.DUMMYFUNCTION("""COMPUTED_VALUE"""),"minimum-window-subsequence")</f>
        <v>minimum-window-subsequence</v>
      </c>
      <c r="D728" s="20" t="b">
        <f>IFERROR(__xludf.DUMMYFUNCTION("""COMPUTED_VALUE"""),TRUE)</f>
        <v>1</v>
      </c>
      <c r="E728" s="20" t="str">
        <f>IFERROR(__xludf.DUMMYFUNCTION("""COMPUTED_VALUE"""),"Hard")</f>
        <v>Hard</v>
      </c>
      <c r="F728" s="20">
        <f>IFERROR(__xludf.DUMMYFUNCTION("""COMPUTED_VALUE"""),1330.0)</f>
        <v>1330</v>
      </c>
      <c r="G728" s="20">
        <f>IFERROR(__xludf.DUMMYFUNCTION("""COMPUTED_VALUE"""),81.0)</f>
        <v>81</v>
      </c>
      <c r="H728" s="20" t="str">
        <f>IFERROR(__xludf.DUMMYFUNCTION("""COMPUTED_VALUE"""),"Algorithms")</f>
        <v>Algorithms</v>
      </c>
      <c r="I728" s="20">
        <f>IFERROR(__xludf.DUMMYFUNCTION("""COMPUTED_VALUE"""),0.428)</f>
        <v>0.428</v>
      </c>
      <c r="J728" s="20">
        <f>IFERROR(__xludf.DUMMYFUNCTION("""COMPUTED_VALUE"""),727.0)</f>
        <v>727</v>
      </c>
      <c r="K728" s="20" t="b">
        <f>IFERROR(__xludf.DUMMYFUNCTION("""COMPUTED_VALUE"""),TRUE)</f>
        <v>1</v>
      </c>
      <c r="L728" s="20" t="str">
        <f>IFERROR(__xludf.DUMMYFUNCTION("""COMPUTED_VALUE"""),"String;Dynamic Programming;Sliding Window;")</f>
        <v>String;Dynamic Programming;Sliding Window;</v>
      </c>
      <c r="M728" s="20" t="b">
        <f>IFERROR(__xludf.DUMMYFUNCTION("""COMPUTED_VALUE"""),TRUE)</f>
        <v>1</v>
      </c>
      <c r="N728" s="20" t="b">
        <f>IFERROR(__xludf.DUMMYFUNCTION("""COMPUTED_VALUE"""),FALSE)</f>
        <v>0</v>
      </c>
      <c r="O728" s="20">
        <f>IFERROR(__xludf.DUMMYFUNCTION("""COMPUTED_VALUE"""),42.8128622152758)</f>
        <v>42.81286222</v>
      </c>
      <c r="P728" s="20">
        <f>IFERROR(__xludf.DUMMYFUNCTION("""COMPUTED_VALUE"""),81630.0)</f>
        <v>81630</v>
      </c>
      <c r="Q728" s="20">
        <f>IFERROR(__xludf.DUMMYFUNCTION("""COMPUTED_VALUE"""),190667.0)</f>
        <v>190667</v>
      </c>
    </row>
    <row r="729">
      <c r="A729" s="20">
        <f>IFERROR(__xludf.DUMMYFUNCTION("""COMPUTED_VALUE"""),728.0)</f>
        <v>728</v>
      </c>
      <c r="B729" s="20" t="str">
        <f>IFERROR(__xludf.DUMMYFUNCTION("""COMPUTED_VALUE"""),"Self Dividing Numbers")</f>
        <v>Self Dividing Numbers</v>
      </c>
      <c r="C729" s="20" t="str">
        <f>IFERROR(__xludf.DUMMYFUNCTION("""COMPUTED_VALUE"""),"self-dividing-numbers")</f>
        <v>self-dividing-numbers</v>
      </c>
      <c r="D729" s="20" t="b">
        <f>IFERROR(__xludf.DUMMYFUNCTION("""COMPUTED_VALUE"""),FALSE)</f>
        <v>0</v>
      </c>
      <c r="E729" s="20" t="str">
        <f>IFERROR(__xludf.DUMMYFUNCTION("""COMPUTED_VALUE"""),"Easy")</f>
        <v>Easy</v>
      </c>
      <c r="F729" s="20">
        <f>IFERROR(__xludf.DUMMYFUNCTION("""COMPUTED_VALUE"""),1376.0)</f>
        <v>1376</v>
      </c>
      <c r="G729" s="20">
        <f>IFERROR(__xludf.DUMMYFUNCTION("""COMPUTED_VALUE"""),355.0)</f>
        <v>355</v>
      </c>
      <c r="H729" s="20" t="str">
        <f>IFERROR(__xludf.DUMMYFUNCTION("""COMPUTED_VALUE"""),"Algorithms")</f>
        <v>Algorithms</v>
      </c>
      <c r="I729" s="20">
        <f>IFERROR(__xludf.DUMMYFUNCTION("""COMPUTED_VALUE"""),0.777)</f>
        <v>0.777</v>
      </c>
      <c r="J729" s="20">
        <f>IFERROR(__xludf.DUMMYFUNCTION("""COMPUTED_VALUE"""),728.0)</f>
        <v>728</v>
      </c>
      <c r="K729" s="20" t="b">
        <f>IFERROR(__xludf.DUMMYFUNCTION("""COMPUTED_VALUE"""),FALSE)</f>
        <v>0</v>
      </c>
      <c r="L729" s="20" t="str">
        <f>IFERROR(__xludf.DUMMYFUNCTION("""COMPUTED_VALUE"""),"Math;")</f>
        <v>Math;</v>
      </c>
      <c r="M729" s="20" t="b">
        <f>IFERROR(__xludf.DUMMYFUNCTION("""COMPUTED_VALUE"""),TRUE)</f>
        <v>1</v>
      </c>
      <c r="N729" s="20" t="b">
        <f>IFERROR(__xludf.DUMMYFUNCTION("""COMPUTED_VALUE"""),FALSE)</f>
        <v>0</v>
      </c>
      <c r="O729" s="20">
        <f>IFERROR(__xludf.DUMMYFUNCTION("""COMPUTED_VALUE"""),77.7082932461035)</f>
        <v>77.70829325</v>
      </c>
      <c r="P729" s="20">
        <f>IFERROR(__xludf.DUMMYFUNCTION("""COMPUTED_VALUE"""),193848.0)</f>
        <v>193848</v>
      </c>
      <c r="Q729" s="20">
        <f>IFERROR(__xludf.DUMMYFUNCTION("""COMPUTED_VALUE"""),249456.0)</f>
        <v>249456</v>
      </c>
    </row>
    <row r="730">
      <c r="A730" s="20">
        <f>IFERROR(__xludf.DUMMYFUNCTION("""COMPUTED_VALUE"""),729.0)</f>
        <v>729</v>
      </c>
      <c r="B730" s="20" t="str">
        <f>IFERROR(__xludf.DUMMYFUNCTION("""COMPUTED_VALUE"""),"My Calendar I")</f>
        <v>My Calendar I</v>
      </c>
      <c r="C730" s="20" t="str">
        <f>IFERROR(__xludf.DUMMYFUNCTION("""COMPUTED_VALUE"""),"my-calendar-i")</f>
        <v>my-calendar-i</v>
      </c>
      <c r="D730" s="20" t="b">
        <f>IFERROR(__xludf.DUMMYFUNCTION("""COMPUTED_VALUE"""),FALSE)</f>
        <v>0</v>
      </c>
      <c r="E730" s="20" t="str">
        <f>IFERROR(__xludf.DUMMYFUNCTION("""COMPUTED_VALUE"""),"Medium")</f>
        <v>Medium</v>
      </c>
      <c r="F730" s="20">
        <f>IFERROR(__xludf.DUMMYFUNCTION("""COMPUTED_VALUE"""),3730.0)</f>
        <v>3730</v>
      </c>
      <c r="G730" s="20">
        <f>IFERROR(__xludf.DUMMYFUNCTION("""COMPUTED_VALUE"""),94.0)</f>
        <v>94</v>
      </c>
      <c r="H730" s="20" t="str">
        <f>IFERROR(__xludf.DUMMYFUNCTION("""COMPUTED_VALUE"""),"Algorithms")</f>
        <v>Algorithms</v>
      </c>
      <c r="I730" s="20">
        <f>IFERROR(__xludf.DUMMYFUNCTION("""COMPUTED_VALUE"""),0.571)</f>
        <v>0.571</v>
      </c>
      <c r="J730" s="20">
        <f>IFERROR(__xludf.DUMMYFUNCTION("""COMPUTED_VALUE"""),729.0)</f>
        <v>729</v>
      </c>
      <c r="K730" s="20" t="b">
        <f>IFERROR(__xludf.DUMMYFUNCTION("""COMPUTED_VALUE"""),FALSE)</f>
        <v>0</v>
      </c>
      <c r="L730" s="20" t="str">
        <f>IFERROR(__xludf.DUMMYFUNCTION("""COMPUTED_VALUE"""),"Binary Search;Design;Segment Tree;Ordered Set;")</f>
        <v>Binary Search;Design;Segment Tree;Ordered Set;</v>
      </c>
      <c r="M730" s="20" t="b">
        <f>IFERROR(__xludf.DUMMYFUNCTION("""COMPUTED_VALUE"""),TRUE)</f>
        <v>1</v>
      </c>
      <c r="N730" s="20" t="b">
        <f>IFERROR(__xludf.DUMMYFUNCTION("""COMPUTED_VALUE"""),FALSE)</f>
        <v>0</v>
      </c>
      <c r="O730" s="20">
        <f>IFERROR(__xludf.DUMMYFUNCTION("""COMPUTED_VALUE"""),57.0851089111679)</f>
        <v>57.08510891</v>
      </c>
      <c r="P730" s="20">
        <f>IFERROR(__xludf.DUMMYFUNCTION("""COMPUTED_VALUE"""),245009.0)</f>
        <v>245009</v>
      </c>
      <c r="Q730" s="20">
        <f>IFERROR(__xludf.DUMMYFUNCTION("""COMPUTED_VALUE"""),429199.0)</f>
        <v>429199</v>
      </c>
    </row>
    <row r="731">
      <c r="A731" s="20">
        <f>IFERROR(__xludf.DUMMYFUNCTION("""COMPUTED_VALUE"""),730.0)</f>
        <v>730</v>
      </c>
      <c r="B731" s="20" t="str">
        <f>IFERROR(__xludf.DUMMYFUNCTION("""COMPUTED_VALUE"""),"Count Different Palindromic Subsequences")</f>
        <v>Count Different Palindromic Subsequences</v>
      </c>
      <c r="C731" s="20" t="str">
        <f>IFERROR(__xludf.DUMMYFUNCTION("""COMPUTED_VALUE"""),"count-different-palindromic-subsequences")</f>
        <v>count-different-palindromic-subsequences</v>
      </c>
      <c r="D731" s="20" t="b">
        <f>IFERROR(__xludf.DUMMYFUNCTION("""COMPUTED_VALUE"""),FALSE)</f>
        <v>0</v>
      </c>
      <c r="E731" s="20" t="str">
        <f>IFERROR(__xludf.DUMMYFUNCTION("""COMPUTED_VALUE"""),"Hard")</f>
        <v>Hard</v>
      </c>
      <c r="F731" s="20">
        <f>IFERROR(__xludf.DUMMYFUNCTION("""COMPUTED_VALUE"""),1622.0)</f>
        <v>1622</v>
      </c>
      <c r="G731" s="20">
        <f>IFERROR(__xludf.DUMMYFUNCTION("""COMPUTED_VALUE"""),85.0)</f>
        <v>85</v>
      </c>
      <c r="H731" s="20" t="str">
        <f>IFERROR(__xludf.DUMMYFUNCTION("""COMPUTED_VALUE"""),"Algorithms")</f>
        <v>Algorithms</v>
      </c>
      <c r="I731" s="20">
        <f>IFERROR(__xludf.DUMMYFUNCTION("""COMPUTED_VALUE"""),0.446)</f>
        <v>0.446</v>
      </c>
      <c r="J731" s="20">
        <f>IFERROR(__xludf.DUMMYFUNCTION("""COMPUTED_VALUE"""),730.0)</f>
        <v>730</v>
      </c>
      <c r="K731" s="20" t="b">
        <f>IFERROR(__xludf.DUMMYFUNCTION("""COMPUTED_VALUE"""),FALSE)</f>
        <v>0</v>
      </c>
      <c r="L731" s="20" t="str">
        <f>IFERROR(__xludf.DUMMYFUNCTION("""COMPUTED_VALUE"""),"String;Dynamic Programming;")</f>
        <v>String;Dynamic Programming;</v>
      </c>
      <c r="M731" s="20" t="b">
        <f>IFERROR(__xludf.DUMMYFUNCTION("""COMPUTED_VALUE"""),FALSE)</f>
        <v>0</v>
      </c>
      <c r="N731" s="20" t="b">
        <f>IFERROR(__xludf.DUMMYFUNCTION("""COMPUTED_VALUE"""),FALSE)</f>
        <v>0</v>
      </c>
      <c r="O731" s="20">
        <f>IFERROR(__xludf.DUMMYFUNCTION("""COMPUTED_VALUE"""),44.6359770541396)</f>
        <v>44.63597705</v>
      </c>
      <c r="P731" s="20">
        <f>IFERROR(__xludf.DUMMYFUNCTION("""COMPUTED_VALUE"""),31280.0)</f>
        <v>31280</v>
      </c>
      <c r="Q731" s="20">
        <f>IFERROR(__xludf.DUMMYFUNCTION("""COMPUTED_VALUE"""),70078.0)</f>
        <v>70078</v>
      </c>
    </row>
    <row r="732">
      <c r="A732" s="20">
        <f>IFERROR(__xludf.DUMMYFUNCTION("""COMPUTED_VALUE"""),731.0)</f>
        <v>731</v>
      </c>
      <c r="B732" s="20" t="str">
        <f>IFERROR(__xludf.DUMMYFUNCTION("""COMPUTED_VALUE"""),"My Calendar II")</f>
        <v>My Calendar II</v>
      </c>
      <c r="C732" s="20" t="str">
        <f>IFERROR(__xludf.DUMMYFUNCTION("""COMPUTED_VALUE"""),"my-calendar-ii")</f>
        <v>my-calendar-ii</v>
      </c>
      <c r="D732" s="20" t="b">
        <f>IFERROR(__xludf.DUMMYFUNCTION("""COMPUTED_VALUE"""),FALSE)</f>
        <v>0</v>
      </c>
      <c r="E732" s="20" t="str">
        <f>IFERROR(__xludf.DUMMYFUNCTION("""COMPUTED_VALUE"""),"Medium")</f>
        <v>Medium</v>
      </c>
      <c r="F732" s="20">
        <f>IFERROR(__xludf.DUMMYFUNCTION("""COMPUTED_VALUE"""),1493.0)</f>
        <v>1493</v>
      </c>
      <c r="G732" s="20">
        <f>IFERROR(__xludf.DUMMYFUNCTION("""COMPUTED_VALUE"""),137.0)</f>
        <v>137</v>
      </c>
      <c r="H732" s="20" t="str">
        <f>IFERROR(__xludf.DUMMYFUNCTION("""COMPUTED_VALUE"""),"Algorithms")</f>
        <v>Algorithms</v>
      </c>
      <c r="I732" s="20">
        <f>IFERROR(__xludf.DUMMYFUNCTION("""COMPUTED_VALUE"""),0.549)</f>
        <v>0.549</v>
      </c>
      <c r="J732" s="20">
        <f>IFERROR(__xludf.DUMMYFUNCTION("""COMPUTED_VALUE"""),731.0)</f>
        <v>731</v>
      </c>
      <c r="K732" s="20" t="b">
        <f>IFERROR(__xludf.DUMMYFUNCTION("""COMPUTED_VALUE"""),FALSE)</f>
        <v>0</v>
      </c>
      <c r="L732" s="20" t="str">
        <f>IFERROR(__xludf.DUMMYFUNCTION("""COMPUTED_VALUE"""),"Binary Search;Design;Segment Tree;Ordered Set;")</f>
        <v>Binary Search;Design;Segment Tree;Ordered Set;</v>
      </c>
      <c r="M732" s="20" t="b">
        <f>IFERROR(__xludf.DUMMYFUNCTION("""COMPUTED_VALUE"""),TRUE)</f>
        <v>1</v>
      </c>
      <c r="N732" s="20" t="b">
        <f>IFERROR(__xludf.DUMMYFUNCTION("""COMPUTED_VALUE"""),FALSE)</f>
        <v>0</v>
      </c>
      <c r="O732" s="20">
        <f>IFERROR(__xludf.DUMMYFUNCTION("""COMPUTED_VALUE"""),54.8760706148185)</f>
        <v>54.87607061</v>
      </c>
      <c r="P732" s="20">
        <f>IFERROR(__xludf.DUMMYFUNCTION("""COMPUTED_VALUE"""),86944.0)</f>
        <v>86944</v>
      </c>
      <c r="Q732" s="20">
        <f>IFERROR(__xludf.DUMMYFUNCTION("""COMPUTED_VALUE"""),158437.0)</f>
        <v>158437</v>
      </c>
    </row>
    <row r="733">
      <c r="A733" s="20">
        <f>IFERROR(__xludf.DUMMYFUNCTION("""COMPUTED_VALUE"""),732.0)</f>
        <v>732</v>
      </c>
      <c r="B733" s="20" t="str">
        <f>IFERROR(__xludf.DUMMYFUNCTION("""COMPUTED_VALUE"""),"My Calendar III")</f>
        <v>My Calendar III</v>
      </c>
      <c r="C733" s="20" t="str">
        <f>IFERROR(__xludf.DUMMYFUNCTION("""COMPUTED_VALUE"""),"my-calendar-iii")</f>
        <v>my-calendar-iii</v>
      </c>
      <c r="D733" s="20" t="b">
        <f>IFERROR(__xludf.DUMMYFUNCTION("""COMPUTED_VALUE"""),FALSE)</f>
        <v>0</v>
      </c>
      <c r="E733" s="20" t="str">
        <f>IFERROR(__xludf.DUMMYFUNCTION("""COMPUTED_VALUE"""),"Hard")</f>
        <v>Hard</v>
      </c>
      <c r="F733" s="20">
        <f>IFERROR(__xludf.DUMMYFUNCTION("""COMPUTED_VALUE"""),1760.0)</f>
        <v>1760</v>
      </c>
      <c r="G733" s="20">
        <f>IFERROR(__xludf.DUMMYFUNCTION("""COMPUTED_VALUE"""),248.0)</f>
        <v>248</v>
      </c>
      <c r="H733" s="20" t="str">
        <f>IFERROR(__xludf.DUMMYFUNCTION("""COMPUTED_VALUE"""),"Algorithms")</f>
        <v>Algorithms</v>
      </c>
      <c r="I733" s="20">
        <f>IFERROR(__xludf.DUMMYFUNCTION("""COMPUTED_VALUE"""),0.716)</f>
        <v>0.716</v>
      </c>
      <c r="J733" s="20">
        <f>IFERROR(__xludf.DUMMYFUNCTION("""COMPUTED_VALUE"""),732.0)</f>
        <v>732</v>
      </c>
      <c r="K733" s="20" t="b">
        <f>IFERROR(__xludf.DUMMYFUNCTION("""COMPUTED_VALUE"""),FALSE)</f>
        <v>0</v>
      </c>
      <c r="L733" s="20" t="str">
        <f>IFERROR(__xludf.DUMMYFUNCTION("""COMPUTED_VALUE"""),"Binary Search;Design;Segment Tree;Ordered Set;")</f>
        <v>Binary Search;Design;Segment Tree;Ordered Set;</v>
      </c>
      <c r="M733" s="20" t="b">
        <f>IFERROR(__xludf.DUMMYFUNCTION("""COMPUTED_VALUE"""),TRUE)</f>
        <v>1</v>
      </c>
      <c r="N733" s="20" t="b">
        <f>IFERROR(__xludf.DUMMYFUNCTION("""COMPUTED_VALUE"""),FALSE)</f>
        <v>0</v>
      </c>
      <c r="O733" s="20">
        <f>IFERROR(__xludf.DUMMYFUNCTION("""COMPUTED_VALUE"""),71.6300789101793)</f>
        <v>71.63007891</v>
      </c>
      <c r="P733" s="20">
        <f>IFERROR(__xludf.DUMMYFUNCTION("""COMPUTED_VALUE"""),81606.0)</f>
        <v>81606</v>
      </c>
      <c r="Q733" s="20">
        <f>IFERROR(__xludf.DUMMYFUNCTION("""COMPUTED_VALUE"""),113927.0)</f>
        <v>113927</v>
      </c>
    </row>
    <row r="734">
      <c r="A734" s="20">
        <f>IFERROR(__xludf.DUMMYFUNCTION("""COMPUTED_VALUE"""),733.0)</f>
        <v>733</v>
      </c>
      <c r="B734" s="20" t="str">
        <f>IFERROR(__xludf.DUMMYFUNCTION("""COMPUTED_VALUE"""),"Flood Fill")</f>
        <v>Flood Fill</v>
      </c>
      <c r="C734" s="20" t="str">
        <f>IFERROR(__xludf.DUMMYFUNCTION("""COMPUTED_VALUE"""),"flood-fill")</f>
        <v>flood-fill</v>
      </c>
      <c r="D734" s="20" t="b">
        <f>IFERROR(__xludf.DUMMYFUNCTION("""COMPUTED_VALUE"""),FALSE)</f>
        <v>0</v>
      </c>
      <c r="E734" s="20" t="str">
        <f>IFERROR(__xludf.DUMMYFUNCTION("""COMPUTED_VALUE"""),"Easy")</f>
        <v>Easy</v>
      </c>
      <c r="F734" s="20">
        <f>IFERROR(__xludf.DUMMYFUNCTION("""COMPUTED_VALUE"""),6210.0)</f>
        <v>6210</v>
      </c>
      <c r="G734" s="20">
        <f>IFERROR(__xludf.DUMMYFUNCTION("""COMPUTED_VALUE"""),593.0)</f>
        <v>593</v>
      </c>
      <c r="H734" s="20" t="str">
        <f>IFERROR(__xludf.DUMMYFUNCTION("""COMPUTED_VALUE"""),"Algorithms")</f>
        <v>Algorithms</v>
      </c>
      <c r="I734" s="20">
        <f>IFERROR(__xludf.DUMMYFUNCTION("""COMPUTED_VALUE"""),0.61)</f>
        <v>0.61</v>
      </c>
      <c r="J734" s="20">
        <f>IFERROR(__xludf.DUMMYFUNCTION("""COMPUTED_VALUE"""),733.0)</f>
        <v>733</v>
      </c>
      <c r="K734" s="20" t="b">
        <f>IFERROR(__xludf.DUMMYFUNCTION("""COMPUTED_VALUE"""),FALSE)</f>
        <v>0</v>
      </c>
      <c r="L734" s="20" t="str">
        <f>IFERROR(__xludf.DUMMYFUNCTION("""COMPUTED_VALUE"""),"Array;Depth-First Search;Breadth-First Search;Matrix;")</f>
        <v>Array;Depth-First Search;Breadth-First Search;Matrix;</v>
      </c>
      <c r="M734" s="20" t="b">
        <f>IFERROR(__xludf.DUMMYFUNCTION("""COMPUTED_VALUE"""),TRUE)</f>
        <v>1</v>
      </c>
      <c r="N734" s="20" t="b">
        <f>IFERROR(__xludf.DUMMYFUNCTION("""COMPUTED_VALUE"""),FALSE)</f>
        <v>0</v>
      </c>
      <c r="O734" s="20">
        <f>IFERROR(__xludf.DUMMYFUNCTION("""COMPUTED_VALUE"""),60.9631970176607)</f>
        <v>60.96319702</v>
      </c>
      <c r="P734" s="20">
        <f>IFERROR(__xludf.DUMMYFUNCTION("""COMPUTED_VALUE"""),623372.0)</f>
        <v>623372</v>
      </c>
      <c r="Q734" s="20">
        <f>IFERROR(__xludf.DUMMYFUNCTION("""COMPUTED_VALUE"""),1022539.0)</f>
        <v>1022539</v>
      </c>
    </row>
    <row r="735">
      <c r="A735" s="20">
        <f>IFERROR(__xludf.DUMMYFUNCTION("""COMPUTED_VALUE"""),734.0)</f>
        <v>734</v>
      </c>
      <c r="B735" s="20" t="str">
        <f>IFERROR(__xludf.DUMMYFUNCTION("""COMPUTED_VALUE"""),"Sentence Similarity")</f>
        <v>Sentence Similarity</v>
      </c>
      <c r="C735" s="20" t="str">
        <f>IFERROR(__xludf.DUMMYFUNCTION("""COMPUTED_VALUE"""),"sentence-similarity")</f>
        <v>sentence-similarity</v>
      </c>
      <c r="D735" s="20" t="b">
        <f>IFERROR(__xludf.DUMMYFUNCTION("""COMPUTED_VALUE"""),TRUE)</f>
        <v>1</v>
      </c>
      <c r="E735" s="20" t="str">
        <f>IFERROR(__xludf.DUMMYFUNCTION("""COMPUTED_VALUE"""),"Easy")</f>
        <v>Easy</v>
      </c>
      <c r="F735" s="20">
        <f>IFERROR(__xludf.DUMMYFUNCTION("""COMPUTED_VALUE"""),310.0)</f>
        <v>310</v>
      </c>
      <c r="G735" s="20">
        <f>IFERROR(__xludf.DUMMYFUNCTION("""COMPUTED_VALUE"""),481.0)</f>
        <v>481</v>
      </c>
      <c r="H735" s="20" t="str">
        <f>IFERROR(__xludf.DUMMYFUNCTION("""COMPUTED_VALUE"""),"Algorithms")</f>
        <v>Algorithms</v>
      </c>
      <c r="I735" s="20">
        <f>IFERROR(__xludf.DUMMYFUNCTION("""COMPUTED_VALUE"""),0.431)</f>
        <v>0.431</v>
      </c>
      <c r="J735" s="20">
        <f>IFERROR(__xludf.DUMMYFUNCTION("""COMPUTED_VALUE"""),734.0)</f>
        <v>734</v>
      </c>
      <c r="K735" s="20" t="b">
        <f>IFERROR(__xludf.DUMMYFUNCTION("""COMPUTED_VALUE"""),TRUE)</f>
        <v>1</v>
      </c>
      <c r="L735" s="20" t="str">
        <f>IFERROR(__xludf.DUMMYFUNCTION("""COMPUTED_VALUE"""),"Array;Hash Table;String;")</f>
        <v>Array;Hash Table;String;</v>
      </c>
      <c r="M735" s="20" t="b">
        <f>IFERROR(__xludf.DUMMYFUNCTION("""COMPUTED_VALUE"""),FALSE)</f>
        <v>0</v>
      </c>
      <c r="N735" s="20" t="b">
        <f>IFERROR(__xludf.DUMMYFUNCTION("""COMPUTED_VALUE"""),FALSE)</f>
        <v>0</v>
      </c>
      <c r="O735" s="20">
        <f>IFERROR(__xludf.DUMMYFUNCTION("""COMPUTED_VALUE"""),43.0922729010064)</f>
        <v>43.0922729</v>
      </c>
      <c r="P735" s="20">
        <f>IFERROR(__xludf.DUMMYFUNCTION("""COMPUTED_VALUE"""),54117.0)</f>
        <v>54117</v>
      </c>
      <c r="Q735" s="20">
        <f>IFERROR(__xludf.DUMMYFUNCTION("""COMPUTED_VALUE"""),125584.0)</f>
        <v>125584</v>
      </c>
    </row>
    <row r="736">
      <c r="A736" s="20">
        <f>IFERROR(__xludf.DUMMYFUNCTION("""COMPUTED_VALUE"""),735.0)</f>
        <v>735</v>
      </c>
      <c r="B736" s="20" t="str">
        <f>IFERROR(__xludf.DUMMYFUNCTION("""COMPUTED_VALUE"""),"Asteroid Collision")</f>
        <v>Asteroid Collision</v>
      </c>
      <c r="C736" s="20" t="str">
        <f>IFERROR(__xludf.DUMMYFUNCTION("""COMPUTED_VALUE"""),"asteroid-collision")</f>
        <v>asteroid-collision</v>
      </c>
      <c r="D736" s="20" t="b">
        <f>IFERROR(__xludf.DUMMYFUNCTION("""COMPUTED_VALUE"""),FALSE)</f>
        <v>0</v>
      </c>
      <c r="E736" s="20" t="str">
        <f>IFERROR(__xludf.DUMMYFUNCTION("""COMPUTED_VALUE"""),"Medium")</f>
        <v>Medium</v>
      </c>
      <c r="F736" s="20">
        <f>IFERROR(__xludf.DUMMYFUNCTION("""COMPUTED_VALUE"""),4456.0)</f>
        <v>4456</v>
      </c>
      <c r="G736" s="20">
        <f>IFERROR(__xludf.DUMMYFUNCTION("""COMPUTED_VALUE"""),386.0)</f>
        <v>386</v>
      </c>
      <c r="H736" s="20" t="str">
        <f>IFERROR(__xludf.DUMMYFUNCTION("""COMPUTED_VALUE"""),"Algorithms")</f>
        <v>Algorithms</v>
      </c>
      <c r="I736" s="20">
        <f>IFERROR(__xludf.DUMMYFUNCTION("""COMPUTED_VALUE"""),0.444)</f>
        <v>0.444</v>
      </c>
      <c r="J736" s="20">
        <f>IFERROR(__xludf.DUMMYFUNCTION("""COMPUTED_VALUE"""),735.0)</f>
        <v>735</v>
      </c>
      <c r="K736" s="20" t="b">
        <f>IFERROR(__xludf.DUMMYFUNCTION("""COMPUTED_VALUE"""),FALSE)</f>
        <v>0</v>
      </c>
      <c r="L736" s="20" t="str">
        <f>IFERROR(__xludf.DUMMYFUNCTION("""COMPUTED_VALUE"""),"Array;Stack;")</f>
        <v>Array;Stack;</v>
      </c>
      <c r="M736" s="20" t="b">
        <f>IFERROR(__xludf.DUMMYFUNCTION("""COMPUTED_VALUE"""),TRUE)</f>
        <v>1</v>
      </c>
      <c r="N736" s="20" t="b">
        <f>IFERROR(__xludf.DUMMYFUNCTION("""COMPUTED_VALUE"""),FALSE)</f>
        <v>0</v>
      </c>
      <c r="O736" s="20">
        <f>IFERROR(__xludf.DUMMYFUNCTION("""COMPUTED_VALUE"""),44.3812588321694)</f>
        <v>44.38125883</v>
      </c>
      <c r="P736" s="20">
        <f>IFERROR(__xludf.DUMMYFUNCTION("""COMPUTED_VALUE"""),247164.0)</f>
        <v>247164</v>
      </c>
      <c r="Q736" s="20">
        <f>IFERROR(__xludf.DUMMYFUNCTION("""COMPUTED_VALUE"""),556911.0)</f>
        <v>556911</v>
      </c>
    </row>
    <row r="737">
      <c r="A737" s="20">
        <f>IFERROR(__xludf.DUMMYFUNCTION("""COMPUTED_VALUE"""),736.0)</f>
        <v>736</v>
      </c>
      <c r="B737" s="20" t="str">
        <f>IFERROR(__xludf.DUMMYFUNCTION("""COMPUTED_VALUE"""),"Parse Lisp Expression")</f>
        <v>Parse Lisp Expression</v>
      </c>
      <c r="C737" s="20" t="str">
        <f>IFERROR(__xludf.DUMMYFUNCTION("""COMPUTED_VALUE"""),"parse-lisp-expression")</f>
        <v>parse-lisp-expression</v>
      </c>
      <c r="D737" s="20" t="b">
        <f>IFERROR(__xludf.DUMMYFUNCTION("""COMPUTED_VALUE"""),FALSE)</f>
        <v>0</v>
      </c>
      <c r="E737" s="20" t="str">
        <f>IFERROR(__xludf.DUMMYFUNCTION("""COMPUTED_VALUE"""),"Hard")</f>
        <v>Hard</v>
      </c>
      <c r="F737" s="20">
        <f>IFERROR(__xludf.DUMMYFUNCTION("""COMPUTED_VALUE"""),421.0)</f>
        <v>421</v>
      </c>
      <c r="G737" s="20">
        <f>IFERROR(__xludf.DUMMYFUNCTION("""COMPUTED_VALUE"""),325.0)</f>
        <v>325</v>
      </c>
      <c r="H737" s="20" t="str">
        <f>IFERROR(__xludf.DUMMYFUNCTION("""COMPUTED_VALUE"""),"Algorithms")</f>
        <v>Algorithms</v>
      </c>
      <c r="I737" s="20">
        <f>IFERROR(__xludf.DUMMYFUNCTION("""COMPUTED_VALUE"""),0.516)</f>
        <v>0.516</v>
      </c>
      <c r="J737" s="20">
        <f>IFERROR(__xludf.DUMMYFUNCTION("""COMPUTED_VALUE"""),736.0)</f>
        <v>736</v>
      </c>
      <c r="K737" s="20" t="b">
        <f>IFERROR(__xludf.DUMMYFUNCTION("""COMPUTED_VALUE"""),FALSE)</f>
        <v>0</v>
      </c>
      <c r="L737" s="20" t="str">
        <f>IFERROR(__xludf.DUMMYFUNCTION("""COMPUTED_VALUE"""),"Hash Table;String;Stack;Recursion;")</f>
        <v>Hash Table;String;Stack;Recursion;</v>
      </c>
      <c r="M737" s="20" t="b">
        <f>IFERROR(__xludf.DUMMYFUNCTION("""COMPUTED_VALUE"""),FALSE)</f>
        <v>0</v>
      </c>
      <c r="N737" s="20" t="b">
        <f>IFERROR(__xludf.DUMMYFUNCTION("""COMPUTED_VALUE"""),FALSE)</f>
        <v>0</v>
      </c>
      <c r="O737" s="20">
        <f>IFERROR(__xludf.DUMMYFUNCTION("""COMPUTED_VALUE"""),51.5648247239696)</f>
        <v>51.56482472</v>
      </c>
      <c r="P737" s="20">
        <f>IFERROR(__xludf.DUMMYFUNCTION("""COMPUTED_VALUE"""),19755.0)</f>
        <v>19755</v>
      </c>
      <c r="Q737" s="20">
        <f>IFERROR(__xludf.DUMMYFUNCTION("""COMPUTED_VALUE"""),38311.0)</f>
        <v>38311</v>
      </c>
    </row>
    <row r="738">
      <c r="A738" s="20">
        <f>IFERROR(__xludf.DUMMYFUNCTION("""COMPUTED_VALUE"""),737.0)</f>
        <v>737</v>
      </c>
      <c r="B738" s="20" t="str">
        <f>IFERROR(__xludf.DUMMYFUNCTION("""COMPUTED_VALUE"""),"Sentence Similarity II")</f>
        <v>Sentence Similarity II</v>
      </c>
      <c r="C738" s="20" t="str">
        <f>IFERROR(__xludf.DUMMYFUNCTION("""COMPUTED_VALUE"""),"sentence-similarity-ii")</f>
        <v>sentence-similarity-ii</v>
      </c>
      <c r="D738" s="20" t="b">
        <f>IFERROR(__xludf.DUMMYFUNCTION("""COMPUTED_VALUE"""),TRUE)</f>
        <v>1</v>
      </c>
      <c r="E738" s="20" t="str">
        <f>IFERROR(__xludf.DUMMYFUNCTION("""COMPUTED_VALUE"""),"Medium")</f>
        <v>Medium</v>
      </c>
      <c r="F738" s="20">
        <f>IFERROR(__xludf.DUMMYFUNCTION("""COMPUTED_VALUE"""),772.0)</f>
        <v>772</v>
      </c>
      <c r="G738" s="20">
        <f>IFERROR(__xludf.DUMMYFUNCTION("""COMPUTED_VALUE"""),43.0)</f>
        <v>43</v>
      </c>
      <c r="H738" s="20" t="str">
        <f>IFERROR(__xludf.DUMMYFUNCTION("""COMPUTED_VALUE"""),"Algorithms")</f>
        <v>Algorithms</v>
      </c>
      <c r="I738" s="20">
        <f>IFERROR(__xludf.DUMMYFUNCTION("""COMPUTED_VALUE"""),0.488)</f>
        <v>0.488</v>
      </c>
      <c r="J738" s="20">
        <f>IFERROR(__xludf.DUMMYFUNCTION("""COMPUTED_VALUE"""),737.0)</f>
        <v>737</v>
      </c>
      <c r="K738" s="20" t="b">
        <f>IFERROR(__xludf.DUMMYFUNCTION("""COMPUTED_VALUE"""),TRUE)</f>
        <v>1</v>
      </c>
      <c r="L738" s="20" t="str">
        <f>IFERROR(__xludf.DUMMYFUNCTION("""COMPUTED_VALUE"""),"Array;Hash Table;String;Depth-First Search;Breadth-First Search;Union Find;")</f>
        <v>Array;Hash Table;String;Depth-First Search;Breadth-First Search;Union Find;</v>
      </c>
      <c r="M738" s="20" t="b">
        <f>IFERROR(__xludf.DUMMYFUNCTION("""COMPUTED_VALUE"""),TRUE)</f>
        <v>1</v>
      </c>
      <c r="N738" s="20" t="b">
        <f>IFERROR(__xludf.DUMMYFUNCTION("""COMPUTED_VALUE"""),FALSE)</f>
        <v>0</v>
      </c>
      <c r="O738" s="20">
        <f>IFERROR(__xludf.DUMMYFUNCTION("""COMPUTED_VALUE"""),48.821638788582)</f>
        <v>48.82163879</v>
      </c>
      <c r="P738" s="20">
        <f>IFERROR(__xludf.DUMMYFUNCTION("""COMPUTED_VALUE"""),63950.0)</f>
        <v>63950</v>
      </c>
      <c r="Q738" s="20">
        <f>IFERROR(__xludf.DUMMYFUNCTION("""COMPUTED_VALUE"""),130987.0)</f>
        <v>130987</v>
      </c>
    </row>
    <row r="739">
      <c r="A739" s="20">
        <f>IFERROR(__xludf.DUMMYFUNCTION("""COMPUTED_VALUE"""),738.0)</f>
        <v>738</v>
      </c>
      <c r="B739" s="20" t="str">
        <f>IFERROR(__xludf.DUMMYFUNCTION("""COMPUTED_VALUE"""),"Monotone Increasing Digits")</f>
        <v>Monotone Increasing Digits</v>
      </c>
      <c r="C739" s="20" t="str">
        <f>IFERROR(__xludf.DUMMYFUNCTION("""COMPUTED_VALUE"""),"monotone-increasing-digits")</f>
        <v>monotone-increasing-digits</v>
      </c>
      <c r="D739" s="20" t="b">
        <f>IFERROR(__xludf.DUMMYFUNCTION("""COMPUTED_VALUE"""),FALSE)</f>
        <v>0</v>
      </c>
      <c r="E739" s="20" t="str">
        <f>IFERROR(__xludf.DUMMYFUNCTION("""COMPUTED_VALUE"""),"Medium")</f>
        <v>Medium</v>
      </c>
      <c r="F739" s="20">
        <f>IFERROR(__xludf.DUMMYFUNCTION("""COMPUTED_VALUE"""),1103.0)</f>
        <v>1103</v>
      </c>
      <c r="G739" s="20">
        <f>IFERROR(__xludf.DUMMYFUNCTION("""COMPUTED_VALUE"""),92.0)</f>
        <v>92</v>
      </c>
      <c r="H739" s="20" t="str">
        <f>IFERROR(__xludf.DUMMYFUNCTION("""COMPUTED_VALUE"""),"Algorithms")</f>
        <v>Algorithms</v>
      </c>
      <c r="I739" s="20">
        <f>IFERROR(__xludf.DUMMYFUNCTION("""COMPUTED_VALUE"""),0.471)</f>
        <v>0.471</v>
      </c>
      <c r="J739" s="20">
        <f>IFERROR(__xludf.DUMMYFUNCTION("""COMPUTED_VALUE"""),738.0)</f>
        <v>738</v>
      </c>
      <c r="K739" s="20" t="b">
        <f>IFERROR(__xludf.DUMMYFUNCTION("""COMPUTED_VALUE"""),FALSE)</f>
        <v>0</v>
      </c>
      <c r="L739" s="20" t="str">
        <f>IFERROR(__xludf.DUMMYFUNCTION("""COMPUTED_VALUE"""),"Math;Greedy;")</f>
        <v>Math;Greedy;</v>
      </c>
      <c r="M739" s="20" t="b">
        <f>IFERROR(__xludf.DUMMYFUNCTION("""COMPUTED_VALUE"""),FALSE)</f>
        <v>0</v>
      </c>
      <c r="N739" s="20" t="b">
        <f>IFERROR(__xludf.DUMMYFUNCTION("""COMPUTED_VALUE"""),FALSE)</f>
        <v>0</v>
      </c>
      <c r="O739" s="20">
        <f>IFERROR(__xludf.DUMMYFUNCTION("""COMPUTED_VALUE"""),47.1121912595948)</f>
        <v>47.11219126</v>
      </c>
      <c r="P739" s="20">
        <f>IFERROR(__xludf.DUMMYFUNCTION("""COMPUTED_VALUE"""),42840.0)</f>
        <v>42840</v>
      </c>
      <c r="Q739" s="20">
        <f>IFERROR(__xludf.DUMMYFUNCTION("""COMPUTED_VALUE"""),90933.0)</f>
        <v>90933</v>
      </c>
    </row>
    <row r="740">
      <c r="A740" s="20">
        <f>IFERROR(__xludf.DUMMYFUNCTION("""COMPUTED_VALUE"""),739.0)</f>
        <v>739</v>
      </c>
      <c r="B740" s="20" t="str">
        <f>IFERROR(__xludf.DUMMYFUNCTION("""COMPUTED_VALUE"""),"Daily Temperatures")</f>
        <v>Daily Temperatures</v>
      </c>
      <c r="C740" s="20" t="str">
        <f>IFERROR(__xludf.DUMMYFUNCTION("""COMPUTED_VALUE"""),"daily-temperatures")</f>
        <v>daily-temperatures</v>
      </c>
      <c r="D740" s="20" t="b">
        <f>IFERROR(__xludf.DUMMYFUNCTION("""COMPUTED_VALUE"""),FALSE)</f>
        <v>0</v>
      </c>
      <c r="E740" s="20" t="str">
        <f>IFERROR(__xludf.DUMMYFUNCTION("""COMPUTED_VALUE"""),"Medium")</f>
        <v>Medium</v>
      </c>
      <c r="F740" s="20">
        <f>IFERROR(__xludf.DUMMYFUNCTION("""COMPUTED_VALUE"""),9803.0)</f>
        <v>9803</v>
      </c>
      <c r="G740" s="20">
        <f>IFERROR(__xludf.DUMMYFUNCTION("""COMPUTED_VALUE"""),225.0)</f>
        <v>225</v>
      </c>
      <c r="H740" s="20" t="str">
        <f>IFERROR(__xludf.DUMMYFUNCTION("""COMPUTED_VALUE"""),"Algorithms")</f>
        <v>Algorithms</v>
      </c>
      <c r="I740" s="20">
        <f>IFERROR(__xludf.DUMMYFUNCTION("""COMPUTED_VALUE"""),0.664)</f>
        <v>0.664</v>
      </c>
      <c r="J740" s="20">
        <f>IFERROR(__xludf.DUMMYFUNCTION("""COMPUTED_VALUE"""),739.0)</f>
        <v>739</v>
      </c>
      <c r="K740" s="20" t="b">
        <f>IFERROR(__xludf.DUMMYFUNCTION("""COMPUTED_VALUE"""),FALSE)</f>
        <v>0</v>
      </c>
      <c r="L740" s="20" t="str">
        <f>IFERROR(__xludf.DUMMYFUNCTION("""COMPUTED_VALUE"""),"Array;Stack;Monotonic Stack;")</f>
        <v>Array;Stack;Monotonic Stack;</v>
      </c>
      <c r="M740" s="20" t="b">
        <f>IFERROR(__xludf.DUMMYFUNCTION("""COMPUTED_VALUE"""),TRUE)</f>
        <v>1</v>
      </c>
      <c r="N740" s="20" t="b">
        <f>IFERROR(__xludf.DUMMYFUNCTION("""COMPUTED_VALUE"""),FALSE)</f>
        <v>0</v>
      </c>
      <c r="O740" s="20">
        <f>IFERROR(__xludf.DUMMYFUNCTION("""COMPUTED_VALUE"""),66.4284728928128)</f>
        <v>66.42847289</v>
      </c>
      <c r="P740" s="20">
        <f>IFERROR(__xludf.DUMMYFUNCTION("""COMPUTED_VALUE"""),553762.0)</f>
        <v>553762</v>
      </c>
      <c r="Q740" s="20">
        <f>IFERROR(__xludf.DUMMYFUNCTION("""COMPUTED_VALUE"""),833625.0)</f>
        <v>833625</v>
      </c>
    </row>
    <row r="741">
      <c r="A741" s="20">
        <f>IFERROR(__xludf.DUMMYFUNCTION("""COMPUTED_VALUE"""),740.0)</f>
        <v>740</v>
      </c>
      <c r="B741" s="20" t="str">
        <f>IFERROR(__xludf.DUMMYFUNCTION("""COMPUTED_VALUE"""),"Delete and Earn")</f>
        <v>Delete and Earn</v>
      </c>
      <c r="C741" s="20" t="str">
        <f>IFERROR(__xludf.DUMMYFUNCTION("""COMPUTED_VALUE"""),"delete-and-earn")</f>
        <v>delete-and-earn</v>
      </c>
      <c r="D741" s="20" t="b">
        <f>IFERROR(__xludf.DUMMYFUNCTION("""COMPUTED_VALUE"""),FALSE)</f>
        <v>0</v>
      </c>
      <c r="E741" s="20" t="str">
        <f>IFERROR(__xludf.DUMMYFUNCTION("""COMPUTED_VALUE"""),"Medium")</f>
        <v>Medium</v>
      </c>
      <c r="F741" s="20">
        <f>IFERROR(__xludf.DUMMYFUNCTION("""COMPUTED_VALUE"""),5970.0)</f>
        <v>5970</v>
      </c>
      <c r="G741" s="20">
        <f>IFERROR(__xludf.DUMMYFUNCTION("""COMPUTED_VALUE"""),316.0)</f>
        <v>316</v>
      </c>
      <c r="H741" s="20" t="str">
        <f>IFERROR(__xludf.DUMMYFUNCTION("""COMPUTED_VALUE"""),"Algorithms")</f>
        <v>Algorithms</v>
      </c>
      <c r="I741" s="20">
        <f>IFERROR(__xludf.DUMMYFUNCTION("""COMPUTED_VALUE"""),0.573)</f>
        <v>0.573</v>
      </c>
      <c r="J741" s="20">
        <f>IFERROR(__xludf.DUMMYFUNCTION("""COMPUTED_VALUE"""),740.0)</f>
        <v>740</v>
      </c>
      <c r="K741" s="20" t="b">
        <f>IFERROR(__xludf.DUMMYFUNCTION("""COMPUTED_VALUE"""),FALSE)</f>
        <v>0</v>
      </c>
      <c r="L741" s="20" t="str">
        <f>IFERROR(__xludf.DUMMYFUNCTION("""COMPUTED_VALUE"""),"Array;Hash Table;Dynamic Programming;")</f>
        <v>Array;Hash Table;Dynamic Programming;</v>
      </c>
      <c r="M741" s="20" t="b">
        <f>IFERROR(__xludf.DUMMYFUNCTION("""COMPUTED_VALUE"""),TRUE)</f>
        <v>1</v>
      </c>
      <c r="N741" s="20" t="b">
        <f>IFERROR(__xludf.DUMMYFUNCTION("""COMPUTED_VALUE"""),FALSE)</f>
        <v>0</v>
      </c>
      <c r="O741" s="20">
        <f>IFERROR(__xludf.DUMMYFUNCTION("""COMPUTED_VALUE"""),57.2803621030475)</f>
        <v>57.2803621</v>
      </c>
      <c r="P741" s="20">
        <f>IFERROR(__xludf.DUMMYFUNCTION("""COMPUTED_VALUE"""),246012.0)</f>
        <v>246012</v>
      </c>
      <c r="Q741" s="20">
        <f>IFERROR(__xludf.DUMMYFUNCTION("""COMPUTED_VALUE"""),429489.0)</f>
        <v>429489</v>
      </c>
    </row>
    <row r="742">
      <c r="A742" s="20">
        <f>IFERROR(__xludf.DUMMYFUNCTION("""COMPUTED_VALUE"""),741.0)</f>
        <v>741</v>
      </c>
      <c r="B742" s="20" t="str">
        <f>IFERROR(__xludf.DUMMYFUNCTION("""COMPUTED_VALUE"""),"Cherry Pickup")</f>
        <v>Cherry Pickup</v>
      </c>
      <c r="C742" s="20" t="str">
        <f>IFERROR(__xludf.DUMMYFUNCTION("""COMPUTED_VALUE"""),"cherry-pickup")</f>
        <v>cherry-pickup</v>
      </c>
      <c r="D742" s="20" t="b">
        <f>IFERROR(__xludf.DUMMYFUNCTION("""COMPUTED_VALUE"""),FALSE)</f>
        <v>0</v>
      </c>
      <c r="E742" s="20" t="str">
        <f>IFERROR(__xludf.DUMMYFUNCTION("""COMPUTED_VALUE"""),"Hard")</f>
        <v>Hard</v>
      </c>
      <c r="F742" s="20">
        <f>IFERROR(__xludf.DUMMYFUNCTION("""COMPUTED_VALUE"""),3382.0)</f>
        <v>3382</v>
      </c>
      <c r="G742" s="20">
        <f>IFERROR(__xludf.DUMMYFUNCTION("""COMPUTED_VALUE"""),133.0)</f>
        <v>133</v>
      </c>
      <c r="H742" s="20" t="str">
        <f>IFERROR(__xludf.DUMMYFUNCTION("""COMPUTED_VALUE"""),"Algorithms")</f>
        <v>Algorithms</v>
      </c>
      <c r="I742" s="20">
        <f>IFERROR(__xludf.DUMMYFUNCTION("""COMPUTED_VALUE"""),0.363)</f>
        <v>0.363</v>
      </c>
      <c r="J742" s="20">
        <f>IFERROR(__xludf.DUMMYFUNCTION("""COMPUTED_VALUE"""),741.0)</f>
        <v>741</v>
      </c>
      <c r="K742" s="20" t="b">
        <f>IFERROR(__xludf.DUMMYFUNCTION("""COMPUTED_VALUE"""),FALSE)</f>
        <v>0</v>
      </c>
      <c r="L742" s="20" t="str">
        <f>IFERROR(__xludf.DUMMYFUNCTION("""COMPUTED_VALUE"""),"Array;Dynamic Programming;Matrix;")</f>
        <v>Array;Dynamic Programming;Matrix;</v>
      </c>
      <c r="M742" s="20" t="b">
        <f>IFERROR(__xludf.DUMMYFUNCTION("""COMPUTED_VALUE"""),TRUE)</f>
        <v>1</v>
      </c>
      <c r="N742" s="20" t="b">
        <f>IFERROR(__xludf.DUMMYFUNCTION("""COMPUTED_VALUE"""),FALSE)</f>
        <v>0</v>
      </c>
      <c r="O742" s="20">
        <f>IFERROR(__xludf.DUMMYFUNCTION("""COMPUTED_VALUE"""),36.3372601111616)</f>
        <v>36.33726011</v>
      </c>
      <c r="P742" s="20">
        <f>IFERROR(__xludf.DUMMYFUNCTION("""COMPUTED_VALUE"""),62370.0)</f>
        <v>62370</v>
      </c>
      <c r="Q742" s="20">
        <f>IFERROR(__xludf.DUMMYFUNCTION("""COMPUTED_VALUE"""),171641.0)</f>
        <v>171641</v>
      </c>
    </row>
    <row r="743">
      <c r="A743" s="20">
        <f>IFERROR(__xludf.DUMMYFUNCTION("""COMPUTED_VALUE"""),743.0)</f>
        <v>743</v>
      </c>
      <c r="B743" s="20" t="str">
        <f>IFERROR(__xludf.DUMMYFUNCTION("""COMPUTED_VALUE"""),"Closest Leaf in a Binary Tree")</f>
        <v>Closest Leaf in a Binary Tree</v>
      </c>
      <c r="C743" s="20" t="str">
        <f>IFERROR(__xludf.DUMMYFUNCTION("""COMPUTED_VALUE"""),"closest-leaf-in-a-binary-tree")</f>
        <v>closest-leaf-in-a-binary-tree</v>
      </c>
      <c r="D743" s="20" t="b">
        <f>IFERROR(__xludf.DUMMYFUNCTION("""COMPUTED_VALUE"""),TRUE)</f>
        <v>1</v>
      </c>
      <c r="E743" s="20" t="str">
        <f>IFERROR(__xludf.DUMMYFUNCTION("""COMPUTED_VALUE"""),"Medium")</f>
        <v>Medium</v>
      </c>
      <c r="F743" s="20">
        <f>IFERROR(__xludf.DUMMYFUNCTION("""COMPUTED_VALUE"""),803.0)</f>
        <v>803</v>
      </c>
      <c r="G743" s="20">
        <f>IFERROR(__xludf.DUMMYFUNCTION("""COMPUTED_VALUE"""),162.0)</f>
        <v>162</v>
      </c>
      <c r="H743" s="20" t="str">
        <f>IFERROR(__xludf.DUMMYFUNCTION("""COMPUTED_VALUE"""),"Algorithms")</f>
        <v>Algorithms</v>
      </c>
      <c r="I743" s="20">
        <f>IFERROR(__xludf.DUMMYFUNCTION("""COMPUTED_VALUE"""),0.459)</f>
        <v>0.459</v>
      </c>
      <c r="J743" s="20">
        <f>IFERROR(__xludf.DUMMYFUNCTION("""COMPUTED_VALUE"""),742.0)</f>
        <v>742</v>
      </c>
      <c r="K743" s="20" t="b">
        <f>IFERROR(__xludf.DUMMYFUNCTION("""COMPUTED_VALUE"""),TRUE)</f>
        <v>1</v>
      </c>
      <c r="L743" s="20" t="str">
        <f>IFERROR(__xludf.DUMMYFUNCTION("""COMPUTED_VALUE"""),"Tree;Depth-First Search;Breadth-First Search;Binary Tree;")</f>
        <v>Tree;Depth-First Search;Breadth-First Search;Binary Tree;</v>
      </c>
      <c r="M743" s="20" t="b">
        <f>IFERROR(__xludf.DUMMYFUNCTION("""COMPUTED_VALUE"""),TRUE)</f>
        <v>1</v>
      </c>
      <c r="N743" s="20" t="b">
        <f>IFERROR(__xludf.DUMMYFUNCTION("""COMPUTED_VALUE"""),FALSE)</f>
        <v>0</v>
      </c>
      <c r="O743" s="20">
        <f>IFERROR(__xludf.DUMMYFUNCTION("""COMPUTED_VALUE"""),45.8689744275149)</f>
        <v>45.86897443</v>
      </c>
      <c r="P743" s="20">
        <f>IFERROR(__xludf.DUMMYFUNCTION("""COMPUTED_VALUE"""),41183.0)</f>
        <v>41183</v>
      </c>
      <c r="Q743" s="20">
        <f>IFERROR(__xludf.DUMMYFUNCTION("""COMPUTED_VALUE"""),89784.0)</f>
        <v>89784</v>
      </c>
    </row>
    <row r="744">
      <c r="A744" s="20">
        <f>IFERROR(__xludf.DUMMYFUNCTION("""COMPUTED_VALUE"""),744.0)</f>
        <v>744</v>
      </c>
      <c r="B744" s="20" t="str">
        <f>IFERROR(__xludf.DUMMYFUNCTION("""COMPUTED_VALUE"""),"Network Delay Time")</f>
        <v>Network Delay Time</v>
      </c>
      <c r="C744" s="20" t="str">
        <f>IFERROR(__xludf.DUMMYFUNCTION("""COMPUTED_VALUE"""),"network-delay-time")</f>
        <v>network-delay-time</v>
      </c>
      <c r="D744" s="20" t="b">
        <f>IFERROR(__xludf.DUMMYFUNCTION("""COMPUTED_VALUE"""),FALSE)</f>
        <v>0</v>
      </c>
      <c r="E744" s="20" t="str">
        <f>IFERROR(__xludf.DUMMYFUNCTION("""COMPUTED_VALUE"""),"Medium")</f>
        <v>Medium</v>
      </c>
      <c r="F744" s="20">
        <f>IFERROR(__xludf.DUMMYFUNCTION("""COMPUTED_VALUE"""),5851.0)</f>
        <v>5851</v>
      </c>
      <c r="G744" s="20">
        <f>IFERROR(__xludf.DUMMYFUNCTION("""COMPUTED_VALUE"""),324.0)</f>
        <v>324</v>
      </c>
      <c r="H744" s="20" t="str">
        <f>IFERROR(__xludf.DUMMYFUNCTION("""COMPUTED_VALUE"""),"Algorithms")</f>
        <v>Algorithms</v>
      </c>
      <c r="I744" s="20">
        <f>IFERROR(__xludf.DUMMYFUNCTION("""COMPUTED_VALUE"""),0.516)</f>
        <v>0.516</v>
      </c>
      <c r="J744" s="20">
        <f>IFERROR(__xludf.DUMMYFUNCTION("""COMPUTED_VALUE"""),743.0)</f>
        <v>743</v>
      </c>
      <c r="K744" s="20" t="b">
        <f>IFERROR(__xludf.DUMMYFUNCTION("""COMPUTED_VALUE"""),FALSE)</f>
        <v>0</v>
      </c>
      <c r="L744" s="20" t="str">
        <f>IFERROR(__xludf.DUMMYFUNCTION("""COMPUTED_VALUE"""),"Depth-First Search;Breadth-First Search;Graph;Heap (Priority Queue);Shortest Path;")</f>
        <v>Depth-First Search;Breadth-First Search;Graph;Heap (Priority Queue);Shortest Path;</v>
      </c>
      <c r="M744" s="20" t="b">
        <f>IFERROR(__xludf.DUMMYFUNCTION("""COMPUTED_VALUE"""),TRUE)</f>
        <v>1</v>
      </c>
      <c r="N744" s="20" t="b">
        <f>IFERROR(__xludf.DUMMYFUNCTION("""COMPUTED_VALUE"""),FALSE)</f>
        <v>0</v>
      </c>
      <c r="O744" s="20">
        <f>IFERROR(__xludf.DUMMYFUNCTION("""COMPUTED_VALUE"""),51.5645941810677)</f>
        <v>51.56459418</v>
      </c>
      <c r="P744" s="20">
        <f>IFERROR(__xludf.DUMMYFUNCTION("""COMPUTED_VALUE"""),347795.0)</f>
        <v>347795</v>
      </c>
      <c r="Q744" s="20">
        <f>IFERROR(__xludf.DUMMYFUNCTION("""COMPUTED_VALUE"""),674485.0)</f>
        <v>674485</v>
      </c>
    </row>
    <row r="745">
      <c r="A745" s="20">
        <f>IFERROR(__xludf.DUMMYFUNCTION("""COMPUTED_VALUE"""),745.0)</f>
        <v>745</v>
      </c>
      <c r="B745" s="20" t="str">
        <f>IFERROR(__xludf.DUMMYFUNCTION("""COMPUTED_VALUE"""),"Find Smallest Letter Greater Than Target")</f>
        <v>Find Smallest Letter Greater Than Target</v>
      </c>
      <c r="C745" s="20" t="str">
        <f>IFERROR(__xludf.DUMMYFUNCTION("""COMPUTED_VALUE"""),"find-smallest-letter-greater-than-target")</f>
        <v>find-smallest-letter-greater-than-target</v>
      </c>
      <c r="D745" s="20" t="b">
        <f>IFERROR(__xludf.DUMMYFUNCTION("""COMPUTED_VALUE"""),FALSE)</f>
        <v>0</v>
      </c>
      <c r="E745" s="20" t="str">
        <f>IFERROR(__xludf.DUMMYFUNCTION("""COMPUTED_VALUE"""),"Easy")</f>
        <v>Easy</v>
      </c>
      <c r="F745" s="20">
        <f>IFERROR(__xludf.DUMMYFUNCTION("""COMPUTED_VALUE"""),2465.0)</f>
        <v>2465</v>
      </c>
      <c r="G745" s="20">
        <f>IFERROR(__xludf.DUMMYFUNCTION("""COMPUTED_VALUE"""),1934.0)</f>
        <v>1934</v>
      </c>
      <c r="H745" s="20" t="str">
        <f>IFERROR(__xludf.DUMMYFUNCTION("""COMPUTED_VALUE"""),"Algorithms")</f>
        <v>Algorithms</v>
      </c>
      <c r="I745" s="20">
        <f>IFERROR(__xludf.DUMMYFUNCTION("""COMPUTED_VALUE"""),0.45)</f>
        <v>0.45</v>
      </c>
      <c r="J745" s="20">
        <f>IFERROR(__xludf.DUMMYFUNCTION("""COMPUTED_VALUE"""),744.0)</f>
        <v>744</v>
      </c>
      <c r="K745" s="20" t="b">
        <f>IFERROR(__xludf.DUMMYFUNCTION("""COMPUTED_VALUE"""),FALSE)</f>
        <v>0</v>
      </c>
      <c r="L745" s="20" t="str">
        <f>IFERROR(__xludf.DUMMYFUNCTION("""COMPUTED_VALUE"""),"Array;Binary Search;")</f>
        <v>Array;Binary Search;</v>
      </c>
      <c r="M745" s="20" t="b">
        <f>IFERROR(__xludf.DUMMYFUNCTION("""COMPUTED_VALUE"""),TRUE)</f>
        <v>1</v>
      </c>
      <c r="N745" s="20" t="b">
        <f>IFERROR(__xludf.DUMMYFUNCTION("""COMPUTED_VALUE"""),FALSE)</f>
        <v>0</v>
      </c>
      <c r="O745" s="20">
        <f>IFERROR(__xludf.DUMMYFUNCTION("""COMPUTED_VALUE"""),44.9534513011254)</f>
        <v>44.9534513</v>
      </c>
      <c r="P745" s="20">
        <f>IFERROR(__xludf.DUMMYFUNCTION("""COMPUTED_VALUE"""),263112.0)</f>
        <v>263112</v>
      </c>
      <c r="Q745" s="20">
        <f>IFERROR(__xludf.DUMMYFUNCTION("""COMPUTED_VALUE"""),585298.0)</f>
        <v>585298</v>
      </c>
    </row>
    <row r="746">
      <c r="A746" s="20">
        <f>IFERROR(__xludf.DUMMYFUNCTION("""COMPUTED_VALUE"""),746.0)</f>
        <v>746</v>
      </c>
      <c r="B746" s="20" t="str">
        <f>IFERROR(__xludf.DUMMYFUNCTION("""COMPUTED_VALUE"""),"Prefix and Suffix Search")</f>
        <v>Prefix and Suffix Search</v>
      </c>
      <c r="C746" s="20" t="str">
        <f>IFERROR(__xludf.DUMMYFUNCTION("""COMPUTED_VALUE"""),"prefix-and-suffix-search")</f>
        <v>prefix-and-suffix-search</v>
      </c>
      <c r="D746" s="20" t="b">
        <f>IFERROR(__xludf.DUMMYFUNCTION("""COMPUTED_VALUE"""),FALSE)</f>
        <v>0</v>
      </c>
      <c r="E746" s="20" t="str">
        <f>IFERROR(__xludf.DUMMYFUNCTION("""COMPUTED_VALUE"""),"Hard")</f>
        <v>Hard</v>
      </c>
      <c r="F746" s="20">
        <f>IFERROR(__xludf.DUMMYFUNCTION("""COMPUTED_VALUE"""),2076.0)</f>
        <v>2076</v>
      </c>
      <c r="G746" s="20">
        <f>IFERROR(__xludf.DUMMYFUNCTION("""COMPUTED_VALUE"""),462.0)</f>
        <v>462</v>
      </c>
      <c r="H746" s="20" t="str">
        <f>IFERROR(__xludf.DUMMYFUNCTION("""COMPUTED_VALUE"""),"Algorithms")</f>
        <v>Algorithms</v>
      </c>
      <c r="I746" s="20">
        <f>IFERROR(__xludf.DUMMYFUNCTION("""COMPUTED_VALUE"""),0.413)</f>
        <v>0.413</v>
      </c>
      <c r="J746" s="20">
        <f>IFERROR(__xludf.DUMMYFUNCTION("""COMPUTED_VALUE"""),745.0)</f>
        <v>745</v>
      </c>
      <c r="K746" s="20" t="b">
        <f>IFERROR(__xludf.DUMMYFUNCTION("""COMPUTED_VALUE"""),FALSE)</f>
        <v>0</v>
      </c>
      <c r="L746" s="20" t="str">
        <f>IFERROR(__xludf.DUMMYFUNCTION("""COMPUTED_VALUE"""),"Hash Table;String;Design;Trie;")</f>
        <v>Hash Table;String;Design;Trie;</v>
      </c>
      <c r="M746" s="20" t="b">
        <f>IFERROR(__xludf.DUMMYFUNCTION("""COMPUTED_VALUE"""),TRUE)</f>
        <v>1</v>
      </c>
      <c r="N746" s="20" t="b">
        <f>IFERROR(__xludf.DUMMYFUNCTION("""COMPUTED_VALUE"""),FALSE)</f>
        <v>0</v>
      </c>
      <c r="O746" s="20">
        <f>IFERROR(__xludf.DUMMYFUNCTION("""COMPUTED_VALUE"""),41.2820717243578)</f>
        <v>41.28207172</v>
      </c>
      <c r="P746" s="20">
        <f>IFERROR(__xludf.DUMMYFUNCTION("""COMPUTED_VALUE"""),88027.0)</f>
        <v>88027</v>
      </c>
      <c r="Q746" s="20">
        <f>IFERROR(__xludf.DUMMYFUNCTION("""COMPUTED_VALUE"""),213233.0)</f>
        <v>213233</v>
      </c>
    </row>
    <row r="747">
      <c r="A747" s="20">
        <f>IFERROR(__xludf.DUMMYFUNCTION("""COMPUTED_VALUE"""),747.0)</f>
        <v>747</v>
      </c>
      <c r="B747" s="20" t="str">
        <f>IFERROR(__xludf.DUMMYFUNCTION("""COMPUTED_VALUE"""),"Min Cost Climbing Stairs")</f>
        <v>Min Cost Climbing Stairs</v>
      </c>
      <c r="C747" s="20" t="str">
        <f>IFERROR(__xludf.DUMMYFUNCTION("""COMPUTED_VALUE"""),"min-cost-climbing-stairs")</f>
        <v>min-cost-climbing-stairs</v>
      </c>
      <c r="D747" s="20" t="b">
        <f>IFERROR(__xludf.DUMMYFUNCTION("""COMPUTED_VALUE"""),FALSE)</f>
        <v>0</v>
      </c>
      <c r="E747" s="20" t="str">
        <f>IFERROR(__xludf.DUMMYFUNCTION("""COMPUTED_VALUE"""),"Easy")</f>
        <v>Easy</v>
      </c>
      <c r="F747" s="20">
        <f>IFERROR(__xludf.DUMMYFUNCTION("""COMPUTED_VALUE"""),8499.0)</f>
        <v>8499</v>
      </c>
      <c r="G747" s="20">
        <f>IFERROR(__xludf.DUMMYFUNCTION("""COMPUTED_VALUE"""),1332.0)</f>
        <v>1332</v>
      </c>
      <c r="H747" s="20" t="str">
        <f>IFERROR(__xludf.DUMMYFUNCTION("""COMPUTED_VALUE"""),"Algorithms")</f>
        <v>Algorithms</v>
      </c>
      <c r="I747" s="20">
        <f>IFERROR(__xludf.DUMMYFUNCTION("""COMPUTED_VALUE"""),0.627)</f>
        <v>0.627</v>
      </c>
      <c r="J747" s="20">
        <f>IFERROR(__xludf.DUMMYFUNCTION("""COMPUTED_VALUE"""),746.0)</f>
        <v>746</v>
      </c>
      <c r="K747" s="20" t="b">
        <f>IFERROR(__xludf.DUMMYFUNCTION("""COMPUTED_VALUE"""),FALSE)</f>
        <v>0</v>
      </c>
      <c r="L747" s="20" t="str">
        <f>IFERROR(__xludf.DUMMYFUNCTION("""COMPUTED_VALUE"""),"Array;Dynamic Programming;")</f>
        <v>Array;Dynamic Programming;</v>
      </c>
      <c r="M747" s="20" t="b">
        <f>IFERROR(__xludf.DUMMYFUNCTION("""COMPUTED_VALUE"""),TRUE)</f>
        <v>1</v>
      </c>
      <c r="N747" s="20" t="b">
        <f>IFERROR(__xludf.DUMMYFUNCTION("""COMPUTED_VALUE"""),FALSE)</f>
        <v>0</v>
      </c>
      <c r="O747" s="20">
        <f>IFERROR(__xludf.DUMMYFUNCTION("""COMPUTED_VALUE"""),62.6841800203082)</f>
        <v>62.68418002</v>
      </c>
      <c r="P747" s="20">
        <f>IFERROR(__xludf.DUMMYFUNCTION("""COMPUTED_VALUE"""),719176.0)</f>
        <v>719176</v>
      </c>
      <c r="Q747" s="20">
        <f>IFERROR(__xludf.DUMMYFUNCTION("""COMPUTED_VALUE"""),1147301.0)</f>
        <v>1147301</v>
      </c>
    </row>
    <row r="748">
      <c r="A748" s="20">
        <f>IFERROR(__xludf.DUMMYFUNCTION("""COMPUTED_VALUE"""),748.0)</f>
        <v>748</v>
      </c>
      <c r="B748" s="20" t="str">
        <f>IFERROR(__xludf.DUMMYFUNCTION("""COMPUTED_VALUE"""),"Largest Number At Least Twice of Others")</f>
        <v>Largest Number At Least Twice of Others</v>
      </c>
      <c r="C748" s="20" t="str">
        <f>IFERROR(__xludf.DUMMYFUNCTION("""COMPUTED_VALUE"""),"largest-number-at-least-twice-of-others")</f>
        <v>largest-number-at-least-twice-of-others</v>
      </c>
      <c r="D748" s="20" t="b">
        <f>IFERROR(__xludf.DUMMYFUNCTION("""COMPUTED_VALUE"""),FALSE)</f>
        <v>0</v>
      </c>
      <c r="E748" s="20" t="str">
        <f>IFERROR(__xludf.DUMMYFUNCTION("""COMPUTED_VALUE"""),"Easy")</f>
        <v>Easy</v>
      </c>
      <c r="F748" s="20">
        <f>IFERROR(__xludf.DUMMYFUNCTION("""COMPUTED_VALUE"""),889.0)</f>
        <v>889</v>
      </c>
      <c r="G748" s="20">
        <f>IFERROR(__xludf.DUMMYFUNCTION("""COMPUTED_VALUE"""),820.0)</f>
        <v>820</v>
      </c>
      <c r="H748" s="20" t="str">
        <f>IFERROR(__xludf.DUMMYFUNCTION("""COMPUTED_VALUE"""),"Algorithms")</f>
        <v>Algorithms</v>
      </c>
      <c r="I748" s="20">
        <f>IFERROR(__xludf.DUMMYFUNCTION("""COMPUTED_VALUE"""),0.466)</f>
        <v>0.466</v>
      </c>
      <c r="J748" s="20">
        <f>IFERROR(__xludf.DUMMYFUNCTION("""COMPUTED_VALUE"""),747.0)</f>
        <v>747</v>
      </c>
      <c r="K748" s="20" t="b">
        <f>IFERROR(__xludf.DUMMYFUNCTION("""COMPUTED_VALUE"""),FALSE)</f>
        <v>0</v>
      </c>
      <c r="L748" s="20" t="str">
        <f>IFERROR(__xludf.DUMMYFUNCTION("""COMPUTED_VALUE"""),"Array;Sorting;")</f>
        <v>Array;Sorting;</v>
      </c>
      <c r="M748" s="20" t="b">
        <f>IFERROR(__xludf.DUMMYFUNCTION("""COMPUTED_VALUE"""),FALSE)</f>
        <v>0</v>
      </c>
      <c r="N748" s="20" t="b">
        <f>IFERROR(__xludf.DUMMYFUNCTION("""COMPUTED_VALUE"""),FALSE)</f>
        <v>0</v>
      </c>
      <c r="O748" s="20">
        <f>IFERROR(__xludf.DUMMYFUNCTION("""COMPUTED_VALUE"""),46.6033922789416)</f>
        <v>46.60339228</v>
      </c>
      <c r="P748" s="20">
        <f>IFERROR(__xludf.DUMMYFUNCTION("""COMPUTED_VALUE"""),188402.0)</f>
        <v>188402</v>
      </c>
      <c r="Q748" s="20">
        <f>IFERROR(__xludf.DUMMYFUNCTION("""COMPUTED_VALUE"""),404265.0)</f>
        <v>404265</v>
      </c>
    </row>
    <row r="749">
      <c r="A749" s="20">
        <f>IFERROR(__xludf.DUMMYFUNCTION("""COMPUTED_VALUE"""),749.0)</f>
        <v>749</v>
      </c>
      <c r="B749" s="20" t="str">
        <f>IFERROR(__xludf.DUMMYFUNCTION("""COMPUTED_VALUE"""),"Shortest Completing Word")</f>
        <v>Shortest Completing Word</v>
      </c>
      <c r="C749" s="20" t="str">
        <f>IFERROR(__xludf.DUMMYFUNCTION("""COMPUTED_VALUE"""),"shortest-completing-word")</f>
        <v>shortest-completing-word</v>
      </c>
      <c r="D749" s="20" t="b">
        <f>IFERROR(__xludf.DUMMYFUNCTION("""COMPUTED_VALUE"""),FALSE)</f>
        <v>0</v>
      </c>
      <c r="E749" s="20" t="str">
        <f>IFERROR(__xludf.DUMMYFUNCTION("""COMPUTED_VALUE"""),"Easy")</f>
        <v>Easy</v>
      </c>
      <c r="F749" s="20">
        <f>IFERROR(__xludf.DUMMYFUNCTION("""COMPUTED_VALUE"""),402.0)</f>
        <v>402</v>
      </c>
      <c r="G749" s="20">
        <f>IFERROR(__xludf.DUMMYFUNCTION("""COMPUTED_VALUE"""),946.0)</f>
        <v>946</v>
      </c>
      <c r="H749" s="20" t="str">
        <f>IFERROR(__xludf.DUMMYFUNCTION("""COMPUTED_VALUE"""),"Algorithms")</f>
        <v>Algorithms</v>
      </c>
      <c r="I749" s="20">
        <f>IFERROR(__xludf.DUMMYFUNCTION("""COMPUTED_VALUE"""),0.592)</f>
        <v>0.592</v>
      </c>
      <c r="J749" s="20">
        <f>IFERROR(__xludf.DUMMYFUNCTION("""COMPUTED_VALUE"""),748.0)</f>
        <v>748</v>
      </c>
      <c r="K749" s="20" t="b">
        <f>IFERROR(__xludf.DUMMYFUNCTION("""COMPUTED_VALUE"""),FALSE)</f>
        <v>0</v>
      </c>
      <c r="L749" s="20" t="str">
        <f>IFERROR(__xludf.DUMMYFUNCTION("""COMPUTED_VALUE"""),"Array;Hash Table;String;")</f>
        <v>Array;Hash Table;String;</v>
      </c>
      <c r="M749" s="20" t="b">
        <f>IFERROR(__xludf.DUMMYFUNCTION("""COMPUTED_VALUE"""),FALSE)</f>
        <v>0</v>
      </c>
      <c r="N749" s="20" t="b">
        <f>IFERROR(__xludf.DUMMYFUNCTION("""COMPUTED_VALUE"""),FALSE)</f>
        <v>0</v>
      </c>
      <c r="O749" s="20">
        <f>IFERROR(__xludf.DUMMYFUNCTION("""COMPUTED_VALUE"""),59.193884498731)</f>
        <v>59.1938845</v>
      </c>
      <c r="P749" s="20">
        <f>IFERROR(__xludf.DUMMYFUNCTION("""COMPUTED_VALUE"""),57379.0)</f>
        <v>57379</v>
      </c>
      <c r="Q749" s="20">
        <f>IFERROR(__xludf.DUMMYFUNCTION("""COMPUTED_VALUE"""),96934.0)</f>
        <v>96934</v>
      </c>
    </row>
    <row r="750">
      <c r="A750" s="20">
        <f>IFERROR(__xludf.DUMMYFUNCTION("""COMPUTED_VALUE"""),750.0)</f>
        <v>750</v>
      </c>
      <c r="B750" s="20" t="str">
        <f>IFERROR(__xludf.DUMMYFUNCTION("""COMPUTED_VALUE"""),"Contain Virus")</f>
        <v>Contain Virus</v>
      </c>
      <c r="C750" s="20" t="str">
        <f>IFERROR(__xludf.DUMMYFUNCTION("""COMPUTED_VALUE"""),"contain-virus")</f>
        <v>contain-virus</v>
      </c>
      <c r="D750" s="20" t="b">
        <f>IFERROR(__xludf.DUMMYFUNCTION("""COMPUTED_VALUE"""),FALSE)</f>
        <v>0</v>
      </c>
      <c r="E750" s="20" t="str">
        <f>IFERROR(__xludf.DUMMYFUNCTION("""COMPUTED_VALUE"""),"Hard")</f>
        <v>Hard</v>
      </c>
      <c r="F750" s="20">
        <f>IFERROR(__xludf.DUMMYFUNCTION("""COMPUTED_VALUE"""),307.0)</f>
        <v>307</v>
      </c>
      <c r="G750" s="20">
        <f>IFERROR(__xludf.DUMMYFUNCTION("""COMPUTED_VALUE"""),420.0)</f>
        <v>420</v>
      </c>
      <c r="H750" s="20" t="str">
        <f>IFERROR(__xludf.DUMMYFUNCTION("""COMPUTED_VALUE"""),"Algorithms")</f>
        <v>Algorithms</v>
      </c>
      <c r="I750" s="20">
        <f>IFERROR(__xludf.DUMMYFUNCTION("""COMPUTED_VALUE"""),0.509)</f>
        <v>0.509</v>
      </c>
      <c r="J750" s="20">
        <f>IFERROR(__xludf.DUMMYFUNCTION("""COMPUTED_VALUE"""),749.0)</f>
        <v>749</v>
      </c>
      <c r="K750" s="20" t="b">
        <f>IFERROR(__xludf.DUMMYFUNCTION("""COMPUTED_VALUE"""),FALSE)</f>
        <v>0</v>
      </c>
      <c r="L750" s="20" t="str">
        <f>IFERROR(__xludf.DUMMYFUNCTION("""COMPUTED_VALUE"""),"Array;Depth-First Search;Breadth-First Search;Matrix;Simulation;")</f>
        <v>Array;Depth-First Search;Breadth-First Search;Matrix;Simulation;</v>
      </c>
      <c r="M750" s="20" t="b">
        <f>IFERROR(__xludf.DUMMYFUNCTION("""COMPUTED_VALUE"""),TRUE)</f>
        <v>1</v>
      </c>
      <c r="N750" s="20" t="b">
        <f>IFERROR(__xludf.DUMMYFUNCTION("""COMPUTED_VALUE"""),FALSE)</f>
        <v>0</v>
      </c>
      <c r="O750" s="20">
        <f>IFERROR(__xludf.DUMMYFUNCTION("""COMPUTED_VALUE"""),50.8883052680364)</f>
        <v>50.88830527</v>
      </c>
      <c r="P750" s="20">
        <f>IFERROR(__xludf.DUMMYFUNCTION("""COMPUTED_VALUE"""),9882.0)</f>
        <v>9882</v>
      </c>
      <c r="Q750" s="20">
        <f>IFERROR(__xludf.DUMMYFUNCTION("""COMPUTED_VALUE"""),19419.0)</f>
        <v>19419</v>
      </c>
    </row>
    <row r="751">
      <c r="A751" s="20">
        <f>IFERROR(__xludf.DUMMYFUNCTION("""COMPUTED_VALUE"""),751.0)</f>
        <v>751</v>
      </c>
      <c r="B751" s="20" t="str">
        <f>IFERROR(__xludf.DUMMYFUNCTION("""COMPUTED_VALUE"""),"Number Of Corner Rectangles")</f>
        <v>Number Of Corner Rectangles</v>
      </c>
      <c r="C751" s="20" t="str">
        <f>IFERROR(__xludf.DUMMYFUNCTION("""COMPUTED_VALUE"""),"number-of-corner-rectangles")</f>
        <v>number-of-corner-rectangles</v>
      </c>
      <c r="D751" s="20" t="b">
        <f>IFERROR(__xludf.DUMMYFUNCTION("""COMPUTED_VALUE"""),TRUE)</f>
        <v>1</v>
      </c>
      <c r="E751" s="20" t="str">
        <f>IFERROR(__xludf.DUMMYFUNCTION("""COMPUTED_VALUE"""),"Medium")</f>
        <v>Medium</v>
      </c>
      <c r="F751" s="20">
        <f>IFERROR(__xludf.DUMMYFUNCTION("""COMPUTED_VALUE"""),597.0)</f>
        <v>597</v>
      </c>
      <c r="G751" s="20">
        <f>IFERROR(__xludf.DUMMYFUNCTION("""COMPUTED_VALUE"""),91.0)</f>
        <v>91</v>
      </c>
      <c r="H751" s="20" t="str">
        <f>IFERROR(__xludf.DUMMYFUNCTION("""COMPUTED_VALUE"""),"Algorithms")</f>
        <v>Algorithms</v>
      </c>
      <c r="I751" s="20">
        <f>IFERROR(__xludf.DUMMYFUNCTION("""COMPUTED_VALUE"""),0.674)</f>
        <v>0.674</v>
      </c>
      <c r="J751" s="20">
        <f>IFERROR(__xludf.DUMMYFUNCTION("""COMPUTED_VALUE"""),750.0)</f>
        <v>750</v>
      </c>
      <c r="K751" s="20" t="b">
        <f>IFERROR(__xludf.DUMMYFUNCTION("""COMPUTED_VALUE"""),TRUE)</f>
        <v>1</v>
      </c>
      <c r="L751" s="20" t="str">
        <f>IFERROR(__xludf.DUMMYFUNCTION("""COMPUTED_VALUE"""),"Array;Math;Dynamic Programming;Matrix;")</f>
        <v>Array;Math;Dynamic Programming;Matrix;</v>
      </c>
      <c r="M751" s="20" t="b">
        <f>IFERROR(__xludf.DUMMYFUNCTION("""COMPUTED_VALUE"""),TRUE)</f>
        <v>1</v>
      </c>
      <c r="N751" s="20" t="b">
        <f>IFERROR(__xludf.DUMMYFUNCTION("""COMPUTED_VALUE"""),FALSE)</f>
        <v>0</v>
      </c>
      <c r="O751" s="20">
        <f>IFERROR(__xludf.DUMMYFUNCTION("""COMPUTED_VALUE"""),67.4446362334275)</f>
        <v>67.44463623</v>
      </c>
      <c r="P751" s="20">
        <f>IFERROR(__xludf.DUMMYFUNCTION("""COMPUTED_VALUE"""),36729.0)</f>
        <v>36729</v>
      </c>
      <c r="Q751" s="20">
        <f>IFERROR(__xludf.DUMMYFUNCTION("""COMPUTED_VALUE"""),54458.0)</f>
        <v>54458</v>
      </c>
    </row>
    <row r="752">
      <c r="A752" s="20">
        <f>IFERROR(__xludf.DUMMYFUNCTION("""COMPUTED_VALUE"""),752.0)</f>
        <v>752</v>
      </c>
      <c r="B752" s="20" t="str">
        <f>IFERROR(__xludf.DUMMYFUNCTION("""COMPUTED_VALUE"""),"IP to CIDR")</f>
        <v>IP to CIDR</v>
      </c>
      <c r="C752" s="20" t="str">
        <f>IFERROR(__xludf.DUMMYFUNCTION("""COMPUTED_VALUE"""),"ip-to-cidr")</f>
        <v>ip-to-cidr</v>
      </c>
      <c r="D752" s="20" t="b">
        <f>IFERROR(__xludf.DUMMYFUNCTION("""COMPUTED_VALUE"""),TRUE)</f>
        <v>1</v>
      </c>
      <c r="E752" s="20" t="str">
        <f>IFERROR(__xludf.DUMMYFUNCTION("""COMPUTED_VALUE"""),"Medium")</f>
        <v>Medium</v>
      </c>
      <c r="F752" s="20">
        <f>IFERROR(__xludf.DUMMYFUNCTION("""COMPUTED_VALUE"""),47.0)</f>
        <v>47</v>
      </c>
      <c r="G752" s="20">
        <f>IFERROR(__xludf.DUMMYFUNCTION("""COMPUTED_VALUE"""),175.0)</f>
        <v>175</v>
      </c>
      <c r="H752" s="20" t="str">
        <f>IFERROR(__xludf.DUMMYFUNCTION("""COMPUTED_VALUE"""),"Algorithms")</f>
        <v>Algorithms</v>
      </c>
      <c r="I752" s="20">
        <f>IFERROR(__xludf.DUMMYFUNCTION("""COMPUTED_VALUE"""),0.546)</f>
        <v>0.546</v>
      </c>
      <c r="J752" s="20">
        <f>IFERROR(__xludf.DUMMYFUNCTION("""COMPUTED_VALUE"""),751.0)</f>
        <v>751</v>
      </c>
      <c r="K752" s="20" t="b">
        <f>IFERROR(__xludf.DUMMYFUNCTION("""COMPUTED_VALUE"""),TRUE)</f>
        <v>1</v>
      </c>
      <c r="L752" s="20" t="str">
        <f>IFERROR(__xludf.DUMMYFUNCTION("""COMPUTED_VALUE"""),"String;Bit Manipulation;")</f>
        <v>String;Bit Manipulation;</v>
      </c>
      <c r="M752" s="20" t="b">
        <f>IFERROR(__xludf.DUMMYFUNCTION("""COMPUTED_VALUE"""),FALSE)</f>
        <v>0</v>
      </c>
      <c r="N752" s="20" t="b">
        <f>IFERROR(__xludf.DUMMYFUNCTION("""COMPUTED_VALUE"""),FALSE)</f>
        <v>0</v>
      </c>
      <c r="O752" s="20">
        <f>IFERROR(__xludf.DUMMYFUNCTION("""COMPUTED_VALUE"""),54.5697195780807)</f>
        <v>54.56971958</v>
      </c>
      <c r="P752" s="20">
        <f>IFERROR(__xludf.DUMMYFUNCTION("""COMPUTED_VALUE"""),16969.0)</f>
        <v>16969</v>
      </c>
      <c r="Q752" s="20">
        <f>IFERROR(__xludf.DUMMYFUNCTION("""COMPUTED_VALUE"""),31096.0)</f>
        <v>31096</v>
      </c>
    </row>
    <row r="753">
      <c r="A753" s="20">
        <f>IFERROR(__xludf.DUMMYFUNCTION("""COMPUTED_VALUE"""),753.0)</f>
        <v>753</v>
      </c>
      <c r="B753" s="20" t="str">
        <f>IFERROR(__xludf.DUMMYFUNCTION("""COMPUTED_VALUE"""),"Open the Lock")</f>
        <v>Open the Lock</v>
      </c>
      <c r="C753" s="20" t="str">
        <f>IFERROR(__xludf.DUMMYFUNCTION("""COMPUTED_VALUE"""),"open-the-lock")</f>
        <v>open-the-lock</v>
      </c>
      <c r="D753" s="20" t="b">
        <f>IFERROR(__xludf.DUMMYFUNCTION("""COMPUTED_VALUE"""),FALSE)</f>
        <v>0</v>
      </c>
      <c r="E753" s="20" t="str">
        <f>IFERROR(__xludf.DUMMYFUNCTION("""COMPUTED_VALUE"""),"Medium")</f>
        <v>Medium</v>
      </c>
      <c r="F753" s="20">
        <f>IFERROR(__xludf.DUMMYFUNCTION("""COMPUTED_VALUE"""),3387.0)</f>
        <v>3387</v>
      </c>
      <c r="G753" s="20">
        <f>IFERROR(__xludf.DUMMYFUNCTION("""COMPUTED_VALUE"""),124.0)</f>
        <v>124</v>
      </c>
      <c r="H753" s="20" t="str">
        <f>IFERROR(__xludf.DUMMYFUNCTION("""COMPUTED_VALUE"""),"Algorithms")</f>
        <v>Algorithms</v>
      </c>
      <c r="I753" s="20">
        <f>IFERROR(__xludf.DUMMYFUNCTION("""COMPUTED_VALUE"""),0.555)</f>
        <v>0.555</v>
      </c>
      <c r="J753" s="20">
        <f>IFERROR(__xludf.DUMMYFUNCTION("""COMPUTED_VALUE"""),752.0)</f>
        <v>752</v>
      </c>
      <c r="K753" s="20" t="b">
        <f>IFERROR(__xludf.DUMMYFUNCTION("""COMPUTED_VALUE"""),FALSE)</f>
        <v>0</v>
      </c>
      <c r="L753" s="20" t="str">
        <f>IFERROR(__xludf.DUMMYFUNCTION("""COMPUTED_VALUE"""),"Array;Hash Table;String;Breadth-First Search;")</f>
        <v>Array;Hash Table;String;Breadth-First Search;</v>
      </c>
      <c r="M753" s="20" t="b">
        <f>IFERROR(__xludf.DUMMYFUNCTION("""COMPUTED_VALUE"""),TRUE)</f>
        <v>1</v>
      </c>
      <c r="N753" s="20" t="b">
        <f>IFERROR(__xludf.DUMMYFUNCTION("""COMPUTED_VALUE"""),FALSE)</f>
        <v>0</v>
      </c>
      <c r="O753" s="20">
        <f>IFERROR(__xludf.DUMMYFUNCTION("""COMPUTED_VALUE"""),55.5197942008404)</f>
        <v>55.5197942</v>
      </c>
      <c r="P753" s="20">
        <f>IFERROR(__xludf.DUMMYFUNCTION("""COMPUTED_VALUE"""),190784.0)</f>
        <v>190784</v>
      </c>
      <c r="Q753" s="20">
        <f>IFERROR(__xludf.DUMMYFUNCTION("""COMPUTED_VALUE"""),343632.0)</f>
        <v>343632</v>
      </c>
    </row>
    <row r="754">
      <c r="A754" s="20">
        <f>IFERROR(__xludf.DUMMYFUNCTION("""COMPUTED_VALUE"""),754.0)</f>
        <v>754</v>
      </c>
      <c r="B754" s="20" t="str">
        <f>IFERROR(__xludf.DUMMYFUNCTION("""COMPUTED_VALUE"""),"Cracking the Safe")</f>
        <v>Cracking the Safe</v>
      </c>
      <c r="C754" s="20" t="str">
        <f>IFERROR(__xludf.DUMMYFUNCTION("""COMPUTED_VALUE"""),"cracking-the-safe")</f>
        <v>cracking-the-safe</v>
      </c>
      <c r="D754" s="20" t="b">
        <f>IFERROR(__xludf.DUMMYFUNCTION("""COMPUTED_VALUE"""),FALSE)</f>
        <v>0</v>
      </c>
      <c r="E754" s="20" t="str">
        <f>IFERROR(__xludf.DUMMYFUNCTION("""COMPUTED_VALUE"""),"Hard")</f>
        <v>Hard</v>
      </c>
      <c r="F754" s="20">
        <f>IFERROR(__xludf.DUMMYFUNCTION("""COMPUTED_VALUE"""),359.0)</f>
        <v>359</v>
      </c>
      <c r="G754" s="20">
        <f>IFERROR(__xludf.DUMMYFUNCTION("""COMPUTED_VALUE"""),65.0)</f>
        <v>65</v>
      </c>
      <c r="H754" s="20" t="str">
        <f>IFERROR(__xludf.DUMMYFUNCTION("""COMPUTED_VALUE"""),"Algorithms")</f>
        <v>Algorithms</v>
      </c>
      <c r="I754" s="20">
        <f>IFERROR(__xludf.DUMMYFUNCTION("""COMPUTED_VALUE"""),0.556)</f>
        <v>0.556</v>
      </c>
      <c r="J754" s="20">
        <f>IFERROR(__xludf.DUMMYFUNCTION("""COMPUTED_VALUE"""),753.0)</f>
        <v>753</v>
      </c>
      <c r="K754" s="20" t="b">
        <f>IFERROR(__xludf.DUMMYFUNCTION("""COMPUTED_VALUE"""),FALSE)</f>
        <v>0</v>
      </c>
      <c r="L754" s="20" t="str">
        <f>IFERROR(__xludf.DUMMYFUNCTION("""COMPUTED_VALUE"""),"Depth-First Search;Graph;Eulerian Circuit;")</f>
        <v>Depth-First Search;Graph;Eulerian Circuit;</v>
      </c>
      <c r="M754" s="20" t="b">
        <f>IFERROR(__xludf.DUMMYFUNCTION("""COMPUTED_VALUE"""),FALSE)</f>
        <v>0</v>
      </c>
      <c r="N754" s="20" t="b">
        <f>IFERROR(__xludf.DUMMYFUNCTION("""COMPUTED_VALUE"""),FALSE)</f>
        <v>0</v>
      </c>
      <c r="O754" s="20">
        <f>IFERROR(__xludf.DUMMYFUNCTION("""COMPUTED_VALUE"""),55.615692484571)</f>
        <v>55.61569248</v>
      </c>
      <c r="P754" s="20">
        <f>IFERROR(__xludf.DUMMYFUNCTION("""COMPUTED_VALUE"""),51276.0)</f>
        <v>51276</v>
      </c>
      <c r="Q754" s="20">
        <f>IFERROR(__xludf.DUMMYFUNCTION("""COMPUTED_VALUE"""),92197.0)</f>
        <v>92197</v>
      </c>
    </row>
    <row r="755">
      <c r="A755" s="20">
        <f>IFERROR(__xludf.DUMMYFUNCTION("""COMPUTED_VALUE"""),755.0)</f>
        <v>755</v>
      </c>
      <c r="B755" s="20" t="str">
        <f>IFERROR(__xludf.DUMMYFUNCTION("""COMPUTED_VALUE"""),"Reach a Number")</f>
        <v>Reach a Number</v>
      </c>
      <c r="C755" s="20" t="str">
        <f>IFERROR(__xludf.DUMMYFUNCTION("""COMPUTED_VALUE"""),"reach-a-number")</f>
        <v>reach-a-number</v>
      </c>
      <c r="D755" s="20" t="b">
        <f>IFERROR(__xludf.DUMMYFUNCTION("""COMPUTED_VALUE"""),FALSE)</f>
        <v>0</v>
      </c>
      <c r="E755" s="20" t="str">
        <f>IFERROR(__xludf.DUMMYFUNCTION("""COMPUTED_VALUE"""),"Medium")</f>
        <v>Medium</v>
      </c>
      <c r="F755" s="20">
        <f>IFERROR(__xludf.DUMMYFUNCTION("""COMPUTED_VALUE"""),1432.0)</f>
        <v>1432</v>
      </c>
      <c r="G755" s="20">
        <f>IFERROR(__xludf.DUMMYFUNCTION("""COMPUTED_VALUE"""),716.0)</f>
        <v>716</v>
      </c>
      <c r="H755" s="20" t="str">
        <f>IFERROR(__xludf.DUMMYFUNCTION("""COMPUTED_VALUE"""),"Algorithms")</f>
        <v>Algorithms</v>
      </c>
      <c r="I755" s="20">
        <f>IFERROR(__xludf.DUMMYFUNCTION("""COMPUTED_VALUE"""),0.427)</f>
        <v>0.427</v>
      </c>
      <c r="J755" s="20">
        <f>IFERROR(__xludf.DUMMYFUNCTION("""COMPUTED_VALUE"""),754.0)</f>
        <v>754</v>
      </c>
      <c r="K755" s="20" t="b">
        <f>IFERROR(__xludf.DUMMYFUNCTION("""COMPUTED_VALUE"""),FALSE)</f>
        <v>0</v>
      </c>
      <c r="L755" s="20" t="str">
        <f>IFERROR(__xludf.DUMMYFUNCTION("""COMPUTED_VALUE"""),"Math;Binary Search;")</f>
        <v>Math;Binary Search;</v>
      </c>
      <c r="M755" s="20" t="b">
        <f>IFERROR(__xludf.DUMMYFUNCTION("""COMPUTED_VALUE"""),TRUE)</f>
        <v>1</v>
      </c>
      <c r="N755" s="20" t="b">
        <f>IFERROR(__xludf.DUMMYFUNCTION("""COMPUTED_VALUE"""),FALSE)</f>
        <v>0</v>
      </c>
      <c r="O755" s="20">
        <f>IFERROR(__xludf.DUMMYFUNCTION("""COMPUTED_VALUE"""),42.7104682901242)</f>
        <v>42.71046829</v>
      </c>
      <c r="P755" s="20">
        <f>IFERROR(__xludf.DUMMYFUNCTION("""COMPUTED_VALUE"""),43970.0)</f>
        <v>43970</v>
      </c>
      <c r="Q755" s="20">
        <f>IFERROR(__xludf.DUMMYFUNCTION("""COMPUTED_VALUE"""),102949.0)</f>
        <v>102949</v>
      </c>
    </row>
    <row r="756">
      <c r="A756" s="20">
        <f>IFERROR(__xludf.DUMMYFUNCTION("""COMPUTED_VALUE"""),756.0)</f>
        <v>756</v>
      </c>
      <c r="B756" s="20" t="str">
        <f>IFERROR(__xludf.DUMMYFUNCTION("""COMPUTED_VALUE"""),"Pour Water")</f>
        <v>Pour Water</v>
      </c>
      <c r="C756" s="20" t="str">
        <f>IFERROR(__xludf.DUMMYFUNCTION("""COMPUTED_VALUE"""),"pour-water")</f>
        <v>pour-water</v>
      </c>
      <c r="D756" s="20" t="b">
        <f>IFERROR(__xludf.DUMMYFUNCTION("""COMPUTED_VALUE"""),TRUE)</f>
        <v>1</v>
      </c>
      <c r="E756" s="20" t="str">
        <f>IFERROR(__xludf.DUMMYFUNCTION("""COMPUTED_VALUE"""),"Medium")</f>
        <v>Medium</v>
      </c>
      <c r="F756" s="20">
        <f>IFERROR(__xludf.DUMMYFUNCTION("""COMPUTED_VALUE"""),283.0)</f>
        <v>283</v>
      </c>
      <c r="G756" s="20">
        <f>IFERROR(__xludf.DUMMYFUNCTION("""COMPUTED_VALUE"""),681.0)</f>
        <v>681</v>
      </c>
      <c r="H756" s="20" t="str">
        <f>IFERROR(__xludf.DUMMYFUNCTION("""COMPUTED_VALUE"""),"Algorithms")</f>
        <v>Algorithms</v>
      </c>
      <c r="I756" s="20">
        <f>IFERROR(__xludf.DUMMYFUNCTION("""COMPUTED_VALUE"""),0.463)</f>
        <v>0.463</v>
      </c>
      <c r="J756" s="20">
        <f>IFERROR(__xludf.DUMMYFUNCTION("""COMPUTED_VALUE"""),755.0)</f>
        <v>755</v>
      </c>
      <c r="K756" s="20" t="b">
        <f>IFERROR(__xludf.DUMMYFUNCTION("""COMPUTED_VALUE"""),TRUE)</f>
        <v>1</v>
      </c>
      <c r="L756" s="20" t="str">
        <f>IFERROR(__xludf.DUMMYFUNCTION("""COMPUTED_VALUE"""),"Array;Simulation;")</f>
        <v>Array;Simulation;</v>
      </c>
      <c r="M756" s="20" t="b">
        <f>IFERROR(__xludf.DUMMYFUNCTION("""COMPUTED_VALUE"""),FALSE)</f>
        <v>0</v>
      </c>
      <c r="N756" s="20" t="b">
        <f>IFERROR(__xludf.DUMMYFUNCTION("""COMPUTED_VALUE"""),FALSE)</f>
        <v>0</v>
      </c>
      <c r="O756" s="20">
        <f>IFERROR(__xludf.DUMMYFUNCTION("""COMPUTED_VALUE"""),46.2814786397391)</f>
        <v>46.28147864</v>
      </c>
      <c r="P756" s="20">
        <f>IFERROR(__xludf.DUMMYFUNCTION("""COMPUTED_VALUE"""),33779.0)</f>
        <v>33779</v>
      </c>
      <c r="Q756" s="20">
        <f>IFERROR(__xludf.DUMMYFUNCTION("""COMPUTED_VALUE"""),72986.0)</f>
        <v>72986</v>
      </c>
    </row>
    <row r="757">
      <c r="A757" s="20">
        <f>IFERROR(__xludf.DUMMYFUNCTION("""COMPUTED_VALUE"""),757.0)</f>
        <v>757</v>
      </c>
      <c r="B757" s="20" t="str">
        <f>IFERROR(__xludf.DUMMYFUNCTION("""COMPUTED_VALUE"""),"Pyramid Transition Matrix")</f>
        <v>Pyramid Transition Matrix</v>
      </c>
      <c r="C757" s="20" t="str">
        <f>IFERROR(__xludf.DUMMYFUNCTION("""COMPUTED_VALUE"""),"pyramid-transition-matrix")</f>
        <v>pyramid-transition-matrix</v>
      </c>
      <c r="D757" s="20" t="b">
        <f>IFERROR(__xludf.DUMMYFUNCTION("""COMPUTED_VALUE"""),FALSE)</f>
        <v>0</v>
      </c>
      <c r="E757" s="20" t="str">
        <f>IFERROR(__xludf.DUMMYFUNCTION("""COMPUTED_VALUE"""),"Medium")</f>
        <v>Medium</v>
      </c>
      <c r="F757" s="20">
        <f>IFERROR(__xludf.DUMMYFUNCTION("""COMPUTED_VALUE"""),482.0)</f>
        <v>482</v>
      </c>
      <c r="G757" s="20">
        <f>IFERROR(__xludf.DUMMYFUNCTION("""COMPUTED_VALUE"""),452.0)</f>
        <v>452</v>
      </c>
      <c r="H757" s="20" t="str">
        <f>IFERROR(__xludf.DUMMYFUNCTION("""COMPUTED_VALUE"""),"Algorithms")</f>
        <v>Algorithms</v>
      </c>
      <c r="I757" s="20">
        <f>IFERROR(__xludf.DUMMYFUNCTION("""COMPUTED_VALUE"""),0.529)</f>
        <v>0.529</v>
      </c>
      <c r="J757" s="20">
        <f>IFERROR(__xludf.DUMMYFUNCTION("""COMPUTED_VALUE"""),756.0)</f>
        <v>756</v>
      </c>
      <c r="K757" s="20" t="b">
        <f>IFERROR(__xludf.DUMMYFUNCTION("""COMPUTED_VALUE"""),FALSE)</f>
        <v>0</v>
      </c>
      <c r="L757" s="20" t="str">
        <f>IFERROR(__xludf.DUMMYFUNCTION("""COMPUTED_VALUE"""),"Bit Manipulation;Depth-First Search;Breadth-First Search;")</f>
        <v>Bit Manipulation;Depth-First Search;Breadth-First Search;</v>
      </c>
      <c r="M757" s="20" t="b">
        <f>IFERROR(__xludf.DUMMYFUNCTION("""COMPUTED_VALUE"""),FALSE)</f>
        <v>0</v>
      </c>
      <c r="N757" s="20" t="b">
        <f>IFERROR(__xludf.DUMMYFUNCTION("""COMPUTED_VALUE"""),FALSE)</f>
        <v>0</v>
      </c>
      <c r="O757" s="20">
        <f>IFERROR(__xludf.DUMMYFUNCTION("""COMPUTED_VALUE"""),52.9485773855527)</f>
        <v>52.94857739</v>
      </c>
      <c r="P757" s="20">
        <f>IFERROR(__xludf.DUMMYFUNCTION("""COMPUTED_VALUE"""),29459.0)</f>
        <v>29459</v>
      </c>
      <c r="Q757" s="20">
        <f>IFERROR(__xludf.DUMMYFUNCTION("""COMPUTED_VALUE"""),55637.0)</f>
        <v>55637</v>
      </c>
    </row>
    <row r="758">
      <c r="A758" s="20">
        <f>IFERROR(__xludf.DUMMYFUNCTION("""COMPUTED_VALUE"""),759.0)</f>
        <v>759</v>
      </c>
      <c r="B758" s="20" t="str">
        <f>IFERROR(__xludf.DUMMYFUNCTION("""COMPUTED_VALUE"""),"Set Intersection Size At Least Two")</f>
        <v>Set Intersection Size At Least Two</v>
      </c>
      <c r="C758" s="20" t="str">
        <f>IFERROR(__xludf.DUMMYFUNCTION("""COMPUTED_VALUE"""),"set-intersection-size-at-least-two")</f>
        <v>set-intersection-size-at-least-two</v>
      </c>
      <c r="D758" s="20" t="b">
        <f>IFERROR(__xludf.DUMMYFUNCTION("""COMPUTED_VALUE"""),FALSE)</f>
        <v>0</v>
      </c>
      <c r="E758" s="20" t="str">
        <f>IFERROR(__xludf.DUMMYFUNCTION("""COMPUTED_VALUE"""),"Hard")</f>
        <v>Hard</v>
      </c>
      <c r="F758" s="20">
        <f>IFERROR(__xludf.DUMMYFUNCTION("""COMPUTED_VALUE"""),582.0)</f>
        <v>582</v>
      </c>
      <c r="G758" s="20">
        <f>IFERROR(__xludf.DUMMYFUNCTION("""COMPUTED_VALUE"""),67.0)</f>
        <v>67</v>
      </c>
      <c r="H758" s="20" t="str">
        <f>IFERROR(__xludf.DUMMYFUNCTION("""COMPUTED_VALUE"""),"Algorithms")</f>
        <v>Algorithms</v>
      </c>
      <c r="I758" s="20">
        <f>IFERROR(__xludf.DUMMYFUNCTION("""COMPUTED_VALUE"""),0.438)</f>
        <v>0.438</v>
      </c>
      <c r="J758" s="20">
        <f>IFERROR(__xludf.DUMMYFUNCTION("""COMPUTED_VALUE"""),757.0)</f>
        <v>757</v>
      </c>
      <c r="K758" s="20" t="b">
        <f>IFERROR(__xludf.DUMMYFUNCTION("""COMPUTED_VALUE"""),FALSE)</f>
        <v>0</v>
      </c>
      <c r="L758" s="20" t="str">
        <f>IFERROR(__xludf.DUMMYFUNCTION("""COMPUTED_VALUE"""),"Array;Greedy;Sorting;")</f>
        <v>Array;Greedy;Sorting;</v>
      </c>
      <c r="M758" s="20" t="b">
        <f>IFERROR(__xludf.DUMMYFUNCTION("""COMPUTED_VALUE"""),FALSE)</f>
        <v>0</v>
      </c>
      <c r="N758" s="20" t="b">
        <f>IFERROR(__xludf.DUMMYFUNCTION("""COMPUTED_VALUE"""),FALSE)</f>
        <v>0</v>
      </c>
      <c r="O758" s="20">
        <f>IFERROR(__xludf.DUMMYFUNCTION("""COMPUTED_VALUE"""),43.827634166227)</f>
        <v>43.82763417</v>
      </c>
      <c r="P758" s="20">
        <f>IFERROR(__xludf.DUMMYFUNCTION("""COMPUTED_VALUE"""),18277.0)</f>
        <v>18277</v>
      </c>
      <c r="Q758" s="20">
        <f>IFERROR(__xludf.DUMMYFUNCTION("""COMPUTED_VALUE"""),41702.0)</f>
        <v>41702</v>
      </c>
    </row>
    <row r="759">
      <c r="A759" s="20">
        <f>IFERROR(__xludf.DUMMYFUNCTION("""COMPUTED_VALUE"""),760.0)</f>
        <v>760</v>
      </c>
      <c r="B759" s="20" t="str">
        <f>IFERROR(__xludf.DUMMYFUNCTION("""COMPUTED_VALUE"""),"Bold Words in String")</f>
        <v>Bold Words in String</v>
      </c>
      <c r="C759" s="20" t="str">
        <f>IFERROR(__xludf.DUMMYFUNCTION("""COMPUTED_VALUE"""),"bold-words-in-string")</f>
        <v>bold-words-in-string</v>
      </c>
      <c r="D759" s="20" t="b">
        <f>IFERROR(__xludf.DUMMYFUNCTION("""COMPUTED_VALUE"""),TRUE)</f>
        <v>1</v>
      </c>
      <c r="E759" s="20" t="str">
        <f>IFERROR(__xludf.DUMMYFUNCTION("""COMPUTED_VALUE"""),"Medium")</f>
        <v>Medium</v>
      </c>
      <c r="F759" s="20">
        <f>IFERROR(__xludf.DUMMYFUNCTION("""COMPUTED_VALUE"""),252.0)</f>
        <v>252</v>
      </c>
      <c r="G759" s="20">
        <f>IFERROR(__xludf.DUMMYFUNCTION("""COMPUTED_VALUE"""),121.0)</f>
        <v>121</v>
      </c>
      <c r="H759" s="20" t="str">
        <f>IFERROR(__xludf.DUMMYFUNCTION("""COMPUTED_VALUE"""),"Algorithms")</f>
        <v>Algorithms</v>
      </c>
      <c r="I759" s="20">
        <f>IFERROR(__xludf.DUMMYFUNCTION("""COMPUTED_VALUE"""),0.507)</f>
        <v>0.507</v>
      </c>
      <c r="J759" s="20">
        <f>IFERROR(__xludf.DUMMYFUNCTION("""COMPUTED_VALUE"""),758.0)</f>
        <v>758</v>
      </c>
      <c r="K759" s="20" t="b">
        <f>IFERROR(__xludf.DUMMYFUNCTION("""COMPUTED_VALUE"""),TRUE)</f>
        <v>1</v>
      </c>
      <c r="L759" s="20" t="str">
        <f>IFERROR(__xludf.DUMMYFUNCTION("""COMPUTED_VALUE"""),"Array;Hash Table;String;Trie;String Matching;")</f>
        <v>Array;Hash Table;String;Trie;String Matching;</v>
      </c>
      <c r="M759" s="20" t="b">
        <f>IFERROR(__xludf.DUMMYFUNCTION("""COMPUTED_VALUE"""),FALSE)</f>
        <v>0</v>
      </c>
      <c r="N759" s="20" t="b">
        <f>IFERROR(__xludf.DUMMYFUNCTION("""COMPUTED_VALUE"""),FALSE)</f>
        <v>0</v>
      </c>
      <c r="O759" s="20">
        <f>IFERROR(__xludf.DUMMYFUNCTION("""COMPUTED_VALUE"""),50.7008873088817)</f>
        <v>50.70088731</v>
      </c>
      <c r="P759" s="20">
        <f>IFERROR(__xludf.DUMMYFUNCTION("""COMPUTED_VALUE"""),17542.0)</f>
        <v>17542</v>
      </c>
      <c r="Q759" s="20">
        <f>IFERROR(__xludf.DUMMYFUNCTION("""COMPUTED_VALUE"""),34599.0)</f>
        <v>34599</v>
      </c>
    </row>
    <row r="760">
      <c r="A760" s="20">
        <f>IFERROR(__xludf.DUMMYFUNCTION("""COMPUTED_VALUE"""),761.0)</f>
        <v>761</v>
      </c>
      <c r="B760" s="20" t="str">
        <f>IFERROR(__xludf.DUMMYFUNCTION("""COMPUTED_VALUE"""),"Employee Free Time")</f>
        <v>Employee Free Time</v>
      </c>
      <c r="C760" s="20" t="str">
        <f>IFERROR(__xludf.DUMMYFUNCTION("""COMPUTED_VALUE"""),"employee-free-time")</f>
        <v>employee-free-time</v>
      </c>
      <c r="D760" s="20" t="b">
        <f>IFERROR(__xludf.DUMMYFUNCTION("""COMPUTED_VALUE"""),TRUE)</f>
        <v>1</v>
      </c>
      <c r="E760" s="20" t="str">
        <f>IFERROR(__xludf.DUMMYFUNCTION("""COMPUTED_VALUE"""),"Hard")</f>
        <v>Hard</v>
      </c>
      <c r="F760" s="20">
        <f>IFERROR(__xludf.DUMMYFUNCTION("""COMPUTED_VALUE"""),1663.0)</f>
        <v>1663</v>
      </c>
      <c r="G760" s="20">
        <f>IFERROR(__xludf.DUMMYFUNCTION("""COMPUTED_VALUE"""),113.0)</f>
        <v>113</v>
      </c>
      <c r="H760" s="20" t="str">
        <f>IFERROR(__xludf.DUMMYFUNCTION("""COMPUTED_VALUE"""),"Algorithms")</f>
        <v>Algorithms</v>
      </c>
      <c r="I760" s="20">
        <f>IFERROR(__xludf.DUMMYFUNCTION("""COMPUTED_VALUE"""),0.718)</f>
        <v>0.718</v>
      </c>
      <c r="J760" s="20">
        <f>IFERROR(__xludf.DUMMYFUNCTION("""COMPUTED_VALUE"""),759.0)</f>
        <v>759</v>
      </c>
      <c r="K760" s="20" t="b">
        <f>IFERROR(__xludf.DUMMYFUNCTION("""COMPUTED_VALUE"""),TRUE)</f>
        <v>1</v>
      </c>
      <c r="L760" s="20" t="str">
        <f>IFERROR(__xludf.DUMMYFUNCTION("""COMPUTED_VALUE"""),"Array;Sorting;Heap (Priority Queue);")</f>
        <v>Array;Sorting;Heap (Priority Queue);</v>
      </c>
      <c r="M760" s="20" t="b">
        <f>IFERROR(__xludf.DUMMYFUNCTION("""COMPUTED_VALUE"""),FALSE)</f>
        <v>0</v>
      </c>
      <c r="N760" s="20" t="b">
        <f>IFERROR(__xludf.DUMMYFUNCTION("""COMPUTED_VALUE"""),FALSE)</f>
        <v>0</v>
      </c>
      <c r="O760" s="20">
        <f>IFERROR(__xludf.DUMMYFUNCTION("""COMPUTED_VALUE"""),71.7751379349172)</f>
        <v>71.77513793</v>
      </c>
      <c r="P760" s="20">
        <f>IFERROR(__xludf.DUMMYFUNCTION("""COMPUTED_VALUE"""),127487.0)</f>
        <v>127487</v>
      </c>
      <c r="Q760" s="20">
        <f>IFERROR(__xludf.DUMMYFUNCTION("""COMPUTED_VALUE"""),177620.0)</f>
        <v>177620</v>
      </c>
    </row>
    <row r="761">
      <c r="A761" s="20">
        <f>IFERROR(__xludf.DUMMYFUNCTION("""COMPUTED_VALUE"""),762.0)</f>
        <v>762</v>
      </c>
      <c r="B761" s="20" t="str">
        <f>IFERROR(__xludf.DUMMYFUNCTION("""COMPUTED_VALUE"""),"Find Anagram Mappings")</f>
        <v>Find Anagram Mappings</v>
      </c>
      <c r="C761" s="20" t="str">
        <f>IFERROR(__xludf.DUMMYFUNCTION("""COMPUTED_VALUE"""),"find-anagram-mappings")</f>
        <v>find-anagram-mappings</v>
      </c>
      <c r="D761" s="20" t="b">
        <f>IFERROR(__xludf.DUMMYFUNCTION("""COMPUTED_VALUE"""),TRUE)</f>
        <v>1</v>
      </c>
      <c r="E761" s="20" t="str">
        <f>IFERROR(__xludf.DUMMYFUNCTION("""COMPUTED_VALUE"""),"Easy")</f>
        <v>Easy</v>
      </c>
      <c r="F761" s="20">
        <f>IFERROR(__xludf.DUMMYFUNCTION("""COMPUTED_VALUE"""),515.0)</f>
        <v>515</v>
      </c>
      <c r="G761" s="20">
        <f>IFERROR(__xludf.DUMMYFUNCTION("""COMPUTED_VALUE"""),203.0)</f>
        <v>203</v>
      </c>
      <c r="H761" s="20" t="str">
        <f>IFERROR(__xludf.DUMMYFUNCTION("""COMPUTED_VALUE"""),"Algorithms")</f>
        <v>Algorithms</v>
      </c>
      <c r="I761" s="20">
        <f>IFERROR(__xludf.DUMMYFUNCTION("""COMPUTED_VALUE"""),0.829)</f>
        <v>0.829</v>
      </c>
      <c r="J761" s="20">
        <f>IFERROR(__xludf.DUMMYFUNCTION("""COMPUTED_VALUE"""),760.0)</f>
        <v>760</v>
      </c>
      <c r="K761" s="20" t="b">
        <f>IFERROR(__xludf.DUMMYFUNCTION("""COMPUTED_VALUE"""),TRUE)</f>
        <v>1</v>
      </c>
      <c r="L761" s="20" t="str">
        <f>IFERROR(__xludf.DUMMYFUNCTION("""COMPUTED_VALUE"""),"Array;Hash Table;")</f>
        <v>Array;Hash Table;</v>
      </c>
      <c r="M761" s="20" t="b">
        <f>IFERROR(__xludf.DUMMYFUNCTION("""COMPUTED_VALUE"""),TRUE)</f>
        <v>1</v>
      </c>
      <c r="N761" s="20" t="b">
        <f>IFERROR(__xludf.DUMMYFUNCTION("""COMPUTED_VALUE"""),FALSE)</f>
        <v>0</v>
      </c>
      <c r="O761" s="20">
        <f>IFERROR(__xludf.DUMMYFUNCTION("""COMPUTED_VALUE"""),82.8797350207254)</f>
        <v>82.87973502</v>
      </c>
      <c r="P761" s="20">
        <f>IFERROR(__xludf.DUMMYFUNCTION("""COMPUTED_VALUE"""),86577.0)</f>
        <v>86577</v>
      </c>
      <c r="Q761" s="20">
        <f>IFERROR(__xludf.DUMMYFUNCTION("""COMPUTED_VALUE"""),104461.0)</f>
        <v>104461</v>
      </c>
    </row>
    <row r="762">
      <c r="A762" s="20">
        <f>IFERROR(__xludf.DUMMYFUNCTION("""COMPUTED_VALUE"""),763.0)</f>
        <v>763</v>
      </c>
      <c r="B762" s="20" t="str">
        <f>IFERROR(__xludf.DUMMYFUNCTION("""COMPUTED_VALUE"""),"Special Binary String")</f>
        <v>Special Binary String</v>
      </c>
      <c r="C762" s="20" t="str">
        <f>IFERROR(__xludf.DUMMYFUNCTION("""COMPUTED_VALUE"""),"special-binary-string")</f>
        <v>special-binary-string</v>
      </c>
      <c r="D762" s="20" t="b">
        <f>IFERROR(__xludf.DUMMYFUNCTION("""COMPUTED_VALUE"""),FALSE)</f>
        <v>0</v>
      </c>
      <c r="E762" s="20" t="str">
        <f>IFERROR(__xludf.DUMMYFUNCTION("""COMPUTED_VALUE"""),"Hard")</f>
        <v>Hard</v>
      </c>
      <c r="F762" s="20">
        <f>IFERROR(__xludf.DUMMYFUNCTION("""COMPUTED_VALUE"""),608.0)</f>
        <v>608</v>
      </c>
      <c r="G762" s="20">
        <f>IFERROR(__xludf.DUMMYFUNCTION("""COMPUTED_VALUE"""),185.0)</f>
        <v>185</v>
      </c>
      <c r="H762" s="20" t="str">
        <f>IFERROR(__xludf.DUMMYFUNCTION("""COMPUTED_VALUE"""),"Algorithms")</f>
        <v>Algorithms</v>
      </c>
      <c r="I762" s="20">
        <f>IFERROR(__xludf.DUMMYFUNCTION("""COMPUTED_VALUE"""),0.604)</f>
        <v>0.604</v>
      </c>
      <c r="J762" s="20">
        <f>IFERROR(__xludf.DUMMYFUNCTION("""COMPUTED_VALUE"""),761.0)</f>
        <v>761</v>
      </c>
      <c r="K762" s="20" t="b">
        <f>IFERROR(__xludf.DUMMYFUNCTION("""COMPUTED_VALUE"""),FALSE)</f>
        <v>0</v>
      </c>
      <c r="L762" s="20" t="str">
        <f>IFERROR(__xludf.DUMMYFUNCTION("""COMPUTED_VALUE"""),"String;Recursion;")</f>
        <v>String;Recursion;</v>
      </c>
      <c r="M762" s="20" t="b">
        <f>IFERROR(__xludf.DUMMYFUNCTION("""COMPUTED_VALUE"""),TRUE)</f>
        <v>1</v>
      </c>
      <c r="N762" s="20" t="b">
        <f>IFERROR(__xludf.DUMMYFUNCTION("""COMPUTED_VALUE"""),FALSE)</f>
        <v>0</v>
      </c>
      <c r="O762" s="20">
        <f>IFERROR(__xludf.DUMMYFUNCTION("""COMPUTED_VALUE"""),60.4299197538563)</f>
        <v>60.42991975</v>
      </c>
      <c r="P762" s="20">
        <f>IFERROR(__xludf.DUMMYFUNCTION("""COMPUTED_VALUE"""),14534.0)</f>
        <v>14534</v>
      </c>
      <c r="Q762" s="20">
        <f>IFERROR(__xludf.DUMMYFUNCTION("""COMPUTED_VALUE"""),24051.0)</f>
        <v>24051</v>
      </c>
    </row>
    <row r="763">
      <c r="A763" s="20">
        <f>IFERROR(__xludf.DUMMYFUNCTION("""COMPUTED_VALUE"""),767.0)</f>
        <v>767</v>
      </c>
      <c r="B763" s="20" t="str">
        <f>IFERROR(__xludf.DUMMYFUNCTION("""COMPUTED_VALUE"""),"Prime Number of Set Bits in Binary Representation")</f>
        <v>Prime Number of Set Bits in Binary Representation</v>
      </c>
      <c r="C763" s="20" t="str">
        <f>IFERROR(__xludf.DUMMYFUNCTION("""COMPUTED_VALUE"""),"prime-number-of-set-bits-in-binary-representation")</f>
        <v>prime-number-of-set-bits-in-binary-representation</v>
      </c>
      <c r="D763" s="20" t="b">
        <f>IFERROR(__xludf.DUMMYFUNCTION("""COMPUTED_VALUE"""),FALSE)</f>
        <v>0</v>
      </c>
      <c r="E763" s="20" t="str">
        <f>IFERROR(__xludf.DUMMYFUNCTION("""COMPUTED_VALUE"""),"Easy")</f>
        <v>Easy</v>
      </c>
      <c r="F763" s="20">
        <f>IFERROR(__xludf.DUMMYFUNCTION("""COMPUTED_VALUE"""),566.0)</f>
        <v>566</v>
      </c>
      <c r="G763" s="20">
        <f>IFERROR(__xludf.DUMMYFUNCTION("""COMPUTED_VALUE"""),487.0)</f>
        <v>487</v>
      </c>
      <c r="H763" s="20" t="str">
        <f>IFERROR(__xludf.DUMMYFUNCTION("""COMPUTED_VALUE"""),"Algorithms")</f>
        <v>Algorithms</v>
      </c>
      <c r="I763" s="20">
        <f>IFERROR(__xludf.DUMMYFUNCTION("""COMPUTED_VALUE"""),0.678)</f>
        <v>0.678</v>
      </c>
      <c r="J763" s="20">
        <f>IFERROR(__xludf.DUMMYFUNCTION("""COMPUTED_VALUE"""),762.0)</f>
        <v>762</v>
      </c>
      <c r="K763" s="20" t="b">
        <f>IFERROR(__xludf.DUMMYFUNCTION("""COMPUTED_VALUE"""),FALSE)</f>
        <v>0</v>
      </c>
      <c r="L763" s="20" t="str">
        <f>IFERROR(__xludf.DUMMYFUNCTION("""COMPUTED_VALUE"""),"Math;Bit Manipulation;")</f>
        <v>Math;Bit Manipulation;</v>
      </c>
      <c r="M763" s="20" t="b">
        <f>IFERROR(__xludf.DUMMYFUNCTION("""COMPUTED_VALUE"""),TRUE)</f>
        <v>1</v>
      </c>
      <c r="N763" s="20" t="b">
        <f>IFERROR(__xludf.DUMMYFUNCTION("""COMPUTED_VALUE"""),FALSE)</f>
        <v>0</v>
      </c>
      <c r="O763" s="20">
        <f>IFERROR(__xludf.DUMMYFUNCTION("""COMPUTED_VALUE"""),67.8367403723251)</f>
        <v>67.83674037</v>
      </c>
      <c r="P763" s="20">
        <f>IFERROR(__xludf.DUMMYFUNCTION("""COMPUTED_VALUE"""),78017.0)</f>
        <v>78017</v>
      </c>
      <c r="Q763" s="20">
        <f>IFERROR(__xludf.DUMMYFUNCTION("""COMPUTED_VALUE"""),115007.0)</f>
        <v>115007</v>
      </c>
    </row>
    <row r="764">
      <c r="A764" s="20">
        <f>IFERROR(__xludf.DUMMYFUNCTION("""COMPUTED_VALUE"""),768.0)</f>
        <v>768</v>
      </c>
      <c r="B764" s="20" t="str">
        <f>IFERROR(__xludf.DUMMYFUNCTION("""COMPUTED_VALUE"""),"Partition Labels")</f>
        <v>Partition Labels</v>
      </c>
      <c r="C764" s="20" t="str">
        <f>IFERROR(__xludf.DUMMYFUNCTION("""COMPUTED_VALUE"""),"partition-labels")</f>
        <v>partition-labels</v>
      </c>
      <c r="D764" s="20" t="b">
        <f>IFERROR(__xludf.DUMMYFUNCTION("""COMPUTED_VALUE"""),FALSE)</f>
        <v>0</v>
      </c>
      <c r="E764" s="20" t="str">
        <f>IFERROR(__xludf.DUMMYFUNCTION("""COMPUTED_VALUE"""),"Medium")</f>
        <v>Medium</v>
      </c>
      <c r="F764" s="20">
        <f>IFERROR(__xludf.DUMMYFUNCTION("""COMPUTED_VALUE"""),8936.0)</f>
        <v>8936</v>
      </c>
      <c r="G764" s="20">
        <f>IFERROR(__xludf.DUMMYFUNCTION("""COMPUTED_VALUE"""),339.0)</f>
        <v>339</v>
      </c>
      <c r="H764" s="20" t="str">
        <f>IFERROR(__xludf.DUMMYFUNCTION("""COMPUTED_VALUE"""),"Algorithms")</f>
        <v>Algorithms</v>
      </c>
      <c r="I764" s="20">
        <f>IFERROR(__xludf.DUMMYFUNCTION("""COMPUTED_VALUE"""),0.798)</f>
        <v>0.798</v>
      </c>
      <c r="J764" s="20">
        <f>IFERROR(__xludf.DUMMYFUNCTION("""COMPUTED_VALUE"""),763.0)</f>
        <v>763</v>
      </c>
      <c r="K764" s="20" t="b">
        <f>IFERROR(__xludf.DUMMYFUNCTION("""COMPUTED_VALUE"""),FALSE)</f>
        <v>0</v>
      </c>
      <c r="L764" s="20" t="str">
        <f>IFERROR(__xludf.DUMMYFUNCTION("""COMPUTED_VALUE"""),"Hash Table;Two Pointers;String;Greedy;")</f>
        <v>Hash Table;Two Pointers;String;Greedy;</v>
      </c>
      <c r="M764" s="20" t="b">
        <f>IFERROR(__xludf.DUMMYFUNCTION("""COMPUTED_VALUE"""),TRUE)</f>
        <v>1</v>
      </c>
      <c r="N764" s="20" t="b">
        <f>IFERROR(__xludf.DUMMYFUNCTION("""COMPUTED_VALUE"""),FALSE)</f>
        <v>0</v>
      </c>
      <c r="O764" s="20">
        <f>IFERROR(__xludf.DUMMYFUNCTION("""COMPUTED_VALUE"""),79.7919569187679)</f>
        <v>79.79195692</v>
      </c>
      <c r="P764" s="20">
        <f>IFERROR(__xludf.DUMMYFUNCTION("""COMPUTED_VALUE"""),442138.0)</f>
        <v>442138</v>
      </c>
      <c r="Q764" s="20">
        <f>IFERROR(__xludf.DUMMYFUNCTION("""COMPUTED_VALUE"""),554114.0)</f>
        <v>554114</v>
      </c>
    </row>
    <row r="765">
      <c r="A765" s="20">
        <f>IFERROR(__xludf.DUMMYFUNCTION("""COMPUTED_VALUE"""),769.0)</f>
        <v>769</v>
      </c>
      <c r="B765" s="20" t="str">
        <f>IFERROR(__xludf.DUMMYFUNCTION("""COMPUTED_VALUE"""),"Largest Plus Sign")</f>
        <v>Largest Plus Sign</v>
      </c>
      <c r="C765" s="20" t="str">
        <f>IFERROR(__xludf.DUMMYFUNCTION("""COMPUTED_VALUE"""),"largest-plus-sign")</f>
        <v>largest-plus-sign</v>
      </c>
      <c r="D765" s="20" t="b">
        <f>IFERROR(__xludf.DUMMYFUNCTION("""COMPUTED_VALUE"""),FALSE)</f>
        <v>0</v>
      </c>
      <c r="E765" s="20" t="str">
        <f>IFERROR(__xludf.DUMMYFUNCTION("""COMPUTED_VALUE"""),"Medium")</f>
        <v>Medium</v>
      </c>
      <c r="F765" s="20">
        <f>IFERROR(__xludf.DUMMYFUNCTION("""COMPUTED_VALUE"""),1261.0)</f>
        <v>1261</v>
      </c>
      <c r="G765" s="20">
        <f>IFERROR(__xludf.DUMMYFUNCTION("""COMPUTED_VALUE"""),207.0)</f>
        <v>207</v>
      </c>
      <c r="H765" s="20" t="str">
        <f>IFERROR(__xludf.DUMMYFUNCTION("""COMPUTED_VALUE"""),"Algorithms")</f>
        <v>Algorithms</v>
      </c>
      <c r="I765" s="20">
        <f>IFERROR(__xludf.DUMMYFUNCTION("""COMPUTED_VALUE"""),0.484)</f>
        <v>0.484</v>
      </c>
      <c r="J765" s="20">
        <f>IFERROR(__xludf.DUMMYFUNCTION("""COMPUTED_VALUE"""),764.0)</f>
        <v>764</v>
      </c>
      <c r="K765" s="20" t="b">
        <f>IFERROR(__xludf.DUMMYFUNCTION("""COMPUTED_VALUE"""),FALSE)</f>
        <v>0</v>
      </c>
      <c r="L765" s="20" t="str">
        <f>IFERROR(__xludf.DUMMYFUNCTION("""COMPUTED_VALUE"""),"Array;Dynamic Programming;")</f>
        <v>Array;Dynamic Programming;</v>
      </c>
      <c r="M765" s="20" t="b">
        <f>IFERROR(__xludf.DUMMYFUNCTION("""COMPUTED_VALUE"""),TRUE)</f>
        <v>1</v>
      </c>
      <c r="N765" s="20" t="b">
        <f>IFERROR(__xludf.DUMMYFUNCTION("""COMPUTED_VALUE"""),FALSE)</f>
        <v>0</v>
      </c>
      <c r="O765" s="20">
        <f>IFERROR(__xludf.DUMMYFUNCTION("""COMPUTED_VALUE"""),48.4132260813379)</f>
        <v>48.41322608</v>
      </c>
      <c r="P765" s="20">
        <f>IFERROR(__xludf.DUMMYFUNCTION("""COMPUTED_VALUE"""),51699.0)</f>
        <v>51699</v>
      </c>
      <c r="Q765" s="20">
        <f>IFERROR(__xludf.DUMMYFUNCTION("""COMPUTED_VALUE"""),106788.0)</f>
        <v>106788</v>
      </c>
    </row>
    <row r="766">
      <c r="A766" s="20">
        <f>IFERROR(__xludf.DUMMYFUNCTION("""COMPUTED_VALUE"""),770.0)</f>
        <v>770</v>
      </c>
      <c r="B766" s="20" t="str">
        <f>IFERROR(__xludf.DUMMYFUNCTION("""COMPUTED_VALUE"""),"Couples Holding Hands")</f>
        <v>Couples Holding Hands</v>
      </c>
      <c r="C766" s="20" t="str">
        <f>IFERROR(__xludf.DUMMYFUNCTION("""COMPUTED_VALUE"""),"couples-holding-hands")</f>
        <v>couples-holding-hands</v>
      </c>
      <c r="D766" s="20" t="b">
        <f>IFERROR(__xludf.DUMMYFUNCTION("""COMPUTED_VALUE"""),FALSE)</f>
        <v>0</v>
      </c>
      <c r="E766" s="20" t="str">
        <f>IFERROR(__xludf.DUMMYFUNCTION("""COMPUTED_VALUE"""),"Hard")</f>
        <v>Hard</v>
      </c>
      <c r="F766" s="20">
        <f>IFERROR(__xludf.DUMMYFUNCTION("""COMPUTED_VALUE"""),1981.0)</f>
        <v>1981</v>
      </c>
      <c r="G766" s="20">
        <f>IFERROR(__xludf.DUMMYFUNCTION("""COMPUTED_VALUE"""),97.0)</f>
        <v>97</v>
      </c>
      <c r="H766" s="20" t="str">
        <f>IFERROR(__xludf.DUMMYFUNCTION("""COMPUTED_VALUE"""),"Algorithms")</f>
        <v>Algorithms</v>
      </c>
      <c r="I766" s="20">
        <f>IFERROR(__xludf.DUMMYFUNCTION("""COMPUTED_VALUE"""),0.569)</f>
        <v>0.569</v>
      </c>
      <c r="J766" s="20">
        <f>IFERROR(__xludf.DUMMYFUNCTION("""COMPUTED_VALUE"""),765.0)</f>
        <v>765</v>
      </c>
      <c r="K766" s="20" t="b">
        <f>IFERROR(__xludf.DUMMYFUNCTION("""COMPUTED_VALUE"""),FALSE)</f>
        <v>0</v>
      </c>
      <c r="L766" s="20" t="str">
        <f>IFERROR(__xludf.DUMMYFUNCTION("""COMPUTED_VALUE"""),"Greedy;Depth-First Search;Breadth-First Search;Union Find;Graph;")</f>
        <v>Greedy;Depth-First Search;Breadth-First Search;Union Find;Graph;</v>
      </c>
      <c r="M766" s="20" t="b">
        <f>IFERROR(__xludf.DUMMYFUNCTION("""COMPUTED_VALUE"""),TRUE)</f>
        <v>1</v>
      </c>
      <c r="N766" s="20" t="b">
        <f>IFERROR(__xludf.DUMMYFUNCTION("""COMPUTED_VALUE"""),FALSE)</f>
        <v>0</v>
      </c>
      <c r="O766" s="20">
        <f>IFERROR(__xludf.DUMMYFUNCTION("""COMPUTED_VALUE"""),56.9445073612684)</f>
        <v>56.94450736</v>
      </c>
      <c r="P766" s="20">
        <f>IFERROR(__xludf.DUMMYFUNCTION("""COMPUTED_VALUE"""),50282.0)</f>
        <v>50282</v>
      </c>
      <c r="Q766" s="20">
        <f>IFERROR(__xludf.DUMMYFUNCTION("""COMPUTED_VALUE"""),88300.0)</f>
        <v>88300</v>
      </c>
    </row>
    <row r="767">
      <c r="A767" s="20">
        <f>IFERROR(__xludf.DUMMYFUNCTION("""COMPUTED_VALUE"""),777.0)</f>
        <v>777</v>
      </c>
      <c r="B767" s="20" t="str">
        <f>IFERROR(__xludf.DUMMYFUNCTION("""COMPUTED_VALUE"""),"Toeplitz Matrix")</f>
        <v>Toeplitz Matrix</v>
      </c>
      <c r="C767" s="20" t="str">
        <f>IFERROR(__xludf.DUMMYFUNCTION("""COMPUTED_VALUE"""),"toeplitz-matrix")</f>
        <v>toeplitz-matrix</v>
      </c>
      <c r="D767" s="20" t="b">
        <f>IFERROR(__xludf.DUMMYFUNCTION("""COMPUTED_VALUE"""),FALSE)</f>
        <v>0</v>
      </c>
      <c r="E767" s="20" t="str">
        <f>IFERROR(__xludf.DUMMYFUNCTION("""COMPUTED_VALUE"""),"Easy")</f>
        <v>Easy</v>
      </c>
      <c r="F767" s="20">
        <f>IFERROR(__xludf.DUMMYFUNCTION("""COMPUTED_VALUE"""),3125.0)</f>
        <v>3125</v>
      </c>
      <c r="G767" s="20">
        <f>IFERROR(__xludf.DUMMYFUNCTION("""COMPUTED_VALUE"""),151.0)</f>
        <v>151</v>
      </c>
      <c r="H767" s="20" t="str">
        <f>IFERROR(__xludf.DUMMYFUNCTION("""COMPUTED_VALUE"""),"Algorithms")</f>
        <v>Algorithms</v>
      </c>
      <c r="I767" s="20">
        <f>IFERROR(__xludf.DUMMYFUNCTION("""COMPUTED_VALUE"""),0.688)</f>
        <v>0.688</v>
      </c>
      <c r="J767" s="20">
        <f>IFERROR(__xludf.DUMMYFUNCTION("""COMPUTED_VALUE"""),766.0)</f>
        <v>766</v>
      </c>
      <c r="K767" s="20" t="b">
        <f>IFERROR(__xludf.DUMMYFUNCTION("""COMPUTED_VALUE"""),FALSE)</f>
        <v>0</v>
      </c>
      <c r="L767" s="20" t="str">
        <f>IFERROR(__xludf.DUMMYFUNCTION("""COMPUTED_VALUE"""),"Array;Matrix;")</f>
        <v>Array;Matrix;</v>
      </c>
      <c r="M767" s="20" t="b">
        <f>IFERROR(__xludf.DUMMYFUNCTION("""COMPUTED_VALUE"""),TRUE)</f>
        <v>1</v>
      </c>
      <c r="N767" s="20" t="b">
        <f>IFERROR(__xludf.DUMMYFUNCTION("""COMPUTED_VALUE"""),FALSE)</f>
        <v>0</v>
      </c>
      <c r="O767" s="20">
        <f>IFERROR(__xludf.DUMMYFUNCTION("""COMPUTED_VALUE"""),68.7872435337103)</f>
        <v>68.78724353</v>
      </c>
      <c r="P767" s="20">
        <f>IFERROR(__xludf.DUMMYFUNCTION("""COMPUTED_VALUE"""),266769.0)</f>
        <v>266769</v>
      </c>
      <c r="Q767" s="20">
        <f>IFERROR(__xludf.DUMMYFUNCTION("""COMPUTED_VALUE"""),387817.0)</f>
        <v>387817</v>
      </c>
    </row>
    <row r="768">
      <c r="A768" s="20">
        <f>IFERROR(__xludf.DUMMYFUNCTION("""COMPUTED_VALUE"""),778.0)</f>
        <v>778</v>
      </c>
      <c r="B768" s="20" t="str">
        <f>IFERROR(__xludf.DUMMYFUNCTION("""COMPUTED_VALUE"""),"Reorganize String")</f>
        <v>Reorganize String</v>
      </c>
      <c r="C768" s="20" t="str">
        <f>IFERROR(__xludf.DUMMYFUNCTION("""COMPUTED_VALUE"""),"reorganize-string")</f>
        <v>reorganize-string</v>
      </c>
      <c r="D768" s="20" t="b">
        <f>IFERROR(__xludf.DUMMYFUNCTION("""COMPUTED_VALUE"""),FALSE)</f>
        <v>0</v>
      </c>
      <c r="E768" s="20" t="str">
        <f>IFERROR(__xludf.DUMMYFUNCTION("""COMPUTED_VALUE"""),"Medium")</f>
        <v>Medium</v>
      </c>
      <c r="F768" s="20">
        <f>IFERROR(__xludf.DUMMYFUNCTION("""COMPUTED_VALUE"""),5696.0)</f>
        <v>5696</v>
      </c>
      <c r="G768" s="20">
        <f>IFERROR(__xludf.DUMMYFUNCTION("""COMPUTED_VALUE"""),195.0)</f>
        <v>195</v>
      </c>
      <c r="H768" s="20" t="str">
        <f>IFERROR(__xludf.DUMMYFUNCTION("""COMPUTED_VALUE"""),"Algorithms")</f>
        <v>Algorithms</v>
      </c>
      <c r="I768" s="20">
        <f>IFERROR(__xludf.DUMMYFUNCTION("""COMPUTED_VALUE"""),0.528)</f>
        <v>0.528</v>
      </c>
      <c r="J768" s="20">
        <f>IFERROR(__xludf.DUMMYFUNCTION("""COMPUTED_VALUE"""),767.0)</f>
        <v>767</v>
      </c>
      <c r="K768" s="20" t="b">
        <f>IFERROR(__xludf.DUMMYFUNCTION("""COMPUTED_VALUE"""),FALSE)</f>
        <v>0</v>
      </c>
      <c r="L768" s="20" t="str">
        <f>IFERROR(__xludf.DUMMYFUNCTION("""COMPUTED_VALUE"""),"Hash Table;String;Greedy;Sorting;Heap (Priority Queue);Counting;")</f>
        <v>Hash Table;String;Greedy;Sorting;Heap (Priority Queue);Counting;</v>
      </c>
      <c r="M768" s="20" t="b">
        <f>IFERROR(__xludf.DUMMYFUNCTION("""COMPUTED_VALUE"""),FALSE)</f>
        <v>0</v>
      </c>
      <c r="N768" s="20" t="b">
        <f>IFERROR(__xludf.DUMMYFUNCTION("""COMPUTED_VALUE"""),FALSE)</f>
        <v>0</v>
      </c>
      <c r="O768" s="20">
        <f>IFERROR(__xludf.DUMMYFUNCTION("""COMPUTED_VALUE"""),52.7941096011481)</f>
        <v>52.7941096</v>
      </c>
      <c r="P768" s="20">
        <f>IFERROR(__xludf.DUMMYFUNCTION("""COMPUTED_VALUE"""),250882.0)</f>
        <v>250882</v>
      </c>
      <c r="Q768" s="20">
        <f>IFERROR(__xludf.DUMMYFUNCTION("""COMPUTED_VALUE"""),475211.0)</f>
        <v>475211</v>
      </c>
    </row>
    <row r="769">
      <c r="A769" s="20">
        <f>IFERROR(__xludf.DUMMYFUNCTION("""COMPUTED_VALUE"""),779.0)</f>
        <v>779</v>
      </c>
      <c r="B769" s="20" t="str">
        <f>IFERROR(__xludf.DUMMYFUNCTION("""COMPUTED_VALUE"""),"Max Chunks To Make Sorted II")</f>
        <v>Max Chunks To Make Sorted II</v>
      </c>
      <c r="C769" s="20" t="str">
        <f>IFERROR(__xludf.DUMMYFUNCTION("""COMPUTED_VALUE"""),"max-chunks-to-make-sorted-ii")</f>
        <v>max-chunks-to-make-sorted-ii</v>
      </c>
      <c r="D769" s="20" t="b">
        <f>IFERROR(__xludf.DUMMYFUNCTION("""COMPUTED_VALUE"""),FALSE)</f>
        <v>0</v>
      </c>
      <c r="E769" s="20" t="str">
        <f>IFERROR(__xludf.DUMMYFUNCTION("""COMPUTED_VALUE"""),"Hard")</f>
        <v>Hard</v>
      </c>
      <c r="F769" s="20">
        <f>IFERROR(__xludf.DUMMYFUNCTION("""COMPUTED_VALUE"""),1531.0)</f>
        <v>1531</v>
      </c>
      <c r="G769" s="20">
        <f>IFERROR(__xludf.DUMMYFUNCTION("""COMPUTED_VALUE"""),44.0)</f>
        <v>44</v>
      </c>
      <c r="H769" s="20" t="str">
        <f>IFERROR(__xludf.DUMMYFUNCTION("""COMPUTED_VALUE"""),"Algorithms")</f>
        <v>Algorithms</v>
      </c>
      <c r="I769" s="20">
        <f>IFERROR(__xludf.DUMMYFUNCTION("""COMPUTED_VALUE"""),0.529)</f>
        <v>0.529</v>
      </c>
      <c r="J769" s="20">
        <f>IFERROR(__xludf.DUMMYFUNCTION("""COMPUTED_VALUE"""),768.0)</f>
        <v>768</v>
      </c>
      <c r="K769" s="20" t="b">
        <f>IFERROR(__xludf.DUMMYFUNCTION("""COMPUTED_VALUE"""),FALSE)</f>
        <v>0</v>
      </c>
      <c r="L769" s="20" t="str">
        <f>IFERROR(__xludf.DUMMYFUNCTION("""COMPUTED_VALUE"""),"Array;Stack;Greedy;Sorting;Monotonic Stack;")</f>
        <v>Array;Stack;Greedy;Sorting;Monotonic Stack;</v>
      </c>
      <c r="M769" s="20" t="b">
        <f>IFERROR(__xludf.DUMMYFUNCTION("""COMPUTED_VALUE"""),FALSE)</f>
        <v>0</v>
      </c>
      <c r="N769" s="20" t="b">
        <f>IFERROR(__xludf.DUMMYFUNCTION("""COMPUTED_VALUE"""),FALSE)</f>
        <v>0</v>
      </c>
      <c r="O769" s="20">
        <f>IFERROR(__xludf.DUMMYFUNCTION("""COMPUTED_VALUE"""),52.869754859815)</f>
        <v>52.86975486</v>
      </c>
      <c r="P769" s="20">
        <f>IFERROR(__xludf.DUMMYFUNCTION("""COMPUTED_VALUE"""),50424.0)</f>
        <v>50424</v>
      </c>
      <c r="Q769" s="20">
        <f>IFERROR(__xludf.DUMMYFUNCTION("""COMPUTED_VALUE"""),95374.0)</f>
        <v>95374</v>
      </c>
    </row>
    <row r="770">
      <c r="A770" s="20">
        <f>IFERROR(__xludf.DUMMYFUNCTION("""COMPUTED_VALUE"""),780.0)</f>
        <v>780</v>
      </c>
      <c r="B770" s="20" t="str">
        <f>IFERROR(__xludf.DUMMYFUNCTION("""COMPUTED_VALUE"""),"Max Chunks To Make Sorted")</f>
        <v>Max Chunks To Make Sorted</v>
      </c>
      <c r="C770" s="20" t="str">
        <f>IFERROR(__xludf.DUMMYFUNCTION("""COMPUTED_VALUE"""),"max-chunks-to-make-sorted")</f>
        <v>max-chunks-to-make-sorted</v>
      </c>
      <c r="D770" s="20" t="b">
        <f>IFERROR(__xludf.DUMMYFUNCTION("""COMPUTED_VALUE"""),FALSE)</f>
        <v>0</v>
      </c>
      <c r="E770" s="20" t="str">
        <f>IFERROR(__xludf.DUMMYFUNCTION("""COMPUTED_VALUE"""),"Medium")</f>
        <v>Medium</v>
      </c>
      <c r="F770" s="20">
        <f>IFERROR(__xludf.DUMMYFUNCTION("""COMPUTED_VALUE"""),2352.0)</f>
        <v>2352</v>
      </c>
      <c r="G770" s="20">
        <f>IFERROR(__xludf.DUMMYFUNCTION("""COMPUTED_VALUE"""),207.0)</f>
        <v>207</v>
      </c>
      <c r="H770" s="20" t="str">
        <f>IFERROR(__xludf.DUMMYFUNCTION("""COMPUTED_VALUE"""),"Algorithms")</f>
        <v>Algorithms</v>
      </c>
      <c r="I770" s="20">
        <f>IFERROR(__xludf.DUMMYFUNCTION("""COMPUTED_VALUE"""),0.582)</f>
        <v>0.582</v>
      </c>
      <c r="J770" s="20">
        <f>IFERROR(__xludf.DUMMYFUNCTION("""COMPUTED_VALUE"""),769.0)</f>
        <v>769</v>
      </c>
      <c r="K770" s="20" t="b">
        <f>IFERROR(__xludf.DUMMYFUNCTION("""COMPUTED_VALUE"""),FALSE)</f>
        <v>0</v>
      </c>
      <c r="L770" s="20" t="str">
        <f>IFERROR(__xludf.DUMMYFUNCTION("""COMPUTED_VALUE"""),"Array;Stack;Greedy;Sorting;Monotonic Stack;")</f>
        <v>Array;Stack;Greedy;Sorting;Monotonic Stack;</v>
      </c>
      <c r="M770" s="20" t="b">
        <f>IFERROR(__xludf.DUMMYFUNCTION("""COMPUTED_VALUE"""),FALSE)</f>
        <v>0</v>
      </c>
      <c r="N770" s="20" t="b">
        <f>IFERROR(__xludf.DUMMYFUNCTION("""COMPUTED_VALUE"""),FALSE)</f>
        <v>0</v>
      </c>
      <c r="O770" s="20">
        <f>IFERROR(__xludf.DUMMYFUNCTION("""COMPUTED_VALUE"""),58.2010908716682)</f>
        <v>58.20109087</v>
      </c>
      <c r="P770" s="20">
        <f>IFERROR(__xludf.DUMMYFUNCTION("""COMPUTED_VALUE"""),84831.0)</f>
        <v>84831</v>
      </c>
      <c r="Q770" s="20">
        <f>IFERROR(__xludf.DUMMYFUNCTION("""COMPUTED_VALUE"""),145755.0)</f>
        <v>145755</v>
      </c>
    </row>
    <row r="771">
      <c r="A771" s="20">
        <f>IFERROR(__xludf.DUMMYFUNCTION("""COMPUTED_VALUE"""),781.0)</f>
        <v>781</v>
      </c>
      <c r="B771" s="20" t="str">
        <f>IFERROR(__xludf.DUMMYFUNCTION("""COMPUTED_VALUE"""),"Basic Calculator IV")</f>
        <v>Basic Calculator IV</v>
      </c>
      <c r="C771" s="20" t="str">
        <f>IFERROR(__xludf.DUMMYFUNCTION("""COMPUTED_VALUE"""),"basic-calculator-iv")</f>
        <v>basic-calculator-iv</v>
      </c>
      <c r="D771" s="20" t="b">
        <f>IFERROR(__xludf.DUMMYFUNCTION("""COMPUTED_VALUE"""),FALSE)</f>
        <v>0</v>
      </c>
      <c r="E771" s="20" t="str">
        <f>IFERROR(__xludf.DUMMYFUNCTION("""COMPUTED_VALUE"""),"Hard")</f>
        <v>Hard</v>
      </c>
      <c r="F771" s="20">
        <f>IFERROR(__xludf.DUMMYFUNCTION("""COMPUTED_VALUE"""),136.0)</f>
        <v>136</v>
      </c>
      <c r="G771" s="20">
        <f>IFERROR(__xludf.DUMMYFUNCTION("""COMPUTED_VALUE"""),1309.0)</f>
        <v>1309</v>
      </c>
      <c r="H771" s="20" t="str">
        <f>IFERROR(__xludf.DUMMYFUNCTION("""COMPUTED_VALUE"""),"Algorithms")</f>
        <v>Algorithms</v>
      </c>
      <c r="I771" s="20">
        <f>IFERROR(__xludf.DUMMYFUNCTION("""COMPUTED_VALUE"""),0.561)</f>
        <v>0.561</v>
      </c>
      <c r="J771" s="20">
        <f>IFERROR(__xludf.DUMMYFUNCTION("""COMPUTED_VALUE"""),770.0)</f>
        <v>770</v>
      </c>
      <c r="K771" s="20" t="b">
        <f>IFERROR(__xludf.DUMMYFUNCTION("""COMPUTED_VALUE"""),FALSE)</f>
        <v>0</v>
      </c>
      <c r="L771" s="20" t="str">
        <f>IFERROR(__xludf.DUMMYFUNCTION("""COMPUTED_VALUE"""),"Hash Table;Math;String;Stack;Recursion;")</f>
        <v>Hash Table;Math;String;Stack;Recursion;</v>
      </c>
      <c r="M771" s="20" t="b">
        <f>IFERROR(__xludf.DUMMYFUNCTION("""COMPUTED_VALUE"""),FALSE)</f>
        <v>0</v>
      </c>
      <c r="N771" s="20" t="b">
        <f>IFERROR(__xludf.DUMMYFUNCTION("""COMPUTED_VALUE"""),FALSE)</f>
        <v>0</v>
      </c>
      <c r="O771" s="20">
        <f>IFERROR(__xludf.DUMMYFUNCTION("""COMPUTED_VALUE"""),56.1200050422286)</f>
        <v>56.12000504</v>
      </c>
      <c r="P771" s="20">
        <f>IFERROR(__xludf.DUMMYFUNCTION("""COMPUTED_VALUE"""),8904.0)</f>
        <v>8904</v>
      </c>
      <c r="Q771" s="20">
        <f>IFERROR(__xludf.DUMMYFUNCTION("""COMPUTED_VALUE"""),15866.0)</f>
        <v>15866</v>
      </c>
    </row>
    <row r="772">
      <c r="A772" s="20">
        <f>IFERROR(__xludf.DUMMYFUNCTION("""COMPUTED_VALUE"""),782.0)</f>
        <v>782</v>
      </c>
      <c r="B772" s="20" t="str">
        <f>IFERROR(__xludf.DUMMYFUNCTION("""COMPUTED_VALUE"""),"Jewels and Stones")</f>
        <v>Jewels and Stones</v>
      </c>
      <c r="C772" s="20" t="str">
        <f>IFERROR(__xludf.DUMMYFUNCTION("""COMPUTED_VALUE"""),"jewels-and-stones")</f>
        <v>jewels-and-stones</v>
      </c>
      <c r="D772" s="20" t="b">
        <f>IFERROR(__xludf.DUMMYFUNCTION("""COMPUTED_VALUE"""),FALSE)</f>
        <v>0</v>
      </c>
      <c r="E772" s="20" t="str">
        <f>IFERROR(__xludf.DUMMYFUNCTION("""COMPUTED_VALUE"""),"Easy")</f>
        <v>Easy</v>
      </c>
      <c r="F772" s="20">
        <f>IFERROR(__xludf.DUMMYFUNCTION("""COMPUTED_VALUE"""),4195.0)</f>
        <v>4195</v>
      </c>
      <c r="G772" s="20">
        <f>IFERROR(__xludf.DUMMYFUNCTION("""COMPUTED_VALUE"""),521.0)</f>
        <v>521</v>
      </c>
      <c r="H772" s="20" t="str">
        <f>IFERROR(__xludf.DUMMYFUNCTION("""COMPUTED_VALUE"""),"Algorithms")</f>
        <v>Algorithms</v>
      </c>
      <c r="I772" s="20">
        <f>IFERROR(__xludf.DUMMYFUNCTION("""COMPUTED_VALUE"""),0.881)</f>
        <v>0.881</v>
      </c>
      <c r="J772" s="20">
        <f>IFERROR(__xludf.DUMMYFUNCTION("""COMPUTED_VALUE"""),771.0)</f>
        <v>771</v>
      </c>
      <c r="K772" s="20" t="b">
        <f>IFERROR(__xludf.DUMMYFUNCTION("""COMPUTED_VALUE"""),FALSE)</f>
        <v>0</v>
      </c>
      <c r="L772" s="20" t="str">
        <f>IFERROR(__xludf.DUMMYFUNCTION("""COMPUTED_VALUE"""),"Hash Table;String;")</f>
        <v>Hash Table;String;</v>
      </c>
      <c r="M772" s="20" t="b">
        <f>IFERROR(__xludf.DUMMYFUNCTION("""COMPUTED_VALUE"""),TRUE)</f>
        <v>1</v>
      </c>
      <c r="N772" s="20" t="b">
        <f>IFERROR(__xludf.DUMMYFUNCTION("""COMPUTED_VALUE"""),FALSE)</f>
        <v>0</v>
      </c>
      <c r="O772" s="20">
        <f>IFERROR(__xludf.DUMMYFUNCTION("""COMPUTED_VALUE"""),88.095069417162)</f>
        <v>88.09506942</v>
      </c>
      <c r="P772" s="20">
        <f>IFERROR(__xludf.DUMMYFUNCTION("""COMPUTED_VALUE"""),820704.0)</f>
        <v>820704</v>
      </c>
      <c r="Q772" s="20">
        <f>IFERROR(__xludf.DUMMYFUNCTION("""COMPUTED_VALUE"""),931612.0)</f>
        <v>931612</v>
      </c>
    </row>
    <row r="773">
      <c r="A773" s="20">
        <f>IFERROR(__xludf.DUMMYFUNCTION("""COMPUTED_VALUE"""),785.0)</f>
        <v>785</v>
      </c>
      <c r="B773" s="20" t="str">
        <f>IFERROR(__xludf.DUMMYFUNCTION("""COMPUTED_VALUE"""),"Basic Calculator III")</f>
        <v>Basic Calculator III</v>
      </c>
      <c r="C773" s="20" t="str">
        <f>IFERROR(__xludf.DUMMYFUNCTION("""COMPUTED_VALUE"""),"basic-calculator-iii")</f>
        <v>basic-calculator-iii</v>
      </c>
      <c r="D773" s="20" t="b">
        <f>IFERROR(__xludf.DUMMYFUNCTION("""COMPUTED_VALUE"""),TRUE)</f>
        <v>1</v>
      </c>
      <c r="E773" s="20" t="str">
        <f>IFERROR(__xludf.DUMMYFUNCTION("""COMPUTED_VALUE"""),"Hard")</f>
        <v>Hard</v>
      </c>
      <c r="F773" s="20">
        <f>IFERROR(__xludf.DUMMYFUNCTION("""COMPUTED_VALUE"""),988.0)</f>
        <v>988</v>
      </c>
      <c r="G773" s="20">
        <f>IFERROR(__xludf.DUMMYFUNCTION("""COMPUTED_VALUE"""),263.0)</f>
        <v>263</v>
      </c>
      <c r="H773" s="20" t="str">
        <f>IFERROR(__xludf.DUMMYFUNCTION("""COMPUTED_VALUE"""),"Algorithms")</f>
        <v>Algorithms</v>
      </c>
      <c r="I773" s="20">
        <f>IFERROR(__xludf.DUMMYFUNCTION("""COMPUTED_VALUE"""),0.486)</f>
        <v>0.486</v>
      </c>
      <c r="J773" s="20">
        <f>IFERROR(__xludf.DUMMYFUNCTION("""COMPUTED_VALUE"""),772.0)</f>
        <v>772</v>
      </c>
      <c r="K773" s="20" t="b">
        <f>IFERROR(__xludf.DUMMYFUNCTION("""COMPUTED_VALUE"""),TRUE)</f>
        <v>1</v>
      </c>
      <c r="L773" s="20" t="str">
        <f>IFERROR(__xludf.DUMMYFUNCTION("""COMPUTED_VALUE"""),"Math;String;Stack;Recursion;")</f>
        <v>Math;String;Stack;Recursion;</v>
      </c>
      <c r="M773" s="20" t="b">
        <f>IFERROR(__xludf.DUMMYFUNCTION("""COMPUTED_VALUE"""),FALSE)</f>
        <v>0</v>
      </c>
      <c r="N773" s="20" t="b">
        <f>IFERROR(__xludf.DUMMYFUNCTION("""COMPUTED_VALUE"""),FALSE)</f>
        <v>0</v>
      </c>
      <c r="O773" s="20">
        <f>IFERROR(__xludf.DUMMYFUNCTION("""COMPUTED_VALUE"""),48.6077484800907)</f>
        <v>48.60774848</v>
      </c>
      <c r="P773" s="20">
        <f>IFERROR(__xludf.DUMMYFUNCTION("""COMPUTED_VALUE"""),99380.0)</f>
        <v>99380</v>
      </c>
      <c r="Q773" s="20">
        <f>IFERROR(__xludf.DUMMYFUNCTION("""COMPUTED_VALUE"""),204452.0)</f>
        <v>204452</v>
      </c>
    </row>
    <row r="774">
      <c r="A774" s="20">
        <f>IFERROR(__xludf.DUMMYFUNCTION("""COMPUTED_VALUE"""),787.0)</f>
        <v>787</v>
      </c>
      <c r="B774" s="20" t="str">
        <f>IFERROR(__xludf.DUMMYFUNCTION("""COMPUTED_VALUE"""),"Sliding Puzzle")</f>
        <v>Sliding Puzzle</v>
      </c>
      <c r="C774" s="20" t="str">
        <f>IFERROR(__xludf.DUMMYFUNCTION("""COMPUTED_VALUE"""),"sliding-puzzle")</f>
        <v>sliding-puzzle</v>
      </c>
      <c r="D774" s="20" t="b">
        <f>IFERROR(__xludf.DUMMYFUNCTION("""COMPUTED_VALUE"""),FALSE)</f>
        <v>0</v>
      </c>
      <c r="E774" s="20" t="str">
        <f>IFERROR(__xludf.DUMMYFUNCTION("""COMPUTED_VALUE"""),"Hard")</f>
        <v>Hard</v>
      </c>
      <c r="F774" s="20">
        <f>IFERROR(__xludf.DUMMYFUNCTION("""COMPUTED_VALUE"""),1761.0)</f>
        <v>1761</v>
      </c>
      <c r="G774" s="20">
        <f>IFERROR(__xludf.DUMMYFUNCTION("""COMPUTED_VALUE"""),45.0)</f>
        <v>45</v>
      </c>
      <c r="H774" s="20" t="str">
        <f>IFERROR(__xludf.DUMMYFUNCTION("""COMPUTED_VALUE"""),"Algorithms")</f>
        <v>Algorithms</v>
      </c>
      <c r="I774" s="20">
        <f>IFERROR(__xludf.DUMMYFUNCTION("""COMPUTED_VALUE"""),0.64)</f>
        <v>0.64</v>
      </c>
      <c r="J774" s="20">
        <f>IFERROR(__xludf.DUMMYFUNCTION("""COMPUTED_VALUE"""),773.0)</f>
        <v>773</v>
      </c>
      <c r="K774" s="20" t="b">
        <f>IFERROR(__xludf.DUMMYFUNCTION("""COMPUTED_VALUE"""),FALSE)</f>
        <v>0</v>
      </c>
      <c r="L774" s="20" t="str">
        <f>IFERROR(__xludf.DUMMYFUNCTION("""COMPUTED_VALUE"""),"Array;Breadth-First Search;Matrix;")</f>
        <v>Array;Breadth-First Search;Matrix;</v>
      </c>
      <c r="M774" s="20" t="b">
        <f>IFERROR(__xludf.DUMMYFUNCTION("""COMPUTED_VALUE"""),TRUE)</f>
        <v>1</v>
      </c>
      <c r="N774" s="20" t="b">
        <f>IFERROR(__xludf.DUMMYFUNCTION("""COMPUTED_VALUE"""),FALSE)</f>
        <v>0</v>
      </c>
      <c r="O774" s="20">
        <f>IFERROR(__xludf.DUMMYFUNCTION("""COMPUTED_VALUE"""),64.0474117305595)</f>
        <v>64.04741173</v>
      </c>
      <c r="P774" s="20">
        <f>IFERROR(__xludf.DUMMYFUNCTION("""COMPUTED_VALUE"""),81647.0)</f>
        <v>81647</v>
      </c>
      <c r="Q774" s="20">
        <f>IFERROR(__xludf.DUMMYFUNCTION("""COMPUTED_VALUE"""),127479.0)</f>
        <v>127479</v>
      </c>
    </row>
    <row r="775">
      <c r="A775" s="20">
        <f>IFERROR(__xludf.DUMMYFUNCTION("""COMPUTED_VALUE"""),788.0)</f>
        <v>788</v>
      </c>
      <c r="B775" s="20" t="str">
        <f>IFERROR(__xludf.DUMMYFUNCTION("""COMPUTED_VALUE"""),"Minimize Max Distance to Gas Station")</f>
        <v>Minimize Max Distance to Gas Station</v>
      </c>
      <c r="C775" s="20" t="str">
        <f>IFERROR(__xludf.DUMMYFUNCTION("""COMPUTED_VALUE"""),"minimize-max-distance-to-gas-station")</f>
        <v>minimize-max-distance-to-gas-station</v>
      </c>
      <c r="D775" s="20" t="b">
        <f>IFERROR(__xludf.DUMMYFUNCTION("""COMPUTED_VALUE"""),TRUE)</f>
        <v>1</v>
      </c>
      <c r="E775" s="20" t="str">
        <f>IFERROR(__xludf.DUMMYFUNCTION("""COMPUTED_VALUE"""),"Hard")</f>
        <v>Hard</v>
      </c>
      <c r="F775" s="20">
        <f>IFERROR(__xludf.DUMMYFUNCTION("""COMPUTED_VALUE"""),615.0)</f>
        <v>615</v>
      </c>
      <c r="G775" s="20">
        <f>IFERROR(__xludf.DUMMYFUNCTION("""COMPUTED_VALUE"""),89.0)</f>
        <v>89</v>
      </c>
      <c r="H775" s="20" t="str">
        <f>IFERROR(__xludf.DUMMYFUNCTION("""COMPUTED_VALUE"""),"Algorithms")</f>
        <v>Algorithms</v>
      </c>
      <c r="I775" s="20">
        <f>IFERROR(__xludf.DUMMYFUNCTION("""COMPUTED_VALUE"""),0.515)</f>
        <v>0.515</v>
      </c>
      <c r="J775" s="20">
        <f>IFERROR(__xludf.DUMMYFUNCTION("""COMPUTED_VALUE"""),774.0)</f>
        <v>774</v>
      </c>
      <c r="K775" s="20" t="b">
        <f>IFERROR(__xludf.DUMMYFUNCTION("""COMPUTED_VALUE"""),TRUE)</f>
        <v>1</v>
      </c>
      <c r="L775" s="20" t="str">
        <f>IFERROR(__xludf.DUMMYFUNCTION("""COMPUTED_VALUE"""),"Array;Binary Search;")</f>
        <v>Array;Binary Search;</v>
      </c>
      <c r="M775" s="20" t="b">
        <f>IFERROR(__xludf.DUMMYFUNCTION("""COMPUTED_VALUE"""),TRUE)</f>
        <v>1</v>
      </c>
      <c r="N775" s="20" t="b">
        <f>IFERROR(__xludf.DUMMYFUNCTION("""COMPUTED_VALUE"""),FALSE)</f>
        <v>0</v>
      </c>
      <c r="O775" s="20">
        <f>IFERROR(__xludf.DUMMYFUNCTION("""COMPUTED_VALUE"""),51.5419407894736)</f>
        <v>51.54194079</v>
      </c>
      <c r="P775" s="20">
        <f>IFERROR(__xludf.DUMMYFUNCTION("""COMPUTED_VALUE"""),27577.0)</f>
        <v>27577</v>
      </c>
      <c r="Q775" s="20">
        <f>IFERROR(__xludf.DUMMYFUNCTION("""COMPUTED_VALUE"""),53504.0)</f>
        <v>53504</v>
      </c>
    </row>
    <row r="776">
      <c r="A776" s="20">
        <f>IFERROR(__xludf.DUMMYFUNCTION("""COMPUTED_VALUE"""),790.0)</f>
        <v>790</v>
      </c>
      <c r="B776" s="20" t="str">
        <f>IFERROR(__xludf.DUMMYFUNCTION("""COMPUTED_VALUE"""),"Global and Local Inversions")</f>
        <v>Global and Local Inversions</v>
      </c>
      <c r="C776" s="20" t="str">
        <f>IFERROR(__xludf.DUMMYFUNCTION("""COMPUTED_VALUE"""),"global-and-local-inversions")</f>
        <v>global-and-local-inversions</v>
      </c>
      <c r="D776" s="20" t="b">
        <f>IFERROR(__xludf.DUMMYFUNCTION("""COMPUTED_VALUE"""),FALSE)</f>
        <v>0</v>
      </c>
      <c r="E776" s="20" t="str">
        <f>IFERROR(__xludf.DUMMYFUNCTION("""COMPUTED_VALUE"""),"Medium")</f>
        <v>Medium</v>
      </c>
      <c r="F776" s="20">
        <f>IFERROR(__xludf.DUMMYFUNCTION("""COMPUTED_VALUE"""),1484.0)</f>
        <v>1484</v>
      </c>
      <c r="G776" s="20">
        <f>IFERROR(__xludf.DUMMYFUNCTION("""COMPUTED_VALUE"""),344.0)</f>
        <v>344</v>
      </c>
      <c r="H776" s="20" t="str">
        <f>IFERROR(__xludf.DUMMYFUNCTION("""COMPUTED_VALUE"""),"Algorithms")</f>
        <v>Algorithms</v>
      </c>
      <c r="I776" s="20">
        <f>IFERROR(__xludf.DUMMYFUNCTION("""COMPUTED_VALUE"""),0.436)</f>
        <v>0.436</v>
      </c>
      <c r="J776" s="20">
        <f>IFERROR(__xludf.DUMMYFUNCTION("""COMPUTED_VALUE"""),775.0)</f>
        <v>775</v>
      </c>
      <c r="K776" s="20" t="b">
        <f>IFERROR(__xludf.DUMMYFUNCTION("""COMPUTED_VALUE"""),FALSE)</f>
        <v>0</v>
      </c>
      <c r="L776" s="20" t="str">
        <f>IFERROR(__xludf.DUMMYFUNCTION("""COMPUTED_VALUE"""),"Array;Math;")</f>
        <v>Array;Math;</v>
      </c>
      <c r="M776" s="20" t="b">
        <f>IFERROR(__xludf.DUMMYFUNCTION("""COMPUTED_VALUE"""),TRUE)</f>
        <v>1</v>
      </c>
      <c r="N776" s="20" t="b">
        <f>IFERROR(__xludf.DUMMYFUNCTION("""COMPUTED_VALUE"""),FALSE)</f>
        <v>0</v>
      </c>
      <c r="O776" s="20">
        <f>IFERROR(__xludf.DUMMYFUNCTION("""COMPUTED_VALUE"""),43.5513887917162)</f>
        <v>43.55138879</v>
      </c>
      <c r="P776" s="20">
        <f>IFERROR(__xludf.DUMMYFUNCTION("""COMPUTED_VALUE"""),62248.0)</f>
        <v>62248</v>
      </c>
      <c r="Q776" s="20">
        <f>IFERROR(__xludf.DUMMYFUNCTION("""COMPUTED_VALUE"""),142930.0)</f>
        <v>142930</v>
      </c>
    </row>
    <row r="777">
      <c r="A777" s="20">
        <f>IFERROR(__xludf.DUMMYFUNCTION("""COMPUTED_VALUE"""),791.0)</f>
        <v>791</v>
      </c>
      <c r="B777" s="20" t="str">
        <f>IFERROR(__xludf.DUMMYFUNCTION("""COMPUTED_VALUE"""),"Split BST")</f>
        <v>Split BST</v>
      </c>
      <c r="C777" s="20" t="str">
        <f>IFERROR(__xludf.DUMMYFUNCTION("""COMPUTED_VALUE"""),"split-bst")</f>
        <v>split-bst</v>
      </c>
      <c r="D777" s="20" t="b">
        <f>IFERROR(__xludf.DUMMYFUNCTION("""COMPUTED_VALUE"""),TRUE)</f>
        <v>1</v>
      </c>
      <c r="E777" s="20" t="str">
        <f>IFERROR(__xludf.DUMMYFUNCTION("""COMPUTED_VALUE"""),"Medium")</f>
        <v>Medium</v>
      </c>
      <c r="F777" s="20">
        <f>IFERROR(__xludf.DUMMYFUNCTION("""COMPUTED_VALUE"""),945.0)</f>
        <v>945</v>
      </c>
      <c r="G777" s="20">
        <f>IFERROR(__xludf.DUMMYFUNCTION("""COMPUTED_VALUE"""),96.0)</f>
        <v>96</v>
      </c>
      <c r="H777" s="20" t="str">
        <f>IFERROR(__xludf.DUMMYFUNCTION("""COMPUTED_VALUE"""),"Algorithms")</f>
        <v>Algorithms</v>
      </c>
      <c r="I777" s="20">
        <f>IFERROR(__xludf.DUMMYFUNCTION("""COMPUTED_VALUE"""),0.587)</f>
        <v>0.587</v>
      </c>
      <c r="J777" s="20">
        <f>IFERROR(__xludf.DUMMYFUNCTION("""COMPUTED_VALUE"""),776.0)</f>
        <v>776</v>
      </c>
      <c r="K777" s="20" t="b">
        <f>IFERROR(__xludf.DUMMYFUNCTION("""COMPUTED_VALUE"""),TRUE)</f>
        <v>1</v>
      </c>
      <c r="L777" s="20" t="str">
        <f>IFERROR(__xludf.DUMMYFUNCTION("""COMPUTED_VALUE"""),"Tree;Binary Search Tree;Recursion;Binary Tree;")</f>
        <v>Tree;Binary Search Tree;Recursion;Binary Tree;</v>
      </c>
      <c r="M777" s="20" t="b">
        <f>IFERROR(__xludf.DUMMYFUNCTION("""COMPUTED_VALUE"""),TRUE)</f>
        <v>1</v>
      </c>
      <c r="N777" s="20" t="b">
        <f>IFERROR(__xludf.DUMMYFUNCTION("""COMPUTED_VALUE"""),FALSE)</f>
        <v>0</v>
      </c>
      <c r="O777" s="20">
        <f>IFERROR(__xludf.DUMMYFUNCTION("""COMPUTED_VALUE"""),58.703897328659)</f>
        <v>58.70389733</v>
      </c>
      <c r="P777" s="20">
        <f>IFERROR(__xludf.DUMMYFUNCTION("""COMPUTED_VALUE"""),28634.0)</f>
        <v>28634</v>
      </c>
      <c r="Q777" s="20">
        <f>IFERROR(__xludf.DUMMYFUNCTION("""COMPUTED_VALUE"""),48777.0)</f>
        <v>48777</v>
      </c>
    </row>
    <row r="778">
      <c r="A778" s="20">
        <f>IFERROR(__xludf.DUMMYFUNCTION("""COMPUTED_VALUE"""),793.0)</f>
        <v>793</v>
      </c>
      <c r="B778" s="20" t="str">
        <f>IFERROR(__xludf.DUMMYFUNCTION("""COMPUTED_VALUE"""),"Swap Adjacent in LR String")</f>
        <v>Swap Adjacent in LR String</v>
      </c>
      <c r="C778" s="20" t="str">
        <f>IFERROR(__xludf.DUMMYFUNCTION("""COMPUTED_VALUE"""),"swap-adjacent-in-lr-string")</f>
        <v>swap-adjacent-in-lr-string</v>
      </c>
      <c r="D778" s="20" t="b">
        <f>IFERROR(__xludf.DUMMYFUNCTION("""COMPUTED_VALUE"""),FALSE)</f>
        <v>0</v>
      </c>
      <c r="E778" s="20" t="str">
        <f>IFERROR(__xludf.DUMMYFUNCTION("""COMPUTED_VALUE"""),"Medium")</f>
        <v>Medium</v>
      </c>
      <c r="F778" s="20">
        <f>IFERROR(__xludf.DUMMYFUNCTION("""COMPUTED_VALUE"""),1039.0)</f>
        <v>1039</v>
      </c>
      <c r="G778" s="20">
        <f>IFERROR(__xludf.DUMMYFUNCTION("""COMPUTED_VALUE"""),850.0)</f>
        <v>850</v>
      </c>
      <c r="H778" s="20" t="str">
        <f>IFERROR(__xludf.DUMMYFUNCTION("""COMPUTED_VALUE"""),"Algorithms")</f>
        <v>Algorithms</v>
      </c>
      <c r="I778" s="20">
        <f>IFERROR(__xludf.DUMMYFUNCTION("""COMPUTED_VALUE"""),0.37)</f>
        <v>0.37</v>
      </c>
      <c r="J778" s="20">
        <f>IFERROR(__xludf.DUMMYFUNCTION("""COMPUTED_VALUE"""),777.0)</f>
        <v>777</v>
      </c>
      <c r="K778" s="20" t="b">
        <f>IFERROR(__xludf.DUMMYFUNCTION("""COMPUTED_VALUE"""),FALSE)</f>
        <v>0</v>
      </c>
      <c r="L778" s="20" t="str">
        <f>IFERROR(__xludf.DUMMYFUNCTION("""COMPUTED_VALUE"""),"Two Pointers;String;")</f>
        <v>Two Pointers;String;</v>
      </c>
      <c r="M778" s="20" t="b">
        <f>IFERROR(__xludf.DUMMYFUNCTION("""COMPUTED_VALUE"""),FALSE)</f>
        <v>0</v>
      </c>
      <c r="N778" s="20" t="b">
        <f>IFERROR(__xludf.DUMMYFUNCTION("""COMPUTED_VALUE"""),FALSE)</f>
        <v>0</v>
      </c>
      <c r="O778" s="20">
        <f>IFERROR(__xludf.DUMMYFUNCTION("""COMPUTED_VALUE"""),37.0383974387088)</f>
        <v>37.03839744</v>
      </c>
      <c r="P778" s="20">
        <f>IFERROR(__xludf.DUMMYFUNCTION("""COMPUTED_VALUE"""),67561.0)</f>
        <v>67561</v>
      </c>
      <c r="Q778" s="20">
        <f>IFERROR(__xludf.DUMMYFUNCTION("""COMPUTED_VALUE"""),182408.0)</f>
        <v>182408</v>
      </c>
    </row>
    <row r="779">
      <c r="A779" s="20">
        <f>IFERROR(__xludf.DUMMYFUNCTION("""COMPUTED_VALUE"""),794.0)</f>
        <v>794</v>
      </c>
      <c r="B779" s="20" t="str">
        <f>IFERROR(__xludf.DUMMYFUNCTION("""COMPUTED_VALUE"""),"Swim in Rising Water")</f>
        <v>Swim in Rising Water</v>
      </c>
      <c r="C779" s="20" t="str">
        <f>IFERROR(__xludf.DUMMYFUNCTION("""COMPUTED_VALUE"""),"swim-in-rising-water")</f>
        <v>swim-in-rising-water</v>
      </c>
      <c r="D779" s="20" t="b">
        <f>IFERROR(__xludf.DUMMYFUNCTION("""COMPUTED_VALUE"""),FALSE)</f>
        <v>0</v>
      </c>
      <c r="E779" s="20" t="str">
        <f>IFERROR(__xludf.DUMMYFUNCTION("""COMPUTED_VALUE"""),"Hard")</f>
        <v>Hard</v>
      </c>
      <c r="F779" s="20">
        <f>IFERROR(__xludf.DUMMYFUNCTION("""COMPUTED_VALUE"""),2725.0)</f>
        <v>2725</v>
      </c>
      <c r="G779" s="20">
        <f>IFERROR(__xludf.DUMMYFUNCTION("""COMPUTED_VALUE"""),179.0)</f>
        <v>179</v>
      </c>
      <c r="H779" s="20" t="str">
        <f>IFERROR(__xludf.DUMMYFUNCTION("""COMPUTED_VALUE"""),"Algorithms")</f>
        <v>Algorithms</v>
      </c>
      <c r="I779" s="20">
        <f>IFERROR(__xludf.DUMMYFUNCTION("""COMPUTED_VALUE"""),0.598)</f>
        <v>0.598</v>
      </c>
      <c r="J779" s="20">
        <f>IFERROR(__xludf.DUMMYFUNCTION("""COMPUTED_VALUE"""),778.0)</f>
        <v>778</v>
      </c>
      <c r="K779" s="20" t="b">
        <f>IFERROR(__xludf.DUMMYFUNCTION("""COMPUTED_VALUE"""),FALSE)</f>
        <v>0</v>
      </c>
      <c r="L779" s="20" t="str">
        <f>IFERROR(__xludf.DUMMYFUNCTION("""COMPUTED_VALUE"""),"Array;Binary Search;Depth-First Search;Breadth-First Search;Union Find;Heap (Priority Queue);Matrix;")</f>
        <v>Array;Binary Search;Depth-First Search;Breadth-First Search;Union Find;Heap (Priority Queue);Matrix;</v>
      </c>
      <c r="M779" s="20" t="b">
        <f>IFERROR(__xludf.DUMMYFUNCTION("""COMPUTED_VALUE"""),TRUE)</f>
        <v>1</v>
      </c>
      <c r="N779" s="20" t="b">
        <f>IFERROR(__xludf.DUMMYFUNCTION("""COMPUTED_VALUE"""),FALSE)</f>
        <v>0</v>
      </c>
      <c r="O779" s="20">
        <f>IFERROR(__xludf.DUMMYFUNCTION("""COMPUTED_VALUE"""),59.7823106870647)</f>
        <v>59.78231069</v>
      </c>
      <c r="P779" s="20">
        <f>IFERROR(__xludf.DUMMYFUNCTION("""COMPUTED_VALUE"""),109025.0)</f>
        <v>109025</v>
      </c>
      <c r="Q779" s="20">
        <f>IFERROR(__xludf.DUMMYFUNCTION("""COMPUTED_VALUE"""),182368.0)</f>
        <v>182368</v>
      </c>
    </row>
    <row r="780">
      <c r="A780" s="20">
        <f>IFERROR(__xludf.DUMMYFUNCTION("""COMPUTED_VALUE"""),795.0)</f>
        <v>795</v>
      </c>
      <c r="B780" s="20" t="str">
        <f>IFERROR(__xludf.DUMMYFUNCTION("""COMPUTED_VALUE"""),"K-th Symbol in Grammar")</f>
        <v>K-th Symbol in Grammar</v>
      </c>
      <c r="C780" s="20" t="str">
        <f>IFERROR(__xludf.DUMMYFUNCTION("""COMPUTED_VALUE"""),"k-th-symbol-in-grammar")</f>
        <v>k-th-symbol-in-grammar</v>
      </c>
      <c r="D780" s="20" t="b">
        <f>IFERROR(__xludf.DUMMYFUNCTION("""COMPUTED_VALUE"""),FALSE)</f>
        <v>0</v>
      </c>
      <c r="E780" s="20" t="str">
        <f>IFERROR(__xludf.DUMMYFUNCTION("""COMPUTED_VALUE"""),"Medium")</f>
        <v>Medium</v>
      </c>
      <c r="F780" s="20">
        <f>IFERROR(__xludf.DUMMYFUNCTION("""COMPUTED_VALUE"""),2292.0)</f>
        <v>2292</v>
      </c>
      <c r="G780" s="20">
        <f>IFERROR(__xludf.DUMMYFUNCTION("""COMPUTED_VALUE"""),280.0)</f>
        <v>280</v>
      </c>
      <c r="H780" s="20" t="str">
        <f>IFERROR(__xludf.DUMMYFUNCTION("""COMPUTED_VALUE"""),"Algorithms")</f>
        <v>Algorithms</v>
      </c>
      <c r="I780" s="20">
        <f>IFERROR(__xludf.DUMMYFUNCTION("""COMPUTED_VALUE"""),0.409)</f>
        <v>0.409</v>
      </c>
      <c r="J780" s="20">
        <f>IFERROR(__xludf.DUMMYFUNCTION("""COMPUTED_VALUE"""),779.0)</f>
        <v>779</v>
      </c>
      <c r="K780" s="20" t="b">
        <f>IFERROR(__xludf.DUMMYFUNCTION("""COMPUTED_VALUE"""),FALSE)</f>
        <v>0</v>
      </c>
      <c r="L780" s="20" t="str">
        <f>IFERROR(__xludf.DUMMYFUNCTION("""COMPUTED_VALUE"""),"Math;Bit Manipulation;Recursion;")</f>
        <v>Math;Bit Manipulation;Recursion;</v>
      </c>
      <c r="M780" s="20" t="b">
        <f>IFERROR(__xludf.DUMMYFUNCTION("""COMPUTED_VALUE"""),TRUE)</f>
        <v>1</v>
      </c>
      <c r="N780" s="20" t="b">
        <f>IFERROR(__xludf.DUMMYFUNCTION("""COMPUTED_VALUE"""),FALSE)</f>
        <v>0</v>
      </c>
      <c r="O780" s="20">
        <f>IFERROR(__xludf.DUMMYFUNCTION("""COMPUTED_VALUE"""),40.9437688792502)</f>
        <v>40.94376888</v>
      </c>
      <c r="P780" s="20">
        <f>IFERROR(__xludf.DUMMYFUNCTION("""COMPUTED_VALUE"""),105725.0)</f>
        <v>105725</v>
      </c>
      <c r="Q780" s="20">
        <f>IFERROR(__xludf.DUMMYFUNCTION("""COMPUTED_VALUE"""),258220.0)</f>
        <v>258220</v>
      </c>
    </row>
    <row r="781">
      <c r="A781" s="20">
        <f>IFERROR(__xludf.DUMMYFUNCTION("""COMPUTED_VALUE"""),796.0)</f>
        <v>796</v>
      </c>
      <c r="B781" s="20" t="str">
        <f>IFERROR(__xludf.DUMMYFUNCTION("""COMPUTED_VALUE"""),"Reaching Points")</f>
        <v>Reaching Points</v>
      </c>
      <c r="C781" s="20" t="str">
        <f>IFERROR(__xludf.DUMMYFUNCTION("""COMPUTED_VALUE"""),"reaching-points")</f>
        <v>reaching-points</v>
      </c>
      <c r="D781" s="20" t="b">
        <f>IFERROR(__xludf.DUMMYFUNCTION("""COMPUTED_VALUE"""),FALSE)</f>
        <v>0</v>
      </c>
      <c r="E781" s="20" t="str">
        <f>IFERROR(__xludf.DUMMYFUNCTION("""COMPUTED_VALUE"""),"Hard")</f>
        <v>Hard</v>
      </c>
      <c r="F781" s="20">
        <f>IFERROR(__xludf.DUMMYFUNCTION("""COMPUTED_VALUE"""),1182.0)</f>
        <v>1182</v>
      </c>
      <c r="G781" s="20">
        <f>IFERROR(__xludf.DUMMYFUNCTION("""COMPUTED_VALUE"""),189.0)</f>
        <v>189</v>
      </c>
      <c r="H781" s="20" t="str">
        <f>IFERROR(__xludf.DUMMYFUNCTION("""COMPUTED_VALUE"""),"Algorithms")</f>
        <v>Algorithms</v>
      </c>
      <c r="I781" s="20">
        <f>IFERROR(__xludf.DUMMYFUNCTION("""COMPUTED_VALUE"""),0.325)</f>
        <v>0.325</v>
      </c>
      <c r="J781" s="20">
        <f>IFERROR(__xludf.DUMMYFUNCTION("""COMPUTED_VALUE"""),780.0)</f>
        <v>780</v>
      </c>
      <c r="K781" s="20" t="b">
        <f>IFERROR(__xludf.DUMMYFUNCTION("""COMPUTED_VALUE"""),FALSE)</f>
        <v>0</v>
      </c>
      <c r="L781" s="20" t="str">
        <f>IFERROR(__xludf.DUMMYFUNCTION("""COMPUTED_VALUE"""),"Math;")</f>
        <v>Math;</v>
      </c>
      <c r="M781" s="20" t="b">
        <f>IFERROR(__xludf.DUMMYFUNCTION("""COMPUTED_VALUE"""),TRUE)</f>
        <v>1</v>
      </c>
      <c r="N781" s="20" t="b">
        <f>IFERROR(__xludf.DUMMYFUNCTION("""COMPUTED_VALUE"""),FALSE)</f>
        <v>0</v>
      </c>
      <c r="O781" s="20">
        <f>IFERROR(__xludf.DUMMYFUNCTION("""COMPUTED_VALUE"""),32.5150701780234)</f>
        <v>32.51507018</v>
      </c>
      <c r="P781" s="20">
        <f>IFERROR(__xludf.DUMMYFUNCTION("""COMPUTED_VALUE"""),50757.0)</f>
        <v>50757</v>
      </c>
      <c r="Q781" s="20">
        <f>IFERROR(__xludf.DUMMYFUNCTION("""COMPUTED_VALUE"""),156103.0)</f>
        <v>156103</v>
      </c>
    </row>
    <row r="782">
      <c r="A782" s="20">
        <f>IFERROR(__xludf.DUMMYFUNCTION("""COMPUTED_VALUE"""),797.0)</f>
        <v>797</v>
      </c>
      <c r="B782" s="20" t="str">
        <f>IFERROR(__xludf.DUMMYFUNCTION("""COMPUTED_VALUE"""),"Rabbits in Forest")</f>
        <v>Rabbits in Forest</v>
      </c>
      <c r="C782" s="20" t="str">
        <f>IFERROR(__xludf.DUMMYFUNCTION("""COMPUTED_VALUE"""),"rabbits-in-forest")</f>
        <v>rabbits-in-forest</v>
      </c>
      <c r="D782" s="20" t="b">
        <f>IFERROR(__xludf.DUMMYFUNCTION("""COMPUTED_VALUE"""),FALSE)</f>
        <v>0</v>
      </c>
      <c r="E782" s="20" t="str">
        <f>IFERROR(__xludf.DUMMYFUNCTION("""COMPUTED_VALUE"""),"Medium")</f>
        <v>Medium</v>
      </c>
      <c r="F782" s="20">
        <f>IFERROR(__xludf.DUMMYFUNCTION("""COMPUTED_VALUE"""),946.0)</f>
        <v>946</v>
      </c>
      <c r="G782" s="20">
        <f>IFERROR(__xludf.DUMMYFUNCTION("""COMPUTED_VALUE"""),530.0)</f>
        <v>530</v>
      </c>
      <c r="H782" s="20" t="str">
        <f>IFERROR(__xludf.DUMMYFUNCTION("""COMPUTED_VALUE"""),"Algorithms")</f>
        <v>Algorithms</v>
      </c>
      <c r="I782" s="20">
        <f>IFERROR(__xludf.DUMMYFUNCTION("""COMPUTED_VALUE"""),0.551)</f>
        <v>0.551</v>
      </c>
      <c r="J782" s="20">
        <f>IFERROR(__xludf.DUMMYFUNCTION("""COMPUTED_VALUE"""),781.0)</f>
        <v>781</v>
      </c>
      <c r="K782" s="20" t="b">
        <f>IFERROR(__xludf.DUMMYFUNCTION("""COMPUTED_VALUE"""),FALSE)</f>
        <v>0</v>
      </c>
      <c r="L782" s="20" t="str">
        <f>IFERROR(__xludf.DUMMYFUNCTION("""COMPUTED_VALUE"""),"Array;Hash Table;Math;Greedy;")</f>
        <v>Array;Hash Table;Math;Greedy;</v>
      </c>
      <c r="M782" s="20" t="b">
        <f>IFERROR(__xludf.DUMMYFUNCTION("""COMPUTED_VALUE"""),TRUE)</f>
        <v>1</v>
      </c>
      <c r="N782" s="20" t="b">
        <f>IFERROR(__xludf.DUMMYFUNCTION("""COMPUTED_VALUE"""),FALSE)</f>
        <v>0</v>
      </c>
      <c r="O782" s="20">
        <f>IFERROR(__xludf.DUMMYFUNCTION("""COMPUTED_VALUE"""),55.1401036295815)</f>
        <v>55.14010363</v>
      </c>
      <c r="P782" s="20">
        <f>IFERROR(__xludf.DUMMYFUNCTION("""COMPUTED_VALUE"""),43311.0)</f>
        <v>43311</v>
      </c>
      <c r="Q782" s="20">
        <f>IFERROR(__xludf.DUMMYFUNCTION("""COMPUTED_VALUE"""),78548.0)</f>
        <v>78548</v>
      </c>
    </row>
    <row r="783">
      <c r="A783" s="20">
        <f>IFERROR(__xludf.DUMMYFUNCTION("""COMPUTED_VALUE"""),798.0)</f>
        <v>798</v>
      </c>
      <c r="B783" s="20" t="str">
        <f>IFERROR(__xludf.DUMMYFUNCTION("""COMPUTED_VALUE"""),"Transform to Chessboard")</f>
        <v>Transform to Chessboard</v>
      </c>
      <c r="C783" s="20" t="str">
        <f>IFERROR(__xludf.DUMMYFUNCTION("""COMPUTED_VALUE"""),"transform-to-chessboard")</f>
        <v>transform-to-chessboard</v>
      </c>
      <c r="D783" s="20" t="b">
        <f>IFERROR(__xludf.DUMMYFUNCTION("""COMPUTED_VALUE"""),FALSE)</f>
        <v>0</v>
      </c>
      <c r="E783" s="20" t="str">
        <f>IFERROR(__xludf.DUMMYFUNCTION("""COMPUTED_VALUE"""),"Hard")</f>
        <v>Hard</v>
      </c>
      <c r="F783" s="20">
        <f>IFERROR(__xludf.DUMMYFUNCTION("""COMPUTED_VALUE"""),317.0)</f>
        <v>317</v>
      </c>
      <c r="G783" s="20">
        <f>IFERROR(__xludf.DUMMYFUNCTION("""COMPUTED_VALUE"""),291.0)</f>
        <v>291</v>
      </c>
      <c r="H783" s="20" t="str">
        <f>IFERROR(__xludf.DUMMYFUNCTION("""COMPUTED_VALUE"""),"Algorithms")</f>
        <v>Algorithms</v>
      </c>
      <c r="I783" s="20">
        <f>IFERROR(__xludf.DUMMYFUNCTION("""COMPUTED_VALUE"""),0.518)</f>
        <v>0.518</v>
      </c>
      <c r="J783" s="20">
        <f>IFERROR(__xludf.DUMMYFUNCTION("""COMPUTED_VALUE"""),782.0)</f>
        <v>782</v>
      </c>
      <c r="K783" s="20" t="b">
        <f>IFERROR(__xludf.DUMMYFUNCTION("""COMPUTED_VALUE"""),FALSE)</f>
        <v>0</v>
      </c>
      <c r="L783" s="20" t="str">
        <f>IFERROR(__xludf.DUMMYFUNCTION("""COMPUTED_VALUE"""),"Array;Math;Bit Manipulation;Matrix;")</f>
        <v>Array;Math;Bit Manipulation;Matrix;</v>
      </c>
      <c r="M783" s="20" t="b">
        <f>IFERROR(__xludf.DUMMYFUNCTION("""COMPUTED_VALUE"""),TRUE)</f>
        <v>1</v>
      </c>
      <c r="N783" s="20" t="b">
        <f>IFERROR(__xludf.DUMMYFUNCTION("""COMPUTED_VALUE"""),FALSE)</f>
        <v>0</v>
      </c>
      <c r="O783" s="20">
        <f>IFERROR(__xludf.DUMMYFUNCTION("""COMPUTED_VALUE"""),51.7880224041361)</f>
        <v>51.7880224</v>
      </c>
      <c r="P783" s="20">
        <f>IFERROR(__xludf.DUMMYFUNCTION("""COMPUTED_VALUE"""),15626.0)</f>
        <v>15626</v>
      </c>
      <c r="Q783" s="20">
        <f>IFERROR(__xludf.DUMMYFUNCTION("""COMPUTED_VALUE"""),30173.0)</f>
        <v>30173</v>
      </c>
    </row>
    <row r="784">
      <c r="A784" s="20">
        <f>IFERROR(__xludf.DUMMYFUNCTION("""COMPUTED_VALUE"""),799.0)</f>
        <v>799</v>
      </c>
      <c r="B784" s="20" t="str">
        <f>IFERROR(__xludf.DUMMYFUNCTION("""COMPUTED_VALUE"""),"Minimum Distance Between BST Nodes")</f>
        <v>Minimum Distance Between BST Nodes</v>
      </c>
      <c r="C784" s="20" t="str">
        <f>IFERROR(__xludf.DUMMYFUNCTION("""COMPUTED_VALUE"""),"minimum-distance-between-bst-nodes")</f>
        <v>minimum-distance-between-bst-nodes</v>
      </c>
      <c r="D784" s="20" t="b">
        <f>IFERROR(__xludf.DUMMYFUNCTION("""COMPUTED_VALUE"""),FALSE)</f>
        <v>0</v>
      </c>
      <c r="E784" s="20" t="str">
        <f>IFERROR(__xludf.DUMMYFUNCTION("""COMPUTED_VALUE"""),"Easy")</f>
        <v>Easy</v>
      </c>
      <c r="F784" s="20">
        <f>IFERROR(__xludf.DUMMYFUNCTION("""COMPUTED_VALUE"""),1974.0)</f>
        <v>1974</v>
      </c>
      <c r="G784" s="20">
        <f>IFERROR(__xludf.DUMMYFUNCTION("""COMPUTED_VALUE"""),339.0)</f>
        <v>339</v>
      </c>
      <c r="H784" s="20" t="str">
        <f>IFERROR(__xludf.DUMMYFUNCTION("""COMPUTED_VALUE"""),"Algorithms")</f>
        <v>Algorithms</v>
      </c>
      <c r="I784" s="20">
        <f>IFERROR(__xludf.DUMMYFUNCTION("""COMPUTED_VALUE"""),0.569)</f>
        <v>0.569</v>
      </c>
      <c r="J784" s="20">
        <f>IFERROR(__xludf.DUMMYFUNCTION("""COMPUTED_VALUE"""),783.0)</f>
        <v>783</v>
      </c>
      <c r="K784" s="20" t="b">
        <f>IFERROR(__xludf.DUMMYFUNCTION("""COMPUTED_VALUE"""),FALSE)</f>
        <v>0</v>
      </c>
      <c r="L784" s="20" t="str">
        <f>IFERROR(__xludf.DUMMYFUNCTION("""COMPUTED_VALUE"""),"Tree;Depth-First Search;Breadth-First Search;Binary Search Tree;Binary Tree;")</f>
        <v>Tree;Depth-First Search;Breadth-First Search;Binary Search Tree;Binary Tree;</v>
      </c>
      <c r="M784" s="20" t="b">
        <f>IFERROR(__xludf.DUMMYFUNCTION("""COMPUTED_VALUE"""),TRUE)</f>
        <v>1</v>
      </c>
      <c r="N784" s="20" t="b">
        <f>IFERROR(__xludf.DUMMYFUNCTION("""COMPUTED_VALUE"""),FALSE)</f>
        <v>0</v>
      </c>
      <c r="O784" s="20">
        <f>IFERROR(__xludf.DUMMYFUNCTION("""COMPUTED_VALUE"""),56.8820519442785)</f>
        <v>56.88205194</v>
      </c>
      <c r="P784" s="20">
        <f>IFERROR(__xludf.DUMMYFUNCTION("""COMPUTED_VALUE"""),140955.0)</f>
        <v>140955</v>
      </c>
      <c r="Q784" s="20">
        <f>IFERROR(__xludf.DUMMYFUNCTION("""COMPUTED_VALUE"""),247803.0)</f>
        <v>247803</v>
      </c>
    </row>
    <row r="785">
      <c r="A785" s="20">
        <f>IFERROR(__xludf.DUMMYFUNCTION("""COMPUTED_VALUE"""),800.0)</f>
        <v>800</v>
      </c>
      <c r="B785" s="20" t="str">
        <f>IFERROR(__xludf.DUMMYFUNCTION("""COMPUTED_VALUE"""),"Letter Case Permutation")</f>
        <v>Letter Case Permutation</v>
      </c>
      <c r="C785" s="20" t="str">
        <f>IFERROR(__xludf.DUMMYFUNCTION("""COMPUTED_VALUE"""),"letter-case-permutation")</f>
        <v>letter-case-permutation</v>
      </c>
      <c r="D785" s="20" t="b">
        <f>IFERROR(__xludf.DUMMYFUNCTION("""COMPUTED_VALUE"""),FALSE)</f>
        <v>0</v>
      </c>
      <c r="E785" s="20" t="str">
        <f>IFERROR(__xludf.DUMMYFUNCTION("""COMPUTED_VALUE"""),"Medium")</f>
        <v>Medium</v>
      </c>
      <c r="F785" s="20">
        <f>IFERROR(__xludf.DUMMYFUNCTION("""COMPUTED_VALUE"""),3984.0)</f>
        <v>3984</v>
      </c>
      <c r="G785" s="20">
        <f>IFERROR(__xludf.DUMMYFUNCTION("""COMPUTED_VALUE"""),150.0)</f>
        <v>150</v>
      </c>
      <c r="H785" s="20" t="str">
        <f>IFERROR(__xludf.DUMMYFUNCTION("""COMPUTED_VALUE"""),"Algorithms")</f>
        <v>Algorithms</v>
      </c>
      <c r="I785" s="20">
        <f>IFERROR(__xludf.DUMMYFUNCTION("""COMPUTED_VALUE"""),0.736)</f>
        <v>0.736</v>
      </c>
      <c r="J785" s="20">
        <f>IFERROR(__xludf.DUMMYFUNCTION("""COMPUTED_VALUE"""),784.0)</f>
        <v>784</v>
      </c>
      <c r="K785" s="20" t="b">
        <f>IFERROR(__xludf.DUMMYFUNCTION("""COMPUTED_VALUE"""),FALSE)</f>
        <v>0</v>
      </c>
      <c r="L785" s="20" t="str">
        <f>IFERROR(__xludf.DUMMYFUNCTION("""COMPUTED_VALUE"""),"String;Backtracking;Bit Manipulation;")</f>
        <v>String;Backtracking;Bit Manipulation;</v>
      </c>
      <c r="M785" s="20" t="b">
        <f>IFERROR(__xludf.DUMMYFUNCTION("""COMPUTED_VALUE"""),TRUE)</f>
        <v>1</v>
      </c>
      <c r="N785" s="20" t="b">
        <f>IFERROR(__xludf.DUMMYFUNCTION("""COMPUTED_VALUE"""),FALSE)</f>
        <v>0</v>
      </c>
      <c r="O785" s="20">
        <f>IFERROR(__xludf.DUMMYFUNCTION("""COMPUTED_VALUE"""),73.579986271422)</f>
        <v>73.57998627</v>
      </c>
      <c r="P785" s="20">
        <f>IFERROR(__xludf.DUMMYFUNCTION("""COMPUTED_VALUE"""),255115.0)</f>
        <v>255115</v>
      </c>
      <c r="Q785" s="20">
        <f>IFERROR(__xludf.DUMMYFUNCTION("""COMPUTED_VALUE"""),346719.0)</f>
        <v>346719</v>
      </c>
    </row>
    <row r="786">
      <c r="A786" s="20">
        <f>IFERROR(__xludf.DUMMYFUNCTION("""COMPUTED_VALUE"""),801.0)</f>
        <v>801</v>
      </c>
      <c r="B786" s="20" t="str">
        <f>IFERROR(__xludf.DUMMYFUNCTION("""COMPUTED_VALUE"""),"Is Graph Bipartite?")</f>
        <v>Is Graph Bipartite?</v>
      </c>
      <c r="C786" s="20" t="str">
        <f>IFERROR(__xludf.DUMMYFUNCTION("""COMPUTED_VALUE"""),"is-graph-bipartite")</f>
        <v>is-graph-bipartite</v>
      </c>
      <c r="D786" s="20" t="b">
        <f>IFERROR(__xludf.DUMMYFUNCTION("""COMPUTED_VALUE"""),FALSE)</f>
        <v>0</v>
      </c>
      <c r="E786" s="20" t="str">
        <f>IFERROR(__xludf.DUMMYFUNCTION("""COMPUTED_VALUE"""),"Medium")</f>
        <v>Medium</v>
      </c>
      <c r="F786" s="20">
        <f>IFERROR(__xludf.DUMMYFUNCTION("""COMPUTED_VALUE"""),5920.0)</f>
        <v>5920</v>
      </c>
      <c r="G786" s="20">
        <f>IFERROR(__xludf.DUMMYFUNCTION("""COMPUTED_VALUE"""),294.0)</f>
        <v>294</v>
      </c>
      <c r="H786" s="20" t="str">
        <f>IFERROR(__xludf.DUMMYFUNCTION("""COMPUTED_VALUE"""),"Algorithms")</f>
        <v>Algorithms</v>
      </c>
      <c r="I786" s="20">
        <f>IFERROR(__xludf.DUMMYFUNCTION("""COMPUTED_VALUE"""),0.528)</f>
        <v>0.528</v>
      </c>
      <c r="J786" s="20">
        <f>IFERROR(__xludf.DUMMYFUNCTION("""COMPUTED_VALUE"""),785.0)</f>
        <v>785</v>
      </c>
      <c r="K786" s="20" t="b">
        <f>IFERROR(__xludf.DUMMYFUNCTION("""COMPUTED_VALUE"""),FALSE)</f>
        <v>0</v>
      </c>
      <c r="L786" s="20" t="str">
        <f>IFERROR(__xludf.DUMMYFUNCTION("""COMPUTED_VALUE"""),"Depth-First Search;Breadth-First Search;Union Find;Graph;")</f>
        <v>Depth-First Search;Breadth-First Search;Union Find;Graph;</v>
      </c>
      <c r="M786" s="20" t="b">
        <f>IFERROR(__xludf.DUMMYFUNCTION("""COMPUTED_VALUE"""),TRUE)</f>
        <v>1</v>
      </c>
      <c r="N786" s="20" t="b">
        <f>IFERROR(__xludf.DUMMYFUNCTION("""COMPUTED_VALUE"""),FALSE)</f>
        <v>0</v>
      </c>
      <c r="O786" s="20">
        <f>IFERROR(__xludf.DUMMYFUNCTION("""COMPUTED_VALUE"""),52.8321604652142)</f>
        <v>52.83216047</v>
      </c>
      <c r="P786" s="20">
        <f>IFERROR(__xludf.DUMMYFUNCTION("""COMPUTED_VALUE"""),376123.0)</f>
        <v>376123</v>
      </c>
      <c r="Q786" s="20">
        <f>IFERROR(__xludf.DUMMYFUNCTION("""COMPUTED_VALUE"""),711924.0)</f>
        <v>711924</v>
      </c>
    </row>
    <row r="787">
      <c r="A787" s="20">
        <f>IFERROR(__xludf.DUMMYFUNCTION("""COMPUTED_VALUE"""),802.0)</f>
        <v>802</v>
      </c>
      <c r="B787" s="20" t="str">
        <f>IFERROR(__xludf.DUMMYFUNCTION("""COMPUTED_VALUE"""),"K-th Smallest Prime Fraction")</f>
        <v>K-th Smallest Prime Fraction</v>
      </c>
      <c r="C787" s="20" t="str">
        <f>IFERROR(__xludf.DUMMYFUNCTION("""COMPUTED_VALUE"""),"k-th-smallest-prime-fraction")</f>
        <v>k-th-smallest-prime-fraction</v>
      </c>
      <c r="D787" s="20" t="b">
        <f>IFERROR(__xludf.DUMMYFUNCTION("""COMPUTED_VALUE"""),FALSE)</f>
        <v>0</v>
      </c>
      <c r="E787" s="20" t="str">
        <f>IFERROR(__xludf.DUMMYFUNCTION("""COMPUTED_VALUE"""),"Medium")</f>
        <v>Medium</v>
      </c>
      <c r="F787" s="20">
        <f>IFERROR(__xludf.DUMMYFUNCTION("""COMPUTED_VALUE"""),970.0)</f>
        <v>970</v>
      </c>
      <c r="G787" s="20">
        <f>IFERROR(__xludf.DUMMYFUNCTION("""COMPUTED_VALUE"""),45.0)</f>
        <v>45</v>
      </c>
      <c r="H787" s="20" t="str">
        <f>IFERROR(__xludf.DUMMYFUNCTION("""COMPUTED_VALUE"""),"Algorithms")</f>
        <v>Algorithms</v>
      </c>
      <c r="I787" s="20">
        <f>IFERROR(__xludf.DUMMYFUNCTION("""COMPUTED_VALUE"""),0.51)</f>
        <v>0.51</v>
      </c>
      <c r="J787" s="20">
        <f>IFERROR(__xludf.DUMMYFUNCTION("""COMPUTED_VALUE"""),786.0)</f>
        <v>786</v>
      </c>
      <c r="K787" s="20" t="b">
        <f>IFERROR(__xludf.DUMMYFUNCTION("""COMPUTED_VALUE"""),FALSE)</f>
        <v>0</v>
      </c>
      <c r="L787" s="20" t="str">
        <f>IFERROR(__xludf.DUMMYFUNCTION("""COMPUTED_VALUE"""),"Array;Binary Search;Sorting;Heap (Priority Queue);")</f>
        <v>Array;Binary Search;Sorting;Heap (Priority Queue);</v>
      </c>
      <c r="M787" s="20" t="b">
        <f>IFERROR(__xludf.DUMMYFUNCTION("""COMPUTED_VALUE"""),TRUE)</f>
        <v>1</v>
      </c>
      <c r="N787" s="20" t="b">
        <f>IFERROR(__xludf.DUMMYFUNCTION("""COMPUTED_VALUE"""),FALSE)</f>
        <v>0</v>
      </c>
      <c r="O787" s="20">
        <f>IFERROR(__xludf.DUMMYFUNCTION("""COMPUTED_VALUE"""),50.9544042107933)</f>
        <v>50.95440421</v>
      </c>
      <c r="P787" s="20">
        <f>IFERROR(__xludf.DUMMYFUNCTION("""COMPUTED_VALUE"""),32140.0)</f>
        <v>32140</v>
      </c>
      <c r="Q787" s="20">
        <f>IFERROR(__xludf.DUMMYFUNCTION("""COMPUTED_VALUE"""),63076.0)</f>
        <v>63076</v>
      </c>
    </row>
    <row r="788">
      <c r="A788" s="20">
        <f>IFERROR(__xludf.DUMMYFUNCTION("""COMPUTED_VALUE"""),803.0)</f>
        <v>803</v>
      </c>
      <c r="B788" s="20" t="str">
        <f>IFERROR(__xludf.DUMMYFUNCTION("""COMPUTED_VALUE"""),"Cheapest Flights Within K Stops")</f>
        <v>Cheapest Flights Within K Stops</v>
      </c>
      <c r="C788" s="20" t="str">
        <f>IFERROR(__xludf.DUMMYFUNCTION("""COMPUTED_VALUE"""),"cheapest-flights-within-k-stops")</f>
        <v>cheapest-flights-within-k-stops</v>
      </c>
      <c r="D788" s="20" t="b">
        <f>IFERROR(__xludf.DUMMYFUNCTION("""COMPUTED_VALUE"""),FALSE)</f>
        <v>0</v>
      </c>
      <c r="E788" s="20" t="str">
        <f>IFERROR(__xludf.DUMMYFUNCTION("""COMPUTED_VALUE"""),"Medium")</f>
        <v>Medium</v>
      </c>
      <c r="F788" s="20">
        <f>IFERROR(__xludf.DUMMYFUNCTION("""COMPUTED_VALUE"""),6320.0)</f>
        <v>6320</v>
      </c>
      <c r="G788" s="20">
        <f>IFERROR(__xludf.DUMMYFUNCTION("""COMPUTED_VALUE"""),288.0)</f>
        <v>288</v>
      </c>
      <c r="H788" s="20" t="str">
        <f>IFERROR(__xludf.DUMMYFUNCTION("""COMPUTED_VALUE"""),"Algorithms")</f>
        <v>Algorithms</v>
      </c>
      <c r="I788" s="20">
        <f>IFERROR(__xludf.DUMMYFUNCTION("""COMPUTED_VALUE"""),0.359)</f>
        <v>0.359</v>
      </c>
      <c r="J788" s="20">
        <f>IFERROR(__xludf.DUMMYFUNCTION("""COMPUTED_VALUE"""),787.0)</f>
        <v>787</v>
      </c>
      <c r="K788" s="20" t="b">
        <f>IFERROR(__xludf.DUMMYFUNCTION("""COMPUTED_VALUE"""),FALSE)</f>
        <v>0</v>
      </c>
      <c r="L788" s="20" t="str">
        <f>IFERROR(__xludf.DUMMYFUNCTION("""COMPUTED_VALUE"""),"Dynamic Programming;Depth-First Search;Breadth-First Search;Graph;Heap (Priority Queue);Shortest Path;")</f>
        <v>Dynamic Programming;Depth-First Search;Breadth-First Search;Graph;Heap (Priority Queue);Shortest Path;</v>
      </c>
      <c r="M788" s="20" t="b">
        <f>IFERROR(__xludf.DUMMYFUNCTION("""COMPUTED_VALUE"""),TRUE)</f>
        <v>1</v>
      </c>
      <c r="N788" s="20" t="b">
        <f>IFERROR(__xludf.DUMMYFUNCTION("""COMPUTED_VALUE"""),FALSE)</f>
        <v>0</v>
      </c>
      <c r="O788" s="20">
        <f>IFERROR(__xludf.DUMMYFUNCTION("""COMPUTED_VALUE"""),35.9010788486457)</f>
        <v>35.90107885</v>
      </c>
      <c r="P788" s="20">
        <f>IFERROR(__xludf.DUMMYFUNCTION("""COMPUTED_VALUE"""),295899.0)</f>
        <v>295899</v>
      </c>
      <c r="Q788" s="20">
        <f>IFERROR(__xludf.DUMMYFUNCTION("""COMPUTED_VALUE"""),824203.0)</f>
        <v>824203</v>
      </c>
    </row>
    <row r="789">
      <c r="A789" s="20">
        <f>IFERROR(__xludf.DUMMYFUNCTION("""COMPUTED_VALUE"""),804.0)</f>
        <v>804</v>
      </c>
      <c r="B789" s="20" t="str">
        <f>IFERROR(__xludf.DUMMYFUNCTION("""COMPUTED_VALUE"""),"Rotated Digits")</f>
        <v>Rotated Digits</v>
      </c>
      <c r="C789" s="20" t="str">
        <f>IFERROR(__xludf.DUMMYFUNCTION("""COMPUTED_VALUE"""),"rotated-digits")</f>
        <v>rotated-digits</v>
      </c>
      <c r="D789" s="20" t="b">
        <f>IFERROR(__xludf.DUMMYFUNCTION("""COMPUTED_VALUE"""),FALSE)</f>
        <v>0</v>
      </c>
      <c r="E789" s="20" t="str">
        <f>IFERROR(__xludf.DUMMYFUNCTION("""COMPUTED_VALUE"""),"Medium")</f>
        <v>Medium</v>
      </c>
      <c r="F789" s="20">
        <f>IFERROR(__xludf.DUMMYFUNCTION("""COMPUTED_VALUE"""),637.0)</f>
        <v>637</v>
      </c>
      <c r="G789" s="20">
        <f>IFERROR(__xludf.DUMMYFUNCTION("""COMPUTED_VALUE"""),1815.0)</f>
        <v>1815</v>
      </c>
      <c r="H789" s="20" t="str">
        <f>IFERROR(__xludf.DUMMYFUNCTION("""COMPUTED_VALUE"""),"Algorithms")</f>
        <v>Algorithms</v>
      </c>
      <c r="I789" s="20">
        <f>IFERROR(__xludf.DUMMYFUNCTION("""COMPUTED_VALUE"""),0.568)</f>
        <v>0.568</v>
      </c>
      <c r="J789" s="20">
        <f>IFERROR(__xludf.DUMMYFUNCTION("""COMPUTED_VALUE"""),788.0)</f>
        <v>788</v>
      </c>
      <c r="K789" s="20" t="b">
        <f>IFERROR(__xludf.DUMMYFUNCTION("""COMPUTED_VALUE"""),FALSE)</f>
        <v>0</v>
      </c>
      <c r="L789" s="20" t="str">
        <f>IFERROR(__xludf.DUMMYFUNCTION("""COMPUTED_VALUE"""),"Math;Dynamic Programming;")</f>
        <v>Math;Dynamic Programming;</v>
      </c>
      <c r="M789" s="20" t="b">
        <f>IFERROR(__xludf.DUMMYFUNCTION("""COMPUTED_VALUE"""),FALSE)</f>
        <v>0</v>
      </c>
      <c r="N789" s="20" t="b">
        <f>IFERROR(__xludf.DUMMYFUNCTION("""COMPUTED_VALUE"""),FALSE)</f>
        <v>0</v>
      </c>
      <c r="O789" s="20">
        <f>IFERROR(__xludf.DUMMYFUNCTION("""COMPUTED_VALUE"""),56.8219074182814)</f>
        <v>56.82190742</v>
      </c>
      <c r="P789" s="20">
        <f>IFERROR(__xludf.DUMMYFUNCTION("""COMPUTED_VALUE"""),92897.0)</f>
        <v>92897</v>
      </c>
      <c r="Q789" s="20">
        <f>IFERROR(__xludf.DUMMYFUNCTION("""COMPUTED_VALUE"""),163488.0)</f>
        <v>163488</v>
      </c>
    </row>
    <row r="790">
      <c r="A790" s="20">
        <f>IFERROR(__xludf.DUMMYFUNCTION("""COMPUTED_VALUE"""),805.0)</f>
        <v>805</v>
      </c>
      <c r="B790" s="20" t="str">
        <f>IFERROR(__xludf.DUMMYFUNCTION("""COMPUTED_VALUE"""),"Escape The Ghosts")</f>
        <v>Escape The Ghosts</v>
      </c>
      <c r="C790" s="20" t="str">
        <f>IFERROR(__xludf.DUMMYFUNCTION("""COMPUTED_VALUE"""),"escape-the-ghosts")</f>
        <v>escape-the-ghosts</v>
      </c>
      <c r="D790" s="20" t="b">
        <f>IFERROR(__xludf.DUMMYFUNCTION("""COMPUTED_VALUE"""),FALSE)</f>
        <v>0</v>
      </c>
      <c r="E790" s="20" t="str">
        <f>IFERROR(__xludf.DUMMYFUNCTION("""COMPUTED_VALUE"""),"Medium")</f>
        <v>Medium</v>
      </c>
      <c r="F790" s="20">
        <f>IFERROR(__xludf.DUMMYFUNCTION("""COMPUTED_VALUE"""),186.0)</f>
        <v>186</v>
      </c>
      <c r="G790" s="20">
        <f>IFERROR(__xludf.DUMMYFUNCTION("""COMPUTED_VALUE"""),20.0)</f>
        <v>20</v>
      </c>
      <c r="H790" s="20" t="str">
        <f>IFERROR(__xludf.DUMMYFUNCTION("""COMPUTED_VALUE"""),"Algorithms")</f>
        <v>Algorithms</v>
      </c>
      <c r="I790" s="20">
        <f>IFERROR(__xludf.DUMMYFUNCTION("""COMPUTED_VALUE"""),0.607)</f>
        <v>0.607</v>
      </c>
      <c r="J790" s="20">
        <f>IFERROR(__xludf.DUMMYFUNCTION("""COMPUTED_VALUE"""),789.0)</f>
        <v>789</v>
      </c>
      <c r="K790" s="20" t="b">
        <f>IFERROR(__xludf.DUMMYFUNCTION("""COMPUTED_VALUE"""),FALSE)</f>
        <v>0</v>
      </c>
      <c r="L790" s="20" t="str">
        <f>IFERROR(__xludf.DUMMYFUNCTION("""COMPUTED_VALUE"""),"Array;Math;")</f>
        <v>Array;Math;</v>
      </c>
      <c r="M790" s="20" t="b">
        <f>IFERROR(__xludf.DUMMYFUNCTION("""COMPUTED_VALUE"""),TRUE)</f>
        <v>1</v>
      </c>
      <c r="N790" s="20" t="b">
        <f>IFERROR(__xludf.DUMMYFUNCTION("""COMPUTED_VALUE"""),FALSE)</f>
        <v>0</v>
      </c>
      <c r="O790" s="20">
        <f>IFERROR(__xludf.DUMMYFUNCTION("""COMPUTED_VALUE"""),60.7458993393025)</f>
        <v>60.74589934</v>
      </c>
      <c r="P790" s="20">
        <f>IFERROR(__xludf.DUMMYFUNCTION("""COMPUTED_VALUE"""),23813.0)</f>
        <v>23813</v>
      </c>
      <c r="Q790" s="20">
        <f>IFERROR(__xludf.DUMMYFUNCTION("""COMPUTED_VALUE"""),39201.0)</f>
        <v>39201</v>
      </c>
    </row>
    <row r="791">
      <c r="A791" s="20">
        <f>IFERROR(__xludf.DUMMYFUNCTION("""COMPUTED_VALUE"""),806.0)</f>
        <v>806</v>
      </c>
      <c r="B791" s="20" t="str">
        <f>IFERROR(__xludf.DUMMYFUNCTION("""COMPUTED_VALUE"""),"Domino and Tromino Tiling")</f>
        <v>Domino and Tromino Tiling</v>
      </c>
      <c r="C791" s="20" t="str">
        <f>IFERROR(__xludf.DUMMYFUNCTION("""COMPUTED_VALUE"""),"domino-and-tromino-tiling")</f>
        <v>domino-and-tromino-tiling</v>
      </c>
      <c r="D791" s="20" t="b">
        <f>IFERROR(__xludf.DUMMYFUNCTION("""COMPUTED_VALUE"""),FALSE)</f>
        <v>0</v>
      </c>
      <c r="E791" s="20" t="str">
        <f>IFERROR(__xludf.DUMMYFUNCTION("""COMPUTED_VALUE"""),"Medium")</f>
        <v>Medium</v>
      </c>
      <c r="F791" s="20">
        <f>IFERROR(__xludf.DUMMYFUNCTION("""COMPUTED_VALUE"""),2330.0)</f>
        <v>2330</v>
      </c>
      <c r="G791" s="20">
        <f>IFERROR(__xludf.DUMMYFUNCTION("""COMPUTED_VALUE"""),749.0)</f>
        <v>749</v>
      </c>
      <c r="H791" s="20" t="str">
        <f>IFERROR(__xludf.DUMMYFUNCTION("""COMPUTED_VALUE"""),"Algorithms")</f>
        <v>Algorithms</v>
      </c>
      <c r="I791" s="20">
        <f>IFERROR(__xludf.DUMMYFUNCTION("""COMPUTED_VALUE"""),0.51)</f>
        <v>0.51</v>
      </c>
      <c r="J791" s="20">
        <f>IFERROR(__xludf.DUMMYFUNCTION("""COMPUTED_VALUE"""),790.0)</f>
        <v>790</v>
      </c>
      <c r="K791" s="20" t="b">
        <f>IFERROR(__xludf.DUMMYFUNCTION("""COMPUTED_VALUE"""),FALSE)</f>
        <v>0</v>
      </c>
      <c r="L791" s="20" t="str">
        <f>IFERROR(__xludf.DUMMYFUNCTION("""COMPUTED_VALUE"""),"Dynamic Programming;")</f>
        <v>Dynamic Programming;</v>
      </c>
      <c r="M791" s="20" t="b">
        <f>IFERROR(__xludf.DUMMYFUNCTION("""COMPUTED_VALUE"""),TRUE)</f>
        <v>1</v>
      </c>
      <c r="N791" s="20" t="b">
        <f>IFERROR(__xludf.DUMMYFUNCTION("""COMPUTED_VALUE"""),FALSE)</f>
        <v>0</v>
      </c>
      <c r="O791" s="20">
        <f>IFERROR(__xludf.DUMMYFUNCTION("""COMPUTED_VALUE"""),51.0590482611382)</f>
        <v>51.05904826</v>
      </c>
      <c r="P791" s="20">
        <f>IFERROR(__xludf.DUMMYFUNCTION("""COMPUTED_VALUE"""),72119.0)</f>
        <v>72119</v>
      </c>
      <c r="Q791" s="20">
        <f>IFERROR(__xludf.DUMMYFUNCTION("""COMPUTED_VALUE"""),141459.0)</f>
        <v>141459</v>
      </c>
    </row>
    <row r="792">
      <c r="A792" s="20">
        <f>IFERROR(__xludf.DUMMYFUNCTION("""COMPUTED_VALUE"""),807.0)</f>
        <v>807</v>
      </c>
      <c r="B792" s="20" t="str">
        <f>IFERROR(__xludf.DUMMYFUNCTION("""COMPUTED_VALUE"""),"Custom Sort String")</f>
        <v>Custom Sort String</v>
      </c>
      <c r="C792" s="20" t="str">
        <f>IFERROR(__xludf.DUMMYFUNCTION("""COMPUTED_VALUE"""),"custom-sort-string")</f>
        <v>custom-sort-string</v>
      </c>
      <c r="D792" s="20" t="b">
        <f>IFERROR(__xludf.DUMMYFUNCTION("""COMPUTED_VALUE"""),FALSE)</f>
        <v>0</v>
      </c>
      <c r="E792" s="20" t="str">
        <f>IFERROR(__xludf.DUMMYFUNCTION("""COMPUTED_VALUE"""),"Medium")</f>
        <v>Medium</v>
      </c>
      <c r="F792" s="20">
        <f>IFERROR(__xludf.DUMMYFUNCTION("""COMPUTED_VALUE"""),2357.0)</f>
        <v>2357</v>
      </c>
      <c r="G792" s="20">
        <f>IFERROR(__xludf.DUMMYFUNCTION("""COMPUTED_VALUE"""),307.0)</f>
        <v>307</v>
      </c>
      <c r="H792" s="20" t="str">
        <f>IFERROR(__xludf.DUMMYFUNCTION("""COMPUTED_VALUE"""),"Algorithms")</f>
        <v>Algorithms</v>
      </c>
      <c r="I792" s="20">
        <f>IFERROR(__xludf.DUMMYFUNCTION("""COMPUTED_VALUE"""),0.693)</f>
        <v>0.693</v>
      </c>
      <c r="J792" s="20">
        <f>IFERROR(__xludf.DUMMYFUNCTION("""COMPUTED_VALUE"""),791.0)</f>
        <v>791</v>
      </c>
      <c r="K792" s="20" t="b">
        <f>IFERROR(__xludf.DUMMYFUNCTION("""COMPUTED_VALUE"""),FALSE)</f>
        <v>0</v>
      </c>
      <c r="L792" s="20" t="str">
        <f>IFERROR(__xludf.DUMMYFUNCTION("""COMPUTED_VALUE"""),"Hash Table;String;Sorting;")</f>
        <v>Hash Table;String;Sorting;</v>
      </c>
      <c r="M792" s="20" t="b">
        <f>IFERROR(__xludf.DUMMYFUNCTION("""COMPUTED_VALUE"""),TRUE)</f>
        <v>1</v>
      </c>
      <c r="N792" s="20" t="b">
        <f>IFERROR(__xludf.DUMMYFUNCTION("""COMPUTED_VALUE"""),FALSE)</f>
        <v>0</v>
      </c>
      <c r="O792" s="20">
        <f>IFERROR(__xludf.DUMMYFUNCTION("""COMPUTED_VALUE"""),69.3184670596934)</f>
        <v>69.31846706</v>
      </c>
      <c r="P792" s="20">
        <f>IFERROR(__xludf.DUMMYFUNCTION("""COMPUTED_VALUE"""),204349.0)</f>
        <v>204349</v>
      </c>
      <c r="Q792" s="20">
        <f>IFERROR(__xludf.DUMMYFUNCTION("""COMPUTED_VALUE"""),294799.0)</f>
        <v>294799</v>
      </c>
    </row>
    <row r="793">
      <c r="A793" s="20">
        <f>IFERROR(__xludf.DUMMYFUNCTION("""COMPUTED_VALUE"""),808.0)</f>
        <v>808</v>
      </c>
      <c r="B793" s="20" t="str">
        <f>IFERROR(__xludf.DUMMYFUNCTION("""COMPUTED_VALUE"""),"Number of Matching Subsequences")</f>
        <v>Number of Matching Subsequences</v>
      </c>
      <c r="C793" s="20" t="str">
        <f>IFERROR(__xludf.DUMMYFUNCTION("""COMPUTED_VALUE"""),"number-of-matching-subsequences")</f>
        <v>number-of-matching-subsequences</v>
      </c>
      <c r="D793" s="20" t="b">
        <f>IFERROR(__xludf.DUMMYFUNCTION("""COMPUTED_VALUE"""),FALSE)</f>
        <v>0</v>
      </c>
      <c r="E793" s="20" t="str">
        <f>IFERROR(__xludf.DUMMYFUNCTION("""COMPUTED_VALUE"""),"Medium")</f>
        <v>Medium</v>
      </c>
      <c r="F793" s="20">
        <f>IFERROR(__xludf.DUMMYFUNCTION("""COMPUTED_VALUE"""),4859.0)</f>
        <v>4859</v>
      </c>
      <c r="G793" s="20">
        <f>IFERROR(__xludf.DUMMYFUNCTION("""COMPUTED_VALUE"""),205.0)</f>
        <v>205</v>
      </c>
      <c r="H793" s="20" t="str">
        <f>IFERROR(__xludf.DUMMYFUNCTION("""COMPUTED_VALUE"""),"Algorithms")</f>
        <v>Algorithms</v>
      </c>
      <c r="I793" s="20">
        <f>IFERROR(__xludf.DUMMYFUNCTION("""COMPUTED_VALUE"""),0.518)</f>
        <v>0.518</v>
      </c>
      <c r="J793" s="20">
        <f>IFERROR(__xludf.DUMMYFUNCTION("""COMPUTED_VALUE"""),792.0)</f>
        <v>792</v>
      </c>
      <c r="K793" s="20" t="b">
        <f>IFERROR(__xludf.DUMMYFUNCTION("""COMPUTED_VALUE"""),FALSE)</f>
        <v>0</v>
      </c>
      <c r="L793" s="20" t="str">
        <f>IFERROR(__xludf.DUMMYFUNCTION("""COMPUTED_VALUE"""),"Hash Table;String;Trie;Sorting;")</f>
        <v>Hash Table;String;Trie;Sorting;</v>
      </c>
      <c r="M793" s="20" t="b">
        <f>IFERROR(__xludf.DUMMYFUNCTION("""COMPUTED_VALUE"""),TRUE)</f>
        <v>1</v>
      </c>
      <c r="N793" s="20" t="b">
        <f>IFERROR(__xludf.DUMMYFUNCTION("""COMPUTED_VALUE"""),FALSE)</f>
        <v>0</v>
      </c>
      <c r="O793" s="20">
        <f>IFERROR(__xludf.DUMMYFUNCTION("""COMPUTED_VALUE"""),51.8121655441837)</f>
        <v>51.81216554</v>
      </c>
      <c r="P793" s="20">
        <f>IFERROR(__xludf.DUMMYFUNCTION("""COMPUTED_VALUE"""),203712.0)</f>
        <v>203712</v>
      </c>
      <c r="Q793" s="20">
        <f>IFERROR(__xludf.DUMMYFUNCTION("""COMPUTED_VALUE"""),393174.0)</f>
        <v>393174</v>
      </c>
    </row>
    <row r="794">
      <c r="A794" s="20">
        <f>IFERROR(__xludf.DUMMYFUNCTION("""COMPUTED_VALUE"""),809.0)</f>
        <v>809</v>
      </c>
      <c r="B794" s="20" t="str">
        <f>IFERROR(__xludf.DUMMYFUNCTION("""COMPUTED_VALUE"""),"Preimage Size of Factorial Zeroes Function")</f>
        <v>Preimage Size of Factorial Zeroes Function</v>
      </c>
      <c r="C794" s="20" t="str">
        <f>IFERROR(__xludf.DUMMYFUNCTION("""COMPUTED_VALUE"""),"preimage-size-of-factorial-zeroes-function")</f>
        <v>preimage-size-of-factorial-zeroes-function</v>
      </c>
      <c r="D794" s="20" t="b">
        <f>IFERROR(__xludf.DUMMYFUNCTION("""COMPUTED_VALUE"""),FALSE)</f>
        <v>0</v>
      </c>
      <c r="E794" s="20" t="str">
        <f>IFERROR(__xludf.DUMMYFUNCTION("""COMPUTED_VALUE"""),"Hard")</f>
        <v>Hard</v>
      </c>
      <c r="F794" s="20">
        <f>IFERROR(__xludf.DUMMYFUNCTION("""COMPUTED_VALUE"""),355.0)</f>
        <v>355</v>
      </c>
      <c r="G794" s="20">
        <f>IFERROR(__xludf.DUMMYFUNCTION("""COMPUTED_VALUE"""),82.0)</f>
        <v>82</v>
      </c>
      <c r="H794" s="20" t="str">
        <f>IFERROR(__xludf.DUMMYFUNCTION("""COMPUTED_VALUE"""),"Algorithms")</f>
        <v>Algorithms</v>
      </c>
      <c r="I794" s="20">
        <f>IFERROR(__xludf.DUMMYFUNCTION("""COMPUTED_VALUE"""),0.429)</f>
        <v>0.429</v>
      </c>
      <c r="J794" s="20">
        <f>IFERROR(__xludf.DUMMYFUNCTION("""COMPUTED_VALUE"""),793.0)</f>
        <v>793</v>
      </c>
      <c r="K794" s="20" t="b">
        <f>IFERROR(__xludf.DUMMYFUNCTION("""COMPUTED_VALUE"""),FALSE)</f>
        <v>0</v>
      </c>
      <c r="L794" s="20" t="str">
        <f>IFERROR(__xludf.DUMMYFUNCTION("""COMPUTED_VALUE"""),"Math;Binary Search;")</f>
        <v>Math;Binary Search;</v>
      </c>
      <c r="M794" s="20" t="b">
        <f>IFERROR(__xludf.DUMMYFUNCTION("""COMPUTED_VALUE"""),TRUE)</f>
        <v>1</v>
      </c>
      <c r="N794" s="20" t="b">
        <f>IFERROR(__xludf.DUMMYFUNCTION("""COMPUTED_VALUE"""),FALSE)</f>
        <v>0</v>
      </c>
      <c r="O794" s="20">
        <f>IFERROR(__xludf.DUMMYFUNCTION("""COMPUTED_VALUE"""),42.9122297036751)</f>
        <v>42.9122297</v>
      </c>
      <c r="P794" s="20">
        <f>IFERROR(__xludf.DUMMYFUNCTION("""COMPUTED_VALUE"""),14466.0)</f>
        <v>14466</v>
      </c>
      <c r="Q794" s="20">
        <f>IFERROR(__xludf.DUMMYFUNCTION("""COMPUTED_VALUE"""),33712.0)</f>
        <v>33712</v>
      </c>
    </row>
    <row r="795">
      <c r="A795" s="20">
        <f>IFERROR(__xludf.DUMMYFUNCTION("""COMPUTED_VALUE"""),810.0)</f>
        <v>810</v>
      </c>
      <c r="B795" s="20" t="str">
        <f>IFERROR(__xludf.DUMMYFUNCTION("""COMPUTED_VALUE"""),"Valid Tic-Tac-Toe State")</f>
        <v>Valid Tic-Tac-Toe State</v>
      </c>
      <c r="C795" s="20" t="str">
        <f>IFERROR(__xludf.DUMMYFUNCTION("""COMPUTED_VALUE"""),"valid-tic-tac-toe-state")</f>
        <v>valid-tic-tac-toe-state</v>
      </c>
      <c r="D795" s="20" t="b">
        <f>IFERROR(__xludf.DUMMYFUNCTION("""COMPUTED_VALUE"""),FALSE)</f>
        <v>0</v>
      </c>
      <c r="E795" s="20" t="str">
        <f>IFERROR(__xludf.DUMMYFUNCTION("""COMPUTED_VALUE"""),"Medium")</f>
        <v>Medium</v>
      </c>
      <c r="F795" s="20">
        <f>IFERROR(__xludf.DUMMYFUNCTION("""COMPUTED_VALUE"""),475.0)</f>
        <v>475</v>
      </c>
      <c r="G795" s="20">
        <f>IFERROR(__xludf.DUMMYFUNCTION("""COMPUTED_VALUE"""),1069.0)</f>
        <v>1069</v>
      </c>
      <c r="H795" s="20" t="str">
        <f>IFERROR(__xludf.DUMMYFUNCTION("""COMPUTED_VALUE"""),"Algorithms")</f>
        <v>Algorithms</v>
      </c>
      <c r="I795" s="20">
        <f>IFERROR(__xludf.DUMMYFUNCTION("""COMPUTED_VALUE"""),0.351)</f>
        <v>0.351</v>
      </c>
      <c r="J795" s="20">
        <f>IFERROR(__xludf.DUMMYFUNCTION("""COMPUTED_VALUE"""),794.0)</f>
        <v>794</v>
      </c>
      <c r="K795" s="20" t="b">
        <f>IFERROR(__xludf.DUMMYFUNCTION("""COMPUTED_VALUE"""),FALSE)</f>
        <v>0</v>
      </c>
      <c r="L795" s="20" t="str">
        <f>IFERROR(__xludf.DUMMYFUNCTION("""COMPUTED_VALUE"""),"Array;String;")</f>
        <v>Array;String;</v>
      </c>
      <c r="M795" s="20" t="b">
        <f>IFERROR(__xludf.DUMMYFUNCTION("""COMPUTED_VALUE"""),FALSE)</f>
        <v>0</v>
      </c>
      <c r="N795" s="20" t="b">
        <f>IFERROR(__xludf.DUMMYFUNCTION("""COMPUTED_VALUE"""),FALSE)</f>
        <v>0</v>
      </c>
      <c r="O795" s="20">
        <f>IFERROR(__xludf.DUMMYFUNCTION("""COMPUTED_VALUE"""),35.1305660982519)</f>
        <v>35.1305661</v>
      </c>
      <c r="P795" s="20">
        <f>IFERROR(__xludf.DUMMYFUNCTION("""COMPUTED_VALUE"""),52575.0)</f>
        <v>52575</v>
      </c>
      <c r="Q795" s="20">
        <f>IFERROR(__xludf.DUMMYFUNCTION("""COMPUTED_VALUE"""),149656.0)</f>
        <v>149656</v>
      </c>
    </row>
    <row r="796">
      <c r="A796" s="20">
        <f>IFERROR(__xludf.DUMMYFUNCTION("""COMPUTED_VALUE"""),811.0)</f>
        <v>811</v>
      </c>
      <c r="B796" s="20" t="str">
        <f>IFERROR(__xludf.DUMMYFUNCTION("""COMPUTED_VALUE"""),"Number of Subarrays with Bounded Maximum")</f>
        <v>Number of Subarrays with Bounded Maximum</v>
      </c>
      <c r="C796" s="20" t="str">
        <f>IFERROR(__xludf.DUMMYFUNCTION("""COMPUTED_VALUE"""),"number-of-subarrays-with-bounded-maximum")</f>
        <v>number-of-subarrays-with-bounded-maximum</v>
      </c>
      <c r="D796" s="20" t="b">
        <f>IFERROR(__xludf.DUMMYFUNCTION("""COMPUTED_VALUE"""),FALSE)</f>
        <v>0</v>
      </c>
      <c r="E796" s="20" t="str">
        <f>IFERROR(__xludf.DUMMYFUNCTION("""COMPUTED_VALUE"""),"Medium")</f>
        <v>Medium</v>
      </c>
      <c r="F796" s="20">
        <f>IFERROR(__xludf.DUMMYFUNCTION("""COMPUTED_VALUE"""),1925.0)</f>
        <v>1925</v>
      </c>
      <c r="G796" s="20">
        <f>IFERROR(__xludf.DUMMYFUNCTION("""COMPUTED_VALUE"""),105.0)</f>
        <v>105</v>
      </c>
      <c r="H796" s="20" t="str">
        <f>IFERROR(__xludf.DUMMYFUNCTION("""COMPUTED_VALUE"""),"Algorithms")</f>
        <v>Algorithms</v>
      </c>
      <c r="I796" s="20">
        <f>IFERROR(__xludf.DUMMYFUNCTION("""COMPUTED_VALUE"""),0.528)</f>
        <v>0.528</v>
      </c>
      <c r="J796" s="20">
        <f>IFERROR(__xludf.DUMMYFUNCTION("""COMPUTED_VALUE"""),795.0)</f>
        <v>795</v>
      </c>
      <c r="K796" s="20" t="b">
        <f>IFERROR(__xludf.DUMMYFUNCTION("""COMPUTED_VALUE"""),FALSE)</f>
        <v>0</v>
      </c>
      <c r="L796" s="20" t="str">
        <f>IFERROR(__xludf.DUMMYFUNCTION("""COMPUTED_VALUE"""),"Array;Two Pointers;")</f>
        <v>Array;Two Pointers;</v>
      </c>
      <c r="M796" s="20" t="b">
        <f>IFERROR(__xludf.DUMMYFUNCTION("""COMPUTED_VALUE"""),TRUE)</f>
        <v>1</v>
      </c>
      <c r="N796" s="20" t="b">
        <f>IFERROR(__xludf.DUMMYFUNCTION("""COMPUTED_VALUE"""),FALSE)</f>
        <v>0</v>
      </c>
      <c r="O796" s="20">
        <f>IFERROR(__xludf.DUMMYFUNCTION("""COMPUTED_VALUE"""),52.7682157200229)</f>
        <v>52.76821572</v>
      </c>
      <c r="P796" s="20">
        <f>IFERROR(__xludf.DUMMYFUNCTION("""COMPUTED_VALUE"""),58864.0)</f>
        <v>58864</v>
      </c>
      <c r="Q796" s="20">
        <f>IFERROR(__xludf.DUMMYFUNCTION("""COMPUTED_VALUE"""),111552.0)</f>
        <v>111552</v>
      </c>
    </row>
    <row r="797">
      <c r="A797" s="20">
        <f>IFERROR(__xludf.DUMMYFUNCTION("""COMPUTED_VALUE"""),812.0)</f>
        <v>812</v>
      </c>
      <c r="B797" s="20" t="str">
        <f>IFERROR(__xludf.DUMMYFUNCTION("""COMPUTED_VALUE"""),"Rotate String")</f>
        <v>Rotate String</v>
      </c>
      <c r="C797" s="20" t="str">
        <f>IFERROR(__xludf.DUMMYFUNCTION("""COMPUTED_VALUE"""),"rotate-string")</f>
        <v>rotate-string</v>
      </c>
      <c r="D797" s="20" t="b">
        <f>IFERROR(__xludf.DUMMYFUNCTION("""COMPUTED_VALUE"""),FALSE)</f>
        <v>0</v>
      </c>
      <c r="E797" s="20" t="str">
        <f>IFERROR(__xludf.DUMMYFUNCTION("""COMPUTED_VALUE"""),"Easy")</f>
        <v>Easy</v>
      </c>
      <c r="F797" s="20">
        <f>IFERROR(__xludf.DUMMYFUNCTION("""COMPUTED_VALUE"""),2436.0)</f>
        <v>2436</v>
      </c>
      <c r="G797" s="20">
        <f>IFERROR(__xludf.DUMMYFUNCTION("""COMPUTED_VALUE"""),100.0)</f>
        <v>100</v>
      </c>
      <c r="H797" s="20" t="str">
        <f>IFERROR(__xludf.DUMMYFUNCTION("""COMPUTED_VALUE"""),"Algorithms")</f>
        <v>Algorithms</v>
      </c>
      <c r="I797" s="20">
        <f>IFERROR(__xludf.DUMMYFUNCTION("""COMPUTED_VALUE"""),0.544)</f>
        <v>0.544</v>
      </c>
      <c r="J797" s="20">
        <f>IFERROR(__xludf.DUMMYFUNCTION("""COMPUTED_VALUE"""),796.0)</f>
        <v>796</v>
      </c>
      <c r="K797" s="20" t="b">
        <f>IFERROR(__xludf.DUMMYFUNCTION("""COMPUTED_VALUE"""),FALSE)</f>
        <v>0</v>
      </c>
      <c r="L797" s="20" t="str">
        <f>IFERROR(__xludf.DUMMYFUNCTION("""COMPUTED_VALUE"""),"String;String Matching;")</f>
        <v>String;String Matching;</v>
      </c>
      <c r="M797" s="20" t="b">
        <f>IFERROR(__xludf.DUMMYFUNCTION("""COMPUTED_VALUE"""),TRUE)</f>
        <v>1</v>
      </c>
      <c r="N797" s="20" t="b">
        <f>IFERROR(__xludf.DUMMYFUNCTION("""COMPUTED_VALUE"""),FALSE)</f>
        <v>0</v>
      </c>
      <c r="O797" s="20">
        <f>IFERROR(__xludf.DUMMYFUNCTION("""COMPUTED_VALUE"""),54.4281143388662)</f>
        <v>54.42811434</v>
      </c>
      <c r="P797" s="20">
        <f>IFERROR(__xludf.DUMMYFUNCTION("""COMPUTED_VALUE"""),184900.0)</f>
        <v>184900</v>
      </c>
      <c r="Q797" s="20">
        <f>IFERROR(__xludf.DUMMYFUNCTION("""COMPUTED_VALUE"""),339719.0)</f>
        <v>339719</v>
      </c>
    </row>
    <row r="798">
      <c r="A798" s="20">
        <f>IFERROR(__xludf.DUMMYFUNCTION("""COMPUTED_VALUE"""),813.0)</f>
        <v>813</v>
      </c>
      <c r="B798" s="20" t="str">
        <f>IFERROR(__xludf.DUMMYFUNCTION("""COMPUTED_VALUE"""),"All Paths From Source to Target")</f>
        <v>All Paths From Source to Target</v>
      </c>
      <c r="C798" s="20" t="str">
        <f>IFERROR(__xludf.DUMMYFUNCTION("""COMPUTED_VALUE"""),"all-paths-from-source-to-target")</f>
        <v>all-paths-from-source-to-target</v>
      </c>
      <c r="D798" s="20" t="b">
        <f>IFERROR(__xludf.DUMMYFUNCTION("""COMPUTED_VALUE"""),FALSE)</f>
        <v>0</v>
      </c>
      <c r="E798" s="20" t="str">
        <f>IFERROR(__xludf.DUMMYFUNCTION("""COMPUTED_VALUE"""),"Medium")</f>
        <v>Medium</v>
      </c>
      <c r="F798" s="20">
        <f>IFERROR(__xludf.DUMMYFUNCTION("""COMPUTED_VALUE"""),5361.0)</f>
        <v>5361</v>
      </c>
      <c r="G798" s="20">
        <f>IFERROR(__xludf.DUMMYFUNCTION("""COMPUTED_VALUE"""),127.0)</f>
        <v>127</v>
      </c>
      <c r="H798" s="20" t="str">
        <f>IFERROR(__xludf.DUMMYFUNCTION("""COMPUTED_VALUE"""),"Algorithms")</f>
        <v>Algorithms</v>
      </c>
      <c r="I798" s="20">
        <f>IFERROR(__xludf.DUMMYFUNCTION("""COMPUTED_VALUE"""),0.815)</f>
        <v>0.815</v>
      </c>
      <c r="J798" s="20">
        <f>IFERROR(__xludf.DUMMYFUNCTION("""COMPUTED_VALUE"""),797.0)</f>
        <v>797</v>
      </c>
      <c r="K798" s="20" t="b">
        <f>IFERROR(__xludf.DUMMYFUNCTION("""COMPUTED_VALUE"""),FALSE)</f>
        <v>0</v>
      </c>
      <c r="L798" s="20" t="str">
        <f>IFERROR(__xludf.DUMMYFUNCTION("""COMPUTED_VALUE"""),"Backtracking;Depth-First Search;Breadth-First Search;Graph;")</f>
        <v>Backtracking;Depth-First Search;Breadth-First Search;Graph;</v>
      </c>
      <c r="M798" s="20" t="b">
        <f>IFERROR(__xludf.DUMMYFUNCTION("""COMPUTED_VALUE"""),TRUE)</f>
        <v>1</v>
      </c>
      <c r="N798" s="20" t="b">
        <f>IFERROR(__xludf.DUMMYFUNCTION("""COMPUTED_VALUE"""),FALSE)</f>
        <v>0</v>
      </c>
      <c r="O798" s="20">
        <f>IFERROR(__xludf.DUMMYFUNCTION("""COMPUTED_VALUE"""),81.5456764021187)</f>
        <v>81.5456764</v>
      </c>
      <c r="P798" s="20">
        <f>IFERROR(__xludf.DUMMYFUNCTION("""COMPUTED_VALUE"""),362547.0)</f>
        <v>362547</v>
      </c>
      <c r="Q798" s="20">
        <f>IFERROR(__xludf.DUMMYFUNCTION("""COMPUTED_VALUE"""),444593.0)</f>
        <v>444593</v>
      </c>
    </row>
    <row r="799">
      <c r="A799" s="20">
        <f>IFERROR(__xludf.DUMMYFUNCTION("""COMPUTED_VALUE"""),814.0)</f>
        <v>814</v>
      </c>
      <c r="B799" s="20" t="str">
        <f>IFERROR(__xludf.DUMMYFUNCTION("""COMPUTED_VALUE"""),"Smallest Rotation with Highest Score")</f>
        <v>Smallest Rotation with Highest Score</v>
      </c>
      <c r="C799" s="20" t="str">
        <f>IFERROR(__xludf.DUMMYFUNCTION("""COMPUTED_VALUE"""),"smallest-rotation-with-highest-score")</f>
        <v>smallest-rotation-with-highest-score</v>
      </c>
      <c r="D799" s="20" t="b">
        <f>IFERROR(__xludf.DUMMYFUNCTION("""COMPUTED_VALUE"""),FALSE)</f>
        <v>0</v>
      </c>
      <c r="E799" s="20" t="str">
        <f>IFERROR(__xludf.DUMMYFUNCTION("""COMPUTED_VALUE"""),"Hard")</f>
        <v>Hard</v>
      </c>
      <c r="F799" s="20">
        <f>IFERROR(__xludf.DUMMYFUNCTION("""COMPUTED_VALUE"""),448.0)</f>
        <v>448</v>
      </c>
      <c r="G799" s="20">
        <f>IFERROR(__xludf.DUMMYFUNCTION("""COMPUTED_VALUE"""),34.0)</f>
        <v>34</v>
      </c>
      <c r="H799" s="20" t="str">
        <f>IFERROR(__xludf.DUMMYFUNCTION("""COMPUTED_VALUE"""),"Algorithms")</f>
        <v>Algorithms</v>
      </c>
      <c r="I799" s="20">
        <f>IFERROR(__xludf.DUMMYFUNCTION("""COMPUTED_VALUE"""),0.5)</f>
        <v>0.5</v>
      </c>
      <c r="J799" s="20">
        <f>IFERROR(__xludf.DUMMYFUNCTION("""COMPUTED_VALUE"""),798.0)</f>
        <v>798</v>
      </c>
      <c r="K799" s="20" t="b">
        <f>IFERROR(__xludf.DUMMYFUNCTION("""COMPUTED_VALUE"""),FALSE)</f>
        <v>0</v>
      </c>
      <c r="L799" s="20" t="str">
        <f>IFERROR(__xludf.DUMMYFUNCTION("""COMPUTED_VALUE"""),"Array;Prefix Sum;")</f>
        <v>Array;Prefix Sum;</v>
      </c>
      <c r="M799" s="20" t="b">
        <f>IFERROR(__xludf.DUMMYFUNCTION("""COMPUTED_VALUE"""),TRUE)</f>
        <v>1</v>
      </c>
      <c r="N799" s="20" t="b">
        <f>IFERROR(__xludf.DUMMYFUNCTION("""COMPUTED_VALUE"""),FALSE)</f>
        <v>0</v>
      </c>
      <c r="O799" s="20">
        <f>IFERROR(__xludf.DUMMYFUNCTION("""COMPUTED_VALUE"""),50.0022284619155)</f>
        <v>50.00222846</v>
      </c>
      <c r="P799" s="20">
        <f>IFERROR(__xludf.DUMMYFUNCTION("""COMPUTED_VALUE"""),11219.0)</f>
        <v>11219</v>
      </c>
      <c r="Q799" s="20">
        <f>IFERROR(__xludf.DUMMYFUNCTION("""COMPUTED_VALUE"""),22437.0)</f>
        <v>22437</v>
      </c>
    </row>
    <row r="800">
      <c r="A800" s="20">
        <f>IFERROR(__xludf.DUMMYFUNCTION("""COMPUTED_VALUE"""),815.0)</f>
        <v>815</v>
      </c>
      <c r="B800" s="20" t="str">
        <f>IFERROR(__xludf.DUMMYFUNCTION("""COMPUTED_VALUE"""),"Champagne Tower")</f>
        <v>Champagne Tower</v>
      </c>
      <c r="C800" s="20" t="str">
        <f>IFERROR(__xludf.DUMMYFUNCTION("""COMPUTED_VALUE"""),"champagne-tower")</f>
        <v>champagne-tower</v>
      </c>
      <c r="D800" s="20" t="b">
        <f>IFERROR(__xludf.DUMMYFUNCTION("""COMPUTED_VALUE"""),FALSE)</f>
        <v>0</v>
      </c>
      <c r="E800" s="20" t="str">
        <f>IFERROR(__xludf.DUMMYFUNCTION("""COMPUTED_VALUE"""),"Medium")</f>
        <v>Medium</v>
      </c>
      <c r="F800" s="20">
        <f>IFERROR(__xludf.DUMMYFUNCTION("""COMPUTED_VALUE"""),2522.0)</f>
        <v>2522</v>
      </c>
      <c r="G800" s="20">
        <f>IFERROR(__xludf.DUMMYFUNCTION("""COMPUTED_VALUE"""),137.0)</f>
        <v>137</v>
      </c>
      <c r="H800" s="20" t="str">
        <f>IFERROR(__xludf.DUMMYFUNCTION("""COMPUTED_VALUE"""),"Algorithms")</f>
        <v>Algorithms</v>
      </c>
      <c r="I800" s="20">
        <f>IFERROR(__xludf.DUMMYFUNCTION("""COMPUTED_VALUE"""),0.513)</f>
        <v>0.513</v>
      </c>
      <c r="J800" s="20">
        <f>IFERROR(__xludf.DUMMYFUNCTION("""COMPUTED_VALUE"""),799.0)</f>
        <v>799</v>
      </c>
      <c r="K800" s="20" t="b">
        <f>IFERROR(__xludf.DUMMYFUNCTION("""COMPUTED_VALUE"""),FALSE)</f>
        <v>0</v>
      </c>
      <c r="L800" s="20" t="str">
        <f>IFERROR(__xludf.DUMMYFUNCTION("""COMPUTED_VALUE"""),"Dynamic Programming;")</f>
        <v>Dynamic Programming;</v>
      </c>
      <c r="M800" s="20" t="b">
        <f>IFERROR(__xludf.DUMMYFUNCTION("""COMPUTED_VALUE"""),TRUE)</f>
        <v>1</v>
      </c>
      <c r="N800" s="20" t="b">
        <f>IFERROR(__xludf.DUMMYFUNCTION("""COMPUTED_VALUE"""),FALSE)</f>
        <v>0</v>
      </c>
      <c r="O800" s="20">
        <f>IFERROR(__xludf.DUMMYFUNCTION("""COMPUTED_VALUE"""),51.3051747069572)</f>
        <v>51.30517471</v>
      </c>
      <c r="P800" s="20">
        <f>IFERROR(__xludf.DUMMYFUNCTION("""COMPUTED_VALUE"""),82548.0)</f>
        <v>82548</v>
      </c>
      <c r="Q800" s="20">
        <f>IFERROR(__xludf.DUMMYFUNCTION("""COMPUTED_VALUE"""),160897.0)</f>
        <v>160897</v>
      </c>
    </row>
    <row r="801">
      <c r="A801" s="20">
        <f>IFERROR(__xludf.DUMMYFUNCTION("""COMPUTED_VALUE"""),818.0)</f>
        <v>818</v>
      </c>
      <c r="B801" s="20" t="str">
        <f>IFERROR(__xludf.DUMMYFUNCTION("""COMPUTED_VALUE"""),"Similar RGB Color")</f>
        <v>Similar RGB Color</v>
      </c>
      <c r="C801" s="20" t="str">
        <f>IFERROR(__xludf.DUMMYFUNCTION("""COMPUTED_VALUE"""),"similar-rgb-color")</f>
        <v>similar-rgb-color</v>
      </c>
      <c r="D801" s="20" t="b">
        <f>IFERROR(__xludf.DUMMYFUNCTION("""COMPUTED_VALUE"""),TRUE)</f>
        <v>1</v>
      </c>
      <c r="E801" s="20" t="str">
        <f>IFERROR(__xludf.DUMMYFUNCTION("""COMPUTED_VALUE"""),"Easy")</f>
        <v>Easy</v>
      </c>
      <c r="F801" s="20">
        <f>IFERROR(__xludf.DUMMYFUNCTION("""COMPUTED_VALUE"""),101.0)</f>
        <v>101</v>
      </c>
      <c r="G801" s="20">
        <f>IFERROR(__xludf.DUMMYFUNCTION("""COMPUTED_VALUE"""),651.0)</f>
        <v>651</v>
      </c>
      <c r="H801" s="20" t="str">
        <f>IFERROR(__xludf.DUMMYFUNCTION("""COMPUTED_VALUE"""),"Algorithms")</f>
        <v>Algorithms</v>
      </c>
      <c r="I801" s="20">
        <f>IFERROR(__xludf.DUMMYFUNCTION("""COMPUTED_VALUE"""),0.67)</f>
        <v>0.67</v>
      </c>
      <c r="J801" s="20">
        <f>IFERROR(__xludf.DUMMYFUNCTION("""COMPUTED_VALUE"""),800.0)</f>
        <v>800</v>
      </c>
      <c r="K801" s="20" t="b">
        <f>IFERROR(__xludf.DUMMYFUNCTION("""COMPUTED_VALUE"""),TRUE)</f>
        <v>1</v>
      </c>
      <c r="L801" s="20" t="str">
        <f>IFERROR(__xludf.DUMMYFUNCTION("""COMPUTED_VALUE"""),"Math;String;Enumeration;")</f>
        <v>Math;String;Enumeration;</v>
      </c>
      <c r="M801" s="20" t="b">
        <f>IFERROR(__xludf.DUMMYFUNCTION("""COMPUTED_VALUE"""),TRUE)</f>
        <v>1</v>
      </c>
      <c r="N801" s="20" t="b">
        <f>IFERROR(__xludf.DUMMYFUNCTION("""COMPUTED_VALUE"""),FALSE)</f>
        <v>0</v>
      </c>
      <c r="O801" s="20">
        <f>IFERROR(__xludf.DUMMYFUNCTION("""COMPUTED_VALUE"""),66.9852266087972)</f>
        <v>66.98522661</v>
      </c>
      <c r="P801" s="20">
        <f>IFERROR(__xludf.DUMMYFUNCTION("""COMPUTED_VALUE"""),16051.0)</f>
        <v>16051</v>
      </c>
      <c r="Q801" s="20">
        <f>IFERROR(__xludf.DUMMYFUNCTION("""COMPUTED_VALUE"""),23962.0)</f>
        <v>23962</v>
      </c>
    </row>
    <row r="802">
      <c r="A802" s="20">
        <f>IFERROR(__xludf.DUMMYFUNCTION("""COMPUTED_VALUE"""),819.0)</f>
        <v>819</v>
      </c>
      <c r="B802" s="20" t="str">
        <f>IFERROR(__xludf.DUMMYFUNCTION("""COMPUTED_VALUE"""),"Minimum Swaps To Make Sequences Increasing")</f>
        <v>Minimum Swaps To Make Sequences Increasing</v>
      </c>
      <c r="C802" s="20" t="str">
        <f>IFERROR(__xludf.DUMMYFUNCTION("""COMPUTED_VALUE"""),"minimum-swaps-to-make-sequences-increasing")</f>
        <v>minimum-swaps-to-make-sequences-increasing</v>
      </c>
      <c r="D802" s="20" t="b">
        <f>IFERROR(__xludf.DUMMYFUNCTION("""COMPUTED_VALUE"""),FALSE)</f>
        <v>0</v>
      </c>
      <c r="E802" s="20" t="str">
        <f>IFERROR(__xludf.DUMMYFUNCTION("""COMPUTED_VALUE"""),"Hard")</f>
        <v>Hard</v>
      </c>
      <c r="F802" s="20">
        <f>IFERROR(__xludf.DUMMYFUNCTION("""COMPUTED_VALUE"""),2366.0)</f>
        <v>2366</v>
      </c>
      <c r="G802" s="20">
        <f>IFERROR(__xludf.DUMMYFUNCTION("""COMPUTED_VALUE"""),130.0)</f>
        <v>130</v>
      </c>
      <c r="H802" s="20" t="str">
        <f>IFERROR(__xludf.DUMMYFUNCTION("""COMPUTED_VALUE"""),"Algorithms")</f>
        <v>Algorithms</v>
      </c>
      <c r="I802" s="20">
        <f>IFERROR(__xludf.DUMMYFUNCTION("""COMPUTED_VALUE"""),0.392)</f>
        <v>0.392</v>
      </c>
      <c r="J802" s="20">
        <f>IFERROR(__xludf.DUMMYFUNCTION("""COMPUTED_VALUE"""),801.0)</f>
        <v>801</v>
      </c>
      <c r="K802" s="20" t="b">
        <f>IFERROR(__xludf.DUMMYFUNCTION("""COMPUTED_VALUE"""),FALSE)</f>
        <v>0</v>
      </c>
      <c r="L802" s="20" t="str">
        <f>IFERROR(__xludf.DUMMYFUNCTION("""COMPUTED_VALUE"""),"Array;Dynamic Programming;")</f>
        <v>Array;Dynamic Programming;</v>
      </c>
      <c r="M802" s="20" t="b">
        <f>IFERROR(__xludf.DUMMYFUNCTION("""COMPUTED_VALUE"""),FALSE)</f>
        <v>0</v>
      </c>
      <c r="N802" s="20" t="b">
        <f>IFERROR(__xludf.DUMMYFUNCTION("""COMPUTED_VALUE"""),FALSE)</f>
        <v>0</v>
      </c>
      <c r="O802" s="20">
        <f>IFERROR(__xludf.DUMMYFUNCTION("""COMPUTED_VALUE"""),39.2332176493271)</f>
        <v>39.23321765</v>
      </c>
      <c r="P802" s="20">
        <f>IFERROR(__xludf.DUMMYFUNCTION("""COMPUTED_VALUE"""),60028.0)</f>
        <v>60028</v>
      </c>
      <c r="Q802" s="20">
        <f>IFERROR(__xludf.DUMMYFUNCTION("""COMPUTED_VALUE"""),153003.0)</f>
        <v>153003</v>
      </c>
    </row>
    <row r="803">
      <c r="A803" s="20">
        <f>IFERROR(__xludf.DUMMYFUNCTION("""COMPUTED_VALUE"""),820.0)</f>
        <v>820</v>
      </c>
      <c r="B803" s="20" t="str">
        <f>IFERROR(__xludf.DUMMYFUNCTION("""COMPUTED_VALUE"""),"Find Eventual Safe States")</f>
        <v>Find Eventual Safe States</v>
      </c>
      <c r="C803" s="20" t="str">
        <f>IFERROR(__xludf.DUMMYFUNCTION("""COMPUTED_VALUE"""),"find-eventual-safe-states")</f>
        <v>find-eventual-safe-states</v>
      </c>
      <c r="D803" s="20" t="b">
        <f>IFERROR(__xludf.DUMMYFUNCTION("""COMPUTED_VALUE"""),FALSE)</f>
        <v>0</v>
      </c>
      <c r="E803" s="20" t="str">
        <f>IFERROR(__xludf.DUMMYFUNCTION("""COMPUTED_VALUE"""),"Medium")</f>
        <v>Medium</v>
      </c>
      <c r="F803" s="20">
        <f>IFERROR(__xludf.DUMMYFUNCTION("""COMPUTED_VALUE"""),3165.0)</f>
        <v>3165</v>
      </c>
      <c r="G803" s="20">
        <f>IFERROR(__xludf.DUMMYFUNCTION("""COMPUTED_VALUE"""),348.0)</f>
        <v>348</v>
      </c>
      <c r="H803" s="20" t="str">
        <f>IFERROR(__xludf.DUMMYFUNCTION("""COMPUTED_VALUE"""),"Algorithms")</f>
        <v>Algorithms</v>
      </c>
      <c r="I803" s="20">
        <f>IFERROR(__xludf.DUMMYFUNCTION("""COMPUTED_VALUE"""),0.556)</f>
        <v>0.556</v>
      </c>
      <c r="J803" s="20">
        <f>IFERROR(__xludf.DUMMYFUNCTION("""COMPUTED_VALUE"""),802.0)</f>
        <v>802</v>
      </c>
      <c r="K803" s="20" t="b">
        <f>IFERROR(__xludf.DUMMYFUNCTION("""COMPUTED_VALUE"""),FALSE)</f>
        <v>0</v>
      </c>
      <c r="L803" s="20" t="str">
        <f>IFERROR(__xludf.DUMMYFUNCTION("""COMPUTED_VALUE"""),"Depth-First Search;Breadth-First Search;Graph;Topological Sort;")</f>
        <v>Depth-First Search;Breadth-First Search;Graph;Topological Sort;</v>
      </c>
      <c r="M803" s="20" t="b">
        <f>IFERROR(__xludf.DUMMYFUNCTION("""COMPUTED_VALUE"""),TRUE)</f>
        <v>1</v>
      </c>
      <c r="N803" s="20" t="b">
        <f>IFERROR(__xludf.DUMMYFUNCTION("""COMPUTED_VALUE"""),FALSE)</f>
        <v>0</v>
      </c>
      <c r="O803" s="20">
        <f>IFERROR(__xludf.DUMMYFUNCTION("""COMPUTED_VALUE"""),55.5949659086269)</f>
        <v>55.59496591</v>
      </c>
      <c r="P803" s="20">
        <f>IFERROR(__xludf.DUMMYFUNCTION("""COMPUTED_VALUE"""),108933.0)</f>
        <v>108933</v>
      </c>
      <c r="Q803" s="20">
        <f>IFERROR(__xludf.DUMMYFUNCTION("""COMPUTED_VALUE"""),195940.0)</f>
        <v>195940</v>
      </c>
    </row>
    <row r="804">
      <c r="A804" s="20">
        <f>IFERROR(__xludf.DUMMYFUNCTION("""COMPUTED_VALUE"""),821.0)</f>
        <v>821</v>
      </c>
      <c r="B804" s="20" t="str">
        <f>IFERROR(__xludf.DUMMYFUNCTION("""COMPUTED_VALUE"""),"Bricks Falling When Hit")</f>
        <v>Bricks Falling When Hit</v>
      </c>
      <c r="C804" s="20" t="str">
        <f>IFERROR(__xludf.DUMMYFUNCTION("""COMPUTED_VALUE"""),"bricks-falling-when-hit")</f>
        <v>bricks-falling-when-hit</v>
      </c>
      <c r="D804" s="20" t="b">
        <f>IFERROR(__xludf.DUMMYFUNCTION("""COMPUTED_VALUE"""),FALSE)</f>
        <v>0</v>
      </c>
      <c r="E804" s="20" t="str">
        <f>IFERROR(__xludf.DUMMYFUNCTION("""COMPUTED_VALUE"""),"Hard")</f>
        <v>Hard</v>
      </c>
      <c r="F804" s="20">
        <f>IFERROR(__xludf.DUMMYFUNCTION("""COMPUTED_VALUE"""),944.0)</f>
        <v>944</v>
      </c>
      <c r="G804" s="20">
        <f>IFERROR(__xludf.DUMMYFUNCTION("""COMPUTED_VALUE"""),178.0)</f>
        <v>178</v>
      </c>
      <c r="H804" s="20" t="str">
        <f>IFERROR(__xludf.DUMMYFUNCTION("""COMPUTED_VALUE"""),"Algorithms")</f>
        <v>Algorithms</v>
      </c>
      <c r="I804" s="20">
        <f>IFERROR(__xludf.DUMMYFUNCTION("""COMPUTED_VALUE"""),0.343)</f>
        <v>0.343</v>
      </c>
      <c r="J804" s="20">
        <f>IFERROR(__xludf.DUMMYFUNCTION("""COMPUTED_VALUE"""),803.0)</f>
        <v>803</v>
      </c>
      <c r="K804" s="20" t="b">
        <f>IFERROR(__xludf.DUMMYFUNCTION("""COMPUTED_VALUE"""),FALSE)</f>
        <v>0</v>
      </c>
      <c r="L804" s="20" t="str">
        <f>IFERROR(__xludf.DUMMYFUNCTION("""COMPUTED_VALUE"""),"Array;Union Find;Matrix;")</f>
        <v>Array;Union Find;Matrix;</v>
      </c>
      <c r="M804" s="20" t="b">
        <f>IFERROR(__xludf.DUMMYFUNCTION("""COMPUTED_VALUE"""),TRUE)</f>
        <v>1</v>
      </c>
      <c r="N804" s="20" t="b">
        <f>IFERROR(__xludf.DUMMYFUNCTION("""COMPUTED_VALUE"""),FALSE)</f>
        <v>0</v>
      </c>
      <c r="O804" s="20">
        <f>IFERROR(__xludf.DUMMYFUNCTION("""COMPUTED_VALUE"""),34.2853900279942)</f>
        <v>34.28539003</v>
      </c>
      <c r="P804" s="20">
        <f>IFERROR(__xludf.DUMMYFUNCTION("""COMPUTED_VALUE"""),27189.0)</f>
        <v>27189</v>
      </c>
      <c r="Q804" s="20">
        <f>IFERROR(__xludf.DUMMYFUNCTION("""COMPUTED_VALUE"""),79302.0)</f>
        <v>79302</v>
      </c>
    </row>
    <row r="805">
      <c r="A805" s="20">
        <f>IFERROR(__xludf.DUMMYFUNCTION("""COMPUTED_VALUE"""),822.0)</f>
        <v>822</v>
      </c>
      <c r="B805" s="20" t="str">
        <f>IFERROR(__xludf.DUMMYFUNCTION("""COMPUTED_VALUE"""),"Unique Morse Code Words")</f>
        <v>Unique Morse Code Words</v>
      </c>
      <c r="C805" s="20" t="str">
        <f>IFERROR(__xludf.DUMMYFUNCTION("""COMPUTED_VALUE"""),"unique-morse-code-words")</f>
        <v>unique-morse-code-words</v>
      </c>
      <c r="D805" s="20" t="b">
        <f>IFERROR(__xludf.DUMMYFUNCTION("""COMPUTED_VALUE"""),FALSE)</f>
        <v>0</v>
      </c>
      <c r="E805" s="20" t="str">
        <f>IFERROR(__xludf.DUMMYFUNCTION("""COMPUTED_VALUE"""),"Easy")</f>
        <v>Easy</v>
      </c>
      <c r="F805" s="20">
        <f>IFERROR(__xludf.DUMMYFUNCTION("""COMPUTED_VALUE"""),2154.0)</f>
        <v>2154</v>
      </c>
      <c r="G805" s="20">
        <f>IFERROR(__xludf.DUMMYFUNCTION("""COMPUTED_VALUE"""),1417.0)</f>
        <v>1417</v>
      </c>
      <c r="H805" s="20" t="str">
        <f>IFERROR(__xludf.DUMMYFUNCTION("""COMPUTED_VALUE"""),"Algorithms")</f>
        <v>Algorithms</v>
      </c>
      <c r="I805" s="20">
        <f>IFERROR(__xludf.DUMMYFUNCTION("""COMPUTED_VALUE"""),0.827)</f>
        <v>0.827</v>
      </c>
      <c r="J805" s="20">
        <f>IFERROR(__xludf.DUMMYFUNCTION("""COMPUTED_VALUE"""),804.0)</f>
        <v>804</v>
      </c>
      <c r="K805" s="20" t="b">
        <f>IFERROR(__xludf.DUMMYFUNCTION("""COMPUTED_VALUE"""),FALSE)</f>
        <v>0</v>
      </c>
      <c r="L805" s="20" t="str">
        <f>IFERROR(__xludf.DUMMYFUNCTION("""COMPUTED_VALUE"""),"Array;Hash Table;String;")</f>
        <v>Array;Hash Table;String;</v>
      </c>
      <c r="M805" s="20" t="b">
        <f>IFERROR(__xludf.DUMMYFUNCTION("""COMPUTED_VALUE"""),TRUE)</f>
        <v>1</v>
      </c>
      <c r="N805" s="20" t="b">
        <f>IFERROR(__xludf.DUMMYFUNCTION("""COMPUTED_VALUE"""),FALSE)</f>
        <v>0</v>
      </c>
      <c r="O805" s="20">
        <f>IFERROR(__xludf.DUMMYFUNCTION("""COMPUTED_VALUE"""),82.6960158196602)</f>
        <v>82.69601582</v>
      </c>
      <c r="P805" s="20">
        <f>IFERROR(__xludf.DUMMYFUNCTION("""COMPUTED_VALUE"""),302352.0)</f>
        <v>302352</v>
      </c>
      <c r="Q805" s="20">
        <f>IFERROR(__xludf.DUMMYFUNCTION("""COMPUTED_VALUE"""),365619.0)</f>
        <v>365619</v>
      </c>
    </row>
    <row r="806">
      <c r="A806" s="20">
        <f>IFERROR(__xludf.DUMMYFUNCTION("""COMPUTED_VALUE"""),823.0)</f>
        <v>823</v>
      </c>
      <c r="B806" s="20" t="str">
        <f>IFERROR(__xludf.DUMMYFUNCTION("""COMPUTED_VALUE"""),"Split Array With Same Average")</f>
        <v>Split Array With Same Average</v>
      </c>
      <c r="C806" s="20" t="str">
        <f>IFERROR(__xludf.DUMMYFUNCTION("""COMPUTED_VALUE"""),"split-array-with-same-average")</f>
        <v>split-array-with-same-average</v>
      </c>
      <c r="D806" s="20" t="b">
        <f>IFERROR(__xludf.DUMMYFUNCTION("""COMPUTED_VALUE"""),FALSE)</f>
        <v>0</v>
      </c>
      <c r="E806" s="20" t="str">
        <f>IFERROR(__xludf.DUMMYFUNCTION("""COMPUTED_VALUE"""),"Hard")</f>
        <v>Hard</v>
      </c>
      <c r="F806" s="20">
        <f>IFERROR(__xludf.DUMMYFUNCTION("""COMPUTED_VALUE"""),1041.0)</f>
        <v>1041</v>
      </c>
      <c r="G806" s="20">
        <f>IFERROR(__xludf.DUMMYFUNCTION("""COMPUTED_VALUE"""),126.0)</f>
        <v>126</v>
      </c>
      <c r="H806" s="20" t="str">
        <f>IFERROR(__xludf.DUMMYFUNCTION("""COMPUTED_VALUE"""),"Algorithms")</f>
        <v>Algorithms</v>
      </c>
      <c r="I806" s="20">
        <f>IFERROR(__xludf.DUMMYFUNCTION("""COMPUTED_VALUE"""),0.258)</f>
        <v>0.258</v>
      </c>
      <c r="J806" s="20">
        <f>IFERROR(__xludf.DUMMYFUNCTION("""COMPUTED_VALUE"""),805.0)</f>
        <v>805</v>
      </c>
      <c r="K806" s="20" t="b">
        <f>IFERROR(__xludf.DUMMYFUNCTION("""COMPUTED_VALUE"""),FALSE)</f>
        <v>0</v>
      </c>
      <c r="L806" s="20" t="str">
        <f>IFERROR(__xludf.DUMMYFUNCTION("""COMPUTED_VALUE"""),"Array;Math;Dynamic Programming;Bit Manipulation;Bitmask;")</f>
        <v>Array;Math;Dynamic Programming;Bit Manipulation;Bitmask;</v>
      </c>
      <c r="M806" s="20" t="b">
        <f>IFERROR(__xludf.DUMMYFUNCTION("""COMPUTED_VALUE"""),FALSE)</f>
        <v>0</v>
      </c>
      <c r="N806" s="20" t="b">
        <f>IFERROR(__xludf.DUMMYFUNCTION("""COMPUTED_VALUE"""),FALSE)</f>
        <v>0</v>
      </c>
      <c r="O806" s="20">
        <f>IFERROR(__xludf.DUMMYFUNCTION("""COMPUTED_VALUE"""),25.7940310160048)</f>
        <v>25.79403102</v>
      </c>
      <c r="P806" s="20">
        <f>IFERROR(__xludf.DUMMYFUNCTION("""COMPUTED_VALUE"""),29074.0)</f>
        <v>29074</v>
      </c>
      <c r="Q806" s="20">
        <f>IFERROR(__xludf.DUMMYFUNCTION("""COMPUTED_VALUE"""),112716.0)</f>
        <v>112716</v>
      </c>
    </row>
    <row r="807">
      <c r="A807" s="20">
        <f>IFERROR(__xludf.DUMMYFUNCTION("""COMPUTED_VALUE"""),824.0)</f>
        <v>824</v>
      </c>
      <c r="B807" s="20" t="str">
        <f>IFERROR(__xludf.DUMMYFUNCTION("""COMPUTED_VALUE"""),"Number of Lines To Write String")</f>
        <v>Number of Lines To Write String</v>
      </c>
      <c r="C807" s="20" t="str">
        <f>IFERROR(__xludf.DUMMYFUNCTION("""COMPUTED_VALUE"""),"number-of-lines-to-write-string")</f>
        <v>number-of-lines-to-write-string</v>
      </c>
      <c r="D807" s="20" t="b">
        <f>IFERROR(__xludf.DUMMYFUNCTION("""COMPUTED_VALUE"""),FALSE)</f>
        <v>0</v>
      </c>
      <c r="E807" s="20" t="str">
        <f>IFERROR(__xludf.DUMMYFUNCTION("""COMPUTED_VALUE"""),"Easy")</f>
        <v>Easy</v>
      </c>
      <c r="F807" s="20">
        <f>IFERROR(__xludf.DUMMYFUNCTION("""COMPUTED_VALUE"""),462.0)</f>
        <v>462</v>
      </c>
      <c r="G807" s="20">
        <f>IFERROR(__xludf.DUMMYFUNCTION("""COMPUTED_VALUE"""),1196.0)</f>
        <v>1196</v>
      </c>
      <c r="H807" s="20" t="str">
        <f>IFERROR(__xludf.DUMMYFUNCTION("""COMPUTED_VALUE"""),"Algorithms")</f>
        <v>Algorithms</v>
      </c>
      <c r="I807" s="20">
        <f>IFERROR(__xludf.DUMMYFUNCTION("""COMPUTED_VALUE"""),0.663)</f>
        <v>0.663</v>
      </c>
      <c r="J807" s="20">
        <f>IFERROR(__xludf.DUMMYFUNCTION("""COMPUTED_VALUE"""),806.0)</f>
        <v>806</v>
      </c>
      <c r="K807" s="20" t="b">
        <f>IFERROR(__xludf.DUMMYFUNCTION("""COMPUTED_VALUE"""),FALSE)</f>
        <v>0</v>
      </c>
      <c r="L807" s="20" t="str">
        <f>IFERROR(__xludf.DUMMYFUNCTION("""COMPUTED_VALUE"""),"Array;String;")</f>
        <v>Array;String;</v>
      </c>
      <c r="M807" s="20" t="b">
        <f>IFERROR(__xludf.DUMMYFUNCTION("""COMPUTED_VALUE"""),TRUE)</f>
        <v>1</v>
      </c>
      <c r="N807" s="20" t="b">
        <f>IFERROR(__xludf.DUMMYFUNCTION("""COMPUTED_VALUE"""),FALSE)</f>
        <v>0</v>
      </c>
      <c r="O807" s="20">
        <f>IFERROR(__xludf.DUMMYFUNCTION("""COMPUTED_VALUE"""),66.2738635994059)</f>
        <v>66.2738636</v>
      </c>
      <c r="P807" s="20">
        <f>IFERROR(__xludf.DUMMYFUNCTION("""COMPUTED_VALUE"""),61133.0)</f>
        <v>61133</v>
      </c>
      <c r="Q807" s="20">
        <f>IFERROR(__xludf.DUMMYFUNCTION("""COMPUTED_VALUE"""),92243.0)</f>
        <v>92243</v>
      </c>
    </row>
    <row r="808">
      <c r="A808" s="20">
        <f>IFERROR(__xludf.DUMMYFUNCTION("""COMPUTED_VALUE"""),825.0)</f>
        <v>825</v>
      </c>
      <c r="B808" s="20" t="str">
        <f>IFERROR(__xludf.DUMMYFUNCTION("""COMPUTED_VALUE"""),"Max Increase to Keep City Skyline")</f>
        <v>Max Increase to Keep City Skyline</v>
      </c>
      <c r="C808" s="20" t="str">
        <f>IFERROR(__xludf.DUMMYFUNCTION("""COMPUTED_VALUE"""),"max-increase-to-keep-city-skyline")</f>
        <v>max-increase-to-keep-city-skyline</v>
      </c>
      <c r="D808" s="20" t="b">
        <f>IFERROR(__xludf.DUMMYFUNCTION("""COMPUTED_VALUE"""),FALSE)</f>
        <v>0</v>
      </c>
      <c r="E808" s="20" t="str">
        <f>IFERROR(__xludf.DUMMYFUNCTION("""COMPUTED_VALUE"""),"Medium")</f>
        <v>Medium</v>
      </c>
      <c r="F808" s="20">
        <f>IFERROR(__xludf.DUMMYFUNCTION("""COMPUTED_VALUE"""),2097.0)</f>
        <v>2097</v>
      </c>
      <c r="G808" s="20">
        <f>IFERROR(__xludf.DUMMYFUNCTION("""COMPUTED_VALUE"""),462.0)</f>
        <v>462</v>
      </c>
      <c r="H808" s="20" t="str">
        <f>IFERROR(__xludf.DUMMYFUNCTION("""COMPUTED_VALUE"""),"Algorithms")</f>
        <v>Algorithms</v>
      </c>
      <c r="I808" s="20">
        <f>IFERROR(__xludf.DUMMYFUNCTION("""COMPUTED_VALUE"""),0.86)</f>
        <v>0.86</v>
      </c>
      <c r="J808" s="20">
        <f>IFERROR(__xludf.DUMMYFUNCTION("""COMPUTED_VALUE"""),807.0)</f>
        <v>807</v>
      </c>
      <c r="K808" s="20" t="b">
        <f>IFERROR(__xludf.DUMMYFUNCTION("""COMPUTED_VALUE"""),FALSE)</f>
        <v>0</v>
      </c>
      <c r="L808" s="20" t="str">
        <f>IFERROR(__xludf.DUMMYFUNCTION("""COMPUTED_VALUE"""),"Array;Greedy;Matrix;")</f>
        <v>Array;Greedy;Matrix;</v>
      </c>
      <c r="M808" s="20" t="b">
        <f>IFERROR(__xludf.DUMMYFUNCTION("""COMPUTED_VALUE"""),TRUE)</f>
        <v>1</v>
      </c>
      <c r="N808" s="20" t="b">
        <f>IFERROR(__xludf.DUMMYFUNCTION("""COMPUTED_VALUE"""),FALSE)</f>
        <v>0</v>
      </c>
      <c r="O808" s="20">
        <f>IFERROR(__xludf.DUMMYFUNCTION("""COMPUTED_VALUE"""),85.9893536873047)</f>
        <v>85.98935369</v>
      </c>
      <c r="P808" s="20">
        <f>IFERROR(__xludf.DUMMYFUNCTION("""COMPUTED_VALUE"""),139245.0)</f>
        <v>139245</v>
      </c>
      <c r="Q808" s="20">
        <f>IFERROR(__xludf.DUMMYFUNCTION("""COMPUTED_VALUE"""),161933.0)</f>
        <v>161933</v>
      </c>
    </row>
    <row r="809">
      <c r="A809" s="20">
        <f>IFERROR(__xludf.DUMMYFUNCTION("""COMPUTED_VALUE"""),826.0)</f>
        <v>826</v>
      </c>
      <c r="B809" s="20" t="str">
        <f>IFERROR(__xludf.DUMMYFUNCTION("""COMPUTED_VALUE"""),"Soup Servings")</f>
        <v>Soup Servings</v>
      </c>
      <c r="C809" s="20" t="str">
        <f>IFERROR(__xludf.DUMMYFUNCTION("""COMPUTED_VALUE"""),"soup-servings")</f>
        <v>soup-servings</v>
      </c>
      <c r="D809" s="20" t="b">
        <f>IFERROR(__xludf.DUMMYFUNCTION("""COMPUTED_VALUE"""),FALSE)</f>
        <v>0</v>
      </c>
      <c r="E809" s="20" t="str">
        <f>IFERROR(__xludf.DUMMYFUNCTION("""COMPUTED_VALUE"""),"Medium")</f>
        <v>Medium</v>
      </c>
      <c r="F809" s="20">
        <f>IFERROR(__xludf.DUMMYFUNCTION("""COMPUTED_VALUE"""),304.0)</f>
        <v>304</v>
      </c>
      <c r="G809" s="20">
        <f>IFERROR(__xludf.DUMMYFUNCTION("""COMPUTED_VALUE"""),831.0)</f>
        <v>831</v>
      </c>
      <c r="H809" s="20" t="str">
        <f>IFERROR(__xludf.DUMMYFUNCTION("""COMPUTED_VALUE"""),"Algorithms")</f>
        <v>Algorithms</v>
      </c>
      <c r="I809" s="20">
        <f>IFERROR(__xludf.DUMMYFUNCTION("""COMPUTED_VALUE"""),0.434)</f>
        <v>0.434</v>
      </c>
      <c r="J809" s="20">
        <f>IFERROR(__xludf.DUMMYFUNCTION("""COMPUTED_VALUE"""),808.0)</f>
        <v>808</v>
      </c>
      <c r="K809" s="20" t="b">
        <f>IFERROR(__xludf.DUMMYFUNCTION("""COMPUTED_VALUE"""),FALSE)</f>
        <v>0</v>
      </c>
      <c r="L809" s="20" t="str">
        <f>IFERROR(__xludf.DUMMYFUNCTION("""COMPUTED_VALUE"""),"Math;Dynamic Programming;Probability and Statistics;")</f>
        <v>Math;Dynamic Programming;Probability and Statistics;</v>
      </c>
      <c r="M809" s="20" t="b">
        <f>IFERROR(__xludf.DUMMYFUNCTION("""COMPUTED_VALUE"""),FALSE)</f>
        <v>0</v>
      </c>
      <c r="N809" s="20" t="b">
        <f>IFERROR(__xludf.DUMMYFUNCTION("""COMPUTED_VALUE"""),FALSE)</f>
        <v>0</v>
      </c>
      <c r="O809" s="20">
        <f>IFERROR(__xludf.DUMMYFUNCTION("""COMPUTED_VALUE"""),43.3642213642213)</f>
        <v>43.36422136</v>
      </c>
      <c r="P809" s="20">
        <f>IFERROR(__xludf.DUMMYFUNCTION("""COMPUTED_VALUE"""),16847.0)</f>
        <v>16847</v>
      </c>
      <c r="Q809" s="20">
        <f>IFERROR(__xludf.DUMMYFUNCTION("""COMPUTED_VALUE"""),38850.0)</f>
        <v>38850</v>
      </c>
    </row>
    <row r="810">
      <c r="A810" s="20">
        <f>IFERROR(__xludf.DUMMYFUNCTION("""COMPUTED_VALUE"""),827.0)</f>
        <v>827</v>
      </c>
      <c r="B810" s="20" t="str">
        <f>IFERROR(__xludf.DUMMYFUNCTION("""COMPUTED_VALUE"""),"Expressive Words")</f>
        <v>Expressive Words</v>
      </c>
      <c r="C810" s="20" t="str">
        <f>IFERROR(__xludf.DUMMYFUNCTION("""COMPUTED_VALUE"""),"expressive-words")</f>
        <v>expressive-words</v>
      </c>
      <c r="D810" s="20" t="b">
        <f>IFERROR(__xludf.DUMMYFUNCTION("""COMPUTED_VALUE"""),FALSE)</f>
        <v>0</v>
      </c>
      <c r="E810" s="20" t="str">
        <f>IFERROR(__xludf.DUMMYFUNCTION("""COMPUTED_VALUE"""),"Medium")</f>
        <v>Medium</v>
      </c>
      <c r="F810" s="20">
        <f>IFERROR(__xludf.DUMMYFUNCTION("""COMPUTED_VALUE"""),775.0)</f>
        <v>775</v>
      </c>
      <c r="G810" s="20">
        <f>IFERROR(__xludf.DUMMYFUNCTION("""COMPUTED_VALUE"""),1768.0)</f>
        <v>1768</v>
      </c>
      <c r="H810" s="20" t="str">
        <f>IFERROR(__xludf.DUMMYFUNCTION("""COMPUTED_VALUE"""),"Algorithms")</f>
        <v>Algorithms</v>
      </c>
      <c r="I810" s="20">
        <f>IFERROR(__xludf.DUMMYFUNCTION("""COMPUTED_VALUE"""),0.463)</f>
        <v>0.463</v>
      </c>
      <c r="J810" s="20">
        <f>IFERROR(__xludf.DUMMYFUNCTION("""COMPUTED_VALUE"""),809.0)</f>
        <v>809</v>
      </c>
      <c r="K810" s="20" t="b">
        <f>IFERROR(__xludf.DUMMYFUNCTION("""COMPUTED_VALUE"""),FALSE)</f>
        <v>0</v>
      </c>
      <c r="L810" s="20" t="str">
        <f>IFERROR(__xludf.DUMMYFUNCTION("""COMPUTED_VALUE"""),"Array;Two Pointers;String;")</f>
        <v>Array;Two Pointers;String;</v>
      </c>
      <c r="M810" s="20" t="b">
        <f>IFERROR(__xludf.DUMMYFUNCTION("""COMPUTED_VALUE"""),FALSE)</f>
        <v>0</v>
      </c>
      <c r="N810" s="20" t="b">
        <f>IFERROR(__xludf.DUMMYFUNCTION("""COMPUTED_VALUE"""),FALSE)</f>
        <v>0</v>
      </c>
      <c r="O810" s="20">
        <f>IFERROR(__xludf.DUMMYFUNCTION("""COMPUTED_VALUE"""),46.2898258260375)</f>
        <v>46.28982583</v>
      </c>
      <c r="P810" s="20">
        <f>IFERROR(__xludf.DUMMYFUNCTION("""COMPUTED_VALUE"""),105058.0)</f>
        <v>105058</v>
      </c>
      <c r="Q810" s="20">
        <f>IFERROR(__xludf.DUMMYFUNCTION("""COMPUTED_VALUE"""),226957.0)</f>
        <v>226957</v>
      </c>
    </row>
    <row r="811">
      <c r="A811" s="20">
        <f>IFERROR(__xludf.DUMMYFUNCTION("""COMPUTED_VALUE"""),828.0)</f>
        <v>828</v>
      </c>
      <c r="B811" s="20" t="str">
        <f>IFERROR(__xludf.DUMMYFUNCTION("""COMPUTED_VALUE"""),"Chalkboard XOR Game")</f>
        <v>Chalkboard XOR Game</v>
      </c>
      <c r="C811" s="20" t="str">
        <f>IFERROR(__xludf.DUMMYFUNCTION("""COMPUTED_VALUE"""),"chalkboard-xor-game")</f>
        <v>chalkboard-xor-game</v>
      </c>
      <c r="D811" s="20" t="b">
        <f>IFERROR(__xludf.DUMMYFUNCTION("""COMPUTED_VALUE"""),FALSE)</f>
        <v>0</v>
      </c>
      <c r="E811" s="20" t="str">
        <f>IFERROR(__xludf.DUMMYFUNCTION("""COMPUTED_VALUE"""),"Hard")</f>
        <v>Hard</v>
      </c>
      <c r="F811" s="20">
        <f>IFERROR(__xludf.DUMMYFUNCTION("""COMPUTED_VALUE"""),166.0)</f>
        <v>166</v>
      </c>
      <c r="G811" s="20">
        <f>IFERROR(__xludf.DUMMYFUNCTION("""COMPUTED_VALUE"""),254.0)</f>
        <v>254</v>
      </c>
      <c r="H811" s="20" t="str">
        <f>IFERROR(__xludf.DUMMYFUNCTION("""COMPUTED_VALUE"""),"Algorithms")</f>
        <v>Algorithms</v>
      </c>
      <c r="I811" s="20">
        <f>IFERROR(__xludf.DUMMYFUNCTION("""COMPUTED_VALUE"""),0.556)</f>
        <v>0.556</v>
      </c>
      <c r="J811" s="20">
        <f>IFERROR(__xludf.DUMMYFUNCTION("""COMPUTED_VALUE"""),810.0)</f>
        <v>810</v>
      </c>
      <c r="K811" s="20" t="b">
        <f>IFERROR(__xludf.DUMMYFUNCTION("""COMPUTED_VALUE"""),FALSE)</f>
        <v>0</v>
      </c>
      <c r="L811" s="20" t="str">
        <f>IFERROR(__xludf.DUMMYFUNCTION("""COMPUTED_VALUE"""),"Array;Math;Bit Manipulation;Brainteaser;Game Theory;")</f>
        <v>Array;Math;Bit Manipulation;Brainteaser;Game Theory;</v>
      </c>
      <c r="M811" s="20" t="b">
        <f>IFERROR(__xludf.DUMMYFUNCTION("""COMPUTED_VALUE"""),TRUE)</f>
        <v>1</v>
      </c>
      <c r="N811" s="20" t="b">
        <f>IFERROR(__xludf.DUMMYFUNCTION("""COMPUTED_VALUE"""),FALSE)</f>
        <v>0</v>
      </c>
      <c r="O811" s="20">
        <f>IFERROR(__xludf.DUMMYFUNCTION("""COMPUTED_VALUE"""),55.5758150390197)</f>
        <v>55.57581504</v>
      </c>
      <c r="P811" s="20">
        <f>IFERROR(__xludf.DUMMYFUNCTION("""COMPUTED_VALUE"""),7620.0)</f>
        <v>7620</v>
      </c>
      <c r="Q811" s="20">
        <f>IFERROR(__xludf.DUMMYFUNCTION("""COMPUTED_VALUE"""),13711.0)</f>
        <v>13711</v>
      </c>
    </row>
    <row r="812">
      <c r="A812" s="20">
        <f>IFERROR(__xludf.DUMMYFUNCTION("""COMPUTED_VALUE"""),829.0)</f>
        <v>829</v>
      </c>
      <c r="B812" s="20" t="str">
        <f>IFERROR(__xludf.DUMMYFUNCTION("""COMPUTED_VALUE"""),"Subdomain Visit Count")</f>
        <v>Subdomain Visit Count</v>
      </c>
      <c r="C812" s="20" t="str">
        <f>IFERROR(__xludf.DUMMYFUNCTION("""COMPUTED_VALUE"""),"subdomain-visit-count")</f>
        <v>subdomain-visit-count</v>
      </c>
      <c r="D812" s="20" t="b">
        <f>IFERROR(__xludf.DUMMYFUNCTION("""COMPUTED_VALUE"""),FALSE)</f>
        <v>0</v>
      </c>
      <c r="E812" s="20" t="str">
        <f>IFERROR(__xludf.DUMMYFUNCTION("""COMPUTED_VALUE"""),"Medium")</f>
        <v>Medium</v>
      </c>
      <c r="F812" s="20">
        <f>IFERROR(__xludf.DUMMYFUNCTION("""COMPUTED_VALUE"""),1331.0)</f>
        <v>1331</v>
      </c>
      <c r="G812" s="20">
        <f>IFERROR(__xludf.DUMMYFUNCTION("""COMPUTED_VALUE"""),1231.0)</f>
        <v>1231</v>
      </c>
      <c r="H812" s="20" t="str">
        <f>IFERROR(__xludf.DUMMYFUNCTION("""COMPUTED_VALUE"""),"Algorithms")</f>
        <v>Algorithms</v>
      </c>
      <c r="I812" s="20">
        <f>IFERROR(__xludf.DUMMYFUNCTION("""COMPUTED_VALUE"""),0.753)</f>
        <v>0.753</v>
      </c>
      <c r="J812" s="20">
        <f>IFERROR(__xludf.DUMMYFUNCTION("""COMPUTED_VALUE"""),811.0)</f>
        <v>811</v>
      </c>
      <c r="K812" s="20" t="b">
        <f>IFERROR(__xludf.DUMMYFUNCTION("""COMPUTED_VALUE"""),FALSE)</f>
        <v>0</v>
      </c>
      <c r="L812" s="20" t="str">
        <f>IFERROR(__xludf.DUMMYFUNCTION("""COMPUTED_VALUE"""),"Array;Hash Table;String;Counting;")</f>
        <v>Array;Hash Table;String;Counting;</v>
      </c>
      <c r="M812" s="20" t="b">
        <f>IFERROR(__xludf.DUMMYFUNCTION("""COMPUTED_VALUE"""),TRUE)</f>
        <v>1</v>
      </c>
      <c r="N812" s="20" t="b">
        <f>IFERROR(__xludf.DUMMYFUNCTION("""COMPUTED_VALUE"""),FALSE)</f>
        <v>0</v>
      </c>
      <c r="O812" s="20">
        <f>IFERROR(__xludf.DUMMYFUNCTION("""COMPUTED_VALUE"""),75.2917706480969)</f>
        <v>75.29177065</v>
      </c>
      <c r="P812" s="20">
        <f>IFERROR(__xludf.DUMMYFUNCTION("""COMPUTED_VALUE"""),201535.0)</f>
        <v>201535</v>
      </c>
      <c r="Q812" s="20">
        <f>IFERROR(__xludf.DUMMYFUNCTION("""COMPUTED_VALUE"""),267673.0)</f>
        <v>267673</v>
      </c>
    </row>
    <row r="813">
      <c r="A813" s="20">
        <f>IFERROR(__xludf.DUMMYFUNCTION("""COMPUTED_VALUE"""),830.0)</f>
        <v>830</v>
      </c>
      <c r="B813" s="20" t="str">
        <f>IFERROR(__xludf.DUMMYFUNCTION("""COMPUTED_VALUE"""),"Largest Triangle Area")</f>
        <v>Largest Triangle Area</v>
      </c>
      <c r="C813" s="20" t="str">
        <f>IFERROR(__xludf.DUMMYFUNCTION("""COMPUTED_VALUE"""),"largest-triangle-area")</f>
        <v>largest-triangle-area</v>
      </c>
      <c r="D813" s="20" t="b">
        <f>IFERROR(__xludf.DUMMYFUNCTION("""COMPUTED_VALUE"""),FALSE)</f>
        <v>0</v>
      </c>
      <c r="E813" s="20" t="str">
        <f>IFERROR(__xludf.DUMMYFUNCTION("""COMPUTED_VALUE"""),"Easy")</f>
        <v>Easy</v>
      </c>
      <c r="F813" s="20">
        <f>IFERROR(__xludf.DUMMYFUNCTION("""COMPUTED_VALUE"""),442.0)</f>
        <v>442</v>
      </c>
      <c r="G813" s="20">
        <f>IFERROR(__xludf.DUMMYFUNCTION("""COMPUTED_VALUE"""),1472.0)</f>
        <v>1472</v>
      </c>
      <c r="H813" s="20" t="str">
        <f>IFERROR(__xludf.DUMMYFUNCTION("""COMPUTED_VALUE"""),"Algorithms")</f>
        <v>Algorithms</v>
      </c>
      <c r="I813" s="20">
        <f>IFERROR(__xludf.DUMMYFUNCTION("""COMPUTED_VALUE"""),0.6)</f>
        <v>0.6</v>
      </c>
      <c r="J813" s="20">
        <f>IFERROR(__xludf.DUMMYFUNCTION("""COMPUTED_VALUE"""),812.0)</f>
        <v>812</v>
      </c>
      <c r="K813" s="20" t="b">
        <f>IFERROR(__xludf.DUMMYFUNCTION("""COMPUTED_VALUE"""),FALSE)</f>
        <v>0</v>
      </c>
      <c r="L813" s="20" t="str">
        <f>IFERROR(__xludf.DUMMYFUNCTION("""COMPUTED_VALUE"""),"Array;Math;Geometry;")</f>
        <v>Array;Math;Geometry;</v>
      </c>
      <c r="M813" s="20" t="b">
        <f>IFERROR(__xludf.DUMMYFUNCTION("""COMPUTED_VALUE"""),FALSE)</f>
        <v>0</v>
      </c>
      <c r="N813" s="20" t="b">
        <f>IFERROR(__xludf.DUMMYFUNCTION("""COMPUTED_VALUE"""),FALSE)</f>
        <v>0</v>
      </c>
      <c r="O813" s="20">
        <f>IFERROR(__xludf.DUMMYFUNCTION("""COMPUTED_VALUE"""),60.0189741516065)</f>
        <v>60.01897415</v>
      </c>
      <c r="P813" s="20">
        <f>IFERROR(__xludf.DUMMYFUNCTION("""COMPUTED_VALUE"""),38591.0)</f>
        <v>38591</v>
      </c>
      <c r="Q813" s="20">
        <f>IFERROR(__xludf.DUMMYFUNCTION("""COMPUTED_VALUE"""),64298.0)</f>
        <v>64298</v>
      </c>
    </row>
    <row r="814">
      <c r="A814" s="20">
        <f>IFERROR(__xludf.DUMMYFUNCTION("""COMPUTED_VALUE"""),831.0)</f>
        <v>831</v>
      </c>
      <c r="B814" s="20" t="str">
        <f>IFERROR(__xludf.DUMMYFUNCTION("""COMPUTED_VALUE"""),"Largest Sum of Averages")</f>
        <v>Largest Sum of Averages</v>
      </c>
      <c r="C814" s="20" t="str">
        <f>IFERROR(__xludf.DUMMYFUNCTION("""COMPUTED_VALUE"""),"largest-sum-of-averages")</f>
        <v>largest-sum-of-averages</v>
      </c>
      <c r="D814" s="20" t="b">
        <f>IFERROR(__xludf.DUMMYFUNCTION("""COMPUTED_VALUE"""),FALSE)</f>
        <v>0</v>
      </c>
      <c r="E814" s="20" t="str">
        <f>IFERROR(__xludf.DUMMYFUNCTION("""COMPUTED_VALUE"""),"Medium")</f>
        <v>Medium</v>
      </c>
      <c r="F814" s="20">
        <f>IFERROR(__xludf.DUMMYFUNCTION("""COMPUTED_VALUE"""),1771.0)</f>
        <v>1771</v>
      </c>
      <c r="G814" s="20">
        <f>IFERROR(__xludf.DUMMYFUNCTION("""COMPUTED_VALUE"""),90.0)</f>
        <v>90</v>
      </c>
      <c r="H814" s="20" t="str">
        <f>IFERROR(__xludf.DUMMYFUNCTION("""COMPUTED_VALUE"""),"Algorithms")</f>
        <v>Algorithms</v>
      </c>
      <c r="I814" s="20">
        <f>IFERROR(__xludf.DUMMYFUNCTION("""COMPUTED_VALUE"""),0.53)</f>
        <v>0.53</v>
      </c>
      <c r="J814" s="20">
        <f>IFERROR(__xludf.DUMMYFUNCTION("""COMPUTED_VALUE"""),813.0)</f>
        <v>813</v>
      </c>
      <c r="K814" s="20" t="b">
        <f>IFERROR(__xludf.DUMMYFUNCTION("""COMPUTED_VALUE"""),FALSE)</f>
        <v>0</v>
      </c>
      <c r="L814" s="20" t="str">
        <f>IFERROR(__xludf.DUMMYFUNCTION("""COMPUTED_VALUE"""),"Array;Dynamic Programming;Prefix Sum;")</f>
        <v>Array;Dynamic Programming;Prefix Sum;</v>
      </c>
      <c r="M814" s="20" t="b">
        <f>IFERROR(__xludf.DUMMYFUNCTION("""COMPUTED_VALUE"""),TRUE)</f>
        <v>1</v>
      </c>
      <c r="N814" s="20" t="b">
        <f>IFERROR(__xludf.DUMMYFUNCTION("""COMPUTED_VALUE"""),FALSE)</f>
        <v>0</v>
      </c>
      <c r="O814" s="20">
        <f>IFERROR(__xludf.DUMMYFUNCTION("""COMPUTED_VALUE"""),53.0107055211087)</f>
        <v>53.01070552</v>
      </c>
      <c r="P814" s="20">
        <f>IFERROR(__xludf.DUMMYFUNCTION("""COMPUTED_VALUE"""),44714.0)</f>
        <v>44714</v>
      </c>
      <c r="Q814" s="20">
        <f>IFERROR(__xludf.DUMMYFUNCTION("""COMPUTED_VALUE"""),84349.0)</f>
        <v>84349</v>
      </c>
    </row>
    <row r="815">
      <c r="A815" s="20">
        <f>IFERROR(__xludf.DUMMYFUNCTION("""COMPUTED_VALUE"""),832.0)</f>
        <v>832</v>
      </c>
      <c r="B815" s="20" t="str">
        <f>IFERROR(__xludf.DUMMYFUNCTION("""COMPUTED_VALUE"""),"Binary Tree Pruning")</f>
        <v>Binary Tree Pruning</v>
      </c>
      <c r="C815" s="20" t="str">
        <f>IFERROR(__xludf.DUMMYFUNCTION("""COMPUTED_VALUE"""),"binary-tree-pruning")</f>
        <v>binary-tree-pruning</v>
      </c>
      <c r="D815" s="20" t="b">
        <f>IFERROR(__xludf.DUMMYFUNCTION("""COMPUTED_VALUE"""),FALSE)</f>
        <v>0</v>
      </c>
      <c r="E815" s="20" t="str">
        <f>IFERROR(__xludf.DUMMYFUNCTION("""COMPUTED_VALUE"""),"Medium")</f>
        <v>Medium</v>
      </c>
      <c r="F815" s="20">
        <f>IFERROR(__xludf.DUMMYFUNCTION("""COMPUTED_VALUE"""),4063.0)</f>
        <v>4063</v>
      </c>
      <c r="G815" s="20">
        <f>IFERROR(__xludf.DUMMYFUNCTION("""COMPUTED_VALUE"""),106.0)</f>
        <v>106</v>
      </c>
      <c r="H815" s="20" t="str">
        <f>IFERROR(__xludf.DUMMYFUNCTION("""COMPUTED_VALUE"""),"Algorithms")</f>
        <v>Algorithms</v>
      </c>
      <c r="I815" s="20">
        <f>IFERROR(__xludf.DUMMYFUNCTION("""COMPUTED_VALUE"""),0.725)</f>
        <v>0.725</v>
      </c>
      <c r="J815" s="20">
        <f>IFERROR(__xludf.DUMMYFUNCTION("""COMPUTED_VALUE"""),814.0)</f>
        <v>814</v>
      </c>
      <c r="K815" s="20" t="b">
        <f>IFERROR(__xludf.DUMMYFUNCTION("""COMPUTED_VALUE"""),FALSE)</f>
        <v>0</v>
      </c>
      <c r="L815" s="20" t="str">
        <f>IFERROR(__xludf.DUMMYFUNCTION("""COMPUTED_VALUE"""),"Tree;Depth-First Search;Binary Tree;")</f>
        <v>Tree;Depth-First Search;Binary Tree;</v>
      </c>
      <c r="M815" s="20" t="b">
        <f>IFERROR(__xludf.DUMMYFUNCTION("""COMPUTED_VALUE"""),TRUE)</f>
        <v>1</v>
      </c>
      <c r="N815" s="20" t="b">
        <f>IFERROR(__xludf.DUMMYFUNCTION("""COMPUTED_VALUE"""),FALSE)</f>
        <v>0</v>
      </c>
      <c r="O815" s="20">
        <f>IFERROR(__xludf.DUMMYFUNCTION("""COMPUTED_VALUE"""),72.4998840314639)</f>
        <v>72.49988403</v>
      </c>
      <c r="P815" s="20">
        <f>IFERROR(__xludf.DUMMYFUNCTION("""COMPUTED_VALUE"""),218809.0)</f>
        <v>218809</v>
      </c>
      <c r="Q815" s="20">
        <f>IFERROR(__xludf.DUMMYFUNCTION("""COMPUTED_VALUE"""),301806.0)</f>
        <v>301806</v>
      </c>
    </row>
    <row r="816">
      <c r="A816" s="20">
        <f>IFERROR(__xludf.DUMMYFUNCTION("""COMPUTED_VALUE"""),833.0)</f>
        <v>833</v>
      </c>
      <c r="B816" s="20" t="str">
        <f>IFERROR(__xludf.DUMMYFUNCTION("""COMPUTED_VALUE"""),"Bus Routes")</f>
        <v>Bus Routes</v>
      </c>
      <c r="C816" s="20" t="str">
        <f>IFERROR(__xludf.DUMMYFUNCTION("""COMPUTED_VALUE"""),"bus-routes")</f>
        <v>bus-routes</v>
      </c>
      <c r="D816" s="20" t="b">
        <f>IFERROR(__xludf.DUMMYFUNCTION("""COMPUTED_VALUE"""),FALSE)</f>
        <v>0</v>
      </c>
      <c r="E816" s="20" t="str">
        <f>IFERROR(__xludf.DUMMYFUNCTION("""COMPUTED_VALUE"""),"Hard")</f>
        <v>Hard</v>
      </c>
      <c r="F816" s="20">
        <f>IFERROR(__xludf.DUMMYFUNCTION("""COMPUTED_VALUE"""),2736.0)</f>
        <v>2736</v>
      </c>
      <c r="G816" s="20">
        <f>IFERROR(__xludf.DUMMYFUNCTION("""COMPUTED_VALUE"""),72.0)</f>
        <v>72</v>
      </c>
      <c r="H816" s="20" t="str">
        <f>IFERROR(__xludf.DUMMYFUNCTION("""COMPUTED_VALUE"""),"Algorithms")</f>
        <v>Algorithms</v>
      </c>
      <c r="I816" s="20">
        <f>IFERROR(__xludf.DUMMYFUNCTION("""COMPUTED_VALUE"""),0.457)</f>
        <v>0.457</v>
      </c>
      <c r="J816" s="20">
        <f>IFERROR(__xludf.DUMMYFUNCTION("""COMPUTED_VALUE"""),815.0)</f>
        <v>815</v>
      </c>
      <c r="K816" s="20" t="b">
        <f>IFERROR(__xludf.DUMMYFUNCTION("""COMPUTED_VALUE"""),FALSE)</f>
        <v>0</v>
      </c>
      <c r="L816" s="20" t="str">
        <f>IFERROR(__xludf.DUMMYFUNCTION("""COMPUTED_VALUE"""),"Array;Hash Table;Breadth-First Search;")</f>
        <v>Array;Hash Table;Breadth-First Search;</v>
      </c>
      <c r="M816" s="20" t="b">
        <f>IFERROR(__xludf.DUMMYFUNCTION("""COMPUTED_VALUE"""),TRUE)</f>
        <v>1</v>
      </c>
      <c r="N816" s="20" t="b">
        <f>IFERROR(__xludf.DUMMYFUNCTION("""COMPUTED_VALUE"""),FALSE)</f>
        <v>0</v>
      </c>
      <c r="O816" s="20">
        <f>IFERROR(__xludf.DUMMYFUNCTION("""COMPUTED_VALUE"""),45.6884406019852)</f>
        <v>45.6884406</v>
      </c>
      <c r="P816" s="20">
        <f>IFERROR(__xludf.DUMMYFUNCTION("""COMPUTED_VALUE"""),114148.0)</f>
        <v>114148</v>
      </c>
      <c r="Q816" s="20">
        <f>IFERROR(__xludf.DUMMYFUNCTION("""COMPUTED_VALUE"""),249840.0)</f>
        <v>249840</v>
      </c>
    </row>
    <row r="817">
      <c r="A817" s="20">
        <f>IFERROR(__xludf.DUMMYFUNCTION("""COMPUTED_VALUE"""),834.0)</f>
        <v>834</v>
      </c>
      <c r="B817" s="20" t="str">
        <f>IFERROR(__xludf.DUMMYFUNCTION("""COMPUTED_VALUE"""),"Ambiguous Coordinates")</f>
        <v>Ambiguous Coordinates</v>
      </c>
      <c r="C817" s="20" t="str">
        <f>IFERROR(__xludf.DUMMYFUNCTION("""COMPUTED_VALUE"""),"ambiguous-coordinates")</f>
        <v>ambiguous-coordinates</v>
      </c>
      <c r="D817" s="20" t="b">
        <f>IFERROR(__xludf.DUMMYFUNCTION("""COMPUTED_VALUE"""),FALSE)</f>
        <v>0</v>
      </c>
      <c r="E817" s="20" t="str">
        <f>IFERROR(__xludf.DUMMYFUNCTION("""COMPUTED_VALUE"""),"Medium")</f>
        <v>Medium</v>
      </c>
      <c r="F817" s="20">
        <f>IFERROR(__xludf.DUMMYFUNCTION("""COMPUTED_VALUE"""),283.0)</f>
        <v>283</v>
      </c>
      <c r="G817" s="20">
        <f>IFERROR(__xludf.DUMMYFUNCTION("""COMPUTED_VALUE"""),621.0)</f>
        <v>621</v>
      </c>
      <c r="H817" s="20" t="str">
        <f>IFERROR(__xludf.DUMMYFUNCTION("""COMPUTED_VALUE"""),"Algorithms")</f>
        <v>Algorithms</v>
      </c>
      <c r="I817" s="20">
        <f>IFERROR(__xludf.DUMMYFUNCTION("""COMPUTED_VALUE"""),0.562)</f>
        <v>0.562</v>
      </c>
      <c r="J817" s="20">
        <f>IFERROR(__xludf.DUMMYFUNCTION("""COMPUTED_VALUE"""),816.0)</f>
        <v>816</v>
      </c>
      <c r="K817" s="20" t="b">
        <f>IFERROR(__xludf.DUMMYFUNCTION("""COMPUTED_VALUE"""),FALSE)</f>
        <v>0</v>
      </c>
      <c r="L817" s="20" t="str">
        <f>IFERROR(__xludf.DUMMYFUNCTION("""COMPUTED_VALUE"""),"String;Backtracking;")</f>
        <v>String;Backtracking;</v>
      </c>
      <c r="M817" s="20" t="b">
        <f>IFERROR(__xludf.DUMMYFUNCTION("""COMPUTED_VALUE"""),TRUE)</f>
        <v>1</v>
      </c>
      <c r="N817" s="20" t="b">
        <f>IFERROR(__xludf.DUMMYFUNCTION("""COMPUTED_VALUE"""),FALSE)</f>
        <v>0</v>
      </c>
      <c r="O817" s="20">
        <f>IFERROR(__xludf.DUMMYFUNCTION("""COMPUTED_VALUE"""),56.1810360950065)</f>
        <v>56.1810361</v>
      </c>
      <c r="P817" s="20">
        <f>IFERROR(__xludf.DUMMYFUNCTION("""COMPUTED_VALUE"""),27036.0)</f>
        <v>27036</v>
      </c>
      <c r="Q817" s="20">
        <f>IFERROR(__xludf.DUMMYFUNCTION("""COMPUTED_VALUE"""),48123.0)</f>
        <v>48123</v>
      </c>
    </row>
    <row r="818">
      <c r="A818" s="20">
        <f>IFERROR(__xludf.DUMMYFUNCTION("""COMPUTED_VALUE"""),835.0)</f>
        <v>835</v>
      </c>
      <c r="B818" s="20" t="str">
        <f>IFERROR(__xludf.DUMMYFUNCTION("""COMPUTED_VALUE"""),"Linked List Components")</f>
        <v>Linked List Components</v>
      </c>
      <c r="C818" s="20" t="str">
        <f>IFERROR(__xludf.DUMMYFUNCTION("""COMPUTED_VALUE"""),"linked-list-components")</f>
        <v>linked-list-components</v>
      </c>
      <c r="D818" s="20" t="b">
        <f>IFERROR(__xludf.DUMMYFUNCTION("""COMPUTED_VALUE"""),FALSE)</f>
        <v>0</v>
      </c>
      <c r="E818" s="20" t="str">
        <f>IFERROR(__xludf.DUMMYFUNCTION("""COMPUTED_VALUE"""),"Medium")</f>
        <v>Medium</v>
      </c>
      <c r="F818" s="20">
        <f>IFERROR(__xludf.DUMMYFUNCTION("""COMPUTED_VALUE"""),835.0)</f>
        <v>835</v>
      </c>
      <c r="G818" s="20">
        <f>IFERROR(__xludf.DUMMYFUNCTION("""COMPUTED_VALUE"""),1951.0)</f>
        <v>1951</v>
      </c>
      <c r="H818" s="20" t="str">
        <f>IFERROR(__xludf.DUMMYFUNCTION("""COMPUTED_VALUE"""),"Algorithms")</f>
        <v>Algorithms</v>
      </c>
      <c r="I818" s="20">
        <f>IFERROR(__xludf.DUMMYFUNCTION("""COMPUTED_VALUE"""),0.58)</f>
        <v>0.58</v>
      </c>
      <c r="J818" s="20">
        <f>IFERROR(__xludf.DUMMYFUNCTION("""COMPUTED_VALUE"""),817.0)</f>
        <v>817</v>
      </c>
      <c r="K818" s="20" t="b">
        <f>IFERROR(__xludf.DUMMYFUNCTION("""COMPUTED_VALUE"""),FALSE)</f>
        <v>0</v>
      </c>
      <c r="L818" s="20" t="str">
        <f>IFERROR(__xludf.DUMMYFUNCTION("""COMPUTED_VALUE"""),"Array;Hash Table;Linked List;")</f>
        <v>Array;Hash Table;Linked List;</v>
      </c>
      <c r="M818" s="20" t="b">
        <f>IFERROR(__xludf.DUMMYFUNCTION("""COMPUTED_VALUE"""),FALSE)</f>
        <v>0</v>
      </c>
      <c r="N818" s="20" t="b">
        <f>IFERROR(__xludf.DUMMYFUNCTION("""COMPUTED_VALUE"""),FALSE)</f>
        <v>0</v>
      </c>
      <c r="O818" s="20">
        <f>IFERROR(__xludf.DUMMYFUNCTION("""COMPUTED_VALUE"""),58.0127049918904)</f>
        <v>58.01270499</v>
      </c>
      <c r="P818" s="20">
        <f>IFERROR(__xludf.DUMMYFUNCTION("""COMPUTED_VALUE"""),77259.0)</f>
        <v>77259</v>
      </c>
      <c r="Q818" s="20">
        <f>IFERROR(__xludf.DUMMYFUNCTION("""COMPUTED_VALUE"""),133174.0)</f>
        <v>133174</v>
      </c>
    </row>
    <row r="819">
      <c r="A819" s="20">
        <f>IFERROR(__xludf.DUMMYFUNCTION("""COMPUTED_VALUE"""),836.0)</f>
        <v>836</v>
      </c>
      <c r="B819" s="20" t="str">
        <f>IFERROR(__xludf.DUMMYFUNCTION("""COMPUTED_VALUE"""),"Race Car")</f>
        <v>Race Car</v>
      </c>
      <c r="C819" s="20" t="str">
        <f>IFERROR(__xludf.DUMMYFUNCTION("""COMPUTED_VALUE"""),"race-car")</f>
        <v>race-car</v>
      </c>
      <c r="D819" s="20" t="b">
        <f>IFERROR(__xludf.DUMMYFUNCTION("""COMPUTED_VALUE"""),FALSE)</f>
        <v>0</v>
      </c>
      <c r="E819" s="20" t="str">
        <f>IFERROR(__xludf.DUMMYFUNCTION("""COMPUTED_VALUE"""),"Hard")</f>
        <v>Hard</v>
      </c>
      <c r="F819" s="20">
        <f>IFERROR(__xludf.DUMMYFUNCTION("""COMPUTED_VALUE"""),1571.0)</f>
        <v>1571</v>
      </c>
      <c r="G819" s="20">
        <f>IFERROR(__xludf.DUMMYFUNCTION("""COMPUTED_VALUE"""),154.0)</f>
        <v>154</v>
      </c>
      <c r="H819" s="20" t="str">
        <f>IFERROR(__xludf.DUMMYFUNCTION("""COMPUTED_VALUE"""),"Algorithms")</f>
        <v>Algorithms</v>
      </c>
      <c r="I819" s="20">
        <f>IFERROR(__xludf.DUMMYFUNCTION("""COMPUTED_VALUE"""),0.433)</f>
        <v>0.433</v>
      </c>
      <c r="J819" s="20">
        <f>IFERROR(__xludf.DUMMYFUNCTION("""COMPUTED_VALUE"""),818.0)</f>
        <v>818</v>
      </c>
      <c r="K819" s="20" t="b">
        <f>IFERROR(__xludf.DUMMYFUNCTION("""COMPUTED_VALUE"""),FALSE)</f>
        <v>0</v>
      </c>
      <c r="L819" s="20" t="str">
        <f>IFERROR(__xludf.DUMMYFUNCTION("""COMPUTED_VALUE"""),"Dynamic Programming;")</f>
        <v>Dynamic Programming;</v>
      </c>
      <c r="M819" s="20" t="b">
        <f>IFERROR(__xludf.DUMMYFUNCTION("""COMPUTED_VALUE"""),TRUE)</f>
        <v>1</v>
      </c>
      <c r="N819" s="20" t="b">
        <f>IFERROR(__xludf.DUMMYFUNCTION("""COMPUTED_VALUE"""),FALSE)</f>
        <v>0</v>
      </c>
      <c r="O819" s="20">
        <f>IFERROR(__xludf.DUMMYFUNCTION("""COMPUTED_VALUE"""),43.3476209565512)</f>
        <v>43.34762096</v>
      </c>
      <c r="P819" s="20">
        <f>IFERROR(__xludf.DUMMYFUNCTION("""COMPUTED_VALUE"""),70286.0)</f>
        <v>70286</v>
      </c>
      <c r="Q819" s="20">
        <f>IFERROR(__xludf.DUMMYFUNCTION("""COMPUTED_VALUE"""),162145.0)</f>
        <v>162145</v>
      </c>
    </row>
    <row r="820">
      <c r="A820" s="20">
        <f>IFERROR(__xludf.DUMMYFUNCTION("""COMPUTED_VALUE"""),837.0)</f>
        <v>837</v>
      </c>
      <c r="B820" s="20" t="str">
        <f>IFERROR(__xludf.DUMMYFUNCTION("""COMPUTED_VALUE"""),"Most Common Word")</f>
        <v>Most Common Word</v>
      </c>
      <c r="C820" s="20" t="str">
        <f>IFERROR(__xludf.DUMMYFUNCTION("""COMPUTED_VALUE"""),"most-common-word")</f>
        <v>most-common-word</v>
      </c>
      <c r="D820" s="20" t="b">
        <f>IFERROR(__xludf.DUMMYFUNCTION("""COMPUTED_VALUE"""),FALSE)</f>
        <v>0</v>
      </c>
      <c r="E820" s="20" t="str">
        <f>IFERROR(__xludf.DUMMYFUNCTION("""COMPUTED_VALUE"""),"Easy")</f>
        <v>Easy</v>
      </c>
      <c r="F820" s="20">
        <f>IFERROR(__xludf.DUMMYFUNCTION("""COMPUTED_VALUE"""),1442.0)</f>
        <v>1442</v>
      </c>
      <c r="G820" s="20">
        <f>IFERROR(__xludf.DUMMYFUNCTION("""COMPUTED_VALUE"""),2814.0)</f>
        <v>2814</v>
      </c>
      <c r="H820" s="20" t="str">
        <f>IFERROR(__xludf.DUMMYFUNCTION("""COMPUTED_VALUE"""),"Algorithms")</f>
        <v>Algorithms</v>
      </c>
      <c r="I820" s="20">
        <f>IFERROR(__xludf.DUMMYFUNCTION("""COMPUTED_VALUE"""),0.449)</f>
        <v>0.449</v>
      </c>
      <c r="J820" s="20">
        <f>IFERROR(__xludf.DUMMYFUNCTION("""COMPUTED_VALUE"""),819.0)</f>
        <v>819</v>
      </c>
      <c r="K820" s="20" t="b">
        <f>IFERROR(__xludf.DUMMYFUNCTION("""COMPUTED_VALUE"""),FALSE)</f>
        <v>0</v>
      </c>
      <c r="L820" s="20" t="str">
        <f>IFERROR(__xludf.DUMMYFUNCTION("""COMPUTED_VALUE"""),"Hash Table;String;Counting;")</f>
        <v>Hash Table;String;Counting;</v>
      </c>
      <c r="M820" s="20" t="b">
        <f>IFERROR(__xludf.DUMMYFUNCTION("""COMPUTED_VALUE"""),TRUE)</f>
        <v>1</v>
      </c>
      <c r="N820" s="20" t="b">
        <f>IFERROR(__xludf.DUMMYFUNCTION("""COMPUTED_VALUE"""),FALSE)</f>
        <v>0</v>
      </c>
      <c r="O820" s="20">
        <f>IFERROR(__xludf.DUMMYFUNCTION("""COMPUTED_VALUE"""),44.9041908782514)</f>
        <v>44.90419088</v>
      </c>
      <c r="P820" s="20">
        <f>IFERROR(__xludf.DUMMYFUNCTION("""COMPUTED_VALUE"""),316760.0)</f>
        <v>316760</v>
      </c>
      <c r="Q820" s="20">
        <f>IFERROR(__xludf.DUMMYFUNCTION("""COMPUTED_VALUE"""),705413.0)</f>
        <v>705413</v>
      </c>
    </row>
    <row r="821">
      <c r="A821" s="20">
        <f>IFERROR(__xludf.DUMMYFUNCTION("""COMPUTED_VALUE"""),839.0)</f>
        <v>839</v>
      </c>
      <c r="B821" s="20" t="str">
        <f>IFERROR(__xludf.DUMMYFUNCTION("""COMPUTED_VALUE"""),"Short Encoding of Words")</f>
        <v>Short Encoding of Words</v>
      </c>
      <c r="C821" s="20" t="str">
        <f>IFERROR(__xludf.DUMMYFUNCTION("""COMPUTED_VALUE"""),"short-encoding-of-words")</f>
        <v>short-encoding-of-words</v>
      </c>
      <c r="D821" s="20" t="b">
        <f>IFERROR(__xludf.DUMMYFUNCTION("""COMPUTED_VALUE"""),FALSE)</f>
        <v>0</v>
      </c>
      <c r="E821" s="20" t="str">
        <f>IFERROR(__xludf.DUMMYFUNCTION("""COMPUTED_VALUE"""),"Medium")</f>
        <v>Medium</v>
      </c>
      <c r="F821" s="20">
        <f>IFERROR(__xludf.DUMMYFUNCTION("""COMPUTED_VALUE"""),1637.0)</f>
        <v>1637</v>
      </c>
      <c r="G821" s="20">
        <f>IFERROR(__xludf.DUMMYFUNCTION("""COMPUTED_VALUE"""),628.0)</f>
        <v>628</v>
      </c>
      <c r="H821" s="20" t="str">
        <f>IFERROR(__xludf.DUMMYFUNCTION("""COMPUTED_VALUE"""),"Algorithms")</f>
        <v>Algorithms</v>
      </c>
      <c r="I821" s="20">
        <f>IFERROR(__xludf.DUMMYFUNCTION("""COMPUTED_VALUE"""),0.606)</f>
        <v>0.606</v>
      </c>
      <c r="J821" s="20">
        <f>IFERROR(__xludf.DUMMYFUNCTION("""COMPUTED_VALUE"""),820.0)</f>
        <v>820</v>
      </c>
      <c r="K821" s="20" t="b">
        <f>IFERROR(__xludf.DUMMYFUNCTION("""COMPUTED_VALUE"""),FALSE)</f>
        <v>0</v>
      </c>
      <c r="L821" s="20" t="str">
        <f>IFERROR(__xludf.DUMMYFUNCTION("""COMPUTED_VALUE"""),"Array;Hash Table;String;Trie;")</f>
        <v>Array;Hash Table;String;Trie;</v>
      </c>
      <c r="M821" s="20" t="b">
        <f>IFERROR(__xludf.DUMMYFUNCTION("""COMPUTED_VALUE"""),TRUE)</f>
        <v>1</v>
      </c>
      <c r="N821" s="20" t="b">
        <f>IFERROR(__xludf.DUMMYFUNCTION("""COMPUTED_VALUE"""),FALSE)</f>
        <v>0</v>
      </c>
      <c r="O821" s="20">
        <f>IFERROR(__xludf.DUMMYFUNCTION("""COMPUTED_VALUE"""),60.6169263394499)</f>
        <v>60.61692634</v>
      </c>
      <c r="P821" s="20">
        <f>IFERROR(__xludf.DUMMYFUNCTION("""COMPUTED_VALUE"""),90612.0)</f>
        <v>90612</v>
      </c>
      <c r="Q821" s="20">
        <f>IFERROR(__xludf.DUMMYFUNCTION("""COMPUTED_VALUE"""),149483.0)</f>
        <v>149483</v>
      </c>
    </row>
    <row r="822">
      <c r="A822" s="20">
        <f>IFERROR(__xludf.DUMMYFUNCTION("""COMPUTED_VALUE"""),841.0)</f>
        <v>841</v>
      </c>
      <c r="B822" s="20" t="str">
        <f>IFERROR(__xludf.DUMMYFUNCTION("""COMPUTED_VALUE"""),"Shortest Distance to a Character")</f>
        <v>Shortest Distance to a Character</v>
      </c>
      <c r="C822" s="20" t="str">
        <f>IFERROR(__xludf.DUMMYFUNCTION("""COMPUTED_VALUE"""),"shortest-distance-to-a-character")</f>
        <v>shortest-distance-to-a-character</v>
      </c>
      <c r="D822" s="20" t="b">
        <f>IFERROR(__xludf.DUMMYFUNCTION("""COMPUTED_VALUE"""),FALSE)</f>
        <v>0</v>
      </c>
      <c r="E822" s="20" t="str">
        <f>IFERROR(__xludf.DUMMYFUNCTION("""COMPUTED_VALUE"""),"Easy")</f>
        <v>Easy</v>
      </c>
      <c r="F822" s="20">
        <f>IFERROR(__xludf.DUMMYFUNCTION("""COMPUTED_VALUE"""),2632.0)</f>
        <v>2632</v>
      </c>
      <c r="G822" s="20">
        <f>IFERROR(__xludf.DUMMYFUNCTION("""COMPUTED_VALUE"""),138.0)</f>
        <v>138</v>
      </c>
      <c r="H822" s="20" t="str">
        <f>IFERROR(__xludf.DUMMYFUNCTION("""COMPUTED_VALUE"""),"Algorithms")</f>
        <v>Algorithms</v>
      </c>
      <c r="I822" s="20">
        <f>IFERROR(__xludf.DUMMYFUNCTION("""COMPUTED_VALUE"""),0.715)</f>
        <v>0.715</v>
      </c>
      <c r="J822" s="20">
        <f>IFERROR(__xludf.DUMMYFUNCTION("""COMPUTED_VALUE"""),821.0)</f>
        <v>821</v>
      </c>
      <c r="K822" s="20" t="b">
        <f>IFERROR(__xludf.DUMMYFUNCTION("""COMPUTED_VALUE"""),FALSE)</f>
        <v>0</v>
      </c>
      <c r="L822" s="20" t="str">
        <f>IFERROR(__xludf.DUMMYFUNCTION("""COMPUTED_VALUE"""),"Array;Two Pointers;String;")</f>
        <v>Array;Two Pointers;String;</v>
      </c>
      <c r="M822" s="20" t="b">
        <f>IFERROR(__xludf.DUMMYFUNCTION("""COMPUTED_VALUE"""),TRUE)</f>
        <v>1</v>
      </c>
      <c r="N822" s="20" t="b">
        <f>IFERROR(__xludf.DUMMYFUNCTION("""COMPUTED_VALUE"""),FALSE)</f>
        <v>0</v>
      </c>
      <c r="O822" s="20">
        <f>IFERROR(__xludf.DUMMYFUNCTION("""COMPUTED_VALUE"""),71.4525211709581)</f>
        <v>71.45252117</v>
      </c>
      <c r="P822" s="20">
        <f>IFERROR(__xludf.DUMMYFUNCTION("""COMPUTED_VALUE"""),149594.0)</f>
        <v>149594</v>
      </c>
      <c r="Q822" s="20">
        <f>IFERROR(__xludf.DUMMYFUNCTION("""COMPUTED_VALUE"""),209362.0)</f>
        <v>209362</v>
      </c>
    </row>
    <row r="823">
      <c r="A823" s="20">
        <f>IFERROR(__xludf.DUMMYFUNCTION("""COMPUTED_VALUE"""),842.0)</f>
        <v>842</v>
      </c>
      <c r="B823" s="20" t="str">
        <f>IFERROR(__xludf.DUMMYFUNCTION("""COMPUTED_VALUE"""),"Card Flipping Game")</f>
        <v>Card Flipping Game</v>
      </c>
      <c r="C823" s="20" t="str">
        <f>IFERROR(__xludf.DUMMYFUNCTION("""COMPUTED_VALUE"""),"card-flipping-game")</f>
        <v>card-flipping-game</v>
      </c>
      <c r="D823" s="20" t="b">
        <f>IFERROR(__xludf.DUMMYFUNCTION("""COMPUTED_VALUE"""),FALSE)</f>
        <v>0</v>
      </c>
      <c r="E823" s="20" t="str">
        <f>IFERROR(__xludf.DUMMYFUNCTION("""COMPUTED_VALUE"""),"Medium")</f>
        <v>Medium</v>
      </c>
      <c r="F823" s="20">
        <f>IFERROR(__xludf.DUMMYFUNCTION("""COMPUTED_VALUE"""),135.0)</f>
        <v>135</v>
      </c>
      <c r="G823" s="20">
        <f>IFERROR(__xludf.DUMMYFUNCTION("""COMPUTED_VALUE"""),670.0)</f>
        <v>670</v>
      </c>
      <c r="H823" s="20" t="str">
        <f>IFERROR(__xludf.DUMMYFUNCTION("""COMPUTED_VALUE"""),"Algorithms")</f>
        <v>Algorithms</v>
      </c>
      <c r="I823" s="20">
        <f>IFERROR(__xludf.DUMMYFUNCTION("""COMPUTED_VALUE"""),0.457)</f>
        <v>0.457</v>
      </c>
      <c r="J823" s="20">
        <f>IFERROR(__xludf.DUMMYFUNCTION("""COMPUTED_VALUE"""),822.0)</f>
        <v>822</v>
      </c>
      <c r="K823" s="20" t="b">
        <f>IFERROR(__xludf.DUMMYFUNCTION("""COMPUTED_VALUE"""),FALSE)</f>
        <v>0</v>
      </c>
      <c r="L823" s="20" t="str">
        <f>IFERROR(__xludf.DUMMYFUNCTION("""COMPUTED_VALUE"""),"Array;Hash Table;")</f>
        <v>Array;Hash Table;</v>
      </c>
      <c r="M823" s="20" t="b">
        <f>IFERROR(__xludf.DUMMYFUNCTION("""COMPUTED_VALUE"""),FALSE)</f>
        <v>0</v>
      </c>
      <c r="N823" s="20" t="b">
        <f>IFERROR(__xludf.DUMMYFUNCTION("""COMPUTED_VALUE"""),FALSE)</f>
        <v>0</v>
      </c>
      <c r="O823" s="20">
        <f>IFERROR(__xludf.DUMMYFUNCTION("""COMPUTED_VALUE"""),45.7330347701685)</f>
        <v>45.73303477</v>
      </c>
      <c r="P823" s="20">
        <f>IFERROR(__xludf.DUMMYFUNCTION("""COMPUTED_VALUE"""),14705.0)</f>
        <v>14705</v>
      </c>
      <c r="Q823" s="20">
        <f>IFERROR(__xludf.DUMMYFUNCTION("""COMPUTED_VALUE"""),32154.0)</f>
        <v>32154</v>
      </c>
    </row>
    <row r="824">
      <c r="A824" s="20">
        <f>IFERROR(__xludf.DUMMYFUNCTION("""COMPUTED_VALUE"""),843.0)</f>
        <v>843</v>
      </c>
      <c r="B824" s="20" t="str">
        <f>IFERROR(__xludf.DUMMYFUNCTION("""COMPUTED_VALUE"""),"Binary Trees With Factors")</f>
        <v>Binary Trees With Factors</v>
      </c>
      <c r="C824" s="20" t="str">
        <f>IFERROR(__xludf.DUMMYFUNCTION("""COMPUTED_VALUE"""),"binary-trees-with-factors")</f>
        <v>binary-trees-with-factors</v>
      </c>
      <c r="D824" s="20" t="b">
        <f>IFERROR(__xludf.DUMMYFUNCTION("""COMPUTED_VALUE"""),FALSE)</f>
        <v>0</v>
      </c>
      <c r="E824" s="20" t="str">
        <f>IFERROR(__xludf.DUMMYFUNCTION("""COMPUTED_VALUE"""),"Medium")</f>
        <v>Medium</v>
      </c>
      <c r="F824" s="20">
        <f>IFERROR(__xludf.DUMMYFUNCTION("""COMPUTED_VALUE"""),2436.0)</f>
        <v>2436</v>
      </c>
      <c r="G824" s="20">
        <f>IFERROR(__xludf.DUMMYFUNCTION("""COMPUTED_VALUE"""),175.0)</f>
        <v>175</v>
      </c>
      <c r="H824" s="20" t="str">
        <f>IFERROR(__xludf.DUMMYFUNCTION("""COMPUTED_VALUE"""),"Algorithms")</f>
        <v>Algorithms</v>
      </c>
      <c r="I824" s="20">
        <f>IFERROR(__xludf.DUMMYFUNCTION("""COMPUTED_VALUE"""),0.499)</f>
        <v>0.499</v>
      </c>
      <c r="J824" s="20">
        <f>IFERROR(__xludf.DUMMYFUNCTION("""COMPUTED_VALUE"""),823.0)</f>
        <v>823</v>
      </c>
      <c r="K824" s="20" t="b">
        <f>IFERROR(__xludf.DUMMYFUNCTION("""COMPUTED_VALUE"""),FALSE)</f>
        <v>0</v>
      </c>
      <c r="L824" s="20" t="str">
        <f>IFERROR(__xludf.DUMMYFUNCTION("""COMPUTED_VALUE"""),"Array;Hash Table;Dynamic Programming;")</f>
        <v>Array;Hash Table;Dynamic Programming;</v>
      </c>
      <c r="M824" s="20" t="b">
        <f>IFERROR(__xludf.DUMMYFUNCTION("""COMPUTED_VALUE"""),TRUE)</f>
        <v>1</v>
      </c>
      <c r="N824" s="20" t="b">
        <f>IFERROR(__xludf.DUMMYFUNCTION("""COMPUTED_VALUE"""),FALSE)</f>
        <v>0</v>
      </c>
      <c r="O824" s="20">
        <f>IFERROR(__xludf.DUMMYFUNCTION("""COMPUTED_VALUE"""),49.8726262815384)</f>
        <v>49.87262628</v>
      </c>
      <c r="P824" s="20">
        <f>IFERROR(__xludf.DUMMYFUNCTION("""COMPUTED_VALUE"""),87902.0)</f>
        <v>87902</v>
      </c>
      <c r="Q824" s="20">
        <f>IFERROR(__xludf.DUMMYFUNCTION("""COMPUTED_VALUE"""),176253.0)</f>
        <v>176253</v>
      </c>
    </row>
    <row r="825">
      <c r="A825" s="20">
        <f>IFERROR(__xludf.DUMMYFUNCTION("""COMPUTED_VALUE"""),851.0)</f>
        <v>851</v>
      </c>
      <c r="B825" s="20" t="str">
        <f>IFERROR(__xludf.DUMMYFUNCTION("""COMPUTED_VALUE"""),"Goat Latin")</f>
        <v>Goat Latin</v>
      </c>
      <c r="C825" s="20" t="str">
        <f>IFERROR(__xludf.DUMMYFUNCTION("""COMPUTED_VALUE"""),"goat-latin")</f>
        <v>goat-latin</v>
      </c>
      <c r="D825" s="20" t="b">
        <f>IFERROR(__xludf.DUMMYFUNCTION("""COMPUTED_VALUE"""),FALSE)</f>
        <v>0</v>
      </c>
      <c r="E825" s="20" t="str">
        <f>IFERROR(__xludf.DUMMYFUNCTION("""COMPUTED_VALUE"""),"Easy")</f>
        <v>Easy</v>
      </c>
      <c r="F825" s="20">
        <f>IFERROR(__xludf.DUMMYFUNCTION("""COMPUTED_VALUE"""),763.0)</f>
        <v>763</v>
      </c>
      <c r="G825" s="20">
        <f>IFERROR(__xludf.DUMMYFUNCTION("""COMPUTED_VALUE"""),1160.0)</f>
        <v>1160</v>
      </c>
      <c r="H825" s="20" t="str">
        <f>IFERROR(__xludf.DUMMYFUNCTION("""COMPUTED_VALUE"""),"Algorithms")</f>
        <v>Algorithms</v>
      </c>
      <c r="I825" s="20">
        <f>IFERROR(__xludf.DUMMYFUNCTION("""COMPUTED_VALUE"""),0.679)</f>
        <v>0.679</v>
      </c>
      <c r="J825" s="20">
        <f>IFERROR(__xludf.DUMMYFUNCTION("""COMPUTED_VALUE"""),824.0)</f>
        <v>824</v>
      </c>
      <c r="K825" s="20" t="b">
        <f>IFERROR(__xludf.DUMMYFUNCTION("""COMPUTED_VALUE"""),FALSE)</f>
        <v>0</v>
      </c>
      <c r="L825" s="20" t="str">
        <f>IFERROR(__xludf.DUMMYFUNCTION("""COMPUTED_VALUE"""),"String;")</f>
        <v>String;</v>
      </c>
      <c r="M825" s="20" t="b">
        <f>IFERROR(__xludf.DUMMYFUNCTION("""COMPUTED_VALUE"""),FALSE)</f>
        <v>0</v>
      </c>
      <c r="N825" s="20" t="b">
        <f>IFERROR(__xludf.DUMMYFUNCTION("""COMPUTED_VALUE"""),FALSE)</f>
        <v>0</v>
      </c>
      <c r="O825" s="20">
        <f>IFERROR(__xludf.DUMMYFUNCTION("""COMPUTED_VALUE"""),67.8617652945493)</f>
        <v>67.86176529</v>
      </c>
      <c r="P825" s="20">
        <f>IFERROR(__xludf.DUMMYFUNCTION("""COMPUTED_VALUE"""),152576.0)</f>
        <v>152576</v>
      </c>
      <c r="Q825" s="20">
        <f>IFERROR(__xludf.DUMMYFUNCTION("""COMPUTED_VALUE"""),224833.0)</f>
        <v>224833</v>
      </c>
    </row>
    <row r="826">
      <c r="A826" s="20">
        <f>IFERROR(__xludf.DUMMYFUNCTION("""COMPUTED_VALUE"""),852.0)</f>
        <v>852</v>
      </c>
      <c r="B826" s="20" t="str">
        <f>IFERROR(__xludf.DUMMYFUNCTION("""COMPUTED_VALUE"""),"Friends Of Appropriate Ages")</f>
        <v>Friends Of Appropriate Ages</v>
      </c>
      <c r="C826" s="20" t="str">
        <f>IFERROR(__xludf.DUMMYFUNCTION("""COMPUTED_VALUE"""),"friends-of-appropriate-ages")</f>
        <v>friends-of-appropriate-ages</v>
      </c>
      <c r="D826" s="20" t="b">
        <f>IFERROR(__xludf.DUMMYFUNCTION("""COMPUTED_VALUE"""),FALSE)</f>
        <v>0</v>
      </c>
      <c r="E826" s="20" t="str">
        <f>IFERROR(__xludf.DUMMYFUNCTION("""COMPUTED_VALUE"""),"Medium")</f>
        <v>Medium</v>
      </c>
      <c r="F826" s="20">
        <f>IFERROR(__xludf.DUMMYFUNCTION("""COMPUTED_VALUE"""),612.0)</f>
        <v>612</v>
      </c>
      <c r="G826" s="20">
        <f>IFERROR(__xludf.DUMMYFUNCTION("""COMPUTED_VALUE"""),1105.0)</f>
        <v>1105</v>
      </c>
      <c r="H826" s="20" t="str">
        <f>IFERROR(__xludf.DUMMYFUNCTION("""COMPUTED_VALUE"""),"Algorithms")</f>
        <v>Algorithms</v>
      </c>
      <c r="I826" s="20">
        <f>IFERROR(__xludf.DUMMYFUNCTION("""COMPUTED_VALUE"""),0.464)</f>
        <v>0.464</v>
      </c>
      <c r="J826" s="20">
        <f>IFERROR(__xludf.DUMMYFUNCTION("""COMPUTED_VALUE"""),825.0)</f>
        <v>825</v>
      </c>
      <c r="K826" s="20" t="b">
        <f>IFERROR(__xludf.DUMMYFUNCTION("""COMPUTED_VALUE"""),FALSE)</f>
        <v>0</v>
      </c>
      <c r="L826" s="20" t="str">
        <f>IFERROR(__xludf.DUMMYFUNCTION("""COMPUTED_VALUE"""),"Array;Two Pointers;Binary Search;Sorting;")</f>
        <v>Array;Two Pointers;Binary Search;Sorting;</v>
      </c>
      <c r="M826" s="20" t="b">
        <f>IFERROR(__xludf.DUMMYFUNCTION("""COMPUTED_VALUE"""),FALSE)</f>
        <v>0</v>
      </c>
      <c r="N826" s="20" t="b">
        <f>IFERROR(__xludf.DUMMYFUNCTION("""COMPUTED_VALUE"""),FALSE)</f>
        <v>0</v>
      </c>
      <c r="O826" s="20">
        <f>IFERROR(__xludf.DUMMYFUNCTION("""COMPUTED_VALUE"""),46.3529661833181)</f>
        <v>46.35296618</v>
      </c>
      <c r="P826" s="20">
        <f>IFERROR(__xludf.DUMMYFUNCTION("""COMPUTED_VALUE"""),69783.0)</f>
        <v>69783</v>
      </c>
      <c r="Q826" s="20">
        <f>IFERROR(__xludf.DUMMYFUNCTION("""COMPUTED_VALUE"""),150547.0)</f>
        <v>150547</v>
      </c>
    </row>
    <row r="827">
      <c r="A827" s="20">
        <f>IFERROR(__xludf.DUMMYFUNCTION("""COMPUTED_VALUE"""),853.0)</f>
        <v>853</v>
      </c>
      <c r="B827" s="20" t="str">
        <f>IFERROR(__xludf.DUMMYFUNCTION("""COMPUTED_VALUE"""),"Most Profit Assigning Work")</f>
        <v>Most Profit Assigning Work</v>
      </c>
      <c r="C827" s="20" t="str">
        <f>IFERROR(__xludf.DUMMYFUNCTION("""COMPUTED_VALUE"""),"most-profit-assigning-work")</f>
        <v>most-profit-assigning-work</v>
      </c>
      <c r="D827" s="20" t="b">
        <f>IFERROR(__xludf.DUMMYFUNCTION("""COMPUTED_VALUE"""),FALSE)</f>
        <v>0</v>
      </c>
      <c r="E827" s="20" t="str">
        <f>IFERROR(__xludf.DUMMYFUNCTION("""COMPUTED_VALUE"""),"Medium")</f>
        <v>Medium</v>
      </c>
      <c r="F827" s="20">
        <f>IFERROR(__xludf.DUMMYFUNCTION("""COMPUTED_VALUE"""),1190.0)</f>
        <v>1190</v>
      </c>
      <c r="G827" s="20">
        <f>IFERROR(__xludf.DUMMYFUNCTION("""COMPUTED_VALUE"""),118.0)</f>
        <v>118</v>
      </c>
      <c r="H827" s="20" t="str">
        <f>IFERROR(__xludf.DUMMYFUNCTION("""COMPUTED_VALUE"""),"Algorithms")</f>
        <v>Algorithms</v>
      </c>
      <c r="I827" s="20">
        <f>IFERROR(__xludf.DUMMYFUNCTION("""COMPUTED_VALUE"""),0.447)</f>
        <v>0.447</v>
      </c>
      <c r="J827" s="20">
        <f>IFERROR(__xludf.DUMMYFUNCTION("""COMPUTED_VALUE"""),826.0)</f>
        <v>826</v>
      </c>
      <c r="K827" s="20" t="b">
        <f>IFERROR(__xludf.DUMMYFUNCTION("""COMPUTED_VALUE"""),FALSE)</f>
        <v>0</v>
      </c>
      <c r="L827" s="20" t="str">
        <f>IFERROR(__xludf.DUMMYFUNCTION("""COMPUTED_VALUE"""),"Array;Two Pointers;Binary Search;Greedy;Sorting;")</f>
        <v>Array;Two Pointers;Binary Search;Greedy;Sorting;</v>
      </c>
      <c r="M827" s="20" t="b">
        <f>IFERROR(__xludf.DUMMYFUNCTION("""COMPUTED_VALUE"""),TRUE)</f>
        <v>1</v>
      </c>
      <c r="N827" s="20" t="b">
        <f>IFERROR(__xludf.DUMMYFUNCTION("""COMPUTED_VALUE"""),FALSE)</f>
        <v>0</v>
      </c>
      <c r="O827" s="20">
        <f>IFERROR(__xludf.DUMMYFUNCTION("""COMPUTED_VALUE"""),44.6578705666242)</f>
        <v>44.65787057</v>
      </c>
      <c r="P827" s="20">
        <f>IFERROR(__xludf.DUMMYFUNCTION("""COMPUTED_VALUE"""),50567.0)</f>
        <v>50567</v>
      </c>
      <c r="Q827" s="20">
        <f>IFERROR(__xludf.DUMMYFUNCTION("""COMPUTED_VALUE"""),113232.0)</f>
        <v>113232</v>
      </c>
    </row>
    <row r="828">
      <c r="A828" s="20">
        <f>IFERROR(__xludf.DUMMYFUNCTION("""COMPUTED_VALUE"""),854.0)</f>
        <v>854</v>
      </c>
      <c r="B828" s="20" t="str">
        <f>IFERROR(__xludf.DUMMYFUNCTION("""COMPUTED_VALUE"""),"Making A Large Island")</f>
        <v>Making A Large Island</v>
      </c>
      <c r="C828" s="20" t="str">
        <f>IFERROR(__xludf.DUMMYFUNCTION("""COMPUTED_VALUE"""),"making-a-large-island")</f>
        <v>making-a-large-island</v>
      </c>
      <c r="D828" s="20" t="b">
        <f>IFERROR(__xludf.DUMMYFUNCTION("""COMPUTED_VALUE"""),FALSE)</f>
        <v>0</v>
      </c>
      <c r="E828" s="20" t="str">
        <f>IFERROR(__xludf.DUMMYFUNCTION("""COMPUTED_VALUE"""),"Hard")</f>
        <v>Hard</v>
      </c>
      <c r="F828" s="20">
        <f>IFERROR(__xludf.DUMMYFUNCTION("""COMPUTED_VALUE"""),2853.0)</f>
        <v>2853</v>
      </c>
      <c r="G828" s="20">
        <f>IFERROR(__xludf.DUMMYFUNCTION("""COMPUTED_VALUE"""),58.0)</f>
        <v>58</v>
      </c>
      <c r="H828" s="20" t="str">
        <f>IFERROR(__xludf.DUMMYFUNCTION("""COMPUTED_VALUE"""),"Algorithms")</f>
        <v>Algorithms</v>
      </c>
      <c r="I828" s="20">
        <f>IFERROR(__xludf.DUMMYFUNCTION("""COMPUTED_VALUE"""),0.448)</f>
        <v>0.448</v>
      </c>
      <c r="J828" s="20">
        <f>IFERROR(__xludf.DUMMYFUNCTION("""COMPUTED_VALUE"""),827.0)</f>
        <v>827</v>
      </c>
      <c r="K828" s="20" t="b">
        <f>IFERROR(__xludf.DUMMYFUNCTION("""COMPUTED_VALUE"""),FALSE)</f>
        <v>0</v>
      </c>
      <c r="L828" s="20" t="str">
        <f>IFERROR(__xludf.DUMMYFUNCTION("""COMPUTED_VALUE"""),"Array;Depth-First Search;Breadth-First Search;Union Find;Matrix;")</f>
        <v>Array;Depth-First Search;Breadth-First Search;Union Find;Matrix;</v>
      </c>
      <c r="M828" s="20" t="b">
        <f>IFERROR(__xludf.DUMMYFUNCTION("""COMPUTED_VALUE"""),TRUE)</f>
        <v>1</v>
      </c>
      <c r="N828" s="20" t="b">
        <f>IFERROR(__xludf.DUMMYFUNCTION("""COMPUTED_VALUE"""),FALSE)</f>
        <v>0</v>
      </c>
      <c r="O828" s="20">
        <f>IFERROR(__xludf.DUMMYFUNCTION("""COMPUTED_VALUE"""),44.7618260184988)</f>
        <v>44.76182602</v>
      </c>
      <c r="P828" s="20">
        <f>IFERROR(__xludf.DUMMYFUNCTION("""COMPUTED_VALUE"""),124518.0)</f>
        <v>124518</v>
      </c>
      <c r="Q828" s="20">
        <f>IFERROR(__xludf.DUMMYFUNCTION("""COMPUTED_VALUE"""),278179.0)</f>
        <v>278179</v>
      </c>
    </row>
    <row r="829">
      <c r="A829" s="20">
        <f>IFERROR(__xludf.DUMMYFUNCTION("""COMPUTED_VALUE"""),855.0)</f>
        <v>855</v>
      </c>
      <c r="B829" s="20" t="str">
        <f>IFERROR(__xludf.DUMMYFUNCTION("""COMPUTED_VALUE"""),"Count Unique Characters of All Substrings of a Given String")</f>
        <v>Count Unique Characters of All Substrings of a Given String</v>
      </c>
      <c r="C829" s="20" t="str">
        <f>IFERROR(__xludf.DUMMYFUNCTION("""COMPUTED_VALUE"""),"count-unique-characters-of-all-substrings-of-a-given-string")</f>
        <v>count-unique-characters-of-all-substrings-of-a-given-string</v>
      </c>
      <c r="D829" s="20" t="b">
        <f>IFERROR(__xludf.DUMMYFUNCTION("""COMPUTED_VALUE"""),FALSE)</f>
        <v>0</v>
      </c>
      <c r="E829" s="20" t="str">
        <f>IFERROR(__xludf.DUMMYFUNCTION("""COMPUTED_VALUE"""),"Hard")</f>
        <v>Hard</v>
      </c>
      <c r="F829" s="20">
        <f>IFERROR(__xludf.DUMMYFUNCTION("""COMPUTED_VALUE"""),1824.0)</f>
        <v>1824</v>
      </c>
      <c r="G829" s="20">
        <f>IFERROR(__xludf.DUMMYFUNCTION("""COMPUTED_VALUE"""),237.0)</f>
        <v>237</v>
      </c>
      <c r="H829" s="20" t="str">
        <f>IFERROR(__xludf.DUMMYFUNCTION("""COMPUTED_VALUE"""),"Algorithms")</f>
        <v>Algorithms</v>
      </c>
      <c r="I829" s="20">
        <f>IFERROR(__xludf.DUMMYFUNCTION("""COMPUTED_VALUE"""),0.518)</f>
        <v>0.518</v>
      </c>
      <c r="J829" s="20">
        <f>IFERROR(__xludf.DUMMYFUNCTION("""COMPUTED_VALUE"""),828.0)</f>
        <v>828</v>
      </c>
      <c r="K829" s="20" t="b">
        <f>IFERROR(__xludf.DUMMYFUNCTION("""COMPUTED_VALUE"""),FALSE)</f>
        <v>0</v>
      </c>
      <c r="L829" s="20" t="str">
        <f>IFERROR(__xludf.DUMMYFUNCTION("""COMPUTED_VALUE"""),"Hash Table;String;Dynamic Programming;")</f>
        <v>Hash Table;String;Dynamic Programming;</v>
      </c>
      <c r="M829" s="20" t="b">
        <f>IFERROR(__xludf.DUMMYFUNCTION("""COMPUTED_VALUE"""),FALSE)</f>
        <v>0</v>
      </c>
      <c r="N829" s="20" t="b">
        <f>IFERROR(__xludf.DUMMYFUNCTION("""COMPUTED_VALUE"""),FALSE)</f>
        <v>0</v>
      </c>
      <c r="O829" s="20">
        <f>IFERROR(__xludf.DUMMYFUNCTION("""COMPUTED_VALUE"""),51.7836794783288)</f>
        <v>51.78367948</v>
      </c>
      <c r="P829" s="20">
        <f>IFERROR(__xludf.DUMMYFUNCTION("""COMPUTED_VALUE"""),62259.0)</f>
        <v>62259</v>
      </c>
      <c r="Q829" s="20">
        <f>IFERROR(__xludf.DUMMYFUNCTION("""COMPUTED_VALUE"""),120229.0)</f>
        <v>120229</v>
      </c>
    </row>
    <row r="830">
      <c r="A830" s="20">
        <f>IFERROR(__xludf.DUMMYFUNCTION("""COMPUTED_VALUE"""),856.0)</f>
        <v>856</v>
      </c>
      <c r="B830" s="20" t="str">
        <f>IFERROR(__xludf.DUMMYFUNCTION("""COMPUTED_VALUE"""),"Consecutive Numbers Sum")</f>
        <v>Consecutive Numbers Sum</v>
      </c>
      <c r="C830" s="20" t="str">
        <f>IFERROR(__xludf.DUMMYFUNCTION("""COMPUTED_VALUE"""),"consecutive-numbers-sum")</f>
        <v>consecutive-numbers-sum</v>
      </c>
      <c r="D830" s="20" t="b">
        <f>IFERROR(__xludf.DUMMYFUNCTION("""COMPUTED_VALUE"""),FALSE)</f>
        <v>0</v>
      </c>
      <c r="E830" s="20" t="str">
        <f>IFERROR(__xludf.DUMMYFUNCTION("""COMPUTED_VALUE"""),"Hard")</f>
        <v>Hard</v>
      </c>
      <c r="F830" s="20">
        <f>IFERROR(__xludf.DUMMYFUNCTION("""COMPUTED_VALUE"""),1182.0)</f>
        <v>1182</v>
      </c>
      <c r="G830" s="20">
        <f>IFERROR(__xludf.DUMMYFUNCTION("""COMPUTED_VALUE"""),1326.0)</f>
        <v>1326</v>
      </c>
      <c r="H830" s="20" t="str">
        <f>IFERROR(__xludf.DUMMYFUNCTION("""COMPUTED_VALUE"""),"Algorithms")</f>
        <v>Algorithms</v>
      </c>
      <c r="I830" s="20">
        <f>IFERROR(__xludf.DUMMYFUNCTION("""COMPUTED_VALUE"""),0.415)</f>
        <v>0.415</v>
      </c>
      <c r="J830" s="20">
        <f>IFERROR(__xludf.DUMMYFUNCTION("""COMPUTED_VALUE"""),829.0)</f>
        <v>829</v>
      </c>
      <c r="K830" s="20" t="b">
        <f>IFERROR(__xludf.DUMMYFUNCTION("""COMPUTED_VALUE"""),FALSE)</f>
        <v>0</v>
      </c>
      <c r="L830" s="20" t="str">
        <f>IFERROR(__xludf.DUMMYFUNCTION("""COMPUTED_VALUE"""),"Math;Enumeration;")</f>
        <v>Math;Enumeration;</v>
      </c>
      <c r="M830" s="20" t="b">
        <f>IFERROR(__xludf.DUMMYFUNCTION("""COMPUTED_VALUE"""),TRUE)</f>
        <v>1</v>
      </c>
      <c r="N830" s="20" t="b">
        <f>IFERROR(__xludf.DUMMYFUNCTION("""COMPUTED_VALUE"""),FALSE)</f>
        <v>0</v>
      </c>
      <c r="O830" s="20">
        <f>IFERROR(__xludf.DUMMYFUNCTION("""COMPUTED_VALUE"""),41.5389304999129)</f>
        <v>41.5389305</v>
      </c>
      <c r="P830" s="20">
        <f>IFERROR(__xludf.DUMMYFUNCTION("""COMPUTED_VALUE"""),76312.0)</f>
        <v>76312</v>
      </c>
      <c r="Q830" s="20">
        <f>IFERROR(__xludf.DUMMYFUNCTION("""COMPUTED_VALUE"""),183712.0)</f>
        <v>183712</v>
      </c>
    </row>
    <row r="831">
      <c r="A831" s="20">
        <f>IFERROR(__xludf.DUMMYFUNCTION("""COMPUTED_VALUE"""),857.0)</f>
        <v>857</v>
      </c>
      <c r="B831" s="20" t="str">
        <f>IFERROR(__xludf.DUMMYFUNCTION("""COMPUTED_VALUE"""),"Positions of Large Groups")</f>
        <v>Positions of Large Groups</v>
      </c>
      <c r="C831" s="20" t="str">
        <f>IFERROR(__xludf.DUMMYFUNCTION("""COMPUTED_VALUE"""),"positions-of-large-groups")</f>
        <v>positions-of-large-groups</v>
      </c>
      <c r="D831" s="20" t="b">
        <f>IFERROR(__xludf.DUMMYFUNCTION("""COMPUTED_VALUE"""),FALSE)</f>
        <v>0</v>
      </c>
      <c r="E831" s="20" t="str">
        <f>IFERROR(__xludf.DUMMYFUNCTION("""COMPUTED_VALUE"""),"Easy")</f>
        <v>Easy</v>
      </c>
      <c r="F831" s="20">
        <f>IFERROR(__xludf.DUMMYFUNCTION("""COMPUTED_VALUE"""),722.0)</f>
        <v>722</v>
      </c>
      <c r="G831" s="20">
        <f>IFERROR(__xludf.DUMMYFUNCTION("""COMPUTED_VALUE"""),114.0)</f>
        <v>114</v>
      </c>
      <c r="H831" s="20" t="str">
        <f>IFERROR(__xludf.DUMMYFUNCTION("""COMPUTED_VALUE"""),"Algorithms")</f>
        <v>Algorithms</v>
      </c>
      <c r="I831" s="20">
        <f>IFERROR(__xludf.DUMMYFUNCTION("""COMPUTED_VALUE"""),0.518)</f>
        <v>0.518</v>
      </c>
      <c r="J831" s="20">
        <f>IFERROR(__xludf.DUMMYFUNCTION("""COMPUTED_VALUE"""),830.0)</f>
        <v>830</v>
      </c>
      <c r="K831" s="20" t="b">
        <f>IFERROR(__xludf.DUMMYFUNCTION("""COMPUTED_VALUE"""),FALSE)</f>
        <v>0</v>
      </c>
      <c r="L831" s="20" t="str">
        <f>IFERROR(__xludf.DUMMYFUNCTION("""COMPUTED_VALUE"""),"String;")</f>
        <v>String;</v>
      </c>
      <c r="M831" s="20" t="b">
        <f>IFERROR(__xludf.DUMMYFUNCTION("""COMPUTED_VALUE"""),TRUE)</f>
        <v>1</v>
      </c>
      <c r="N831" s="20" t="b">
        <f>IFERROR(__xludf.DUMMYFUNCTION("""COMPUTED_VALUE"""),FALSE)</f>
        <v>0</v>
      </c>
      <c r="O831" s="20">
        <f>IFERROR(__xludf.DUMMYFUNCTION("""COMPUTED_VALUE"""),51.7729801739675)</f>
        <v>51.77298017</v>
      </c>
      <c r="P831" s="20">
        <f>IFERROR(__xludf.DUMMYFUNCTION("""COMPUTED_VALUE"""),79281.0)</f>
        <v>79281</v>
      </c>
      <c r="Q831" s="20">
        <f>IFERROR(__xludf.DUMMYFUNCTION("""COMPUTED_VALUE"""),153132.0)</f>
        <v>153132</v>
      </c>
    </row>
    <row r="832">
      <c r="A832" s="20">
        <f>IFERROR(__xludf.DUMMYFUNCTION("""COMPUTED_VALUE"""),858.0)</f>
        <v>858</v>
      </c>
      <c r="B832" s="20" t="str">
        <f>IFERROR(__xludf.DUMMYFUNCTION("""COMPUTED_VALUE"""),"Masking Personal Information")</f>
        <v>Masking Personal Information</v>
      </c>
      <c r="C832" s="20" t="str">
        <f>IFERROR(__xludf.DUMMYFUNCTION("""COMPUTED_VALUE"""),"masking-personal-information")</f>
        <v>masking-personal-information</v>
      </c>
      <c r="D832" s="20" t="b">
        <f>IFERROR(__xludf.DUMMYFUNCTION("""COMPUTED_VALUE"""),FALSE)</f>
        <v>0</v>
      </c>
      <c r="E832" s="20" t="str">
        <f>IFERROR(__xludf.DUMMYFUNCTION("""COMPUTED_VALUE"""),"Medium")</f>
        <v>Medium</v>
      </c>
      <c r="F832" s="20">
        <f>IFERROR(__xludf.DUMMYFUNCTION("""COMPUTED_VALUE"""),136.0)</f>
        <v>136</v>
      </c>
      <c r="G832" s="20">
        <f>IFERROR(__xludf.DUMMYFUNCTION("""COMPUTED_VALUE"""),413.0)</f>
        <v>413</v>
      </c>
      <c r="H832" s="20" t="str">
        <f>IFERROR(__xludf.DUMMYFUNCTION("""COMPUTED_VALUE"""),"Algorithms")</f>
        <v>Algorithms</v>
      </c>
      <c r="I832" s="20">
        <f>IFERROR(__xludf.DUMMYFUNCTION("""COMPUTED_VALUE"""),0.471)</f>
        <v>0.471</v>
      </c>
      <c r="J832" s="20">
        <f>IFERROR(__xludf.DUMMYFUNCTION("""COMPUTED_VALUE"""),831.0)</f>
        <v>831</v>
      </c>
      <c r="K832" s="20" t="b">
        <f>IFERROR(__xludf.DUMMYFUNCTION("""COMPUTED_VALUE"""),FALSE)</f>
        <v>0</v>
      </c>
      <c r="L832" s="20" t="str">
        <f>IFERROR(__xludf.DUMMYFUNCTION("""COMPUTED_VALUE"""),"String;")</f>
        <v>String;</v>
      </c>
      <c r="M832" s="20" t="b">
        <f>IFERROR(__xludf.DUMMYFUNCTION("""COMPUTED_VALUE"""),FALSE)</f>
        <v>0</v>
      </c>
      <c r="N832" s="20" t="b">
        <f>IFERROR(__xludf.DUMMYFUNCTION("""COMPUTED_VALUE"""),FALSE)</f>
        <v>0</v>
      </c>
      <c r="O832" s="20">
        <f>IFERROR(__xludf.DUMMYFUNCTION("""COMPUTED_VALUE"""),47.089947089947)</f>
        <v>47.08994709</v>
      </c>
      <c r="P832" s="20">
        <f>IFERROR(__xludf.DUMMYFUNCTION("""COMPUTED_VALUE"""),15931.0)</f>
        <v>15931</v>
      </c>
      <c r="Q832" s="20">
        <f>IFERROR(__xludf.DUMMYFUNCTION("""COMPUTED_VALUE"""),33831.0)</f>
        <v>33831</v>
      </c>
    </row>
    <row r="833">
      <c r="A833" s="20">
        <f>IFERROR(__xludf.DUMMYFUNCTION("""COMPUTED_VALUE"""),861.0)</f>
        <v>861</v>
      </c>
      <c r="B833" s="20" t="str">
        <f>IFERROR(__xludf.DUMMYFUNCTION("""COMPUTED_VALUE"""),"Flipping an Image")</f>
        <v>Flipping an Image</v>
      </c>
      <c r="C833" s="20" t="str">
        <f>IFERROR(__xludf.DUMMYFUNCTION("""COMPUTED_VALUE"""),"flipping-an-image")</f>
        <v>flipping-an-image</v>
      </c>
      <c r="D833" s="20" t="b">
        <f>IFERROR(__xludf.DUMMYFUNCTION("""COMPUTED_VALUE"""),FALSE)</f>
        <v>0</v>
      </c>
      <c r="E833" s="20" t="str">
        <f>IFERROR(__xludf.DUMMYFUNCTION("""COMPUTED_VALUE"""),"Easy")</f>
        <v>Easy</v>
      </c>
      <c r="F833" s="20">
        <f>IFERROR(__xludf.DUMMYFUNCTION("""COMPUTED_VALUE"""),2716.0)</f>
        <v>2716</v>
      </c>
      <c r="G833" s="20">
        <f>IFERROR(__xludf.DUMMYFUNCTION("""COMPUTED_VALUE"""),216.0)</f>
        <v>216</v>
      </c>
      <c r="H833" s="20" t="str">
        <f>IFERROR(__xludf.DUMMYFUNCTION("""COMPUTED_VALUE"""),"Algorithms")</f>
        <v>Algorithms</v>
      </c>
      <c r="I833" s="20">
        <f>IFERROR(__xludf.DUMMYFUNCTION("""COMPUTED_VALUE"""),0.805)</f>
        <v>0.805</v>
      </c>
      <c r="J833" s="20">
        <f>IFERROR(__xludf.DUMMYFUNCTION("""COMPUTED_VALUE"""),832.0)</f>
        <v>832</v>
      </c>
      <c r="K833" s="20" t="b">
        <f>IFERROR(__xludf.DUMMYFUNCTION("""COMPUTED_VALUE"""),FALSE)</f>
        <v>0</v>
      </c>
      <c r="L833" s="20" t="str">
        <f>IFERROR(__xludf.DUMMYFUNCTION("""COMPUTED_VALUE"""),"Array;Two Pointers;Matrix;Simulation;")</f>
        <v>Array;Two Pointers;Matrix;Simulation;</v>
      </c>
      <c r="M833" s="20" t="b">
        <f>IFERROR(__xludf.DUMMYFUNCTION("""COMPUTED_VALUE"""),TRUE)</f>
        <v>1</v>
      </c>
      <c r="N833" s="20" t="b">
        <f>IFERROR(__xludf.DUMMYFUNCTION("""COMPUTED_VALUE"""),FALSE)</f>
        <v>0</v>
      </c>
      <c r="O833" s="20">
        <f>IFERROR(__xludf.DUMMYFUNCTION("""COMPUTED_VALUE"""),80.5365897603671)</f>
        <v>80.53658976</v>
      </c>
      <c r="P833" s="20">
        <f>IFERROR(__xludf.DUMMYFUNCTION("""COMPUTED_VALUE"""),339712.0)</f>
        <v>339712</v>
      </c>
      <c r="Q833" s="20">
        <f>IFERROR(__xludf.DUMMYFUNCTION("""COMPUTED_VALUE"""),421811.0)</f>
        <v>421811</v>
      </c>
    </row>
    <row r="834">
      <c r="A834" s="20">
        <f>IFERROR(__xludf.DUMMYFUNCTION("""COMPUTED_VALUE"""),862.0)</f>
        <v>862</v>
      </c>
      <c r="B834" s="20" t="str">
        <f>IFERROR(__xludf.DUMMYFUNCTION("""COMPUTED_VALUE"""),"Find And Replace in String")</f>
        <v>Find And Replace in String</v>
      </c>
      <c r="C834" s="20" t="str">
        <f>IFERROR(__xludf.DUMMYFUNCTION("""COMPUTED_VALUE"""),"find-and-replace-in-string")</f>
        <v>find-and-replace-in-string</v>
      </c>
      <c r="D834" s="20" t="b">
        <f>IFERROR(__xludf.DUMMYFUNCTION("""COMPUTED_VALUE"""),FALSE)</f>
        <v>0</v>
      </c>
      <c r="E834" s="20" t="str">
        <f>IFERROR(__xludf.DUMMYFUNCTION("""COMPUTED_VALUE"""),"Medium")</f>
        <v>Medium</v>
      </c>
      <c r="F834" s="20">
        <f>IFERROR(__xludf.DUMMYFUNCTION("""COMPUTED_VALUE"""),999.0)</f>
        <v>999</v>
      </c>
      <c r="G834" s="20">
        <f>IFERROR(__xludf.DUMMYFUNCTION("""COMPUTED_VALUE"""),900.0)</f>
        <v>900</v>
      </c>
      <c r="H834" s="20" t="str">
        <f>IFERROR(__xludf.DUMMYFUNCTION("""COMPUTED_VALUE"""),"Algorithms")</f>
        <v>Algorithms</v>
      </c>
      <c r="I834" s="20">
        <f>IFERROR(__xludf.DUMMYFUNCTION("""COMPUTED_VALUE"""),0.541)</f>
        <v>0.541</v>
      </c>
      <c r="J834" s="20">
        <f>IFERROR(__xludf.DUMMYFUNCTION("""COMPUTED_VALUE"""),833.0)</f>
        <v>833</v>
      </c>
      <c r="K834" s="20" t="b">
        <f>IFERROR(__xludf.DUMMYFUNCTION("""COMPUTED_VALUE"""),FALSE)</f>
        <v>0</v>
      </c>
      <c r="L834" s="20" t="str">
        <f>IFERROR(__xludf.DUMMYFUNCTION("""COMPUTED_VALUE"""),"Array;String;Sorting;")</f>
        <v>Array;String;Sorting;</v>
      </c>
      <c r="M834" s="20" t="b">
        <f>IFERROR(__xludf.DUMMYFUNCTION("""COMPUTED_VALUE"""),FALSE)</f>
        <v>0</v>
      </c>
      <c r="N834" s="20" t="b">
        <f>IFERROR(__xludf.DUMMYFUNCTION("""COMPUTED_VALUE"""),FALSE)</f>
        <v>0</v>
      </c>
      <c r="O834" s="20">
        <f>IFERROR(__xludf.DUMMYFUNCTION("""COMPUTED_VALUE"""),54.074220977218)</f>
        <v>54.07422098</v>
      </c>
      <c r="P834" s="20">
        <f>IFERROR(__xludf.DUMMYFUNCTION("""COMPUTED_VALUE"""),130877.0)</f>
        <v>130877</v>
      </c>
      <c r="Q834" s="20">
        <f>IFERROR(__xludf.DUMMYFUNCTION("""COMPUTED_VALUE"""),242033.0)</f>
        <v>242033</v>
      </c>
    </row>
    <row r="835">
      <c r="A835" s="20">
        <f>IFERROR(__xludf.DUMMYFUNCTION("""COMPUTED_VALUE"""),863.0)</f>
        <v>863</v>
      </c>
      <c r="B835" s="20" t="str">
        <f>IFERROR(__xludf.DUMMYFUNCTION("""COMPUTED_VALUE"""),"Sum of Distances in Tree")</f>
        <v>Sum of Distances in Tree</v>
      </c>
      <c r="C835" s="20" t="str">
        <f>IFERROR(__xludf.DUMMYFUNCTION("""COMPUTED_VALUE"""),"sum-of-distances-in-tree")</f>
        <v>sum-of-distances-in-tree</v>
      </c>
      <c r="D835" s="20" t="b">
        <f>IFERROR(__xludf.DUMMYFUNCTION("""COMPUTED_VALUE"""),FALSE)</f>
        <v>0</v>
      </c>
      <c r="E835" s="20" t="str">
        <f>IFERROR(__xludf.DUMMYFUNCTION("""COMPUTED_VALUE"""),"Hard")</f>
        <v>Hard</v>
      </c>
      <c r="F835" s="20">
        <f>IFERROR(__xludf.DUMMYFUNCTION("""COMPUTED_VALUE"""),4297.0)</f>
        <v>4297</v>
      </c>
      <c r="G835" s="20">
        <f>IFERROR(__xludf.DUMMYFUNCTION("""COMPUTED_VALUE"""),100.0)</f>
        <v>100</v>
      </c>
      <c r="H835" s="20" t="str">
        <f>IFERROR(__xludf.DUMMYFUNCTION("""COMPUTED_VALUE"""),"Algorithms")</f>
        <v>Algorithms</v>
      </c>
      <c r="I835" s="20">
        <f>IFERROR(__xludf.DUMMYFUNCTION("""COMPUTED_VALUE"""),0.593)</f>
        <v>0.593</v>
      </c>
      <c r="J835" s="20">
        <f>IFERROR(__xludf.DUMMYFUNCTION("""COMPUTED_VALUE"""),834.0)</f>
        <v>834</v>
      </c>
      <c r="K835" s="20" t="b">
        <f>IFERROR(__xludf.DUMMYFUNCTION("""COMPUTED_VALUE"""),FALSE)</f>
        <v>0</v>
      </c>
      <c r="L835" s="20" t="str">
        <f>IFERROR(__xludf.DUMMYFUNCTION("""COMPUTED_VALUE"""),"Dynamic Programming;Tree;Depth-First Search;Graph;")</f>
        <v>Dynamic Programming;Tree;Depth-First Search;Graph;</v>
      </c>
      <c r="M835" s="20" t="b">
        <f>IFERROR(__xludf.DUMMYFUNCTION("""COMPUTED_VALUE"""),TRUE)</f>
        <v>1</v>
      </c>
      <c r="N835" s="20" t="b">
        <f>IFERROR(__xludf.DUMMYFUNCTION("""COMPUTED_VALUE"""),FALSE)</f>
        <v>0</v>
      </c>
      <c r="O835" s="20">
        <f>IFERROR(__xludf.DUMMYFUNCTION("""COMPUTED_VALUE"""),59.2549654891784)</f>
        <v>59.25496549</v>
      </c>
      <c r="P835" s="20">
        <f>IFERROR(__xludf.DUMMYFUNCTION("""COMPUTED_VALUE"""),77173.0)</f>
        <v>77173</v>
      </c>
      <c r="Q835" s="20">
        <f>IFERROR(__xludf.DUMMYFUNCTION("""COMPUTED_VALUE"""),130242.0)</f>
        <v>130242</v>
      </c>
    </row>
    <row r="836">
      <c r="A836" s="20">
        <f>IFERROR(__xludf.DUMMYFUNCTION("""COMPUTED_VALUE"""),864.0)</f>
        <v>864</v>
      </c>
      <c r="B836" s="20" t="str">
        <f>IFERROR(__xludf.DUMMYFUNCTION("""COMPUTED_VALUE"""),"Image Overlap")</f>
        <v>Image Overlap</v>
      </c>
      <c r="C836" s="20" t="str">
        <f>IFERROR(__xludf.DUMMYFUNCTION("""COMPUTED_VALUE"""),"image-overlap")</f>
        <v>image-overlap</v>
      </c>
      <c r="D836" s="20" t="b">
        <f>IFERROR(__xludf.DUMMYFUNCTION("""COMPUTED_VALUE"""),FALSE)</f>
        <v>0</v>
      </c>
      <c r="E836" s="20" t="str">
        <f>IFERROR(__xludf.DUMMYFUNCTION("""COMPUTED_VALUE"""),"Medium")</f>
        <v>Medium</v>
      </c>
      <c r="F836" s="20">
        <f>IFERROR(__xludf.DUMMYFUNCTION("""COMPUTED_VALUE"""),1195.0)</f>
        <v>1195</v>
      </c>
      <c r="G836" s="20">
        <f>IFERROR(__xludf.DUMMYFUNCTION("""COMPUTED_VALUE"""),432.0)</f>
        <v>432</v>
      </c>
      <c r="H836" s="20" t="str">
        <f>IFERROR(__xludf.DUMMYFUNCTION("""COMPUTED_VALUE"""),"Algorithms")</f>
        <v>Algorithms</v>
      </c>
      <c r="I836" s="20">
        <f>IFERROR(__xludf.DUMMYFUNCTION("""COMPUTED_VALUE"""),0.64)</f>
        <v>0.64</v>
      </c>
      <c r="J836" s="20">
        <f>IFERROR(__xludf.DUMMYFUNCTION("""COMPUTED_VALUE"""),835.0)</f>
        <v>835</v>
      </c>
      <c r="K836" s="20" t="b">
        <f>IFERROR(__xludf.DUMMYFUNCTION("""COMPUTED_VALUE"""),FALSE)</f>
        <v>0</v>
      </c>
      <c r="L836" s="20" t="str">
        <f>IFERROR(__xludf.DUMMYFUNCTION("""COMPUTED_VALUE"""),"Array;Matrix;")</f>
        <v>Array;Matrix;</v>
      </c>
      <c r="M836" s="20" t="b">
        <f>IFERROR(__xludf.DUMMYFUNCTION("""COMPUTED_VALUE"""),TRUE)</f>
        <v>1</v>
      </c>
      <c r="N836" s="20" t="b">
        <f>IFERROR(__xludf.DUMMYFUNCTION("""COMPUTED_VALUE"""),FALSE)</f>
        <v>0</v>
      </c>
      <c r="O836" s="20">
        <f>IFERROR(__xludf.DUMMYFUNCTION("""COMPUTED_VALUE"""),63.9827663796855)</f>
        <v>63.98276638</v>
      </c>
      <c r="P836" s="20">
        <f>IFERROR(__xludf.DUMMYFUNCTION("""COMPUTED_VALUE"""),86728.0)</f>
        <v>86728</v>
      </c>
      <c r="Q836" s="20">
        <f>IFERROR(__xludf.DUMMYFUNCTION("""COMPUTED_VALUE"""),135549.0)</f>
        <v>135549</v>
      </c>
    </row>
    <row r="837">
      <c r="A837" s="20">
        <f>IFERROR(__xludf.DUMMYFUNCTION("""COMPUTED_VALUE"""),866.0)</f>
        <v>866</v>
      </c>
      <c r="B837" s="20" t="str">
        <f>IFERROR(__xludf.DUMMYFUNCTION("""COMPUTED_VALUE"""),"Rectangle Overlap")</f>
        <v>Rectangle Overlap</v>
      </c>
      <c r="C837" s="20" t="str">
        <f>IFERROR(__xludf.DUMMYFUNCTION("""COMPUTED_VALUE"""),"rectangle-overlap")</f>
        <v>rectangle-overlap</v>
      </c>
      <c r="D837" s="20" t="b">
        <f>IFERROR(__xludf.DUMMYFUNCTION("""COMPUTED_VALUE"""),FALSE)</f>
        <v>0</v>
      </c>
      <c r="E837" s="20" t="str">
        <f>IFERROR(__xludf.DUMMYFUNCTION("""COMPUTED_VALUE"""),"Easy")</f>
        <v>Easy</v>
      </c>
      <c r="F837" s="20">
        <f>IFERROR(__xludf.DUMMYFUNCTION("""COMPUTED_VALUE"""),1698.0)</f>
        <v>1698</v>
      </c>
      <c r="G837" s="20">
        <f>IFERROR(__xludf.DUMMYFUNCTION("""COMPUTED_VALUE"""),419.0)</f>
        <v>419</v>
      </c>
      <c r="H837" s="20" t="str">
        <f>IFERROR(__xludf.DUMMYFUNCTION("""COMPUTED_VALUE"""),"Algorithms")</f>
        <v>Algorithms</v>
      </c>
      <c r="I837" s="20">
        <f>IFERROR(__xludf.DUMMYFUNCTION("""COMPUTED_VALUE"""),0.437)</f>
        <v>0.437</v>
      </c>
      <c r="J837" s="20">
        <f>IFERROR(__xludf.DUMMYFUNCTION("""COMPUTED_VALUE"""),836.0)</f>
        <v>836</v>
      </c>
      <c r="K837" s="20" t="b">
        <f>IFERROR(__xludf.DUMMYFUNCTION("""COMPUTED_VALUE"""),FALSE)</f>
        <v>0</v>
      </c>
      <c r="L837" s="20" t="str">
        <f>IFERROR(__xludf.DUMMYFUNCTION("""COMPUTED_VALUE"""),"Math;Geometry;")</f>
        <v>Math;Geometry;</v>
      </c>
      <c r="M837" s="20" t="b">
        <f>IFERROR(__xludf.DUMMYFUNCTION("""COMPUTED_VALUE"""),TRUE)</f>
        <v>1</v>
      </c>
      <c r="N837" s="20" t="b">
        <f>IFERROR(__xludf.DUMMYFUNCTION("""COMPUTED_VALUE"""),FALSE)</f>
        <v>0</v>
      </c>
      <c r="O837" s="20">
        <f>IFERROR(__xludf.DUMMYFUNCTION("""COMPUTED_VALUE"""),43.6961014630665)</f>
        <v>43.69610146</v>
      </c>
      <c r="P837" s="20">
        <f>IFERROR(__xludf.DUMMYFUNCTION("""COMPUTED_VALUE"""),117553.0)</f>
        <v>117553</v>
      </c>
      <c r="Q837" s="20">
        <f>IFERROR(__xludf.DUMMYFUNCTION("""COMPUTED_VALUE"""),269023.0)</f>
        <v>269023</v>
      </c>
    </row>
    <row r="838">
      <c r="A838" s="20">
        <f>IFERROR(__xludf.DUMMYFUNCTION("""COMPUTED_VALUE"""),867.0)</f>
        <v>867</v>
      </c>
      <c r="B838" s="20" t="str">
        <f>IFERROR(__xludf.DUMMYFUNCTION("""COMPUTED_VALUE"""),"New 21 Game")</f>
        <v>New 21 Game</v>
      </c>
      <c r="C838" s="20" t="str">
        <f>IFERROR(__xludf.DUMMYFUNCTION("""COMPUTED_VALUE"""),"new-21-game")</f>
        <v>new-21-game</v>
      </c>
      <c r="D838" s="20" t="b">
        <f>IFERROR(__xludf.DUMMYFUNCTION("""COMPUTED_VALUE"""),FALSE)</f>
        <v>0</v>
      </c>
      <c r="E838" s="20" t="str">
        <f>IFERROR(__xludf.DUMMYFUNCTION("""COMPUTED_VALUE"""),"Medium")</f>
        <v>Medium</v>
      </c>
      <c r="F838" s="20">
        <f>IFERROR(__xludf.DUMMYFUNCTION("""COMPUTED_VALUE"""),1041.0)</f>
        <v>1041</v>
      </c>
      <c r="G838" s="20">
        <f>IFERROR(__xludf.DUMMYFUNCTION("""COMPUTED_VALUE"""),702.0)</f>
        <v>702</v>
      </c>
      <c r="H838" s="20" t="str">
        <f>IFERROR(__xludf.DUMMYFUNCTION("""COMPUTED_VALUE"""),"Algorithms")</f>
        <v>Algorithms</v>
      </c>
      <c r="I838" s="20">
        <f>IFERROR(__xludf.DUMMYFUNCTION("""COMPUTED_VALUE"""),0.361)</f>
        <v>0.361</v>
      </c>
      <c r="J838" s="20">
        <f>IFERROR(__xludf.DUMMYFUNCTION("""COMPUTED_VALUE"""),837.0)</f>
        <v>837</v>
      </c>
      <c r="K838" s="20" t="b">
        <f>IFERROR(__xludf.DUMMYFUNCTION("""COMPUTED_VALUE"""),FALSE)</f>
        <v>0</v>
      </c>
      <c r="L838" s="20" t="str">
        <f>IFERROR(__xludf.DUMMYFUNCTION("""COMPUTED_VALUE"""),"Math;Dynamic Programming;Sliding Window;Probability and Statistics;")</f>
        <v>Math;Dynamic Programming;Sliding Window;Probability and Statistics;</v>
      </c>
      <c r="M838" s="20" t="b">
        <f>IFERROR(__xludf.DUMMYFUNCTION("""COMPUTED_VALUE"""),TRUE)</f>
        <v>1</v>
      </c>
      <c r="N838" s="20" t="b">
        <f>IFERROR(__xludf.DUMMYFUNCTION("""COMPUTED_VALUE"""),FALSE)</f>
        <v>0</v>
      </c>
      <c r="O838" s="20">
        <f>IFERROR(__xludf.DUMMYFUNCTION("""COMPUTED_VALUE"""),36.0980146893742)</f>
        <v>36.09801469</v>
      </c>
      <c r="P838" s="20">
        <f>IFERROR(__xludf.DUMMYFUNCTION("""COMPUTED_VALUE"""),33765.0)</f>
        <v>33765</v>
      </c>
      <c r="Q838" s="20">
        <f>IFERROR(__xludf.DUMMYFUNCTION("""COMPUTED_VALUE"""),93537.0)</f>
        <v>93537</v>
      </c>
    </row>
    <row r="839">
      <c r="A839" s="20">
        <f>IFERROR(__xludf.DUMMYFUNCTION("""COMPUTED_VALUE"""),868.0)</f>
        <v>868</v>
      </c>
      <c r="B839" s="20" t="str">
        <f>IFERROR(__xludf.DUMMYFUNCTION("""COMPUTED_VALUE"""),"Push Dominoes")</f>
        <v>Push Dominoes</v>
      </c>
      <c r="C839" s="20" t="str">
        <f>IFERROR(__xludf.DUMMYFUNCTION("""COMPUTED_VALUE"""),"push-dominoes")</f>
        <v>push-dominoes</v>
      </c>
      <c r="D839" s="20" t="b">
        <f>IFERROR(__xludf.DUMMYFUNCTION("""COMPUTED_VALUE"""),FALSE)</f>
        <v>0</v>
      </c>
      <c r="E839" s="20" t="str">
        <f>IFERROR(__xludf.DUMMYFUNCTION("""COMPUTED_VALUE"""),"Medium")</f>
        <v>Medium</v>
      </c>
      <c r="F839" s="20">
        <f>IFERROR(__xludf.DUMMYFUNCTION("""COMPUTED_VALUE"""),3062.0)</f>
        <v>3062</v>
      </c>
      <c r="G839" s="20">
        <f>IFERROR(__xludf.DUMMYFUNCTION("""COMPUTED_VALUE"""),184.0)</f>
        <v>184</v>
      </c>
      <c r="H839" s="20" t="str">
        <f>IFERROR(__xludf.DUMMYFUNCTION("""COMPUTED_VALUE"""),"Algorithms")</f>
        <v>Algorithms</v>
      </c>
      <c r="I839" s="20">
        <f>IFERROR(__xludf.DUMMYFUNCTION("""COMPUTED_VALUE"""),0.569)</f>
        <v>0.569</v>
      </c>
      <c r="J839" s="20">
        <f>IFERROR(__xludf.DUMMYFUNCTION("""COMPUTED_VALUE"""),838.0)</f>
        <v>838</v>
      </c>
      <c r="K839" s="20" t="b">
        <f>IFERROR(__xludf.DUMMYFUNCTION("""COMPUTED_VALUE"""),FALSE)</f>
        <v>0</v>
      </c>
      <c r="L839" s="20" t="str">
        <f>IFERROR(__xludf.DUMMYFUNCTION("""COMPUTED_VALUE"""),"Two Pointers;String;Dynamic Programming;")</f>
        <v>Two Pointers;String;Dynamic Programming;</v>
      </c>
      <c r="M839" s="20" t="b">
        <f>IFERROR(__xludf.DUMMYFUNCTION("""COMPUTED_VALUE"""),TRUE)</f>
        <v>1</v>
      </c>
      <c r="N839" s="20" t="b">
        <f>IFERROR(__xludf.DUMMYFUNCTION("""COMPUTED_VALUE"""),FALSE)</f>
        <v>0</v>
      </c>
      <c r="O839" s="20">
        <f>IFERROR(__xludf.DUMMYFUNCTION("""COMPUTED_VALUE"""),56.9484240687679)</f>
        <v>56.94842407</v>
      </c>
      <c r="P839" s="20">
        <f>IFERROR(__xludf.DUMMYFUNCTION("""COMPUTED_VALUE"""),108914.0)</f>
        <v>108914</v>
      </c>
      <c r="Q839" s="20">
        <f>IFERROR(__xludf.DUMMYFUNCTION("""COMPUTED_VALUE"""),191251.0)</f>
        <v>191251</v>
      </c>
    </row>
    <row r="840">
      <c r="A840" s="20">
        <f>IFERROR(__xludf.DUMMYFUNCTION("""COMPUTED_VALUE"""),869.0)</f>
        <v>869</v>
      </c>
      <c r="B840" s="20" t="str">
        <f>IFERROR(__xludf.DUMMYFUNCTION("""COMPUTED_VALUE"""),"Similar String Groups")</f>
        <v>Similar String Groups</v>
      </c>
      <c r="C840" s="20" t="str">
        <f>IFERROR(__xludf.DUMMYFUNCTION("""COMPUTED_VALUE"""),"similar-string-groups")</f>
        <v>similar-string-groups</v>
      </c>
      <c r="D840" s="20" t="b">
        <f>IFERROR(__xludf.DUMMYFUNCTION("""COMPUTED_VALUE"""),FALSE)</f>
        <v>0</v>
      </c>
      <c r="E840" s="20" t="str">
        <f>IFERROR(__xludf.DUMMYFUNCTION("""COMPUTED_VALUE"""),"Hard")</f>
        <v>Hard</v>
      </c>
      <c r="F840" s="20">
        <f>IFERROR(__xludf.DUMMYFUNCTION("""COMPUTED_VALUE"""),1018.0)</f>
        <v>1018</v>
      </c>
      <c r="G840" s="20">
        <f>IFERROR(__xludf.DUMMYFUNCTION("""COMPUTED_VALUE"""),180.0)</f>
        <v>180</v>
      </c>
      <c r="H840" s="20" t="str">
        <f>IFERROR(__xludf.DUMMYFUNCTION("""COMPUTED_VALUE"""),"Algorithms")</f>
        <v>Algorithms</v>
      </c>
      <c r="I840" s="20">
        <f>IFERROR(__xludf.DUMMYFUNCTION("""COMPUTED_VALUE"""),0.478)</f>
        <v>0.478</v>
      </c>
      <c r="J840" s="20">
        <f>IFERROR(__xludf.DUMMYFUNCTION("""COMPUTED_VALUE"""),839.0)</f>
        <v>839</v>
      </c>
      <c r="K840" s="20" t="b">
        <f>IFERROR(__xludf.DUMMYFUNCTION("""COMPUTED_VALUE"""),FALSE)</f>
        <v>0</v>
      </c>
      <c r="L840" s="20" t="str">
        <f>IFERROR(__xludf.DUMMYFUNCTION("""COMPUTED_VALUE"""),"Array;String;Depth-First Search;Breadth-First Search;Union Find;")</f>
        <v>Array;String;Depth-First Search;Breadth-First Search;Union Find;</v>
      </c>
      <c r="M840" s="20" t="b">
        <f>IFERROR(__xludf.DUMMYFUNCTION("""COMPUTED_VALUE"""),FALSE)</f>
        <v>0</v>
      </c>
      <c r="N840" s="20" t="b">
        <f>IFERROR(__xludf.DUMMYFUNCTION("""COMPUTED_VALUE"""),FALSE)</f>
        <v>0</v>
      </c>
      <c r="O840" s="20">
        <f>IFERROR(__xludf.DUMMYFUNCTION("""COMPUTED_VALUE"""),47.8123949001742)</f>
        <v>47.8123949</v>
      </c>
      <c r="P840" s="20">
        <f>IFERROR(__xludf.DUMMYFUNCTION("""COMPUTED_VALUE"""),62552.0)</f>
        <v>62552</v>
      </c>
      <c r="Q840" s="20">
        <f>IFERROR(__xludf.DUMMYFUNCTION("""COMPUTED_VALUE"""),130828.0)</f>
        <v>130828</v>
      </c>
    </row>
    <row r="841">
      <c r="A841" s="20">
        <f>IFERROR(__xludf.DUMMYFUNCTION("""COMPUTED_VALUE"""),870.0)</f>
        <v>870</v>
      </c>
      <c r="B841" s="20" t="str">
        <f>IFERROR(__xludf.DUMMYFUNCTION("""COMPUTED_VALUE"""),"Magic Squares In Grid")</f>
        <v>Magic Squares In Grid</v>
      </c>
      <c r="C841" s="20" t="str">
        <f>IFERROR(__xludf.DUMMYFUNCTION("""COMPUTED_VALUE"""),"magic-squares-in-grid")</f>
        <v>magic-squares-in-grid</v>
      </c>
      <c r="D841" s="20" t="b">
        <f>IFERROR(__xludf.DUMMYFUNCTION("""COMPUTED_VALUE"""),FALSE)</f>
        <v>0</v>
      </c>
      <c r="E841" s="20" t="str">
        <f>IFERROR(__xludf.DUMMYFUNCTION("""COMPUTED_VALUE"""),"Medium")</f>
        <v>Medium</v>
      </c>
      <c r="F841" s="20">
        <f>IFERROR(__xludf.DUMMYFUNCTION("""COMPUTED_VALUE"""),280.0)</f>
        <v>280</v>
      </c>
      <c r="G841" s="20">
        <f>IFERROR(__xludf.DUMMYFUNCTION("""COMPUTED_VALUE"""),1518.0)</f>
        <v>1518</v>
      </c>
      <c r="H841" s="20" t="str">
        <f>IFERROR(__xludf.DUMMYFUNCTION("""COMPUTED_VALUE"""),"Algorithms")</f>
        <v>Algorithms</v>
      </c>
      <c r="I841" s="20">
        <f>IFERROR(__xludf.DUMMYFUNCTION("""COMPUTED_VALUE"""),0.386)</f>
        <v>0.386</v>
      </c>
      <c r="J841" s="20">
        <f>IFERROR(__xludf.DUMMYFUNCTION("""COMPUTED_VALUE"""),840.0)</f>
        <v>840</v>
      </c>
      <c r="K841" s="20" t="b">
        <f>IFERROR(__xludf.DUMMYFUNCTION("""COMPUTED_VALUE"""),FALSE)</f>
        <v>0</v>
      </c>
      <c r="L841" s="20" t="str">
        <f>IFERROR(__xludf.DUMMYFUNCTION("""COMPUTED_VALUE"""),"Array;Math;Matrix;")</f>
        <v>Array;Math;Matrix;</v>
      </c>
      <c r="M841" s="20" t="b">
        <f>IFERROR(__xludf.DUMMYFUNCTION("""COMPUTED_VALUE"""),TRUE)</f>
        <v>1</v>
      </c>
      <c r="N841" s="20" t="b">
        <f>IFERROR(__xludf.DUMMYFUNCTION("""COMPUTED_VALUE"""),FALSE)</f>
        <v>0</v>
      </c>
      <c r="O841" s="20">
        <f>IFERROR(__xludf.DUMMYFUNCTION("""COMPUTED_VALUE"""),38.5764084111098)</f>
        <v>38.57640841</v>
      </c>
      <c r="P841" s="20">
        <f>IFERROR(__xludf.DUMMYFUNCTION("""COMPUTED_VALUE"""),34306.0)</f>
        <v>34306</v>
      </c>
      <c r="Q841" s="20">
        <f>IFERROR(__xludf.DUMMYFUNCTION("""COMPUTED_VALUE"""),88930.0)</f>
        <v>88930</v>
      </c>
    </row>
    <row r="842">
      <c r="A842" s="20">
        <f>IFERROR(__xludf.DUMMYFUNCTION("""COMPUTED_VALUE"""),871.0)</f>
        <v>871</v>
      </c>
      <c r="B842" s="20" t="str">
        <f>IFERROR(__xludf.DUMMYFUNCTION("""COMPUTED_VALUE"""),"Keys and Rooms")</f>
        <v>Keys and Rooms</v>
      </c>
      <c r="C842" s="20" t="str">
        <f>IFERROR(__xludf.DUMMYFUNCTION("""COMPUTED_VALUE"""),"keys-and-rooms")</f>
        <v>keys-and-rooms</v>
      </c>
      <c r="D842" s="20" t="b">
        <f>IFERROR(__xludf.DUMMYFUNCTION("""COMPUTED_VALUE"""),FALSE)</f>
        <v>0</v>
      </c>
      <c r="E842" s="20" t="str">
        <f>IFERROR(__xludf.DUMMYFUNCTION("""COMPUTED_VALUE"""),"Medium")</f>
        <v>Medium</v>
      </c>
      <c r="F842" s="20">
        <f>IFERROR(__xludf.DUMMYFUNCTION("""COMPUTED_VALUE"""),4913.0)</f>
        <v>4913</v>
      </c>
      <c r="G842" s="20">
        <f>IFERROR(__xludf.DUMMYFUNCTION("""COMPUTED_VALUE"""),228.0)</f>
        <v>228</v>
      </c>
      <c r="H842" s="20" t="str">
        <f>IFERROR(__xludf.DUMMYFUNCTION("""COMPUTED_VALUE"""),"Algorithms")</f>
        <v>Algorithms</v>
      </c>
      <c r="I842" s="20">
        <f>IFERROR(__xludf.DUMMYFUNCTION("""COMPUTED_VALUE"""),0.712)</f>
        <v>0.712</v>
      </c>
      <c r="J842" s="20">
        <f>IFERROR(__xludf.DUMMYFUNCTION("""COMPUTED_VALUE"""),841.0)</f>
        <v>841</v>
      </c>
      <c r="K842" s="20" t="b">
        <f>IFERROR(__xludf.DUMMYFUNCTION("""COMPUTED_VALUE"""),FALSE)</f>
        <v>0</v>
      </c>
      <c r="L842" s="20" t="str">
        <f>IFERROR(__xludf.DUMMYFUNCTION("""COMPUTED_VALUE"""),"Depth-First Search;Breadth-First Search;Graph;")</f>
        <v>Depth-First Search;Breadth-First Search;Graph;</v>
      </c>
      <c r="M842" s="20" t="b">
        <f>IFERROR(__xludf.DUMMYFUNCTION("""COMPUTED_VALUE"""),TRUE)</f>
        <v>1</v>
      </c>
      <c r="N842" s="20" t="b">
        <f>IFERROR(__xludf.DUMMYFUNCTION("""COMPUTED_VALUE"""),FALSE)</f>
        <v>0</v>
      </c>
      <c r="O842" s="20">
        <f>IFERROR(__xludf.DUMMYFUNCTION("""COMPUTED_VALUE"""),71.236525198623)</f>
        <v>71.2365252</v>
      </c>
      <c r="P842" s="20">
        <f>IFERROR(__xludf.DUMMYFUNCTION("""COMPUTED_VALUE"""),299024.0)</f>
        <v>299024</v>
      </c>
      <c r="Q842" s="20">
        <f>IFERROR(__xludf.DUMMYFUNCTION("""COMPUTED_VALUE"""),419755.0)</f>
        <v>419755</v>
      </c>
    </row>
    <row r="843">
      <c r="A843" s="20">
        <f>IFERROR(__xludf.DUMMYFUNCTION("""COMPUTED_VALUE"""),872.0)</f>
        <v>872</v>
      </c>
      <c r="B843" s="20" t="str">
        <f>IFERROR(__xludf.DUMMYFUNCTION("""COMPUTED_VALUE"""),"Split Array into Fibonacci Sequence")</f>
        <v>Split Array into Fibonacci Sequence</v>
      </c>
      <c r="C843" s="20" t="str">
        <f>IFERROR(__xludf.DUMMYFUNCTION("""COMPUTED_VALUE"""),"split-array-into-fibonacci-sequence")</f>
        <v>split-array-into-fibonacci-sequence</v>
      </c>
      <c r="D843" s="20" t="b">
        <f>IFERROR(__xludf.DUMMYFUNCTION("""COMPUTED_VALUE"""),FALSE)</f>
        <v>0</v>
      </c>
      <c r="E843" s="20" t="str">
        <f>IFERROR(__xludf.DUMMYFUNCTION("""COMPUTED_VALUE"""),"Medium")</f>
        <v>Medium</v>
      </c>
      <c r="F843" s="20">
        <f>IFERROR(__xludf.DUMMYFUNCTION("""COMPUTED_VALUE"""),986.0)</f>
        <v>986</v>
      </c>
      <c r="G843" s="20">
        <f>IFERROR(__xludf.DUMMYFUNCTION("""COMPUTED_VALUE"""),281.0)</f>
        <v>281</v>
      </c>
      <c r="H843" s="20" t="str">
        <f>IFERROR(__xludf.DUMMYFUNCTION("""COMPUTED_VALUE"""),"Algorithms")</f>
        <v>Algorithms</v>
      </c>
      <c r="I843" s="20">
        <f>IFERROR(__xludf.DUMMYFUNCTION("""COMPUTED_VALUE"""),0.383)</f>
        <v>0.383</v>
      </c>
      <c r="J843" s="20">
        <f>IFERROR(__xludf.DUMMYFUNCTION("""COMPUTED_VALUE"""),842.0)</f>
        <v>842</v>
      </c>
      <c r="K843" s="20" t="b">
        <f>IFERROR(__xludf.DUMMYFUNCTION("""COMPUTED_VALUE"""),FALSE)</f>
        <v>0</v>
      </c>
      <c r="L843" s="20" t="str">
        <f>IFERROR(__xludf.DUMMYFUNCTION("""COMPUTED_VALUE"""),"String;Backtracking;")</f>
        <v>String;Backtracking;</v>
      </c>
      <c r="M843" s="20" t="b">
        <f>IFERROR(__xludf.DUMMYFUNCTION("""COMPUTED_VALUE"""),TRUE)</f>
        <v>1</v>
      </c>
      <c r="N843" s="20" t="b">
        <f>IFERROR(__xludf.DUMMYFUNCTION("""COMPUTED_VALUE"""),FALSE)</f>
        <v>0</v>
      </c>
      <c r="O843" s="20">
        <f>IFERROR(__xludf.DUMMYFUNCTION("""COMPUTED_VALUE"""),38.3192786642262)</f>
        <v>38.31927866</v>
      </c>
      <c r="P843" s="20">
        <f>IFERROR(__xludf.DUMMYFUNCTION("""COMPUTED_VALUE"""),34126.0)</f>
        <v>34126</v>
      </c>
      <c r="Q843" s="20">
        <f>IFERROR(__xludf.DUMMYFUNCTION("""COMPUTED_VALUE"""),89057.0)</f>
        <v>89057</v>
      </c>
    </row>
    <row r="844">
      <c r="A844" s="20">
        <f>IFERROR(__xludf.DUMMYFUNCTION("""COMPUTED_VALUE"""),873.0)</f>
        <v>873</v>
      </c>
      <c r="B844" s="20" t="str">
        <f>IFERROR(__xludf.DUMMYFUNCTION("""COMPUTED_VALUE"""),"Guess the Word")</f>
        <v>Guess the Word</v>
      </c>
      <c r="C844" s="20" t="str">
        <f>IFERROR(__xludf.DUMMYFUNCTION("""COMPUTED_VALUE"""),"guess-the-word")</f>
        <v>guess-the-word</v>
      </c>
      <c r="D844" s="20" t="b">
        <f>IFERROR(__xludf.DUMMYFUNCTION("""COMPUTED_VALUE"""),FALSE)</f>
        <v>0</v>
      </c>
      <c r="E844" s="20" t="str">
        <f>IFERROR(__xludf.DUMMYFUNCTION("""COMPUTED_VALUE"""),"Hard")</f>
        <v>Hard</v>
      </c>
      <c r="F844" s="20">
        <f>IFERROR(__xludf.DUMMYFUNCTION("""COMPUTED_VALUE"""),1346.0)</f>
        <v>1346</v>
      </c>
      <c r="G844" s="20">
        <f>IFERROR(__xludf.DUMMYFUNCTION("""COMPUTED_VALUE"""),1608.0)</f>
        <v>1608</v>
      </c>
      <c r="H844" s="20" t="str">
        <f>IFERROR(__xludf.DUMMYFUNCTION("""COMPUTED_VALUE"""),"Algorithms")</f>
        <v>Algorithms</v>
      </c>
      <c r="I844" s="20">
        <f>IFERROR(__xludf.DUMMYFUNCTION("""COMPUTED_VALUE"""),0.416)</f>
        <v>0.416</v>
      </c>
      <c r="J844" s="20">
        <f>IFERROR(__xludf.DUMMYFUNCTION("""COMPUTED_VALUE"""),843.0)</f>
        <v>843</v>
      </c>
      <c r="K844" s="20" t="b">
        <f>IFERROR(__xludf.DUMMYFUNCTION("""COMPUTED_VALUE"""),FALSE)</f>
        <v>0</v>
      </c>
      <c r="L844" s="20" t="str">
        <f>IFERROR(__xludf.DUMMYFUNCTION("""COMPUTED_VALUE"""),"Array;Math;String;Interactive;Game Theory;")</f>
        <v>Array;Math;String;Interactive;Game Theory;</v>
      </c>
      <c r="M844" s="20" t="b">
        <f>IFERROR(__xludf.DUMMYFUNCTION("""COMPUTED_VALUE"""),FALSE)</f>
        <v>0</v>
      </c>
      <c r="N844" s="20" t="b">
        <f>IFERROR(__xludf.DUMMYFUNCTION("""COMPUTED_VALUE"""),FALSE)</f>
        <v>0</v>
      </c>
      <c r="O844" s="20">
        <f>IFERROR(__xludf.DUMMYFUNCTION("""COMPUTED_VALUE"""),41.6299972821515)</f>
        <v>41.62999728</v>
      </c>
      <c r="P844" s="20">
        <f>IFERROR(__xludf.DUMMYFUNCTION("""COMPUTED_VALUE"""),128665.0)</f>
        <v>128665</v>
      </c>
      <c r="Q844" s="20">
        <f>IFERROR(__xludf.DUMMYFUNCTION("""COMPUTED_VALUE"""),309066.0)</f>
        <v>309066</v>
      </c>
    </row>
    <row r="845">
      <c r="A845" s="20">
        <f>IFERROR(__xludf.DUMMYFUNCTION("""COMPUTED_VALUE"""),874.0)</f>
        <v>874</v>
      </c>
      <c r="B845" s="20" t="str">
        <f>IFERROR(__xludf.DUMMYFUNCTION("""COMPUTED_VALUE"""),"Backspace String Compare")</f>
        <v>Backspace String Compare</v>
      </c>
      <c r="C845" s="20" t="str">
        <f>IFERROR(__xludf.DUMMYFUNCTION("""COMPUTED_VALUE"""),"backspace-string-compare")</f>
        <v>backspace-string-compare</v>
      </c>
      <c r="D845" s="20" t="b">
        <f>IFERROR(__xludf.DUMMYFUNCTION("""COMPUTED_VALUE"""),FALSE)</f>
        <v>0</v>
      </c>
      <c r="E845" s="20" t="str">
        <f>IFERROR(__xludf.DUMMYFUNCTION("""COMPUTED_VALUE"""),"Easy")</f>
        <v>Easy</v>
      </c>
      <c r="F845" s="20">
        <f>IFERROR(__xludf.DUMMYFUNCTION("""COMPUTED_VALUE"""),5868.0)</f>
        <v>5868</v>
      </c>
      <c r="G845" s="20">
        <f>IFERROR(__xludf.DUMMYFUNCTION("""COMPUTED_VALUE"""),268.0)</f>
        <v>268</v>
      </c>
      <c r="H845" s="20" t="str">
        <f>IFERROR(__xludf.DUMMYFUNCTION("""COMPUTED_VALUE"""),"Algorithms")</f>
        <v>Algorithms</v>
      </c>
      <c r="I845" s="20">
        <f>IFERROR(__xludf.DUMMYFUNCTION("""COMPUTED_VALUE"""),0.48)</f>
        <v>0.48</v>
      </c>
      <c r="J845" s="20">
        <f>IFERROR(__xludf.DUMMYFUNCTION("""COMPUTED_VALUE"""),844.0)</f>
        <v>844</v>
      </c>
      <c r="K845" s="20" t="b">
        <f>IFERROR(__xludf.DUMMYFUNCTION("""COMPUTED_VALUE"""),FALSE)</f>
        <v>0</v>
      </c>
      <c r="L845" s="20" t="str">
        <f>IFERROR(__xludf.DUMMYFUNCTION("""COMPUTED_VALUE"""),"Two Pointers;String;Stack;Simulation;")</f>
        <v>Two Pointers;String;Stack;Simulation;</v>
      </c>
      <c r="M845" s="20" t="b">
        <f>IFERROR(__xludf.DUMMYFUNCTION("""COMPUTED_VALUE"""),TRUE)</f>
        <v>1</v>
      </c>
      <c r="N845" s="20" t="b">
        <f>IFERROR(__xludf.DUMMYFUNCTION("""COMPUTED_VALUE"""),FALSE)</f>
        <v>0</v>
      </c>
      <c r="O845" s="20">
        <f>IFERROR(__xludf.DUMMYFUNCTION("""COMPUTED_VALUE"""),48.0177664054024)</f>
        <v>48.01776641</v>
      </c>
      <c r="P845" s="20">
        <f>IFERROR(__xludf.DUMMYFUNCTION("""COMPUTED_VALUE"""),582492.0)</f>
        <v>582492</v>
      </c>
      <c r="Q845" s="20">
        <f>IFERROR(__xludf.DUMMYFUNCTION("""COMPUTED_VALUE"""),1213070.0)</f>
        <v>1213070</v>
      </c>
    </row>
    <row r="846">
      <c r="A846" s="20">
        <f>IFERROR(__xludf.DUMMYFUNCTION("""COMPUTED_VALUE"""),875.0)</f>
        <v>875</v>
      </c>
      <c r="B846" s="20" t="str">
        <f>IFERROR(__xludf.DUMMYFUNCTION("""COMPUTED_VALUE"""),"Longest Mountain in Array")</f>
        <v>Longest Mountain in Array</v>
      </c>
      <c r="C846" s="20" t="str">
        <f>IFERROR(__xludf.DUMMYFUNCTION("""COMPUTED_VALUE"""),"longest-mountain-in-array")</f>
        <v>longest-mountain-in-array</v>
      </c>
      <c r="D846" s="20" t="b">
        <f>IFERROR(__xludf.DUMMYFUNCTION("""COMPUTED_VALUE"""),FALSE)</f>
        <v>0</v>
      </c>
      <c r="E846" s="20" t="str">
        <f>IFERROR(__xludf.DUMMYFUNCTION("""COMPUTED_VALUE"""),"Medium")</f>
        <v>Medium</v>
      </c>
      <c r="F846" s="20">
        <f>IFERROR(__xludf.DUMMYFUNCTION("""COMPUTED_VALUE"""),2304.0)</f>
        <v>2304</v>
      </c>
      <c r="G846" s="20">
        <f>IFERROR(__xludf.DUMMYFUNCTION("""COMPUTED_VALUE"""),65.0)</f>
        <v>65</v>
      </c>
      <c r="H846" s="20" t="str">
        <f>IFERROR(__xludf.DUMMYFUNCTION("""COMPUTED_VALUE"""),"Algorithms")</f>
        <v>Algorithms</v>
      </c>
      <c r="I846" s="20">
        <f>IFERROR(__xludf.DUMMYFUNCTION("""COMPUTED_VALUE"""),0.402)</f>
        <v>0.402</v>
      </c>
      <c r="J846" s="20">
        <f>IFERROR(__xludf.DUMMYFUNCTION("""COMPUTED_VALUE"""),845.0)</f>
        <v>845</v>
      </c>
      <c r="K846" s="20" t="b">
        <f>IFERROR(__xludf.DUMMYFUNCTION("""COMPUTED_VALUE"""),FALSE)</f>
        <v>0</v>
      </c>
      <c r="L846" s="20" t="str">
        <f>IFERROR(__xludf.DUMMYFUNCTION("""COMPUTED_VALUE"""),"Array;Two Pointers;Dynamic Programming;Enumeration;")</f>
        <v>Array;Two Pointers;Dynamic Programming;Enumeration;</v>
      </c>
      <c r="M846" s="20" t="b">
        <f>IFERROR(__xludf.DUMMYFUNCTION("""COMPUTED_VALUE"""),TRUE)</f>
        <v>1</v>
      </c>
      <c r="N846" s="20" t="b">
        <f>IFERROR(__xludf.DUMMYFUNCTION("""COMPUTED_VALUE"""),FALSE)</f>
        <v>0</v>
      </c>
      <c r="O846" s="20">
        <f>IFERROR(__xludf.DUMMYFUNCTION("""COMPUTED_VALUE"""),40.2026301252148)</f>
        <v>40.20263013</v>
      </c>
      <c r="P846" s="20">
        <f>IFERROR(__xludf.DUMMYFUNCTION("""COMPUTED_VALUE"""),104797.0)</f>
        <v>104797</v>
      </c>
      <c r="Q846" s="20">
        <f>IFERROR(__xludf.DUMMYFUNCTION("""COMPUTED_VALUE"""),260672.0)</f>
        <v>260672</v>
      </c>
    </row>
    <row r="847">
      <c r="A847" s="20">
        <f>IFERROR(__xludf.DUMMYFUNCTION("""COMPUTED_VALUE"""),876.0)</f>
        <v>876</v>
      </c>
      <c r="B847" s="20" t="str">
        <f>IFERROR(__xludf.DUMMYFUNCTION("""COMPUTED_VALUE"""),"Hand of Straights")</f>
        <v>Hand of Straights</v>
      </c>
      <c r="C847" s="20" t="str">
        <f>IFERROR(__xludf.DUMMYFUNCTION("""COMPUTED_VALUE"""),"hand-of-straights")</f>
        <v>hand-of-straights</v>
      </c>
      <c r="D847" s="20" t="b">
        <f>IFERROR(__xludf.DUMMYFUNCTION("""COMPUTED_VALUE"""),FALSE)</f>
        <v>0</v>
      </c>
      <c r="E847" s="20" t="str">
        <f>IFERROR(__xludf.DUMMYFUNCTION("""COMPUTED_VALUE"""),"Medium")</f>
        <v>Medium</v>
      </c>
      <c r="F847" s="20">
        <f>IFERROR(__xludf.DUMMYFUNCTION("""COMPUTED_VALUE"""),1768.0)</f>
        <v>1768</v>
      </c>
      <c r="G847" s="20">
        <f>IFERROR(__xludf.DUMMYFUNCTION("""COMPUTED_VALUE"""),137.0)</f>
        <v>137</v>
      </c>
      <c r="H847" s="20" t="str">
        <f>IFERROR(__xludf.DUMMYFUNCTION("""COMPUTED_VALUE"""),"Algorithms")</f>
        <v>Algorithms</v>
      </c>
      <c r="I847" s="20">
        <f>IFERROR(__xludf.DUMMYFUNCTION("""COMPUTED_VALUE"""),0.563)</f>
        <v>0.563</v>
      </c>
      <c r="J847" s="20">
        <f>IFERROR(__xludf.DUMMYFUNCTION("""COMPUTED_VALUE"""),846.0)</f>
        <v>846</v>
      </c>
      <c r="K847" s="20" t="b">
        <f>IFERROR(__xludf.DUMMYFUNCTION("""COMPUTED_VALUE"""),FALSE)</f>
        <v>0</v>
      </c>
      <c r="L847" s="20" t="str">
        <f>IFERROR(__xludf.DUMMYFUNCTION("""COMPUTED_VALUE"""),"Array;Hash Table;Greedy;Sorting;")</f>
        <v>Array;Hash Table;Greedy;Sorting;</v>
      </c>
      <c r="M847" s="20" t="b">
        <f>IFERROR(__xludf.DUMMYFUNCTION("""COMPUTED_VALUE"""),FALSE)</f>
        <v>0</v>
      </c>
      <c r="N847" s="20" t="b">
        <f>IFERROR(__xludf.DUMMYFUNCTION("""COMPUTED_VALUE"""),FALSE)</f>
        <v>0</v>
      </c>
      <c r="O847" s="20">
        <f>IFERROR(__xludf.DUMMYFUNCTION("""COMPUTED_VALUE"""),56.3248082242638)</f>
        <v>56.32480822</v>
      </c>
      <c r="P847" s="20">
        <f>IFERROR(__xludf.DUMMYFUNCTION("""COMPUTED_VALUE"""),107715.0)</f>
        <v>107715</v>
      </c>
      <c r="Q847" s="20">
        <f>IFERROR(__xludf.DUMMYFUNCTION("""COMPUTED_VALUE"""),191239.0)</f>
        <v>191239</v>
      </c>
    </row>
    <row r="848">
      <c r="A848" s="20">
        <f>IFERROR(__xludf.DUMMYFUNCTION("""COMPUTED_VALUE"""),877.0)</f>
        <v>877</v>
      </c>
      <c r="B848" s="20" t="str">
        <f>IFERROR(__xludf.DUMMYFUNCTION("""COMPUTED_VALUE"""),"Shortest Path Visiting All Nodes")</f>
        <v>Shortest Path Visiting All Nodes</v>
      </c>
      <c r="C848" s="20" t="str">
        <f>IFERROR(__xludf.DUMMYFUNCTION("""COMPUTED_VALUE"""),"shortest-path-visiting-all-nodes")</f>
        <v>shortest-path-visiting-all-nodes</v>
      </c>
      <c r="D848" s="20" t="b">
        <f>IFERROR(__xludf.DUMMYFUNCTION("""COMPUTED_VALUE"""),FALSE)</f>
        <v>0</v>
      </c>
      <c r="E848" s="20" t="str">
        <f>IFERROR(__xludf.DUMMYFUNCTION("""COMPUTED_VALUE"""),"Hard")</f>
        <v>Hard</v>
      </c>
      <c r="F848" s="20">
        <f>IFERROR(__xludf.DUMMYFUNCTION("""COMPUTED_VALUE"""),3001.0)</f>
        <v>3001</v>
      </c>
      <c r="G848" s="20">
        <f>IFERROR(__xludf.DUMMYFUNCTION("""COMPUTED_VALUE"""),136.0)</f>
        <v>136</v>
      </c>
      <c r="H848" s="20" t="str">
        <f>IFERROR(__xludf.DUMMYFUNCTION("""COMPUTED_VALUE"""),"Algorithms")</f>
        <v>Algorithms</v>
      </c>
      <c r="I848" s="20">
        <f>IFERROR(__xludf.DUMMYFUNCTION("""COMPUTED_VALUE"""),0.612)</f>
        <v>0.612</v>
      </c>
      <c r="J848" s="20">
        <f>IFERROR(__xludf.DUMMYFUNCTION("""COMPUTED_VALUE"""),847.0)</f>
        <v>847</v>
      </c>
      <c r="K848" s="20" t="b">
        <f>IFERROR(__xludf.DUMMYFUNCTION("""COMPUTED_VALUE"""),FALSE)</f>
        <v>0</v>
      </c>
      <c r="L848" s="20" t="str">
        <f>IFERROR(__xludf.DUMMYFUNCTION("""COMPUTED_VALUE"""),"Dynamic Programming;Bit Manipulation;Breadth-First Search;Graph;Bitmask;")</f>
        <v>Dynamic Programming;Bit Manipulation;Breadth-First Search;Graph;Bitmask;</v>
      </c>
      <c r="M848" s="20" t="b">
        <f>IFERROR(__xludf.DUMMYFUNCTION("""COMPUTED_VALUE"""),TRUE)</f>
        <v>1</v>
      </c>
      <c r="N848" s="20" t="b">
        <f>IFERROR(__xludf.DUMMYFUNCTION("""COMPUTED_VALUE"""),FALSE)</f>
        <v>0</v>
      </c>
      <c r="O848" s="20">
        <f>IFERROR(__xludf.DUMMYFUNCTION("""COMPUTED_VALUE"""),61.2013813663676)</f>
        <v>61.20138137</v>
      </c>
      <c r="P848" s="20">
        <f>IFERROR(__xludf.DUMMYFUNCTION("""COMPUTED_VALUE"""),66101.0)</f>
        <v>66101</v>
      </c>
      <c r="Q848" s="20">
        <f>IFERROR(__xludf.DUMMYFUNCTION("""COMPUTED_VALUE"""),108006.0)</f>
        <v>108006</v>
      </c>
    </row>
    <row r="849">
      <c r="A849" s="20">
        <f>IFERROR(__xludf.DUMMYFUNCTION("""COMPUTED_VALUE"""),878.0)</f>
        <v>878</v>
      </c>
      <c r="B849" s="20" t="str">
        <f>IFERROR(__xludf.DUMMYFUNCTION("""COMPUTED_VALUE"""),"Shifting Letters")</f>
        <v>Shifting Letters</v>
      </c>
      <c r="C849" s="20" t="str">
        <f>IFERROR(__xludf.DUMMYFUNCTION("""COMPUTED_VALUE"""),"shifting-letters")</f>
        <v>shifting-letters</v>
      </c>
      <c r="D849" s="20" t="b">
        <f>IFERROR(__xludf.DUMMYFUNCTION("""COMPUTED_VALUE"""),FALSE)</f>
        <v>0</v>
      </c>
      <c r="E849" s="20" t="str">
        <f>IFERROR(__xludf.DUMMYFUNCTION("""COMPUTED_VALUE"""),"Medium")</f>
        <v>Medium</v>
      </c>
      <c r="F849" s="20">
        <f>IFERROR(__xludf.DUMMYFUNCTION("""COMPUTED_VALUE"""),1119.0)</f>
        <v>1119</v>
      </c>
      <c r="G849" s="20">
        <f>IFERROR(__xludf.DUMMYFUNCTION("""COMPUTED_VALUE"""),109.0)</f>
        <v>109</v>
      </c>
      <c r="H849" s="20" t="str">
        <f>IFERROR(__xludf.DUMMYFUNCTION("""COMPUTED_VALUE"""),"Algorithms")</f>
        <v>Algorithms</v>
      </c>
      <c r="I849" s="20">
        <f>IFERROR(__xludf.DUMMYFUNCTION("""COMPUTED_VALUE"""),0.454)</f>
        <v>0.454</v>
      </c>
      <c r="J849" s="20">
        <f>IFERROR(__xludf.DUMMYFUNCTION("""COMPUTED_VALUE"""),848.0)</f>
        <v>848</v>
      </c>
      <c r="K849" s="20" t="b">
        <f>IFERROR(__xludf.DUMMYFUNCTION("""COMPUTED_VALUE"""),FALSE)</f>
        <v>0</v>
      </c>
      <c r="L849" s="20" t="str">
        <f>IFERROR(__xludf.DUMMYFUNCTION("""COMPUTED_VALUE"""),"Array;String;")</f>
        <v>Array;String;</v>
      </c>
      <c r="M849" s="20" t="b">
        <f>IFERROR(__xludf.DUMMYFUNCTION("""COMPUTED_VALUE"""),TRUE)</f>
        <v>1</v>
      </c>
      <c r="N849" s="20" t="b">
        <f>IFERROR(__xludf.DUMMYFUNCTION("""COMPUTED_VALUE"""),FALSE)</f>
        <v>0</v>
      </c>
      <c r="O849" s="20">
        <f>IFERROR(__xludf.DUMMYFUNCTION("""COMPUTED_VALUE"""),45.3561080603769)</f>
        <v>45.35610806</v>
      </c>
      <c r="P849" s="20">
        <f>IFERROR(__xludf.DUMMYFUNCTION("""COMPUTED_VALUE"""),82182.0)</f>
        <v>82182</v>
      </c>
      <c r="Q849" s="20">
        <f>IFERROR(__xludf.DUMMYFUNCTION("""COMPUTED_VALUE"""),181185.0)</f>
        <v>181185</v>
      </c>
    </row>
    <row r="850">
      <c r="A850" s="20">
        <f>IFERROR(__xludf.DUMMYFUNCTION("""COMPUTED_VALUE"""),879.0)</f>
        <v>879</v>
      </c>
      <c r="B850" s="20" t="str">
        <f>IFERROR(__xludf.DUMMYFUNCTION("""COMPUTED_VALUE"""),"Maximize Distance to Closest Person")</f>
        <v>Maximize Distance to Closest Person</v>
      </c>
      <c r="C850" s="20" t="str">
        <f>IFERROR(__xludf.DUMMYFUNCTION("""COMPUTED_VALUE"""),"maximize-distance-to-closest-person")</f>
        <v>maximize-distance-to-closest-person</v>
      </c>
      <c r="D850" s="20" t="b">
        <f>IFERROR(__xludf.DUMMYFUNCTION("""COMPUTED_VALUE"""),FALSE)</f>
        <v>0</v>
      </c>
      <c r="E850" s="20" t="str">
        <f>IFERROR(__xludf.DUMMYFUNCTION("""COMPUTED_VALUE"""),"Medium")</f>
        <v>Medium</v>
      </c>
      <c r="F850" s="20">
        <f>IFERROR(__xludf.DUMMYFUNCTION("""COMPUTED_VALUE"""),2849.0)</f>
        <v>2849</v>
      </c>
      <c r="G850" s="20">
        <f>IFERROR(__xludf.DUMMYFUNCTION("""COMPUTED_VALUE"""),183.0)</f>
        <v>183</v>
      </c>
      <c r="H850" s="20" t="str">
        <f>IFERROR(__xludf.DUMMYFUNCTION("""COMPUTED_VALUE"""),"Algorithms")</f>
        <v>Algorithms</v>
      </c>
      <c r="I850" s="20">
        <f>IFERROR(__xludf.DUMMYFUNCTION("""COMPUTED_VALUE"""),0.476)</f>
        <v>0.476</v>
      </c>
      <c r="J850" s="20">
        <f>IFERROR(__xludf.DUMMYFUNCTION("""COMPUTED_VALUE"""),849.0)</f>
        <v>849</v>
      </c>
      <c r="K850" s="20" t="b">
        <f>IFERROR(__xludf.DUMMYFUNCTION("""COMPUTED_VALUE"""),FALSE)</f>
        <v>0</v>
      </c>
      <c r="L850" s="20" t="str">
        <f>IFERROR(__xludf.DUMMYFUNCTION("""COMPUTED_VALUE"""),"Array;")</f>
        <v>Array;</v>
      </c>
      <c r="M850" s="20" t="b">
        <f>IFERROR(__xludf.DUMMYFUNCTION("""COMPUTED_VALUE"""),TRUE)</f>
        <v>1</v>
      </c>
      <c r="N850" s="20" t="b">
        <f>IFERROR(__xludf.DUMMYFUNCTION("""COMPUTED_VALUE"""),FALSE)</f>
        <v>0</v>
      </c>
      <c r="O850" s="20">
        <f>IFERROR(__xludf.DUMMYFUNCTION("""COMPUTED_VALUE"""),47.5872552896974)</f>
        <v>47.58725529</v>
      </c>
      <c r="P850" s="20">
        <f>IFERROR(__xludf.DUMMYFUNCTION("""COMPUTED_VALUE"""),192519.0)</f>
        <v>192519</v>
      </c>
      <c r="Q850" s="20">
        <f>IFERROR(__xludf.DUMMYFUNCTION("""COMPUTED_VALUE"""),404560.0)</f>
        <v>404560</v>
      </c>
    </row>
    <row r="851">
      <c r="A851" s="20">
        <f>IFERROR(__xludf.DUMMYFUNCTION("""COMPUTED_VALUE"""),880.0)</f>
        <v>880</v>
      </c>
      <c r="B851" s="20" t="str">
        <f>IFERROR(__xludf.DUMMYFUNCTION("""COMPUTED_VALUE"""),"Rectangle Area II")</f>
        <v>Rectangle Area II</v>
      </c>
      <c r="C851" s="20" t="str">
        <f>IFERROR(__xludf.DUMMYFUNCTION("""COMPUTED_VALUE"""),"rectangle-area-ii")</f>
        <v>rectangle-area-ii</v>
      </c>
      <c r="D851" s="20" t="b">
        <f>IFERROR(__xludf.DUMMYFUNCTION("""COMPUTED_VALUE"""),FALSE)</f>
        <v>0</v>
      </c>
      <c r="E851" s="20" t="str">
        <f>IFERROR(__xludf.DUMMYFUNCTION("""COMPUTED_VALUE"""),"Hard")</f>
        <v>Hard</v>
      </c>
      <c r="F851" s="20">
        <f>IFERROR(__xludf.DUMMYFUNCTION("""COMPUTED_VALUE"""),869.0)</f>
        <v>869</v>
      </c>
      <c r="G851" s="20">
        <f>IFERROR(__xludf.DUMMYFUNCTION("""COMPUTED_VALUE"""),56.0)</f>
        <v>56</v>
      </c>
      <c r="H851" s="20" t="str">
        <f>IFERROR(__xludf.DUMMYFUNCTION("""COMPUTED_VALUE"""),"Algorithms")</f>
        <v>Algorithms</v>
      </c>
      <c r="I851" s="20">
        <f>IFERROR(__xludf.DUMMYFUNCTION("""COMPUTED_VALUE"""),0.538)</f>
        <v>0.538</v>
      </c>
      <c r="J851" s="20">
        <f>IFERROR(__xludf.DUMMYFUNCTION("""COMPUTED_VALUE"""),850.0)</f>
        <v>850</v>
      </c>
      <c r="K851" s="20" t="b">
        <f>IFERROR(__xludf.DUMMYFUNCTION("""COMPUTED_VALUE"""),FALSE)</f>
        <v>0</v>
      </c>
      <c r="L851" s="20" t="str">
        <f>IFERROR(__xludf.DUMMYFUNCTION("""COMPUTED_VALUE"""),"Array;Segment Tree;Line Sweep;Ordered Set;")</f>
        <v>Array;Segment Tree;Line Sweep;Ordered Set;</v>
      </c>
      <c r="M851" s="20" t="b">
        <f>IFERROR(__xludf.DUMMYFUNCTION("""COMPUTED_VALUE"""),TRUE)</f>
        <v>1</v>
      </c>
      <c r="N851" s="20" t="b">
        <f>IFERROR(__xludf.DUMMYFUNCTION("""COMPUTED_VALUE"""),FALSE)</f>
        <v>0</v>
      </c>
      <c r="O851" s="20">
        <f>IFERROR(__xludf.DUMMYFUNCTION("""COMPUTED_VALUE"""),53.7509996426809)</f>
        <v>53.75099964</v>
      </c>
      <c r="P851" s="20">
        <f>IFERROR(__xludf.DUMMYFUNCTION("""COMPUTED_VALUE"""),31590.0)</f>
        <v>31590</v>
      </c>
      <c r="Q851" s="20">
        <f>IFERROR(__xludf.DUMMYFUNCTION("""COMPUTED_VALUE"""),58771.0)</f>
        <v>58771</v>
      </c>
    </row>
    <row r="852">
      <c r="A852" s="20">
        <f>IFERROR(__xludf.DUMMYFUNCTION("""COMPUTED_VALUE"""),881.0)</f>
        <v>881</v>
      </c>
      <c r="B852" s="20" t="str">
        <f>IFERROR(__xludf.DUMMYFUNCTION("""COMPUTED_VALUE"""),"Loud and Rich")</f>
        <v>Loud and Rich</v>
      </c>
      <c r="C852" s="20" t="str">
        <f>IFERROR(__xludf.DUMMYFUNCTION("""COMPUTED_VALUE"""),"loud-and-rich")</f>
        <v>loud-and-rich</v>
      </c>
      <c r="D852" s="20" t="b">
        <f>IFERROR(__xludf.DUMMYFUNCTION("""COMPUTED_VALUE"""),FALSE)</f>
        <v>0</v>
      </c>
      <c r="E852" s="20" t="str">
        <f>IFERROR(__xludf.DUMMYFUNCTION("""COMPUTED_VALUE"""),"Medium")</f>
        <v>Medium</v>
      </c>
      <c r="F852" s="20">
        <f>IFERROR(__xludf.DUMMYFUNCTION("""COMPUTED_VALUE"""),878.0)</f>
        <v>878</v>
      </c>
      <c r="G852" s="20">
        <f>IFERROR(__xludf.DUMMYFUNCTION("""COMPUTED_VALUE"""),658.0)</f>
        <v>658</v>
      </c>
      <c r="H852" s="20" t="str">
        <f>IFERROR(__xludf.DUMMYFUNCTION("""COMPUTED_VALUE"""),"Algorithms")</f>
        <v>Algorithms</v>
      </c>
      <c r="I852" s="20">
        <f>IFERROR(__xludf.DUMMYFUNCTION("""COMPUTED_VALUE"""),0.583)</f>
        <v>0.583</v>
      </c>
      <c r="J852" s="20">
        <f>IFERROR(__xludf.DUMMYFUNCTION("""COMPUTED_VALUE"""),851.0)</f>
        <v>851</v>
      </c>
      <c r="K852" s="20" t="b">
        <f>IFERROR(__xludf.DUMMYFUNCTION("""COMPUTED_VALUE"""),FALSE)</f>
        <v>0</v>
      </c>
      <c r="L852" s="20" t="str">
        <f>IFERROR(__xludf.DUMMYFUNCTION("""COMPUTED_VALUE"""),"Array;Depth-First Search;Graph;Topological Sort;")</f>
        <v>Array;Depth-First Search;Graph;Topological Sort;</v>
      </c>
      <c r="M852" s="20" t="b">
        <f>IFERROR(__xludf.DUMMYFUNCTION("""COMPUTED_VALUE"""),TRUE)</f>
        <v>1</v>
      </c>
      <c r="N852" s="20" t="b">
        <f>IFERROR(__xludf.DUMMYFUNCTION("""COMPUTED_VALUE"""),FALSE)</f>
        <v>0</v>
      </c>
      <c r="O852" s="20">
        <f>IFERROR(__xludf.DUMMYFUNCTION("""COMPUTED_VALUE"""),58.3461239649062)</f>
        <v>58.34612396</v>
      </c>
      <c r="P852" s="20">
        <f>IFERROR(__xludf.DUMMYFUNCTION("""COMPUTED_VALUE"""),30791.0)</f>
        <v>30791</v>
      </c>
      <c r="Q852" s="20">
        <f>IFERROR(__xludf.DUMMYFUNCTION("""COMPUTED_VALUE"""),52773.0)</f>
        <v>52773</v>
      </c>
    </row>
    <row r="853">
      <c r="A853" s="20">
        <f>IFERROR(__xludf.DUMMYFUNCTION("""COMPUTED_VALUE"""),882.0)</f>
        <v>882</v>
      </c>
      <c r="B853" s="20" t="str">
        <f>IFERROR(__xludf.DUMMYFUNCTION("""COMPUTED_VALUE"""),"Peak Index in a Mountain Array")</f>
        <v>Peak Index in a Mountain Array</v>
      </c>
      <c r="C853" s="20" t="str">
        <f>IFERROR(__xludf.DUMMYFUNCTION("""COMPUTED_VALUE"""),"peak-index-in-a-mountain-array")</f>
        <v>peak-index-in-a-mountain-array</v>
      </c>
      <c r="D853" s="20" t="b">
        <f>IFERROR(__xludf.DUMMYFUNCTION("""COMPUTED_VALUE"""),FALSE)</f>
        <v>0</v>
      </c>
      <c r="E853" s="20" t="str">
        <f>IFERROR(__xludf.DUMMYFUNCTION("""COMPUTED_VALUE"""),"Medium")</f>
        <v>Medium</v>
      </c>
      <c r="F853" s="20">
        <f>IFERROR(__xludf.DUMMYFUNCTION("""COMPUTED_VALUE"""),4309.0)</f>
        <v>4309</v>
      </c>
      <c r="G853" s="20">
        <f>IFERROR(__xludf.DUMMYFUNCTION("""COMPUTED_VALUE"""),1757.0)</f>
        <v>1757</v>
      </c>
      <c r="H853" s="20" t="str">
        <f>IFERROR(__xludf.DUMMYFUNCTION("""COMPUTED_VALUE"""),"Algorithms")</f>
        <v>Algorithms</v>
      </c>
      <c r="I853" s="20">
        <f>IFERROR(__xludf.DUMMYFUNCTION("""COMPUTED_VALUE"""),0.693)</f>
        <v>0.693</v>
      </c>
      <c r="J853" s="20">
        <f>IFERROR(__xludf.DUMMYFUNCTION("""COMPUTED_VALUE"""),852.0)</f>
        <v>852</v>
      </c>
      <c r="K853" s="20" t="b">
        <f>IFERROR(__xludf.DUMMYFUNCTION("""COMPUTED_VALUE"""),FALSE)</f>
        <v>0</v>
      </c>
      <c r="L853" s="20" t="str">
        <f>IFERROR(__xludf.DUMMYFUNCTION("""COMPUTED_VALUE"""),"Array;Binary Search;")</f>
        <v>Array;Binary Search;</v>
      </c>
      <c r="M853" s="20" t="b">
        <f>IFERROR(__xludf.DUMMYFUNCTION("""COMPUTED_VALUE"""),TRUE)</f>
        <v>1</v>
      </c>
      <c r="N853" s="20" t="b">
        <f>IFERROR(__xludf.DUMMYFUNCTION("""COMPUTED_VALUE"""),FALSE)</f>
        <v>0</v>
      </c>
      <c r="O853" s="20">
        <f>IFERROR(__xludf.DUMMYFUNCTION("""COMPUTED_VALUE"""),69.3475728209653)</f>
        <v>69.34757282</v>
      </c>
      <c r="P853" s="20">
        <f>IFERROR(__xludf.DUMMYFUNCTION("""COMPUTED_VALUE"""),495835.0)</f>
        <v>495835</v>
      </c>
      <c r="Q853" s="20">
        <f>IFERROR(__xludf.DUMMYFUNCTION("""COMPUTED_VALUE"""),714999.0)</f>
        <v>714999</v>
      </c>
    </row>
    <row r="854">
      <c r="A854" s="20">
        <f>IFERROR(__xludf.DUMMYFUNCTION("""COMPUTED_VALUE"""),883.0)</f>
        <v>883</v>
      </c>
      <c r="B854" s="20" t="str">
        <f>IFERROR(__xludf.DUMMYFUNCTION("""COMPUTED_VALUE"""),"Car Fleet")</f>
        <v>Car Fleet</v>
      </c>
      <c r="C854" s="20" t="str">
        <f>IFERROR(__xludf.DUMMYFUNCTION("""COMPUTED_VALUE"""),"car-fleet")</f>
        <v>car-fleet</v>
      </c>
      <c r="D854" s="20" t="b">
        <f>IFERROR(__xludf.DUMMYFUNCTION("""COMPUTED_VALUE"""),FALSE)</f>
        <v>0</v>
      </c>
      <c r="E854" s="20" t="str">
        <f>IFERROR(__xludf.DUMMYFUNCTION("""COMPUTED_VALUE"""),"Medium")</f>
        <v>Medium</v>
      </c>
      <c r="F854" s="20">
        <f>IFERROR(__xludf.DUMMYFUNCTION("""COMPUTED_VALUE"""),2074.0)</f>
        <v>2074</v>
      </c>
      <c r="G854" s="20">
        <f>IFERROR(__xludf.DUMMYFUNCTION("""COMPUTED_VALUE"""),521.0)</f>
        <v>521</v>
      </c>
      <c r="H854" s="20" t="str">
        <f>IFERROR(__xludf.DUMMYFUNCTION("""COMPUTED_VALUE"""),"Algorithms")</f>
        <v>Algorithms</v>
      </c>
      <c r="I854" s="20">
        <f>IFERROR(__xludf.DUMMYFUNCTION("""COMPUTED_VALUE"""),0.502)</f>
        <v>0.502</v>
      </c>
      <c r="J854" s="20">
        <f>IFERROR(__xludf.DUMMYFUNCTION("""COMPUTED_VALUE"""),853.0)</f>
        <v>853</v>
      </c>
      <c r="K854" s="20" t="b">
        <f>IFERROR(__xludf.DUMMYFUNCTION("""COMPUTED_VALUE"""),FALSE)</f>
        <v>0</v>
      </c>
      <c r="L854" s="20" t="str">
        <f>IFERROR(__xludf.DUMMYFUNCTION("""COMPUTED_VALUE"""),"Array;Stack;Sorting;Monotonic Stack;")</f>
        <v>Array;Stack;Sorting;Monotonic Stack;</v>
      </c>
      <c r="M854" s="20" t="b">
        <f>IFERROR(__xludf.DUMMYFUNCTION("""COMPUTED_VALUE"""),FALSE)</f>
        <v>0</v>
      </c>
      <c r="N854" s="20" t="b">
        <f>IFERROR(__xludf.DUMMYFUNCTION("""COMPUTED_VALUE"""),FALSE)</f>
        <v>0</v>
      </c>
      <c r="O854" s="20">
        <f>IFERROR(__xludf.DUMMYFUNCTION("""COMPUTED_VALUE"""),50.1720839648836)</f>
        <v>50.17208396</v>
      </c>
      <c r="P854" s="20">
        <f>IFERROR(__xludf.DUMMYFUNCTION("""COMPUTED_VALUE"""),116184.0)</f>
        <v>116184</v>
      </c>
      <c r="Q854" s="20">
        <f>IFERROR(__xludf.DUMMYFUNCTION("""COMPUTED_VALUE"""),231572.0)</f>
        <v>231572</v>
      </c>
    </row>
    <row r="855">
      <c r="A855" s="20">
        <f>IFERROR(__xludf.DUMMYFUNCTION("""COMPUTED_VALUE"""),884.0)</f>
        <v>884</v>
      </c>
      <c r="B855" s="20" t="str">
        <f>IFERROR(__xludf.DUMMYFUNCTION("""COMPUTED_VALUE"""),"K-Similar Strings")</f>
        <v>K-Similar Strings</v>
      </c>
      <c r="C855" s="20" t="str">
        <f>IFERROR(__xludf.DUMMYFUNCTION("""COMPUTED_VALUE"""),"k-similar-strings")</f>
        <v>k-similar-strings</v>
      </c>
      <c r="D855" s="20" t="b">
        <f>IFERROR(__xludf.DUMMYFUNCTION("""COMPUTED_VALUE"""),FALSE)</f>
        <v>0</v>
      </c>
      <c r="E855" s="20" t="str">
        <f>IFERROR(__xludf.DUMMYFUNCTION("""COMPUTED_VALUE"""),"Hard")</f>
        <v>Hard</v>
      </c>
      <c r="F855" s="20">
        <f>IFERROR(__xludf.DUMMYFUNCTION("""COMPUTED_VALUE"""),977.0)</f>
        <v>977</v>
      </c>
      <c r="G855" s="20">
        <f>IFERROR(__xludf.DUMMYFUNCTION("""COMPUTED_VALUE"""),56.0)</f>
        <v>56</v>
      </c>
      <c r="H855" s="20" t="str">
        <f>IFERROR(__xludf.DUMMYFUNCTION("""COMPUTED_VALUE"""),"Algorithms")</f>
        <v>Algorithms</v>
      </c>
      <c r="I855" s="20">
        <f>IFERROR(__xludf.DUMMYFUNCTION("""COMPUTED_VALUE"""),0.401)</f>
        <v>0.401</v>
      </c>
      <c r="J855" s="20">
        <f>IFERROR(__xludf.DUMMYFUNCTION("""COMPUTED_VALUE"""),854.0)</f>
        <v>854</v>
      </c>
      <c r="K855" s="20" t="b">
        <f>IFERROR(__xludf.DUMMYFUNCTION("""COMPUTED_VALUE"""),FALSE)</f>
        <v>0</v>
      </c>
      <c r="L855" s="20" t="str">
        <f>IFERROR(__xludf.DUMMYFUNCTION("""COMPUTED_VALUE"""),"String;Breadth-First Search;")</f>
        <v>String;Breadth-First Search;</v>
      </c>
      <c r="M855" s="20" t="b">
        <f>IFERROR(__xludf.DUMMYFUNCTION("""COMPUTED_VALUE"""),FALSE)</f>
        <v>0</v>
      </c>
      <c r="N855" s="20" t="b">
        <f>IFERROR(__xludf.DUMMYFUNCTION("""COMPUTED_VALUE"""),FALSE)</f>
        <v>0</v>
      </c>
      <c r="O855" s="20">
        <f>IFERROR(__xludf.DUMMYFUNCTION("""COMPUTED_VALUE"""),40.1447784969653)</f>
        <v>40.1447785</v>
      </c>
      <c r="P855" s="20">
        <f>IFERROR(__xludf.DUMMYFUNCTION("""COMPUTED_VALUE"""),39818.0)</f>
        <v>39818</v>
      </c>
      <c r="Q855" s="20">
        <f>IFERROR(__xludf.DUMMYFUNCTION("""COMPUTED_VALUE"""),99186.0)</f>
        <v>99186</v>
      </c>
    </row>
    <row r="856">
      <c r="A856" s="20">
        <f>IFERROR(__xludf.DUMMYFUNCTION("""COMPUTED_VALUE"""),885.0)</f>
        <v>885</v>
      </c>
      <c r="B856" s="20" t="str">
        <f>IFERROR(__xludf.DUMMYFUNCTION("""COMPUTED_VALUE"""),"Exam Room")</f>
        <v>Exam Room</v>
      </c>
      <c r="C856" s="20" t="str">
        <f>IFERROR(__xludf.DUMMYFUNCTION("""COMPUTED_VALUE"""),"exam-room")</f>
        <v>exam-room</v>
      </c>
      <c r="D856" s="20" t="b">
        <f>IFERROR(__xludf.DUMMYFUNCTION("""COMPUTED_VALUE"""),FALSE)</f>
        <v>0</v>
      </c>
      <c r="E856" s="20" t="str">
        <f>IFERROR(__xludf.DUMMYFUNCTION("""COMPUTED_VALUE"""),"Medium")</f>
        <v>Medium</v>
      </c>
      <c r="F856" s="20">
        <f>IFERROR(__xludf.DUMMYFUNCTION("""COMPUTED_VALUE"""),1112.0)</f>
        <v>1112</v>
      </c>
      <c r="G856" s="20">
        <f>IFERROR(__xludf.DUMMYFUNCTION("""COMPUTED_VALUE"""),424.0)</f>
        <v>424</v>
      </c>
      <c r="H856" s="20" t="str">
        <f>IFERROR(__xludf.DUMMYFUNCTION("""COMPUTED_VALUE"""),"Algorithms")</f>
        <v>Algorithms</v>
      </c>
      <c r="I856" s="20">
        <f>IFERROR(__xludf.DUMMYFUNCTION("""COMPUTED_VALUE"""),0.433)</f>
        <v>0.433</v>
      </c>
      <c r="J856" s="20">
        <f>IFERROR(__xludf.DUMMYFUNCTION("""COMPUTED_VALUE"""),855.0)</f>
        <v>855</v>
      </c>
      <c r="K856" s="20" t="b">
        <f>IFERROR(__xludf.DUMMYFUNCTION("""COMPUTED_VALUE"""),FALSE)</f>
        <v>0</v>
      </c>
      <c r="L856" s="20" t="str">
        <f>IFERROR(__xludf.DUMMYFUNCTION("""COMPUTED_VALUE"""),"Design;Ordered Set;")</f>
        <v>Design;Ordered Set;</v>
      </c>
      <c r="M856" s="20" t="b">
        <f>IFERROR(__xludf.DUMMYFUNCTION("""COMPUTED_VALUE"""),FALSE)</f>
        <v>0</v>
      </c>
      <c r="N856" s="20" t="b">
        <f>IFERROR(__xludf.DUMMYFUNCTION("""COMPUTED_VALUE"""),FALSE)</f>
        <v>0</v>
      </c>
      <c r="O856" s="20">
        <f>IFERROR(__xludf.DUMMYFUNCTION("""COMPUTED_VALUE"""),43.3448541661486)</f>
        <v>43.34485417</v>
      </c>
      <c r="P856" s="20">
        <f>IFERROR(__xludf.DUMMYFUNCTION("""COMPUTED_VALUE"""),52296.0)</f>
        <v>52296</v>
      </c>
      <c r="Q856" s="20">
        <f>IFERROR(__xludf.DUMMYFUNCTION("""COMPUTED_VALUE"""),120651.0)</f>
        <v>120651</v>
      </c>
    </row>
    <row r="857">
      <c r="A857" s="20">
        <f>IFERROR(__xludf.DUMMYFUNCTION("""COMPUTED_VALUE"""),886.0)</f>
        <v>886</v>
      </c>
      <c r="B857" s="20" t="str">
        <f>IFERROR(__xludf.DUMMYFUNCTION("""COMPUTED_VALUE"""),"Score of Parentheses")</f>
        <v>Score of Parentheses</v>
      </c>
      <c r="C857" s="20" t="str">
        <f>IFERROR(__xludf.DUMMYFUNCTION("""COMPUTED_VALUE"""),"score-of-parentheses")</f>
        <v>score-of-parentheses</v>
      </c>
      <c r="D857" s="20" t="b">
        <f>IFERROR(__xludf.DUMMYFUNCTION("""COMPUTED_VALUE"""),FALSE)</f>
        <v>0</v>
      </c>
      <c r="E857" s="20" t="str">
        <f>IFERROR(__xludf.DUMMYFUNCTION("""COMPUTED_VALUE"""),"Medium")</f>
        <v>Medium</v>
      </c>
      <c r="F857" s="20">
        <f>IFERROR(__xludf.DUMMYFUNCTION("""COMPUTED_VALUE"""),4834.0)</f>
        <v>4834</v>
      </c>
      <c r="G857" s="20">
        <f>IFERROR(__xludf.DUMMYFUNCTION("""COMPUTED_VALUE"""),163.0)</f>
        <v>163</v>
      </c>
      <c r="H857" s="20" t="str">
        <f>IFERROR(__xludf.DUMMYFUNCTION("""COMPUTED_VALUE"""),"Algorithms")</f>
        <v>Algorithms</v>
      </c>
      <c r="I857" s="20">
        <f>IFERROR(__xludf.DUMMYFUNCTION("""COMPUTED_VALUE"""),0.65)</f>
        <v>0.65</v>
      </c>
      <c r="J857" s="20">
        <f>IFERROR(__xludf.DUMMYFUNCTION("""COMPUTED_VALUE"""),856.0)</f>
        <v>856</v>
      </c>
      <c r="K857" s="20" t="b">
        <f>IFERROR(__xludf.DUMMYFUNCTION("""COMPUTED_VALUE"""),FALSE)</f>
        <v>0</v>
      </c>
      <c r="L857" s="20" t="str">
        <f>IFERROR(__xludf.DUMMYFUNCTION("""COMPUTED_VALUE"""),"String;Stack;")</f>
        <v>String;Stack;</v>
      </c>
      <c r="M857" s="20" t="b">
        <f>IFERROR(__xludf.DUMMYFUNCTION("""COMPUTED_VALUE"""),TRUE)</f>
        <v>1</v>
      </c>
      <c r="N857" s="20" t="b">
        <f>IFERROR(__xludf.DUMMYFUNCTION("""COMPUTED_VALUE"""),FALSE)</f>
        <v>0</v>
      </c>
      <c r="O857" s="20">
        <f>IFERROR(__xludf.DUMMYFUNCTION("""COMPUTED_VALUE"""),64.9761909846042)</f>
        <v>64.97619098</v>
      </c>
      <c r="P857" s="20">
        <f>IFERROR(__xludf.DUMMYFUNCTION("""COMPUTED_VALUE"""),152145.0)</f>
        <v>152145</v>
      </c>
      <c r="Q857" s="20">
        <f>IFERROR(__xludf.DUMMYFUNCTION("""COMPUTED_VALUE"""),234155.0)</f>
        <v>234155</v>
      </c>
    </row>
    <row r="858">
      <c r="A858" s="20">
        <f>IFERROR(__xludf.DUMMYFUNCTION("""COMPUTED_VALUE"""),887.0)</f>
        <v>887</v>
      </c>
      <c r="B858" s="20" t="str">
        <f>IFERROR(__xludf.DUMMYFUNCTION("""COMPUTED_VALUE"""),"Minimum Cost to Hire K Workers")</f>
        <v>Minimum Cost to Hire K Workers</v>
      </c>
      <c r="C858" s="20" t="str">
        <f>IFERROR(__xludf.DUMMYFUNCTION("""COMPUTED_VALUE"""),"minimum-cost-to-hire-k-workers")</f>
        <v>minimum-cost-to-hire-k-workers</v>
      </c>
      <c r="D858" s="20" t="b">
        <f>IFERROR(__xludf.DUMMYFUNCTION("""COMPUTED_VALUE"""),FALSE)</f>
        <v>0</v>
      </c>
      <c r="E858" s="20" t="str">
        <f>IFERROR(__xludf.DUMMYFUNCTION("""COMPUTED_VALUE"""),"Hard")</f>
        <v>Hard</v>
      </c>
      <c r="F858" s="20">
        <f>IFERROR(__xludf.DUMMYFUNCTION("""COMPUTED_VALUE"""),1882.0)</f>
        <v>1882</v>
      </c>
      <c r="G858" s="20">
        <f>IFERROR(__xludf.DUMMYFUNCTION("""COMPUTED_VALUE"""),234.0)</f>
        <v>234</v>
      </c>
      <c r="H858" s="20" t="str">
        <f>IFERROR(__xludf.DUMMYFUNCTION("""COMPUTED_VALUE"""),"Algorithms")</f>
        <v>Algorithms</v>
      </c>
      <c r="I858" s="20">
        <f>IFERROR(__xludf.DUMMYFUNCTION("""COMPUTED_VALUE"""),0.521)</f>
        <v>0.521</v>
      </c>
      <c r="J858" s="20">
        <f>IFERROR(__xludf.DUMMYFUNCTION("""COMPUTED_VALUE"""),857.0)</f>
        <v>857</v>
      </c>
      <c r="K858" s="20" t="b">
        <f>IFERROR(__xludf.DUMMYFUNCTION("""COMPUTED_VALUE"""),FALSE)</f>
        <v>0</v>
      </c>
      <c r="L858" s="20" t="str">
        <f>IFERROR(__xludf.DUMMYFUNCTION("""COMPUTED_VALUE"""),"Array;Greedy;Sorting;Heap (Priority Queue);")</f>
        <v>Array;Greedy;Sorting;Heap (Priority Queue);</v>
      </c>
      <c r="M858" s="20" t="b">
        <f>IFERROR(__xludf.DUMMYFUNCTION("""COMPUTED_VALUE"""),TRUE)</f>
        <v>1</v>
      </c>
      <c r="N858" s="20" t="b">
        <f>IFERROR(__xludf.DUMMYFUNCTION("""COMPUTED_VALUE"""),FALSE)</f>
        <v>0</v>
      </c>
      <c r="O858" s="20">
        <f>IFERROR(__xludf.DUMMYFUNCTION("""COMPUTED_VALUE"""),52.0900024908438)</f>
        <v>52.09000249</v>
      </c>
      <c r="P858" s="20">
        <f>IFERROR(__xludf.DUMMYFUNCTION("""COMPUTED_VALUE"""),56464.0)</f>
        <v>56464</v>
      </c>
      <c r="Q858" s="20">
        <f>IFERROR(__xludf.DUMMYFUNCTION("""COMPUTED_VALUE"""),108397.0)</f>
        <v>108397</v>
      </c>
    </row>
    <row r="859">
      <c r="A859" s="20">
        <f>IFERROR(__xludf.DUMMYFUNCTION("""COMPUTED_VALUE"""),888.0)</f>
        <v>888</v>
      </c>
      <c r="B859" s="20" t="str">
        <f>IFERROR(__xludf.DUMMYFUNCTION("""COMPUTED_VALUE"""),"Mirror Reflection")</f>
        <v>Mirror Reflection</v>
      </c>
      <c r="C859" s="20" t="str">
        <f>IFERROR(__xludf.DUMMYFUNCTION("""COMPUTED_VALUE"""),"mirror-reflection")</f>
        <v>mirror-reflection</v>
      </c>
      <c r="D859" s="20" t="b">
        <f>IFERROR(__xludf.DUMMYFUNCTION("""COMPUTED_VALUE"""),FALSE)</f>
        <v>0</v>
      </c>
      <c r="E859" s="20" t="str">
        <f>IFERROR(__xludf.DUMMYFUNCTION("""COMPUTED_VALUE"""),"Medium")</f>
        <v>Medium</v>
      </c>
      <c r="F859" s="20">
        <f>IFERROR(__xludf.DUMMYFUNCTION("""COMPUTED_VALUE"""),1032.0)</f>
        <v>1032</v>
      </c>
      <c r="G859" s="20">
        <f>IFERROR(__xludf.DUMMYFUNCTION("""COMPUTED_VALUE"""),2471.0)</f>
        <v>2471</v>
      </c>
      <c r="H859" s="20" t="str">
        <f>IFERROR(__xludf.DUMMYFUNCTION("""COMPUTED_VALUE"""),"Algorithms")</f>
        <v>Algorithms</v>
      </c>
      <c r="I859" s="20">
        <f>IFERROR(__xludf.DUMMYFUNCTION("""COMPUTED_VALUE"""),0.633)</f>
        <v>0.633</v>
      </c>
      <c r="J859" s="20">
        <f>IFERROR(__xludf.DUMMYFUNCTION("""COMPUTED_VALUE"""),858.0)</f>
        <v>858</v>
      </c>
      <c r="K859" s="20" t="b">
        <f>IFERROR(__xludf.DUMMYFUNCTION("""COMPUTED_VALUE"""),FALSE)</f>
        <v>0</v>
      </c>
      <c r="L859" s="20" t="str">
        <f>IFERROR(__xludf.DUMMYFUNCTION("""COMPUTED_VALUE"""),"Math;Geometry;")</f>
        <v>Math;Geometry;</v>
      </c>
      <c r="M859" s="20" t="b">
        <f>IFERROR(__xludf.DUMMYFUNCTION("""COMPUTED_VALUE"""),FALSE)</f>
        <v>0</v>
      </c>
      <c r="N859" s="20" t="b">
        <f>IFERROR(__xludf.DUMMYFUNCTION("""COMPUTED_VALUE"""),FALSE)</f>
        <v>0</v>
      </c>
      <c r="O859" s="20">
        <f>IFERROR(__xludf.DUMMYFUNCTION("""COMPUTED_VALUE"""),63.3026200910377)</f>
        <v>63.30262009</v>
      </c>
      <c r="P859" s="20">
        <f>IFERROR(__xludf.DUMMYFUNCTION("""COMPUTED_VALUE"""),74680.0)</f>
        <v>74680</v>
      </c>
      <c r="Q859" s="20">
        <f>IFERROR(__xludf.DUMMYFUNCTION("""COMPUTED_VALUE"""),117973.0)</f>
        <v>117973</v>
      </c>
    </row>
    <row r="860">
      <c r="A860" s="20">
        <f>IFERROR(__xludf.DUMMYFUNCTION("""COMPUTED_VALUE"""),889.0)</f>
        <v>889</v>
      </c>
      <c r="B860" s="20" t="str">
        <f>IFERROR(__xludf.DUMMYFUNCTION("""COMPUTED_VALUE"""),"Buddy Strings")</f>
        <v>Buddy Strings</v>
      </c>
      <c r="C860" s="20" t="str">
        <f>IFERROR(__xludf.DUMMYFUNCTION("""COMPUTED_VALUE"""),"buddy-strings")</f>
        <v>buddy-strings</v>
      </c>
      <c r="D860" s="20" t="b">
        <f>IFERROR(__xludf.DUMMYFUNCTION("""COMPUTED_VALUE"""),FALSE)</f>
        <v>0</v>
      </c>
      <c r="E860" s="20" t="str">
        <f>IFERROR(__xludf.DUMMYFUNCTION("""COMPUTED_VALUE"""),"Easy")</f>
        <v>Easy</v>
      </c>
      <c r="F860" s="20">
        <f>IFERROR(__xludf.DUMMYFUNCTION("""COMPUTED_VALUE"""),1695.0)</f>
        <v>1695</v>
      </c>
      <c r="G860" s="20">
        <f>IFERROR(__xludf.DUMMYFUNCTION("""COMPUTED_VALUE"""),1079.0)</f>
        <v>1079</v>
      </c>
      <c r="H860" s="20" t="str">
        <f>IFERROR(__xludf.DUMMYFUNCTION("""COMPUTED_VALUE"""),"Algorithms")</f>
        <v>Algorithms</v>
      </c>
      <c r="I860" s="20">
        <f>IFERROR(__xludf.DUMMYFUNCTION("""COMPUTED_VALUE"""),0.291)</f>
        <v>0.291</v>
      </c>
      <c r="J860" s="20">
        <f>IFERROR(__xludf.DUMMYFUNCTION("""COMPUTED_VALUE"""),859.0)</f>
        <v>859</v>
      </c>
      <c r="K860" s="20" t="b">
        <f>IFERROR(__xludf.DUMMYFUNCTION("""COMPUTED_VALUE"""),FALSE)</f>
        <v>0</v>
      </c>
      <c r="L860" s="20" t="str">
        <f>IFERROR(__xludf.DUMMYFUNCTION("""COMPUTED_VALUE"""),"Hash Table;String;")</f>
        <v>Hash Table;String;</v>
      </c>
      <c r="M860" s="20" t="b">
        <f>IFERROR(__xludf.DUMMYFUNCTION("""COMPUTED_VALUE"""),TRUE)</f>
        <v>1</v>
      </c>
      <c r="N860" s="20" t="b">
        <f>IFERROR(__xludf.DUMMYFUNCTION("""COMPUTED_VALUE"""),FALSE)</f>
        <v>0</v>
      </c>
      <c r="O860" s="20">
        <f>IFERROR(__xludf.DUMMYFUNCTION("""COMPUTED_VALUE"""),29.1287397060356)</f>
        <v>29.12873971</v>
      </c>
      <c r="P860" s="20">
        <f>IFERROR(__xludf.DUMMYFUNCTION("""COMPUTED_VALUE"""),139716.0)</f>
        <v>139716</v>
      </c>
      <c r="Q860" s="20">
        <f>IFERROR(__xludf.DUMMYFUNCTION("""COMPUTED_VALUE"""),479648.0)</f>
        <v>479648</v>
      </c>
    </row>
    <row r="861">
      <c r="A861" s="20">
        <f>IFERROR(__xludf.DUMMYFUNCTION("""COMPUTED_VALUE"""),890.0)</f>
        <v>890</v>
      </c>
      <c r="B861" s="20" t="str">
        <f>IFERROR(__xludf.DUMMYFUNCTION("""COMPUTED_VALUE"""),"Lemonade Change")</f>
        <v>Lemonade Change</v>
      </c>
      <c r="C861" s="20" t="str">
        <f>IFERROR(__xludf.DUMMYFUNCTION("""COMPUTED_VALUE"""),"lemonade-change")</f>
        <v>lemonade-change</v>
      </c>
      <c r="D861" s="20" t="b">
        <f>IFERROR(__xludf.DUMMYFUNCTION("""COMPUTED_VALUE"""),FALSE)</f>
        <v>0</v>
      </c>
      <c r="E861" s="20" t="str">
        <f>IFERROR(__xludf.DUMMYFUNCTION("""COMPUTED_VALUE"""),"Easy")</f>
        <v>Easy</v>
      </c>
      <c r="F861" s="20">
        <f>IFERROR(__xludf.DUMMYFUNCTION("""COMPUTED_VALUE"""),1558.0)</f>
        <v>1558</v>
      </c>
      <c r="G861" s="20">
        <f>IFERROR(__xludf.DUMMYFUNCTION("""COMPUTED_VALUE"""),134.0)</f>
        <v>134</v>
      </c>
      <c r="H861" s="20" t="str">
        <f>IFERROR(__xludf.DUMMYFUNCTION("""COMPUTED_VALUE"""),"Algorithms")</f>
        <v>Algorithms</v>
      </c>
      <c r="I861" s="20">
        <f>IFERROR(__xludf.DUMMYFUNCTION("""COMPUTED_VALUE"""),0.528)</f>
        <v>0.528</v>
      </c>
      <c r="J861" s="20">
        <f>IFERROR(__xludf.DUMMYFUNCTION("""COMPUTED_VALUE"""),860.0)</f>
        <v>860</v>
      </c>
      <c r="K861" s="20" t="b">
        <f>IFERROR(__xludf.DUMMYFUNCTION("""COMPUTED_VALUE"""),FALSE)</f>
        <v>0</v>
      </c>
      <c r="L861" s="20" t="str">
        <f>IFERROR(__xludf.DUMMYFUNCTION("""COMPUTED_VALUE"""),"Array;Greedy;")</f>
        <v>Array;Greedy;</v>
      </c>
      <c r="M861" s="20" t="b">
        <f>IFERROR(__xludf.DUMMYFUNCTION("""COMPUTED_VALUE"""),TRUE)</f>
        <v>1</v>
      </c>
      <c r="N861" s="20" t="b">
        <f>IFERROR(__xludf.DUMMYFUNCTION("""COMPUTED_VALUE"""),FALSE)</f>
        <v>0</v>
      </c>
      <c r="O861" s="20">
        <f>IFERROR(__xludf.DUMMYFUNCTION("""COMPUTED_VALUE"""),52.8291170053553)</f>
        <v>52.82911701</v>
      </c>
      <c r="P861" s="20">
        <f>IFERROR(__xludf.DUMMYFUNCTION("""COMPUTED_VALUE"""),117193.0)</f>
        <v>117193</v>
      </c>
      <c r="Q861" s="20">
        <f>IFERROR(__xludf.DUMMYFUNCTION("""COMPUTED_VALUE"""),221835.0)</f>
        <v>221835</v>
      </c>
    </row>
    <row r="862">
      <c r="A862" s="20">
        <f>IFERROR(__xludf.DUMMYFUNCTION("""COMPUTED_VALUE"""),891.0)</f>
        <v>891</v>
      </c>
      <c r="B862" s="20" t="str">
        <f>IFERROR(__xludf.DUMMYFUNCTION("""COMPUTED_VALUE"""),"Score After Flipping Matrix")</f>
        <v>Score After Flipping Matrix</v>
      </c>
      <c r="C862" s="20" t="str">
        <f>IFERROR(__xludf.DUMMYFUNCTION("""COMPUTED_VALUE"""),"score-after-flipping-matrix")</f>
        <v>score-after-flipping-matrix</v>
      </c>
      <c r="D862" s="20" t="b">
        <f>IFERROR(__xludf.DUMMYFUNCTION("""COMPUTED_VALUE"""),FALSE)</f>
        <v>0</v>
      </c>
      <c r="E862" s="20" t="str">
        <f>IFERROR(__xludf.DUMMYFUNCTION("""COMPUTED_VALUE"""),"Medium")</f>
        <v>Medium</v>
      </c>
      <c r="F862" s="20">
        <f>IFERROR(__xludf.DUMMYFUNCTION("""COMPUTED_VALUE"""),1286.0)</f>
        <v>1286</v>
      </c>
      <c r="G862" s="20">
        <f>IFERROR(__xludf.DUMMYFUNCTION("""COMPUTED_VALUE"""),170.0)</f>
        <v>170</v>
      </c>
      <c r="H862" s="20" t="str">
        <f>IFERROR(__xludf.DUMMYFUNCTION("""COMPUTED_VALUE"""),"Algorithms")</f>
        <v>Algorithms</v>
      </c>
      <c r="I862" s="20">
        <f>IFERROR(__xludf.DUMMYFUNCTION("""COMPUTED_VALUE"""),0.751)</f>
        <v>0.751</v>
      </c>
      <c r="J862" s="20">
        <f>IFERROR(__xludf.DUMMYFUNCTION("""COMPUTED_VALUE"""),861.0)</f>
        <v>861</v>
      </c>
      <c r="K862" s="20" t="b">
        <f>IFERROR(__xludf.DUMMYFUNCTION("""COMPUTED_VALUE"""),FALSE)</f>
        <v>0</v>
      </c>
      <c r="L862" s="20" t="str">
        <f>IFERROR(__xludf.DUMMYFUNCTION("""COMPUTED_VALUE"""),"Array;Greedy;Bit Manipulation;Matrix;")</f>
        <v>Array;Greedy;Bit Manipulation;Matrix;</v>
      </c>
      <c r="M862" s="20" t="b">
        <f>IFERROR(__xludf.DUMMYFUNCTION("""COMPUTED_VALUE"""),TRUE)</f>
        <v>1</v>
      </c>
      <c r="N862" s="20" t="b">
        <f>IFERROR(__xludf.DUMMYFUNCTION("""COMPUTED_VALUE"""),FALSE)</f>
        <v>0</v>
      </c>
      <c r="O862" s="20">
        <f>IFERROR(__xludf.DUMMYFUNCTION("""COMPUTED_VALUE"""),75.0868552666743)</f>
        <v>75.08685527</v>
      </c>
      <c r="P862" s="20">
        <f>IFERROR(__xludf.DUMMYFUNCTION("""COMPUTED_VALUE"""),39335.0)</f>
        <v>39335</v>
      </c>
      <c r="Q862" s="20">
        <f>IFERROR(__xludf.DUMMYFUNCTION("""COMPUTED_VALUE"""),52386.0)</f>
        <v>52386</v>
      </c>
    </row>
    <row r="863">
      <c r="A863" s="20">
        <f>IFERROR(__xludf.DUMMYFUNCTION("""COMPUTED_VALUE"""),892.0)</f>
        <v>892</v>
      </c>
      <c r="B863" s="20" t="str">
        <f>IFERROR(__xludf.DUMMYFUNCTION("""COMPUTED_VALUE"""),"Shortest Subarray with Sum at Least K")</f>
        <v>Shortest Subarray with Sum at Least K</v>
      </c>
      <c r="C863" s="20" t="str">
        <f>IFERROR(__xludf.DUMMYFUNCTION("""COMPUTED_VALUE"""),"shortest-subarray-with-sum-at-least-k")</f>
        <v>shortest-subarray-with-sum-at-least-k</v>
      </c>
      <c r="D863" s="20" t="b">
        <f>IFERROR(__xludf.DUMMYFUNCTION("""COMPUTED_VALUE"""),FALSE)</f>
        <v>0</v>
      </c>
      <c r="E863" s="20" t="str">
        <f>IFERROR(__xludf.DUMMYFUNCTION("""COMPUTED_VALUE"""),"Hard")</f>
        <v>Hard</v>
      </c>
      <c r="F863" s="20">
        <f>IFERROR(__xludf.DUMMYFUNCTION("""COMPUTED_VALUE"""),3516.0)</f>
        <v>3516</v>
      </c>
      <c r="G863" s="20">
        <f>IFERROR(__xludf.DUMMYFUNCTION("""COMPUTED_VALUE"""),93.0)</f>
        <v>93</v>
      </c>
      <c r="H863" s="20" t="str">
        <f>IFERROR(__xludf.DUMMYFUNCTION("""COMPUTED_VALUE"""),"Algorithms")</f>
        <v>Algorithms</v>
      </c>
      <c r="I863" s="20">
        <f>IFERROR(__xludf.DUMMYFUNCTION("""COMPUTED_VALUE"""),0.261)</f>
        <v>0.261</v>
      </c>
      <c r="J863" s="20">
        <f>IFERROR(__xludf.DUMMYFUNCTION("""COMPUTED_VALUE"""),862.0)</f>
        <v>862</v>
      </c>
      <c r="K863" s="20" t="b">
        <f>IFERROR(__xludf.DUMMYFUNCTION("""COMPUTED_VALUE"""),FALSE)</f>
        <v>0</v>
      </c>
      <c r="L863" s="20" t="str">
        <f>IFERROR(__xludf.DUMMYFUNCTION("""COMPUTED_VALUE"""),"Array;Binary Search;Queue;Sliding Window;Heap (Priority Queue);Prefix Sum;Monotonic Queue;")</f>
        <v>Array;Binary Search;Queue;Sliding Window;Heap (Priority Queue);Prefix Sum;Monotonic Queue;</v>
      </c>
      <c r="M863" s="20" t="b">
        <f>IFERROR(__xludf.DUMMYFUNCTION("""COMPUTED_VALUE"""),TRUE)</f>
        <v>1</v>
      </c>
      <c r="N863" s="20" t="b">
        <f>IFERROR(__xludf.DUMMYFUNCTION("""COMPUTED_VALUE"""),FALSE)</f>
        <v>0</v>
      </c>
      <c r="O863" s="20">
        <f>IFERROR(__xludf.DUMMYFUNCTION("""COMPUTED_VALUE"""),26.0935717002662)</f>
        <v>26.0935717</v>
      </c>
      <c r="P863" s="20">
        <f>IFERROR(__xludf.DUMMYFUNCTION("""COMPUTED_VALUE"""),81634.0)</f>
        <v>81634</v>
      </c>
      <c r="Q863" s="20">
        <f>IFERROR(__xludf.DUMMYFUNCTION("""COMPUTED_VALUE"""),312851.0)</f>
        <v>312851</v>
      </c>
    </row>
    <row r="864">
      <c r="A864" s="20">
        <f>IFERROR(__xludf.DUMMYFUNCTION("""COMPUTED_VALUE"""),893.0)</f>
        <v>893</v>
      </c>
      <c r="B864" s="20" t="str">
        <f>IFERROR(__xludf.DUMMYFUNCTION("""COMPUTED_VALUE"""),"All Nodes Distance K in Binary Tree")</f>
        <v>All Nodes Distance K in Binary Tree</v>
      </c>
      <c r="C864" s="20" t="str">
        <f>IFERROR(__xludf.DUMMYFUNCTION("""COMPUTED_VALUE"""),"all-nodes-distance-k-in-binary-tree")</f>
        <v>all-nodes-distance-k-in-binary-tree</v>
      </c>
      <c r="D864" s="20" t="b">
        <f>IFERROR(__xludf.DUMMYFUNCTION("""COMPUTED_VALUE"""),FALSE)</f>
        <v>0</v>
      </c>
      <c r="E864" s="20" t="str">
        <f>IFERROR(__xludf.DUMMYFUNCTION("""COMPUTED_VALUE"""),"Medium")</f>
        <v>Medium</v>
      </c>
      <c r="F864" s="20">
        <f>IFERROR(__xludf.DUMMYFUNCTION("""COMPUTED_VALUE"""),7858.0)</f>
        <v>7858</v>
      </c>
      <c r="G864" s="20">
        <f>IFERROR(__xludf.DUMMYFUNCTION("""COMPUTED_VALUE"""),156.0)</f>
        <v>156</v>
      </c>
      <c r="H864" s="20" t="str">
        <f>IFERROR(__xludf.DUMMYFUNCTION("""COMPUTED_VALUE"""),"Algorithms")</f>
        <v>Algorithms</v>
      </c>
      <c r="I864" s="20">
        <f>IFERROR(__xludf.DUMMYFUNCTION("""COMPUTED_VALUE"""),0.622)</f>
        <v>0.622</v>
      </c>
      <c r="J864" s="20">
        <f>IFERROR(__xludf.DUMMYFUNCTION("""COMPUTED_VALUE"""),863.0)</f>
        <v>863</v>
      </c>
      <c r="K864" s="20" t="b">
        <f>IFERROR(__xludf.DUMMYFUNCTION("""COMPUTED_VALUE"""),FALSE)</f>
        <v>0</v>
      </c>
      <c r="L864" s="20" t="str">
        <f>IFERROR(__xludf.DUMMYFUNCTION("""COMPUTED_VALUE"""),"Tree;Depth-First Search;Breadth-First Search;Binary Tree;")</f>
        <v>Tree;Depth-First Search;Breadth-First Search;Binary Tree;</v>
      </c>
      <c r="M864" s="20" t="b">
        <f>IFERROR(__xludf.DUMMYFUNCTION("""COMPUTED_VALUE"""),TRUE)</f>
        <v>1</v>
      </c>
      <c r="N864" s="20" t="b">
        <f>IFERROR(__xludf.DUMMYFUNCTION("""COMPUTED_VALUE"""),FALSE)</f>
        <v>0</v>
      </c>
      <c r="O864" s="20">
        <f>IFERROR(__xludf.DUMMYFUNCTION("""COMPUTED_VALUE"""),62.166696039843)</f>
        <v>62.16669604</v>
      </c>
      <c r="P864" s="20">
        <f>IFERROR(__xludf.DUMMYFUNCTION("""COMPUTED_VALUE"""),285718.0)</f>
        <v>285718</v>
      </c>
      <c r="Q864" s="20">
        <f>IFERROR(__xludf.DUMMYFUNCTION("""COMPUTED_VALUE"""),459598.0)</f>
        <v>459598</v>
      </c>
    </row>
    <row r="865">
      <c r="A865" s="20">
        <f>IFERROR(__xludf.DUMMYFUNCTION("""COMPUTED_VALUE"""),895.0)</f>
        <v>895</v>
      </c>
      <c r="B865" s="20" t="str">
        <f>IFERROR(__xludf.DUMMYFUNCTION("""COMPUTED_VALUE"""),"Shortest Path to Get All Keys")</f>
        <v>Shortest Path to Get All Keys</v>
      </c>
      <c r="C865" s="20" t="str">
        <f>IFERROR(__xludf.DUMMYFUNCTION("""COMPUTED_VALUE"""),"shortest-path-to-get-all-keys")</f>
        <v>shortest-path-to-get-all-keys</v>
      </c>
      <c r="D865" s="20" t="b">
        <f>IFERROR(__xludf.DUMMYFUNCTION("""COMPUTED_VALUE"""),FALSE)</f>
        <v>0</v>
      </c>
      <c r="E865" s="20" t="str">
        <f>IFERROR(__xludf.DUMMYFUNCTION("""COMPUTED_VALUE"""),"Hard")</f>
        <v>Hard</v>
      </c>
      <c r="F865" s="20">
        <f>IFERROR(__xludf.DUMMYFUNCTION("""COMPUTED_VALUE"""),920.0)</f>
        <v>920</v>
      </c>
      <c r="G865" s="20">
        <f>IFERROR(__xludf.DUMMYFUNCTION("""COMPUTED_VALUE"""),39.0)</f>
        <v>39</v>
      </c>
      <c r="H865" s="20" t="str">
        <f>IFERROR(__xludf.DUMMYFUNCTION("""COMPUTED_VALUE"""),"Algorithms")</f>
        <v>Algorithms</v>
      </c>
      <c r="I865" s="20">
        <f>IFERROR(__xludf.DUMMYFUNCTION("""COMPUTED_VALUE"""),0.455)</f>
        <v>0.455</v>
      </c>
      <c r="J865" s="20">
        <f>IFERROR(__xludf.DUMMYFUNCTION("""COMPUTED_VALUE"""),864.0)</f>
        <v>864</v>
      </c>
      <c r="K865" s="20" t="b">
        <f>IFERROR(__xludf.DUMMYFUNCTION("""COMPUTED_VALUE"""),FALSE)</f>
        <v>0</v>
      </c>
      <c r="L865" s="20" t="str">
        <f>IFERROR(__xludf.DUMMYFUNCTION("""COMPUTED_VALUE"""),"Array;Bit Manipulation;Breadth-First Search;Matrix;")</f>
        <v>Array;Bit Manipulation;Breadth-First Search;Matrix;</v>
      </c>
      <c r="M865" s="20" t="b">
        <f>IFERROR(__xludf.DUMMYFUNCTION("""COMPUTED_VALUE"""),FALSE)</f>
        <v>0</v>
      </c>
      <c r="N865" s="20" t="b">
        <f>IFERROR(__xludf.DUMMYFUNCTION("""COMPUTED_VALUE"""),FALSE)</f>
        <v>0</v>
      </c>
      <c r="O865" s="20">
        <f>IFERROR(__xludf.DUMMYFUNCTION("""COMPUTED_VALUE"""),45.5063705180524)</f>
        <v>45.50637052</v>
      </c>
      <c r="P865" s="20">
        <f>IFERROR(__xludf.DUMMYFUNCTION("""COMPUTED_VALUE"""),29216.0)</f>
        <v>29216</v>
      </c>
      <c r="Q865" s="20">
        <f>IFERROR(__xludf.DUMMYFUNCTION("""COMPUTED_VALUE"""),64200.0)</f>
        <v>64200</v>
      </c>
    </row>
    <row r="866">
      <c r="A866" s="20">
        <f>IFERROR(__xludf.DUMMYFUNCTION("""COMPUTED_VALUE"""),896.0)</f>
        <v>896</v>
      </c>
      <c r="B866" s="20" t="str">
        <f>IFERROR(__xludf.DUMMYFUNCTION("""COMPUTED_VALUE"""),"Smallest Subtree with all the Deepest Nodes")</f>
        <v>Smallest Subtree with all the Deepest Nodes</v>
      </c>
      <c r="C866" s="20" t="str">
        <f>IFERROR(__xludf.DUMMYFUNCTION("""COMPUTED_VALUE"""),"smallest-subtree-with-all-the-deepest-nodes")</f>
        <v>smallest-subtree-with-all-the-deepest-nodes</v>
      </c>
      <c r="D866" s="20" t="b">
        <f>IFERROR(__xludf.DUMMYFUNCTION("""COMPUTED_VALUE"""),FALSE)</f>
        <v>0</v>
      </c>
      <c r="E866" s="20" t="str">
        <f>IFERROR(__xludf.DUMMYFUNCTION("""COMPUTED_VALUE"""),"Medium")</f>
        <v>Medium</v>
      </c>
      <c r="F866" s="20">
        <f>IFERROR(__xludf.DUMMYFUNCTION("""COMPUTED_VALUE"""),2262.0)</f>
        <v>2262</v>
      </c>
      <c r="G866" s="20">
        <f>IFERROR(__xludf.DUMMYFUNCTION("""COMPUTED_VALUE"""),342.0)</f>
        <v>342</v>
      </c>
      <c r="H866" s="20" t="str">
        <f>IFERROR(__xludf.DUMMYFUNCTION("""COMPUTED_VALUE"""),"Algorithms")</f>
        <v>Algorithms</v>
      </c>
      <c r="I866" s="20">
        <f>IFERROR(__xludf.DUMMYFUNCTION("""COMPUTED_VALUE"""),0.687)</f>
        <v>0.687</v>
      </c>
      <c r="J866" s="20">
        <f>IFERROR(__xludf.DUMMYFUNCTION("""COMPUTED_VALUE"""),865.0)</f>
        <v>865</v>
      </c>
      <c r="K866" s="20" t="b">
        <f>IFERROR(__xludf.DUMMYFUNCTION("""COMPUTED_VALUE"""),FALSE)</f>
        <v>0</v>
      </c>
      <c r="L866" s="20" t="str">
        <f>IFERROR(__xludf.DUMMYFUNCTION("""COMPUTED_VALUE"""),"Hash Table;Tree;Depth-First Search;Breadth-First Search;Binary Tree;")</f>
        <v>Hash Table;Tree;Depth-First Search;Breadth-First Search;Binary Tree;</v>
      </c>
      <c r="M866" s="20" t="b">
        <f>IFERROR(__xludf.DUMMYFUNCTION("""COMPUTED_VALUE"""),TRUE)</f>
        <v>1</v>
      </c>
      <c r="N866" s="20" t="b">
        <f>IFERROR(__xludf.DUMMYFUNCTION("""COMPUTED_VALUE"""),FALSE)</f>
        <v>0</v>
      </c>
      <c r="O866" s="20">
        <f>IFERROR(__xludf.DUMMYFUNCTION("""COMPUTED_VALUE"""),68.6871637576377)</f>
        <v>68.68716376</v>
      </c>
      <c r="P866" s="20">
        <f>IFERROR(__xludf.DUMMYFUNCTION("""COMPUTED_VALUE"""),112864.0)</f>
        <v>112864</v>
      </c>
      <c r="Q866" s="20">
        <f>IFERROR(__xludf.DUMMYFUNCTION("""COMPUTED_VALUE"""),164316.0)</f>
        <v>164316</v>
      </c>
    </row>
    <row r="867">
      <c r="A867" s="20">
        <f>IFERROR(__xludf.DUMMYFUNCTION("""COMPUTED_VALUE"""),897.0)</f>
        <v>897</v>
      </c>
      <c r="B867" s="20" t="str">
        <f>IFERROR(__xludf.DUMMYFUNCTION("""COMPUTED_VALUE"""),"Prime Palindrome")</f>
        <v>Prime Palindrome</v>
      </c>
      <c r="C867" s="20" t="str">
        <f>IFERROR(__xludf.DUMMYFUNCTION("""COMPUTED_VALUE"""),"prime-palindrome")</f>
        <v>prime-palindrome</v>
      </c>
      <c r="D867" s="20" t="b">
        <f>IFERROR(__xludf.DUMMYFUNCTION("""COMPUTED_VALUE"""),FALSE)</f>
        <v>0</v>
      </c>
      <c r="E867" s="20" t="str">
        <f>IFERROR(__xludf.DUMMYFUNCTION("""COMPUTED_VALUE"""),"Medium")</f>
        <v>Medium</v>
      </c>
      <c r="F867" s="20">
        <f>IFERROR(__xludf.DUMMYFUNCTION("""COMPUTED_VALUE"""),355.0)</f>
        <v>355</v>
      </c>
      <c r="G867" s="20">
        <f>IFERROR(__xludf.DUMMYFUNCTION("""COMPUTED_VALUE"""),749.0)</f>
        <v>749</v>
      </c>
      <c r="H867" s="20" t="str">
        <f>IFERROR(__xludf.DUMMYFUNCTION("""COMPUTED_VALUE"""),"Algorithms")</f>
        <v>Algorithms</v>
      </c>
      <c r="I867" s="20">
        <f>IFERROR(__xludf.DUMMYFUNCTION("""COMPUTED_VALUE"""),0.258)</f>
        <v>0.258</v>
      </c>
      <c r="J867" s="20">
        <f>IFERROR(__xludf.DUMMYFUNCTION("""COMPUTED_VALUE"""),866.0)</f>
        <v>866</v>
      </c>
      <c r="K867" s="20" t="b">
        <f>IFERROR(__xludf.DUMMYFUNCTION("""COMPUTED_VALUE"""),FALSE)</f>
        <v>0</v>
      </c>
      <c r="L867" s="20" t="str">
        <f>IFERROR(__xludf.DUMMYFUNCTION("""COMPUTED_VALUE"""),"Math;")</f>
        <v>Math;</v>
      </c>
      <c r="M867" s="20" t="b">
        <f>IFERROR(__xludf.DUMMYFUNCTION("""COMPUTED_VALUE"""),TRUE)</f>
        <v>1</v>
      </c>
      <c r="N867" s="20" t="b">
        <f>IFERROR(__xludf.DUMMYFUNCTION("""COMPUTED_VALUE"""),FALSE)</f>
        <v>0</v>
      </c>
      <c r="O867" s="20">
        <f>IFERROR(__xludf.DUMMYFUNCTION("""COMPUTED_VALUE"""),25.7923106591535)</f>
        <v>25.79231066</v>
      </c>
      <c r="P867" s="20">
        <f>IFERROR(__xludf.DUMMYFUNCTION("""COMPUTED_VALUE"""),27418.0)</f>
        <v>27418</v>
      </c>
      <c r="Q867" s="20">
        <f>IFERROR(__xludf.DUMMYFUNCTION("""COMPUTED_VALUE"""),106303.0)</f>
        <v>106303</v>
      </c>
    </row>
    <row r="868">
      <c r="A868" s="20">
        <f>IFERROR(__xludf.DUMMYFUNCTION("""COMPUTED_VALUE"""),898.0)</f>
        <v>898</v>
      </c>
      <c r="B868" s="20" t="str">
        <f>IFERROR(__xludf.DUMMYFUNCTION("""COMPUTED_VALUE"""),"Transpose Matrix")</f>
        <v>Transpose Matrix</v>
      </c>
      <c r="C868" s="20" t="str">
        <f>IFERROR(__xludf.DUMMYFUNCTION("""COMPUTED_VALUE"""),"transpose-matrix")</f>
        <v>transpose-matrix</v>
      </c>
      <c r="D868" s="20" t="b">
        <f>IFERROR(__xludf.DUMMYFUNCTION("""COMPUTED_VALUE"""),FALSE)</f>
        <v>0</v>
      </c>
      <c r="E868" s="20" t="str">
        <f>IFERROR(__xludf.DUMMYFUNCTION("""COMPUTED_VALUE"""),"Easy")</f>
        <v>Easy</v>
      </c>
      <c r="F868" s="20">
        <f>IFERROR(__xludf.DUMMYFUNCTION("""COMPUTED_VALUE"""),2530.0)</f>
        <v>2530</v>
      </c>
      <c r="G868" s="20">
        <f>IFERROR(__xludf.DUMMYFUNCTION("""COMPUTED_VALUE"""),415.0)</f>
        <v>415</v>
      </c>
      <c r="H868" s="20" t="str">
        <f>IFERROR(__xludf.DUMMYFUNCTION("""COMPUTED_VALUE"""),"Algorithms")</f>
        <v>Algorithms</v>
      </c>
      <c r="I868" s="20">
        <f>IFERROR(__xludf.DUMMYFUNCTION("""COMPUTED_VALUE"""),0.636)</f>
        <v>0.636</v>
      </c>
      <c r="J868" s="20">
        <f>IFERROR(__xludf.DUMMYFUNCTION("""COMPUTED_VALUE"""),867.0)</f>
        <v>867</v>
      </c>
      <c r="K868" s="20" t="b">
        <f>IFERROR(__xludf.DUMMYFUNCTION("""COMPUTED_VALUE"""),FALSE)</f>
        <v>0</v>
      </c>
      <c r="L868" s="20" t="str">
        <f>IFERROR(__xludf.DUMMYFUNCTION("""COMPUTED_VALUE"""),"Array;Matrix;Simulation;")</f>
        <v>Array;Matrix;Simulation;</v>
      </c>
      <c r="M868" s="20" t="b">
        <f>IFERROR(__xludf.DUMMYFUNCTION("""COMPUTED_VALUE"""),TRUE)</f>
        <v>1</v>
      </c>
      <c r="N868" s="20" t="b">
        <f>IFERROR(__xludf.DUMMYFUNCTION("""COMPUTED_VALUE"""),FALSE)</f>
        <v>0</v>
      </c>
      <c r="O868" s="20">
        <f>IFERROR(__xludf.DUMMYFUNCTION("""COMPUTED_VALUE"""),63.6055254707057)</f>
        <v>63.60552547</v>
      </c>
      <c r="P868" s="20">
        <f>IFERROR(__xludf.DUMMYFUNCTION("""COMPUTED_VALUE"""),228569.0)</f>
        <v>228569</v>
      </c>
      <c r="Q868" s="20">
        <f>IFERROR(__xludf.DUMMYFUNCTION("""COMPUTED_VALUE"""),359354.0)</f>
        <v>359354</v>
      </c>
    </row>
    <row r="869">
      <c r="A869" s="20">
        <f>IFERROR(__xludf.DUMMYFUNCTION("""COMPUTED_VALUE"""),899.0)</f>
        <v>899</v>
      </c>
      <c r="B869" s="20" t="str">
        <f>IFERROR(__xludf.DUMMYFUNCTION("""COMPUTED_VALUE"""),"Binary Gap")</f>
        <v>Binary Gap</v>
      </c>
      <c r="C869" s="20" t="str">
        <f>IFERROR(__xludf.DUMMYFUNCTION("""COMPUTED_VALUE"""),"binary-gap")</f>
        <v>binary-gap</v>
      </c>
      <c r="D869" s="20" t="b">
        <f>IFERROR(__xludf.DUMMYFUNCTION("""COMPUTED_VALUE"""),FALSE)</f>
        <v>0</v>
      </c>
      <c r="E869" s="20" t="str">
        <f>IFERROR(__xludf.DUMMYFUNCTION("""COMPUTED_VALUE"""),"Easy")</f>
        <v>Easy</v>
      </c>
      <c r="F869" s="20">
        <f>IFERROR(__xludf.DUMMYFUNCTION("""COMPUTED_VALUE"""),495.0)</f>
        <v>495</v>
      </c>
      <c r="G869" s="20">
        <f>IFERROR(__xludf.DUMMYFUNCTION("""COMPUTED_VALUE"""),622.0)</f>
        <v>622</v>
      </c>
      <c r="H869" s="20" t="str">
        <f>IFERROR(__xludf.DUMMYFUNCTION("""COMPUTED_VALUE"""),"Algorithms")</f>
        <v>Algorithms</v>
      </c>
      <c r="I869" s="20">
        <f>IFERROR(__xludf.DUMMYFUNCTION("""COMPUTED_VALUE"""),0.62)</f>
        <v>0.62</v>
      </c>
      <c r="J869" s="20">
        <f>IFERROR(__xludf.DUMMYFUNCTION("""COMPUTED_VALUE"""),868.0)</f>
        <v>868</v>
      </c>
      <c r="K869" s="20" t="b">
        <f>IFERROR(__xludf.DUMMYFUNCTION("""COMPUTED_VALUE"""),FALSE)</f>
        <v>0</v>
      </c>
      <c r="L869" s="20" t="str">
        <f>IFERROR(__xludf.DUMMYFUNCTION("""COMPUTED_VALUE"""),"Bit Manipulation;")</f>
        <v>Bit Manipulation;</v>
      </c>
      <c r="M869" s="20" t="b">
        <f>IFERROR(__xludf.DUMMYFUNCTION("""COMPUTED_VALUE"""),TRUE)</f>
        <v>1</v>
      </c>
      <c r="N869" s="20" t="b">
        <f>IFERROR(__xludf.DUMMYFUNCTION("""COMPUTED_VALUE"""),FALSE)</f>
        <v>0</v>
      </c>
      <c r="O869" s="20">
        <f>IFERROR(__xludf.DUMMYFUNCTION("""COMPUTED_VALUE"""),62.0247556020626)</f>
        <v>62.0247556</v>
      </c>
      <c r="P869" s="20">
        <f>IFERROR(__xludf.DUMMYFUNCTION("""COMPUTED_VALUE"""),65794.0)</f>
        <v>65794</v>
      </c>
      <c r="Q869" s="20">
        <f>IFERROR(__xludf.DUMMYFUNCTION("""COMPUTED_VALUE"""),106077.0)</f>
        <v>106077</v>
      </c>
    </row>
    <row r="870">
      <c r="A870" s="20">
        <f>IFERROR(__xludf.DUMMYFUNCTION("""COMPUTED_VALUE"""),900.0)</f>
        <v>900</v>
      </c>
      <c r="B870" s="20" t="str">
        <f>IFERROR(__xludf.DUMMYFUNCTION("""COMPUTED_VALUE"""),"Reordered Power of 2")</f>
        <v>Reordered Power of 2</v>
      </c>
      <c r="C870" s="20" t="str">
        <f>IFERROR(__xludf.DUMMYFUNCTION("""COMPUTED_VALUE"""),"reordered-power-of-2")</f>
        <v>reordered-power-of-2</v>
      </c>
      <c r="D870" s="20" t="b">
        <f>IFERROR(__xludf.DUMMYFUNCTION("""COMPUTED_VALUE"""),FALSE)</f>
        <v>0</v>
      </c>
      <c r="E870" s="20" t="str">
        <f>IFERROR(__xludf.DUMMYFUNCTION("""COMPUTED_VALUE"""),"Medium")</f>
        <v>Medium</v>
      </c>
      <c r="F870" s="20">
        <f>IFERROR(__xludf.DUMMYFUNCTION("""COMPUTED_VALUE"""),1957.0)</f>
        <v>1957</v>
      </c>
      <c r="G870" s="20">
        <f>IFERROR(__xludf.DUMMYFUNCTION("""COMPUTED_VALUE"""),402.0)</f>
        <v>402</v>
      </c>
      <c r="H870" s="20" t="str">
        <f>IFERROR(__xludf.DUMMYFUNCTION("""COMPUTED_VALUE"""),"Algorithms")</f>
        <v>Algorithms</v>
      </c>
      <c r="I870" s="20">
        <f>IFERROR(__xludf.DUMMYFUNCTION("""COMPUTED_VALUE"""),0.639)</f>
        <v>0.639</v>
      </c>
      <c r="J870" s="20">
        <f>IFERROR(__xludf.DUMMYFUNCTION("""COMPUTED_VALUE"""),869.0)</f>
        <v>869</v>
      </c>
      <c r="K870" s="20" t="b">
        <f>IFERROR(__xludf.DUMMYFUNCTION("""COMPUTED_VALUE"""),FALSE)</f>
        <v>0</v>
      </c>
      <c r="L870" s="20" t="str">
        <f>IFERROR(__xludf.DUMMYFUNCTION("""COMPUTED_VALUE"""),"Math;Sorting;Counting;Enumeration;")</f>
        <v>Math;Sorting;Counting;Enumeration;</v>
      </c>
      <c r="M870" s="20" t="b">
        <f>IFERROR(__xludf.DUMMYFUNCTION("""COMPUTED_VALUE"""),TRUE)</f>
        <v>1</v>
      </c>
      <c r="N870" s="20" t="b">
        <f>IFERROR(__xludf.DUMMYFUNCTION("""COMPUTED_VALUE"""),FALSE)</f>
        <v>0</v>
      </c>
      <c r="O870" s="20">
        <f>IFERROR(__xludf.DUMMYFUNCTION("""COMPUTED_VALUE"""),63.8634122287968)</f>
        <v>63.86341223</v>
      </c>
      <c r="P870" s="20">
        <f>IFERROR(__xludf.DUMMYFUNCTION("""COMPUTED_VALUE"""),103612.0)</f>
        <v>103612</v>
      </c>
      <c r="Q870" s="20">
        <f>IFERROR(__xludf.DUMMYFUNCTION("""COMPUTED_VALUE"""),162240.0)</f>
        <v>162240</v>
      </c>
    </row>
    <row r="871">
      <c r="A871" s="20">
        <f>IFERROR(__xludf.DUMMYFUNCTION("""COMPUTED_VALUE"""),901.0)</f>
        <v>901</v>
      </c>
      <c r="B871" s="20" t="str">
        <f>IFERROR(__xludf.DUMMYFUNCTION("""COMPUTED_VALUE"""),"Advantage Shuffle")</f>
        <v>Advantage Shuffle</v>
      </c>
      <c r="C871" s="20" t="str">
        <f>IFERROR(__xludf.DUMMYFUNCTION("""COMPUTED_VALUE"""),"advantage-shuffle")</f>
        <v>advantage-shuffle</v>
      </c>
      <c r="D871" s="20" t="b">
        <f>IFERROR(__xludf.DUMMYFUNCTION("""COMPUTED_VALUE"""),FALSE)</f>
        <v>0</v>
      </c>
      <c r="E871" s="20" t="str">
        <f>IFERROR(__xludf.DUMMYFUNCTION("""COMPUTED_VALUE"""),"Medium")</f>
        <v>Medium</v>
      </c>
      <c r="F871" s="20">
        <f>IFERROR(__xludf.DUMMYFUNCTION("""COMPUTED_VALUE"""),1414.0)</f>
        <v>1414</v>
      </c>
      <c r="G871" s="20">
        <f>IFERROR(__xludf.DUMMYFUNCTION("""COMPUTED_VALUE"""),89.0)</f>
        <v>89</v>
      </c>
      <c r="H871" s="20" t="str">
        <f>IFERROR(__xludf.DUMMYFUNCTION("""COMPUTED_VALUE"""),"Algorithms")</f>
        <v>Algorithms</v>
      </c>
      <c r="I871" s="20">
        <f>IFERROR(__xludf.DUMMYFUNCTION("""COMPUTED_VALUE"""),0.517)</f>
        <v>0.517</v>
      </c>
      <c r="J871" s="20">
        <f>IFERROR(__xludf.DUMMYFUNCTION("""COMPUTED_VALUE"""),870.0)</f>
        <v>870</v>
      </c>
      <c r="K871" s="20" t="b">
        <f>IFERROR(__xludf.DUMMYFUNCTION("""COMPUTED_VALUE"""),FALSE)</f>
        <v>0</v>
      </c>
      <c r="L871" s="20" t="str">
        <f>IFERROR(__xludf.DUMMYFUNCTION("""COMPUTED_VALUE"""),"Array;Two Pointers;Greedy;Sorting;")</f>
        <v>Array;Two Pointers;Greedy;Sorting;</v>
      </c>
      <c r="M871" s="20" t="b">
        <f>IFERROR(__xludf.DUMMYFUNCTION("""COMPUTED_VALUE"""),TRUE)</f>
        <v>1</v>
      </c>
      <c r="N871" s="20" t="b">
        <f>IFERROR(__xludf.DUMMYFUNCTION("""COMPUTED_VALUE"""),FALSE)</f>
        <v>0</v>
      </c>
      <c r="O871" s="20">
        <f>IFERROR(__xludf.DUMMYFUNCTION("""COMPUTED_VALUE"""),51.7488955974397)</f>
        <v>51.7488956</v>
      </c>
      <c r="P871" s="20">
        <f>IFERROR(__xludf.DUMMYFUNCTION("""COMPUTED_VALUE"""),58454.0)</f>
        <v>58454</v>
      </c>
      <c r="Q871" s="20">
        <f>IFERROR(__xludf.DUMMYFUNCTION("""COMPUTED_VALUE"""),112957.0)</f>
        <v>112957</v>
      </c>
    </row>
    <row r="872">
      <c r="A872" s="20">
        <f>IFERROR(__xludf.DUMMYFUNCTION("""COMPUTED_VALUE"""),902.0)</f>
        <v>902</v>
      </c>
      <c r="B872" s="20" t="str">
        <f>IFERROR(__xludf.DUMMYFUNCTION("""COMPUTED_VALUE"""),"Minimum Number of Refueling Stops")</f>
        <v>Minimum Number of Refueling Stops</v>
      </c>
      <c r="C872" s="20" t="str">
        <f>IFERROR(__xludf.DUMMYFUNCTION("""COMPUTED_VALUE"""),"minimum-number-of-refueling-stops")</f>
        <v>minimum-number-of-refueling-stops</v>
      </c>
      <c r="D872" s="20" t="b">
        <f>IFERROR(__xludf.DUMMYFUNCTION("""COMPUTED_VALUE"""),FALSE)</f>
        <v>0</v>
      </c>
      <c r="E872" s="20" t="str">
        <f>IFERROR(__xludf.DUMMYFUNCTION("""COMPUTED_VALUE"""),"Hard")</f>
        <v>Hard</v>
      </c>
      <c r="F872" s="20">
        <f>IFERROR(__xludf.DUMMYFUNCTION("""COMPUTED_VALUE"""),4167.0)</f>
        <v>4167</v>
      </c>
      <c r="G872" s="20">
        <f>IFERROR(__xludf.DUMMYFUNCTION("""COMPUTED_VALUE"""),77.0)</f>
        <v>77</v>
      </c>
      <c r="H872" s="20" t="str">
        <f>IFERROR(__xludf.DUMMYFUNCTION("""COMPUTED_VALUE"""),"Algorithms")</f>
        <v>Algorithms</v>
      </c>
      <c r="I872" s="20">
        <f>IFERROR(__xludf.DUMMYFUNCTION("""COMPUTED_VALUE"""),0.398)</f>
        <v>0.398</v>
      </c>
      <c r="J872" s="20">
        <f>IFERROR(__xludf.DUMMYFUNCTION("""COMPUTED_VALUE"""),871.0)</f>
        <v>871</v>
      </c>
      <c r="K872" s="20" t="b">
        <f>IFERROR(__xludf.DUMMYFUNCTION("""COMPUTED_VALUE"""),FALSE)</f>
        <v>0</v>
      </c>
      <c r="L872" s="20" t="str">
        <f>IFERROR(__xludf.DUMMYFUNCTION("""COMPUTED_VALUE"""),"Array;Dynamic Programming;Greedy;Heap (Priority Queue);")</f>
        <v>Array;Dynamic Programming;Greedy;Heap (Priority Queue);</v>
      </c>
      <c r="M872" s="20" t="b">
        <f>IFERROR(__xludf.DUMMYFUNCTION("""COMPUTED_VALUE"""),TRUE)</f>
        <v>1</v>
      </c>
      <c r="N872" s="20" t="b">
        <f>IFERROR(__xludf.DUMMYFUNCTION("""COMPUTED_VALUE"""),FALSE)</f>
        <v>0</v>
      </c>
      <c r="O872" s="20">
        <f>IFERROR(__xludf.DUMMYFUNCTION("""COMPUTED_VALUE"""),39.8385020245615)</f>
        <v>39.83850202</v>
      </c>
      <c r="P872" s="20">
        <f>IFERROR(__xludf.DUMMYFUNCTION("""COMPUTED_VALUE"""),119442.0)</f>
        <v>119442</v>
      </c>
      <c r="Q872" s="20">
        <f>IFERROR(__xludf.DUMMYFUNCTION("""COMPUTED_VALUE"""),299817.0)</f>
        <v>299817</v>
      </c>
    </row>
    <row r="873">
      <c r="A873" s="20">
        <f>IFERROR(__xludf.DUMMYFUNCTION("""COMPUTED_VALUE"""),904.0)</f>
        <v>904</v>
      </c>
      <c r="B873" s="20" t="str">
        <f>IFERROR(__xludf.DUMMYFUNCTION("""COMPUTED_VALUE"""),"Leaf-Similar Trees")</f>
        <v>Leaf-Similar Trees</v>
      </c>
      <c r="C873" s="20" t="str">
        <f>IFERROR(__xludf.DUMMYFUNCTION("""COMPUTED_VALUE"""),"leaf-similar-trees")</f>
        <v>leaf-similar-trees</v>
      </c>
      <c r="D873" s="20" t="b">
        <f>IFERROR(__xludf.DUMMYFUNCTION("""COMPUTED_VALUE"""),FALSE)</f>
        <v>0</v>
      </c>
      <c r="E873" s="20" t="str">
        <f>IFERROR(__xludf.DUMMYFUNCTION("""COMPUTED_VALUE"""),"Easy")</f>
        <v>Easy</v>
      </c>
      <c r="F873" s="20">
        <f>IFERROR(__xludf.DUMMYFUNCTION("""COMPUTED_VALUE"""),2840.0)</f>
        <v>2840</v>
      </c>
      <c r="G873" s="20">
        <f>IFERROR(__xludf.DUMMYFUNCTION("""COMPUTED_VALUE"""),65.0)</f>
        <v>65</v>
      </c>
      <c r="H873" s="20" t="str">
        <f>IFERROR(__xludf.DUMMYFUNCTION("""COMPUTED_VALUE"""),"Algorithms")</f>
        <v>Algorithms</v>
      </c>
      <c r="I873" s="20">
        <f>IFERROR(__xludf.DUMMYFUNCTION("""COMPUTED_VALUE"""),0.676)</f>
        <v>0.676</v>
      </c>
      <c r="J873" s="20">
        <f>IFERROR(__xludf.DUMMYFUNCTION("""COMPUTED_VALUE"""),872.0)</f>
        <v>872</v>
      </c>
      <c r="K873" s="20" t="b">
        <f>IFERROR(__xludf.DUMMYFUNCTION("""COMPUTED_VALUE"""),FALSE)</f>
        <v>0</v>
      </c>
      <c r="L873" s="20" t="str">
        <f>IFERROR(__xludf.DUMMYFUNCTION("""COMPUTED_VALUE"""),"Tree;Depth-First Search;Binary Tree;")</f>
        <v>Tree;Depth-First Search;Binary Tree;</v>
      </c>
      <c r="M873" s="20" t="b">
        <f>IFERROR(__xludf.DUMMYFUNCTION("""COMPUTED_VALUE"""),TRUE)</f>
        <v>1</v>
      </c>
      <c r="N873" s="20" t="b">
        <f>IFERROR(__xludf.DUMMYFUNCTION("""COMPUTED_VALUE"""),FALSE)</f>
        <v>0</v>
      </c>
      <c r="O873" s="20">
        <f>IFERROR(__xludf.DUMMYFUNCTION("""COMPUTED_VALUE"""),67.5846447305674)</f>
        <v>67.58464473</v>
      </c>
      <c r="P873" s="20">
        <f>IFERROR(__xludf.DUMMYFUNCTION("""COMPUTED_VALUE"""),243766.0)</f>
        <v>243766</v>
      </c>
      <c r="Q873" s="20">
        <f>IFERROR(__xludf.DUMMYFUNCTION("""COMPUTED_VALUE"""),360683.0)</f>
        <v>360683</v>
      </c>
    </row>
    <row r="874">
      <c r="A874" s="20">
        <f>IFERROR(__xludf.DUMMYFUNCTION("""COMPUTED_VALUE"""),905.0)</f>
        <v>905</v>
      </c>
      <c r="B874" s="20" t="str">
        <f>IFERROR(__xludf.DUMMYFUNCTION("""COMPUTED_VALUE"""),"Length of Longest Fibonacci Subsequence")</f>
        <v>Length of Longest Fibonacci Subsequence</v>
      </c>
      <c r="C874" s="20" t="str">
        <f>IFERROR(__xludf.DUMMYFUNCTION("""COMPUTED_VALUE"""),"length-of-longest-fibonacci-subsequence")</f>
        <v>length-of-longest-fibonacci-subsequence</v>
      </c>
      <c r="D874" s="20" t="b">
        <f>IFERROR(__xludf.DUMMYFUNCTION("""COMPUTED_VALUE"""),FALSE)</f>
        <v>0</v>
      </c>
      <c r="E874" s="20" t="str">
        <f>IFERROR(__xludf.DUMMYFUNCTION("""COMPUTED_VALUE"""),"Medium")</f>
        <v>Medium</v>
      </c>
      <c r="F874" s="20">
        <f>IFERROR(__xludf.DUMMYFUNCTION("""COMPUTED_VALUE"""),1735.0)</f>
        <v>1735</v>
      </c>
      <c r="G874" s="20">
        <f>IFERROR(__xludf.DUMMYFUNCTION("""COMPUTED_VALUE"""),61.0)</f>
        <v>61</v>
      </c>
      <c r="H874" s="20" t="str">
        <f>IFERROR(__xludf.DUMMYFUNCTION("""COMPUTED_VALUE"""),"Algorithms")</f>
        <v>Algorithms</v>
      </c>
      <c r="I874" s="20">
        <f>IFERROR(__xludf.DUMMYFUNCTION("""COMPUTED_VALUE"""),0.484)</f>
        <v>0.484</v>
      </c>
      <c r="J874" s="20">
        <f>IFERROR(__xludf.DUMMYFUNCTION("""COMPUTED_VALUE"""),873.0)</f>
        <v>873</v>
      </c>
      <c r="K874" s="20" t="b">
        <f>IFERROR(__xludf.DUMMYFUNCTION("""COMPUTED_VALUE"""),FALSE)</f>
        <v>0</v>
      </c>
      <c r="L874" s="20" t="str">
        <f>IFERROR(__xludf.DUMMYFUNCTION("""COMPUTED_VALUE"""),"Array;Hash Table;Dynamic Programming;")</f>
        <v>Array;Hash Table;Dynamic Programming;</v>
      </c>
      <c r="M874" s="20" t="b">
        <f>IFERROR(__xludf.DUMMYFUNCTION("""COMPUTED_VALUE"""),TRUE)</f>
        <v>1</v>
      </c>
      <c r="N874" s="20" t="b">
        <f>IFERROR(__xludf.DUMMYFUNCTION("""COMPUTED_VALUE"""),FALSE)</f>
        <v>0</v>
      </c>
      <c r="O874" s="20">
        <f>IFERROR(__xludf.DUMMYFUNCTION("""COMPUTED_VALUE"""),48.4172803317366)</f>
        <v>48.41728033</v>
      </c>
      <c r="P874" s="20">
        <f>IFERROR(__xludf.DUMMYFUNCTION("""COMPUTED_VALUE"""),54177.0)</f>
        <v>54177</v>
      </c>
      <c r="Q874" s="20">
        <f>IFERROR(__xludf.DUMMYFUNCTION("""COMPUTED_VALUE"""),111896.0)</f>
        <v>111896</v>
      </c>
    </row>
    <row r="875">
      <c r="A875" s="20">
        <f>IFERROR(__xludf.DUMMYFUNCTION("""COMPUTED_VALUE"""),906.0)</f>
        <v>906</v>
      </c>
      <c r="B875" s="20" t="str">
        <f>IFERROR(__xludf.DUMMYFUNCTION("""COMPUTED_VALUE"""),"Walking Robot Simulation")</f>
        <v>Walking Robot Simulation</v>
      </c>
      <c r="C875" s="20" t="str">
        <f>IFERROR(__xludf.DUMMYFUNCTION("""COMPUTED_VALUE"""),"walking-robot-simulation")</f>
        <v>walking-robot-simulation</v>
      </c>
      <c r="D875" s="20" t="b">
        <f>IFERROR(__xludf.DUMMYFUNCTION("""COMPUTED_VALUE"""),FALSE)</f>
        <v>0</v>
      </c>
      <c r="E875" s="20" t="str">
        <f>IFERROR(__xludf.DUMMYFUNCTION("""COMPUTED_VALUE"""),"Medium")</f>
        <v>Medium</v>
      </c>
      <c r="F875" s="20">
        <f>IFERROR(__xludf.DUMMYFUNCTION("""COMPUTED_VALUE"""),137.0)</f>
        <v>137</v>
      </c>
      <c r="G875" s="20">
        <f>IFERROR(__xludf.DUMMYFUNCTION("""COMPUTED_VALUE"""),21.0)</f>
        <v>21</v>
      </c>
      <c r="H875" s="20" t="str">
        <f>IFERROR(__xludf.DUMMYFUNCTION("""COMPUTED_VALUE"""),"Algorithms")</f>
        <v>Algorithms</v>
      </c>
      <c r="I875" s="20">
        <f>IFERROR(__xludf.DUMMYFUNCTION("""COMPUTED_VALUE"""),0.385)</f>
        <v>0.385</v>
      </c>
      <c r="J875" s="20">
        <f>IFERROR(__xludf.DUMMYFUNCTION("""COMPUTED_VALUE"""),874.0)</f>
        <v>874</v>
      </c>
      <c r="K875" s="20" t="b">
        <f>IFERROR(__xludf.DUMMYFUNCTION("""COMPUTED_VALUE"""),FALSE)</f>
        <v>0</v>
      </c>
      <c r="L875" s="20" t="str">
        <f>IFERROR(__xludf.DUMMYFUNCTION("""COMPUTED_VALUE"""),"Array;Simulation;")</f>
        <v>Array;Simulation;</v>
      </c>
      <c r="M875" s="20" t="b">
        <f>IFERROR(__xludf.DUMMYFUNCTION("""COMPUTED_VALUE"""),TRUE)</f>
        <v>1</v>
      </c>
      <c r="N875" s="20" t="b">
        <f>IFERROR(__xludf.DUMMYFUNCTION("""COMPUTED_VALUE"""),FALSE)</f>
        <v>0</v>
      </c>
      <c r="O875" s="20">
        <f>IFERROR(__xludf.DUMMYFUNCTION("""COMPUTED_VALUE"""),38.5352663801536)</f>
        <v>38.53526638</v>
      </c>
      <c r="P875" s="20">
        <f>IFERROR(__xludf.DUMMYFUNCTION("""COMPUTED_VALUE"""),35059.0)</f>
        <v>35059</v>
      </c>
      <c r="Q875" s="20">
        <f>IFERROR(__xludf.DUMMYFUNCTION("""COMPUTED_VALUE"""),90979.0)</f>
        <v>90979</v>
      </c>
    </row>
    <row r="876">
      <c r="A876" s="20">
        <f>IFERROR(__xludf.DUMMYFUNCTION("""COMPUTED_VALUE"""),907.0)</f>
        <v>907</v>
      </c>
      <c r="B876" s="20" t="str">
        <f>IFERROR(__xludf.DUMMYFUNCTION("""COMPUTED_VALUE"""),"Koko Eating Bananas")</f>
        <v>Koko Eating Bananas</v>
      </c>
      <c r="C876" s="20" t="str">
        <f>IFERROR(__xludf.DUMMYFUNCTION("""COMPUTED_VALUE"""),"koko-eating-bananas")</f>
        <v>koko-eating-bananas</v>
      </c>
      <c r="D876" s="20" t="b">
        <f>IFERROR(__xludf.DUMMYFUNCTION("""COMPUTED_VALUE"""),FALSE)</f>
        <v>0</v>
      </c>
      <c r="E876" s="20" t="str">
        <f>IFERROR(__xludf.DUMMYFUNCTION("""COMPUTED_VALUE"""),"Medium")</f>
        <v>Medium</v>
      </c>
      <c r="F876" s="20">
        <f>IFERROR(__xludf.DUMMYFUNCTION("""COMPUTED_VALUE"""),5640.0)</f>
        <v>5640</v>
      </c>
      <c r="G876" s="20">
        <f>IFERROR(__xludf.DUMMYFUNCTION("""COMPUTED_VALUE"""),263.0)</f>
        <v>263</v>
      </c>
      <c r="H876" s="20" t="str">
        <f>IFERROR(__xludf.DUMMYFUNCTION("""COMPUTED_VALUE"""),"Algorithms")</f>
        <v>Algorithms</v>
      </c>
      <c r="I876" s="20">
        <f>IFERROR(__xludf.DUMMYFUNCTION("""COMPUTED_VALUE"""),0.52)</f>
        <v>0.52</v>
      </c>
      <c r="J876" s="20">
        <f>IFERROR(__xludf.DUMMYFUNCTION("""COMPUTED_VALUE"""),875.0)</f>
        <v>875</v>
      </c>
      <c r="K876" s="20" t="b">
        <f>IFERROR(__xludf.DUMMYFUNCTION("""COMPUTED_VALUE"""),FALSE)</f>
        <v>0</v>
      </c>
      <c r="L876" s="20" t="str">
        <f>IFERROR(__xludf.DUMMYFUNCTION("""COMPUTED_VALUE"""),"Array;Binary Search;")</f>
        <v>Array;Binary Search;</v>
      </c>
      <c r="M876" s="20" t="b">
        <f>IFERROR(__xludf.DUMMYFUNCTION("""COMPUTED_VALUE"""),TRUE)</f>
        <v>1</v>
      </c>
      <c r="N876" s="20" t="b">
        <f>IFERROR(__xludf.DUMMYFUNCTION("""COMPUTED_VALUE"""),FALSE)</f>
        <v>0</v>
      </c>
      <c r="O876" s="20">
        <f>IFERROR(__xludf.DUMMYFUNCTION("""COMPUTED_VALUE"""),51.9574598005292)</f>
        <v>51.9574598</v>
      </c>
      <c r="P876" s="20">
        <f>IFERROR(__xludf.DUMMYFUNCTION("""COMPUTED_VALUE"""),255263.0)</f>
        <v>255263</v>
      </c>
      <c r="Q876" s="20">
        <f>IFERROR(__xludf.DUMMYFUNCTION("""COMPUTED_VALUE"""),491295.0)</f>
        <v>491295</v>
      </c>
    </row>
    <row r="877">
      <c r="A877" s="20">
        <f>IFERROR(__xludf.DUMMYFUNCTION("""COMPUTED_VALUE"""),908.0)</f>
        <v>908</v>
      </c>
      <c r="B877" s="20" t="str">
        <f>IFERROR(__xludf.DUMMYFUNCTION("""COMPUTED_VALUE"""),"Middle of the Linked List")</f>
        <v>Middle of the Linked List</v>
      </c>
      <c r="C877" s="20" t="str">
        <f>IFERROR(__xludf.DUMMYFUNCTION("""COMPUTED_VALUE"""),"middle-of-the-linked-list")</f>
        <v>middle-of-the-linked-list</v>
      </c>
      <c r="D877" s="20" t="b">
        <f>IFERROR(__xludf.DUMMYFUNCTION("""COMPUTED_VALUE"""),FALSE)</f>
        <v>0</v>
      </c>
      <c r="E877" s="20" t="str">
        <f>IFERROR(__xludf.DUMMYFUNCTION("""COMPUTED_VALUE"""),"Easy")</f>
        <v>Easy</v>
      </c>
      <c r="F877" s="20">
        <f>IFERROR(__xludf.DUMMYFUNCTION("""COMPUTED_VALUE"""),8342.0)</f>
        <v>8342</v>
      </c>
      <c r="G877" s="20">
        <f>IFERROR(__xludf.DUMMYFUNCTION("""COMPUTED_VALUE"""),231.0)</f>
        <v>231</v>
      </c>
      <c r="H877" s="20" t="str">
        <f>IFERROR(__xludf.DUMMYFUNCTION("""COMPUTED_VALUE"""),"Algorithms")</f>
        <v>Algorithms</v>
      </c>
      <c r="I877" s="20">
        <f>IFERROR(__xludf.DUMMYFUNCTION("""COMPUTED_VALUE"""),0.747)</f>
        <v>0.747</v>
      </c>
      <c r="J877" s="20">
        <f>IFERROR(__xludf.DUMMYFUNCTION("""COMPUTED_VALUE"""),876.0)</f>
        <v>876</v>
      </c>
      <c r="K877" s="20" t="b">
        <f>IFERROR(__xludf.DUMMYFUNCTION("""COMPUTED_VALUE"""),FALSE)</f>
        <v>0</v>
      </c>
      <c r="L877" s="20" t="str">
        <f>IFERROR(__xludf.DUMMYFUNCTION("""COMPUTED_VALUE"""),"Linked List;Two Pointers;")</f>
        <v>Linked List;Two Pointers;</v>
      </c>
      <c r="M877" s="20" t="b">
        <f>IFERROR(__xludf.DUMMYFUNCTION("""COMPUTED_VALUE"""),TRUE)</f>
        <v>1</v>
      </c>
      <c r="N877" s="20" t="b">
        <f>IFERROR(__xludf.DUMMYFUNCTION("""COMPUTED_VALUE"""),TRUE)</f>
        <v>1</v>
      </c>
      <c r="O877" s="20">
        <f>IFERROR(__xludf.DUMMYFUNCTION("""COMPUTED_VALUE"""),74.7401832692955)</f>
        <v>74.74018327</v>
      </c>
      <c r="P877" s="20">
        <f>IFERROR(__xludf.DUMMYFUNCTION("""COMPUTED_VALUE"""),1116330.0)</f>
        <v>1116330</v>
      </c>
      <c r="Q877" s="20">
        <f>IFERROR(__xludf.DUMMYFUNCTION("""COMPUTED_VALUE"""),1493615.0)</f>
        <v>1493615</v>
      </c>
    </row>
    <row r="878">
      <c r="A878" s="20">
        <f>IFERROR(__xludf.DUMMYFUNCTION("""COMPUTED_VALUE"""),909.0)</f>
        <v>909</v>
      </c>
      <c r="B878" s="20" t="str">
        <f>IFERROR(__xludf.DUMMYFUNCTION("""COMPUTED_VALUE"""),"Stone Game")</f>
        <v>Stone Game</v>
      </c>
      <c r="C878" s="20" t="str">
        <f>IFERROR(__xludf.DUMMYFUNCTION("""COMPUTED_VALUE"""),"stone-game")</f>
        <v>stone-game</v>
      </c>
      <c r="D878" s="20" t="b">
        <f>IFERROR(__xludf.DUMMYFUNCTION("""COMPUTED_VALUE"""),FALSE)</f>
        <v>0</v>
      </c>
      <c r="E878" s="20" t="str">
        <f>IFERROR(__xludf.DUMMYFUNCTION("""COMPUTED_VALUE"""),"Medium")</f>
        <v>Medium</v>
      </c>
      <c r="F878" s="20">
        <f>IFERROR(__xludf.DUMMYFUNCTION("""COMPUTED_VALUE"""),2412.0)</f>
        <v>2412</v>
      </c>
      <c r="G878" s="20">
        <f>IFERROR(__xludf.DUMMYFUNCTION("""COMPUTED_VALUE"""),2336.0)</f>
        <v>2336</v>
      </c>
      <c r="H878" s="20" t="str">
        <f>IFERROR(__xludf.DUMMYFUNCTION("""COMPUTED_VALUE"""),"Algorithms")</f>
        <v>Algorithms</v>
      </c>
      <c r="I878" s="20">
        <f>IFERROR(__xludf.DUMMYFUNCTION("""COMPUTED_VALUE"""),0.697)</f>
        <v>0.697</v>
      </c>
      <c r="J878" s="20">
        <f>IFERROR(__xludf.DUMMYFUNCTION("""COMPUTED_VALUE"""),877.0)</f>
        <v>877</v>
      </c>
      <c r="K878" s="20" t="b">
        <f>IFERROR(__xludf.DUMMYFUNCTION("""COMPUTED_VALUE"""),FALSE)</f>
        <v>0</v>
      </c>
      <c r="L878" s="20" t="str">
        <f>IFERROR(__xludf.DUMMYFUNCTION("""COMPUTED_VALUE"""),"Array;Math;Dynamic Programming;Game Theory;")</f>
        <v>Array;Math;Dynamic Programming;Game Theory;</v>
      </c>
      <c r="M878" s="20" t="b">
        <f>IFERROR(__xludf.DUMMYFUNCTION("""COMPUTED_VALUE"""),TRUE)</f>
        <v>1</v>
      </c>
      <c r="N878" s="20" t="b">
        <f>IFERROR(__xludf.DUMMYFUNCTION("""COMPUTED_VALUE"""),FALSE)</f>
        <v>0</v>
      </c>
      <c r="O878" s="20">
        <f>IFERROR(__xludf.DUMMYFUNCTION("""COMPUTED_VALUE"""),69.7219736623298)</f>
        <v>69.72197366</v>
      </c>
      <c r="P878" s="20">
        <f>IFERROR(__xludf.DUMMYFUNCTION("""COMPUTED_VALUE"""),176093.0)</f>
        <v>176093</v>
      </c>
      <c r="Q878" s="20">
        <f>IFERROR(__xludf.DUMMYFUNCTION("""COMPUTED_VALUE"""),252564.0)</f>
        <v>252564</v>
      </c>
    </row>
    <row r="879">
      <c r="A879" s="20">
        <f>IFERROR(__xludf.DUMMYFUNCTION("""COMPUTED_VALUE"""),910.0)</f>
        <v>910</v>
      </c>
      <c r="B879" s="20" t="str">
        <f>IFERROR(__xludf.DUMMYFUNCTION("""COMPUTED_VALUE"""),"Nth Magical Number")</f>
        <v>Nth Magical Number</v>
      </c>
      <c r="C879" s="20" t="str">
        <f>IFERROR(__xludf.DUMMYFUNCTION("""COMPUTED_VALUE"""),"nth-magical-number")</f>
        <v>nth-magical-number</v>
      </c>
      <c r="D879" s="20" t="b">
        <f>IFERROR(__xludf.DUMMYFUNCTION("""COMPUTED_VALUE"""),FALSE)</f>
        <v>0</v>
      </c>
      <c r="E879" s="20" t="str">
        <f>IFERROR(__xludf.DUMMYFUNCTION("""COMPUTED_VALUE"""),"Hard")</f>
        <v>Hard</v>
      </c>
      <c r="F879" s="20">
        <f>IFERROR(__xludf.DUMMYFUNCTION("""COMPUTED_VALUE"""),1089.0)</f>
        <v>1089</v>
      </c>
      <c r="G879" s="20">
        <f>IFERROR(__xludf.DUMMYFUNCTION("""COMPUTED_VALUE"""),144.0)</f>
        <v>144</v>
      </c>
      <c r="H879" s="20" t="str">
        <f>IFERROR(__xludf.DUMMYFUNCTION("""COMPUTED_VALUE"""),"Algorithms")</f>
        <v>Algorithms</v>
      </c>
      <c r="I879" s="20">
        <f>IFERROR(__xludf.DUMMYFUNCTION("""COMPUTED_VALUE"""),0.356)</f>
        <v>0.356</v>
      </c>
      <c r="J879" s="20">
        <f>IFERROR(__xludf.DUMMYFUNCTION("""COMPUTED_VALUE"""),878.0)</f>
        <v>878</v>
      </c>
      <c r="K879" s="20" t="b">
        <f>IFERROR(__xludf.DUMMYFUNCTION("""COMPUTED_VALUE"""),FALSE)</f>
        <v>0</v>
      </c>
      <c r="L879" s="20" t="str">
        <f>IFERROR(__xludf.DUMMYFUNCTION("""COMPUTED_VALUE"""),"Math;Binary Search;")</f>
        <v>Math;Binary Search;</v>
      </c>
      <c r="M879" s="20" t="b">
        <f>IFERROR(__xludf.DUMMYFUNCTION("""COMPUTED_VALUE"""),TRUE)</f>
        <v>1</v>
      </c>
      <c r="N879" s="20" t="b">
        <f>IFERROR(__xludf.DUMMYFUNCTION("""COMPUTED_VALUE"""),FALSE)</f>
        <v>0</v>
      </c>
      <c r="O879" s="20">
        <f>IFERROR(__xludf.DUMMYFUNCTION("""COMPUTED_VALUE"""),35.5734687541579)</f>
        <v>35.57346875</v>
      </c>
      <c r="P879" s="20">
        <f>IFERROR(__xludf.DUMMYFUNCTION("""COMPUTED_VALUE"""),32083.0)</f>
        <v>32083</v>
      </c>
      <c r="Q879" s="20">
        <f>IFERROR(__xludf.DUMMYFUNCTION("""COMPUTED_VALUE"""),90188.0)</f>
        <v>90188</v>
      </c>
    </row>
    <row r="880">
      <c r="A880" s="20">
        <f>IFERROR(__xludf.DUMMYFUNCTION("""COMPUTED_VALUE"""),911.0)</f>
        <v>911</v>
      </c>
      <c r="B880" s="20" t="str">
        <f>IFERROR(__xludf.DUMMYFUNCTION("""COMPUTED_VALUE"""),"Profitable Schemes")</f>
        <v>Profitable Schemes</v>
      </c>
      <c r="C880" s="20" t="str">
        <f>IFERROR(__xludf.DUMMYFUNCTION("""COMPUTED_VALUE"""),"profitable-schemes")</f>
        <v>profitable-schemes</v>
      </c>
      <c r="D880" s="20" t="b">
        <f>IFERROR(__xludf.DUMMYFUNCTION("""COMPUTED_VALUE"""),FALSE)</f>
        <v>0</v>
      </c>
      <c r="E880" s="20" t="str">
        <f>IFERROR(__xludf.DUMMYFUNCTION("""COMPUTED_VALUE"""),"Hard")</f>
        <v>Hard</v>
      </c>
      <c r="F880" s="20">
        <f>IFERROR(__xludf.DUMMYFUNCTION("""COMPUTED_VALUE"""),558.0)</f>
        <v>558</v>
      </c>
      <c r="G880" s="20">
        <f>IFERROR(__xludf.DUMMYFUNCTION("""COMPUTED_VALUE"""),45.0)</f>
        <v>45</v>
      </c>
      <c r="H880" s="20" t="str">
        <f>IFERROR(__xludf.DUMMYFUNCTION("""COMPUTED_VALUE"""),"Algorithms")</f>
        <v>Algorithms</v>
      </c>
      <c r="I880" s="20">
        <f>IFERROR(__xludf.DUMMYFUNCTION("""COMPUTED_VALUE"""),0.404)</f>
        <v>0.404</v>
      </c>
      <c r="J880" s="20">
        <f>IFERROR(__xludf.DUMMYFUNCTION("""COMPUTED_VALUE"""),879.0)</f>
        <v>879</v>
      </c>
      <c r="K880" s="20" t="b">
        <f>IFERROR(__xludf.DUMMYFUNCTION("""COMPUTED_VALUE"""),FALSE)</f>
        <v>0</v>
      </c>
      <c r="L880" s="20" t="str">
        <f>IFERROR(__xludf.DUMMYFUNCTION("""COMPUTED_VALUE"""),"Array;Dynamic Programming;")</f>
        <v>Array;Dynamic Programming;</v>
      </c>
      <c r="M880" s="20" t="b">
        <f>IFERROR(__xludf.DUMMYFUNCTION("""COMPUTED_VALUE"""),TRUE)</f>
        <v>1</v>
      </c>
      <c r="N880" s="20" t="b">
        <f>IFERROR(__xludf.DUMMYFUNCTION("""COMPUTED_VALUE"""),FALSE)</f>
        <v>0</v>
      </c>
      <c r="O880" s="20">
        <f>IFERROR(__xludf.DUMMYFUNCTION("""COMPUTED_VALUE"""),40.3951649291125)</f>
        <v>40.39516493</v>
      </c>
      <c r="P880" s="20">
        <f>IFERROR(__xludf.DUMMYFUNCTION("""COMPUTED_VALUE"""),17010.0)</f>
        <v>17010</v>
      </c>
      <c r="Q880" s="20">
        <f>IFERROR(__xludf.DUMMYFUNCTION("""COMPUTED_VALUE"""),42109.0)</f>
        <v>42109</v>
      </c>
    </row>
    <row r="881">
      <c r="A881" s="20">
        <f>IFERROR(__xludf.DUMMYFUNCTION("""COMPUTED_VALUE"""),916.0)</f>
        <v>916</v>
      </c>
      <c r="B881" s="20" t="str">
        <f>IFERROR(__xludf.DUMMYFUNCTION("""COMPUTED_VALUE"""),"Decoded String at Index")</f>
        <v>Decoded String at Index</v>
      </c>
      <c r="C881" s="20" t="str">
        <f>IFERROR(__xludf.DUMMYFUNCTION("""COMPUTED_VALUE"""),"decoded-string-at-index")</f>
        <v>decoded-string-at-index</v>
      </c>
      <c r="D881" s="20" t="b">
        <f>IFERROR(__xludf.DUMMYFUNCTION("""COMPUTED_VALUE"""),FALSE)</f>
        <v>0</v>
      </c>
      <c r="E881" s="20" t="str">
        <f>IFERROR(__xludf.DUMMYFUNCTION("""COMPUTED_VALUE"""),"Medium")</f>
        <v>Medium</v>
      </c>
      <c r="F881" s="20">
        <f>IFERROR(__xludf.DUMMYFUNCTION("""COMPUTED_VALUE"""),1277.0)</f>
        <v>1277</v>
      </c>
      <c r="G881" s="20">
        <f>IFERROR(__xludf.DUMMYFUNCTION("""COMPUTED_VALUE"""),200.0)</f>
        <v>200</v>
      </c>
      <c r="H881" s="20" t="str">
        <f>IFERROR(__xludf.DUMMYFUNCTION("""COMPUTED_VALUE"""),"Algorithms")</f>
        <v>Algorithms</v>
      </c>
      <c r="I881" s="20">
        <f>IFERROR(__xludf.DUMMYFUNCTION("""COMPUTED_VALUE"""),0.283)</f>
        <v>0.283</v>
      </c>
      <c r="J881" s="20">
        <f>IFERROR(__xludf.DUMMYFUNCTION("""COMPUTED_VALUE"""),880.0)</f>
        <v>880</v>
      </c>
      <c r="K881" s="20" t="b">
        <f>IFERROR(__xludf.DUMMYFUNCTION("""COMPUTED_VALUE"""),FALSE)</f>
        <v>0</v>
      </c>
      <c r="L881" s="20" t="str">
        <f>IFERROR(__xludf.DUMMYFUNCTION("""COMPUTED_VALUE"""),"String;Stack;")</f>
        <v>String;Stack;</v>
      </c>
      <c r="M881" s="20" t="b">
        <f>IFERROR(__xludf.DUMMYFUNCTION("""COMPUTED_VALUE"""),TRUE)</f>
        <v>1</v>
      </c>
      <c r="N881" s="20" t="b">
        <f>IFERROR(__xludf.DUMMYFUNCTION("""COMPUTED_VALUE"""),FALSE)</f>
        <v>0</v>
      </c>
      <c r="O881" s="20">
        <f>IFERROR(__xludf.DUMMYFUNCTION("""COMPUTED_VALUE"""),28.3181183974486)</f>
        <v>28.3181184</v>
      </c>
      <c r="P881" s="20">
        <f>IFERROR(__xludf.DUMMYFUNCTION("""COMPUTED_VALUE"""),35518.0)</f>
        <v>35518</v>
      </c>
      <c r="Q881" s="20">
        <f>IFERROR(__xludf.DUMMYFUNCTION("""COMPUTED_VALUE"""),125425.0)</f>
        <v>125425</v>
      </c>
    </row>
    <row r="882">
      <c r="A882" s="20">
        <f>IFERROR(__xludf.DUMMYFUNCTION("""COMPUTED_VALUE"""),917.0)</f>
        <v>917</v>
      </c>
      <c r="B882" s="20" t="str">
        <f>IFERROR(__xludf.DUMMYFUNCTION("""COMPUTED_VALUE"""),"Boats to Save People")</f>
        <v>Boats to Save People</v>
      </c>
      <c r="C882" s="20" t="str">
        <f>IFERROR(__xludf.DUMMYFUNCTION("""COMPUTED_VALUE"""),"boats-to-save-people")</f>
        <v>boats-to-save-people</v>
      </c>
      <c r="D882" s="20" t="b">
        <f>IFERROR(__xludf.DUMMYFUNCTION("""COMPUTED_VALUE"""),FALSE)</f>
        <v>0</v>
      </c>
      <c r="E882" s="20" t="str">
        <f>IFERROR(__xludf.DUMMYFUNCTION("""COMPUTED_VALUE"""),"Medium")</f>
        <v>Medium</v>
      </c>
      <c r="F882" s="20">
        <f>IFERROR(__xludf.DUMMYFUNCTION("""COMPUTED_VALUE"""),3531.0)</f>
        <v>3531</v>
      </c>
      <c r="G882" s="20">
        <f>IFERROR(__xludf.DUMMYFUNCTION("""COMPUTED_VALUE"""),93.0)</f>
        <v>93</v>
      </c>
      <c r="H882" s="20" t="str">
        <f>IFERROR(__xludf.DUMMYFUNCTION("""COMPUTED_VALUE"""),"Algorithms")</f>
        <v>Algorithms</v>
      </c>
      <c r="I882" s="20">
        <f>IFERROR(__xludf.DUMMYFUNCTION("""COMPUTED_VALUE"""),0.528)</f>
        <v>0.528</v>
      </c>
      <c r="J882" s="20">
        <f>IFERROR(__xludf.DUMMYFUNCTION("""COMPUTED_VALUE"""),881.0)</f>
        <v>881</v>
      </c>
      <c r="K882" s="20" t="b">
        <f>IFERROR(__xludf.DUMMYFUNCTION("""COMPUTED_VALUE"""),FALSE)</f>
        <v>0</v>
      </c>
      <c r="L882" s="20" t="str">
        <f>IFERROR(__xludf.DUMMYFUNCTION("""COMPUTED_VALUE"""),"Array;Two Pointers;Greedy;Sorting;")</f>
        <v>Array;Two Pointers;Greedy;Sorting;</v>
      </c>
      <c r="M882" s="20" t="b">
        <f>IFERROR(__xludf.DUMMYFUNCTION("""COMPUTED_VALUE"""),TRUE)</f>
        <v>1</v>
      </c>
      <c r="N882" s="20" t="b">
        <f>IFERROR(__xludf.DUMMYFUNCTION("""COMPUTED_VALUE"""),FALSE)</f>
        <v>0</v>
      </c>
      <c r="O882" s="20">
        <f>IFERROR(__xludf.DUMMYFUNCTION("""COMPUTED_VALUE"""),52.7993552153936)</f>
        <v>52.79935522</v>
      </c>
      <c r="P882" s="20">
        <f>IFERROR(__xludf.DUMMYFUNCTION("""COMPUTED_VALUE"""),166394.0)</f>
        <v>166394</v>
      </c>
      <c r="Q882" s="20">
        <f>IFERROR(__xludf.DUMMYFUNCTION("""COMPUTED_VALUE"""),315142.0)</f>
        <v>315142</v>
      </c>
    </row>
    <row r="883">
      <c r="A883" s="20">
        <f>IFERROR(__xludf.DUMMYFUNCTION("""COMPUTED_VALUE"""),918.0)</f>
        <v>918</v>
      </c>
      <c r="B883" s="20" t="str">
        <f>IFERROR(__xludf.DUMMYFUNCTION("""COMPUTED_VALUE"""),"Reachable Nodes In Subdivided Graph")</f>
        <v>Reachable Nodes In Subdivided Graph</v>
      </c>
      <c r="C883" s="20" t="str">
        <f>IFERROR(__xludf.DUMMYFUNCTION("""COMPUTED_VALUE"""),"reachable-nodes-in-subdivided-graph")</f>
        <v>reachable-nodes-in-subdivided-graph</v>
      </c>
      <c r="D883" s="20" t="b">
        <f>IFERROR(__xludf.DUMMYFUNCTION("""COMPUTED_VALUE"""),FALSE)</f>
        <v>0</v>
      </c>
      <c r="E883" s="20" t="str">
        <f>IFERROR(__xludf.DUMMYFUNCTION("""COMPUTED_VALUE"""),"Hard")</f>
        <v>Hard</v>
      </c>
      <c r="F883" s="20">
        <f>IFERROR(__xludf.DUMMYFUNCTION("""COMPUTED_VALUE"""),649.0)</f>
        <v>649</v>
      </c>
      <c r="G883" s="20">
        <f>IFERROR(__xludf.DUMMYFUNCTION("""COMPUTED_VALUE"""),209.0)</f>
        <v>209</v>
      </c>
      <c r="H883" s="20" t="str">
        <f>IFERROR(__xludf.DUMMYFUNCTION("""COMPUTED_VALUE"""),"Algorithms")</f>
        <v>Algorithms</v>
      </c>
      <c r="I883" s="20">
        <f>IFERROR(__xludf.DUMMYFUNCTION("""COMPUTED_VALUE"""),0.503)</f>
        <v>0.503</v>
      </c>
      <c r="J883" s="20">
        <f>IFERROR(__xludf.DUMMYFUNCTION("""COMPUTED_VALUE"""),882.0)</f>
        <v>882</v>
      </c>
      <c r="K883" s="20" t="b">
        <f>IFERROR(__xludf.DUMMYFUNCTION("""COMPUTED_VALUE"""),FALSE)</f>
        <v>0</v>
      </c>
      <c r="L883" s="20" t="str">
        <f>IFERROR(__xludf.DUMMYFUNCTION("""COMPUTED_VALUE"""),"Graph;Heap (Priority Queue);Shortest Path;")</f>
        <v>Graph;Heap (Priority Queue);Shortest Path;</v>
      </c>
      <c r="M883" s="20" t="b">
        <f>IFERROR(__xludf.DUMMYFUNCTION("""COMPUTED_VALUE"""),TRUE)</f>
        <v>1</v>
      </c>
      <c r="N883" s="20" t="b">
        <f>IFERROR(__xludf.DUMMYFUNCTION("""COMPUTED_VALUE"""),FALSE)</f>
        <v>0</v>
      </c>
      <c r="O883" s="20">
        <f>IFERROR(__xludf.DUMMYFUNCTION("""COMPUTED_VALUE"""),50.3085059497575)</f>
        <v>50.30850595</v>
      </c>
      <c r="P883" s="20">
        <f>IFERROR(__xludf.DUMMYFUNCTION("""COMPUTED_VALUE"""),22830.0)</f>
        <v>22830</v>
      </c>
      <c r="Q883" s="20">
        <f>IFERROR(__xludf.DUMMYFUNCTION("""COMPUTED_VALUE"""),45380.0)</f>
        <v>45380</v>
      </c>
    </row>
    <row r="884">
      <c r="A884" s="20">
        <f>IFERROR(__xludf.DUMMYFUNCTION("""COMPUTED_VALUE"""),919.0)</f>
        <v>919</v>
      </c>
      <c r="B884" s="20" t="str">
        <f>IFERROR(__xludf.DUMMYFUNCTION("""COMPUTED_VALUE"""),"Projection Area of 3D Shapes")</f>
        <v>Projection Area of 3D Shapes</v>
      </c>
      <c r="C884" s="20" t="str">
        <f>IFERROR(__xludf.DUMMYFUNCTION("""COMPUTED_VALUE"""),"projection-area-of-3d-shapes")</f>
        <v>projection-area-of-3d-shapes</v>
      </c>
      <c r="D884" s="20" t="b">
        <f>IFERROR(__xludf.DUMMYFUNCTION("""COMPUTED_VALUE"""),FALSE)</f>
        <v>0</v>
      </c>
      <c r="E884" s="20" t="str">
        <f>IFERROR(__xludf.DUMMYFUNCTION("""COMPUTED_VALUE"""),"Easy")</f>
        <v>Easy</v>
      </c>
      <c r="F884" s="20">
        <f>IFERROR(__xludf.DUMMYFUNCTION("""COMPUTED_VALUE"""),467.0)</f>
        <v>467</v>
      </c>
      <c r="G884" s="20">
        <f>IFERROR(__xludf.DUMMYFUNCTION("""COMPUTED_VALUE"""),1263.0)</f>
        <v>1263</v>
      </c>
      <c r="H884" s="20" t="str">
        <f>IFERROR(__xludf.DUMMYFUNCTION("""COMPUTED_VALUE"""),"Algorithms")</f>
        <v>Algorithms</v>
      </c>
      <c r="I884" s="20">
        <f>IFERROR(__xludf.DUMMYFUNCTION("""COMPUTED_VALUE"""),0.709)</f>
        <v>0.709</v>
      </c>
      <c r="J884" s="20">
        <f>IFERROR(__xludf.DUMMYFUNCTION("""COMPUTED_VALUE"""),883.0)</f>
        <v>883</v>
      </c>
      <c r="K884" s="20" t="b">
        <f>IFERROR(__xludf.DUMMYFUNCTION("""COMPUTED_VALUE"""),FALSE)</f>
        <v>0</v>
      </c>
      <c r="L884" s="20" t="str">
        <f>IFERROR(__xludf.DUMMYFUNCTION("""COMPUTED_VALUE"""),"Array;Math;Geometry;Matrix;")</f>
        <v>Array;Math;Geometry;Matrix;</v>
      </c>
      <c r="M884" s="20" t="b">
        <f>IFERROR(__xludf.DUMMYFUNCTION("""COMPUTED_VALUE"""),TRUE)</f>
        <v>1</v>
      </c>
      <c r="N884" s="20" t="b">
        <f>IFERROR(__xludf.DUMMYFUNCTION("""COMPUTED_VALUE"""),FALSE)</f>
        <v>0</v>
      </c>
      <c r="O884" s="20">
        <f>IFERROR(__xludf.DUMMYFUNCTION("""COMPUTED_VALUE"""),70.875468164794)</f>
        <v>70.87546816</v>
      </c>
      <c r="P884" s="20">
        <f>IFERROR(__xludf.DUMMYFUNCTION("""COMPUTED_VALUE"""),45417.0)</f>
        <v>45417</v>
      </c>
      <c r="Q884" s="20">
        <f>IFERROR(__xludf.DUMMYFUNCTION("""COMPUTED_VALUE"""),64080.0)</f>
        <v>64080</v>
      </c>
    </row>
    <row r="885">
      <c r="A885" s="20">
        <f>IFERROR(__xludf.DUMMYFUNCTION("""COMPUTED_VALUE"""),920.0)</f>
        <v>920</v>
      </c>
      <c r="B885" s="20" t="str">
        <f>IFERROR(__xludf.DUMMYFUNCTION("""COMPUTED_VALUE"""),"Uncommon Words from Two Sentences")</f>
        <v>Uncommon Words from Two Sentences</v>
      </c>
      <c r="C885" s="20" t="str">
        <f>IFERROR(__xludf.DUMMYFUNCTION("""COMPUTED_VALUE"""),"uncommon-words-from-two-sentences")</f>
        <v>uncommon-words-from-two-sentences</v>
      </c>
      <c r="D885" s="20" t="b">
        <f>IFERROR(__xludf.DUMMYFUNCTION("""COMPUTED_VALUE"""),FALSE)</f>
        <v>0</v>
      </c>
      <c r="E885" s="20" t="str">
        <f>IFERROR(__xludf.DUMMYFUNCTION("""COMPUTED_VALUE"""),"Easy")</f>
        <v>Easy</v>
      </c>
      <c r="F885" s="20">
        <f>IFERROR(__xludf.DUMMYFUNCTION("""COMPUTED_VALUE"""),1084.0)</f>
        <v>1084</v>
      </c>
      <c r="G885" s="20">
        <f>IFERROR(__xludf.DUMMYFUNCTION("""COMPUTED_VALUE"""),151.0)</f>
        <v>151</v>
      </c>
      <c r="H885" s="20" t="str">
        <f>IFERROR(__xludf.DUMMYFUNCTION("""COMPUTED_VALUE"""),"Algorithms")</f>
        <v>Algorithms</v>
      </c>
      <c r="I885" s="20">
        <f>IFERROR(__xludf.DUMMYFUNCTION("""COMPUTED_VALUE"""),0.661)</f>
        <v>0.661</v>
      </c>
      <c r="J885" s="20">
        <f>IFERROR(__xludf.DUMMYFUNCTION("""COMPUTED_VALUE"""),884.0)</f>
        <v>884</v>
      </c>
      <c r="K885" s="20" t="b">
        <f>IFERROR(__xludf.DUMMYFUNCTION("""COMPUTED_VALUE"""),FALSE)</f>
        <v>0</v>
      </c>
      <c r="L885" s="20" t="str">
        <f>IFERROR(__xludf.DUMMYFUNCTION("""COMPUTED_VALUE"""),"Hash Table;String;")</f>
        <v>Hash Table;String;</v>
      </c>
      <c r="M885" s="20" t="b">
        <f>IFERROR(__xludf.DUMMYFUNCTION("""COMPUTED_VALUE"""),TRUE)</f>
        <v>1</v>
      </c>
      <c r="N885" s="20" t="b">
        <f>IFERROR(__xludf.DUMMYFUNCTION("""COMPUTED_VALUE"""),FALSE)</f>
        <v>0</v>
      </c>
      <c r="O885" s="20">
        <f>IFERROR(__xludf.DUMMYFUNCTION("""COMPUTED_VALUE"""),66.0770996633877)</f>
        <v>66.07709966</v>
      </c>
      <c r="P885" s="20">
        <f>IFERROR(__xludf.DUMMYFUNCTION("""COMPUTED_VALUE"""),111106.0)</f>
        <v>111106</v>
      </c>
      <c r="Q885" s="20">
        <f>IFERROR(__xludf.DUMMYFUNCTION("""COMPUTED_VALUE"""),168146.0)</f>
        <v>168146</v>
      </c>
    </row>
    <row r="886">
      <c r="A886" s="20">
        <f>IFERROR(__xludf.DUMMYFUNCTION("""COMPUTED_VALUE"""),921.0)</f>
        <v>921</v>
      </c>
      <c r="B886" s="20" t="str">
        <f>IFERROR(__xludf.DUMMYFUNCTION("""COMPUTED_VALUE"""),"Spiral Matrix III")</f>
        <v>Spiral Matrix III</v>
      </c>
      <c r="C886" s="20" t="str">
        <f>IFERROR(__xludf.DUMMYFUNCTION("""COMPUTED_VALUE"""),"spiral-matrix-iii")</f>
        <v>spiral-matrix-iii</v>
      </c>
      <c r="D886" s="20" t="b">
        <f>IFERROR(__xludf.DUMMYFUNCTION("""COMPUTED_VALUE"""),FALSE)</f>
        <v>0</v>
      </c>
      <c r="E886" s="20" t="str">
        <f>IFERROR(__xludf.DUMMYFUNCTION("""COMPUTED_VALUE"""),"Medium")</f>
        <v>Medium</v>
      </c>
      <c r="F886" s="20">
        <f>IFERROR(__xludf.DUMMYFUNCTION("""COMPUTED_VALUE"""),666.0)</f>
        <v>666</v>
      </c>
      <c r="G886" s="20">
        <f>IFERROR(__xludf.DUMMYFUNCTION("""COMPUTED_VALUE"""),691.0)</f>
        <v>691</v>
      </c>
      <c r="H886" s="20" t="str">
        <f>IFERROR(__xludf.DUMMYFUNCTION("""COMPUTED_VALUE"""),"Algorithms")</f>
        <v>Algorithms</v>
      </c>
      <c r="I886" s="20">
        <f>IFERROR(__xludf.DUMMYFUNCTION("""COMPUTED_VALUE"""),0.732)</f>
        <v>0.732</v>
      </c>
      <c r="J886" s="20">
        <f>IFERROR(__xludf.DUMMYFUNCTION("""COMPUTED_VALUE"""),885.0)</f>
        <v>885</v>
      </c>
      <c r="K886" s="20" t="b">
        <f>IFERROR(__xludf.DUMMYFUNCTION("""COMPUTED_VALUE"""),FALSE)</f>
        <v>0</v>
      </c>
      <c r="L886" s="20" t="str">
        <f>IFERROR(__xludf.DUMMYFUNCTION("""COMPUTED_VALUE"""),"Array;Matrix;Simulation;")</f>
        <v>Array;Matrix;Simulation;</v>
      </c>
      <c r="M886" s="20" t="b">
        <f>IFERROR(__xludf.DUMMYFUNCTION("""COMPUTED_VALUE"""),TRUE)</f>
        <v>1</v>
      </c>
      <c r="N886" s="20" t="b">
        <f>IFERROR(__xludf.DUMMYFUNCTION("""COMPUTED_VALUE"""),FALSE)</f>
        <v>0</v>
      </c>
      <c r="O886" s="20">
        <f>IFERROR(__xludf.DUMMYFUNCTION("""COMPUTED_VALUE"""),73.2444081147358)</f>
        <v>73.24440811</v>
      </c>
      <c r="P886" s="20">
        <f>IFERROR(__xludf.DUMMYFUNCTION("""COMPUTED_VALUE"""),39426.0)</f>
        <v>39426</v>
      </c>
      <c r="Q886" s="20">
        <f>IFERROR(__xludf.DUMMYFUNCTION("""COMPUTED_VALUE"""),53828.0)</f>
        <v>53828</v>
      </c>
    </row>
    <row r="887">
      <c r="A887" s="20">
        <f>IFERROR(__xludf.DUMMYFUNCTION("""COMPUTED_VALUE"""),922.0)</f>
        <v>922</v>
      </c>
      <c r="B887" s="20" t="str">
        <f>IFERROR(__xludf.DUMMYFUNCTION("""COMPUTED_VALUE"""),"Possible Bipartition")</f>
        <v>Possible Bipartition</v>
      </c>
      <c r="C887" s="20" t="str">
        <f>IFERROR(__xludf.DUMMYFUNCTION("""COMPUTED_VALUE"""),"possible-bipartition")</f>
        <v>possible-bipartition</v>
      </c>
      <c r="D887" s="20" t="b">
        <f>IFERROR(__xludf.DUMMYFUNCTION("""COMPUTED_VALUE"""),FALSE)</f>
        <v>0</v>
      </c>
      <c r="E887" s="20" t="str">
        <f>IFERROR(__xludf.DUMMYFUNCTION("""COMPUTED_VALUE"""),"Medium")</f>
        <v>Medium</v>
      </c>
      <c r="F887" s="20">
        <f>IFERROR(__xludf.DUMMYFUNCTION("""COMPUTED_VALUE"""),4054.0)</f>
        <v>4054</v>
      </c>
      <c r="G887" s="20">
        <f>IFERROR(__xludf.DUMMYFUNCTION("""COMPUTED_VALUE"""),95.0)</f>
        <v>95</v>
      </c>
      <c r="H887" s="20" t="str">
        <f>IFERROR(__xludf.DUMMYFUNCTION("""COMPUTED_VALUE"""),"Algorithms")</f>
        <v>Algorithms</v>
      </c>
      <c r="I887" s="20">
        <f>IFERROR(__xludf.DUMMYFUNCTION("""COMPUTED_VALUE"""),0.499)</f>
        <v>0.499</v>
      </c>
      <c r="J887" s="20">
        <f>IFERROR(__xludf.DUMMYFUNCTION("""COMPUTED_VALUE"""),886.0)</f>
        <v>886</v>
      </c>
      <c r="K887" s="20" t="b">
        <f>IFERROR(__xludf.DUMMYFUNCTION("""COMPUTED_VALUE"""),FALSE)</f>
        <v>0</v>
      </c>
      <c r="L887" s="20" t="str">
        <f>IFERROR(__xludf.DUMMYFUNCTION("""COMPUTED_VALUE"""),"Depth-First Search;Breadth-First Search;Union Find;Graph;")</f>
        <v>Depth-First Search;Breadth-First Search;Union Find;Graph;</v>
      </c>
      <c r="M887" s="20" t="b">
        <f>IFERROR(__xludf.DUMMYFUNCTION("""COMPUTED_VALUE"""),TRUE)</f>
        <v>1</v>
      </c>
      <c r="N887" s="20" t="b">
        <f>IFERROR(__xludf.DUMMYFUNCTION("""COMPUTED_VALUE"""),FALSE)</f>
        <v>0</v>
      </c>
      <c r="O887" s="20">
        <f>IFERROR(__xludf.DUMMYFUNCTION("""COMPUTED_VALUE"""),49.8862975456554)</f>
        <v>49.88629755</v>
      </c>
      <c r="P887" s="20">
        <f>IFERROR(__xludf.DUMMYFUNCTION("""COMPUTED_VALUE"""),171545.0)</f>
        <v>171545</v>
      </c>
      <c r="Q887" s="20">
        <f>IFERROR(__xludf.DUMMYFUNCTION("""COMPUTED_VALUE"""),343864.0)</f>
        <v>343864</v>
      </c>
    </row>
    <row r="888">
      <c r="A888" s="20">
        <f>IFERROR(__xludf.DUMMYFUNCTION("""COMPUTED_VALUE"""),923.0)</f>
        <v>923</v>
      </c>
      <c r="B888" s="20" t="str">
        <f>IFERROR(__xludf.DUMMYFUNCTION("""COMPUTED_VALUE"""),"Super Egg Drop")</f>
        <v>Super Egg Drop</v>
      </c>
      <c r="C888" s="20" t="str">
        <f>IFERROR(__xludf.DUMMYFUNCTION("""COMPUTED_VALUE"""),"super-egg-drop")</f>
        <v>super-egg-drop</v>
      </c>
      <c r="D888" s="20" t="b">
        <f>IFERROR(__xludf.DUMMYFUNCTION("""COMPUTED_VALUE"""),FALSE)</f>
        <v>0</v>
      </c>
      <c r="E888" s="20" t="str">
        <f>IFERROR(__xludf.DUMMYFUNCTION("""COMPUTED_VALUE"""),"Hard")</f>
        <v>Hard</v>
      </c>
      <c r="F888" s="20">
        <f>IFERROR(__xludf.DUMMYFUNCTION("""COMPUTED_VALUE"""),3034.0)</f>
        <v>3034</v>
      </c>
      <c r="G888" s="20">
        <f>IFERROR(__xludf.DUMMYFUNCTION("""COMPUTED_VALUE"""),150.0)</f>
        <v>150</v>
      </c>
      <c r="H888" s="20" t="str">
        <f>IFERROR(__xludf.DUMMYFUNCTION("""COMPUTED_VALUE"""),"Algorithms")</f>
        <v>Algorithms</v>
      </c>
      <c r="I888" s="20">
        <f>IFERROR(__xludf.DUMMYFUNCTION("""COMPUTED_VALUE"""),0.272)</f>
        <v>0.272</v>
      </c>
      <c r="J888" s="20">
        <f>IFERROR(__xludf.DUMMYFUNCTION("""COMPUTED_VALUE"""),887.0)</f>
        <v>887</v>
      </c>
      <c r="K888" s="20" t="b">
        <f>IFERROR(__xludf.DUMMYFUNCTION("""COMPUTED_VALUE"""),FALSE)</f>
        <v>0</v>
      </c>
      <c r="L888" s="20" t="str">
        <f>IFERROR(__xludf.DUMMYFUNCTION("""COMPUTED_VALUE"""),"Math;Binary Search;Dynamic Programming;")</f>
        <v>Math;Binary Search;Dynamic Programming;</v>
      </c>
      <c r="M888" s="20" t="b">
        <f>IFERROR(__xludf.DUMMYFUNCTION("""COMPUTED_VALUE"""),TRUE)</f>
        <v>1</v>
      </c>
      <c r="N888" s="20" t="b">
        <f>IFERROR(__xludf.DUMMYFUNCTION("""COMPUTED_VALUE"""),FALSE)</f>
        <v>0</v>
      </c>
      <c r="O888" s="20">
        <f>IFERROR(__xludf.DUMMYFUNCTION("""COMPUTED_VALUE"""),27.1862058362879)</f>
        <v>27.18620584</v>
      </c>
      <c r="P888" s="20">
        <f>IFERROR(__xludf.DUMMYFUNCTION("""COMPUTED_VALUE"""),56587.0)</f>
        <v>56587</v>
      </c>
      <c r="Q888" s="20">
        <f>IFERROR(__xludf.DUMMYFUNCTION("""COMPUTED_VALUE"""),208142.0)</f>
        <v>208142</v>
      </c>
    </row>
    <row r="889">
      <c r="A889" s="20">
        <f>IFERROR(__xludf.DUMMYFUNCTION("""COMPUTED_VALUE"""),924.0)</f>
        <v>924</v>
      </c>
      <c r="B889" s="20" t="str">
        <f>IFERROR(__xludf.DUMMYFUNCTION("""COMPUTED_VALUE"""),"Fair Candy Swap")</f>
        <v>Fair Candy Swap</v>
      </c>
      <c r="C889" s="20" t="str">
        <f>IFERROR(__xludf.DUMMYFUNCTION("""COMPUTED_VALUE"""),"fair-candy-swap")</f>
        <v>fair-candy-swap</v>
      </c>
      <c r="D889" s="20" t="b">
        <f>IFERROR(__xludf.DUMMYFUNCTION("""COMPUTED_VALUE"""),FALSE)</f>
        <v>0</v>
      </c>
      <c r="E889" s="20" t="str">
        <f>IFERROR(__xludf.DUMMYFUNCTION("""COMPUTED_VALUE"""),"Easy")</f>
        <v>Easy</v>
      </c>
      <c r="F889" s="20">
        <f>IFERROR(__xludf.DUMMYFUNCTION("""COMPUTED_VALUE"""),1626.0)</f>
        <v>1626</v>
      </c>
      <c r="G889" s="20">
        <f>IFERROR(__xludf.DUMMYFUNCTION("""COMPUTED_VALUE"""),296.0)</f>
        <v>296</v>
      </c>
      <c r="H889" s="20" t="str">
        <f>IFERROR(__xludf.DUMMYFUNCTION("""COMPUTED_VALUE"""),"Algorithms")</f>
        <v>Algorithms</v>
      </c>
      <c r="I889" s="20">
        <f>IFERROR(__xludf.DUMMYFUNCTION("""COMPUTED_VALUE"""),0.606)</f>
        <v>0.606</v>
      </c>
      <c r="J889" s="20">
        <f>IFERROR(__xludf.DUMMYFUNCTION("""COMPUTED_VALUE"""),888.0)</f>
        <v>888</v>
      </c>
      <c r="K889" s="20" t="b">
        <f>IFERROR(__xludf.DUMMYFUNCTION("""COMPUTED_VALUE"""),FALSE)</f>
        <v>0</v>
      </c>
      <c r="L889" s="20" t="str">
        <f>IFERROR(__xludf.DUMMYFUNCTION("""COMPUTED_VALUE"""),"Array;Hash Table;Binary Search;Sorting;")</f>
        <v>Array;Hash Table;Binary Search;Sorting;</v>
      </c>
      <c r="M889" s="20" t="b">
        <f>IFERROR(__xludf.DUMMYFUNCTION("""COMPUTED_VALUE"""),TRUE)</f>
        <v>1</v>
      </c>
      <c r="N889" s="20" t="b">
        <f>IFERROR(__xludf.DUMMYFUNCTION("""COMPUTED_VALUE"""),FALSE)</f>
        <v>0</v>
      </c>
      <c r="O889" s="20">
        <f>IFERROR(__xludf.DUMMYFUNCTION("""COMPUTED_VALUE"""),60.5812424151931)</f>
        <v>60.58124242</v>
      </c>
      <c r="P889" s="20">
        <f>IFERROR(__xludf.DUMMYFUNCTION("""COMPUTED_VALUE"""),95347.0)</f>
        <v>95347</v>
      </c>
      <c r="Q889" s="20">
        <f>IFERROR(__xludf.DUMMYFUNCTION("""COMPUTED_VALUE"""),157387.0)</f>
        <v>157387</v>
      </c>
    </row>
    <row r="890">
      <c r="A890" s="20">
        <f>IFERROR(__xludf.DUMMYFUNCTION("""COMPUTED_VALUE"""),925.0)</f>
        <v>925</v>
      </c>
      <c r="B890" s="20" t="str">
        <f>IFERROR(__xludf.DUMMYFUNCTION("""COMPUTED_VALUE"""),"Construct Binary Tree from Preorder and Postorder Traversal")</f>
        <v>Construct Binary Tree from Preorder and Postorder Traversal</v>
      </c>
      <c r="C890" s="20" t="str">
        <f>IFERROR(__xludf.DUMMYFUNCTION("""COMPUTED_VALUE"""),"construct-binary-tree-from-preorder-and-postorder-traversal")</f>
        <v>construct-binary-tree-from-preorder-and-postorder-traversal</v>
      </c>
      <c r="D890" s="20" t="b">
        <f>IFERROR(__xludf.DUMMYFUNCTION("""COMPUTED_VALUE"""),FALSE)</f>
        <v>0</v>
      </c>
      <c r="E890" s="20" t="str">
        <f>IFERROR(__xludf.DUMMYFUNCTION("""COMPUTED_VALUE"""),"Medium")</f>
        <v>Medium</v>
      </c>
      <c r="F890" s="20">
        <f>IFERROR(__xludf.DUMMYFUNCTION("""COMPUTED_VALUE"""),2316.0)</f>
        <v>2316</v>
      </c>
      <c r="G890" s="20">
        <f>IFERROR(__xludf.DUMMYFUNCTION("""COMPUTED_VALUE"""),96.0)</f>
        <v>96</v>
      </c>
      <c r="H890" s="20" t="str">
        <f>IFERROR(__xludf.DUMMYFUNCTION("""COMPUTED_VALUE"""),"Algorithms")</f>
        <v>Algorithms</v>
      </c>
      <c r="I890" s="20">
        <f>IFERROR(__xludf.DUMMYFUNCTION("""COMPUTED_VALUE"""),0.709)</f>
        <v>0.709</v>
      </c>
      <c r="J890" s="20">
        <f>IFERROR(__xludf.DUMMYFUNCTION("""COMPUTED_VALUE"""),889.0)</f>
        <v>889</v>
      </c>
      <c r="K890" s="20" t="b">
        <f>IFERROR(__xludf.DUMMYFUNCTION("""COMPUTED_VALUE"""),FALSE)</f>
        <v>0</v>
      </c>
      <c r="L890" s="20" t="str">
        <f>IFERROR(__xludf.DUMMYFUNCTION("""COMPUTED_VALUE"""),"Array;Hash Table;Divide and Conquer;Tree;Binary Tree;")</f>
        <v>Array;Hash Table;Divide and Conquer;Tree;Binary Tree;</v>
      </c>
      <c r="M890" s="20" t="b">
        <f>IFERROR(__xludf.DUMMYFUNCTION("""COMPUTED_VALUE"""),FALSE)</f>
        <v>0</v>
      </c>
      <c r="N890" s="20" t="b">
        <f>IFERROR(__xludf.DUMMYFUNCTION("""COMPUTED_VALUE"""),FALSE)</f>
        <v>0</v>
      </c>
      <c r="O890" s="20">
        <f>IFERROR(__xludf.DUMMYFUNCTION("""COMPUTED_VALUE"""),70.8902202345793)</f>
        <v>70.89022023</v>
      </c>
      <c r="P890" s="20">
        <f>IFERROR(__xludf.DUMMYFUNCTION("""COMPUTED_VALUE"""),84012.0)</f>
        <v>84012</v>
      </c>
      <c r="Q890" s="20">
        <f>IFERROR(__xludf.DUMMYFUNCTION("""COMPUTED_VALUE"""),118510.0)</f>
        <v>118510</v>
      </c>
    </row>
    <row r="891">
      <c r="A891" s="20">
        <f>IFERROR(__xludf.DUMMYFUNCTION("""COMPUTED_VALUE"""),926.0)</f>
        <v>926</v>
      </c>
      <c r="B891" s="20" t="str">
        <f>IFERROR(__xludf.DUMMYFUNCTION("""COMPUTED_VALUE"""),"Find and Replace Pattern")</f>
        <v>Find and Replace Pattern</v>
      </c>
      <c r="C891" s="20" t="str">
        <f>IFERROR(__xludf.DUMMYFUNCTION("""COMPUTED_VALUE"""),"find-and-replace-pattern")</f>
        <v>find-and-replace-pattern</v>
      </c>
      <c r="D891" s="20" t="b">
        <f>IFERROR(__xludf.DUMMYFUNCTION("""COMPUTED_VALUE"""),FALSE)</f>
        <v>0</v>
      </c>
      <c r="E891" s="20" t="str">
        <f>IFERROR(__xludf.DUMMYFUNCTION("""COMPUTED_VALUE"""),"Medium")</f>
        <v>Medium</v>
      </c>
      <c r="F891" s="20">
        <f>IFERROR(__xludf.DUMMYFUNCTION("""COMPUTED_VALUE"""),3502.0)</f>
        <v>3502</v>
      </c>
      <c r="G891" s="20">
        <f>IFERROR(__xludf.DUMMYFUNCTION("""COMPUTED_VALUE"""),157.0)</f>
        <v>157</v>
      </c>
      <c r="H891" s="20" t="str">
        <f>IFERROR(__xludf.DUMMYFUNCTION("""COMPUTED_VALUE"""),"Algorithms")</f>
        <v>Algorithms</v>
      </c>
      <c r="I891" s="20">
        <f>IFERROR(__xludf.DUMMYFUNCTION("""COMPUTED_VALUE"""),0.778)</f>
        <v>0.778</v>
      </c>
      <c r="J891" s="20">
        <f>IFERROR(__xludf.DUMMYFUNCTION("""COMPUTED_VALUE"""),890.0)</f>
        <v>890</v>
      </c>
      <c r="K891" s="20" t="b">
        <f>IFERROR(__xludf.DUMMYFUNCTION("""COMPUTED_VALUE"""),FALSE)</f>
        <v>0</v>
      </c>
      <c r="L891" s="20" t="str">
        <f>IFERROR(__xludf.DUMMYFUNCTION("""COMPUTED_VALUE"""),"Array;Hash Table;String;")</f>
        <v>Array;Hash Table;String;</v>
      </c>
      <c r="M891" s="20" t="b">
        <f>IFERROR(__xludf.DUMMYFUNCTION("""COMPUTED_VALUE"""),TRUE)</f>
        <v>1</v>
      </c>
      <c r="N891" s="20" t="b">
        <f>IFERROR(__xludf.DUMMYFUNCTION("""COMPUTED_VALUE"""),FALSE)</f>
        <v>0</v>
      </c>
      <c r="O891" s="20">
        <f>IFERROR(__xludf.DUMMYFUNCTION("""COMPUTED_VALUE"""),77.8191376003409)</f>
        <v>77.8191376</v>
      </c>
      <c r="P891" s="20">
        <f>IFERROR(__xludf.DUMMYFUNCTION("""COMPUTED_VALUE"""),164318.0)</f>
        <v>164318</v>
      </c>
      <c r="Q891" s="20">
        <f>IFERROR(__xludf.DUMMYFUNCTION("""COMPUTED_VALUE"""),211154.0)</f>
        <v>211154</v>
      </c>
    </row>
    <row r="892">
      <c r="A892" s="20">
        <f>IFERROR(__xludf.DUMMYFUNCTION("""COMPUTED_VALUE"""),927.0)</f>
        <v>927</v>
      </c>
      <c r="B892" s="20" t="str">
        <f>IFERROR(__xludf.DUMMYFUNCTION("""COMPUTED_VALUE"""),"Sum of Subsequence Widths")</f>
        <v>Sum of Subsequence Widths</v>
      </c>
      <c r="C892" s="20" t="str">
        <f>IFERROR(__xludf.DUMMYFUNCTION("""COMPUTED_VALUE"""),"sum-of-subsequence-widths")</f>
        <v>sum-of-subsequence-widths</v>
      </c>
      <c r="D892" s="20" t="b">
        <f>IFERROR(__xludf.DUMMYFUNCTION("""COMPUTED_VALUE"""),FALSE)</f>
        <v>0</v>
      </c>
      <c r="E892" s="20" t="str">
        <f>IFERROR(__xludf.DUMMYFUNCTION("""COMPUTED_VALUE"""),"Hard")</f>
        <v>Hard</v>
      </c>
      <c r="F892" s="20">
        <f>IFERROR(__xludf.DUMMYFUNCTION("""COMPUTED_VALUE"""),611.0)</f>
        <v>611</v>
      </c>
      <c r="G892" s="20">
        <f>IFERROR(__xludf.DUMMYFUNCTION("""COMPUTED_VALUE"""),162.0)</f>
        <v>162</v>
      </c>
      <c r="H892" s="20" t="str">
        <f>IFERROR(__xludf.DUMMYFUNCTION("""COMPUTED_VALUE"""),"Algorithms")</f>
        <v>Algorithms</v>
      </c>
      <c r="I892" s="20">
        <f>IFERROR(__xludf.DUMMYFUNCTION("""COMPUTED_VALUE"""),0.365)</f>
        <v>0.365</v>
      </c>
      <c r="J892" s="20">
        <f>IFERROR(__xludf.DUMMYFUNCTION("""COMPUTED_VALUE"""),891.0)</f>
        <v>891</v>
      </c>
      <c r="K892" s="20" t="b">
        <f>IFERROR(__xludf.DUMMYFUNCTION("""COMPUTED_VALUE"""),FALSE)</f>
        <v>0</v>
      </c>
      <c r="L892" s="20" t="str">
        <f>IFERROR(__xludf.DUMMYFUNCTION("""COMPUTED_VALUE"""),"Array;Math;Sorting;")</f>
        <v>Array;Math;Sorting;</v>
      </c>
      <c r="M892" s="20" t="b">
        <f>IFERROR(__xludf.DUMMYFUNCTION("""COMPUTED_VALUE"""),TRUE)</f>
        <v>1</v>
      </c>
      <c r="N892" s="20" t="b">
        <f>IFERROR(__xludf.DUMMYFUNCTION("""COMPUTED_VALUE"""),FALSE)</f>
        <v>0</v>
      </c>
      <c r="O892" s="20">
        <f>IFERROR(__xludf.DUMMYFUNCTION("""COMPUTED_VALUE"""),36.4680677412772)</f>
        <v>36.46806774</v>
      </c>
      <c r="P892" s="20">
        <f>IFERROR(__xludf.DUMMYFUNCTION("""COMPUTED_VALUE"""),17873.0)</f>
        <v>17873</v>
      </c>
      <c r="Q892" s="20">
        <f>IFERROR(__xludf.DUMMYFUNCTION("""COMPUTED_VALUE"""),49010.0)</f>
        <v>49010</v>
      </c>
    </row>
    <row r="893">
      <c r="A893" s="20">
        <f>IFERROR(__xludf.DUMMYFUNCTION("""COMPUTED_VALUE"""),928.0)</f>
        <v>928</v>
      </c>
      <c r="B893" s="20" t="str">
        <f>IFERROR(__xludf.DUMMYFUNCTION("""COMPUTED_VALUE"""),"Surface Area of 3D Shapes")</f>
        <v>Surface Area of 3D Shapes</v>
      </c>
      <c r="C893" s="20" t="str">
        <f>IFERROR(__xludf.DUMMYFUNCTION("""COMPUTED_VALUE"""),"surface-area-of-3d-shapes")</f>
        <v>surface-area-of-3d-shapes</v>
      </c>
      <c r="D893" s="20" t="b">
        <f>IFERROR(__xludf.DUMMYFUNCTION("""COMPUTED_VALUE"""),FALSE)</f>
        <v>0</v>
      </c>
      <c r="E893" s="20" t="str">
        <f>IFERROR(__xludf.DUMMYFUNCTION("""COMPUTED_VALUE"""),"Easy")</f>
        <v>Easy</v>
      </c>
      <c r="F893" s="20">
        <f>IFERROR(__xludf.DUMMYFUNCTION("""COMPUTED_VALUE"""),470.0)</f>
        <v>470</v>
      </c>
      <c r="G893" s="20">
        <f>IFERROR(__xludf.DUMMYFUNCTION("""COMPUTED_VALUE"""),659.0)</f>
        <v>659</v>
      </c>
      <c r="H893" s="20" t="str">
        <f>IFERROR(__xludf.DUMMYFUNCTION("""COMPUTED_VALUE"""),"Algorithms")</f>
        <v>Algorithms</v>
      </c>
      <c r="I893" s="20">
        <f>IFERROR(__xludf.DUMMYFUNCTION("""COMPUTED_VALUE"""),0.634)</f>
        <v>0.634</v>
      </c>
      <c r="J893" s="20">
        <f>IFERROR(__xludf.DUMMYFUNCTION("""COMPUTED_VALUE"""),892.0)</f>
        <v>892</v>
      </c>
      <c r="K893" s="20" t="b">
        <f>IFERROR(__xludf.DUMMYFUNCTION("""COMPUTED_VALUE"""),FALSE)</f>
        <v>0</v>
      </c>
      <c r="L893" s="20" t="str">
        <f>IFERROR(__xludf.DUMMYFUNCTION("""COMPUTED_VALUE"""),"Array;Math;Geometry;Matrix;")</f>
        <v>Array;Math;Geometry;Matrix;</v>
      </c>
      <c r="M893" s="20" t="b">
        <f>IFERROR(__xludf.DUMMYFUNCTION("""COMPUTED_VALUE"""),FALSE)</f>
        <v>0</v>
      </c>
      <c r="N893" s="20" t="b">
        <f>IFERROR(__xludf.DUMMYFUNCTION("""COMPUTED_VALUE"""),FALSE)</f>
        <v>0</v>
      </c>
      <c r="O893" s="20">
        <f>IFERROR(__xludf.DUMMYFUNCTION("""COMPUTED_VALUE"""),63.4395999374902)</f>
        <v>63.43959994</v>
      </c>
      <c r="P893" s="20">
        <f>IFERROR(__xludf.DUMMYFUNCTION("""COMPUTED_VALUE"""),32476.0)</f>
        <v>32476</v>
      </c>
      <c r="Q893" s="20">
        <f>IFERROR(__xludf.DUMMYFUNCTION("""COMPUTED_VALUE"""),51192.0)</f>
        <v>51192</v>
      </c>
    </row>
    <row r="894">
      <c r="A894" s="20">
        <f>IFERROR(__xludf.DUMMYFUNCTION("""COMPUTED_VALUE"""),929.0)</f>
        <v>929</v>
      </c>
      <c r="B894" s="20" t="str">
        <f>IFERROR(__xludf.DUMMYFUNCTION("""COMPUTED_VALUE"""),"Groups of Special-Equivalent Strings")</f>
        <v>Groups of Special-Equivalent Strings</v>
      </c>
      <c r="C894" s="20" t="str">
        <f>IFERROR(__xludf.DUMMYFUNCTION("""COMPUTED_VALUE"""),"groups-of-special-equivalent-strings")</f>
        <v>groups-of-special-equivalent-strings</v>
      </c>
      <c r="D894" s="20" t="b">
        <f>IFERROR(__xludf.DUMMYFUNCTION("""COMPUTED_VALUE"""),FALSE)</f>
        <v>0</v>
      </c>
      <c r="E894" s="20" t="str">
        <f>IFERROR(__xludf.DUMMYFUNCTION("""COMPUTED_VALUE"""),"Medium")</f>
        <v>Medium</v>
      </c>
      <c r="F894" s="20">
        <f>IFERROR(__xludf.DUMMYFUNCTION("""COMPUTED_VALUE"""),465.0)</f>
        <v>465</v>
      </c>
      <c r="G894" s="20">
        <f>IFERROR(__xludf.DUMMYFUNCTION("""COMPUTED_VALUE"""),1434.0)</f>
        <v>1434</v>
      </c>
      <c r="H894" s="20" t="str">
        <f>IFERROR(__xludf.DUMMYFUNCTION("""COMPUTED_VALUE"""),"Algorithms")</f>
        <v>Algorithms</v>
      </c>
      <c r="I894" s="20">
        <f>IFERROR(__xludf.DUMMYFUNCTION("""COMPUTED_VALUE"""),0.71)</f>
        <v>0.71</v>
      </c>
      <c r="J894" s="20">
        <f>IFERROR(__xludf.DUMMYFUNCTION("""COMPUTED_VALUE"""),893.0)</f>
        <v>893</v>
      </c>
      <c r="K894" s="20" t="b">
        <f>IFERROR(__xludf.DUMMYFUNCTION("""COMPUTED_VALUE"""),FALSE)</f>
        <v>0</v>
      </c>
      <c r="L894" s="20" t="str">
        <f>IFERROR(__xludf.DUMMYFUNCTION("""COMPUTED_VALUE"""),"Array;Hash Table;String;")</f>
        <v>Array;Hash Table;String;</v>
      </c>
      <c r="M894" s="20" t="b">
        <f>IFERROR(__xludf.DUMMYFUNCTION("""COMPUTED_VALUE"""),FALSE)</f>
        <v>0</v>
      </c>
      <c r="N894" s="20" t="b">
        <f>IFERROR(__xludf.DUMMYFUNCTION("""COMPUTED_VALUE"""),FALSE)</f>
        <v>0</v>
      </c>
      <c r="O894" s="20">
        <f>IFERROR(__xludf.DUMMYFUNCTION("""COMPUTED_VALUE"""),70.9647600668147)</f>
        <v>70.96476007</v>
      </c>
      <c r="P894" s="20">
        <f>IFERROR(__xludf.DUMMYFUNCTION("""COMPUTED_VALUE"""),43759.0)</f>
        <v>43759</v>
      </c>
      <c r="Q894" s="20">
        <f>IFERROR(__xludf.DUMMYFUNCTION("""COMPUTED_VALUE"""),61663.0)</f>
        <v>61663</v>
      </c>
    </row>
    <row r="895">
      <c r="A895" s="20">
        <f>IFERROR(__xludf.DUMMYFUNCTION("""COMPUTED_VALUE"""),930.0)</f>
        <v>930</v>
      </c>
      <c r="B895" s="20" t="str">
        <f>IFERROR(__xludf.DUMMYFUNCTION("""COMPUTED_VALUE"""),"All Possible Full Binary Trees")</f>
        <v>All Possible Full Binary Trees</v>
      </c>
      <c r="C895" s="20" t="str">
        <f>IFERROR(__xludf.DUMMYFUNCTION("""COMPUTED_VALUE"""),"all-possible-full-binary-trees")</f>
        <v>all-possible-full-binary-trees</v>
      </c>
      <c r="D895" s="20" t="b">
        <f>IFERROR(__xludf.DUMMYFUNCTION("""COMPUTED_VALUE"""),FALSE)</f>
        <v>0</v>
      </c>
      <c r="E895" s="20" t="str">
        <f>IFERROR(__xludf.DUMMYFUNCTION("""COMPUTED_VALUE"""),"Medium")</f>
        <v>Medium</v>
      </c>
      <c r="F895" s="20">
        <f>IFERROR(__xludf.DUMMYFUNCTION("""COMPUTED_VALUE"""),3323.0)</f>
        <v>3323</v>
      </c>
      <c r="G895" s="20">
        <f>IFERROR(__xludf.DUMMYFUNCTION("""COMPUTED_VALUE"""),235.0)</f>
        <v>235</v>
      </c>
      <c r="H895" s="20" t="str">
        <f>IFERROR(__xludf.DUMMYFUNCTION("""COMPUTED_VALUE"""),"Algorithms")</f>
        <v>Algorithms</v>
      </c>
      <c r="I895" s="20">
        <f>IFERROR(__xludf.DUMMYFUNCTION("""COMPUTED_VALUE"""),0.8)</f>
        <v>0.8</v>
      </c>
      <c r="J895" s="20">
        <f>IFERROR(__xludf.DUMMYFUNCTION("""COMPUTED_VALUE"""),894.0)</f>
        <v>894</v>
      </c>
      <c r="K895" s="20" t="b">
        <f>IFERROR(__xludf.DUMMYFUNCTION("""COMPUTED_VALUE"""),FALSE)</f>
        <v>0</v>
      </c>
      <c r="L895" s="20" t="str">
        <f>IFERROR(__xludf.DUMMYFUNCTION("""COMPUTED_VALUE"""),"Dynamic Programming;Tree;Recursion;Memoization;Binary Tree;")</f>
        <v>Dynamic Programming;Tree;Recursion;Memoization;Binary Tree;</v>
      </c>
      <c r="M895" s="20" t="b">
        <f>IFERROR(__xludf.DUMMYFUNCTION("""COMPUTED_VALUE"""),TRUE)</f>
        <v>1</v>
      </c>
      <c r="N895" s="20" t="b">
        <f>IFERROR(__xludf.DUMMYFUNCTION("""COMPUTED_VALUE"""),FALSE)</f>
        <v>0</v>
      </c>
      <c r="O895" s="20">
        <f>IFERROR(__xludf.DUMMYFUNCTION("""COMPUTED_VALUE"""),80.0058388631575)</f>
        <v>80.00583886</v>
      </c>
      <c r="P895" s="20">
        <f>IFERROR(__xludf.DUMMYFUNCTION("""COMPUTED_VALUE"""),101396.0)</f>
        <v>101396</v>
      </c>
      <c r="Q895" s="20">
        <f>IFERROR(__xludf.DUMMYFUNCTION("""COMPUTED_VALUE"""),126736.0)</f>
        <v>126736</v>
      </c>
    </row>
    <row r="896">
      <c r="A896" s="20">
        <f>IFERROR(__xludf.DUMMYFUNCTION("""COMPUTED_VALUE"""),931.0)</f>
        <v>931</v>
      </c>
      <c r="B896" s="20" t="str">
        <f>IFERROR(__xludf.DUMMYFUNCTION("""COMPUTED_VALUE"""),"Maximum Frequency Stack")</f>
        <v>Maximum Frequency Stack</v>
      </c>
      <c r="C896" s="20" t="str">
        <f>IFERROR(__xludf.DUMMYFUNCTION("""COMPUTED_VALUE"""),"maximum-frequency-stack")</f>
        <v>maximum-frequency-stack</v>
      </c>
      <c r="D896" s="20" t="b">
        <f>IFERROR(__xludf.DUMMYFUNCTION("""COMPUTED_VALUE"""),FALSE)</f>
        <v>0</v>
      </c>
      <c r="E896" s="20" t="str">
        <f>IFERROR(__xludf.DUMMYFUNCTION("""COMPUTED_VALUE"""),"Hard")</f>
        <v>Hard</v>
      </c>
      <c r="F896" s="20">
        <f>IFERROR(__xludf.DUMMYFUNCTION("""COMPUTED_VALUE"""),4126.0)</f>
        <v>4126</v>
      </c>
      <c r="G896" s="20">
        <f>IFERROR(__xludf.DUMMYFUNCTION("""COMPUTED_VALUE"""),62.0)</f>
        <v>62</v>
      </c>
      <c r="H896" s="20" t="str">
        <f>IFERROR(__xludf.DUMMYFUNCTION("""COMPUTED_VALUE"""),"Algorithms")</f>
        <v>Algorithms</v>
      </c>
      <c r="I896" s="20">
        <f>IFERROR(__xludf.DUMMYFUNCTION("""COMPUTED_VALUE"""),0.667)</f>
        <v>0.667</v>
      </c>
      <c r="J896" s="20">
        <f>IFERROR(__xludf.DUMMYFUNCTION("""COMPUTED_VALUE"""),895.0)</f>
        <v>895</v>
      </c>
      <c r="K896" s="20" t="b">
        <f>IFERROR(__xludf.DUMMYFUNCTION("""COMPUTED_VALUE"""),FALSE)</f>
        <v>0</v>
      </c>
      <c r="L896" s="20" t="str">
        <f>IFERROR(__xludf.DUMMYFUNCTION("""COMPUTED_VALUE"""),"Hash Table;Stack;Design;Ordered Set;")</f>
        <v>Hash Table;Stack;Design;Ordered Set;</v>
      </c>
      <c r="M896" s="20" t="b">
        <f>IFERROR(__xludf.DUMMYFUNCTION("""COMPUTED_VALUE"""),TRUE)</f>
        <v>1</v>
      </c>
      <c r="N896" s="20" t="b">
        <f>IFERROR(__xludf.DUMMYFUNCTION("""COMPUTED_VALUE"""),FALSE)</f>
        <v>0</v>
      </c>
      <c r="O896" s="20">
        <f>IFERROR(__xludf.DUMMYFUNCTION("""COMPUTED_VALUE"""),66.7164692133183)</f>
        <v>66.71646921</v>
      </c>
      <c r="P896" s="20">
        <f>IFERROR(__xludf.DUMMYFUNCTION("""COMPUTED_VALUE"""),145572.0)</f>
        <v>145572</v>
      </c>
      <c r="Q896" s="20">
        <f>IFERROR(__xludf.DUMMYFUNCTION("""COMPUTED_VALUE"""),218195.0)</f>
        <v>218195</v>
      </c>
    </row>
    <row r="897">
      <c r="A897" s="20">
        <f>IFERROR(__xludf.DUMMYFUNCTION("""COMPUTED_VALUE"""),932.0)</f>
        <v>932</v>
      </c>
      <c r="B897" s="20" t="str">
        <f>IFERROR(__xludf.DUMMYFUNCTION("""COMPUTED_VALUE"""),"Monotonic Array")</f>
        <v>Monotonic Array</v>
      </c>
      <c r="C897" s="20" t="str">
        <f>IFERROR(__xludf.DUMMYFUNCTION("""COMPUTED_VALUE"""),"monotonic-array")</f>
        <v>monotonic-array</v>
      </c>
      <c r="D897" s="20" t="b">
        <f>IFERROR(__xludf.DUMMYFUNCTION("""COMPUTED_VALUE"""),FALSE)</f>
        <v>0</v>
      </c>
      <c r="E897" s="20" t="str">
        <f>IFERROR(__xludf.DUMMYFUNCTION("""COMPUTED_VALUE"""),"Easy")</f>
        <v>Easy</v>
      </c>
      <c r="F897" s="20">
        <f>IFERROR(__xludf.DUMMYFUNCTION("""COMPUTED_VALUE"""),1857.0)</f>
        <v>1857</v>
      </c>
      <c r="G897" s="20">
        <f>IFERROR(__xludf.DUMMYFUNCTION("""COMPUTED_VALUE"""),59.0)</f>
        <v>59</v>
      </c>
      <c r="H897" s="20" t="str">
        <f>IFERROR(__xludf.DUMMYFUNCTION("""COMPUTED_VALUE"""),"Algorithms")</f>
        <v>Algorithms</v>
      </c>
      <c r="I897" s="20">
        <f>IFERROR(__xludf.DUMMYFUNCTION("""COMPUTED_VALUE"""),0.583)</f>
        <v>0.583</v>
      </c>
      <c r="J897" s="20">
        <f>IFERROR(__xludf.DUMMYFUNCTION("""COMPUTED_VALUE"""),896.0)</f>
        <v>896</v>
      </c>
      <c r="K897" s="20" t="b">
        <f>IFERROR(__xludf.DUMMYFUNCTION("""COMPUTED_VALUE"""),FALSE)</f>
        <v>0</v>
      </c>
      <c r="L897" s="20" t="str">
        <f>IFERROR(__xludf.DUMMYFUNCTION("""COMPUTED_VALUE"""),"Array;")</f>
        <v>Array;</v>
      </c>
      <c r="M897" s="20" t="b">
        <f>IFERROR(__xludf.DUMMYFUNCTION("""COMPUTED_VALUE"""),TRUE)</f>
        <v>1</v>
      </c>
      <c r="N897" s="20" t="b">
        <f>IFERROR(__xludf.DUMMYFUNCTION("""COMPUTED_VALUE"""),FALSE)</f>
        <v>0</v>
      </c>
      <c r="O897" s="20">
        <f>IFERROR(__xludf.DUMMYFUNCTION("""COMPUTED_VALUE"""),58.2728435180556)</f>
        <v>58.27284352</v>
      </c>
      <c r="P897" s="20">
        <f>IFERROR(__xludf.DUMMYFUNCTION("""COMPUTED_VALUE"""),242441.0)</f>
        <v>242441</v>
      </c>
      <c r="Q897" s="20">
        <f>IFERROR(__xludf.DUMMYFUNCTION("""COMPUTED_VALUE"""),416046.0)</f>
        <v>416046</v>
      </c>
    </row>
    <row r="898">
      <c r="A898" s="20">
        <f>IFERROR(__xludf.DUMMYFUNCTION("""COMPUTED_VALUE"""),933.0)</f>
        <v>933</v>
      </c>
      <c r="B898" s="20" t="str">
        <f>IFERROR(__xludf.DUMMYFUNCTION("""COMPUTED_VALUE"""),"Increasing Order Search Tree")</f>
        <v>Increasing Order Search Tree</v>
      </c>
      <c r="C898" s="20" t="str">
        <f>IFERROR(__xludf.DUMMYFUNCTION("""COMPUTED_VALUE"""),"increasing-order-search-tree")</f>
        <v>increasing-order-search-tree</v>
      </c>
      <c r="D898" s="20" t="b">
        <f>IFERROR(__xludf.DUMMYFUNCTION("""COMPUTED_VALUE"""),FALSE)</f>
        <v>0</v>
      </c>
      <c r="E898" s="20" t="str">
        <f>IFERROR(__xludf.DUMMYFUNCTION("""COMPUTED_VALUE"""),"Easy")</f>
        <v>Easy</v>
      </c>
      <c r="F898" s="20">
        <f>IFERROR(__xludf.DUMMYFUNCTION("""COMPUTED_VALUE"""),3696.0)</f>
        <v>3696</v>
      </c>
      <c r="G898" s="20">
        <f>IFERROR(__xludf.DUMMYFUNCTION("""COMPUTED_VALUE"""),640.0)</f>
        <v>640</v>
      </c>
      <c r="H898" s="20" t="str">
        <f>IFERROR(__xludf.DUMMYFUNCTION("""COMPUTED_VALUE"""),"Algorithms")</f>
        <v>Algorithms</v>
      </c>
      <c r="I898" s="20">
        <f>IFERROR(__xludf.DUMMYFUNCTION("""COMPUTED_VALUE"""),0.785)</f>
        <v>0.785</v>
      </c>
      <c r="J898" s="20">
        <f>IFERROR(__xludf.DUMMYFUNCTION("""COMPUTED_VALUE"""),897.0)</f>
        <v>897</v>
      </c>
      <c r="K898" s="20" t="b">
        <f>IFERROR(__xludf.DUMMYFUNCTION("""COMPUTED_VALUE"""),FALSE)</f>
        <v>0</v>
      </c>
      <c r="L898" s="20" t="str">
        <f>IFERROR(__xludf.DUMMYFUNCTION("""COMPUTED_VALUE"""),"Stack;Tree;Depth-First Search;Binary Search Tree;Binary Tree;")</f>
        <v>Stack;Tree;Depth-First Search;Binary Search Tree;Binary Tree;</v>
      </c>
      <c r="M898" s="20" t="b">
        <f>IFERROR(__xludf.DUMMYFUNCTION("""COMPUTED_VALUE"""),TRUE)</f>
        <v>1</v>
      </c>
      <c r="N898" s="20" t="b">
        <f>IFERROR(__xludf.DUMMYFUNCTION("""COMPUTED_VALUE"""),FALSE)</f>
        <v>0</v>
      </c>
      <c r="O898" s="20">
        <f>IFERROR(__xludf.DUMMYFUNCTION("""COMPUTED_VALUE"""),78.4656925450685)</f>
        <v>78.46569255</v>
      </c>
      <c r="P898" s="20">
        <f>IFERROR(__xludf.DUMMYFUNCTION("""COMPUTED_VALUE"""),237997.0)</f>
        <v>237997</v>
      </c>
      <c r="Q898" s="20">
        <f>IFERROR(__xludf.DUMMYFUNCTION("""COMPUTED_VALUE"""),303313.0)</f>
        <v>303313</v>
      </c>
    </row>
    <row r="899">
      <c r="A899" s="20">
        <f>IFERROR(__xludf.DUMMYFUNCTION("""COMPUTED_VALUE"""),934.0)</f>
        <v>934</v>
      </c>
      <c r="B899" s="20" t="str">
        <f>IFERROR(__xludf.DUMMYFUNCTION("""COMPUTED_VALUE"""),"Bitwise ORs of Subarrays")</f>
        <v>Bitwise ORs of Subarrays</v>
      </c>
      <c r="C899" s="20" t="str">
        <f>IFERROR(__xludf.DUMMYFUNCTION("""COMPUTED_VALUE"""),"bitwise-ors-of-subarrays")</f>
        <v>bitwise-ors-of-subarrays</v>
      </c>
      <c r="D899" s="20" t="b">
        <f>IFERROR(__xludf.DUMMYFUNCTION("""COMPUTED_VALUE"""),FALSE)</f>
        <v>0</v>
      </c>
      <c r="E899" s="20" t="str">
        <f>IFERROR(__xludf.DUMMYFUNCTION("""COMPUTED_VALUE"""),"Medium")</f>
        <v>Medium</v>
      </c>
      <c r="F899" s="20">
        <f>IFERROR(__xludf.DUMMYFUNCTION("""COMPUTED_VALUE"""),1178.0)</f>
        <v>1178</v>
      </c>
      <c r="G899" s="20">
        <f>IFERROR(__xludf.DUMMYFUNCTION("""COMPUTED_VALUE"""),191.0)</f>
        <v>191</v>
      </c>
      <c r="H899" s="20" t="str">
        <f>IFERROR(__xludf.DUMMYFUNCTION("""COMPUTED_VALUE"""),"Algorithms")</f>
        <v>Algorithms</v>
      </c>
      <c r="I899" s="20">
        <f>IFERROR(__xludf.DUMMYFUNCTION("""COMPUTED_VALUE"""),0.369)</f>
        <v>0.369</v>
      </c>
      <c r="J899" s="20">
        <f>IFERROR(__xludf.DUMMYFUNCTION("""COMPUTED_VALUE"""),898.0)</f>
        <v>898</v>
      </c>
      <c r="K899" s="20" t="b">
        <f>IFERROR(__xludf.DUMMYFUNCTION("""COMPUTED_VALUE"""),FALSE)</f>
        <v>0</v>
      </c>
      <c r="L899" s="20" t="str">
        <f>IFERROR(__xludf.DUMMYFUNCTION("""COMPUTED_VALUE"""),"Array;Dynamic Programming;Bit Manipulation;")</f>
        <v>Array;Dynamic Programming;Bit Manipulation;</v>
      </c>
      <c r="M899" s="20" t="b">
        <f>IFERROR(__xludf.DUMMYFUNCTION("""COMPUTED_VALUE"""),TRUE)</f>
        <v>1</v>
      </c>
      <c r="N899" s="20" t="b">
        <f>IFERROR(__xludf.DUMMYFUNCTION("""COMPUTED_VALUE"""),FALSE)</f>
        <v>0</v>
      </c>
      <c r="O899" s="20">
        <f>IFERROR(__xludf.DUMMYFUNCTION("""COMPUTED_VALUE"""),36.9378681644395)</f>
        <v>36.93786816</v>
      </c>
      <c r="P899" s="20">
        <f>IFERROR(__xludf.DUMMYFUNCTION("""COMPUTED_VALUE"""),29660.0)</f>
        <v>29660</v>
      </c>
      <c r="Q899" s="20">
        <f>IFERROR(__xludf.DUMMYFUNCTION("""COMPUTED_VALUE"""),80297.0)</f>
        <v>80297</v>
      </c>
    </row>
    <row r="900">
      <c r="A900" s="20">
        <f>IFERROR(__xludf.DUMMYFUNCTION("""COMPUTED_VALUE"""),935.0)</f>
        <v>935</v>
      </c>
      <c r="B900" s="20" t="str">
        <f>IFERROR(__xludf.DUMMYFUNCTION("""COMPUTED_VALUE"""),"Orderly Queue")</f>
        <v>Orderly Queue</v>
      </c>
      <c r="C900" s="20" t="str">
        <f>IFERROR(__xludf.DUMMYFUNCTION("""COMPUTED_VALUE"""),"orderly-queue")</f>
        <v>orderly-queue</v>
      </c>
      <c r="D900" s="20" t="b">
        <f>IFERROR(__xludf.DUMMYFUNCTION("""COMPUTED_VALUE"""),FALSE)</f>
        <v>0</v>
      </c>
      <c r="E900" s="20" t="str">
        <f>IFERROR(__xludf.DUMMYFUNCTION("""COMPUTED_VALUE"""),"Hard")</f>
        <v>Hard</v>
      </c>
      <c r="F900" s="20">
        <f>IFERROR(__xludf.DUMMYFUNCTION("""COMPUTED_VALUE"""),1588.0)</f>
        <v>1588</v>
      </c>
      <c r="G900" s="20">
        <f>IFERROR(__xludf.DUMMYFUNCTION("""COMPUTED_VALUE"""),582.0)</f>
        <v>582</v>
      </c>
      <c r="H900" s="20" t="str">
        <f>IFERROR(__xludf.DUMMYFUNCTION("""COMPUTED_VALUE"""),"Algorithms")</f>
        <v>Algorithms</v>
      </c>
      <c r="I900" s="20">
        <f>IFERROR(__xludf.DUMMYFUNCTION("""COMPUTED_VALUE"""),0.665)</f>
        <v>0.665</v>
      </c>
      <c r="J900" s="20">
        <f>IFERROR(__xludf.DUMMYFUNCTION("""COMPUTED_VALUE"""),899.0)</f>
        <v>899</v>
      </c>
      <c r="K900" s="20" t="b">
        <f>IFERROR(__xludf.DUMMYFUNCTION("""COMPUTED_VALUE"""),FALSE)</f>
        <v>0</v>
      </c>
      <c r="L900" s="20" t="str">
        <f>IFERROR(__xludf.DUMMYFUNCTION("""COMPUTED_VALUE"""),"Math;String;Sorting;")</f>
        <v>Math;String;Sorting;</v>
      </c>
      <c r="M900" s="20" t="b">
        <f>IFERROR(__xludf.DUMMYFUNCTION("""COMPUTED_VALUE"""),TRUE)</f>
        <v>1</v>
      </c>
      <c r="N900" s="20" t="b">
        <f>IFERROR(__xludf.DUMMYFUNCTION("""COMPUTED_VALUE"""),FALSE)</f>
        <v>0</v>
      </c>
      <c r="O900" s="20">
        <f>IFERROR(__xludf.DUMMYFUNCTION("""COMPUTED_VALUE"""),66.4807002742037)</f>
        <v>66.48070027</v>
      </c>
      <c r="P900" s="20">
        <f>IFERROR(__xludf.DUMMYFUNCTION("""COMPUTED_VALUE"""),63037.0)</f>
        <v>63037</v>
      </c>
      <c r="Q900" s="20">
        <f>IFERROR(__xludf.DUMMYFUNCTION("""COMPUTED_VALUE"""),94820.0)</f>
        <v>94820</v>
      </c>
    </row>
    <row r="901">
      <c r="A901" s="20">
        <f>IFERROR(__xludf.DUMMYFUNCTION("""COMPUTED_VALUE"""),936.0)</f>
        <v>936</v>
      </c>
      <c r="B901" s="20" t="str">
        <f>IFERROR(__xludf.DUMMYFUNCTION("""COMPUTED_VALUE"""),"RLE Iterator")</f>
        <v>RLE Iterator</v>
      </c>
      <c r="C901" s="20" t="str">
        <f>IFERROR(__xludf.DUMMYFUNCTION("""COMPUTED_VALUE"""),"rle-iterator")</f>
        <v>rle-iterator</v>
      </c>
      <c r="D901" s="20" t="b">
        <f>IFERROR(__xludf.DUMMYFUNCTION("""COMPUTED_VALUE"""),FALSE)</f>
        <v>0</v>
      </c>
      <c r="E901" s="20" t="str">
        <f>IFERROR(__xludf.DUMMYFUNCTION("""COMPUTED_VALUE"""),"Medium")</f>
        <v>Medium</v>
      </c>
      <c r="F901" s="20">
        <f>IFERROR(__xludf.DUMMYFUNCTION("""COMPUTED_VALUE"""),631.0)</f>
        <v>631</v>
      </c>
      <c r="G901" s="20">
        <f>IFERROR(__xludf.DUMMYFUNCTION("""COMPUTED_VALUE"""),164.0)</f>
        <v>164</v>
      </c>
      <c r="H901" s="20" t="str">
        <f>IFERROR(__xludf.DUMMYFUNCTION("""COMPUTED_VALUE"""),"Algorithms")</f>
        <v>Algorithms</v>
      </c>
      <c r="I901" s="20">
        <f>IFERROR(__xludf.DUMMYFUNCTION("""COMPUTED_VALUE"""),0.595)</f>
        <v>0.595</v>
      </c>
      <c r="J901" s="20">
        <f>IFERROR(__xludf.DUMMYFUNCTION("""COMPUTED_VALUE"""),900.0)</f>
        <v>900</v>
      </c>
      <c r="K901" s="20" t="b">
        <f>IFERROR(__xludf.DUMMYFUNCTION("""COMPUTED_VALUE"""),FALSE)</f>
        <v>0</v>
      </c>
      <c r="L901" s="20" t="str">
        <f>IFERROR(__xludf.DUMMYFUNCTION("""COMPUTED_VALUE"""),"Array;Design;Counting;Iterator;")</f>
        <v>Array;Design;Counting;Iterator;</v>
      </c>
      <c r="M901" s="20" t="b">
        <f>IFERROR(__xludf.DUMMYFUNCTION("""COMPUTED_VALUE"""),FALSE)</f>
        <v>0</v>
      </c>
      <c r="N901" s="20" t="b">
        <f>IFERROR(__xludf.DUMMYFUNCTION("""COMPUTED_VALUE"""),FALSE)</f>
        <v>0</v>
      </c>
      <c r="O901" s="20">
        <f>IFERROR(__xludf.DUMMYFUNCTION("""COMPUTED_VALUE"""),59.489415651773)</f>
        <v>59.48941565</v>
      </c>
      <c r="P901" s="20">
        <f>IFERROR(__xludf.DUMMYFUNCTION("""COMPUTED_VALUE"""),61938.0)</f>
        <v>61938</v>
      </c>
      <c r="Q901" s="20">
        <f>IFERROR(__xludf.DUMMYFUNCTION("""COMPUTED_VALUE"""),104116.0)</f>
        <v>104116</v>
      </c>
    </row>
    <row r="902">
      <c r="A902" s="20">
        <f>IFERROR(__xludf.DUMMYFUNCTION("""COMPUTED_VALUE"""),937.0)</f>
        <v>937</v>
      </c>
      <c r="B902" s="20" t="str">
        <f>IFERROR(__xludf.DUMMYFUNCTION("""COMPUTED_VALUE"""),"Online Stock Span")</f>
        <v>Online Stock Span</v>
      </c>
      <c r="C902" s="20" t="str">
        <f>IFERROR(__xludf.DUMMYFUNCTION("""COMPUTED_VALUE"""),"online-stock-span")</f>
        <v>online-stock-span</v>
      </c>
      <c r="D902" s="20" t="b">
        <f>IFERROR(__xludf.DUMMYFUNCTION("""COMPUTED_VALUE"""),FALSE)</f>
        <v>0</v>
      </c>
      <c r="E902" s="20" t="str">
        <f>IFERROR(__xludf.DUMMYFUNCTION("""COMPUTED_VALUE"""),"Medium")</f>
        <v>Medium</v>
      </c>
      <c r="F902" s="20">
        <f>IFERROR(__xludf.DUMMYFUNCTION("""COMPUTED_VALUE"""),4794.0)</f>
        <v>4794</v>
      </c>
      <c r="G902" s="20">
        <f>IFERROR(__xludf.DUMMYFUNCTION("""COMPUTED_VALUE"""),308.0)</f>
        <v>308</v>
      </c>
      <c r="H902" s="20" t="str">
        <f>IFERROR(__xludf.DUMMYFUNCTION("""COMPUTED_VALUE"""),"Algorithms")</f>
        <v>Algorithms</v>
      </c>
      <c r="I902" s="20">
        <f>IFERROR(__xludf.DUMMYFUNCTION("""COMPUTED_VALUE"""),0.653)</f>
        <v>0.653</v>
      </c>
      <c r="J902" s="20">
        <f>IFERROR(__xludf.DUMMYFUNCTION("""COMPUTED_VALUE"""),901.0)</f>
        <v>901</v>
      </c>
      <c r="K902" s="20" t="b">
        <f>IFERROR(__xludf.DUMMYFUNCTION("""COMPUTED_VALUE"""),FALSE)</f>
        <v>0</v>
      </c>
      <c r="L902" s="20" t="str">
        <f>IFERROR(__xludf.DUMMYFUNCTION("""COMPUTED_VALUE"""),"Stack;Design;Monotonic Stack;Data Stream;")</f>
        <v>Stack;Design;Monotonic Stack;Data Stream;</v>
      </c>
      <c r="M902" s="20" t="b">
        <f>IFERROR(__xludf.DUMMYFUNCTION("""COMPUTED_VALUE"""),TRUE)</f>
        <v>1</v>
      </c>
      <c r="N902" s="20" t="b">
        <f>IFERROR(__xludf.DUMMYFUNCTION("""COMPUTED_VALUE"""),FALSE)</f>
        <v>0</v>
      </c>
      <c r="O902" s="20">
        <f>IFERROR(__xludf.DUMMYFUNCTION("""COMPUTED_VALUE"""),65.2502726865775)</f>
        <v>65.25027269</v>
      </c>
      <c r="P902" s="20">
        <f>IFERROR(__xludf.DUMMYFUNCTION("""COMPUTED_VALUE"""),206983.0)</f>
        <v>206983</v>
      </c>
      <c r="Q902" s="20">
        <f>IFERROR(__xludf.DUMMYFUNCTION("""COMPUTED_VALUE"""),317214.0)</f>
        <v>317214</v>
      </c>
    </row>
    <row r="903">
      <c r="A903" s="20">
        <f>IFERROR(__xludf.DUMMYFUNCTION("""COMPUTED_VALUE"""),938.0)</f>
        <v>938</v>
      </c>
      <c r="B903" s="20" t="str">
        <f>IFERROR(__xludf.DUMMYFUNCTION("""COMPUTED_VALUE"""),"Numbers At Most N Given Digit Set")</f>
        <v>Numbers At Most N Given Digit Set</v>
      </c>
      <c r="C903" s="20" t="str">
        <f>IFERROR(__xludf.DUMMYFUNCTION("""COMPUTED_VALUE"""),"numbers-at-most-n-given-digit-set")</f>
        <v>numbers-at-most-n-given-digit-set</v>
      </c>
      <c r="D903" s="20" t="b">
        <f>IFERROR(__xludf.DUMMYFUNCTION("""COMPUTED_VALUE"""),FALSE)</f>
        <v>0</v>
      </c>
      <c r="E903" s="20" t="str">
        <f>IFERROR(__xludf.DUMMYFUNCTION("""COMPUTED_VALUE"""),"Hard")</f>
        <v>Hard</v>
      </c>
      <c r="F903" s="20">
        <f>IFERROR(__xludf.DUMMYFUNCTION("""COMPUTED_VALUE"""),1169.0)</f>
        <v>1169</v>
      </c>
      <c r="G903" s="20">
        <f>IFERROR(__xludf.DUMMYFUNCTION("""COMPUTED_VALUE"""),94.0)</f>
        <v>94</v>
      </c>
      <c r="H903" s="20" t="str">
        <f>IFERROR(__xludf.DUMMYFUNCTION("""COMPUTED_VALUE"""),"Algorithms")</f>
        <v>Algorithms</v>
      </c>
      <c r="I903" s="20">
        <f>IFERROR(__xludf.DUMMYFUNCTION("""COMPUTED_VALUE"""),0.415)</f>
        <v>0.415</v>
      </c>
      <c r="J903" s="20">
        <f>IFERROR(__xludf.DUMMYFUNCTION("""COMPUTED_VALUE"""),902.0)</f>
        <v>902</v>
      </c>
      <c r="K903" s="20" t="b">
        <f>IFERROR(__xludf.DUMMYFUNCTION("""COMPUTED_VALUE"""),FALSE)</f>
        <v>0</v>
      </c>
      <c r="L903" s="20" t="str">
        <f>IFERROR(__xludf.DUMMYFUNCTION("""COMPUTED_VALUE"""),"Array;Math;String;Binary Search;Dynamic Programming;")</f>
        <v>Array;Math;String;Binary Search;Dynamic Programming;</v>
      </c>
      <c r="M903" s="20" t="b">
        <f>IFERROR(__xludf.DUMMYFUNCTION("""COMPUTED_VALUE"""),TRUE)</f>
        <v>1</v>
      </c>
      <c r="N903" s="20" t="b">
        <f>IFERROR(__xludf.DUMMYFUNCTION("""COMPUTED_VALUE"""),FALSE)</f>
        <v>0</v>
      </c>
      <c r="O903" s="20">
        <f>IFERROR(__xludf.DUMMYFUNCTION("""COMPUTED_VALUE"""),41.450370338929)</f>
        <v>41.45037034</v>
      </c>
      <c r="P903" s="20">
        <f>IFERROR(__xludf.DUMMYFUNCTION("""COMPUTED_VALUE"""),39062.0)</f>
        <v>39062</v>
      </c>
      <c r="Q903" s="20">
        <f>IFERROR(__xludf.DUMMYFUNCTION("""COMPUTED_VALUE"""),94238.0)</f>
        <v>94238</v>
      </c>
    </row>
    <row r="904">
      <c r="A904" s="20">
        <f>IFERROR(__xludf.DUMMYFUNCTION("""COMPUTED_VALUE"""),939.0)</f>
        <v>939</v>
      </c>
      <c r="B904" s="20" t="str">
        <f>IFERROR(__xludf.DUMMYFUNCTION("""COMPUTED_VALUE"""),"Valid Permutations for DI Sequence")</f>
        <v>Valid Permutations for DI Sequence</v>
      </c>
      <c r="C904" s="20" t="str">
        <f>IFERROR(__xludf.DUMMYFUNCTION("""COMPUTED_VALUE"""),"valid-permutations-for-di-sequence")</f>
        <v>valid-permutations-for-di-sequence</v>
      </c>
      <c r="D904" s="20" t="b">
        <f>IFERROR(__xludf.DUMMYFUNCTION("""COMPUTED_VALUE"""),FALSE)</f>
        <v>0</v>
      </c>
      <c r="E904" s="20" t="str">
        <f>IFERROR(__xludf.DUMMYFUNCTION("""COMPUTED_VALUE"""),"Hard")</f>
        <v>Hard</v>
      </c>
      <c r="F904" s="20">
        <f>IFERROR(__xludf.DUMMYFUNCTION("""COMPUTED_VALUE"""),634.0)</f>
        <v>634</v>
      </c>
      <c r="G904" s="20">
        <f>IFERROR(__xludf.DUMMYFUNCTION("""COMPUTED_VALUE"""),38.0)</f>
        <v>38</v>
      </c>
      <c r="H904" s="20" t="str">
        <f>IFERROR(__xludf.DUMMYFUNCTION("""COMPUTED_VALUE"""),"Algorithms")</f>
        <v>Algorithms</v>
      </c>
      <c r="I904" s="20">
        <f>IFERROR(__xludf.DUMMYFUNCTION("""COMPUTED_VALUE"""),0.579)</f>
        <v>0.579</v>
      </c>
      <c r="J904" s="20">
        <f>IFERROR(__xludf.DUMMYFUNCTION("""COMPUTED_VALUE"""),903.0)</f>
        <v>903</v>
      </c>
      <c r="K904" s="20" t="b">
        <f>IFERROR(__xludf.DUMMYFUNCTION("""COMPUTED_VALUE"""),FALSE)</f>
        <v>0</v>
      </c>
      <c r="L904" s="20" t="str">
        <f>IFERROR(__xludf.DUMMYFUNCTION("""COMPUTED_VALUE"""),"Dynamic Programming;")</f>
        <v>Dynamic Programming;</v>
      </c>
      <c r="M904" s="20" t="b">
        <f>IFERROR(__xludf.DUMMYFUNCTION("""COMPUTED_VALUE"""),FALSE)</f>
        <v>0</v>
      </c>
      <c r="N904" s="20" t="b">
        <f>IFERROR(__xludf.DUMMYFUNCTION("""COMPUTED_VALUE"""),FALSE)</f>
        <v>0</v>
      </c>
      <c r="O904" s="20">
        <f>IFERROR(__xludf.DUMMYFUNCTION("""COMPUTED_VALUE"""),57.9122369514809)</f>
        <v>57.91223695</v>
      </c>
      <c r="P904" s="20">
        <f>IFERROR(__xludf.DUMMYFUNCTION("""COMPUTED_VALUE"""),13237.0)</f>
        <v>13237</v>
      </c>
      <c r="Q904" s="20">
        <f>IFERROR(__xludf.DUMMYFUNCTION("""COMPUTED_VALUE"""),22856.0)</f>
        <v>22856</v>
      </c>
    </row>
    <row r="905">
      <c r="A905" s="20">
        <f>IFERROR(__xludf.DUMMYFUNCTION("""COMPUTED_VALUE"""),940.0)</f>
        <v>940</v>
      </c>
      <c r="B905" s="20" t="str">
        <f>IFERROR(__xludf.DUMMYFUNCTION("""COMPUTED_VALUE"""),"Fruit Into Baskets")</f>
        <v>Fruit Into Baskets</v>
      </c>
      <c r="C905" s="20" t="str">
        <f>IFERROR(__xludf.DUMMYFUNCTION("""COMPUTED_VALUE"""),"fruit-into-baskets")</f>
        <v>fruit-into-baskets</v>
      </c>
      <c r="D905" s="20" t="b">
        <f>IFERROR(__xludf.DUMMYFUNCTION("""COMPUTED_VALUE"""),FALSE)</f>
        <v>0</v>
      </c>
      <c r="E905" s="20" t="str">
        <f>IFERROR(__xludf.DUMMYFUNCTION("""COMPUTED_VALUE"""),"Medium")</f>
        <v>Medium</v>
      </c>
      <c r="F905" s="20">
        <f>IFERROR(__xludf.DUMMYFUNCTION("""COMPUTED_VALUE"""),1851.0)</f>
        <v>1851</v>
      </c>
      <c r="G905" s="20">
        <f>IFERROR(__xludf.DUMMYFUNCTION("""COMPUTED_VALUE"""),131.0)</f>
        <v>131</v>
      </c>
      <c r="H905" s="20" t="str">
        <f>IFERROR(__xludf.DUMMYFUNCTION("""COMPUTED_VALUE"""),"Algorithms")</f>
        <v>Algorithms</v>
      </c>
      <c r="I905" s="20">
        <f>IFERROR(__xludf.DUMMYFUNCTION("""COMPUTED_VALUE"""),0.426)</f>
        <v>0.426</v>
      </c>
      <c r="J905" s="20">
        <f>IFERROR(__xludf.DUMMYFUNCTION("""COMPUTED_VALUE"""),904.0)</f>
        <v>904</v>
      </c>
      <c r="K905" s="20" t="b">
        <f>IFERROR(__xludf.DUMMYFUNCTION("""COMPUTED_VALUE"""),FALSE)</f>
        <v>0</v>
      </c>
      <c r="L905" s="20" t="str">
        <f>IFERROR(__xludf.DUMMYFUNCTION("""COMPUTED_VALUE"""),"Array;Hash Table;Sliding Window;")</f>
        <v>Array;Hash Table;Sliding Window;</v>
      </c>
      <c r="M905" s="20" t="b">
        <f>IFERROR(__xludf.DUMMYFUNCTION("""COMPUTED_VALUE"""),TRUE)</f>
        <v>1</v>
      </c>
      <c r="N905" s="20" t="b">
        <f>IFERROR(__xludf.DUMMYFUNCTION("""COMPUTED_VALUE"""),FALSE)</f>
        <v>0</v>
      </c>
      <c r="O905" s="20">
        <f>IFERROR(__xludf.DUMMYFUNCTION("""COMPUTED_VALUE"""),42.5814108543258)</f>
        <v>42.58141085</v>
      </c>
      <c r="P905" s="20">
        <f>IFERROR(__xludf.DUMMYFUNCTION("""COMPUTED_VALUE"""),249712.0)</f>
        <v>249712</v>
      </c>
      <c r="Q905" s="20">
        <f>IFERROR(__xludf.DUMMYFUNCTION("""COMPUTED_VALUE"""),586433.0)</f>
        <v>586433</v>
      </c>
    </row>
    <row r="906">
      <c r="A906" s="20">
        <f>IFERROR(__xludf.DUMMYFUNCTION("""COMPUTED_VALUE"""),941.0)</f>
        <v>941</v>
      </c>
      <c r="B906" s="20" t="str">
        <f>IFERROR(__xludf.DUMMYFUNCTION("""COMPUTED_VALUE"""),"Sort Array By Parity")</f>
        <v>Sort Array By Parity</v>
      </c>
      <c r="C906" s="20" t="str">
        <f>IFERROR(__xludf.DUMMYFUNCTION("""COMPUTED_VALUE"""),"sort-array-by-parity")</f>
        <v>sort-array-by-parity</v>
      </c>
      <c r="D906" s="20" t="b">
        <f>IFERROR(__xludf.DUMMYFUNCTION("""COMPUTED_VALUE"""),FALSE)</f>
        <v>0</v>
      </c>
      <c r="E906" s="20" t="str">
        <f>IFERROR(__xludf.DUMMYFUNCTION("""COMPUTED_VALUE"""),"Easy")</f>
        <v>Easy</v>
      </c>
      <c r="F906" s="20">
        <f>IFERROR(__xludf.DUMMYFUNCTION("""COMPUTED_VALUE"""),4043.0)</f>
        <v>4043</v>
      </c>
      <c r="G906" s="20">
        <f>IFERROR(__xludf.DUMMYFUNCTION("""COMPUTED_VALUE"""),131.0)</f>
        <v>131</v>
      </c>
      <c r="H906" s="20" t="str">
        <f>IFERROR(__xludf.DUMMYFUNCTION("""COMPUTED_VALUE"""),"Algorithms")</f>
        <v>Algorithms</v>
      </c>
      <c r="I906" s="20">
        <f>IFERROR(__xludf.DUMMYFUNCTION("""COMPUTED_VALUE"""),0.756)</f>
        <v>0.756</v>
      </c>
      <c r="J906" s="20">
        <f>IFERROR(__xludf.DUMMYFUNCTION("""COMPUTED_VALUE"""),905.0)</f>
        <v>905</v>
      </c>
      <c r="K906" s="20" t="b">
        <f>IFERROR(__xludf.DUMMYFUNCTION("""COMPUTED_VALUE"""),FALSE)</f>
        <v>0</v>
      </c>
      <c r="L906" s="20" t="str">
        <f>IFERROR(__xludf.DUMMYFUNCTION("""COMPUTED_VALUE"""),"Array;Two Pointers;Sorting;")</f>
        <v>Array;Two Pointers;Sorting;</v>
      </c>
      <c r="M906" s="20" t="b">
        <f>IFERROR(__xludf.DUMMYFUNCTION("""COMPUTED_VALUE"""),TRUE)</f>
        <v>1</v>
      </c>
      <c r="N906" s="20" t="b">
        <f>IFERROR(__xludf.DUMMYFUNCTION("""COMPUTED_VALUE"""),FALSE)</f>
        <v>0</v>
      </c>
      <c r="O906" s="20">
        <f>IFERROR(__xludf.DUMMYFUNCTION("""COMPUTED_VALUE"""),75.6368045056746)</f>
        <v>75.63680451</v>
      </c>
      <c r="P906" s="20">
        <f>IFERROR(__xludf.DUMMYFUNCTION("""COMPUTED_VALUE"""),568341.0)</f>
        <v>568341</v>
      </c>
      <c r="Q906" s="20">
        <f>IFERROR(__xludf.DUMMYFUNCTION("""COMPUTED_VALUE"""),751408.0)</f>
        <v>751408</v>
      </c>
    </row>
    <row r="907">
      <c r="A907" s="20">
        <f>IFERROR(__xludf.DUMMYFUNCTION("""COMPUTED_VALUE"""),942.0)</f>
        <v>942</v>
      </c>
      <c r="B907" s="20" t="str">
        <f>IFERROR(__xludf.DUMMYFUNCTION("""COMPUTED_VALUE"""),"Super Palindromes")</f>
        <v>Super Palindromes</v>
      </c>
      <c r="C907" s="20" t="str">
        <f>IFERROR(__xludf.DUMMYFUNCTION("""COMPUTED_VALUE"""),"super-palindromes")</f>
        <v>super-palindromes</v>
      </c>
      <c r="D907" s="20" t="b">
        <f>IFERROR(__xludf.DUMMYFUNCTION("""COMPUTED_VALUE"""),FALSE)</f>
        <v>0</v>
      </c>
      <c r="E907" s="20" t="str">
        <f>IFERROR(__xludf.DUMMYFUNCTION("""COMPUTED_VALUE"""),"Hard")</f>
        <v>Hard</v>
      </c>
      <c r="F907" s="20">
        <f>IFERROR(__xludf.DUMMYFUNCTION("""COMPUTED_VALUE"""),321.0)</f>
        <v>321</v>
      </c>
      <c r="G907" s="20">
        <f>IFERROR(__xludf.DUMMYFUNCTION("""COMPUTED_VALUE"""),392.0)</f>
        <v>392</v>
      </c>
      <c r="H907" s="20" t="str">
        <f>IFERROR(__xludf.DUMMYFUNCTION("""COMPUTED_VALUE"""),"Algorithms")</f>
        <v>Algorithms</v>
      </c>
      <c r="I907" s="20">
        <f>IFERROR(__xludf.DUMMYFUNCTION("""COMPUTED_VALUE"""),0.392)</f>
        <v>0.392</v>
      </c>
      <c r="J907" s="20">
        <f>IFERROR(__xludf.DUMMYFUNCTION("""COMPUTED_VALUE"""),906.0)</f>
        <v>906</v>
      </c>
      <c r="K907" s="20" t="b">
        <f>IFERROR(__xludf.DUMMYFUNCTION("""COMPUTED_VALUE"""),FALSE)</f>
        <v>0</v>
      </c>
      <c r="L907" s="20" t="str">
        <f>IFERROR(__xludf.DUMMYFUNCTION("""COMPUTED_VALUE"""),"Math;Enumeration;")</f>
        <v>Math;Enumeration;</v>
      </c>
      <c r="M907" s="20" t="b">
        <f>IFERROR(__xludf.DUMMYFUNCTION("""COMPUTED_VALUE"""),TRUE)</f>
        <v>1</v>
      </c>
      <c r="N907" s="20" t="b">
        <f>IFERROR(__xludf.DUMMYFUNCTION("""COMPUTED_VALUE"""),FALSE)</f>
        <v>0</v>
      </c>
      <c r="O907" s="20">
        <f>IFERROR(__xludf.DUMMYFUNCTION("""COMPUTED_VALUE"""),39.1903105633927)</f>
        <v>39.19031056</v>
      </c>
      <c r="P907" s="20">
        <f>IFERROR(__xludf.DUMMYFUNCTION("""COMPUTED_VALUE"""),22197.0)</f>
        <v>22197</v>
      </c>
      <c r="Q907" s="20">
        <f>IFERROR(__xludf.DUMMYFUNCTION("""COMPUTED_VALUE"""),56639.0)</f>
        <v>56639</v>
      </c>
    </row>
    <row r="908">
      <c r="A908" s="20">
        <f>IFERROR(__xludf.DUMMYFUNCTION("""COMPUTED_VALUE"""),943.0)</f>
        <v>943</v>
      </c>
      <c r="B908" s="20" t="str">
        <f>IFERROR(__xludf.DUMMYFUNCTION("""COMPUTED_VALUE"""),"Sum of Subarray Minimums")</f>
        <v>Sum of Subarray Minimums</v>
      </c>
      <c r="C908" s="20" t="str">
        <f>IFERROR(__xludf.DUMMYFUNCTION("""COMPUTED_VALUE"""),"sum-of-subarray-minimums")</f>
        <v>sum-of-subarray-minimums</v>
      </c>
      <c r="D908" s="20" t="b">
        <f>IFERROR(__xludf.DUMMYFUNCTION("""COMPUTED_VALUE"""),FALSE)</f>
        <v>0</v>
      </c>
      <c r="E908" s="20" t="str">
        <f>IFERROR(__xludf.DUMMYFUNCTION("""COMPUTED_VALUE"""),"Medium")</f>
        <v>Medium</v>
      </c>
      <c r="F908" s="20">
        <f>IFERROR(__xludf.DUMMYFUNCTION("""COMPUTED_VALUE"""),5693.0)</f>
        <v>5693</v>
      </c>
      <c r="G908" s="20">
        <f>IFERROR(__xludf.DUMMYFUNCTION("""COMPUTED_VALUE"""),394.0)</f>
        <v>394</v>
      </c>
      <c r="H908" s="20" t="str">
        <f>IFERROR(__xludf.DUMMYFUNCTION("""COMPUTED_VALUE"""),"Algorithms")</f>
        <v>Algorithms</v>
      </c>
      <c r="I908" s="20">
        <f>IFERROR(__xludf.DUMMYFUNCTION("""COMPUTED_VALUE"""),0.36)</f>
        <v>0.36</v>
      </c>
      <c r="J908" s="20">
        <f>IFERROR(__xludf.DUMMYFUNCTION("""COMPUTED_VALUE"""),907.0)</f>
        <v>907</v>
      </c>
      <c r="K908" s="20" t="b">
        <f>IFERROR(__xludf.DUMMYFUNCTION("""COMPUTED_VALUE"""),FALSE)</f>
        <v>0</v>
      </c>
      <c r="L908" s="20" t="str">
        <f>IFERROR(__xludf.DUMMYFUNCTION("""COMPUTED_VALUE"""),"Array;Dynamic Programming;Stack;Monotonic Stack;")</f>
        <v>Array;Dynamic Programming;Stack;Monotonic Stack;</v>
      </c>
      <c r="M908" s="20" t="b">
        <f>IFERROR(__xludf.DUMMYFUNCTION("""COMPUTED_VALUE"""),TRUE)</f>
        <v>1</v>
      </c>
      <c r="N908" s="20" t="b">
        <f>IFERROR(__xludf.DUMMYFUNCTION("""COMPUTED_VALUE"""),FALSE)</f>
        <v>0</v>
      </c>
      <c r="O908" s="20">
        <f>IFERROR(__xludf.DUMMYFUNCTION("""COMPUTED_VALUE"""),35.9858703473539)</f>
        <v>35.98587035</v>
      </c>
      <c r="P908" s="20">
        <f>IFERROR(__xludf.DUMMYFUNCTION("""COMPUTED_VALUE"""),137526.0)</f>
        <v>137526</v>
      </c>
      <c r="Q908" s="20">
        <f>IFERROR(__xludf.DUMMYFUNCTION("""COMPUTED_VALUE"""),382172.0)</f>
        <v>382172</v>
      </c>
    </row>
    <row r="909">
      <c r="A909" s="20">
        <f>IFERROR(__xludf.DUMMYFUNCTION("""COMPUTED_VALUE"""),944.0)</f>
        <v>944</v>
      </c>
      <c r="B909" s="20" t="str">
        <f>IFERROR(__xludf.DUMMYFUNCTION("""COMPUTED_VALUE"""),"Smallest Range I")</f>
        <v>Smallest Range I</v>
      </c>
      <c r="C909" s="20" t="str">
        <f>IFERROR(__xludf.DUMMYFUNCTION("""COMPUTED_VALUE"""),"smallest-range-i")</f>
        <v>smallest-range-i</v>
      </c>
      <c r="D909" s="20" t="b">
        <f>IFERROR(__xludf.DUMMYFUNCTION("""COMPUTED_VALUE"""),FALSE)</f>
        <v>0</v>
      </c>
      <c r="E909" s="20" t="str">
        <f>IFERROR(__xludf.DUMMYFUNCTION("""COMPUTED_VALUE"""),"Easy")</f>
        <v>Easy</v>
      </c>
      <c r="F909" s="20">
        <f>IFERROR(__xludf.DUMMYFUNCTION("""COMPUTED_VALUE"""),527.0)</f>
        <v>527</v>
      </c>
      <c r="G909" s="20">
        <f>IFERROR(__xludf.DUMMYFUNCTION("""COMPUTED_VALUE"""),1772.0)</f>
        <v>1772</v>
      </c>
      <c r="H909" s="20" t="str">
        <f>IFERROR(__xludf.DUMMYFUNCTION("""COMPUTED_VALUE"""),"Algorithms")</f>
        <v>Algorithms</v>
      </c>
      <c r="I909" s="20">
        <f>IFERROR(__xludf.DUMMYFUNCTION("""COMPUTED_VALUE"""),0.678)</f>
        <v>0.678</v>
      </c>
      <c r="J909" s="20">
        <f>IFERROR(__xludf.DUMMYFUNCTION("""COMPUTED_VALUE"""),908.0)</f>
        <v>908</v>
      </c>
      <c r="K909" s="20" t="b">
        <f>IFERROR(__xludf.DUMMYFUNCTION("""COMPUTED_VALUE"""),FALSE)</f>
        <v>0</v>
      </c>
      <c r="L909" s="20" t="str">
        <f>IFERROR(__xludf.DUMMYFUNCTION("""COMPUTED_VALUE"""),"Array;Math;")</f>
        <v>Array;Math;</v>
      </c>
      <c r="M909" s="20" t="b">
        <f>IFERROR(__xludf.DUMMYFUNCTION("""COMPUTED_VALUE"""),FALSE)</f>
        <v>0</v>
      </c>
      <c r="N909" s="20" t="b">
        <f>IFERROR(__xludf.DUMMYFUNCTION("""COMPUTED_VALUE"""),FALSE)</f>
        <v>0</v>
      </c>
      <c r="O909" s="20">
        <f>IFERROR(__xludf.DUMMYFUNCTION("""COMPUTED_VALUE"""),67.8339094830592)</f>
        <v>67.83390948</v>
      </c>
      <c r="P909" s="20">
        <f>IFERROR(__xludf.DUMMYFUNCTION("""COMPUTED_VALUE"""),68089.0)</f>
        <v>68089</v>
      </c>
      <c r="Q909" s="20">
        <f>IFERROR(__xludf.DUMMYFUNCTION("""COMPUTED_VALUE"""),100377.0)</f>
        <v>100377</v>
      </c>
    </row>
    <row r="910">
      <c r="A910" s="20">
        <f>IFERROR(__xludf.DUMMYFUNCTION("""COMPUTED_VALUE"""),945.0)</f>
        <v>945</v>
      </c>
      <c r="B910" s="20" t="str">
        <f>IFERROR(__xludf.DUMMYFUNCTION("""COMPUTED_VALUE"""),"Snakes and Ladders")</f>
        <v>Snakes and Ladders</v>
      </c>
      <c r="C910" s="20" t="str">
        <f>IFERROR(__xludf.DUMMYFUNCTION("""COMPUTED_VALUE"""),"snakes-and-ladders")</f>
        <v>snakes-and-ladders</v>
      </c>
      <c r="D910" s="20" t="b">
        <f>IFERROR(__xludf.DUMMYFUNCTION("""COMPUTED_VALUE"""),FALSE)</f>
        <v>0</v>
      </c>
      <c r="E910" s="20" t="str">
        <f>IFERROR(__xludf.DUMMYFUNCTION("""COMPUTED_VALUE"""),"Medium")</f>
        <v>Medium</v>
      </c>
      <c r="F910" s="20">
        <f>IFERROR(__xludf.DUMMYFUNCTION("""COMPUTED_VALUE"""),1076.0)</f>
        <v>1076</v>
      </c>
      <c r="G910" s="20">
        <f>IFERROR(__xludf.DUMMYFUNCTION("""COMPUTED_VALUE"""),280.0)</f>
        <v>280</v>
      </c>
      <c r="H910" s="20" t="str">
        <f>IFERROR(__xludf.DUMMYFUNCTION("""COMPUTED_VALUE"""),"Algorithms")</f>
        <v>Algorithms</v>
      </c>
      <c r="I910" s="20">
        <f>IFERROR(__xludf.DUMMYFUNCTION("""COMPUTED_VALUE"""),0.409)</f>
        <v>0.409</v>
      </c>
      <c r="J910" s="20">
        <f>IFERROR(__xludf.DUMMYFUNCTION("""COMPUTED_VALUE"""),909.0)</f>
        <v>909</v>
      </c>
      <c r="K910" s="20" t="b">
        <f>IFERROR(__xludf.DUMMYFUNCTION("""COMPUTED_VALUE"""),FALSE)</f>
        <v>0</v>
      </c>
      <c r="L910" s="20" t="str">
        <f>IFERROR(__xludf.DUMMYFUNCTION("""COMPUTED_VALUE"""),"Array;Breadth-First Search;Matrix;")</f>
        <v>Array;Breadth-First Search;Matrix;</v>
      </c>
      <c r="M910" s="20" t="b">
        <f>IFERROR(__xludf.DUMMYFUNCTION("""COMPUTED_VALUE"""),TRUE)</f>
        <v>1</v>
      </c>
      <c r="N910" s="20" t="b">
        <f>IFERROR(__xludf.DUMMYFUNCTION("""COMPUTED_VALUE"""),FALSE)</f>
        <v>0</v>
      </c>
      <c r="O910" s="20">
        <f>IFERROR(__xludf.DUMMYFUNCTION("""COMPUTED_VALUE"""),40.8692803219078)</f>
        <v>40.86928032</v>
      </c>
      <c r="P910" s="20">
        <f>IFERROR(__xludf.DUMMYFUNCTION("""COMPUTED_VALUE"""),88567.0)</f>
        <v>88567</v>
      </c>
      <c r="Q910" s="20">
        <f>IFERROR(__xludf.DUMMYFUNCTION("""COMPUTED_VALUE"""),216708.0)</f>
        <v>216708</v>
      </c>
    </row>
    <row r="911">
      <c r="A911" s="20">
        <f>IFERROR(__xludf.DUMMYFUNCTION("""COMPUTED_VALUE"""),946.0)</f>
        <v>946</v>
      </c>
      <c r="B911" s="20" t="str">
        <f>IFERROR(__xludf.DUMMYFUNCTION("""COMPUTED_VALUE"""),"Smallest Range II")</f>
        <v>Smallest Range II</v>
      </c>
      <c r="C911" s="20" t="str">
        <f>IFERROR(__xludf.DUMMYFUNCTION("""COMPUTED_VALUE"""),"smallest-range-ii")</f>
        <v>smallest-range-ii</v>
      </c>
      <c r="D911" s="20" t="b">
        <f>IFERROR(__xludf.DUMMYFUNCTION("""COMPUTED_VALUE"""),FALSE)</f>
        <v>0</v>
      </c>
      <c r="E911" s="20" t="str">
        <f>IFERROR(__xludf.DUMMYFUNCTION("""COMPUTED_VALUE"""),"Medium")</f>
        <v>Medium</v>
      </c>
      <c r="F911" s="20">
        <f>IFERROR(__xludf.DUMMYFUNCTION("""COMPUTED_VALUE"""),1383.0)</f>
        <v>1383</v>
      </c>
      <c r="G911" s="20">
        <f>IFERROR(__xludf.DUMMYFUNCTION("""COMPUTED_VALUE"""),394.0)</f>
        <v>394</v>
      </c>
      <c r="H911" s="20" t="str">
        <f>IFERROR(__xludf.DUMMYFUNCTION("""COMPUTED_VALUE"""),"Algorithms")</f>
        <v>Algorithms</v>
      </c>
      <c r="I911" s="20">
        <f>IFERROR(__xludf.DUMMYFUNCTION("""COMPUTED_VALUE"""),0.347)</f>
        <v>0.347</v>
      </c>
      <c r="J911" s="20">
        <f>IFERROR(__xludf.DUMMYFUNCTION("""COMPUTED_VALUE"""),910.0)</f>
        <v>910</v>
      </c>
      <c r="K911" s="20" t="b">
        <f>IFERROR(__xludf.DUMMYFUNCTION("""COMPUTED_VALUE"""),FALSE)</f>
        <v>0</v>
      </c>
      <c r="L911" s="20" t="str">
        <f>IFERROR(__xludf.DUMMYFUNCTION("""COMPUTED_VALUE"""),"Array;Math;Greedy;Sorting;")</f>
        <v>Array;Math;Greedy;Sorting;</v>
      </c>
      <c r="M911" s="20" t="b">
        <f>IFERROR(__xludf.DUMMYFUNCTION("""COMPUTED_VALUE"""),TRUE)</f>
        <v>1</v>
      </c>
      <c r="N911" s="20" t="b">
        <f>IFERROR(__xludf.DUMMYFUNCTION("""COMPUTED_VALUE"""),FALSE)</f>
        <v>0</v>
      </c>
      <c r="O911" s="20">
        <f>IFERROR(__xludf.DUMMYFUNCTION("""COMPUTED_VALUE"""),34.717250678181)</f>
        <v>34.71725068</v>
      </c>
      <c r="P911" s="20">
        <f>IFERROR(__xludf.DUMMYFUNCTION("""COMPUTED_VALUE"""),43257.0)</f>
        <v>43257</v>
      </c>
      <c r="Q911" s="20">
        <f>IFERROR(__xludf.DUMMYFUNCTION("""COMPUTED_VALUE"""),124597.0)</f>
        <v>124597</v>
      </c>
    </row>
    <row r="912">
      <c r="A912" s="20">
        <f>IFERROR(__xludf.DUMMYFUNCTION("""COMPUTED_VALUE"""),947.0)</f>
        <v>947</v>
      </c>
      <c r="B912" s="20" t="str">
        <f>IFERROR(__xludf.DUMMYFUNCTION("""COMPUTED_VALUE"""),"Online Election")</f>
        <v>Online Election</v>
      </c>
      <c r="C912" s="20" t="str">
        <f>IFERROR(__xludf.DUMMYFUNCTION("""COMPUTED_VALUE"""),"online-election")</f>
        <v>online-election</v>
      </c>
      <c r="D912" s="20" t="b">
        <f>IFERROR(__xludf.DUMMYFUNCTION("""COMPUTED_VALUE"""),FALSE)</f>
        <v>0</v>
      </c>
      <c r="E912" s="20" t="str">
        <f>IFERROR(__xludf.DUMMYFUNCTION("""COMPUTED_VALUE"""),"Medium")</f>
        <v>Medium</v>
      </c>
      <c r="F912" s="20">
        <f>IFERROR(__xludf.DUMMYFUNCTION("""COMPUTED_VALUE"""),823.0)</f>
        <v>823</v>
      </c>
      <c r="G912" s="20">
        <f>IFERROR(__xludf.DUMMYFUNCTION("""COMPUTED_VALUE"""),580.0)</f>
        <v>580</v>
      </c>
      <c r="H912" s="20" t="str">
        <f>IFERROR(__xludf.DUMMYFUNCTION("""COMPUTED_VALUE"""),"Algorithms")</f>
        <v>Algorithms</v>
      </c>
      <c r="I912" s="20">
        <f>IFERROR(__xludf.DUMMYFUNCTION("""COMPUTED_VALUE"""),0.52)</f>
        <v>0.52</v>
      </c>
      <c r="J912" s="20">
        <f>IFERROR(__xludf.DUMMYFUNCTION("""COMPUTED_VALUE"""),911.0)</f>
        <v>911</v>
      </c>
      <c r="K912" s="20" t="b">
        <f>IFERROR(__xludf.DUMMYFUNCTION("""COMPUTED_VALUE"""),FALSE)</f>
        <v>0</v>
      </c>
      <c r="L912" s="20" t="str">
        <f>IFERROR(__xludf.DUMMYFUNCTION("""COMPUTED_VALUE"""),"Array;Hash Table;Binary Search;Design;")</f>
        <v>Array;Hash Table;Binary Search;Design;</v>
      </c>
      <c r="M912" s="20" t="b">
        <f>IFERROR(__xludf.DUMMYFUNCTION("""COMPUTED_VALUE"""),TRUE)</f>
        <v>1</v>
      </c>
      <c r="N912" s="20" t="b">
        <f>IFERROR(__xludf.DUMMYFUNCTION("""COMPUTED_VALUE"""),FALSE)</f>
        <v>0</v>
      </c>
      <c r="O912" s="20">
        <f>IFERROR(__xludf.DUMMYFUNCTION("""COMPUTED_VALUE"""),52.035097903503)</f>
        <v>52.0350979</v>
      </c>
      <c r="P912" s="20">
        <f>IFERROR(__xludf.DUMMYFUNCTION("""COMPUTED_VALUE"""),46612.0)</f>
        <v>46612</v>
      </c>
      <c r="Q912" s="20">
        <f>IFERROR(__xludf.DUMMYFUNCTION("""COMPUTED_VALUE"""),89578.0)</f>
        <v>89578</v>
      </c>
    </row>
    <row r="913">
      <c r="A913" s="20">
        <f>IFERROR(__xludf.DUMMYFUNCTION("""COMPUTED_VALUE"""),948.0)</f>
        <v>948</v>
      </c>
      <c r="B913" s="20" t="str">
        <f>IFERROR(__xludf.DUMMYFUNCTION("""COMPUTED_VALUE"""),"Sort an Array")</f>
        <v>Sort an Array</v>
      </c>
      <c r="C913" s="20" t="str">
        <f>IFERROR(__xludf.DUMMYFUNCTION("""COMPUTED_VALUE"""),"sort-an-array")</f>
        <v>sort-an-array</v>
      </c>
      <c r="D913" s="20" t="b">
        <f>IFERROR(__xludf.DUMMYFUNCTION("""COMPUTED_VALUE"""),FALSE)</f>
        <v>0</v>
      </c>
      <c r="E913" s="20" t="str">
        <f>IFERROR(__xludf.DUMMYFUNCTION("""COMPUTED_VALUE"""),"Medium")</f>
        <v>Medium</v>
      </c>
      <c r="F913" s="20">
        <f>IFERROR(__xludf.DUMMYFUNCTION("""COMPUTED_VALUE"""),3079.0)</f>
        <v>3079</v>
      </c>
      <c r="G913" s="20">
        <f>IFERROR(__xludf.DUMMYFUNCTION("""COMPUTED_VALUE"""),590.0)</f>
        <v>590</v>
      </c>
      <c r="H913" s="20" t="str">
        <f>IFERROR(__xludf.DUMMYFUNCTION("""COMPUTED_VALUE"""),"Algorithms")</f>
        <v>Algorithms</v>
      </c>
      <c r="I913" s="20">
        <f>IFERROR(__xludf.DUMMYFUNCTION("""COMPUTED_VALUE"""),0.59)</f>
        <v>0.59</v>
      </c>
      <c r="J913" s="20">
        <f>IFERROR(__xludf.DUMMYFUNCTION("""COMPUTED_VALUE"""),912.0)</f>
        <v>912</v>
      </c>
      <c r="K913" s="20" t="b">
        <f>IFERROR(__xludf.DUMMYFUNCTION("""COMPUTED_VALUE"""),FALSE)</f>
        <v>0</v>
      </c>
      <c r="L913" s="20" t="str">
        <f>IFERROR(__xludf.DUMMYFUNCTION("""COMPUTED_VALUE"""),"Array;Divide and Conquer;Sorting;Heap (Priority Queue);Merge Sort;Bucket Sort;Radix Sort;Counting Sort;")</f>
        <v>Array;Divide and Conquer;Sorting;Heap (Priority Queue);Merge Sort;Bucket Sort;Radix Sort;Counting Sort;</v>
      </c>
      <c r="M913" s="20" t="b">
        <f>IFERROR(__xludf.DUMMYFUNCTION("""COMPUTED_VALUE"""),FALSE)</f>
        <v>0</v>
      </c>
      <c r="N913" s="20" t="b">
        <f>IFERROR(__xludf.DUMMYFUNCTION("""COMPUTED_VALUE"""),FALSE)</f>
        <v>0</v>
      </c>
      <c r="O913" s="20">
        <f>IFERROR(__xludf.DUMMYFUNCTION("""COMPUTED_VALUE"""),58.9969445897217)</f>
        <v>58.99694459</v>
      </c>
      <c r="P913" s="20">
        <f>IFERROR(__xludf.DUMMYFUNCTION("""COMPUTED_VALUE"""),342927.0)</f>
        <v>342927</v>
      </c>
      <c r="Q913" s="20">
        <f>IFERROR(__xludf.DUMMYFUNCTION("""COMPUTED_VALUE"""),581258.0)</f>
        <v>581258</v>
      </c>
    </row>
    <row r="914">
      <c r="A914" s="20">
        <f>IFERROR(__xludf.DUMMYFUNCTION("""COMPUTED_VALUE"""),949.0)</f>
        <v>949</v>
      </c>
      <c r="B914" s="20" t="str">
        <f>IFERROR(__xludf.DUMMYFUNCTION("""COMPUTED_VALUE"""),"Cat and Mouse")</f>
        <v>Cat and Mouse</v>
      </c>
      <c r="C914" s="20" t="str">
        <f>IFERROR(__xludf.DUMMYFUNCTION("""COMPUTED_VALUE"""),"cat-and-mouse")</f>
        <v>cat-and-mouse</v>
      </c>
      <c r="D914" s="20" t="b">
        <f>IFERROR(__xludf.DUMMYFUNCTION("""COMPUTED_VALUE"""),FALSE)</f>
        <v>0</v>
      </c>
      <c r="E914" s="20" t="str">
        <f>IFERROR(__xludf.DUMMYFUNCTION("""COMPUTED_VALUE"""),"Hard")</f>
        <v>Hard</v>
      </c>
      <c r="F914" s="20">
        <f>IFERROR(__xludf.DUMMYFUNCTION("""COMPUTED_VALUE"""),758.0)</f>
        <v>758</v>
      </c>
      <c r="G914" s="20">
        <f>IFERROR(__xludf.DUMMYFUNCTION("""COMPUTED_VALUE"""),129.0)</f>
        <v>129</v>
      </c>
      <c r="H914" s="20" t="str">
        <f>IFERROR(__xludf.DUMMYFUNCTION("""COMPUTED_VALUE"""),"Algorithms")</f>
        <v>Algorithms</v>
      </c>
      <c r="I914" s="20">
        <f>IFERROR(__xludf.DUMMYFUNCTION("""COMPUTED_VALUE"""),0.351)</f>
        <v>0.351</v>
      </c>
      <c r="J914" s="20">
        <f>IFERROR(__xludf.DUMMYFUNCTION("""COMPUTED_VALUE"""),913.0)</f>
        <v>913</v>
      </c>
      <c r="K914" s="20" t="b">
        <f>IFERROR(__xludf.DUMMYFUNCTION("""COMPUTED_VALUE"""),FALSE)</f>
        <v>0</v>
      </c>
      <c r="L914" s="20" t="str">
        <f>IFERROR(__xludf.DUMMYFUNCTION("""COMPUTED_VALUE"""),"Math;Dynamic Programming;Graph;Topological Sort;Memoization;Game Theory;")</f>
        <v>Math;Dynamic Programming;Graph;Topological Sort;Memoization;Game Theory;</v>
      </c>
      <c r="M914" s="20" t="b">
        <f>IFERROR(__xludf.DUMMYFUNCTION("""COMPUTED_VALUE"""),TRUE)</f>
        <v>1</v>
      </c>
      <c r="N914" s="20" t="b">
        <f>IFERROR(__xludf.DUMMYFUNCTION("""COMPUTED_VALUE"""),FALSE)</f>
        <v>0</v>
      </c>
      <c r="O914" s="20">
        <f>IFERROR(__xludf.DUMMYFUNCTION("""COMPUTED_VALUE"""),35.0895206314573)</f>
        <v>35.08952063</v>
      </c>
      <c r="P914" s="20">
        <f>IFERROR(__xludf.DUMMYFUNCTION("""COMPUTED_VALUE"""),16404.0)</f>
        <v>16404</v>
      </c>
      <c r="Q914" s="20">
        <f>IFERROR(__xludf.DUMMYFUNCTION("""COMPUTED_VALUE"""),46748.0)</f>
        <v>46748</v>
      </c>
    </row>
    <row r="915">
      <c r="A915" s="20">
        <f>IFERROR(__xludf.DUMMYFUNCTION("""COMPUTED_VALUE"""),950.0)</f>
        <v>950</v>
      </c>
      <c r="B915" s="20" t="str">
        <f>IFERROR(__xludf.DUMMYFUNCTION("""COMPUTED_VALUE"""),"X of a Kind in a Deck of Cards")</f>
        <v>X of a Kind in a Deck of Cards</v>
      </c>
      <c r="C915" s="20" t="str">
        <f>IFERROR(__xludf.DUMMYFUNCTION("""COMPUTED_VALUE"""),"x-of-a-kind-in-a-deck-of-cards")</f>
        <v>x-of-a-kind-in-a-deck-of-cards</v>
      </c>
      <c r="D915" s="20" t="b">
        <f>IFERROR(__xludf.DUMMYFUNCTION("""COMPUTED_VALUE"""),FALSE)</f>
        <v>0</v>
      </c>
      <c r="E915" s="20" t="str">
        <f>IFERROR(__xludf.DUMMYFUNCTION("""COMPUTED_VALUE"""),"Easy")</f>
        <v>Easy</v>
      </c>
      <c r="F915" s="20">
        <f>IFERROR(__xludf.DUMMYFUNCTION("""COMPUTED_VALUE"""),1508.0)</f>
        <v>1508</v>
      </c>
      <c r="G915" s="20">
        <f>IFERROR(__xludf.DUMMYFUNCTION("""COMPUTED_VALUE"""),368.0)</f>
        <v>368</v>
      </c>
      <c r="H915" s="20" t="str">
        <f>IFERROR(__xludf.DUMMYFUNCTION("""COMPUTED_VALUE"""),"Algorithms")</f>
        <v>Algorithms</v>
      </c>
      <c r="I915" s="20">
        <f>IFERROR(__xludf.DUMMYFUNCTION("""COMPUTED_VALUE"""),0.318)</f>
        <v>0.318</v>
      </c>
      <c r="J915" s="20">
        <f>IFERROR(__xludf.DUMMYFUNCTION("""COMPUTED_VALUE"""),914.0)</f>
        <v>914</v>
      </c>
      <c r="K915" s="20" t="b">
        <f>IFERROR(__xludf.DUMMYFUNCTION("""COMPUTED_VALUE"""),FALSE)</f>
        <v>0</v>
      </c>
      <c r="L915" s="20" t="str">
        <f>IFERROR(__xludf.DUMMYFUNCTION("""COMPUTED_VALUE"""),"Array;Hash Table;Math;Counting;Number Theory;")</f>
        <v>Array;Hash Table;Math;Counting;Number Theory;</v>
      </c>
      <c r="M915" s="20" t="b">
        <f>IFERROR(__xludf.DUMMYFUNCTION("""COMPUTED_VALUE"""),TRUE)</f>
        <v>1</v>
      </c>
      <c r="N915" s="20" t="b">
        <f>IFERROR(__xludf.DUMMYFUNCTION("""COMPUTED_VALUE"""),FALSE)</f>
        <v>0</v>
      </c>
      <c r="O915" s="20">
        <f>IFERROR(__xludf.DUMMYFUNCTION("""COMPUTED_VALUE"""),31.79537521815)</f>
        <v>31.79537522</v>
      </c>
      <c r="P915" s="20">
        <f>IFERROR(__xludf.DUMMYFUNCTION("""COMPUTED_VALUE"""),99110.0)</f>
        <v>99110</v>
      </c>
      <c r="Q915" s="20">
        <f>IFERROR(__xludf.DUMMYFUNCTION("""COMPUTED_VALUE"""),311708.0)</f>
        <v>311708</v>
      </c>
    </row>
    <row r="916">
      <c r="A916" s="20">
        <f>IFERROR(__xludf.DUMMYFUNCTION("""COMPUTED_VALUE"""),951.0)</f>
        <v>951</v>
      </c>
      <c r="B916" s="20" t="str">
        <f>IFERROR(__xludf.DUMMYFUNCTION("""COMPUTED_VALUE"""),"Partition Array into Disjoint Intervals")</f>
        <v>Partition Array into Disjoint Intervals</v>
      </c>
      <c r="C916" s="20" t="str">
        <f>IFERROR(__xludf.DUMMYFUNCTION("""COMPUTED_VALUE"""),"partition-array-into-disjoint-intervals")</f>
        <v>partition-array-into-disjoint-intervals</v>
      </c>
      <c r="D916" s="20" t="b">
        <f>IFERROR(__xludf.DUMMYFUNCTION("""COMPUTED_VALUE"""),FALSE)</f>
        <v>0</v>
      </c>
      <c r="E916" s="20" t="str">
        <f>IFERROR(__xludf.DUMMYFUNCTION("""COMPUTED_VALUE"""),"Medium")</f>
        <v>Medium</v>
      </c>
      <c r="F916" s="20">
        <f>IFERROR(__xludf.DUMMYFUNCTION("""COMPUTED_VALUE"""),1380.0)</f>
        <v>1380</v>
      </c>
      <c r="G916" s="20">
        <f>IFERROR(__xludf.DUMMYFUNCTION("""COMPUTED_VALUE"""),70.0)</f>
        <v>70</v>
      </c>
      <c r="H916" s="20" t="str">
        <f>IFERROR(__xludf.DUMMYFUNCTION("""COMPUTED_VALUE"""),"Algorithms")</f>
        <v>Algorithms</v>
      </c>
      <c r="I916" s="20">
        <f>IFERROR(__xludf.DUMMYFUNCTION("""COMPUTED_VALUE"""),0.486)</f>
        <v>0.486</v>
      </c>
      <c r="J916" s="20">
        <f>IFERROR(__xludf.DUMMYFUNCTION("""COMPUTED_VALUE"""),915.0)</f>
        <v>915</v>
      </c>
      <c r="K916" s="20" t="b">
        <f>IFERROR(__xludf.DUMMYFUNCTION("""COMPUTED_VALUE"""),FALSE)</f>
        <v>0</v>
      </c>
      <c r="L916" s="20" t="str">
        <f>IFERROR(__xludf.DUMMYFUNCTION("""COMPUTED_VALUE"""),"Array;")</f>
        <v>Array;</v>
      </c>
      <c r="M916" s="20" t="b">
        <f>IFERROR(__xludf.DUMMYFUNCTION("""COMPUTED_VALUE"""),TRUE)</f>
        <v>1</v>
      </c>
      <c r="N916" s="20" t="b">
        <f>IFERROR(__xludf.DUMMYFUNCTION("""COMPUTED_VALUE"""),FALSE)</f>
        <v>0</v>
      </c>
      <c r="O916" s="20">
        <f>IFERROR(__xludf.DUMMYFUNCTION("""COMPUTED_VALUE"""),48.6031185563536)</f>
        <v>48.60311856</v>
      </c>
      <c r="P916" s="20">
        <f>IFERROR(__xludf.DUMMYFUNCTION("""COMPUTED_VALUE"""),72126.0)</f>
        <v>72126</v>
      </c>
      <c r="Q916" s="20">
        <f>IFERROR(__xludf.DUMMYFUNCTION("""COMPUTED_VALUE"""),148395.0)</f>
        <v>148395</v>
      </c>
    </row>
    <row r="917">
      <c r="A917" s="20">
        <f>IFERROR(__xludf.DUMMYFUNCTION("""COMPUTED_VALUE"""),952.0)</f>
        <v>952</v>
      </c>
      <c r="B917" s="20" t="str">
        <f>IFERROR(__xludf.DUMMYFUNCTION("""COMPUTED_VALUE"""),"Word Subsets")</f>
        <v>Word Subsets</v>
      </c>
      <c r="C917" s="20" t="str">
        <f>IFERROR(__xludf.DUMMYFUNCTION("""COMPUTED_VALUE"""),"word-subsets")</f>
        <v>word-subsets</v>
      </c>
      <c r="D917" s="20" t="b">
        <f>IFERROR(__xludf.DUMMYFUNCTION("""COMPUTED_VALUE"""),FALSE)</f>
        <v>0</v>
      </c>
      <c r="E917" s="20" t="str">
        <f>IFERROR(__xludf.DUMMYFUNCTION("""COMPUTED_VALUE"""),"Medium")</f>
        <v>Medium</v>
      </c>
      <c r="F917" s="20">
        <f>IFERROR(__xludf.DUMMYFUNCTION("""COMPUTED_VALUE"""),2515.0)</f>
        <v>2515</v>
      </c>
      <c r="G917" s="20">
        <f>IFERROR(__xludf.DUMMYFUNCTION("""COMPUTED_VALUE"""),212.0)</f>
        <v>212</v>
      </c>
      <c r="H917" s="20" t="str">
        <f>IFERROR(__xludf.DUMMYFUNCTION("""COMPUTED_VALUE"""),"Algorithms")</f>
        <v>Algorithms</v>
      </c>
      <c r="I917" s="20">
        <f>IFERROR(__xludf.DUMMYFUNCTION("""COMPUTED_VALUE"""),0.54)</f>
        <v>0.54</v>
      </c>
      <c r="J917" s="20">
        <f>IFERROR(__xludf.DUMMYFUNCTION("""COMPUTED_VALUE"""),916.0)</f>
        <v>916</v>
      </c>
      <c r="K917" s="20" t="b">
        <f>IFERROR(__xludf.DUMMYFUNCTION("""COMPUTED_VALUE"""),FALSE)</f>
        <v>0</v>
      </c>
      <c r="L917" s="20" t="str">
        <f>IFERROR(__xludf.DUMMYFUNCTION("""COMPUTED_VALUE"""),"Array;Hash Table;String;")</f>
        <v>Array;Hash Table;String;</v>
      </c>
      <c r="M917" s="20" t="b">
        <f>IFERROR(__xludf.DUMMYFUNCTION("""COMPUTED_VALUE"""),TRUE)</f>
        <v>1</v>
      </c>
      <c r="N917" s="20" t="b">
        <f>IFERROR(__xludf.DUMMYFUNCTION("""COMPUTED_VALUE"""),FALSE)</f>
        <v>0</v>
      </c>
      <c r="O917" s="20">
        <f>IFERROR(__xludf.DUMMYFUNCTION("""COMPUTED_VALUE"""),53.9626891150257)</f>
        <v>53.96268912</v>
      </c>
      <c r="P917" s="20">
        <f>IFERROR(__xludf.DUMMYFUNCTION("""COMPUTED_VALUE"""),105898.0)</f>
        <v>105898</v>
      </c>
      <c r="Q917" s="20">
        <f>IFERROR(__xludf.DUMMYFUNCTION("""COMPUTED_VALUE"""),196243.0)</f>
        <v>196243</v>
      </c>
    </row>
    <row r="918">
      <c r="A918" s="20">
        <f>IFERROR(__xludf.DUMMYFUNCTION("""COMPUTED_VALUE"""),953.0)</f>
        <v>953</v>
      </c>
      <c r="B918" s="20" t="str">
        <f>IFERROR(__xludf.DUMMYFUNCTION("""COMPUTED_VALUE"""),"Reverse Only Letters")</f>
        <v>Reverse Only Letters</v>
      </c>
      <c r="C918" s="20" t="str">
        <f>IFERROR(__xludf.DUMMYFUNCTION("""COMPUTED_VALUE"""),"reverse-only-letters")</f>
        <v>reverse-only-letters</v>
      </c>
      <c r="D918" s="20" t="b">
        <f>IFERROR(__xludf.DUMMYFUNCTION("""COMPUTED_VALUE"""),FALSE)</f>
        <v>0</v>
      </c>
      <c r="E918" s="20" t="str">
        <f>IFERROR(__xludf.DUMMYFUNCTION("""COMPUTED_VALUE"""),"Easy")</f>
        <v>Easy</v>
      </c>
      <c r="F918" s="20">
        <f>IFERROR(__xludf.DUMMYFUNCTION("""COMPUTED_VALUE"""),1693.0)</f>
        <v>1693</v>
      </c>
      <c r="G918" s="20">
        <f>IFERROR(__xludf.DUMMYFUNCTION("""COMPUTED_VALUE"""),57.0)</f>
        <v>57</v>
      </c>
      <c r="H918" s="20" t="str">
        <f>IFERROR(__xludf.DUMMYFUNCTION("""COMPUTED_VALUE"""),"Algorithms")</f>
        <v>Algorithms</v>
      </c>
      <c r="I918" s="20">
        <f>IFERROR(__xludf.DUMMYFUNCTION("""COMPUTED_VALUE"""),0.616)</f>
        <v>0.616</v>
      </c>
      <c r="J918" s="20">
        <f>IFERROR(__xludf.DUMMYFUNCTION("""COMPUTED_VALUE"""),917.0)</f>
        <v>917</v>
      </c>
      <c r="K918" s="20" t="b">
        <f>IFERROR(__xludf.DUMMYFUNCTION("""COMPUTED_VALUE"""),FALSE)</f>
        <v>0</v>
      </c>
      <c r="L918" s="20" t="str">
        <f>IFERROR(__xludf.DUMMYFUNCTION("""COMPUTED_VALUE"""),"Two Pointers;String;")</f>
        <v>Two Pointers;String;</v>
      </c>
      <c r="M918" s="20" t="b">
        <f>IFERROR(__xludf.DUMMYFUNCTION("""COMPUTED_VALUE"""),TRUE)</f>
        <v>1</v>
      </c>
      <c r="N918" s="20" t="b">
        <f>IFERROR(__xludf.DUMMYFUNCTION("""COMPUTED_VALUE"""),FALSE)</f>
        <v>0</v>
      </c>
      <c r="O918" s="20">
        <f>IFERROR(__xludf.DUMMYFUNCTION("""COMPUTED_VALUE"""),61.5922182237997)</f>
        <v>61.59221822</v>
      </c>
      <c r="P918" s="20">
        <f>IFERROR(__xludf.DUMMYFUNCTION("""COMPUTED_VALUE"""),150446.0)</f>
        <v>150446</v>
      </c>
      <c r="Q918" s="20">
        <f>IFERROR(__xludf.DUMMYFUNCTION("""COMPUTED_VALUE"""),244262.0)</f>
        <v>244262</v>
      </c>
    </row>
    <row r="919">
      <c r="A919" s="20">
        <f>IFERROR(__xludf.DUMMYFUNCTION("""COMPUTED_VALUE"""),954.0)</f>
        <v>954</v>
      </c>
      <c r="B919" s="20" t="str">
        <f>IFERROR(__xludf.DUMMYFUNCTION("""COMPUTED_VALUE"""),"Maximum Sum Circular Subarray")</f>
        <v>Maximum Sum Circular Subarray</v>
      </c>
      <c r="C919" s="20" t="str">
        <f>IFERROR(__xludf.DUMMYFUNCTION("""COMPUTED_VALUE"""),"maximum-sum-circular-subarray")</f>
        <v>maximum-sum-circular-subarray</v>
      </c>
      <c r="D919" s="20" t="b">
        <f>IFERROR(__xludf.DUMMYFUNCTION("""COMPUTED_VALUE"""),FALSE)</f>
        <v>0</v>
      </c>
      <c r="E919" s="20" t="str">
        <f>IFERROR(__xludf.DUMMYFUNCTION("""COMPUTED_VALUE"""),"Medium")</f>
        <v>Medium</v>
      </c>
      <c r="F919" s="20">
        <f>IFERROR(__xludf.DUMMYFUNCTION("""COMPUTED_VALUE"""),3950.0)</f>
        <v>3950</v>
      </c>
      <c r="G919" s="20">
        <f>IFERROR(__xludf.DUMMYFUNCTION("""COMPUTED_VALUE"""),181.0)</f>
        <v>181</v>
      </c>
      <c r="H919" s="20" t="str">
        <f>IFERROR(__xludf.DUMMYFUNCTION("""COMPUTED_VALUE"""),"Algorithms")</f>
        <v>Algorithms</v>
      </c>
      <c r="I919" s="20">
        <f>IFERROR(__xludf.DUMMYFUNCTION("""COMPUTED_VALUE"""),0.383)</f>
        <v>0.383</v>
      </c>
      <c r="J919" s="20">
        <f>IFERROR(__xludf.DUMMYFUNCTION("""COMPUTED_VALUE"""),918.0)</f>
        <v>918</v>
      </c>
      <c r="K919" s="20" t="b">
        <f>IFERROR(__xludf.DUMMYFUNCTION("""COMPUTED_VALUE"""),FALSE)</f>
        <v>0</v>
      </c>
      <c r="L919" s="20" t="str">
        <f>IFERROR(__xludf.DUMMYFUNCTION("""COMPUTED_VALUE"""),"Array;Divide and Conquer;Dynamic Programming;Queue;Monotonic Queue;")</f>
        <v>Array;Divide and Conquer;Dynamic Programming;Queue;Monotonic Queue;</v>
      </c>
      <c r="M919" s="20" t="b">
        <f>IFERROR(__xludf.DUMMYFUNCTION("""COMPUTED_VALUE"""),TRUE)</f>
        <v>1</v>
      </c>
      <c r="N919" s="20" t="b">
        <f>IFERROR(__xludf.DUMMYFUNCTION("""COMPUTED_VALUE"""),FALSE)</f>
        <v>0</v>
      </c>
      <c r="O919" s="20">
        <f>IFERROR(__xludf.DUMMYFUNCTION("""COMPUTED_VALUE"""),38.2705581537075)</f>
        <v>38.27055815</v>
      </c>
      <c r="P919" s="20">
        <f>IFERROR(__xludf.DUMMYFUNCTION("""COMPUTED_VALUE"""),144435.0)</f>
        <v>144435</v>
      </c>
      <c r="Q919" s="20">
        <f>IFERROR(__xludf.DUMMYFUNCTION("""COMPUTED_VALUE"""),377404.0)</f>
        <v>377404</v>
      </c>
    </row>
    <row r="920">
      <c r="A920" s="20">
        <f>IFERROR(__xludf.DUMMYFUNCTION("""COMPUTED_VALUE"""),955.0)</f>
        <v>955</v>
      </c>
      <c r="B920" s="20" t="str">
        <f>IFERROR(__xludf.DUMMYFUNCTION("""COMPUTED_VALUE"""),"Complete Binary Tree Inserter")</f>
        <v>Complete Binary Tree Inserter</v>
      </c>
      <c r="C920" s="20" t="str">
        <f>IFERROR(__xludf.DUMMYFUNCTION("""COMPUTED_VALUE"""),"complete-binary-tree-inserter")</f>
        <v>complete-binary-tree-inserter</v>
      </c>
      <c r="D920" s="20" t="b">
        <f>IFERROR(__xludf.DUMMYFUNCTION("""COMPUTED_VALUE"""),FALSE)</f>
        <v>0</v>
      </c>
      <c r="E920" s="20" t="str">
        <f>IFERROR(__xludf.DUMMYFUNCTION("""COMPUTED_VALUE"""),"Medium")</f>
        <v>Medium</v>
      </c>
      <c r="F920" s="20">
        <f>IFERROR(__xludf.DUMMYFUNCTION("""COMPUTED_VALUE"""),907.0)</f>
        <v>907</v>
      </c>
      <c r="G920" s="20">
        <f>IFERROR(__xludf.DUMMYFUNCTION("""COMPUTED_VALUE"""),86.0)</f>
        <v>86</v>
      </c>
      <c r="H920" s="20" t="str">
        <f>IFERROR(__xludf.DUMMYFUNCTION("""COMPUTED_VALUE"""),"Algorithms")</f>
        <v>Algorithms</v>
      </c>
      <c r="I920" s="20">
        <f>IFERROR(__xludf.DUMMYFUNCTION("""COMPUTED_VALUE"""),0.65)</f>
        <v>0.65</v>
      </c>
      <c r="J920" s="20">
        <f>IFERROR(__xludf.DUMMYFUNCTION("""COMPUTED_VALUE"""),919.0)</f>
        <v>919</v>
      </c>
      <c r="K920" s="20" t="b">
        <f>IFERROR(__xludf.DUMMYFUNCTION("""COMPUTED_VALUE"""),FALSE)</f>
        <v>0</v>
      </c>
      <c r="L920" s="20" t="str">
        <f>IFERROR(__xludf.DUMMYFUNCTION("""COMPUTED_VALUE"""),"Tree;Breadth-First Search;Design;Binary Tree;")</f>
        <v>Tree;Breadth-First Search;Design;Binary Tree;</v>
      </c>
      <c r="M920" s="20" t="b">
        <f>IFERROR(__xludf.DUMMYFUNCTION("""COMPUTED_VALUE"""),TRUE)</f>
        <v>1</v>
      </c>
      <c r="N920" s="20" t="b">
        <f>IFERROR(__xludf.DUMMYFUNCTION("""COMPUTED_VALUE"""),FALSE)</f>
        <v>0</v>
      </c>
      <c r="O920" s="20">
        <f>IFERROR(__xludf.DUMMYFUNCTION("""COMPUTED_VALUE"""),65.0043352169103)</f>
        <v>65.00433522</v>
      </c>
      <c r="P920" s="20">
        <f>IFERROR(__xludf.DUMMYFUNCTION("""COMPUTED_VALUE"""),43484.0)</f>
        <v>43484</v>
      </c>
      <c r="Q920" s="20">
        <f>IFERROR(__xludf.DUMMYFUNCTION("""COMPUTED_VALUE"""),66894.0)</f>
        <v>66894</v>
      </c>
    </row>
    <row r="921">
      <c r="A921" s="20">
        <f>IFERROR(__xludf.DUMMYFUNCTION("""COMPUTED_VALUE"""),956.0)</f>
        <v>956</v>
      </c>
      <c r="B921" s="20" t="str">
        <f>IFERROR(__xludf.DUMMYFUNCTION("""COMPUTED_VALUE"""),"Number of Music Playlists")</f>
        <v>Number of Music Playlists</v>
      </c>
      <c r="C921" s="20" t="str">
        <f>IFERROR(__xludf.DUMMYFUNCTION("""COMPUTED_VALUE"""),"number-of-music-playlists")</f>
        <v>number-of-music-playlists</v>
      </c>
      <c r="D921" s="20" t="b">
        <f>IFERROR(__xludf.DUMMYFUNCTION("""COMPUTED_VALUE"""),FALSE)</f>
        <v>0</v>
      </c>
      <c r="E921" s="20" t="str">
        <f>IFERROR(__xludf.DUMMYFUNCTION("""COMPUTED_VALUE"""),"Hard")</f>
        <v>Hard</v>
      </c>
      <c r="F921" s="20">
        <f>IFERROR(__xludf.DUMMYFUNCTION("""COMPUTED_VALUE"""),848.0)</f>
        <v>848</v>
      </c>
      <c r="G921" s="20">
        <f>IFERROR(__xludf.DUMMYFUNCTION("""COMPUTED_VALUE"""),87.0)</f>
        <v>87</v>
      </c>
      <c r="H921" s="20" t="str">
        <f>IFERROR(__xludf.DUMMYFUNCTION("""COMPUTED_VALUE"""),"Algorithms")</f>
        <v>Algorithms</v>
      </c>
      <c r="I921" s="20">
        <f>IFERROR(__xludf.DUMMYFUNCTION("""COMPUTED_VALUE"""),0.507)</f>
        <v>0.507</v>
      </c>
      <c r="J921" s="20">
        <f>IFERROR(__xludf.DUMMYFUNCTION("""COMPUTED_VALUE"""),920.0)</f>
        <v>920</v>
      </c>
      <c r="K921" s="20" t="b">
        <f>IFERROR(__xludf.DUMMYFUNCTION("""COMPUTED_VALUE"""),FALSE)</f>
        <v>0</v>
      </c>
      <c r="L921" s="20" t="str">
        <f>IFERROR(__xludf.DUMMYFUNCTION("""COMPUTED_VALUE"""),"Math;Dynamic Programming;Combinatorics;")</f>
        <v>Math;Dynamic Programming;Combinatorics;</v>
      </c>
      <c r="M921" s="20" t="b">
        <f>IFERROR(__xludf.DUMMYFUNCTION("""COMPUTED_VALUE"""),TRUE)</f>
        <v>1</v>
      </c>
      <c r="N921" s="20" t="b">
        <f>IFERROR(__xludf.DUMMYFUNCTION("""COMPUTED_VALUE"""),FALSE)</f>
        <v>0</v>
      </c>
      <c r="O921" s="20">
        <f>IFERROR(__xludf.DUMMYFUNCTION("""COMPUTED_VALUE"""),50.6647211413748)</f>
        <v>50.66472114</v>
      </c>
      <c r="P921" s="20">
        <f>IFERROR(__xludf.DUMMYFUNCTION("""COMPUTED_VALUE"""),21873.0)</f>
        <v>21873</v>
      </c>
      <c r="Q921" s="20">
        <f>IFERROR(__xludf.DUMMYFUNCTION("""COMPUTED_VALUE"""),43173.0)</f>
        <v>43173</v>
      </c>
    </row>
    <row r="922">
      <c r="A922" s="20">
        <f>IFERROR(__xludf.DUMMYFUNCTION("""COMPUTED_VALUE"""),957.0)</f>
        <v>957</v>
      </c>
      <c r="B922" s="20" t="str">
        <f>IFERROR(__xludf.DUMMYFUNCTION("""COMPUTED_VALUE"""),"Minimum Add to Make Parentheses Valid")</f>
        <v>Minimum Add to Make Parentheses Valid</v>
      </c>
      <c r="C922" s="20" t="str">
        <f>IFERROR(__xludf.DUMMYFUNCTION("""COMPUTED_VALUE"""),"minimum-add-to-make-parentheses-valid")</f>
        <v>minimum-add-to-make-parentheses-valid</v>
      </c>
      <c r="D922" s="20" t="b">
        <f>IFERROR(__xludf.DUMMYFUNCTION("""COMPUTED_VALUE"""),FALSE)</f>
        <v>0</v>
      </c>
      <c r="E922" s="20" t="str">
        <f>IFERROR(__xludf.DUMMYFUNCTION("""COMPUTED_VALUE"""),"Medium")</f>
        <v>Medium</v>
      </c>
      <c r="F922" s="20">
        <f>IFERROR(__xludf.DUMMYFUNCTION("""COMPUTED_VALUE"""),3121.0)</f>
        <v>3121</v>
      </c>
      <c r="G922" s="20">
        <f>IFERROR(__xludf.DUMMYFUNCTION("""COMPUTED_VALUE"""),168.0)</f>
        <v>168</v>
      </c>
      <c r="H922" s="20" t="str">
        <f>IFERROR(__xludf.DUMMYFUNCTION("""COMPUTED_VALUE"""),"Algorithms")</f>
        <v>Algorithms</v>
      </c>
      <c r="I922" s="20">
        <f>IFERROR(__xludf.DUMMYFUNCTION("""COMPUTED_VALUE"""),0.762)</f>
        <v>0.762</v>
      </c>
      <c r="J922" s="20">
        <f>IFERROR(__xludf.DUMMYFUNCTION("""COMPUTED_VALUE"""),921.0)</f>
        <v>921</v>
      </c>
      <c r="K922" s="20" t="b">
        <f>IFERROR(__xludf.DUMMYFUNCTION("""COMPUTED_VALUE"""),FALSE)</f>
        <v>0</v>
      </c>
      <c r="L922" s="20" t="str">
        <f>IFERROR(__xludf.DUMMYFUNCTION("""COMPUTED_VALUE"""),"String;Stack;Greedy;")</f>
        <v>String;Stack;Greedy;</v>
      </c>
      <c r="M922" s="20" t="b">
        <f>IFERROR(__xludf.DUMMYFUNCTION("""COMPUTED_VALUE"""),TRUE)</f>
        <v>1</v>
      </c>
      <c r="N922" s="20" t="b">
        <f>IFERROR(__xludf.DUMMYFUNCTION("""COMPUTED_VALUE"""),FALSE)</f>
        <v>0</v>
      </c>
      <c r="O922" s="20">
        <f>IFERROR(__xludf.DUMMYFUNCTION("""COMPUTED_VALUE"""),76.1620177594943)</f>
        <v>76.16201776</v>
      </c>
      <c r="P922" s="20">
        <f>IFERROR(__xludf.DUMMYFUNCTION("""COMPUTED_VALUE"""),242902.0)</f>
        <v>242902</v>
      </c>
      <c r="Q922" s="20">
        <f>IFERROR(__xludf.DUMMYFUNCTION("""COMPUTED_VALUE"""),318928.0)</f>
        <v>318928</v>
      </c>
    </row>
    <row r="923">
      <c r="A923" s="20">
        <f>IFERROR(__xludf.DUMMYFUNCTION("""COMPUTED_VALUE"""),958.0)</f>
        <v>958</v>
      </c>
      <c r="B923" s="20" t="str">
        <f>IFERROR(__xludf.DUMMYFUNCTION("""COMPUTED_VALUE"""),"Sort Array By Parity II")</f>
        <v>Sort Array By Parity II</v>
      </c>
      <c r="C923" s="20" t="str">
        <f>IFERROR(__xludf.DUMMYFUNCTION("""COMPUTED_VALUE"""),"sort-array-by-parity-ii")</f>
        <v>sort-array-by-parity-ii</v>
      </c>
      <c r="D923" s="20" t="b">
        <f>IFERROR(__xludf.DUMMYFUNCTION("""COMPUTED_VALUE"""),FALSE)</f>
        <v>0</v>
      </c>
      <c r="E923" s="20" t="str">
        <f>IFERROR(__xludf.DUMMYFUNCTION("""COMPUTED_VALUE"""),"Easy")</f>
        <v>Easy</v>
      </c>
      <c r="F923" s="20">
        <f>IFERROR(__xludf.DUMMYFUNCTION("""COMPUTED_VALUE"""),2136.0)</f>
        <v>2136</v>
      </c>
      <c r="G923" s="20">
        <f>IFERROR(__xludf.DUMMYFUNCTION("""COMPUTED_VALUE"""),79.0)</f>
        <v>79</v>
      </c>
      <c r="H923" s="20" t="str">
        <f>IFERROR(__xludf.DUMMYFUNCTION("""COMPUTED_VALUE"""),"Algorithms")</f>
        <v>Algorithms</v>
      </c>
      <c r="I923" s="20">
        <f>IFERROR(__xludf.DUMMYFUNCTION("""COMPUTED_VALUE"""),0.707)</f>
        <v>0.707</v>
      </c>
      <c r="J923" s="20">
        <f>IFERROR(__xludf.DUMMYFUNCTION("""COMPUTED_VALUE"""),922.0)</f>
        <v>922</v>
      </c>
      <c r="K923" s="20" t="b">
        <f>IFERROR(__xludf.DUMMYFUNCTION("""COMPUTED_VALUE"""),FALSE)</f>
        <v>0</v>
      </c>
      <c r="L923" s="20" t="str">
        <f>IFERROR(__xludf.DUMMYFUNCTION("""COMPUTED_VALUE"""),"Array;Two Pointers;Sorting;")</f>
        <v>Array;Two Pointers;Sorting;</v>
      </c>
      <c r="M923" s="20" t="b">
        <f>IFERROR(__xludf.DUMMYFUNCTION("""COMPUTED_VALUE"""),TRUE)</f>
        <v>1</v>
      </c>
      <c r="N923" s="20" t="b">
        <f>IFERROR(__xludf.DUMMYFUNCTION("""COMPUTED_VALUE"""),TRUE)</f>
        <v>1</v>
      </c>
      <c r="O923" s="20">
        <f>IFERROR(__xludf.DUMMYFUNCTION("""COMPUTED_VALUE"""),70.7203834569243)</f>
        <v>70.72038346</v>
      </c>
      <c r="P923" s="20">
        <f>IFERROR(__xludf.DUMMYFUNCTION("""COMPUTED_VALUE"""),206855.0)</f>
        <v>206855</v>
      </c>
      <c r="Q923" s="20">
        <f>IFERROR(__xludf.DUMMYFUNCTION("""COMPUTED_VALUE"""),292497.0)</f>
        <v>292497</v>
      </c>
    </row>
    <row r="924">
      <c r="A924" s="20">
        <f>IFERROR(__xludf.DUMMYFUNCTION("""COMPUTED_VALUE"""),959.0)</f>
        <v>959</v>
      </c>
      <c r="B924" s="20" t="str">
        <f>IFERROR(__xludf.DUMMYFUNCTION("""COMPUTED_VALUE"""),"3Sum With Multiplicity")</f>
        <v>3Sum With Multiplicity</v>
      </c>
      <c r="C924" s="20" t="str">
        <f>IFERROR(__xludf.DUMMYFUNCTION("""COMPUTED_VALUE"""),"3sum-with-multiplicity")</f>
        <v>3sum-with-multiplicity</v>
      </c>
      <c r="D924" s="20" t="b">
        <f>IFERROR(__xludf.DUMMYFUNCTION("""COMPUTED_VALUE"""),FALSE)</f>
        <v>0</v>
      </c>
      <c r="E924" s="20" t="str">
        <f>IFERROR(__xludf.DUMMYFUNCTION("""COMPUTED_VALUE"""),"Medium")</f>
        <v>Medium</v>
      </c>
      <c r="F924" s="20">
        <f>IFERROR(__xludf.DUMMYFUNCTION("""COMPUTED_VALUE"""),2418.0)</f>
        <v>2418</v>
      </c>
      <c r="G924" s="20">
        <f>IFERROR(__xludf.DUMMYFUNCTION("""COMPUTED_VALUE"""),288.0)</f>
        <v>288</v>
      </c>
      <c r="H924" s="20" t="str">
        <f>IFERROR(__xludf.DUMMYFUNCTION("""COMPUTED_VALUE"""),"Algorithms")</f>
        <v>Algorithms</v>
      </c>
      <c r="I924" s="20">
        <f>IFERROR(__xludf.DUMMYFUNCTION("""COMPUTED_VALUE"""),0.454)</f>
        <v>0.454</v>
      </c>
      <c r="J924" s="20">
        <f>IFERROR(__xludf.DUMMYFUNCTION("""COMPUTED_VALUE"""),923.0)</f>
        <v>923</v>
      </c>
      <c r="K924" s="20" t="b">
        <f>IFERROR(__xludf.DUMMYFUNCTION("""COMPUTED_VALUE"""),FALSE)</f>
        <v>0</v>
      </c>
      <c r="L924" s="20" t="str">
        <f>IFERROR(__xludf.DUMMYFUNCTION("""COMPUTED_VALUE"""),"Array;Hash Table;Two Pointers;Sorting;Counting;")</f>
        <v>Array;Hash Table;Two Pointers;Sorting;Counting;</v>
      </c>
      <c r="M924" s="20" t="b">
        <f>IFERROR(__xludf.DUMMYFUNCTION("""COMPUTED_VALUE"""),TRUE)</f>
        <v>1</v>
      </c>
      <c r="N924" s="20" t="b">
        <f>IFERROR(__xludf.DUMMYFUNCTION("""COMPUTED_VALUE"""),FALSE)</f>
        <v>0</v>
      </c>
      <c r="O924" s="20">
        <f>IFERROR(__xludf.DUMMYFUNCTION("""COMPUTED_VALUE"""),45.3814777537526)</f>
        <v>45.38147775</v>
      </c>
      <c r="P924" s="20">
        <f>IFERROR(__xludf.DUMMYFUNCTION("""COMPUTED_VALUE"""),94236.0)</f>
        <v>94236</v>
      </c>
      <c r="Q924" s="20">
        <f>IFERROR(__xludf.DUMMYFUNCTION("""COMPUTED_VALUE"""),207653.0)</f>
        <v>207653</v>
      </c>
    </row>
    <row r="925">
      <c r="A925" s="20">
        <f>IFERROR(__xludf.DUMMYFUNCTION("""COMPUTED_VALUE"""),960.0)</f>
        <v>960</v>
      </c>
      <c r="B925" s="20" t="str">
        <f>IFERROR(__xludf.DUMMYFUNCTION("""COMPUTED_VALUE"""),"Minimize Malware Spread")</f>
        <v>Minimize Malware Spread</v>
      </c>
      <c r="C925" s="20" t="str">
        <f>IFERROR(__xludf.DUMMYFUNCTION("""COMPUTED_VALUE"""),"minimize-malware-spread")</f>
        <v>minimize-malware-spread</v>
      </c>
      <c r="D925" s="20" t="b">
        <f>IFERROR(__xludf.DUMMYFUNCTION("""COMPUTED_VALUE"""),FALSE)</f>
        <v>0</v>
      </c>
      <c r="E925" s="20" t="str">
        <f>IFERROR(__xludf.DUMMYFUNCTION("""COMPUTED_VALUE"""),"Hard")</f>
        <v>Hard</v>
      </c>
      <c r="F925" s="20">
        <f>IFERROR(__xludf.DUMMYFUNCTION("""COMPUTED_VALUE"""),775.0)</f>
        <v>775</v>
      </c>
      <c r="G925" s="20">
        <f>IFERROR(__xludf.DUMMYFUNCTION("""COMPUTED_VALUE"""),473.0)</f>
        <v>473</v>
      </c>
      <c r="H925" s="20" t="str">
        <f>IFERROR(__xludf.DUMMYFUNCTION("""COMPUTED_VALUE"""),"Algorithms")</f>
        <v>Algorithms</v>
      </c>
      <c r="I925" s="20">
        <f>IFERROR(__xludf.DUMMYFUNCTION("""COMPUTED_VALUE"""),0.421)</f>
        <v>0.421</v>
      </c>
      <c r="J925" s="20">
        <f>IFERROR(__xludf.DUMMYFUNCTION("""COMPUTED_VALUE"""),924.0)</f>
        <v>924</v>
      </c>
      <c r="K925" s="20" t="b">
        <f>IFERROR(__xludf.DUMMYFUNCTION("""COMPUTED_VALUE"""),FALSE)</f>
        <v>0</v>
      </c>
      <c r="L925" s="20" t="str">
        <f>IFERROR(__xludf.DUMMYFUNCTION("""COMPUTED_VALUE"""),"Array;Depth-First Search;Breadth-First Search;Union Find;Matrix;")</f>
        <v>Array;Depth-First Search;Breadth-First Search;Union Find;Matrix;</v>
      </c>
      <c r="M925" s="20" t="b">
        <f>IFERROR(__xludf.DUMMYFUNCTION("""COMPUTED_VALUE"""),TRUE)</f>
        <v>1</v>
      </c>
      <c r="N925" s="20" t="b">
        <f>IFERROR(__xludf.DUMMYFUNCTION("""COMPUTED_VALUE"""),FALSE)</f>
        <v>0</v>
      </c>
      <c r="O925" s="20">
        <f>IFERROR(__xludf.DUMMYFUNCTION("""COMPUTED_VALUE"""),42.0880503144654)</f>
        <v>42.08805031</v>
      </c>
      <c r="P925" s="20">
        <f>IFERROR(__xludf.DUMMYFUNCTION("""COMPUTED_VALUE"""),41825.0)</f>
        <v>41825</v>
      </c>
      <c r="Q925" s="20">
        <f>IFERROR(__xludf.DUMMYFUNCTION("""COMPUTED_VALUE"""),99375.0)</f>
        <v>99375</v>
      </c>
    </row>
    <row r="926">
      <c r="A926" s="20">
        <f>IFERROR(__xludf.DUMMYFUNCTION("""COMPUTED_VALUE"""),961.0)</f>
        <v>961</v>
      </c>
      <c r="B926" s="20" t="str">
        <f>IFERROR(__xludf.DUMMYFUNCTION("""COMPUTED_VALUE"""),"Long Pressed Name")</f>
        <v>Long Pressed Name</v>
      </c>
      <c r="C926" s="20" t="str">
        <f>IFERROR(__xludf.DUMMYFUNCTION("""COMPUTED_VALUE"""),"long-pressed-name")</f>
        <v>long-pressed-name</v>
      </c>
      <c r="D926" s="20" t="b">
        <f>IFERROR(__xludf.DUMMYFUNCTION("""COMPUTED_VALUE"""),FALSE)</f>
        <v>0</v>
      </c>
      <c r="E926" s="20" t="str">
        <f>IFERROR(__xludf.DUMMYFUNCTION("""COMPUTED_VALUE"""),"Easy")</f>
        <v>Easy</v>
      </c>
      <c r="F926" s="20">
        <f>IFERROR(__xludf.DUMMYFUNCTION("""COMPUTED_VALUE"""),1982.0)</f>
        <v>1982</v>
      </c>
      <c r="G926" s="20">
        <f>IFERROR(__xludf.DUMMYFUNCTION("""COMPUTED_VALUE"""),285.0)</f>
        <v>285</v>
      </c>
      <c r="H926" s="20" t="str">
        <f>IFERROR(__xludf.DUMMYFUNCTION("""COMPUTED_VALUE"""),"Algorithms")</f>
        <v>Algorithms</v>
      </c>
      <c r="I926" s="20">
        <f>IFERROR(__xludf.DUMMYFUNCTION("""COMPUTED_VALUE"""),0.335)</f>
        <v>0.335</v>
      </c>
      <c r="J926" s="20">
        <f>IFERROR(__xludf.DUMMYFUNCTION("""COMPUTED_VALUE"""),925.0)</f>
        <v>925</v>
      </c>
      <c r="K926" s="20" t="b">
        <f>IFERROR(__xludf.DUMMYFUNCTION("""COMPUTED_VALUE"""),FALSE)</f>
        <v>0</v>
      </c>
      <c r="L926" s="20" t="str">
        <f>IFERROR(__xludf.DUMMYFUNCTION("""COMPUTED_VALUE"""),"Two Pointers;String;")</f>
        <v>Two Pointers;String;</v>
      </c>
      <c r="M926" s="20" t="b">
        <f>IFERROR(__xludf.DUMMYFUNCTION("""COMPUTED_VALUE"""),FALSE)</f>
        <v>0</v>
      </c>
      <c r="N926" s="20" t="b">
        <f>IFERROR(__xludf.DUMMYFUNCTION("""COMPUTED_VALUE"""),FALSE)</f>
        <v>0</v>
      </c>
      <c r="O926" s="20">
        <f>IFERROR(__xludf.DUMMYFUNCTION("""COMPUTED_VALUE"""),33.5429257969494)</f>
        <v>33.5429258</v>
      </c>
      <c r="P926" s="20">
        <f>IFERROR(__xludf.DUMMYFUNCTION("""COMPUTED_VALUE"""),109998.0)</f>
        <v>109998</v>
      </c>
      <c r="Q926" s="20">
        <f>IFERROR(__xludf.DUMMYFUNCTION("""COMPUTED_VALUE"""),327933.0)</f>
        <v>327933</v>
      </c>
    </row>
    <row r="927">
      <c r="A927" s="20">
        <f>IFERROR(__xludf.DUMMYFUNCTION("""COMPUTED_VALUE"""),962.0)</f>
        <v>962</v>
      </c>
      <c r="B927" s="20" t="str">
        <f>IFERROR(__xludf.DUMMYFUNCTION("""COMPUTED_VALUE"""),"Flip String to Monotone Increasing")</f>
        <v>Flip String to Monotone Increasing</v>
      </c>
      <c r="C927" s="20" t="str">
        <f>IFERROR(__xludf.DUMMYFUNCTION("""COMPUTED_VALUE"""),"flip-string-to-monotone-increasing")</f>
        <v>flip-string-to-monotone-increasing</v>
      </c>
      <c r="D927" s="20" t="b">
        <f>IFERROR(__xludf.DUMMYFUNCTION("""COMPUTED_VALUE"""),FALSE)</f>
        <v>0</v>
      </c>
      <c r="E927" s="20" t="str">
        <f>IFERROR(__xludf.DUMMYFUNCTION("""COMPUTED_VALUE"""),"Medium")</f>
        <v>Medium</v>
      </c>
      <c r="F927" s="20">
        <f>IFERROR(__xludf.DUMMYFUNCTION("""COMPUTED_VALUE"""),2321.0)</f>
        <v>2321</v>
      </c>
      <c r="G927" s="20">
        <f>IFERROR(__xludf.DUMMYFUNCTION("""COMPUTED_VALUE"""),102.0)</f>
        <v>102</v>
      </c>
      <c r="H927" s="20" t="str">
        <f>IFERROR(__xludf.DUMMYFUNCTION("""COMPUTED_VALUE"""),"Algorithms")</f>
        <v>Algorithms</v>
      </c>
      <c r="I927" s="20">
        <f>IFERROR(__xludf.DUMMYFUNCTION("""COMPUTED_VALUE"""),0.596)</f>
        <v>0.596</v>
      </c>
      <c r="J927" s="20">
        <f>IFERROR(__xludf.DUMMYFUNCTION("""COMPUTED_VALUE"""),926.0)</f>
        <v>926</v>
      </c>
      <c r="K927" s="20" t="b">
        <f>IFERROR(__xludf.DUMMYFUNCTION("""COMPUTED_VALUE"""),FALSE)</f>
        <v>0</v>
      </c>
      <c r="L927" s="20" t="str">
        <f>IFERROR(__xludf.DUMMYFUNCTION("""COMPUTED_VALUE"""),"String;Dynamic Programming;")</f>
        <v>String;Dynamic Programming;</v>
      </c>
      <c r="M927" s="20" t="b">
        <f>IFERROR(__xludf.DUMMYFUNCTION("""COMPUTED_VALUE"""),TRUE)</f>
        <v>1</v>
      </c>
      <c r="N927" s="20" t="b">
        <f>IFERROR(__xludf.DUMMYFUNCTION("""COMPUTED_VALUE"""),FALSE)</f>
        <v>0</v>
      </c>
      <c r="O927" s="20">
        <f>IFERROR(__xludf.DUMMYFUNCTION("""COMPUTED_VALUE"""),59.6060049751784)</f>
        <v>59.60600498</v>
      </c>
      <c r="P927" s="20">
        <f>IFERROR(__xludf.DUMMYFUNCTION("""COMPUTED_VALUE"""),109743.0)</f>
        <v>109743</v>
      </c>
      <c r="Q927" s="20">
        <f>IFERROR(__xludf.DUMMYFUNCTION("""COMPUTED_VALUE"""),184114.0)</f>
        <v>184114</v>
      </c>
    </row>
    <row r="928">
      <c r="A928" s="20">
        <f>IFERROR(__xludf.DUMMYFUNCTION("""COMPUTED_VALUE"""),963.0)</f>
        <v>963</v>
      </c>
      <c r="B928" s="20" t="str">
        <f>IFERROR(__xludf.DUMMYFUNCTION("""COMPUTED_VALUE"""),"Three Equal Parts")</f>
        <v>Three Equal Parts</v>
      </c>
      <c r="C928" s="20" t="str">
        <f>IFERROR(__xludf.DUMMYFUNCTION("""COMPUTED_VALUE"""),"three-equal-parts")</f>
        <v>three-equal-parts</v>
      </c>
      <c r="D928" s="20" t="b">
        <f>IFERROR(__xludf.DUMMYFUNCTION("""COMPUTED_VALUE"""),FALSE)</f>
        <v>0</v>
      </c>
      <c r="E928" s="20" t="str">
        <f>IFERROR(__xludf.DUMMYFUNCTION("""COMPUTED_VALUE"""),"Hard")</f>
        <v>Hard</v>
      </c>
      <c r="F928" s="20">
        <f>IFERROR(__xludf.DUMMYFUNCTION("""COMPUTED_VALUE"""),745.0)</f>
        <v>745</v>
      </c>
      <c r="G928" s="20">
        <f>IFERROR(__xludf.DUMMYFUNCTION("""COMPUTED_VALUE"""),113.0)</f>
        <v>113</v>
      </c>
      <c r="H928" s="20" t="str">
        <f>IFERROR(__xludf.DUMMYFUNCTION("""COMPUTED_VALUE"""),"Algorithms")</f>
        <v>Algorithms</v>
      </c>
      <c r="I928" s="20">
        <f>IFERROR(__xludf.DUMMYFUNCTION("""COMPUTED_VALUE"""),0.396)</f>
        <v>0.396</v>
      </c>
      <c r="J928" s="20">
        <f>IFERROR(__xludf.DUMMYFUNCTION("""COMPUTED_VALUE"""),927.0)</f>
        <v>927</v>
      </c>
      <c r="K928" s="20" t="b">
        <f>IFERROR(__xludf.DUMMYFUNCTION("""COMPUTED_VALUE"""),FALSE)</f>
        <v>0</v>
      </c>
      <c r="L928" s="20" t="str">
        <f>IFERROR(__xludf.DUMMYFUNCTION("""COMPUTED_VALUE"""),"Array;Math;")</f>
        <v>Array;Math;</v>
      </c>
      <c r="M928" s="20" t="b">
        <f>IFERROR(__xludf.DUMMYFUNCTION("""COMPUTED_VALUE"""),TRUE)</f>
        <v>1</v>
      </c>
      <c r="N928" s="20" t="b">
        <f>IFERROR(__xludf.DUMMYFUNCTION("""COMPUTED_VALUE"""),FALSE)</f>
        <v>0</v>
      </c>
      <c r="O928" s="20">
        <f>IFERROR(__xludf.DUMMYFUNCTION("""COMPUTED_VALUE"""),39.6404795548239)</f>
        <v>39.64047955</v>
      </c>
      <c r="P928" s="20">
        <f>IFERROR(__xludf.DUMMYFUNCTION("""COMPUTED_VALUE"""),27212.0)</f>
        <v>27212</v>
      </c>
      <c r="Q928" s="20">
        <f>IFERROR(__xludf.DUMMYFUNCTION("""COMPUTED_VALUE"""),68647.0)</f>
        <v>68647</v>
      </c>
    </row>
    <row r="929">
      <c r="A929" s="20">
        <f>IFERROR(__xludf.DUMMYFUNCTION("""COMPUTED_VALUE"""),964.0)</f>
        <v>964</v>
      </c>
      <c r="B929" s="20" t="str">
        <f>IFERROR(__xludf.DUMMYFUNCTION("""COMPUTED_VALUE"""),"Minimize Malware Spread II")</f>
        <v>Minimize Malware Spread II</v>
      </c>
      <c r="C929" s="20" t="str">
        <f>IFERROR(__xludf.DUMMYFUNCTION("""COMPUTED_VALUE"""),"minimize-malware-spread-ii")</f>
        <v>minimize-malware-spread-ii</v>
      </c>
      <c r="D929" s="20" t="b">
        <f>IFERROR(__xludf.DUMMYFUNCTION("""COMPUTED_VALUE"""),FALSE)</f>
        <v>0</v>
      </c>
      <c r="E929" s="20" t="str">
        <f>IFERROR(__xludf.DUMMYFUNCTION("""COMPUTED_VALUE"""),"Hard")</f>
        <v>Hard</v>
      </c>
      <c r="F929" s="20">
        <f>IFERROR(__xludf.DUMMYFUNCTION("""COMPUTED_VALUE"""),549.0)</f>
        <v>549</v>
      </c>
      <c r="G929" s="20">
        <f>IFERROR(__xludf.DUMMYFUNCTION("""COMPUTED_VALUE"""),79.0)</f>
        <v>79</v>
      </c>
      <c r="H929" s="20" t="str">
        <f>IFERROR(__xludf.DUMMYFUNCTION("""COMPUTED_VALUE"""),"Algorithms")</f>
        <v>Algorithms</v>
      </c>
      <c r="I929" s="20">
        <f>IFERROR(__xludf.DUMMYFUNCTION("""COMPUTED_VALUE"""),0.427)</f>
        <v>0.427</v>
      </c>
      <c r="J929" s="20">
        <f>IFERROR(__xludf.DUMMYFUNCTION("""COMPUTED_VALUE"""),928.0)</f>
        <v>928</v>
      </c>
      <c r="K929" s="20" t="b">
        <f>IFERROR(__xludf.DUMMYFUNCTION("""COMPUTED_VALUE"""),FALSE)</f>
        <v>0</v>
      </c>
      <c r="L929" s="20" t="str">
        <f>IFERROR(__xludf.DUMMYFUNCTION("""COMPUTED_VALUE"""),"Array;Depth-First Search;Breadth-First Search;Union Find;Matrix;")</f>
        <v>Array;Depth-First Search;Breadth-First Search;Union Find;Matrix;</v>
      </c>
      <c r="M929" s="20" t="b">
        <f>IFERROR(__xludf.DUMMYFUNCTION("""COMPUTED_VALUE"""),TRUE)</f>
        <v>1</v>
      </c>
      <c r="N929" s="20" t="b">
        <f>IFERROR(__xludf.DUMMYFUNCTION("""COMPUTED_VALUE"""),FALSE)</f>
        <v>0</v>
      </c>
      <c r="O929" s="20">
        <f>IFERROR(__xludf.DUMMYFUNCTION("""COMPUTED_VALUE"""),42.6828676755917)</f>
        <v>42.68286768</v>
      </c>
      <c r="P929" s="20">
        <f>IFERROR(__xludf.DUMMYFUNCTION("""COMPUTED_VALUE"""),17599.0)</f>
        <v>17599</v>
      </c>
      <c r="Q929" s="20">
        <f>IFERROR(__xludf.DUMMYFUNCTION("""COMPUTED_VALUE"""),41232.0)</f>
        <v>41232</v>
      </c>
    </row>
    <row r="930">
      <c r="A930" s="20">
        <f>IFERROR(__xludf.DUMMYFUNCTION("""COMPUTED_VALUE"""),965.0)</f>
        <v>965</v>
      </c>
      <c r="B930" s="20" t="str">
        <f>IFERROR(__xludf.DUMMYFUNCTION("""COMPUTED_VALUE"""),"Unique Email Addresses")</f>
        <v>Unique Email Addresses</v>
      </c>
      <c r="C930" s="20" t="str">
        <f>IFERROR(__xludf.DUMMYFUNCTION("""COMPUTED_VALUE"""),"unique-email-addresses")</f>
        <v>unique-email-addresses</v>
      </c>
      <c r="D930" s="20" t="b">
        <f>IFERROR(__xludf.DUMMYFUNCTION("""COMPUTED_VALUE"""),FALSE)</f>
        <v>0</v>
      </c>
      <c r="E930" s="20" t="str">
        <f>IFERROR(__xludf.DUMMYFUNCTION("""COMPUTED_VALUE"""),"Easy")</f>
        <v>Easy</v>
      </c>
      <c r="F930" s="20">
        <f>IFERROR(__xludf.DUMMYFUNCTION("""COMPUTED_VALUE"""),2121.0)</f>
        <v>2121</v>
      </c>
      <c r="G930" s="20">
        <f>IFERROR(__xludf.DUMMYFUNCTION("""COMPUTED_VALUE"""),268.0)</f>
        <v>268</v>
      </c>
      <c r="H930" s="20" t="str">
        <f>IFERROR(__xludf.DUMMYFUNCTION("""COMPUTED_VALUE"""),"Algorithms")</f>
        <v>Algorithms</v>
      </c>
      <c r="I930" s="20">
        <f>IFERROR(__xludf.DUMMYFUNCTION("""COMPUTED_VALUE"""),0.671)</f>
        <v>0.671</v>
      </c>
      <c r="J930" s="20">
        <f>IFERROR(__xludf.DUMMYFUNCTION("""COMPUTED_VALUE"""),929.0)</f>
        <v>929</v>
      </c>
      <c r="K930" s="20" t="b">
        <f>IFERROR(__xludf.DUMMYFUNCTION("""COMPUTED_VALUE"""),FALSE)</f>
        <v>0</v>
      </c>
      <c r="L930" s="20" t="str">
        <f>IFERROR(__xludf.DUMMYFUNCTION("""COMPUTED_VALUE"""),"Array;Hash Table;String;")</f>
        <v>Array;Hash Table;String;</v>
      </c>
      <c r="M930" s="20" t="b">
        <f>IFERROR(__xludf.DUMMYFUNCTION("""COMPUTED_VALUE"""),TRUE)</f>
        <v>1</v>
      </c>
      <c r="N930" s="20" t="b">
        <f>IFERROR(__xludf.DUMMYFUNCTION("""COMPUTED_VALUE"""),FALSE)</f>
        <v>0</v>
      </c>
      <c r="O930" s="20">
        <f>IFERROR(__xludf.DUMMYFUNCTION("""COMPUTED_VALUE"""),67.1475628570237)</f>
        <v>67.14756286</v>
      </c>
      <c r="P930" s="20">
        <f>IFERROR(__xludf.DUMMYFUNCTION("""COMPUTED_VALUE"""),402594.0)</f>
        <v>402594</v>
      </c>
      <c r="Q930" s="20">
        <f>IFERROR(__xludf.DUMMYFUNCTION("""COMPUTED_VALUE"""),599567.0)</f>
        <v>599567</v>
      </c>
    </row>
    <row r="931">
      <c r="A931" s="20">
        <f>IFERROR(__xludf.DUMMYFUNCTION("""COMPUTED_VALUE"""),966.0)</f>
        <v>966</v>
      </c>
      <c r="B931" s="20" t="str">
        <f>IFERROR(__xludf.DUMMYFUNCTION("""COMPUTED_VALUE"""),"Binary Subarrays With Sum")</f>
        <v>Binary Subarrays With Sum</v>
      </c>
      <c r="C931" s="20" t="str">
        <f>IFERROR(__xludf.DUMMYFUNCTION("""COMPUTED_VALUE"""),"binary-subarrays-with-sum")</f>
        <v>binary-subarrays-with-sum</v>
      </c>
      <c r="D931" s="20" t="b">
        <f>IFERROR(__xludf.DUMMYFUNCTION("""COMPUTED_VALUE"""),FALSE)</f>
        <v>0</v>
      </c>
      <c r="E931" s="20" t="str">
        <f>IFERROR(__xludf.DUMMYFUNCTION("""COMPUTED_VALUE"""),"Medium")</f>
        <v>Medium</v>
      </c>
      <c r="F931" s="20">
        <f>IFERROR(__xludf.DUMMYFUNCTION("""COMPUTED_VALUE"""),1793.0)</f>
        <v>1793</v>
      </c>
      <c r="G931" s="20">
        <f>IFERROR(__xludf.DUMMYFUNCTION("""COMPUTED_VALUE"""),59.0)</f>
        <v>59</v>
      </c>
      <c r="H931" s="20" t="str">
        <f>IFERROR(__xludf.DUMMYFUNCTION("""COMPUTED_VALUE"""),"Algorithms")</f>
        <v>Algorithms</v>
      </c>
      <c r="I931" s="20">
        <f>IFERROR(__xludf.DUMMYFUNCTION("""COMPUTED_VALUE"""),0.512)</f>
        <v>0.512</v>
      </c>
      <c r="J931" s="20">
        <f>IFERROR(__xludf.DUMMYFUNCTION("""COMPUTED_VALUE"""),930.0)</f>
        <v>930</v>
      </c>
      <c r="K931" s="20" t="b">
        <f>IFERROR(__xludf.DUMMYFUNCTION("""COMPUTED_VALUE"""),FALSE)</f>
        <v>0</v>
      </c>
      <c r="L931" s="20" t="str">
        <f>IFERROR(__xludf.DUMMYFUNCTION("""COMPUTED_VALUE"""),"Array;Hash Table;Sliding Window;Prefix Sum;")</f>
        <v>Array;Hash Table;Sliding Window;Prefix Sum;</v>
      </c>
      <c r="M931" s="20" t="b">
        <f>IFERROR(__xludf.DUMMYFUNCTION("""COMPUTED_VALUE"""),TRUE)</f>
        <v>1</v>
      </c>
      <c r="N931" s="20" t="b">
        <f>IFERROR(__xludf.DUMMYFUNCTION("""COMPUTED_VALUE"""),FALSE)</f>
        <v>0</v>
      </c>
      <c r="O931" s="20">
        <f>IFERROR(__xludf.DUMMYFUNCTION("""COMPUTED_VALUE"""),51.2374862145318)</f>
        <v>51.23748621</v>
      </c>
      <c r="P931" s="20">
        <f>IFERROR(__xludf.DUMMYFUNCTION("""COMPUTED_VALUE"""),59933.0)</f>
        <v>59933</v>
      </c>
      <c r="Q931" s="20">
        <f>IFERROR(__xludf.DUMMYFUNCTION("""COMPUTED_VALUE"""),116971.0)</f>
        <v>116971</v>
      </c>
    </row>
    <row r="932">
      <c r="A932" s="20">
        <f>IFERROR(__xludf.DUMMYFUNCTION("""COMPUTED_VALUE"""),967.0)</f>
        <v>967</v>
      </c>
      <c r="B932" s="20" t="str">
        <f>IFERROR(__xludf.DUMMYFUNCTION("""COMPUTED_VALUE"""),"Minimum Falling Path Sum")</f>
        <v>Minimum Falling Path Sum</v>
      </c>
      <c r="C932" s="20" t="str">
        <f>IFERROR(__xludf.DUMMYFUNCTION("""COMPUTED_VALUE"""),"minimum-falling-path-sum")</f>
        <v>minimum-falling-path-sum</v>
      </c>
      <c r="D932" s="20" t="b">
        <f>IFERROR(__xludf.DUMMYFUNCTION("""COMPUTED_VALUE"""),FALSE)</f>
        <v>0</v>
      </c>
      <c r="E932" s="20" t="str">
        <f>IFERROR(__xludf.DUMMYFUNCTION("""COMPUTED_VALUE"""),"Medium")</f>
        <v>Medium</v>
      </c>
      <c r="F932" s="20">
        <f>IFERROR(__xludf.DUMMYFUNCTION("""COMPUTED_VALUE"""),4280.0)</f>
        <v>4280</v>
      </c>
      <c r="G932" s="20">
        <f>IFERROR(__xludf.DUMMYFUNCTION("""COMPUTED_VALUE"""),116.0)</f>
        <v>116</v>
      </c>
      <c r="H932" s="20" t="str">
        <f>IFERROR(__xludf.DUMMYFUNCTION("""COMPUTED_VALUE"""),"Algorithms")</f>
        <v>Algorithms</v>
      </c>
      <c r="I932" s="20">
        <f>IFERROR(__xludf.DUMMYFUNCTION("""COMPUTED_VALUE"""),0.691)</f>
        <v>0.691</v>
      </c>
      <c r="J932" s="20">
        <f>IFERROR(__xludf.DUMMYFUNCTION("""COMPUTED_VALUE"""),931.0)</f>
        <v>931</v>
      </c>
      <c r="K932" s="20" t="b">
        <f>IFERROR(__xludf.DUMMYFUNCTION("""COMPUTED_VALUE"""),FALSE)</f>
        <v>0</v>
      </c>
      <c r="L932" s="20" t="str">
        <f>IFERROR(__xludf.DUMMYFUNCTION("""COMPUTED_VALUE"""),"Array;Dynamic Programming;Matrix;")</f>
        <v>Array;Dynamic Programming;Matrix;</v>
      </c>
      <c r="M932" s="20" t="b">
        <f>IFERROR(__xludf.DUMMYFUNCTION("""COMPUTED_VALUE"""),TRUE)</f>
        <v>1</v>
      </c>
      <c r="N932" s="20" t="b">
        <f>IFERROR(__xludf.DUMMYFUNCTION("""COMPUTED_VALUE"""),FALSE)</f>
        <v>0</v>
      </c>
      <c r="O932" s="20">
        <f>IFERROR(__xludf.DUMMYFUNCTION("""COMPUTED_VALUE"""),69.1316646905604)</f>
        <v>69.13166469</v>
      </c>
      <c r="P932" s="20">
        <f>IFERROR(__xludf.DUMMYFUNCTION("""COMPUTED_VALUE"""),222143.0)</f>
        <v>222143</v>
      </c>
      <c r="Q932" s="20">
        <f>IFERROR(__xludf.DUMMYFUNCTION("""COMPUTED_VALUE"""),321335.0)</f>
        <v>321335</v>
      </c>
    </row>
    <row r="933">
      <c r="A933" s="20">
        <f>IFERROR(__xludf.DUMMYFUNCTION("""COMPUTED_VALUE"""),968.0)</f>
        <v>968</v>
      </c>
      <c r="B933" s="20" t="str">
        <f>IFERROR(__xludf.DUMMYFUNCTION("""COMPUTED_VALUE"""),"Beautiful Array")</f>
        <v>Beautiful Array</v>
      </c>
      <c r="C933" s="20" t="str">
        <f>IFERROR(__xludf.DUMMYFUNCTION("""COMPUTED_VALUE"""),"beautiful-array")</f>
        <v>beautiful-array</v>
      </c>
      <c r="D933" s="20" t="b">
        <f>IFERROR(__xludf.DUMMYFUNCTION("""COMPUTED_VALUE"""),FALSE)</f>
        <v>0</v>
      </c>
      <c r="E933" s="20" t="str">
        <f>IFERROR(__xludf.DUMMYFUNCTION("""COMPUTED_VALUE"""),"Medium")</f>
        <v>Medium</v>
      </c>
      <c r="F933" s="20">
        <f>IFERROR(__xludf.DUMMYFUNCTION("""COMPUTED_VALUE"""),908.0)</f>
        <v>908</v>
      </c>
      <c r="G933" s="20">
        <f>IFERROR(__xludf.DUMMYFUNCTION("""COMPUTED_VALUE"""),1335.0)</f>
        <v>1335</v>
      </c>
      <c r="H933" s="20" t="str">
        <f>IFERROR(__xludf.DUMMYFUNCTION("""COMPUTED_VALUE"""),"Algorithms")</f>
        <v>Algorithms</v>
      </c>
      <c r="I933" s="20">
        <f>IFERROR(__xludf.DUMMYFUNCTION("""COMPUTED_VALUE"""),0.651)</f>
        <v>0.651</v>
      </c>
      <c r="J933" s="20">
        <f>IFERROR(__xludf.DUMMYFUNCTION("""COMPUTED_VALUE"""),932.0)</f>
        <v>932</v>
      </c>
      <c r="K933" s="20" t="b">
        <f>IFERROR(__xludf.DUMMYFUNCTION("""COMPUTED_VALUE"""),FALSE)</f>
        <v>0</v>
      </c>
      <c r="L933" s="20" t="str">
        <f>IFERROR(__xludf.DUMMYFUNCTION("""COMPUTED_VALUE"""),"Array;Math;Divide and Conquer;")</f>
        <v>Array;Math;Divide and Conquer;</v>
      </c>
      <c r="M933" s="20" t="b">
        <f>IFERROR(__xludf.DUMMYFUNCTION("""COMPUTED_VALUE"""),TRUE)</f>
        <v>1</v>
      </c>
      <c r="N933" s="20" t="b">
        <f>IFERROR(__xludf.DUMMYFUNCTION("""COMPUTED_VALUE"""),FALSE)</f>
        <v>0</v>
      </c>
      <c r="O933" s="20">
        <f>IFERROR(__xludf.DUMMYFUNCTION("""COMPUTED_VALUE"""),65.1101128149699)</f>
        <v>65.11011281</v>
      </c>
      <c r="P933" s="20">
        <f>IFERROR(__xludf.DUMMYFUNCTION("""COMPUTED_VALUE"""),38553.0)</f>
        <v>38553</v>
      </c>
      <c r="Q933" s="20">
        <f>IFERROR(__xludf.DUMMYFUNCTION("""COMPUTED_VALUE"""),59212.0)</f>
        <v>59212</v>
      </c>
    </row>
    <row r="934">
      <c r="A934" s="20">
        <f>IFERROR(__xludf.DUMMYFUNCTION("""COMPUTED_VALUE"""),969.0)</f>
        <v>969</v>
      </c>
      <c r="B934" s="20" t="str">
        <f>IFERROR(__xludf.DUMMYFUNCTION("""COMPUTED_VALUE"""),"Number of Recent Calls")</f>
        <v>Number of Recent Calls</v>
      </c>
      <c r="C934" s="20" t="str">
        <f>IFERROR(__xludf.DUMMYFUNCTION("""COMPUTED_VALUE"""),"number-of-recent-calls")</f>
        <v>number-of-recent-calls</v>
      </c>
      <c r="D934" s="20" t="b">
        <f>IFERROR(__xludf.DUMMYFUNCTION("""COMPUTED_VALUE"""),FALSE)</f>
        <v>0</v>
      </c>
      <c r="E934" s="20" t="str">
        <f>IFERROR(__xludf.DUMMYFUNCTION("""COMPUTED_VALUE"""),"Easy")</f>
        <v>Easy</v>
      </c>
      <c r="F934" s="20">
        <f>IFERROR(__xludf.DUMMYFUNCTION("""COMPUTED_VALUE"""),876.0)</f>
        <v>876</v>
      </c>
      <c r="G934" s="20">
        <f>IFERROR(__xludf.DUMMYFUNCTION("""COMPUTED_VALUE"""),2590.0)</f>
        <v>2590</v>
      </c>
      <c r="H934" s="20" t="str">
        <f>IFERROR(__xludf.DUMMYFUNCTION("""COMPUTED_VALUE"""),"Algorithms")</f>
        <v>Algorithms</v>
      </c>
      <c r="I934" s="20">
        <f>IFERROR(__xludf.DUMMYFUNCTION("""COMPUTED_VALUE"""),0.732)</f>
        <v>0.732</v>
      </c>
      <c r="J934" s="20">
        <f>IFERROR(__xludf.DUMMYFUNCTION("""COMPUTED_VALUE"""),933.0)</f>
        <v>933</v>
      </c>
      <c r="K934" s="20" t="b">
        <f>IFERROR(__xludf.DUMMYFUNCTION("""COMPUTED_VALUE"""),FALSE)</f>
        <v>0</v>
      </c>
      <c r="L934" s="20" t="str">
        <f>IFERROR(__xludf.DUMMYFUNCTION("""COMPUTED_VALUE"""),"Design;Queue;Data Stream;")</f>
        <v>Design;Queue;Data Stream;</v>
      </c>
      <c r="M934" s="20" t="b">
        <f>IFERROR(__xludf.DUMMYFUNCTION("""COMPUTED_VALUE"""),TRUE)</f>
        <v>1</v>
      </c>
      <c r="N934" s="20" t="b">
        <f>IFERROR(__xludf.DUMMYFUNCTION("""COMPUTED_VALUE"""),FALSE)</f>
        <v>0</v>
      </c>
      <c r="O934" s="20">
        <f>IFERROR(__xludf.DUMMYFUNCTION("""COMPUTED_VALUE"""),73.1651201910033)</f>
        <v>73.16512019</v>
      </c>
      <c r="P934" s="20">
        <f>IFERROR(__xludf.DUMMYFUNCTION("""COMPUTED_VALUE"""),134836.0)</f>
        <v>134836</v>
      </c>
      <c r="Q934" s="20">
        <f>IFERROR(__xludf.DUMMYFUNCTION("""COMPUTED_VALUE"""),184290.0)</f>
        <v>184290</v>
      </c>
    </row>
    <row r="935">
      <c r="A935" s="20">
        <f>IFERROR(__xludf.DUMMYFUNCTION("""COMPUTED_VALUE"""),971.0)</f>
        <v>971</v>
      </c>
      <c r="B935" s="20" t="str">
        <f>IFERROR(__xludf.DUMMYFUNCTION("""COMPUTED_VALUE"""),"Shortest Bridge")</f>
        <v>Shortest Bridge</v>
      </c>
      <c r="C935" s="20" t="str">
        <f>IFERROR(__xludf.DUMMYFUNCTION("""COMPUTED_VALUE"""),"shortest-bridge")</f>
        <v>shortest-bridge</v>
      </c>
      <c r="D935" s="20" t="b">
        <f>IFERROR(__xludf.DUMMYFUNCTION("""COMPUTED_VALUE"""),FALSE)</f>
        <v>0</v>
      </c>
      <c r="E935" s="20" t="str">
        <f>IFERROR(__xludf.DUMMYFUNCTION("""COMPUTED_VALUE"""),"Medium")</f>
        <v>Medium</v>
      </c>
      <c r="F935" s="20">
        <f>IFERROR(__xludf.DUMMYFUNCTION("""COMPUTED_VALUE"""),3362.0)</f>
        <v>3362</v>
      </c>
      <c r="G935" s="20">
        <f>IFERROR(__xludf.DUMMYFUNCTION("""COMPUTED_VALUE"""),145.0)</f>
        <v>145</v>
      </c>
      <c r="H935" s="20" t="str">
        <f>IFERROR(__xludf.DUMMYFUNCTION("""COMPUTED_VALUE"""),"Algorithms")</f>
        <v>Algorithms</v>
      </c>
      <c r="I935" s="20">
        <f>IFERROR(__xludf.DUMMYFUNCTION("""COMPUTED_VALUE"""),0.541)</f>
        <v>0.541</v>
      </c>
      <c r="J935" s="20">
        <f>IFERROR(__xludf.DUMMYFUNCTION("""COMPUTED_VALUE"""),934.0)</f>
        <v>934</v>
      </c>
      <c r="K935" s="20" t="b">
        <f>IFERROR(__xludf.DUMMYFUNCTION("""COMPUTED_VALUE"""),FALSE)</f>
        <v>0</v>
      </c>
      <c r="L935" s="20" t="str">
        <f>IFERROR(__xludf.DUMMYFUNCTION("""COMPUTED_VALUE"""),"Array;Depth-First Search;Breadth-First Search;Matrix;")</f>
        <v>Array;Depth-First Search;Breadth-First Search;Matrix;</v>
      </c>
      <c r="M935" s="20" t="b">
        <f>IFERROR(__xludf.DUMMYFUNCTION("""COMPUTED_VALUE"""),FALSE)</f>
        <v>0</v>
      </c>
      <c r="N935" s="20" t="b">
        <f>IFERROR(__xludf.DUMMYFUNCTION("""COMPUTED_VALUE"""),FALSE)</f>
        <v>0</v>
      </c>
      <c r="O935" s="20">
        <f>IFERROR(__xludf.DUMMYFUNCTION("""COMPUTED_VALUE"""),54.1377091670735)</f>
        <v>54.13770917</v>
      </c>
      <c r="P935" s="20">
        <f>IFERROR(__xludf.DUMMYFUNCTION("""COMPUTED_VALUE"""),118639.0)</f>
        <v>118639</v>
      </c>
      <c r="Q935" s="20">
        <f>IFERROR(__xludf.DUMMYFUNCTION("""COMPUTED_VALUE"""),219142.0)</f>
        <v>219142</v>
      </c>
    </row>
    <row r="936">
      <c r="A936" s="20">
        <f>IFERROR(__xludf.DUMMYFUNCTION("""COMPUTED_VALUE"""),972.0)</f>
        <v>972</v>
      </c>
      <c r="B936" s="20" t="str">
        <f>IFERROR(__xludf.DUMMYFUNCTION("""COMPUTED_VALUE"""),"Knight Dialer")</f>
        <v>Knight Dialer</v>
      </c>
      <c r="C936" s="20" t="str">
        <f>IFERROR(__xludf.DUMMYFUNCTION("""COMPUTED_VALUE"""),"knight-dialer")</f>
        <v>knight-dialer</v>
      </c>
      <c r="D936" s="20" t="b">
        <f>IFERROR(__xludf.DUMMYFUNCTION("""COMPUTED_VALUE"""),FALSE)</f>
        <v>0</v>
      </c>
      <c r="E936" s="20" t="str">
        <f>IFERROR(__xludf.DUMMYFUNCTION("""COMPUTED_VALUE"""),"Medium")</f>
        <v>Medium</v>
      </c>
      <c r="F936" s="20">
        <f>IFERROR(__xludf.DUMMYFUNCTION("""COMPUTED_VALUE"""),1858.0)</f>
        <v>1858</v>
      </c>
      <c r="G936" s="20">
        <f>IFERROR(__xludf.DUMMYFUNCTION("""COMPUTED_VALUE"""),377.0)</f>
        <v>377</v>
      </c>
      <c r="H936" s="20" t="str">
        <f>IFERROR(__xludf.DUMMYFUNCTION("""COMPUTED_VALUE"""),"Algorithms")</f>
        <v>Algorithms</v>
      </c>
      <c r="I936" s="20">
        <f>IFERROR(__xludf.DUMMYFUNCTION("""COMPUTED_VALUE"""),0.501)</f>
        <v>0.501</v>
      </c>
      <c r="J936" s="20">
        <f>IFERROR(__xludf.DUMMYFUNCTION("""COMPUTED_VALUE"""),935.0)</f>
        <v>935</v>
      </c>
      <c r="K936" s="20" t="b">
        <f>IFERROR(__xludf.DUMMYFUNCTION("""COMPUTED_VALUE"""),FALSE)</f>
        <v>0</v>
      </c>
      <c r="L936" s="20" t="str">
        <f>IFERROR(__xludf.DUMMYFUNCTION("""COMPUTED_VALUE"""),"Dynamic Programming;")</f>
        <v>Dynamic Programming;</v>
      </c>
      <c r="M936" s="20" t="b">
        <f>IFERROR(__xludf.DUMMYFUNCTION("""COMPUTED_VALUE"""),FALSE)</f>
        <v>0</v>
      </c>
      <c r="N936" s="20" t="b">
        <f>IFERROR(__xludf.DUMMYFUNCTION("""COMPUTED_VALUE"""),FALSE)</f>
        <v>0</v>
      </c>
      <c r="O936" s="20">
        <f>IFERROR(__xludf.DUMMYFUNCTION("""COMPUTED_VALUE"""),50.1042496123381)</f>
        <v>50.10424961</v>
      </c>
      <c r="P936" s="20">
        <f>IFERROR(__xludf.DUMMYFUNCTION("""COMPUTED_VALUE"""),95642.0)</f>
        <v>95642</v>
      </c>
      <c r="Q936" s="20">
        <f>IFERROR(__xludf.DUMMYFUNCTION("""COMPUTED_VALUE"""),190887.0)</f>
        <v>190887</v>
      </c>
    </row>
    <row r="937">
      <c r="A937" s="20">
        <f>IFERROR(__xludf.DUMMYFUNCTION("""COMPUTED_VALUE"""),973.0)</f>
        <v>973</v>
      </c>
      <c r="B937" s="20" t="str">
        <f>IFERROR(__xludf.DUMMYFUNCTION("""COMPUTED_VALUE"""),"Stamping The Sequence")</f>
        <v>Stamping The Sequence</v>
      </c>
      <c r="C937" s="20" t="str">
        <f>IFERROR(__xludf.DUMMYFUNCTION("""COMPUTED_VALUE"""),"stamping-the-sequence")</f>
        <v>stamping-the-sequence</v>
      </c>
      <c r="D937" s="20" t="b">
        <f>IFERROR(__xludf.DUMMYFUNCTION("""COMPUTED_VALUE"""),FALSE)</f>
        <v>0</v>
      </c>
      <c r="E937" s="20" t="str">
        <f>IFERROR(__xludf.DUMMYFUNCTION("""COMPUTED_VALUE"""),"Hard")</f>
        <v>Hard</v>
      </c>
      <c r="F937" s="20">
        <f>IFERROR(__xludf.DUMMYFUNCTION("""COMPUTED_VALUE"""),1443.0)</f>
        <v>1443</v>
      </c>
      <c r="G937" s="20">
        <f>IFERROR(__xludf.DUMMYFUNCTION("""COMPUTED_VALUE"""),213.0)</f>
        <v>213</v>
      </c>
      <c r="H937" s="20" t="str">
        <f>IFERROR(__xludf.DUMMYFUNCTION("""COMPUTED_VALUE"""),"Algorithms")</f>
        <v>Algorithms</v>
      </c>
      <c r="I937" s="20">
        <f>IFERROR(__xludf.DUMMYFUNCTION("""COMPUTED_VALUE"""),0.632)</f>
        <v>0.632</v>
      </c>
      <c r="J937" s="20">
        <f>IFERROR(__xludf.DUMMYFUNCTION("""COMPUTED_VALUE"""),936.0)</f>
        <v>936</v>
      </c>
      <c r="K937" s="20" t="b">
        <f>IFERROR(__xludf.DUMMYFUNCTION("""COMPUTED_VALUE"""),FALSE)</f>
        <v>0</v>
      </c>
      <c r="L937" s="20" t="str">
        <f>IFERROR(__xludf.DUMMYFUNCTION("""COMPUTED_VALUE"""),"String;Stack;Greedy;Queue;")</f>
        <v>String;Stack;Greedy;Queue;</v>
      </c>
      <c r="M937" s="20" t="b">
        <f>IFERROR(__xludf.DUMMYFUNCTION("""COMPUTED_VALUE"""),TRUE)</f>
        <v>1</v>
      </c>
      <c r="N937" s="20" t="b">
        <f>IFERROR(__xludf.DUMMYFUNCTION("""COMPUTED_VALUE"""),FALSE)</f>
        <v>0</v>
      </c>
      <c r="O937" s="20">
        <f>IFERROR(__xludf.DUMMYFUNCTION("""COMPUTED_VALUE"""),63.2320819112627)</f>
        <v>63.23208191</v>
      </c>
      <c r="P937" s="20">
        <f>IFERROR(__xludf.DUMMYFUNCTION("""COMPUTED_VALUE"""),55581.0)</f>
        <v>55581</v>
      </c>
      <c r="Q937" s="20">
        <f>IFERROR(__xludf.DUMMYFUNCTION("""COMPUTED_VALUE"""),87900.0)</f>
        <v>87900</v>
      </c>
    </row>
    <row r="938">
      <c r="A938" s="20">
        <f>IFERROR(__xludf.DUMMYFUNCTION("""COMPUTED_VALUE"""),974.0)</f>
        <v>974</v>
      </c>
      <c r="B938" s="20" t="str">
        <f>IFERROR(__xludf.DUMMYFUNCTION("""COMPUTED_VALUE"""),"Reorder Data in Log Files")</f>
        <v>Reorder Data in Log Files</v>
      </c>
      <c r="C938" s="20" t="str">
        <f>IFERROR(__xludf.DUMMYFUNCTION("""COMPUTED_VALUE"""),"reorder-data-in-log-files")</f>
        <v>reorder-data-in-log-files</v>
      </c>
      <c r="D938" s="20" t="b">
        <f>IFERROR(__xludf.DUMMYFUNCTION("""COMPUTED_VALUE"""),FALSE)</f>
        <v>0</v>
      </c>
      <c r="E938" s="20" t="str">
        <f>IFERROR(__xludf.DUMMYFUNCTION("""COMPUTED_VALUE"""),"Medium")</f>
        <v>Medium</v>
      </c>
      <c r="F938" s="20">
        <f>IFERROR(__xludf.DUMMYFUNCTION("""COMPUTED_VALUE"""),1933.0)</f>
        <v>1933</v>
      </c>
      <c r="G938" s="20">
        <f>IFERROR(__xludf.DUMMYFUNCTION("""COMPUTED_VALUE"""),4253.0)</f>
        <v>4253</v>
      </c>
      <c r="H938" s="20" t="str">
        <f>IFERROR(__xludf.DUMMYFUNCTION("""COMPUTED_VALUE"""),"Algorithms")</f>
        <v>Algorithms</v>
      </c>
      <c r="I938" s="20">
        <f>IFERROR(__xludf.DUMMYFUNCTION("""COMPUTED_VALUE"""),0.564)</f>
        <v>0.564</v>
      </c>
      <c r="J938" s="20">
        <f>IFERROR(__xludf.DUMMYFUNCTION("""COMPUTED_VALUE"""),937.0)</f>
        <v>937</v>
      </c>
      <c r="K938" s="20" t="b">
        <f>IFERROR(__xludf.DUMMYFUNCTION("""COMPUTED_VALUE"""),FALSE)</f>
        <v>0</v>
      </c>
      <c r="L938" s="20" t="str">
        <f>IFERROR(__xludf.DUMMYFUNCTION("""COMPUTED_VALUE"""),"Array;String;Sorting;")</f>
        <v>Array;String;Sorting;</v>
      </c>
      <c r="M938" s="20" t="b">
        <f>IFERROR(__xludf.DUMMYFUNCTION("""COMPUTED_VALUE"""),TRUE)</f>
        <v>1</v>
      </c>
      <c r="N938" s="20" t="b">
        <f>IFERROR(__xludf.DUMMYFUNCTION("""COMPUTED_VALUE"""),FALSE)</f>
        <v>0</v>
      </c>
      <c r="O938" s="20">
        <f>IFERROR(__xludf.DUMMYFUNCTION("""COMPUTED_VALUE"""),56.4203671366758)</f>
        <v>56.42036714</v>
      </c>
      <c r="P938" s="20">
        <f>IFERROR(__xludf.DUMMYFUNCTION("""COMPUTED_VALUE"""),336675.0)</f>
        <v>336675</v>
      </c>
      <c r="Q938" s="20">
        <f>IFERROR(__xludf.DUMMYFUNCTION("""COMPUTED_VALUE"""),596726.0)</f>
        <v>596726</v>
      </c>
    </row>
    <row r="939">
      <c r="A939" s="20">
        <f>IFERROR(__xludf.DUMMYFUNCTION("""COMPUTED_VALUE"""),975.0)</f>
        <v>975</v>
      </c>
      <c r="B939" s="20" t="str">
        <f>IFERROR(__xludf.DUMMYFUNCTION("""COMPUTED_VALUE"""),"Range Sum of BST")</f>
        <v>Range Sum of BST</v>
      </c>
      <c r="C939" s="20" t="str">
        <f>IFERROR(__xludf.DUMMYFUNCTION("""COMPUTED_VALUE"""),"range-sum-of-bst")</f>
        <v>range-sum-of-bst</v>
      </c>
      <c r="D939" s="20" t="b">
        <f>IFERROR(__xludf.DUMMYFUNCTION("""COMPUTED_VALUE"""),FALSE)</f>
        <v>0</v>
      </c>
      <c r="E939" s="20" t="str">
        <f>IFERROR(__xludf.DUMMYFUNCTION("""COMPUTED_VALUE"""),"Easy")</f>
        <v>Easy</v>
      </c>
      <c r="F939" s="20">
        <f>IFERROR(__xludf.DUMMYFUNCTION("""COMPUTED_VALUE"""),5510.0)</f>
        <v>5510</v>
      </c>
      <c r="G939" s="20">
        <f>IFERROR(__xludf.DUMMYFUNCTION("""COMPUTED_VALUE"""),351.0)</f>
        <v>351</v>
      </c>
      <c r="H939" s="20" t="str">
        <f>IFERROR(__xludf.DUMMYFUNCTION("""COMPUTED_VALUE"""),"Algorithms")</f>
        <v>Algorithms</v>
      </c>
      <c r="I939" s="20">
        <f>IFERROR(__xludf.DUMMYFUNCTION("""COMPUTED_VALUE"""),0.858)</f>
        <v>0.858</v>
      </c>
      <c r="J939" s="20">
        <f>IFERROR(__xludf.DUMMYFUNCTION("""COMPUTED_VALUE"""),938.0)</f>
        <v>938</v>
      </c>
      <c r="K939" s="20" t="b">
        <f>IFERROR(__xludf.DUMMYFUNCTION("""COMPUTED_VALUE"""),FALSE)</f>
        <v>0</v>
      </c>
      <c r="L939" s="20" t="str">
        <f>IFERROR(__xludf.DUMMYFUNCTION("""COMPUTED_VALUE"""),"Tree;Depth-First Search;Binary Search Tree;Binary Tree;")</f>
        <v>Tree;Depth-First Search;Binary Search Tree;Binary Tree;</v>
      </c>
      <c r="M939" s="20" t="b">
        <f>IFERROR(__xludf.DUMMYFUNCTION("""COMPUTED_VALUE"""),TRUE)</f>
        <v>1</v>
      </c>
      <c r="N939" s="20" t="b">
        <f>IFERROR(__xludf.DUMMYFUNCTION("""COMPUTED_VALUE"""),TRUE)</f>
        <v>1</v>
      </c>
      <c r="O939" s="20">
        <f>IFERROR(__xludf.DUMMYFUNCTION("""COMPUTED_VALUE"""),85.8375143938147)</f>
        <v>85.83751439</v>
      </c>
      <c r="P939" s="20">
        <f>IFERROR(__xludf.DUMMYFUNCTION("""COMPUTED_VALUE"""),751400.0)</f>
        <v>751400</v>
      </c>
      <c r="Q939" s="20">
        <f>IFERROR(__xludf.DUMMYFUNCTION("""COMPUTED_VALUE"""),875375.0)</f>
        <v>875375</v>
      </c>
    </row>
    <row r="940">
      <c r="A940" s="20">
        <f>IFERROR(__xludf.DUMMYFUNCTION("""COMPUTED_VALUE"""),976.0)</f>
        <v>976</v>
      </c>
      <c r="B940" s="20" t="str">
        <f>IFERROR(__xludf.DUMMYFUNCTION("""COMPUTED_VALUE"""),"Minimum Area Rectangle")</f>
        <v>Minimum Area Rectangle</v>
      </c>
      <c r="C940" s="20" t="str">
        <f>IFERROR(__xludf.DUMMYFUNCTION("""COMPUTED_VALUE"""),"minimum-area-rectangle")</f>
        <v>minimum-area-rectangle</v>
      </c>
      <c r="D940" s="20" t="b">
        <f>IFERROR(__xludf.DUMMYFUNCTION("""COMPUTED_VALUE"""),FALSE)</f>
        <v>0</v>
      </c>
      <c r="E940" s="20" t="str">
        <f>IFERROR(__xludf.DUMMYFUNCTION("""COMPUTED_VALUE"""),"Medium")</f>
        <v>Medium</v>
      </c>
      <c r="F940" s="20">
        <f>IFERROR(__xludf.DUMMYFUNCTION("""COMPUTED_VALUE"""),1705.0)</f>
        <v>1705</v>
      </c>
      <c r="G940" s="20">
        <f>IFERROR(__xludf.DUMMYFUNCTION("""COMPUTED_VALUE"""),258.0)</f>
        <v>258</v>
      </c>
      <c r="H940" s="20" t="str">
        <f>IFERROR(__xludf.DUMMYFUNCTION("""COMPUTED_VALUE"""),"Algorithms")</f>
        <v>Algorithms</v>
      </c>
      <c r="I940" s="20">
        <f>IFERROR(__xludf.DUMMYFUNCTION("""COMPUTED_VALUE"""),0.529)</f>
        <v>0.529</v>
      </c>
      <c r="J940" s="20">
        <f>IFERROR(__xludf.DUMMYFUNCTION("""COMPUTED_VALUE"""),939.0)</f>
        <v>939</v>
      </c>
      <c r="K940" s="20" t="b">
        <f>IFERROR(__xludf.DUMMYFUNCTION("""COMPUTED_VALUE"""),FALSE)</f>
        <v>0</v>
      </c>
      <c r="L940" s="20" t="str">
        <f>IFERROR(__xludf.DUMMYFUNCTION("""COMPUTED_VALUE"""),"Array;Hash Table;Math;Geometry;Sorting;")</f>
        <v>Array;Hash Table;Math;Geometry;Sorting;</v>
      </c>
      <c r="M940" s="20" t="b">
        <f>IFERROR(__xludf.DUMMYFUNCTION("""COMPUTED_VALUE"""),TRUE)</f>
        <v>1</v>
      </c>
      <c r="N940" s="20" t="b">
        <f>IFERROR(__xludf.DUMMYFUNCTION("""COMPUTED_VALUE"""),FALSE)</f>
        <v>0</v>
      </c>
      <c r="O940" s="20">
        <f>IFERROR(__xludf.DUMMYFUNCTION("""COMPUTED_VALUE"""),52.9374400341139)</f>
        <v>52.93744003</v>
      </c>
      <c r="P940" s="20">
        <f>IFERROR(__xludf.DUMMYFUNCTION("""COMPUTED_VALUE"""),119176.0)</f>
        <v>119176</v>
      </c>
      <c r="Q940" s="20">
        <f>IFERROR(__xludf.DUMMYFUNCTION("""COMPUTED_VALUE"""),225127.0)</f>
        <v>225127</v>
      </c>
    </row>
    <row r="941">
      <c r="A941" s="20">
        <f>IFERROR(__xludf.DUMMYFUNCTION("""COMPUTED_VALUE"""),977.0)</f>
        <v>977</v>
      </c>
      <c r="B941" s="20" t="str">
        <f>IFERROR(__xludf.DUMMYFUNCTION("""COMPUTED_VALUE"""),"Distinct Subsequences II")</f>
        <v>Distinct Subsequences II</v>
      </c>
      <c r="C941" s="20" t="str">
        <f>IFERROR(__xludf.DUMMYFUNCTION("""COMPUTED_VALUE"""),"distinct-subsequences-ii")</f>
        <v>distinct-subsequences-ii</v>
      </c>
      <c r="D941" s="20" t="b">
        <f>IFERROR(__xludf.DUMMYFUNCTION("""COMPUTED_VALUE"""),FALSE)</f>
        <v>0</v>
      </c>
      <c r="E941" s="20" t="str">
        <f>IFERROR(__xludf.DUMMYFUNCTION("""COMPUTED_VALUE"""),"Hard")</f>
        <v>Hard</v>
      </c>
      <c r="F941" s="20">
        <f>IFERROR(__xludf.DUMMYFUNCTION("""COMPUTED_VALUE"""),1371.0)</f>
        <v>1371</v>
      </c>
      <c r="G941" s="20">
        <f>IFERROR(__xludf.DUMMYFUNCTION("""COMPUTED_VALUE"""),29.0)</f>
        <v>29</v>
      </c>
      <c r="H941" s="20" t="str">
        <f>IFERROR(__xludf.DUMMYFUNCTION("""COMPUTED_VALUE"""),"Algorithms")</f>
        <v>Algorithms</v>
      </c>
      <c r="I941" s="20">
        <f>IFERROR(__xludf.DUMMYFUNCTION("""COMPUTED_VALUE"""),0.442)</f>
        <v>0.442</v>
      </c>
      <c r="J941" s="20">
        <f>IFERROR(__xludf.DUMMYFUNCTION("""COMPUTED_VALUE"""),940.0)</f>
        <v>940</v>
      </c>
      <c r="K941" s="20" t="b">
        <f>IFERROR(__xludf.DUMMYFUNCTION("""COMPUTED_VALUE"""),FALSE)</f>
        <v>0</v>
      </c>
      <c r="L941" s="20" t="str">
        <f>IFERROR(__xludf.DUMMYFUNCTION("""COMPUTED_VALUE"""),"String;Dynamic Programming;")</f>
        <v>String;Dynamic Programming;</v>
      </c>
      <c r="M941" s="20" t="b">
        <f>IFERROR(__xludf.DUMMYFUNCTION("""COMPUTED_VALUE"""),TRUE)</f>
        <v>1</v>
      </c>
      <c r="N941" s="20" t="b">
        <f>IFERROR(__xludf.DUMMYFUNCTION("""COMPUTED_VALUE"""),FALSE)</f>
        <v>0</v>
      </c>
      <c r="O941" s="20">
        <f>IFERROR(__xludf.DUMMYFUNCTION("""COMPUTED_VALUE"""),44.2443478139287)</f>
        <v>44.24434781</v>
      </c>
      <c r="P941" s="20">
        <f>IFERROR(__xludf.DUMMYFUNCTION("""COMPUTED_VALUE"""),31644.0)</f>
        <v>31644</v>
      </c>
      <c r="Q941" s="20">
        <f>IFERROR(__xludf.DUMMYFUNCTION("""COMPUTED_VALUE"""),71521.0)</f>
        <v>71521</v>
      </c>
    </row>
    <row r="942">
      <c r="A942" s="20">
        <f>IFERROR(__xludf.DUMMYFUNCTION("""COMPUTED_VALUE"""),978.0)</f>
        <v>978</v>
      </c>
      <c r="B942" s="20" t="str">
        <f>IFERROR(__xludf.DUMMYFUNCTION("""COMPUTED_VALUE"""),"Valid Mountain Array")</f>
        <v>Valid Mountain Array</v>
      </c>
      <c r="C942" s="20" t="str">
        <f>IFERROR(__xludf.DUMMYFUNCTION("""COMPUTED_VALUE"""),"valid-mountain-array")</f>
        <v>valid-mountain-array</v>
      </c>
      <c r="D942" s="20" t="b">
        <f>IFERROR(__xludf.DUMMYFUNCTION("""COMPUTED_VALUE"""),FALSE)</f>
        <v>0</v>
      </c>
      <c r="E942" s="20" t="str">
        <f>IFERROR(__xludf.DUMMYFUNCTION("""COMPUTED_VALUE"""),"Easy")</f>
        <v>Easy</v>
      </c>
      <c r="F942" s="20">
        <f>IFERROR(__xludf.DUMMYFUNCTION("""COMPUTED_VALUE"""),2464.0)</f>
        <v>2464</v>
      </c>
      <c r="G942" s="20">
        <f>IFERROR(__xludf.DUMMYFUNCTION("""COMPUTED_VALUE"""),151.0)</f>
        <v>151</v>
      </c>
      <c r="H942" s="20" t="str">
        <f>IFERROR(__xludf.DUMMYFUNCTION("""COMPUTED_VALUE"""),"Algorithms")</f>
        <v>Algorithms</v>
      </c>
      <c r="I942" s="20">
        <f>IFERROR(__xludf.DUMMYFUNCTION("""COMPUTED_VALUE"""),0.335)</f>
        <v>0.335</v>
      </c>
      <c r="J942" s="20">
        <f>IFERROR(__xludf.DUMMYFUNCTION("""COMPUTED_VALUE"""),941.0)</f>
        <v>941</v>
      </c>
      <c r="K942" s="20" t="b">
        <f>IFERROR(__xludf.DUMMYFUNCTION("""COMPUTED_VALUE"""),FALSE)</f>
        <v>0</v>
      </c>
      <c r="L942" s="20" t="str">
        <f>IFERROR(__xludf.DUMMYFUNCTION("""COMPUTED_VALUE"""),"Array;")</f>
        <v>Array;</v>
      </c>
      <c r="M942" s="20" t="b">
        <f>IFERROR(__xludf.DUMMYFUNCTION("""COMPUTED_VALUE"""),TRUE)</f>
        <v>1</v>
      </c>
      <c r="N942" s="20" t="b">
        <f>IFERROR(__xludf.DUMMYFUNCTION("""COMPUTED_VALUE"""),FALSE)</f>
        <v>0</v>
      </c>
      <c r="O942" s="20">
        <f>IFERROR(__xludf.DUMMYFUNCTION("""COMPUTED_VALUE"""),33.4937024047505)</f>
        <v>33.4937024</v>
      </c>
      <c r="P942" s="20">
        <f>IFERROR(__xludf.DUMMYFUNCTION("""COMPUTED_VALUE"""),341127.0)</f>
        <v>341127</v>
      </c>
      <c r="Q942" s="20">
        <f>IFERROR(__xludf.DUMMYFUNCTION("""COMPUTED_VALUE"""),1018481.0)</f>
        <v>1018481</v>
      </c>
    </row>
    <row r="943">
      <c r="A943" s="20">
        <f>IFERROR(__xludf.DUMMYFUNCTION("""COMPUTED_VALUE"""),979.0)</f>
        <v>979</v>
      </c>
      <c r="B943" s="20" t="str">
        <f>IFERROR(__xludf.DUMMYFUNCTION("""COMPUTED_VALUE"""),"DI String Match")</f>
        <v>DI String Match</v>
      </c>
      <c r="C943" s="20" t="str">
        <f>IFERROR(__xludf.DUMMYFUNCTION("""COMPUTED_VALUE"""),"di-string-match")</f>
        <v>di-string-match</v>
      </c>
      <c r="D943" s="20" t="b">
        <f>IFERROR(__xludf.DUMMYFUNCTION("""COMPUTED_VALUE"""),FALSE)</f>
        <v>0</v>
      </c>
      <c r="E943" s="20" t="str">
        <f>IFERROR(__xludf.DUMMYFUNCTION("""COMPUTED_VALUE"""),"Easy")</f>
        <v>Easy</v>
      </c>
      <c r="F943" s="20">
        <f>IFERROR(__xludf.DUMMYFUNCTION("""COMPUTED_VALUE"""),2021.0)</f>
        <v>2021</v>
      </c>
      <c r="G943" s="20">
        <f>IFERROR(__xludf.DUMMYFUNCTION("""COMPUTED_VALUE"""),808.0)</f>
        <v>808</v>
      </c>
      <c r="H943" s="20" t="str">
        <f>IFERROR(__xludf.DUMMYFUNCTION("""COMPUTED_VALUE"""),"Algorithms")</f>
        <v>Algorithms</v>
      </c>
      <c r="I943" s="20">
        <f>IFERROR(__xludf.DUMMYFUNCTION("""COMPUTED_VALUE"""),0.769)</f>
        <v>0.769</v>
      </c>
      <c r="J943" s="20">
        <f>IFERROR(__xludf.DUMMYFUNCTION("""COMPUTED_VALUE"""),942.0)</f>
        <v>942</v>
      </c>
      <c r="K943" s="20" t="b">
        <f>IFERROR(__xludf.DUMMYFUNCTION("""COMPUTED_VALUE"""),FALSE)</f>
        <v>0</v>
      </c>
      <c r="L943" s="20" t="str">
        <f>IFERROR(__xludf.DUMMYFUNCTION("""COMPUTED_VALUE"""),"Array;Two Pointers;String;Greedy;")</f>
        <v>Array;Two Pointers;String;Greedy;</v>
      </c>
      <c r="M943" s="20" t="b">
        <f>IFERROR(__xludf.DUMMYFUNCTION("""COMPUTED_VALUE"""),TRUE)</f>
        <v>1</v>
      </c>
      <c r="N943" s="20" t="b">
        <f>IFERROR(__xludf.DUMMYFUNCTION("""COMPUTED_VALUE"""),FALSE)</f>
        <v>0</v>
      </c>
      <c r="O943" s="20">
        <f>IFERROR(__xludf.DUMMYFUNCTION("""COMPUTED_VALUE"""),76.8680604181254)</f>
        <v>76.86806042</v>
      </c>
      <c r="P943" s="20">
        <f>IFERROR(__xludf.DUMMYFUNCTION("""COMPUTED_VALUE"""),122952.0)</f>
        <v>122952</v>
      </c>
      <c r="Q943" s="20">
        <f>IFERROR(__xludf.DUMMYFUNCTION("""COMPUTED_VALUE"""),159952.0)</f>
        <v>159952</v>
      </c>
    </row>
    <row r="944">
      <c r="A944" s="20">
        <f>IFERROR(__xludf.DUMMYFUNCTION("""COMPUTED_VALUE"""),980.0)</f>
        <v>980</v>
      </c>
      <c r="B944" s="20" t="str">
        <f>IFERROR(__xludf.DUMMYFUNCTION("""COMPUTED_VALUE"""),"Find the Shortest Superstring")</f>
        <v>Find the Shortest Superstring</v>
      </c>
      <c r="C944" s="20" t="str">
        <f>IFERROR(__xludf.DUMMYFUNCTION("""COMPUTED_VALUE"""),"find-the-shortest-superstring")</f>
        <v>find-the-shortest-superstring</v>
      </c>
      <c r="D944" s="20" t="b">
        <f>IFERROR(__xludf.DUMMYFUNCTION("""COMPUTED_VALUE"""),FALSE)</f>
        <v>0</v>
      </c>
      <c r="E944" s="20" t="str">
        <f>IFERROR(__xludf.DUMMYFUNCTION("""COMPUTED_VALUE"""),"Hard")</f>
        <v>Hard</v>
      </c>
      <c r="F944" s="20">
        <f>IFERROR(__xludf.DUMMYFUNCTION("""COMPUTED_VALUE"""),1211.0)</f>
        <v>1211</v>
      </c>
      <c r="G944" s="20">
        <f>IFERROR(__xludf.DUMMYFUNCTION("""COMPUTED_VALUE"""),135.0)</f>
        <v>135</v>
      </c>
      <c r="H944" s="20" t="str">
        <f>IFERROR(__xludf.DUMMYFUNCTION("""COMPUTED_VALUE"""),"Algorithms")</f>
        <v>Algorithms</v>
      </c>
      <c r="I944" s="20">
        <f>IFERROR(__xludf.DUMMYFUNCTION("""COMPUTED_VALUE"""),0.447)</f>
        <v>0.447</v>
      </c>
      <c r="J944" s="20">
        <f>IFERROR(__xludf.DUMMYFUNCTION("""COMPUTED_VALUE"""),943.0)</f>
        <v>943</v>
      </c>
      <c r="K944" s="20" t="b">
        <f>IFERROR(__xludf.DUMMYFUNCTION("""COMPUTED_VALUE"""),FALSE)</f>
        <v>0</v>
      </c>
      <c r="L944" s="20" t="str">
        <f>IFERROR(__xludf.DUMMYFUNCTION("""COMPUTED_VALUE"""),"Array;String;Dynamic Programming;Bit Manipulation;Bitmask;")</f>
        <v>Array;String;Dynamic Programming;Bit Manipulation;Bitmask;</v>
      </c>
      <c r="M944" s="20" t="b">
        <f>IFERROR(__xludf.DUMMYFUNCTION("""COMPUTED_VALUE"""),TRUE)</f>
        <v>1</v>
      </c>
      <c r="N944" s="20" t="b">
        <f>IFERROR(__xludf.DUMMYFUNCTION("""COMPUTED_VALUE"""),FALSE)</f>
        <v>0</v>
      </c>
      <c r="O944" s="20">
        <f>IFERROR(__xludf.DUMMYFUNCTION("""COMPUTED_VALUE"""),44.7059863825271)</f>
        <v>44.70598638</v>
      </c>
      <c r="P944" s="20">
        <f>IFERROR(__xludf.DUMMYFUNCTION("""COMPUTED_VALUE"""),25279.0)</f>
        <v>25279</v>
      </c>
      <c r="Q944" s="20">
        <f>IFERROR(__xludf.DUMMYFUNCTION("""COMPUTED_VALUE"""),56545.0)</f>
        <v>56545</v>
      </c>
    </row>
    <row r="945">
      <c r="A945" s="20">
        <f>IFERROR(__xludf.DUMMYFUNCTION("""COMPUTED_VALUE"""),981.0)</f>
        <v>981</v>
      </c>
      <c r="B945" s="20" t="str">
        <f>IFERROR(__xludf.DUMMYFUNCTION("""COMPUTED_VALUE"""),"Delete Columns to Make Sorted")</f>
        <v>Delete Columns to Make Sorted</v>
      </c>
      <c r="C945" s="20" t="str">
        <f>IFERROR(__xludf.DUMMYFUNCTION("""COMPUTED_VALUE"""),"delete-columns-to-make-sorted")</f>
        <v>delete-columns-to-make-sorted</v>
      </c>
      <c r="D945" s="20" t="b">
        <f>IFERROR(__xludf.DUMMYFUNCTION("""COMPUTED_VALUE"""),FALSE)</f>
        <v>0</v>
      </c>
      <c r="E945" s="20" t="str">
        <f>IFERROR(__xludf.DUMMYFUNCTION("""COMPUTED_VALUE"""),"Easy")</f>
        <v>Easy</v>
      </c>
      <c r="F945" s="20">
        <f>IFERROR(__xludf.DUMMYFUNCTION("""COMPUTED_VALUE"""),443.0)</f>
        <v>443</v>
      </c>
      <c r="G945" s="20">
        <f>IFERROR(__xludf.DUMMYFUNCTION("""COMPUTED_VALUE"""),2109.0)</f>
        <v>2109</v>
      </c>
      <c r="H945" s="20" t="str">
        <f>IFERROR(__xludf.DUMMYFUNCTION("""COMPUTED_VALUE"""),"Algorithms")</f>
        <v>Algorithms</v>
      </c>
      <c r="I945" s="20">
        <f>IFERROR(__xludf.DUMMYFUNCTION("""COMPUTED_VALUE"""),0.696)</f>
        <v>0.696</v>
      </c>
      <c r="J945" s="20">
        <f>IFERROR(__xludf.DUMMYFUNCTION("""COMPUTED_VALUE"""),944.0)</f>
        <v>944</v>
      </c>
      <c r="K945" s="20" t="b">
        <f>IFERROR(__xludf.DUMMYFUNCTION("""COMPUTED_VALUE"""),FALSE)</f>
        <v>0</v>
      </c>
      <c r="L945" s="20" t="str">
        <f>IFERROR(__xludf.DUMMYFUNCTION("""COMPUTED_VALUE"""),"Array;String;")</f>
        <v>Array;String;</v>
      </c>
      <c r="M945" s="20" t="b">
        <f>IFERROR(__xludf.DUMMYFUNCTION("""COMPUTED_VALUE"""),TRUE)</f>
        <v>1</v>
      </c>
      <c r="N945" s="20" t="b">
        <f>IFERROR(__xludf.DUMMYFUNCTION("""COMPUTED_VALUE"""),FALSE)</f>
        <v>0</v>
      </c>
      <c r="O945" s="20">
        <f>IFERROR(__xludf.DUMMYFUNCTION("""COMPUTED_VALUE"""),69.6190823219441)</f>
        <v>69.61908232</v>
      </c>
      <c r="P945" s="20">
        <f>IFERROR(__xludf.DUMMYFUNCTION("""COMPUTED_VALUE"""),74513.0)</f>
        <v>74513</v>
      </c>
      <c r="Q945" s="20">
        <f>IFERROR(__xludf.DUMMYFUNCTION("""COMPUTED_VALUE"""),107030.0)</f>
        <v>107030</v>
      </c>
    </row>
    <row r="946">
      <c r="A946" s="20">
        <f>IFERROR(__xludf.DUMMYFUNCTION("""COMPUTED_VALUE"""),982.0)</f>
        <v>982</v>
      </c>
      <c r="B946" s="20" t="str">
        <f>IFERROR(__xludf.DUMMYFUNCTION("""COMPUTED_VALUE"""),"Minimum Increment to Make Array Unique")</f>
        <v>Minimum Increment to Make Array Unique</v>
      </c>
      <c r="C946" s="20" t="str">
        <f>IFERROR(__xludf.DUMMYFUNCTION("""COMPUTED_VALUE"""),"minimum-increment-to-make-array-unique")</f>
        <v>minimum-increment-to-make-array-unique</v>
      </c>
      <c r="D946" s="20" t="b">
        <f>IFERROR(__xludf.DUMMYFUNCTION("""COMPUTED_VALUE"""),FALSE)</f>
        <v>0</v>
      </c>
      <c r="E946" s="20" t="str">
        <f>IFERROR(__xludf.DUMMYFUNCTION("""COMPUTED_VALUE"""),"Medium")</f>
        <v>Medium</v>
      </c>
      <c r="F946" s="20">
        <f>IFERROR(__xludf.DUMMYFUNCTION("""COMPUTED_VALUE"""),1337.0)</f>
        <v>1337</v>
      </c>
      <c r="G946" s="20">
        <f>IFERROR(__xludf.DUMMYFUNCTION("""COMPUTED_VALUE"""),48.0)</f>
        <v>48</v>
      </c>
      <c r="H946" s="20" t="str">
        <f>IFERROR(__xludf.DUMMYFUNCTION("""COMPUTED_VALUE"""),"Algorithms")</f>
        <v>Algorithms</v>
      </c>
      <c r="I946" s="20">
        <f>IFERROR(__xludf.DUMMYFUNCTION("""COMPUTED_VALUE"""),0.506)</f>
        <v>0.506</v>
      </c>
      <c r="J946" s="20">
        <f>IFERROR(__xludf.DUMMYFUNCTION("""COMPUTED_VALUE"""),945.0)</f>
        <v>945</v>
      </c>
      <c r="K946" s="20" t="b">
        <f>IFERROR(__xludf.DUMMYFUNCTION("""COMPUTED_VALUE"""),FALSE)</f>
        <v>0</v>
      </c>
      <c r="L946" s="20" t="str">
        <f>IFERROR(__xludf.DUMMYFUNCTION("""COMPUTED_VALUE"""),"Array;Greedy;Sorting;Counting;")</f>
        <v>Array;Greedy;Sorting;Counting;</v>
      </c>
      <c r="M946" s="20" t="b">
        <f>IFERROR(__xludf.DUMMYFUNCTION("""COMPUTED_VALUE"""),TRUE)</f>
        <v>1</v>
      </c>
      <c r="N946" s="20" t="b">
        <f>IFERROR(__xludf.DUMMYFUNCTION("""COMPUTED_VALUE"""),FALSE)</f>
        <v>0</v>
      </c>
      <c r="O946" s="20">
        <f>IFERROR(__xludf.DUMMYFUNCTION("""COMPUTED_VALUE"""),50.5985105767327)</f>
        <v>50.59851058</v>
      </c>
      <c r="P946" s="20">
        <f>IFERROR(__xludf.DUMMYFUNCTION("""COMPUTED_VALUE"""),66447.0)</f>
        <v>66447</v>
      </c>
      <c r="Q946" s="20">
        <f>IFERROR(__xludf.DUMMYFUNCTION("""COMPUTED_VALUE"""),131324.0)</f>
        <v>131324</v>
      </c>
    </row>
    <row r="947">
      <c r="A947" s="20">
        <f>IFERROR(__xludf.DUMMYFUNCTION("""COMPUTED_VALUE"""),983.0)</f>
        <v>983</v>
      </c>
      <c r="B947" s="20" t="str">
        <f>IFERROR(__xludf.DUMMYFUNCTION("""COMPUTED_VALUE"""),"Validate Stack Sequences")</f>
        <v>Validate Stack Sequences</v>
      </c>
      <c r="C947" s="20" t="str">
        <f>IFERROR(__xludf.DUMMYFUNCTION("""COMPUTED_VALUE"""),"validate-stack-sequences")</f>
        <v>validate-stack-sequences</v>
      </c>
      <c r="D947" s="20" t="b">
        <f>IFERROR(__xludf.DUMMYFUNCTION("""COMPUTED_VALUE"""),FALSE)</f>
        <v>0</v>
      </c>
      <c r="E947" s="20" t="str">
        <f>IFERROR(__xludf.DUMMYFUNCTION("""COMPUTED_VALUE"""),"Medium")</f>
        <v>Medium</v>
      </c>
      <c r="F947" s="20">
        <f>IFERROR(__xludf.DUMMYFUNCTION("""COMPUTED_VALUE"""),3898.0)</f>
        <v>3898</v>
      </c>
      <c r="G947" s="20">
        <f>IFERROR(__xludf.DUMMYFUNCTION("""COMPUTED_VALUE"""),68.0)</f>
        <v>68</v>
      </c>
      <c r="H947" s="20" t="str">
        <f>IFERROR(__xludf.DUMMYFUNCTION("""COMPUTED_VALUE"""),"Algorithms")</f>
        <v>Algorithms</v>
      </c>
      <c r="I947" s="20">
        <f>IFERROR(__xludf.DUMMYFUNCTION("""COMPUTED_VALUE"""),0.676)</f>
        <v>0.676</v>
      </c>
      <c r="J947" s="20">
        <f>IFERROR(__xludf.DUMMYFUNCTION("""COMPUTED_VALUE"""),946.0)</f>
        <v>946</v>
      </c>
      <c r="K947" s="20" t="b">
        <f>IFERROR(__xludf.DUMMYFUNCTION("""COMPUTED_VALUE"""),FALSE)</f>
        <v>0</v>
      </c>
      <c r="L947" s="20" t="str">
        <f>IFERROR(__xludf.DUMMYFUNCTION("""COMPUTED_VALUE"""),"Array;Stack;Simulation;")</f>
        <v>Array;Stack;Simulation;</v>
      </c>
      <c r="M947" s="20" t="b">
        <f>IFERROR(__xludf.DUMMYFUNCTION("""COMPUTED_VALUE"""),TRUE)</f>
        <v>1</v>
      </c>
      <c r="N947" s="20" t="b">
        <f>IFERROR(__xludf.DUMMYFUNCTION("""COMPUTED_VALUE"""),FALSE)</f>
        <v>0</v>
      </c>
      <c r="O947" s="20">
        <f>IFERROR(__xludf.DUMMYFUNCTION("""COMPUTED_VALUE"""),67.6330515537564)</f>
        <v>67.63305155</v>
      </c>
      <c r="P947" s="20">
        <f>IFERROR(__xludf.DUMMYFUNCTION("""COMPUTED_VALUE"""),193137.0)</f>
        <v>193137</v>
      </c>
      <c r="Q947" s="20">
        <f>IFERROR(__xludf.DUMMYFUNCTION("""COMPUTED_VALUE"""),285566.0)</f>
        <v>285566</v>
      </c>
    </row>
    <row r="948">
      <c r="A948" s="20">
        <f>IFERROR(__xludf.DUMMYFUNCTION("""COMPUTED_VALUE"""),984.0)</f>
        <v>984</v>
      </c>
      <c r="B948" s="20" t="str">
        <f>IFERROR(__xludf.DUMMYFUNCTION("""COMPUTED_VALUE"""),"Most Stones Removed with Same Row or Column")</f>
        <v>Most Stones Removed with Same Row or Column</v>
      </c>
      <c r="C948" s="20" t="str">
        <f>IFERROR(__xludf.DUMMYFUNCTION("""COMPUTED_VALUE"""),"most-stones-removed-with-same-row-or-column")</f>
        <v>most-stones-removed-with-same-row-or-column</v>
      </c>
      <c r="D948" s="20" t="b">
        <f>IFERROR(__xludf.DUMMYFUNCTION("""COMPUTED_VALUE"""),FALSE)</f>
        <v>0</v>
      </c>
      <c r="E948" s="20" t="str">
        <f>IFERROR(__xludf.DUMMYFUNCTION("""COMPUTED_VALUE"""),"Medium")</f>
        <v>Medium</v>
      </c>
      <c r="F948" s="20">
        <f>IFERROR(__xludf.DUMMYFUNCTION("""COMPUTED_VALUE"""),4362.0)</f>
        <v>4362</v>
      </c>
      <c r="G948" s="20">
        <f>IFERROR(__xludf.DUMMYFUNCTION("""COMPUTED_VALUE"""),596.0)</f>
        <v>596</v>
      </c>
      <c r="H948" s="20" t="str">
        <f>IFERROR(__xludf.DUMMYFUNCTION("""COMPUTED_VALUE"""),"Algorithms")</f>
        <v>Algorithms</v>
      </c>
      <c r="I948" s="20">
        <f>IFERROR(__xludf.DUMMYFUNCTION("""COMPUTED_VALUE"""),0.588)</f>
        <v>0.588</v>
      </c>
      <c r="J948" s="20">
        <f>IFERROR(__xludf.DUMMYFUNCTION("""COMPUTED_VALUE"""),947.0)</f>
        <v>947</v>
      </c>
      <c r="K948" s="20" t="b">
        <f>IFERROR(__xludf.DUMMYFUNCTION("""COMPUTED_VALUE"""),FALSE)</f>
        <v>0</v>
      </c>
      <c r="L948" s="20" t="str">
        <f>IFERROR(__xludf.DUMMYFUNCTION("""COMPUTED_VALUE"""),"Depth-First Search;Union Find;Graph;")</f>
        <v>Depth-First Search;Union Find;Graph;</v>
      </c>
      <c r="M948" s="20" t="b">
        <f>IFERROR(__xludf.DUMMYFUNCTION("""COMPUTED_VALUE"""),TRUE)</f>
        <v>1</v>
      </c>
      <c r="N948" s="20" t="b">
        <f>IFERROR(__xludf.DUMMYFUNCTION("""COMPUTED_VALUE"""),FALSE)</f>
        <v>0</v>
      </c>
      <c r="O948" s="20">
        <f>IFERROR(__xludf.DUMMYFUNCTION("""COMPUTED_VALUE"""),58.8405290990207)</f>
        <v>58.8405291</v>
      </c>
      <c r="P948" s="20">
        <f>IFERROR(__xludf.DUMMYFUNCTION("""COMPUTED_VALUE"""),165122.0)</f>
        <v>165122</v>
      </c>
      <c r="Q948" s="20">
        <f>IFERROR(__xludf.DUMMYFUNCTION("""COMPUTED_VALUE"""),280626.0)</f>
        <v>280626</v>
      </c>
    </row>
    <row r="949">
      <c r="A949" s="20">
        <f>IFERROR(__xludf.DUMMYFUNCTION("""COMPUTED_VALUE"""),985.0)</f>
        <v>985</v>
      </c>
      <c r="B949" s="20" t="str">
        <f>IFERROR(__xludf.DUMMYFUNCTION("""COMPUTED_VALUE"""),"Bag of Tokens")</f>
        <v>Bag of Tokens</v>
      </c>
      <c r="C949" s="20" t="str">
        <f>IFERROR(__xludf.DUMMYFUNCTION("""COMPUTED_VALUE"""),"bag-of-tokens")</f>
        <v>bag-of-tokens</v>
      </c>
      <c r="D949" s="20" t="b">
        <f>IFERROR(__xludf.DUMMYFUNCTION("""COMPUTED_VALUE"""),FALSE)</f>
        <v>0</v>
      </c>
      <c r="E949" s="20" t="str">
        <f>IFERROR(__xludf.DUMMYFUNCTION("""COMPUTED_VALUE"""),"Medium")</f>
        <v>Medium</v>
      </c>
      <c r="F949" s="20">
        <f>IFERROR(__xludf.DUMMYFUNCTION("""COMPUTED_VALUE"""),2115.0)</f>
        <v>2115</v>
      </c>
      <c r="G949" s="20">
        <f>IFERROR(__xludf.DUMMYFUNCTION("""COMPUTED_VALUE"""),412.0)</f>
        <v>412</v>
      </c>
      <c r="H949" s="20" t="str">
        <f>IFERROR(__xludf.DUMMYFUNCTION("""COMPUTED_VALUE"""),"Algorithms")</f>
        <v>Algorithms</v>
      </c>
      <c r="I949" s="20">
        <f>IFERROR(__xludf.DUMMYFUNCTION("""COMPUTED_VALUE"""),0.521)</f>
        <v>0.521</v>
      </c>
      <c r="J949" s="20">
        <f>IFERROR(__xludf.DUMMYFUNCTION("""COMPUTED_VALUE"""),948.0)</f>
        <v>948</v>
      </c>
      <c r="K949" s="20" t="b">
        <f>IFERROR(__xludf.DUMMYFUNCTION("""COMPUTED_VALUE"""),FALSE)</f>
        <v>0</v>
      </c>
      <c r="L949" s="20" t="str">
        <f>IFERROR(__xludf.DUMMYFUNCTION("""COMPUTED_VALUE"""),"Array;Two Pointers;Greedy;Sorting;")</f>
        <v>Array;Two Pointers;Greedy;Sorting;</v>
      </c>
      <c r="M949" s="20" t="b">
        <f>IFERROR(__xludf.DUMMYFUNCTION("""COMPUTED_VALUE"""),TRUE)</f>
        <v>1</v>
      </c>
      <c r="N949" s="20" t="b">
        <f>IFERROR(__xludf.DUMMYFUNCTION("""COMPUTED_VALUE"""),FALSE)</f>
        <v>0</v>
      </c>
      <c r="O949" s="20">
        <f>IFERROR(__xludf.DUMMYFUNCTION("""COMPUTED_VALUE"""),52.0789739949462)</f>
        <v>52.07897399</v>
      </c>
      <c r="P949" s="20">
        <f>IFERROR(__xludf.DUMMYFUNCTION("""COMPUTED_VALUE"""),98310.0)</f>
        <v>98310</v>
      </c>
      <c r="Q949" s="20">
        <f>IFERROR(__xludf.DUMMYFUNCTION("""COMPUTED_VALUE"""),188771.0)</f>
        <v>188771</v>
      </c>
    </row>
    <row r="950">
      <c r="A950" s="20">
        <f>IFERROR(__xludf.DUMMYFUNCTION("""COMPUTED_VALUE"""),986.0)</f>
        <v>986</v>
      </c>
      <c r="B950" s="20" t="str">
        <f>IFERROR(__xludf.DUMMYFUNCTION("""COMPUTED_VALUE"""),"Largest Time for Given Digits")</f>
        <v>Largest Time for Given Digits</v>
      </c>
      <c r="C950" s="20" t="str">
        <f>IFERROR(__xludf.DUMMYFUNCTION("""COMPUTED_VALUE"""),"largest-time-for-given-digits")</f>
        <v>largest-time-for-given-digits</v>
      </c>
      <c r="D950" s="20" t="b">
        <f>IFERROR(__xludf.DUMMYFUNCTION("""COMPUTED_VALUE"""),FALSE)</f>
        <v>0</v>
      </c>
      <c r="E950" s="20" t="str">
        <f>IFERROR(__xludf.DUMMYFUNCTION("""COMPUTED_VALUE"""),"Medium")</f>
        <v>Medium</v>
      </c>
      <c r="F950" s="20">
        <f>IFERROR(__xludf.DUMMYFUNCTION("""COMPUTED_VALUE"""),619.0)</f>
        <v>619</v>
      </c>
      <c r="G950" s="20">
        <f>IFERROR(__xludf.DUMMYFUNCTION("""COMPUTED_VALUE"""),965.0)</f>
        <v>965</v>
      </c>
      <c r="H950" s="20" t="str">
        <f>IFERROR(__xludf.DUMMYFUNCTION("""COMPUTED_VALUE"""),"Algorithms")</f>
        <v>Algorithms</v>
      </c>
      <c r="I950" s="20">
        <f>IFERROR(__xludf.DUMMYFUNCTION("""COMPUTED_VALUE"""),0.352)</f>
        <v>0.352</v>
      </c>
      <c r="J950" s="20">
        <f>IFERROR(__xludf.DUMMYFUNCTION("""COMPUTED_VALUE"""),949.0)</f>
        <v>949</v>
      </c>
      <c r="K950" s="20" t="b">
        <f>IFERROR(__xludf.DUMMYFUNCTION("""COMPUTED_VALUE"""),FALSE)</f>
        <v>0</v>
      </c>
      <c r="L950" s="20" t="str">
        <f>IFERROR(__xludf.DUMMYFUNCTION("""COMPUTED_VALUE"""),"String;Enumeration;")</f>
        <v>String;Enumeration;</v>
      </c>
      <c r="M950" s="20" t="b">
        <f>IFERROR(__xludf.DUMMYFUNCTION("""COMPUTED_VALUE"""),TRUE)</f>
        <v>1</v>
      </c>
      <c r="N950" s="20" t="b">
        <f>IFERROR(__xludf.DUMMYFUNCTION("""COMPUTED_VALUE"""),FALSE)</f>
        <v>0</v>
      </c>
      <c r="O950" s="20">
        <f>IFERROR(__xludf.DUMMYFUNCTION("""COMPUTED_VALUE"""),35.1839418743677)</f>
        <v>35.18394187</v>
      </c>
      <c r="P950" s="20">
        <f>IFERROR(__xludf.DUMMYFUNCTION("""COMPUTED_VALUE"""),76511.0)</f>
        <v>76511</v>
      </c>
      <c r="Q950" s="20">
        <f>IFERROR(__xludf.DUMMYFUNCTION("""COMPUTED_VALUE"""),217460.0)</f>
        <v>217460</v>
      </c>
    </row>
    <row r="951">
      <c r="A951" s="20">
        <f>IFERROR(__xludf.DUMMYFUNCTION("""COMPUTED_VALUE"""),987.0)</f>
        <v>987</v>
      </c>
      <c r="B951" s="20" t="str">
        <f>IFERROR(__xludf.DUMMYFUNCTION("""COMPUTED_VALUE"""),"Reveal Cards In Increasing Order")</f>
        <v>Reveal Cards In Increasing Order</v>
      </c>
      <c r="C951" s="20" t="str">
        <f>IFERROR(__xludf.DUMMYFUNCTION("""COMPUTED_VALUE"""),"reveal-cards-in-increasing-order")</f>
        <v>reveal-cards-in-increasing-order</v>
      </c>
      <c r="D951" s="20" t="b">
        <f>IFERROR(__xludf.DUMMYFUNCTION("""COMPUTED_VALUE"""),FALSE)</f>
        <v>0</v>
      </c>
      <c r="E951" s="20" t="str">
        <f>IFERROR(__xludf.DUMMYFUNCTION("""COMPUTED_VALUE"""),"Medium")</f>
        <v>Medium</v>
      </c>
      <c r="F951" s="20">
        <f>IFERROR(__xludf.DUMMYFUNCTION("""COMPUTED_VALUE"""),2143.0)</f>
        <v>2143</v>
      </c>
      <c r="G951" s="20">
        <f>IFERROR(__xludf.DUMMYFUNCTION("""COMPUTED_VALUE"""),307.0)</f>
        <v>307</v>
      </c>
      <c r="H951" s="20" t="str">
        <f>IFERROR(__xludf.DUMMYFUNCTION("""COMPUTED_VALUE"""),"Algorithms")</f>
        <v>Algorithms</v>
      </c>
      <c r="I951" s="20">
        <f>IFERROR(__xludf.DUMMYFUNCTION("""COMPUTED_VALUE"""),0.778)</f>
        <v>0.778</v>
      </c>
      <c r="J951" s="20">
        <f>IFERROR(__xludf.DUMMYFUNCTION("""COMPUTED_VALUE"""),950.0)</f>
        <v>950</v>
      </c>
      <c r="K951" s="20" t="b">
        <f>IFERROR(__xludf.DUMMYFUNCTION("""COMPUTED_VALUE"""),FALSE)</f>
        <v>0</v>
      </c>
      <c r="L951" s="20" t="str">
        <f>IFERROR(__xludf.DUMMYFUNCTION("""COMPUTED_VALUE"""),"Array;Queue;Sorting;Simulation;")</f>
        <v>Array;Queue;Sorting;Simulation;</v>
      </c>
      <c r="M951" s="20" t="b">
        <f>IFERROR(__xludf.DUMMYFUNCTION("""COMPUTED_VALUE"""),TRUE)</f>
        <v>1</v>
      </c>
      <c r="N951" s="20" t="b">
        <f>IFERROR(__xludf.DUMMYFUNCTION("""COMPUTED_VALUE"""),FALSE)</f>
        <v>0</v>
      </c>
      <c r="O951" s="20">
        <f>IFERROR(__xludf.DUMMYFUNCTION("""COMPUTED_VALUE"""),77.7866812359618)</f>
        <v>77.78668124</v>
      </c>
      <c r="P951" s="20">
        <f>IFERROR(__xludf.DUMMYFUNCTION("""COMPUTED_VALUE"""),64069.0)</f>
        <v>64069</v>
      </c>
      <c r="Q951" s="20">
        <f>IFERROR(__xludf.DUMMYFUNCTION("""COMPUTED_VALUE"""),82365.0)</f>
        <v>82365</v>
      </c>
    </row>
    <row r="952">
      <c r="A952" s="20">
        <f>IFERROR(__xludf.DUMMYFUNCTION("""COMPUTED_VALUE"""),988.0)</f>
        <v>988</v>
      </c>
      <c r="B952" s="20" t="str">
        <f>IFERROR(__xludf.DUMMYFUNCTION("""COMPUTED_VALUE"""),"Flip Equivalent Binary Trees")</f>
        <v>Flip Equivalent Binary Trees</v>
      </c>
      <c r="C952" s="20" t="str">
        <f>IFERROR(__xludf.DUMMYFUNCTION("""COMPUTED_VALUE"""),"flip-equivalent-binary-trees")</f>
        <v>flip-equivalent-binary-trees</v>
      </c>
      <c r="D952" s="20" t="b">
        <f>IFERROR(__xludf.DUMMYFUNCTION("""COMPUTED_VALUE"""),FALSE)</f>
        <v>0</v>
      </c>
      <c r="E952" s="20" t="str">
        <f>IFERROR(__xludf.DUMMYFUNCTION("""COMPUTED_VALUE"""),"Medium")</f>
        <v>Medium</v>
      </c>
      <c r="F952" s="20">
        <f>IFERROR(__xludf.DUMMYFUNCTION("""COMPUTED_VALUE"""),1937.0)</f>
        <v>1937</v>
      </c>
      <c r="G952" s="20">
        <f>IFERROR(__xludf.DUMMYFUNCTION("""COMPUTED_VALUE"""),87.0)</f>
        <v>87</v>
      </c>
      <c r="H952" s="20" t="str">
        <f>IFERROR(__xludf.DUMMYFUNCTION("""COMPUTED_VALUE"""),"Algorithms")</f>
        <v>Algorithms</v>
      </c>
      <c r="I952" s="20">
        <f>IFERROR(__xludf.DUMMYFUNCTION("""COMPUTED_VALUE"""),0.668)</f>
        <v>0.668</v>
      </c>
      <c r="J952" s="20">
        <f>IFERROR(__xludf.DUMMYFUNCTION("""COMPUTED_VALUE"""),951.0)</f>
        <v>951</v>
      </c>
      <c r="K952" s="20" t="b">
        <f>IFERROR(__xludf.DUMMYFUNCTION("""COMPUTED_VALUE"""),FALSE)</f>
        <v>0</v>
      </c>
      <c r="L952" s="20" t="str">
        <f>IFERROR(__xludf.DUMMYFUNCTION("""COMPUTED_VALUE"""),"Tree;Depth-First Search;Binary Tree;")</f>
        <v>Tree;Depth-First Search;Binary Tree;</v>
      </c>
      <c r="M952" s="20" t="b">
        <f>IFERROR(__xludf.DUMMYFUNCTION("""COMPUTED_VALUE"""),TRUE)</f>
        <v>1</v>
      </c>
      <c r="N952" s="20" t="b">
        <f>IFERROR(__xludf.DUMMYFUNCTION("""COMPUTED_VALUE"""),FALSE)</f>
        <v>0</v>
      </c>
      <c r="O952" s="20">
        <f>IFERROR(__xludf.DUMMYFUNCTION("""COMPUTED_VALUE"""),66.8272569210811)</f>
        <v>66.82725692</v>
      </c>
      <c r="P952" s="20">
        <f>IFERROR(__xludf.DUMMYFUNCTION("""COMPUTED_VALUE"""),124147.0)</f>
        <v>124147</v>
      </c>
      <c r="Q952" s="20">
        <f>IFERROR(__xludf.DUMMYFUNCTION("""COMPUTED_VALUE"""),185773.0)</f>
        <v>185773</v>
      </c>
    </row>
    <row r="953">
      <c r="A953" s="20">
        <f>IFERROR(__xludf.DUMMYFUNCTION("""COMPUTED_VALUE"""),989.0)</f>
        <v>989</v>
      </c>
      <c r="B953" s="20" t="str">
        <f>IFERROR(__xludf.DUMMYFUNCTION("""COMPUTED_VALUE"""),"Largest Component Size by Common Factor")</f>
        <v>Largest Component Size by Common Factor</v>
      </c>
      <c r="C953" s="20" t="str">
        <f>IFERROR(__xludf.DUMMYFUNCTION("""COMPUTED_VALUE"""),"largest-component-size-by-common-factor")</f>
        <v>largest-component-size-by-common-factor</v>
      </c>
      <c r="D953" s="20" t="b">
        <f>IFERROR(__xludf.DUMMYFUNCTION("""COMPUTED_VALUE"""),FALSE)</f>
        <v>0</v>
      </c>
      <c r="E953" s="20" t="str">
        <f>IFERROR(__xludf.DUMMYFUNCTION("""COMPUTED_VALUE"""),"Hard")</f>
        <v>Hard</v>
      </c>
      <c r="F953" s="20">
        <f>IFERROR(__xludf.DUMMYFUNCTION("""COMPUTED_VALUE"""),1413.0)</f>
        <v>1413</v>
      </c>
      <c r="G953" s="20">
        <f>IFERROR(__xludf.DUMMYFUNCTION("""COMPUTED_VALUE"""),87.0)</f>
        <v>87</v>
      </c>
      <c r="H953" s="20" t="str">
        <f>IFERROR(__xludf.DUMMYFUNCTION("""COMPUTED_VALUE"""),"Algorithms")</f>
        <v>Algorithms</v>
      </c>
      <c r="I953" s="20">
        <f>IFERROR(__xludf.DUMMYFUNCTION("""COMPUTED_VALUE"""),0.403)</f>
        <v>0.403</v>
      </c>
      <c r="J953" s="20">
        <f>IFERROR(__xludf.DUMMYFUNCTION("""COMPUTED_VALUE"""),952.0)</f>
        <v>952</v>
      </c>
      <c r="K953" s="20" t="b">
        <f>IFERROR(__xludf.DUMMYFUNCTION("""COMPUTED_VALUE"""),FALSE)</f>
        <v>0</v>
      </c>
      <c r="L953" s="20" t="str">
        <f>IFERROR(__xludf.DUMMYFUNCTION("""COMPUTED_VALUE"""),"Array;Math;Union Find;")</f>
        <v>Array;Math;Union Find;</v>
      </c>
      <c r="M953" s="20" t="b">
        <f>IFERROR(__xludf.DUMMYFUNCTION("""COMPUTED_VALUE"""),TRUE)</f>
        <v>1</v>
      </c>
      <c r="N953" s="20" t="b">
        <f>IFERROR(__xludf.DUMMYFUNCTION("""COMPUTED_VALUE"""),FALSE)</f>
        <v>0</v>
      </c>
      <c r="O953" s="20">
        <f>IFERROR(__xludf.DUMMYFUNCTION("""COMPUTED_VALUE"""),40.2899850270274)</f>
        <v>40.28998503</v>
      </c>
      <c r="P953" s="20">
        <f>IFERROR(__xludf.DUMMYFUNCTION("""COMPUTED_VALUE"""),47628.0)</f>
        <v>47628</v>
      </c>
      <c r="Q953" s="20">
        <f>IFERROR(__xludf.DUMMYFUNCTION("""COMPUTED_VALUE"""),118213.0)</f>
        <v>118213</v>
      </c>
    </row>
    <row r="954">
      <c r="A954" s="20">
        <f>IFERROR(__xludf.DUMMYFUNCTION("""COMPUTED_VALUE"""),990.0)</f>
        <v>990</v>
      </c>
      <c r="B954" s="20" t="str">
        <f>IFERROR(__xludf.DUMMYFUNCTION("""COMPUTED_VALUE"""),"Verifying an Alien Dictionary")</f>
        <v>Verifying an Alien Dictionary</v>
      </c>
      <c r="C954" s="20" t="str">
        <f>IFERROR(__xludf.DUMMYFUNCTION("""COMPUTED_VALUE"""),"verifying-an-alien-dictionary")</f>
        <v>verifying-an-alien-dictionary</v>
      </c>
      <c r="D954" s="20" t="b">
        <f>IFERROR(__xludf.DUMMYFUNCTION("""COMPUTED_VALUE"""),FALSE)</f>
        <v>0</v>
      </c>
      <c r="E954" s="20" t="str">
        <f>IFERROR(__xludf.DUMMYFUNCTION("""COMPUTED_VALUE"""),"Easy")</f>
        <v>Easy</v>
      </c>
      <c r="F954" s="20">
        <f>IFERROR(__xludf.DUMMYFUNCTION("""COMPUTED_VALUE"""),3243.0)</f>
        <v>3243</v>
      </c>
      <c r="G954" s="20">
        <f>IFERROR(__xludf.DUMMYFUNCTION("""COMPUTED_VALUE"""),1044.0)</f>
        <v>1044</v>
      </c>
      <c r="H954" s="20" t="str">
        <f>IFERROR(__xludf.DUMMYFUNCTION("""COMPUTED_VALUE"""),"Algorithms")</f>
        <v>Algorithms</v>
      </c>
      <c r="I954" s="20">
        <f>IFERROR(__xludf.DUMMYFUNCTION("""COMPUTED_VALUE"""),0.527)</f>
        <v>0.527</v>
      </c>
      <c r="J954" s="20">
        <f>IFERROR(__xludf.DUMMYFUNCTION("""COMPUTED_VALUE"""),953.0)</f>
        <v>953</v>
      </c>
      <c r="K954" s="20" t="b">
        <f>IFERROR(__xludf.DUMMYFUNCTION("""COMPUTED_VALUE"""),FALSE)</f>
        <v>0</v>
      </c>
      <c r="L954" s="20" t="str">
        <f>IFERROR(__xludf.DUMMYFUNCTION("""COMPUTED_VALUE"""),"Array;Hash Table;String;")</f>
        <v>Array;Hash Table;String;</v>
      </c>
      <c r="M954" s="20" t="b">
        <f>IFERROR(__xludf.DUMMYFUNCTION("""COMPUTED_VALUE"""),TRUE)</f>
        <v>1</v>
      </c>
      <c r="N954" s="20" t="b">
        <f>IFERROR(__xludf.DUMMYFUNCTION("""COMPUTED_VALUE"""),FALSE)</f>
        <v>0</v>
      </c>
      <c r="O954" s="20">
        <f>IFERROR(__xludf.DUMMYFUNCTION("""COMPUTED_VALUE"""),52.7356638654528)</f>
        <v>52.73566387</v>
      </c>
      <c r="P954" s="20">
        <f>IFERROR(__xludf.DUMMYFUNCTION("""COMPUTED_VALUE"""),379592.0)</f>
        <v>379592</v>
      </c>
      <c r="Q954" s="20">
        <f>IFERROR(__xludf.DUMMYFUNCTION("""COMPUTED_VALUE"""),719804.0)</f>
        <v>719804</v>
      </c>
    </row>
    <row r="955">
      <c r="A955" s="20">
        <f>IFERROR(__xludf.DUMMYFUNCTION("""COMPUTED_VALUE"""),991.0)</f>
        <v>991</v>
      </c>
      <c r="B955" s="20" t="str">
        <f>IFERROR(__xludf.DUMMYFUNCTION("""COMPUTED_VALUE"""),"Array of Doubled Pairs")</f>
        <v>Array of Doubled Pairs</v>
      </c>
      <c r="C955" s="20" t="str">
        <f>IFERROR(__xludf.DUMMYFUNCTION("""COMPUTED_VALUE"""),"array-of-doubled-pairs")</f>
        <v>array-of-doubled-pairs</v>
      </c>
      <c r="D955" s="20" t="b">
        <f>IFERROR(__xludf.DUMMYFUNCTION("""COMPUTED_VALUE"""),FALSE)</f>
        <v>0</v>
      </c>
      <c r="E955" s="20" t="str">
        <f>IFERROR(__xludf.DUMMYFUNCTION("""COMPUTED_VALUE"""),"Medium")</f>
        <v>Medium</v>
      </c>
      <c r="F955" s="20">
        <f>IFERROR(__xludf.DUMMYFUNCTION("""COMPUTED_VALUE"""),1312.0)</f>
        <v>1312</v>
      </c>
      <c r="G955" s="20">
        <f>IFERROR(__xludf.DUMMYFUNCTION("""COMPUTED_VALUE"""),132.0)</f>
        <v>132</v>
      </c>
      <c r="H955" s="20" t="str">
        <f>IFERROR(__xludf.DUMMYFUNCTION("""COMPUTED_VALUE"""),"Algorithms")</f>
        <v>Algorithms</v>
      </c>
      <c r="I955" s="20">
        <f>IFERROR(__xludf.DUMMYFUNCTION("""COMPUTED_VALUE"""),0.391)</f>
        <v>0.391</v>
      </c>
      <c r="J955" s="20">
        <f>IFERROR(__xludf.DUMMYFUNCTION("""COMPUTED_VALUE"""),954.0)</f>
        <v>954</v>
      </c>
      <c r="K955" s="20" t="b">
        <f>IFERROR(__xludf.DUMMYFUNCTION("""COMPUTED_VALUE"""),FALSE)</f>
        <v>0</v>
      </c>
      <c r="L955" s="20" t="str">
        <f>IFERROR(__xludf.DUMMYFUNCTION("""COMPUTED_VALUE"""),"Array;Hash Table;Greedy;Sorting;")</f>
        <v>Array;Hash Table;Greedy;Sorting;</v>
      </c>
      <c r="M955" s="20" t="b">
        <f>IFERROR(__xludf.DUMMYFUNCTION("""COMPUTED_VALUE"""),TRUE)</f>
        <v>1</v>
      </c>
      <c r="N955" s="20" t="b">
        <f>IFERROR(__xludf.DUMMYFUNCTION("""COMPUTED_VALUE"""),FALSE)</f>
        <v>0</v>
      </c>
      <c r="O955" s="20">
        <f>IFERROR(__xludf.DUMMYFUNCTION("""COMPUTED_VALUE"""),39.0887326051174)</f>
        <v>39.08873261</v>
      </c>
      <c r="P955" s="20">
        <f>IFERROR(__xludf.DUMMYFUNCTION("""COMPUTED_VALUE"""),78369.0)</f>
        <v>78369</v>
      </c>
      <c r="Q955" s="20">
        <f>IFERROR(__xludf.DUMMYFUNCTION("""COMPUTED_VALUE"""),200490.0)</f>
        <v>200490</v>
      </c>
    </row>
    <row r="956">
      <c r="A956" s="20">
        <f>IFERROR(__xludf.DUMMYFUNCTION("""COMPUTED_VALUE"""),992.0)</f>
        <v>992</v>
      </c>
      <c r="B956" s="20" t="str">
        <f>IFERROR(__xludf.DUMMYFUNCTION("""COMPUTED_VALUE"""),"Delete Columns to Make Sorted II")</f>
        <v>Delete Columns to Make Sorted II</v>
      </c>
      <c r="C956" s="20" t="str">
        <f>IFERROR(__xludf.DUMMYFUNCTION("""COMPUTED_VALUE"""),"delete-columns-to-make-sorted-ii")</f>
        <v>delete-columns-to-make-sorted-ii</v>
      </c>
      <c r="D956" s="20" t="b">
        <f>IFERROR(__xludf.DUMMYFUNCTION("""COMPUTED_VALUE"""),FALSE)</f>
        <v>0</v>
      </c>
      <c r="E956" s="20" t="str">
        <f>IFERROR(__xludf.DUMMYFUNCTION("""COMPUTED_VALUE"""),"Medium")</f>
        <v>Medium</v>
      </c>
      <c r="F956" s="20">
        <f>IFERROR(__xludf.DUMMYFUNCTION("""COMPUTED_VALUE"""),545.0)</f>
        <v>545</v>
      </c>
      <c r="G956" s="20">
        <f>IFERROR(__xludf.DUMMYFUNCTION("""COMPUTED_VALUE"""),79.0)</f>
        <v>79</v>
      </c>
      <c r="H956" s="20" t="str">
        <f>IFERROR(__xludf.DUMMYFUNCTION("""COMPUTED_VALUE"""),"Algorithms")</f>
        <v>Algorithms</v>
      </c>
      <c r="I956" s="20">
        <f>IFERROR(__xludf.DUMMYFUNCTION("""COMPUTED_VALUE"""),0.346)</f>
        <v>0.346</v>
      </c>
      <c r="J956" s="20">
        <f>IFERROR(__xludf.DUMMYFUNCTION("""COMPUTED_VALUE"""),955.0)</f>
        <v>955</v>
      </c>
      <c r="K956" s="20" t="b">
        <f>IFERROR(__xludf.DUMMYFUNCTION("""COMPUTED_VALUE"""),FALSE)</f>
        <v>0</v>
      </c>
      <c r="L956" s="20" t="str">
        <f>IFERROR(__xludf.DUMMYFUNCTION("""COMPUTED_VALUE"""),"Array;String;Greedy;")</f>
        <v>Array;String;Greedy;</v>
      </c>
      <c r="M956" s="20" t="b">
        <f>IFERROR(__xludf.DUMMYFUNCTION("""COMPUTED_VALUE"""),FALSE)</f>
        <v>0</v>
      </c>
      <c r="N956" s="20" t="b">
        <f>IFERROR(__xludf.DUMMYFUNCTION("""COMPUTED_VALUE"""),FALSE)</f>
        <v>0</v>
      </c>
      <c r="O956" s="20">
        <f>IFERROR(__xludf.DUMMYFUNCTION("""COMPUTED_VALUE"""),34.6482803243221)</f>
        <v>34.64828032</v>
      </c>
      <c r="P956" s="20">
        <f>IFERROR(__xludf.DUMMYFUNCTION("""COMPUTED_VALUE"""),17136.0)</f>
        <v>17136</v>
      </c>
      <c r="Q956" s="20">
        <f>IFERROR(__xludf.DUMMYFUNCTION("""COMPUTED_VALUE"""),49457.0)</f>
        <v>49457</v>
      </c>
    </row>
    <row r="957">
      <c r="A957" s="20">
        <f>IFERROR(__xludf.DUMMYFUNCTION("""COMPUTED_VALUE"""),993.0)</f>
        <v>993</v>
      </c>
      <c r="B957" s="20" t="str">
        <f>IFERROR(__xludf.DUMMYFUNCTION("""COMPUTED_VALUE"""),"Tallest Billboard")</f>
        <v>Tallest Billboard</v>
      </c>
      <c r="C957" s="20" t="str">
        <f>IFERROR(__xludf.DUMMYFUNCTION("""COMPUTED_VALUE"""),"tallest-billboard")</f>
        <v>tallest-billboard</v>
      </c>
      <c r="D957" s="20" t="b">
        <f>IFERROR(__xludf.DUMMYFUNCTION("""COMPUTED_VALUE"""),FALSE)</f>
        <v>0</v>
      </c>
      <c r="E957" s="20" t="str">
        <f>IFERROR(__xludf.DUMMYFUNCTION("""COMPUTED_VALUE"""),"Hard")</f>
        <v>Hard</v>
      </c>
      <c r="F957" s="20">
        <f>IFERROR(__xludf.DUMMYFUNCTION("""COMPUTED_VALUE"""),811.0)</f>
        <v>811</v>
      </c>
      <c r="G957" s="20">
        <f>IFERROR(__xludf.DUMMYFUNCTION("""COMPUTED_VALUE"""),28.0)</f>
        <v>28</v>
      </c>
      <c r="H957" s="20" t="str">
        <f>IFERROR(__xludf.DUMMYFUNCTION("""COMPUTED_VALUE"""),"Algorithms")</f>
        <v>Algorithms</v>
      </c>
      <c r="I957" s="20">
        <f>IFERROR(__xludf.DUMMYFUNCTION("""COMPUTED_VALUE"""),0.4)</f>
        <v>0.4</v>
      </c>
      <c r="J957" s="20">
        <f>IFERROR(__xludf.DUMMYFUNCTION("""COMPUTED_VALUE"""),956.0)</f>
        <v>956</v>
      </c>
      <c r="K957" s="20" t="b">
        <f>IFERROR(__xludf.DUMMYFUNCTION("""COMPUTED_VALUE"""),FALSE)</f>
        <v>0</v>
      </c>
      <c r="L957" s="20" t="str">
        <f>IFERROR(__xludf.DUMMYFUNCTION("""COMPUTED_VALUE"""),"Array;Dynamic Programming;")</f>
        <v>Array;Dynamic Programming;</v>
      </c>
      <c r="M957" s="20" t="b">
        <f>IFERROR(__xludf.DUMMYFUNCTION("""COMPUTED_VALUE"""),FALSE)</f>
        <v>0</v>
      </c>
      <c r="N957" s="20" t="b">
        <f>IFERROR(__xludf.DUMMYFUNCTION("""COMPUTED_VALUE"""),FALSE)</f>
        <v>0</v>
      </c>
      <c r="O957" s="20">
        <f>IFERROR(__xludf.DUMMYFUNCTION("""COMPUTED_VALUE"""),39.9574892411042)</f>
        <v>39.95748924</v>
      </c>
      <c r="P957" s="20">
        <f>IFERROR(__xludf.DUMMYFUNCTION("""COMPUTED_VALUE"""),15227.0)</f>
        <v>15227</v>
      </c>
      <c r="Q957" s="20">
        <f>IFERROR(__xludf.DUMMYFUNCTION("""COMPUTED_VALUE"""),38108.0)</f>
        <v>38108</v>
      </c>
    </row>
    <row r="958">
      <c r="A958" s="20">
        <f>IFERROR(__xludf.DUMMYFUNCTION("""COMPUTED_VALUE"""),994.0)</f>
        <v>994</v>
      </c>
      <c r="B958" s="20" t="str">
        <f>IFERROR(__xludf.DUMMYFUNCTION("""COMPUTED_VALUE"""),"Prison Cells After N Days")</f>
        <v>Prison Cells After N Days</v>
      </c>
      <c r="C958" s="20" t="str">
        <f>IFERROR(__xludf.DUMMYFUNCTION("""COMPUTED_VALUE"""),"prison-cells-after-n-days")</f>
        <v>prison-cells-after-n-days</v>
      </c>
      <c r="D958" s="20" t="b">
        <f>IFERROR(__xludf.DUMMYFUNCTION("""COMPUTED_VALUE"""),FALSE)</f>
        <v>0</v>
      </c>
      <c r="E958" s="20" t="str">
        <f>IFERROR(__xludf.DUMMYFUNCTION("""COMPUTED_VALUE"""),"Medium")</f>
        <v>Medium</v>
      </c>
      <c r="F958" s="20">
        <f>IFERROR(__xludf.DUMMYFUNCTION("""COMPUTED_VALUE"""),1354.0)</f>
        <v>1354</v>
      </c>
      <c r="G958" s="20">
        <f>IFERROR(__xludf.DUMMYFUNCTION("""COMPUTED_VALUE"""),1638.0)</f>
        <v>1638</v>
      </c>
      <c r="H958" s="20" t="str">
        <f>IFERROR(__xludf.DUMMYFUNCTION("""COMPUTED_VALUE"""),"Algorithms")</f>
        <v>Algorithms</v>
      </c>
      <c r="I958" s="20">
        <f>IFERROR(__xludf.DUMMYFUNCTION("""COMPUTED_VALUE"""),0.391)</f>
        <v>0.391</v>
      </c>
      <c r="J958" s="20">
        <f>IFERROR(__xludf.DUMMYFUNCTION("""COMPUTED_VALUE"""),957.0)</f>
        <v>957</v>
      </c>
      <c r="K958" s="20" t="b">
        <f>IFERROR(__xludf.DUMMYFUNCTION("""COMPUTED_VALUE"""),FALSE)</f>
        <v>0</v>
      </c>
      <c r="L958" s="20" t="str">
        <f>IFERROR(__xludf.DUMMYFUNCTION("""COMPUTED_VALUE"""),"Array;Hash Table;Math;Bit Manipulation;")</f>
        <v>Array;Hash Table;Math;Bit Manipulation;</v>
      </c>
      <c r="M958" s="20" t="b">
        <f>IFERROR(__xludf.DUMMYFUNCTION("""COMPUTED_VALUE"""),TRUE)</f>
        <v>1</v>
      </c>
      <c r="N958" s="20" t="b">
        <f>IFERROR(__xludf.DUMMYFUNCTION("""COMPUTED_VALUE"""),FALSE)</f>
        <v>0</v>
      </c>
      <c r="O958" s="20">
        <f>IFERROR(__xludf.DUMMYFUNCTION("""COMPUTED_VALUE"""),39.0919628553939)</f>
        <v>39.09196286</v>
      </c>
      <c r="P958" s="20">
        <f>IFERROR(__xludf.DUMMYFUNCTION("""COMPUTED_VALUE"""),150076.0)</f>
        <v>150076</v>
      </c>
      <c r="Q958" s="20">
        <f>IFERROR(__xludf.DUMMYFUNCTION("""COMPUTED_VALUE"""),383905.0)</f>
        <v>383905</v>
      </c>
    </row>
    <row r="959">
      <c r="A959" s="20">
        <f>IFERROR(__xludf.DUMMYFUNCTION("""COMPUTED_VALUE"""),998.0)</f>
        <v>998</v>
      </c>
      <c r="B959" s="20" t="str">
        <f>IFERROR(__xludf.DUMMYFUNCTION("""COMPUTED_VALUE"""),"Check Completeness of a Binary Tree")</f>
        <v>Check Completeness of a Binary Tree</v>
      </c>
      <c r="C959" s="20" t="str">
        <f>IFERROR(__xludf.DUMMYFUNCTION("""COMPUTED_VALUE"""),"check-completeness-of-a-binary-tree")</f>
        <v>check-completeness-of-a-binary-tree</v>
      </c>
      <c r="D959" s="20" t="b">
        <f>IFERROR(__xludf.DUMMYFUNCTION("""COMPUTED_VALUE"""),FALSE)</f>
        <v>0</v>
      </c>
      <c r="E959" s="20" t="str">
        <f>IFERROR(__xludf.DUMMYFUNCTION("""COMPUTED_VALUE"""),"Medium")</f>
        <v>Medium</v>
      </c>
      <c r="F959" s="20">
        <f>IFERROR(__xludf.DUMMYFUNCTION("""COMPUTED_VALUE"""),2315.0)</f>
        <v>2315</v>
      </c>
      <c r="G959" s="20">
        <f>IFERROR(__xludf.DUMMYFUNCTION("""COMPUTED_VALUE"""),32.0)</f>
        <v>32</v>
      </c>
      <c r="H959" s="20" t="str">
        <f>IFERROR(__xludf.DUMMYFUNCTION("""COMPUTED_VALUE"""),"Algorithms")</f>
        <v>Algorithms</v>
      </c>
      <c r="I959" s="20">
        <f>IFERROR(__xludf.DUMMYFUNCTION("""COMPUTED_VALUE"""),0.539)</f>
        <v>0.539</v>
      </c>
      <c r="J959" s="20">
        <f>IFERROR(__xludf.DUMMYFUNCTION("""COMPUTED_VALUE"""),958.0)</f>
        <v>958</v>
      </c>
      <c r="K959" s="20" t="b">
        <f>IFERROR(__xludf.DUMMYFUNCTION("""COMPUTED_VALUE"""),FALSE)</f>
        <v>0</v>
      </c>
      <c r="L959" s="20" t="str">
        <f>IFERROR(__xludf.DUMMYFUNCTION("""COMPUTED_VALUE"""),"Tree;Breadth-First Search;Binary Tree;")</f>
        <v>Tree;Breadth-First Search;Binary Tree;</v>
      </c>
      <c r="M959" s="20" t="b">
        <f>IFERROR(__xludf.DUMMYFUNCTION("""COMPUTED_VALUE"""),FALSE)</f>
        <v>0</v>
      </c>
      <c r="N959" s="20" t="b">
        <f>IFERROR(__xludf.DUMMYFUNCTION("""COMPUTED_VALUE"""),FALSE)</f>
        <v>0</v>
      </c>
      <c r="O959" s="20">
        <f>IFERROR(__xludf.DUMMYFUNCTION("""COMPUTED_VALUE"""),53.8612865043654)</f>
        <v>53.8612865</v>
      </c>
      <c r="P959" s="20">
        <f>IFERROR(__xludf.DUMMYFUNCTION("""COMPUTED_VALUE"""),130598.0)</f>
        <v>130598</v>
      </c>
      <c r="Q959" s="20">
        <f>IFERROR(__xludf.DUMMYFUNCTION("""COMPUTED_VALUE"""),242471.0)</f>
        <v>242471</v>
      </c>
    </row>
    <row r="960">
      <c r="A960" s="20">
        <f>IFERROR(__xludf.DUMMYFUNCTION("""COMPUTED_VALUE"""),999.0)</f>
        <v>999</v>
      </c>
      <c r="B960" s="20" t="str">
        <f>IFERROR(__xludf.DUMMYFUNCTION("""COMPUTED_VALUE"""),"Regions Cut By Slashes")</f>
        <v>Regions Cut By Slashes</v>
      </c>
      <c r="C960" s="20" t="str">
        <f>IFERROR(__xludf.DUMMYFUNCTION("""COMPUTED_VALUE"""),"regions-cut-by-slashes")</f>
        <v>regions-cut-by-slashes</v>
      </c>
      <c r="D960" s="20" t="b">
        <f>IFERROR(__xludf.DUMMYFUNCTION("""COMPUTED_VALUE"""),FALSE)</f>
        <v>0</v>
      </c>
      <c r="E960" s="20" t="str">
        <f>IFERROR(__xludf.DUMMYFUNCTION("""COMPUTED_VALUE"""),"Medium")</f>
        <v>Medium</v>
      </c>
      <c r="F960" s="20">
        <f>IFERROR(__xludf.DUMMYFUNCTION("""COMPUTED_VALUE"""),2566.0)</f>
        <v>2566</v>
      </c>
      <c r="G960" s="20">
        <f>IFERROR(__xludf.DUMMYFUNCTION("""COMPUTED_VALUE"""),488.0)</f>
        <v>488</v>
      </c>
      <c r="H960" s="20" t="str">
        <f>IFERROR(__xludf.DUMMYFUNCTION("""COMPUTED_VALUE"""),"Algorithms")</f>
        <v>Algorithms</v>
      </c>
      <c r="I960" s="20">
        <f>IFERROR(__xludf.DUMMYFUNCTION("""COMPUTED_VALUE"""),0.691)</f>
        <v>0.691</v>
      </c>
      <c r="J960" s="20">
        <f>IFERROR(__xludf.DUMMYFUNCTION("""COMPUTED_VALUE"""),959.0)</f>
        <v>959</v>
      </c>
      <c r="K960" s="20" t="b">
        <f>IFERROR(__xludf.DUMMYFUNCTION("""COMPUTED_VALUE"""),FALSE)</f>
        <v>0</v>
      </c>
      <c r="L960" s="20" t="str">
        <f>IFERROR(__xludf.DUMMYFUNCTION("""COMPUTED_VALUE"""),"Depth-First Search;Breadth-First Search;Union Find;Graph;")</f>
        <v>Depth-First Search;Breadth-First Search;Union Find;Graph;</v>
      </c>
      <c r="M960" s="20" t="b">
        <f>IFERROR(__xludf.DUMMYFUNCTION("""COMPUTED_VALUE"""),TRUE)</f>
        <v>1</v>
      </c>
      <c r="N960" s="20" t="b">
        <f>IFERROR(__xludf.DUMMYFUNCTION("""COMPUTED_VALUE"""),FALSE)</f>
        <v>0</v>
      </c>
      <c r="O960" s="20">
        <f>IFERROR(__xludf.DUMMYFUNCTION("""COMPUTED_VALUE"""),69.0862237303327)</f>
        <v>69.08622373</v>
      </c>
      <c r="P960" s="20">
        <f>IFERROR(__xludf.DUMMYFUNCTION("""COMPUTED_VALUE"""),43163.0)</f>
        <v>43163</v>
      </c>
      <c r="Q960" s="20">
        <f>IFERROR(__xludf.DUMMYFUNCTION("""COMPUTED_VALUE"""),62477.0)</f>
        <v>62477</v>
      </c>
    </row>
    <row r="961">
      <c r="A961" s="20">
        <f>IFERROR(__xludf.DUMMYFUNCTION("""COMPUTED_VALUE"""),1000.0)</f>
        <v>1000</v>
      </c>
      <c r="B961" s="20" t="str">
        <f>IFERROR(__xludf.DUMMYFUNCTION("""COMPUTED_VALUE"""),"Delete Columns to Make Sorted III")</f>
        <v>Delete Columns to Make Sorted III</v>
      </c>
      <c r="C961" s="20" t="str">
        <f>IFERROR(__xludf.DUMMYFUNCTION("""COMPUTED_VALUE"""),"delete-columns-to-make-sorted-iii")</f>
        <v>delete-columns-to-make-sorted-iii</v>
      </c>
      <c r="D961" s="20" t="b">
        <f>IFERROR(__xludf.DUMMYFUNCTION("""COMPUTED_VALUE"""),FALSE)</f>
        <v>0</v>
      </c>
      <c r="E961" s="20" t="str">
        <f>IFERROR(__xludf.DUMMYFUNCTION("""COMPUTED_VALUE"""),"Hard")</f>
        <v>Hard</v>
      </c>
      <c r="F961" s="20">
        <f>IFERROR(__xludf.DUMMYFUNCTION("""COMPUTED_VALUE"""),499.0)</f>
        <v>499</v>
      </c>
      <c r="G961" s="20">
        <f>IFERROR(__xludf.DUMMYFUNCTION("""COMPUTED_VALUE"""),11.0)</f>
        <v>11</v>
      </c>
      <c r="H961" s="20" t="str">
        <f>IFERROR(__xludf.DUMMYFUNCTION("""COMPUTED_VALUE"""),"Algorithms")</f>
        <v>Algorithms</v>
      </c>
      <c r="I961" s="20">
        <f>IFERROR(__xludf.DUMMYFUNCTION("""COMPUTED_VALUE"""),0.572)</f>
        <v>0.572</v>
      </c>
      <c r="J961" s="20">
        <f>IFERROR(__xludf.DUMMYFUNCTION("""COMPUTED_VALUE"""),960.0)</f>
        <v>960</v>
      </c>
      <c r="K961" s="20" t="b">
        <f>IFERROR(__xludf.DUMMYFUNCTION("""COMPUTED_VALUE"""),FALSE)</f>
        <v>0</v>
      </c>
      <c r="L961" s="20" t="str">
        <f>IFERROR(__xludf.DUMMYFUNCTION("""COMPUTED_VALUE"""),"Array;String;Dynamic Programming;")</f>
        <v>Array;String;Dynamic Programming;</v>
      </c>
      <c r="M961" s="20" t="b">
        <f>IFERROR(__xludf.DUMMYFUNCTION("""COMPUTED_VALUE"""),TRUE)</f>
        <v>1</v>
      </c>
      <c r="N961" s="20" t="b">
        <f>IFERROR(__xludf.DUMMYFUNCTION("""COMPUTED_VALUE"""),FALSE)</f>
        <v>0</v>
      </c>
      <c r="O961" s="20">
        <f>IFERROR(__xludf.DUMMYFUNCTION("""COMPUTED_VALUE"""),57.2195939286418)</f>
        <v>57.21959393</v>
      </c>
      <c r="P961" s="20">
        <f>IFERROR(__xludf.DUMMYFUNCTION("""COMPUTED_VALUE"""),11611.0)</f>
        <v>11611</v>
      </c>
      <c r="Q961" s="20">
        <f>IFERROR(__xludf.DUMMYFUNCTION("""COMPUTED_VALUE"""),20292.0)</f>
        <v>20292</v>
      </c>
    </row>
    <row r="962">
      <c r="A962" s="20">
        <f>IFERROR(__xludf.DUMMYFUNCTION("""COMPUTED_VALUE"""),1001.0)</f>
        <v>1001</v>
      </c>
      <c r="B962" s="20" t="str">
        <f>IFERROR(__xludf.DUMMYFUNCTION("""COMPUTED_VALUE"""),"N-Repeated Element in Size 2N Array")</f>
        <v>N-Repeated Element in Size 2N Array</v>
      </c>
      <c r="C962" s="20" t="str">
        <f>IFERROR(__xludf.DUMMYFUNCTION("""COMPUTED_VALUE"""),"n-repeated-element-in-size-2n-array")</f>
        <v>n-repeated-element-in-size-2n-array</v>
      </c>
      <c r="D962" s="20" t="b">
        <f>IFERROR(__xludf.DUMMYFUNCTION("""COMPUTED_VALUE"""),FALSE)</f>
        <v>0</v>
      </c>
      <c r="E962" s="20" t="str">
        <f>IFERROR(__xludf.DUMMYFUNCTION("""COMPUTED_VALUE"""),"Easy")</f>
        <v>Easy</v>
      </c>
      <c r="F962" s="20">
        <f>IFERROR(__xludf.DUMMYFUNCTION("""COMPUTED_VALUE"""),1082.0)</f>
        <v>1082</v>
      </c>
      <c r="G962" s="20">
        <f>IFERROR(__xludf.DUMMYFUNCTION("""COMPUTED_VALUE"""),311.0)</f>
        <v>311</v>
      </c>
      <c r="H962" s="20" t="str">
        <f>IFERROR(__xludf.DUMMYFUNCTION("""COMPUTED_VALUE"""),"Algorithms")</f>
        <v>Algorithms</v>
      </c>
      <c r="I962" s="20">
        <f>IFERROR(__xludf.DUMMYFUNCTION("""COMPUTED_VALUE"""),0.759)</f>
        <v>0.759</v>
      </c>
      <c r="J962" s="20">
        <f>IFERROR(__xludf.DUMMYFUNCTION("""COMPUTED_VALUE"""),961.0)</f>
        <v>961</v>
      </c>
      <c r="K962" s="20" t="b">
        <f>IFERROR(__xludf.DUMMYFUNCTION("""COMPUTED_VALUE"""),FALSE)</f>
        <v>0</v>
      </c>
      <c r="L962" s="20" t="str">
        <f>IFERROR(__xludf.DUMMYFUNCTION("""COMPUTED_VALUE"""),"Array;Hash Table;")</f>
        <v>Array;Hash Table;</v>
      </c>
      <c r="M962" s="20" t="b">
        <f>IFERROR(__xludf.DUMMYFUNCTION("""COMPUTED_VALUE"""),TRUE)</f>
        <v>1</v>
      </c>
      <c r="N962" s="20" t="b">
        <f>IFERROR(__xludf.DUMMYFUNCTION("""COMPUTED_VALUE"""),FALSE)</f>
        <v>0</v>
      </c>
      <c r="O962" s="20">
        <f>IFERROR(__xludf.DUMMYFUNCTION("""COMPUTED_VALUE"""),75.9022398832715)</f>
        <v>75.90223988</v>
      </c>
      <c r="P962" s="20">
        <f>IFERROR(__xludf.DUMMYFUNCTION("""COMPUTED_VALUE"""),195593.0)</f>
        <v>195593</v>
      </c>
      <c r="Q962" s="20">
        <f>IFERROR(__xludf.DUMMYFUNCTION("""COMPUTED_VALUE"""),257691.0)</f>
        <v>257691</v>
      </c>
    </row>
    <row r="963">
      <c r="A963" s="20">
        <f>IFERROR(__xludf.DUMMYFUNCTION("""COMPUTED_VALUE"""),1002.0)</f>
        <v>1002</v>
      </c>
      <c r="B963" s="20" t="str">
        <f>IFERROR(__xludf.DUMMYFUNCTION("""COMPUTED_VALUE"""),"Maximum Width Ramp")</f>
        <v>Maximum Width Ramp</v>
      </c>
      <c r="C963" s="20" t="str">
        <f>IFERROR(__xludf.DUMMYFUNCTION("""COMPUTED_VALUE"""),"maximum-width-ramp")</f>
        <v>maximum-width-ramp</v>
      </c>
      <c r="D963" s="20" t="b">
        <f>IFERROR(__xludf.DUMMYFUNCTION("""COMPUTED_VALUE"""),FALSE)</f>
        <v>0</v>
      </c>
      <c r="E963" s="20" t="str">
        <f>IFERROR(__xludf.DUMMYFUNCTION("""COMPUTED_VALUE"""),"Medium")</f>
        <v>Medium</v>
      </c>
      <c r="F963" s="20">
        <f>IFERROR(__xludf.DUMMYFUNCTION("""COMPUTED_VALUE"""),1384.0)</f>
        <v>1384</v>
      </c>
      <c r="G963" s="20">
        <f>IFERROR(__xludf.DUMMYFUNCTION("""COMPUTED_VALUE"""),43.0)</f>
        <v>43</v>
      </c>
      <c r="H963" s="20" t="str">
        <f>IFERROR(__xludf.DUMMYFUNCTION("""COMPUTED_VALUE"""),"Algorithms")</f>
        <v>Algorithms</v>
      </c>
      <c r="I963" s="20">
        <f>IFERROR(__xludf.DUMMYFUNCTION("""COMPUTED_VALUE"""),0.489)</f>
        <v>0.489</v>
      </c>
      <c r="J963" s="20">
        <f>IFERROR(__xludf.DUMMYFUNCTION("""COMPUTED_VALUE"""),962.0)</f>
        <v>962</v>
      </c>
      <c r="K963" s="20" t="b">
        <f>IFERROR(__xludf.DUMMYFUNCTION("""COMPUTED_VALUE"""),FALSE)</f>
        <v>0</v>
      </c>
      <c r="L963" s="20" t="str">
        <f>IFERROR(__xludf.DUMMYFUNCTION("""COMPUTED_VALUE"""),"Array;Stack;Monotonic Stack;")</f>
        <v>Array;Stack;Monotonic Stack;</v>
      </c>
      <c r="M963" s="20" t="b">
        <f>IFERROR(__xludf.DUMMYFUNCTION("""COMPUTED_VALUE"""),FALSE)</f>
        <v>0</v>
      </c>
      <c r="N963" s="20" t="b">
        <f>IFERROR(__xludf.DUMMYFUNCTION("""COMPUTED_VALUE"""),FALSE)</f>
        <v>0</v>
      </c>
      <c r="O963" s="20">
        <f>IFERROR(__xludf.DUMMYFUNCTION("""COMPUTED_VALUE"""),48.9200376536125)</f>
        <v>48.92003765</v>
      </c>
      <c r="P963" s="20">
        <f>IFERROR(__xludf.DUMMYFUNCTION("""COMPUTED_VALUE"""),37937.0)</f>
        <v>37937</v>
      </c>
      <c r="Q963" s="20">
        <f>IFERROR(__xludf.DUMMYFUNCTION("""COMPUTED_VALUE"""),77549.0)</f>
        <v>77549</v>
      </c>
    </row>
    <row r="964">
      <c r="A964" s="20">
        <f>IFERROR(__xludf.DUMMYFUNCTION("""COMPUTED_VALUE"""),1003.0)</f>
        <v>1003</v>
      </c>
      <c r="B964" s="20" t="str">
        <f>IFERROR(__xludf.DUMMYFUNCTION("""COMPUTED_VALUE"""),"Minimum Area Rectangle II")</f>
        <v>Minimum Area Rectangle II</v>
      </c>
      <c r="C964" s="20" t="str">
        <f>IFERROR(__xludf.DUMMYFUNCTION("""COMPUTED_VALUE"""),"minimum-area-rectangle-ii")</f>
        <v>minimum-area-rectangle-ii</v>
      </c>
      <c r="D964" s="20" t="b">
        <f>IFERROR(__xludf.DUMMYFUNCTION("""COMPUTED_VALUE"""),FALSE)</f>
        <v>0</v>
      </c>
      <c r="E964" s="20" t="str">
        <f>IFERROR(__xludf.DUMMYFUNCTION("""COMPUTED_VALUE"""),"Medium")</f>
        <v>Medium</v>
      </c>
      <c r="F964" s="20">
        <f>IFERROR(__xludf.DUMMYFUNCTION("""COMPUTED_VALUE"""),338.0)</f>
        <v>338</v>
      </c>
      <c r="G964" s="20">
        <f>IFERROR(__xludf.DUMMYFUNCTION("""COMPUTED_VALUE"""),425.0)</f>
        <v>425</v>
      </c>
      <c r="H964" s="20" t="str">
        <f>IFERROR(__xludf.DUMMYFUNCTION("""COMPUTED_VALUE"""),"Algorithms")</f>
        <v>Algorithms</v>
      </c>
      <c r="I964" s="20">
        <f>IFERROR(__xludf.DUMMYFUNCTION("""COMPUTED_VALUE"""),0.547)</f>
        <v>0.547</v>
      </c>
      <c r="J964" s="20">
        <f>IFERROR(__xludf.DUMMYFUNCTION("""COMPUTED_VALUE"""),963.0)</f>
        <v>963</v>
      </c>
      <c r="K964" s="20" t="b">
        <f>IFERROR(__xludf.DUMMYFUNCTION("""COMPUTED_VALUE"""),FALSE)</f>
        <v>0</v>
      </c>
      <c r="L964" s="20" t="str">
        <f>IFERROR(__xludf.DUMMYFUNCTION("""COMPUTED_VALUE"""),"Array;Math;Geometry;")</f>
        <v>Array;Math;Geometry;</v>
      </c>
      <c r="M964" s="20" t="b">
        <f>IFERROR(__xludf.DUMMYFUNCTION("""COMPUTED_VALUE"""),FALSE)</f>
        <v>0</v>
      </c>
      <c r="N964" s="20" t="b">
        <f>IFERROR(__xludf.DUMMYFUNCTION("""COMPUTED_VALUE"""),FALSE)</f>
        <v>0</v>
      </c>
      <c r="O964" s="20">
        <f>IFERROR(__xludf.DUMMYFUNCTION("""COMPUTED_VALUE"""),54.7014793161484)</f>
        <v>54.70147932</v>
      </c>
      <c r="P964" s="20">
        <f>IFERROR(__xludf.DUMMYFUNCTION("""COMPUTED_VALUE"""),24701.0)</f>
        <v>24701</v>
      </c>
      <c r="Q964" s="20">
        <f>IFERROR(__xludf.DUMMYFUNCTION("""COMPUTED_VALUE"""),45156.0)</f>
        <v>45156</v>
      </c>
    </row>
    <row r="965">
      <c r="A965" s="20">
        <f>IFERROR(__xludf.DUMMYFUNCTION("""COMPUTED_VALUE"""),1004.0)</f>
        <v>1004</v>
      </c>
      <c r="B965" s="20" t="str">
        <f>IFERROR(__xludf.DUMMYFUNCTION("""COMPUTED_VALUE"""),"Least Operators to Express Number")</f>
        <v>Least Operators to Express Number</v>
      </c>
      <c r="C965" s="20" t="str">
        <f>IFERROR(__xludf.DUMMYFUNCTION("""COMPUTED_VALUE"""),"least-operators-to-express-number")</f>
        <v>least-operators-to-express-number</v>
      </c>
      <c r="D965" s="20" t="b">
        <f>IFERROR(__xludf.DUMMYFUNCTION("""COMPUTED_VALUE"""),FALSE)</f>
        <v>0</v>
      </c>
      <c r="E965" s="20" t="str">
        <f>IFERROR(__xludf.DUMMYFUNCTION("""COMPUTED_VALUE"""),"Hard")</f>
        <v>Hard</v>
      </c>
      <c r="F965" s="20">
        <f>IFERROR(__xludf.DUMMYFUNCTION("""COMPUTED_VALUE"""),279.0)</f>
        <v>279</v>
      </c>
      <c r="G965" s="20">
        <f>IFERROR(__xludf.DUMMYFUNCTION("""COMPUTED_VALUE"""),66.0)</f>
        <v>66</v>
      </c>
      <c r="H965" s="20" t="str">
        <f>IFERROR(__xludf.DUMMYFUNCTION("""COMPUTED_VALUE"""),"Algorithms")</f>
        <v>Algorithms</v>
      </c>
      <c r="I965" s="20">
        <f>IFERROR(__xludf.DUMMYFUNCTION("""COMPUTED_VALUE"""),0.48)</f>
        <v>0.48</v>
      </c>
      <c r="J965" s="20">
        <f>IFERROR(__xludf.DUMMYFUNCTION("""COMPUTED_VALUE"""),964.0)</f>
        <v>964</v>
      </c>
      <c r="K965" s="20" t="b">
        <f>IFERROR(__xludf.DUMMYFUNCTION("""COMPUTED_VALUE"""),FALSE)</f>
        <v>0</v>
      </c>
      <c r="L965" s="20" t="str">
        <f>IFERROR(__xludf.DUMMYFUNCTION("""COMPUTED_VALUE"""),"Math;Dynamic Programming;")</f>
        <v>Math;Dynamic Programming;</v>
      </c>
      <c r="M965" s="20" t="b">
        <f>IFERROR(__xludf.DUMMYFUNCTION("""COMPUTED_VALUE"""),FALSE)</f>
        <v>0</v>
      </c>
      <c r="N965" s="20" t="b">
        <f>IFERROR(__xludf.DUMMYFUNCTION("""COMPUTED_VALUE"""),FALSE)</f>
        <v>0</v>
      </c>
      <c r="O965" s="20">
        <f>IFERROR(__xludf.DUMMYFUNCTION("""COMPUTED_VALUE"""),47.9696140311679)</f>
        <v>47.96961403</v>
      </c>
      <c r="P965" s="20">
        <f>IFERROR(__xludf.DUMMYFUNCTION("""COMPUTED_VALUE"""),8588.0)</f>
        <v>8588</v>
      </c>
      <c r="Q965" s="20">
        <f>IFERROR(__xludf.DUMMYFUNCTION("""COMPUTED_VALUE"""),17903.0)</f>
        <v>17903</v>
      </c>
    </row>
    <row r="966">
      <c r="A966" s="20">
        <f>IFERROR(__xludf.DUMMYFUNCTION("""COMPUTED_VALUE"""),1005.0)</f>
        <v>1005</v>
      </c>
      <c r="B966" s="20" t="str">
        <f>IFERROR(__xludf.DUMMYFUNCTION("""COMPUTED_VALUE"""),"Univalued Binary Tree")</f>
        <v>Univalued Binary Tree</v>
      </c>
      <c r="C966" s="20" t="str">
        <f>IFERROR(__xludf.DUMMYFUNCTION("""COMPUTED_VALUE"""),"univalued-binary-tree")</f>
        <v>univalued-binary-tree</v>
      </c>
      <c r="D966" s="20" t="b">
        <f>IFERROR(__xludf.DUMMYFUNCTION("""COMPUTED_VALUE"""),FALSE)</f>
        <v>0</v>
      </c>
      <c r="E966" s="20" t="str">
        <f>IFERROR(__xludf.DUMMYFUNCTION("""COMPUTED_VALUE"""),"Easy")</f>
        <v>Easy</v>
      </c>
      <c r="F966" s="20">
        <f>IFERROR(__xludf.DUMMYFUNCTION("""COMPUTED_VALUE"""),1544.0)</f>
        <v>1544</v>
      </c>
      <c r="G966" s="20">
        <f>IFERROR(__xludf.DUMMYFUNCTION("""COMPUTED_VALUE"""),59.0)</f>
        <v>59</v>
      </c>
      <c r="H966" s="20" t="str">
        <f>IFERROR(__xludf.DUMMYFUNCTION("""COMPUTED_VALUE"""),"Algorithms")</f>
        <v>Algorithms</v>
      </c>
      <c r="I966" s="20">
        <f>IFERROR(__xludf.DUMMYFUNCTION("""COMPUTED_VALUE"""),0.694)</f>
        <v>0.694</v>
      </c>
      <c r="J966" s="20">
        <f>IFERROR(__xludf.DUMMYFUNCTION("""COMPUTED_VALUE"""),965.0)</f>
        <v>965</v>
      </c>
      <c r="K966" s="20" t="b">
        <f>IFERROR(__xludf.DUMMYFUNCTION("""COMPUTED_VALUE"""),FALSE)</f>
        <v>0</v>
      </c>
      <c r="L966" s="20" t="str">
        <f>IFERROR(__xludf.DUMMYFUNCTION("""COMPUTED_VALUE"""),"Tree;Depth-First Search;Breadth-First Search;Binary Tree;")</f>
        <v>Tree;Depth-First Search;Breadth-First Search;Binary Tree;</v>
      </c>
      <c r="M966" s="20" t="b">
        <f>IFERROR(__xludf.DUMMYFUNCTION("""COMPUTED_VALUE"""),TRUE)</f>
        <v>1</v>
      </c>
      <c r="N966" s="20" t="b">
        <f>IFERROR(__xludf.DUMMYFUNCTION("""COMPUTED_VALUE"""),FALSE)</f>
        <v>0</v>
      </c>
      <c r="O966" s="20">
        <f>IFERROR(__xludf.DUMMYFUNCTION("""COMPUTED_VALUE"""),69.3896524002026)</f>
        <v>69.3896524</v>
      </c>
      <c r="P966" s="20">
        <f>IFERROR(__xludf.DUMMYFUNCTION("""COMPUTED_VALUE"""),182118.0)</f>
        <v>182118</v>
      </c>
      <c r="Q966" s="20">
        <f>IFERROR(__xludf.DUMMYFUNCTION("""COMPUTED_VALUE"""),262457.0)</f>
        <v>262457</v>
      </c>
    </row>
    <row r="967">
      <c r="A967" s="20">
        <f>IFERROR(__xludf.DUMMYFUNCTION("""COMPUTED_VALUE"""),1006.0)</f>
        <v>1006</v>
      </c>
      <c r="B967" s="20" t="str">
        <f>IFERROR(__xludf.DUMMYFUNCTION("""COMPUTED_VALUE"""),"Vowel Spellchecker")</f>
        <v>Vowel Spellchecker</v>
      </c>
      <c r="C967" s="20" t="str">
        <f>IFERROR(__xludf.DUMMYFUNCTION("""COMPUTED_VALUE"""),"vowel-spellchecker")</f>
        <v>vowel-spellchecker</v>
      </c>
      <c r="D967" s="20" t="b">
        <f>IFERROR(__xludf.DUMMYFUNCTION("""COMPUTED_VALUE"""),FALSE)</f>
        <v>0</v>
      </c>
      <c r="E967" s="20" t="str">
        <f>IFERROR(__xludf.DUMMYFUNCTION("""COMPUTED_VALUE"""),"Medium")</f>
        <v>Medium</v>
      </c>
      <c r="F967" s="20">
        <f>IFERROR(__xludf.DUMMYFUNCTION("""COMPUTED_VALUE"""),375.0)</f>
        <v>375</v>
      </c>
      <c r="G967" s="20">
        <f>IFERROR(__xludf.DUMMYFUNCTION("""COMPUTED_VALUE"""),767.0)</f>
        <v>767</v>
      </c>
      <c r="H967" s="20" t="str">
        <f>IFERROR(__xludf.DUMMYFUNCTION("""COMPUTED_VALUE"""),"Algorithms")</f>
        <v>Algorithms</v>
      </c>
      <c r="I967" s="20">
        <f>IFERROR(__xludf.DUMMYFUNCTION("""COMPUTED_VALUE"""),0.514)</f>
        <v>0.514</v>
      </c>
      <c r="J967" s="20">
        <f>IFERROR(__xludf.DUMMYFUNCTION("""COMPUTED_VALUE"""),966.0)</f>
        <v>966</v>
      </c>
      <c r="K967" s="20" t="b">
        <f>IFERROR(__xludf.DUMMYFUNCTION("""COMPUTED_VALUE"""),FALSE)</f>
        <v>0</v>
      </c>
      <c r="L967" s="20" t="str">
        <f>IFERROR(__xludf.DUMMYFUNCTION("""COMPUTED_VALUE"""),"Array;Hash Table;String;")</f>
        <v>Array;Hash Table;String;</v>
      </c>
      <c r="M967" s="20" t="b">
        <f>IFERROR(__xludf.DUMMYFUNCTION("""COMPUTED_VALUE"""),TRUE)</f>
        <v>1</v>
      </c>
      <c r="N967" s="20" t="b">
        <f>IFERROR(__xludf.DUMMYFUNCTION("""COMPUTED_VALUE"""),FALSE)</f>
        <v>0</v>
      </c>
      <c r="O967" s="20">
        <f>IFERROR(__xludf.DUMMYFUNCTION("""COMPUTED_VALUE"""),51.4138712230804)</f>
        <v>51.41387122</v>
      </c>
      <c r="P967" s="20">
        <f>IFERROR(__xludf.DUMMYFUNCTION("""COMPUTED_VALUE"""),37673.0)</f>
        <v>37673</v>
      </c>
      <c r="Q967" s="20">
        <f>IFERROR(__xludf.DUMMYFUNCTION("""COMPUTED_VALUE"""),73274.0)</f>
        <v>73274</v>
      </c>
    </row>
    <row r="968">
      <c r="A968" s="20">
        <f>IFERROR(__xludf.DUMMYFUNCTION("""COMPUTED_VALUE"""),1007.0)</f>
        <v>1007</v>
      </c>
      <c r="B968" s="20" t="str">
        <f>IFERROR(__xludf.DUMMYFUNCTION("""COMPUTED_VALUE"""),"Numbers With Same Consecutive Differences")</f>
        <v>Numbers With Same Consecutive Differences</v>
      </c>
      <c r="C968" s="20" t="str">
        <f>IFERROR(__xludf.DUMMYFUNCTION("""COMPUTED_VALUE"""),"numbers-with-same-consecutive-differences")</f>
        <v>numbers-with-same-consecutive-differences</v>
      </c>
      <c r="D968" s="20" t="b">
        <f>IFERROR(__xludf.DUMMYFUNCTION("""COMPUTED_VALUE"""),FALSE)</f>
        <v>0</v>
      </c>
      <c r="E968" s="20" t="str">
        <f>IFERROR(__xludf.DUMMYFUNCTION("""COMPUTED_VALUE"""),"Medium")</f>
        <v>Medium</v>
      </c>
      <c r="F968" s="20">
        <f>IFERROR(__xludf.DUMMYFUNCTION("""COMPUTED_VALUE"""),2573.0)</f>
        <v>2573</v>
      </c>
      <c r="G968" s="20">
        <f>IFERROR(__xludf.DUMMYFUNCTION("""COMPUTED_VALUE"""),187.0)</f>
        <v>187</v>
      </c>
      <c r="H968" s="20" t="str">
        <f>IFERROR(__xludf.DUMMYFUNCTION("""COMPUTED_VALUE"""),"Algorithms")</f>
        <v>Algorithms</v>
      </c>
      <c r="I968" s="20">
        <f>IFERROR(__xludf.DUMMYFUNCTION("""COMPUTED_VALUE"""),0.572)</f>
        <v>0.572</v>
      </c>
      <c r="J968" s="20">
        <f>IFERROR(__xludf.DUMMYFUNCTION("""COMPUTED_VALUE"""),967.0)</f>
        <v>967</v>
      </c>
      <c r="K968" s="20" t="b">
        <f>IFERROR(__xludf.DUMMYFUNCTION("""COMPUTED_VALUE"""),FALSE)</f>
        <v>0</v>
      </c>
      <c r="L968" s="20" t="str">
        <f>IFERROR(__xludf.DUMMYFUNCTION("""COMPUTED_VALUE"""),"Backtracking;Breadth-First Search;")</f>
        <v>Backtracking;Breadth-First Search;</v>
      </c>
      <c r="M968" s="20" t="b">
        <f>IFERROR(__xludf.DUMMYFUNCTION("""COMPUTED_VALUE"""),TRUE)</f>
        <v>1</v>
      </c>
      <c r="N968" s="20" t="b">
        <f>IFERROR(__xludf.DUMMYFUNCTION("""COMPUTED_VALUE"""),FALSE)</f>
        <v>0</v>
      </c>
      <c r="O968" s="20">
        <f>IFERROR(__xludf.DUMMYFUNCTION("""COMPUTED_VALUE"""),57.1951110270625)</f>
        <v>57.19511103</v>
      </c>
      <c r="P968" s="20">
        <f>IFERROR(__xludf.DUMMYFUNCTION("""COMPUTED_VALUE"""),114928.0)</f>
        <v>114928</v>
      </c>
      <c r="Q968" s="20">
        <f>IFERROR(__xludf.DUMMYFUNCTION("""COMPUTED_VALUE"""),200940.0)</f>
        <v>200940</v>
      </c>
    </row>
    <row r="969">
      <c r="A969" s="20">
        <f>IFERROR(__xludf.DUMMYFUNCTION("""COMPUTED_VALUE"""),1008.0)</f>
        <v>1008</v>
      </c>
      <c r="B969" s="20" t="str">
        <f>IFERROR(__xludf.DUMMYFUNCTION("""COMPUTED_VALUE"""),"Binary Tree Cameras")</f>
        <v>Binary Tree Cameras</v>
      </c>
      <c r="C969" s="20" t="str">
        <f>IFERROR(__xludf.DUMMYFUNCTION("""COMPUTED_VALUE"""),"binary-tree-cameras")</f>
        <v>binary-tree-cameras</v>
      </c>
      <c r="D969" s="20" t="b">
        <f>IFERROR(__xludf.DUMMYFUNCTION("""COMPUTED_VALUE"""),FALSE)</f>
        <v>0</v>
      </c>
      <c r="E969" s="20" t="str">
        <f>IFERROR(__xludf.DUMMYFUNCTION("""COMPUTED_VALUE"""),"Hard")</f>
        <v>Hard</v>
      </c>
      <c r="F969" s="20">
        <f>IFERROR(__xludf.DUMMYFUNCTION("""COMPUTED_VALUE"""),4618.0)</f>
        <v>4618</v>
      </c>
      <c r="G969" s="20">
        <f>IFERROR(__xludf.DUMMYFUNCTION("""COMPUTED_VALUE"""),62.0)</f>
        <v>62</v>
      </c>
      <c r="H969" s="20" t="str">
        <f>IFERROR(__xludf.DUMMYFUNCTION("""COMPUTED_VALUE"""),"Algorithms")</f>
        <v>Algorithms</v>
      </c>
      <c r="I969" s="20">
        <f>IFERROR(__xludf.DUMMYFUNCTION("""COMPUTED_VALUE"""),0.468)</f>
        <v>0.468</v>
      </c>
      <c r="J969" s="20">
        <f>IFERROR(__xludf.DUMMYFUNCTION("""COMPUTED_VALUE"""),968.0)</f>
        <v>968</v>
      </c>
      <c r="K969" s="20" t="b">
        <f>IFERROR(__xludf.DUMMYFUNCTION("""COMPUTED_VALUE"""),FALSE)</f>
        <v>0</v>
      </c>
      <c r="L969" s="20" t="str">
        <f>IFERROR(__xludf.DUMMYFUNCTION("""COMPUTED_VALUE"""),"Dynamic Programming;Tree;Depth-First Search;Binary Tree;")</f>
        <v>Dynamic Programming;Tree;Depth-First Search;Binary Tree;</v>
      </c>
      <c r="M969" s="20" t="b">
        <f>IFERROR(__xludf.DUMMYFUNCTION("""COMPUTED_VALUE"""),TRUE)</f>
        <v>1</v>
      </c>
      <c r="N969" s="20" t="b">
        <f>IFERROR(__xludf.DUMMYFUNCTION("""COMPUTED_VALUE"""),FALSE)</f>
        <v>0</v>
      </c>
      <c r="O969" s="20">
        <f>IFERROR(__xludf.DUMMYFUNCTION("""COMPUTED_VALUE"""),46.7769915360223)</f>
        <v>46.77699154</v>
      </c>
      <c r="P969" s="20">
        <f>IFERROR(__xludf.DUMMYFUNCTION("""COMPUTED_VALUE"""),115948.0)</f>
        <v>115948</v>
      </c>
      <c r="Q969" s="20">
        <f>IFERROR(__xludf.DUMMYFUNCTION("""COMPUTED_VALUE"""),247874.0)</f>
        <v>247874</v>
      </c>
    </row>
    <row r="970">
      <c r="A970" s="20">
        <f>IFERROR(__xludf.DUMMYFUNCTION("""COMPUTED_VALUE"""),1009.0)</f>
        <v>1009</v>
      </c>
      <c r="B970" s="20" t="str">
        <f>IFERROR(__xludf.DUMMYFUNCTION("""COMPUTED_VALUE"""),"Pancake Sorting")</f>
        <v>Pancake Sorting</v>
      </c>
      <c r="C970" s="20" t="str">
        <f>IFERROR(__xludf.DUMMYFUNCTION("""COMPUTED_VALUE"""),"pancake-sorting")</f>
        <v>pancake-sorting</v>
      </c>
      <c r="D970" s="20" t="b">
        <f>IFERROR(__xludf.DUMMYFUNCTION("""COMPUTED_VALUE"""),FALSE)</f>
        <v>0</v>
      </c>
      <c r="E970" s="20" t="str">
        <f>IFERROR(__xludf.DUMMYFUNCTION("""COMPUTED_VALUE"""),"Medium")</f>
        <v>Medium</v>
      </c>
      <c r="F970" s="20">
        <f>IFERROR(__xludf.DUMMYFUNCTION("""COMPUTED_VALUE"""),1253.0)</f>
        <v>1253</v>
      </c>
      <c r="G970" s="20">
        <f>IFERROR(__xludf.DUMMYFUNCTION("""COMPUTED_VALUE"""),1352.0)</f>
        <v>1352</v>
      </c>
      <c r="H970" s="20" t="str">
        <f>IFERROR(__xludf.DUMMYFUNCTION("""COMPUTED_VALUE"""),"Algorithms")</f>
        <v>Algorithms</v>
      </c>
      <c r="I970" s="20">
        <f>IFERROR(__xludf.DUMMYFUNCTION("""COMPUTED_VALUE"""),0.7)</f>
        <v>0.7</v>
      </c>
      <c r="J970" s="20">
        <f>IFERROR(__xludf.DUMMYFUNCTION("""COMPUTED_VALUE"""),969.0)</f>
        <v>969</v>
      </c>
      <c r="K970" s="20" t="b">
        <f>IFERROR(__xludf.DUMMYFUNCTION("""COMPUTED_VALUE"""),FALSE)</f>
        <v>0</v>
      </c>
      <c r="L970" s="20" t="str">
        <f>IFERROR(__xludf.DUMMYFUNCTION("""COMPUTED_VALUE"""),"Array;Two Pointers;Greedy;Sorting;")</f>
        <v>Array;Two Pointers;Greedy;Sorting;</v>
      </c>
      <c r="M970" s="20" t="b">
        <f>IFERROR(__xludf.DUMMYFUNCTION("""COMPUTED_VALUE"""),TRUE)</f>
        <v>1</v>
      </c>
      <c r="N970" s="20" t="b">
        <f>IFERROR(__xludf.DUMMYFUNCTION("""COMPUTED_VALUE"""),FALSE)</f>
        <v>0</v>
      </c>
      <c r="O970" s="20">
        <f>IFERROR(__xludf.DUMMYFUNCTION("""COMPUTED_VALUE"""),69.9757406070934)</f>
        <v>69.97574061</v>
      </c>
      <c r="P970" s="20">
        <f>IFERROR(__xludf.DUMMYFUNCTION("""COMPUTED_VALUE"""),80477.0)</f>
        <v>80477</v>
      </c>
      <c r="Q970" s="20">
        <f>IFERROR(__xludf.DUMMYFUNCTION("""COMPUTED_VALUE"""),115007.0)</f>
        <v>115007</v>
      </c>
    </row>
    <row r="971">
      <c r="A971" s="20">
        <f>IFERROR(__xludf.DUMMYFUNCTION("""COMPUTED_VALUE"""),1010.0)</f>
        <v>1010</v>
      </c>
      <c r="B971" s="20" t="str">
        <f>IFERROR(__xludf.DUMMYFUNCTION("""COMPUTED_VALUE"""),"Powerful Integers")</f>
        <v>Powerful Integers</v>
      </c>
      <c r="C971" s="20" t="str">
        <f>IFERROR(__xludf.DUMMYFUNCTION("""COMPUTED_VALUE"""),"powerful-integers")</f>
        <v>powerful-integers</v>
      </c>
      <c r="D971" s="20" t="b">
        <f>IFERROR(__xludf.DUMMYFUNCTION("""COMPUTED_VALUE"""),FALSE)</f>
        <v>0</v>
      </c>
      <c r="E971" s="20" t="str">
        <f>IFERROR(__xludf.DUMMYFUNCTION("""COMPUTED_VALUE"""),"Medium")</f>
        <v>Medium</v>
      </c>
      <c r="F971" s="20">
        <f>IFERROR(__xludf.DUMMYFUNCTION("""COMPUTED_VALUE"""),300.0)</f>
        <v>300</v>
      </c>
      <c r="G971" s="20">
        <f>IFERROR(__xludf.DUMMYFUNCTION("""COMPUTED_VALUE"""),70.0)</f>
        <v>70</v>
      </c>
      <c r="H971" s="20" t="str">
        <f>IFERROR(__xludf.DUMMYFUNCTION("""COMPUTED_VALUE"""),"Algorithms")</f>
        <v>Algorithms</v>
      </c>
      <c r="I971" s="20">
        <f>IFERROR(__xludf.DUMMYFUNCTION("""COMPUTED_VALUE"""),0.436)</f>
        <v>0.436</v>
      </c>
      <c r="J971" s="20">
        <f>IFERROR(__xludf.DUMMYFUNCTION("""COMPUTED_VALUE"""),970.0)</f>
        <v>970</v>
      </c>
      <c r="K971" s="20" t="b">
        <f>IFERROR(__xludf.DUMMYFUNCTION("""COMPUTED_VALUE"""),FALSE)</f>
        <v>0</v>
      </c>
      <c r="L971" s="20" t="str">
        <f>IFERROR(__xludf.DUMMYFUNCTION("""COMPUTED_VALUE"""),"Hash Table;Math;")</f>
        <v>Hash Table;Math;</v>
      </c>
      <c r="M971" s="20" t="b">
        <f>IFERROR(__xludf.DUMMYFUNCTION("""COMPUTED_VALUE"""),TRUE)</f>
        <v>1</v>
      </c>
      <c r="N971" s="20" t="b">
        <f>IFERROR(__xludf.DUMMYFUNCTION("""COMPUTED_VALUE"""),FALSE)</f>
        <v>0</v>
      </c>
      <c r="O971" s="20">
        <f>IFERROR(__xludf.DUMMYFUNCTION("""COMPUTED_VALUE"""),43.603360389322)</f>
        <v>43.60336039</v>
      </c>
      <c r="P971" s="20">
        <f>IFERROR(__xludf.DUMMYFUNCTION("""COMPUTED_VALUE"""),49100.0)</f>
        <v>49100</v>
      </c>
      <c r="Q971" s="20">
        <f>IFERROR(__xludf.DUMMYFUNCTION("""COMPUTED_VALUE"""),112606.0)</f>
        <v>112606</v>
      </c>
    </row>
    <row r="972">
      <c r="A972" s="20">
        <f>IFERROR(__xludf.DUMMYFUNCTION("""COMPUTED_VALUE"""),1011.0)</f>
        <v>1011</v>
      </c>
      <c r="B972" s="20" t="str">
        <f>IFERROR(__xludf.DUMMYFUNCTION("""COMPUTED_VALUE"""),"Flip Binary Tree To Match Preorder Traversal")</f>
        <v>Flip Binary Tree To Match Preorder Traversal</v>
      </c>
      <c r="C972" s="20" t="str">
        <f>IFERROR(__xludf.DUMMYFUNCTION("""COMPUTED_VALUE"""),"flip-binary-tree-to-match-preorder-traversal")</f>
        <v>flip-binary-tree-to-match-preorder-traversal</v>
      </c>
      <c r="D972" s="20" t="b">
        <f>IFERROR(__xludf.DUMMYFUNCTION("""COMPUTED_VALUE"""),FALSE)</f>
        <v>0</v>
      </c>
      <c r="E972" s="20" t="str">
        <f>IFERROR(__xludf.DUMMYFUNCTION("""COMPUTED_VALUE"""),"Medium")</f>
        <v>Medium</v>
      </c>
      <c r="F972" s="20">
        <f>IFERROR(__xludf.DUMMYFUNCTION("""COMPUTED_VALUE"""),825.0)</f>
        <v>825</v>
      </c>
      <c r="G972" s="20">
        <f>IFERROR(__xludf.DUMMYFUNCTION("""COMPUTED_VALUE"""),255.0)</f>
        <v>255</v>
      </c>
      <c r="H972" s="20" t="str">
        <f>IFERROR(__xludf.DUMMYFUNCTION("""COMPUTED_VALUE"""),"Algorithms")</f>
        <v>Algorithms</v>
      </c>
      <c r="I972" s="20">
        <f>IFERROR(__xludf.DUMMYFUNCTION("""COMPUTED_VALUE"""),0.499)</f>
        <v>0.499</v>
      </c>
      <c r="J972" s="20">
        <f>IFERROR(__xludf.DUMMYFUNCTION("""COMPUTED_VALUE"""),971.0)</f>
        <v>971</v>
      </c>
      <c r="K972" s="20" t="b">
        <f>IFERROR(__xludf.DUMMYFUNCTION("""COMPUTED_VALUE"""),FALSE)</f>
        <v>0</v>
      </c>
      <c r="L972" s="20" t="str">
        <f>IFERROR(__xludf.DUMMYFUNCTION("""COMPUTED_VALUE"""),"Tree;Depth-First Search;Binary Tree;")</f>
        <v>Tree;Depth-First Search;Binary Tree;</v>
      </c>
      <c r="M972" s="20" t="b">
        <f>IFERROR(__xludf.DUMMYFUNCTION("""COMPUTED_VALUE"""),TRUE)</f>
        <v>1</v>
      </c>
      <c r="N972" s="20" t="b">
        <f>IFERROR(__xludf.DUMMYFUNCTION("""COMPUTED_VALUE"""),FALSE)</f>
        <v>0</v>
      </c>
      <c r="O972" s="20">
        <f>IFERROR(__xludf.DUMMYFUNCTION("""COMPUTED_VALUE"""),49.9309648983059)</f>
        <v>49.9309649</v>
      </c>
      <c r="P972" s="20">
        <f>IFERROR(__xludf.DUMMYFUNCTION("""COMPUTED_VALUE"""),37610.0)</f>
        <v>37610</v>
      </c>
      <c r="Q972" s="20">
        <f>IFERROR(__xludf.DUMMYFUNCTION("""COMPUTED_VALUE"""),75324.0)</f>
        <v>75324</v>
      </c>
    </row>
    <row r="973">
      <c r="A973" s="20">
        <f>IFERROR(__xludf.DUMMYFUNCTION("""COMPUTED_VALUE"""),1012.0)</f>
        <v>1012</v>
      </c>
      <c r="B973" s="20" t="str">
        <f>IFERROR(__xludf.DUMMYFUNCTION("""COMPUTED_VALUE"""),"Equal Rational Numbers")</f>
        <v>Equal Rational Numbers</v>
      </c>
      <c r="C973" s="20" t="str">
        <f>IFERROR(__xludf.DUMMYFUNCTION("""COMPUTED_VALUE"""),"equal-rational-numbers")</f>
        <v>equal-rational-numbers</v>
      </c>
      <c r="D973" s="20" t="b">
        <f>IFERROR(__xludf.DUMMYFUNCTION("""COMPUTED_VALUE"""),FALSE)</f>
        <v>0</v>
      </c>
      <c r="E973" s="20" t="str">
        <f>IFERROR(__xludf.DUMMYFUNCTION("""COMPUTED_VALUE"""),"Hard")</f>
        <v>Hard</v>
      </c>
      <c r="F973" s="20">
        <f>IFERROR(__xludf.DUMMYFUNCTION("""COMPUTED_VALUE"""),78.0)</f>
        <v>78</v>
      </c>
      <c r="G973" s="20">
        <f>IFERROR(__xludf.DUMMYFUNCTION("""COMPUTED_VALUE"""),198.0)</f>
        <v>198</v>
      </c>
      <c r="H973" s="20" t="str">
        <f>IFERROR(__xludf.DUMMYFUNCTION("""COMPUTED_VALUE"""),"Algorithms")</f>
        <v>Algorithms</v>
      </c>
      <c r="I973" s="20">
        <f>IFERROR(__xludf.DUMMYFUNCTION("""COMPUTED_VALUE"""),0.432)</f>
        <v>0.432</v>
      </c>
      <c r="J973" s="20">
        <f>IFERROR(__xludf.DUMMYFUNCTION("""COMPUTED_VALUE"""),972.0)</f>
        <v>972</v>
      </c>
      <c r="K973" s="20" t="b">
        <f>IFERROR(__xludf.DUMMYFUNCTION("""COMPUTED_VALUE"""),FALSE)</f>
        <v>0</v>
      </c>
      <c r="L973" s="20" t="str">
        <f>IFERROR(__xludf.DUMMYFUNCTION("""COMPUTED_VALUE"""),"Math;String;")</f>
        <v>Math;String;</v>
      </c>
      <c r="M973" s="20" t="b">
        <f>IFERROR(__xludf.DUMMYFUNCTION("""COMPUTED_VALUE"""),TRUE)</f>
        <v>1</v>
      </c>
      <c r="N973" s="20" t="b">
        <f>IFERROR(__xludf.DUMMYFUNCTION("""COMPUTED_VALUE"""),FALSE)</f>
        <v>0</v>
      </c>
      <c r="O973" s="20">
        <f>IFERROR(__xludf.DUMMYFUNCTION("""COMPUTED_VALUE"""),43.161182537953)</f>
        <v>43.16118254</v>
      </c>
      <c r="P973" s="20">
        <f>IFERROR(__xludf.DUMMYFUNCTION("""COMPUTED_VALUE"""),5942.0)</f>
        <v>5942</v>
      </c>
      <c r="Q973" s="20">
        <f>IFERROR(__xludf.DUMMYFUNCTION("""COMPUTED_VALUE"""),13767.0)</f>
        <v>13767</v>
      </c>
    </row>
    <row r="974">
      <c r="A974" s="20">
        <f>IFERROR(__xludf.DUMMYFUNCTION("""COMPUTED_VALUE"""),1014.0)</f>
        <v>1014</v>
      </c>
      <c r="B974" s="20" t="str">
        <f>IFERROR(__xludf.DUMMYFUNCTION("""COMPUTED_VALUE"""),"K Closest Points to Origin")</f>
        <v>K Closest Points to Origin</v>
      </c>
      <c r="C974" s="20" t="str">
        <f>IFERROR(__xludf.DUMMYFUNCTION("""COMPUTED_VALUE"""),"k-closest-points-to-origin")</f>
        <v>k-closest-points-to-origin</v>
      </c>
      <c r="D974" s="20" t="b">
        <f>IFERROR(__xludf.DUMMYFUNCTION("""COMPUTED_VALUE"""),FALSE)</f>
        <v>0</v>
      </c>
      <c r="E974" s="20" t="str">
        <f>IFERROR(__xludf.DUMMYFUNCTION("""COMPUTED_VALUE"""),"Medium")</f>
        <v>Medium</v>
      </c>
      <c r="F974" s="20">
        <f>IFERROR(__xludf.DUMMYFUNCTION("""COMPUTED_VALUE"""),6941.0)</f>
        <v>6941</v>
      </c>
      <c r="G974" s="20">
        <f>IFERROR(__xludf.DUMMYFUNCTION("""COMPUTED_VALUE"""),253.0)</f>
        <v>253</v>
      </c>
      <c r="H974" s="20" t="str">
        <f>IFERROR(__xludf.DUMMYFUNCTION("""COMPUTED_VALUE"""),"Algorithms")</f>
        <v>Algorithms</v>
      </c>
      <c r="I974" s="20">
        <f>IFERROR(__xludf.DUMMYFUNCTION("""COMPUTED_VALUE"""),0.658)</f>
        <v>0.658</v>
      </c>
      <c r="J974" s="20">
        <f>IFERROR(__xludf.DUMMYFUNCTION("""COMPUTED_VALUE"""),973.0)</f>
        <v>973</v>
      </c>
      <c r="K974" s="20" t="b">
        <f>IFERROR(__xludf.DUMMYFUNCTION("""COMPUTED_VALUE"""),FALSE)</f>
        <v>0</v>
      </c>
      <c r="L974" s="20" t="str">
        <f>IFERROR(__xludf.DUMMYFUNCTION("""COMPUTED_VALUE"""),"Array;Math;Divide and Conquer;Geometry;Sorting;Heap (Priority Queue);Quickselect;")</f>
        <v>Array;Math;Divide and Conquer;Geometry;Sorting;Heap (Priority Queue);Quickselect;</v>
      </c>
      <c r="M974" s="20" t="b">
        <f>IFERROR(__xludf.DUMMYFUNCTION("""COMPUTED_VALUE"""),TRUE)</f>
        <v>1</v>
      </c>
      <c r="N974" s="20" t="b">
        <f>IFERROR(__xludf.DUMMYFUNCTION("""COMPUTED_VALUE"""),FALSE)</f>
        <v>0</v>
      </c>
      <c r="O974" s="20">
        <f>IFERROR(__xludf.DUMMYFUNCTION("""COMPUTED_VALUE"""),65.8254399234301)</f>
        <v>65.82543992</v>
      </c>
      <c r="P974" s="20">
        <f>IFERROR(__xludf.DUMMYFUNCTION("""COMPUTED_VALUE"""),922948.0)</f>
        <v>922948</v>
      </c>
      <c r="Q974" s="20">
        <f>IFERROR(__xludf.DUMMYFUNCTION("""COMPUTED_VALUE"""),1402116.0)</f>
        <v>1402116</v>
      </c>
    </row>
    <row r="975">
      <c r="A975" s="20">
        <f>IFERROR(__xludf.DUMMYFUNCTION("""COMPUTED_VALUE"""),1016.0)</f>
        <v>1016</v>
      </c>
      <c r="B975" s="20" t="str">
        <f>IFERROR(__xludf.DUMMYFUNCTION("""COMPUTED_VALUE"""),"Subarray Sums Divisible by K")</f>
        <v>Subarray Sums Divisible by K</v>
      </c>
      <c r="C975" s="20" t="str">
        <f>IFERROR(__xludf.DUMMYFUNCTION("""COMPUTED_VALUE"""),"subarray-sums-divisible-by-k")</f>
        <v>subarray-sums-divisible-by-k</v>
      </c>
      <c r="D975" s="20" t="b">
        <f>IFERROR(__xludf.DUMMYFUNCTION("""COMPUTED_VALUE"""),FALSE)</f>
        <v>0</v>
      </c>
      <c r="E975" s="20" t="str">
        <f>IFERROR(__xludf.DUMMYFUNCTION("""COMPUTED_VALUE"""),"Medium")</f>
        <v>Medium</v>
      </c>
      <c r="F975" s="20">
        <f>IFERROR(__xludf.DUMMYFUNCTION("""COMPUTED_VALUE"""),3870.0)</f>
        <v>3870</v>
      </c>
      <c r="G975" s="20">
        <f>IFERROR(__xludf.DUMMYFUNCTION("""COMPUTED_VALUE"""),154.0)</f>
        <v>154</v>
      </c>
      <c r="H975" s="20" t="str">
        <f>IFERROR(__xludf.DUMMYFUNCTION("""COMPUTED_VALUE"""),"Algorithms")</f>
        <v>Algorithms</v>
      </c>
      <c r="I975" s="20">
        <f>IFERROR(__xludf.DUMMYFUNCTION("""COMPUTED_VALUE"""),0.536)</f>
        <v>0.536</v>
      </c>
      <c r="J975" s="20">
        <f>IFERROR(__xludf.DUMMYFUNCTION("""COMPUTED_VALUE"""),974.0)</f>
        <v>974</v>
      </c>
      <c r="K975" s="20" t="b">
        <f>IFERROR(__xludf.DUMMYFUNCTION("""COMPUTED_VALUE"""),FALSE)</f>
        <v>0</v>
      </c>
      <c r="L975" s="20" t="str">
        <f>IFERROR(__xludf.DUMMYFUNCTION("""COMPUTED_VALUE"""),"Array;Hash Table;Prefix Sum;")</f>
        <v>Array;Hash Table;Prefix Sum;</v>
      </c>
      <c r="M975" s="20" t="b">
        <f>IFERROR(__xludf.DUMMYFUNCTION("""COMPUTED_VALUE"""),TRUE)</f>
        <v>1</v>
      </c>
      <c r="N975" s="20" t="b">
        <f>IFERROR(__xludf.DUMMYFUNCTION("""COMPUTED_VALUE"""),FALSE)</f>
        <v>0</v>
      </c>
      <c r="O975" s="20">
        <f>IFERROR(__xludf.DUMMYFUNCTION("""COMPUTED_VALUE"""),53.5916562203936)</f>
        <v>53.59165622</v>
      </c>
      <c r="P975" s="20">
        <f>IFERROR(__xludf.DUMMYFUNCTION("""COMPUTED_VALUE"""),129536.0)</f>
        <v>129536</v>
      </c>
      <c r="Q975" s="20">
        <f>IFERROR(__xludf.DUMMYFUNCTION("""COMPUTED_VALUE"""),241711.0)</f>
        <v>241711</v>
      </c>
    </row>
    <row r="976">
      <c r="A976" s="20">
        <f>IFERROR(__xludf.DUMMYFUNCTION("""COMPUTED_VALUE"""),1017.0)</f>
        <v>1017</v>
      </c>
      <c r="B976" s="20" t="str">
        <f>IFERROR(__xludf.DUMMYFUNCTION("""COMPUTED_VALUE"""),"Odd Even Jump")</f>
        <v>Odd Even Jump</v>
      </c>
      <c r="C976" s="20" t="str">
        <f>IFERROR(__xludf.DUMMYFUNCTION("""COMPUTED_VALUE"""),"odd-even-jump")</f>
        <v>odd-even-jump</v>
      </c>
      <c r="D976" s="20" t="b">
        <f>IFERROR(__xludf.DUMMYFUNCTION("""COMPUTED_VALUE"""),FALSE)</f>
        <v>0</v>
      </c>
      <c r="E976" s="20" t="str">
        <f>IFERROR(__xludf.DUMMYFUNCTION("""COMPUTED_VALUE"""),"Hard")</f>
        <v>Hard</v>
      </c>
      <c r="F976" s="20">
        <f>IFERROR(__xludf.DUMMYFUNCTION("""COMPUTED_VALUE"""),1671.0)</f>
        <v>1671</v>
      </c>
      <c r="G976" s="20">
        <f>IFERROR(__xludf.DUMMYFUNCTION("""COMPUTED_VALUE"""),433.0)</f>
        <v>433</v>
      </c>
      <c r="H976" s="20" t="str">
        <f>IFERROR(__xludf.DUMMYFUNCTION("""COMPUTED_VALUE"""),"Algorithms")</f>
        <v>Algorithms</v>
      </c>
      <c r="I976" s="20">
        <f>IFERROR(__xludf.DUMMYFUNCTION("""COMPUTED_VALUE"""),0.389)</f>
        <v>0.389</v>
      </c>
      <c r="J976" s="20">
        <f>IFERROR(__xludf.DUMMYFUNCTION("""COMPUTED_VALUE"""),975.0)</f>
        <v>975</v>
      </c>
      <c r="K976" s="20" t="b">
        <f>IFERROR(__xludf.DUMMYFUNCTION("""COMPUTED_VALUE"""),FALSE)</f>
        <v>0</v>
      </c>
      <c r="L976" s="20" t="str">
        <f>IFERROR(__xludf.DUMMYFUNCTION("""COMPUTED_VALUE"""),"Array;Dynamic Programming;Stack;Monotonic Stack;Ordered Set;")</f>
        <v>Array;Dynamic Programming;Stack;Monotonic Stack;Ordered Set;</v>
      </c>
      <c r="M976" s="20" t="b">
        <f>IFERROR(__xludf.DUMMYFUNCTION("""COMPUTED_VALUE"""),FALSE)</f>
        <v>0</v>
      </c>
      <c r="N976" s="20" t="b">
        <f>IFERROR(__xludf.DUMMYFUNCTION("""COMPUTED_VALUE"""),FALSE)</f>
        <v>0</v>
      </c>
      <c r="O976" s="20">
        <f>IFERROR(__xludf.DUMMYFUNCTION("""COMPUTED_VALUE"""),38.8840792044041)</f>
        <v>38.8840792</v>
      </c>
      <c r="P976" s="20">
        <f>IFERROR(__xludf.DUMMYFUNCTION("""COMPUTED_VALUE"""),70066.0)</f>
        <v>70066</v>
      </c>
      <c r="Q976" s="20">
        <f>IFERROR(__xludf.DUMMYFUNCTION("""COMPUTED_VALUE"""),180190.0)</f>
        <v>180190</v>
      </c>
    </row>
    <row r="977">
      <c r="A977" s="20">
        <f>IFERROR(__xludf.DUMMYFUNCTION("""COMPUTED_VALUE"""),1018.0)</f>
        <v>1018</v>
      </c>
      <c r="B977" s="20" t="str">
        <f>IFERROR(__xludf.DUMMYFUNCTION("""COMPUTED_VALUE"""),"Largest Perimeter Triangle")</f>
        <v>Largest Perimeter Triangle</v>
      </c>
      <c r="C977" s="20" t="str">
        <f>IFERROR(__xludf.DUMMYFUNCTION("""COMPUTED_VALUE"""),"largest-perimeter-triangle")</f>
        <v>largest-perimeter-triangle</v>
      </c>
      <c r="D977" s="20" t="b">
        <f>IFERROR(__xludf.DUMMYFUNCTION("""COMPUTED_VALUE"""),FALSE)</f>
        <v>0</v>
      </c>
      <c r="E977" s="20" t="str">
        <f>IFERROR(__xludf.DUMMYFUNCTION("""COMPUTED_VALUE"""),"Easy")</f>
        <v>Easy</v>
      </c>
      <c r="F977" s="20">
        <f>IFERROR(__xludf.DUMMYFUNCTION("""COMPUTED_VALUE"""),2507.0)</f>
        <v>2507</v>
      </c>
      <c r="G977" s="20">
        <f>IFERROR(__xludf.DUMMYFUNCTION("""COMPUTED_VALUE"""),349.0)</f>
        <v>349</v>
      </c>
      <c r="H977" s="20" t="str">
        <f>IFERROR(__xludf.DUMMYFUNCTION("""COMPUTED_VALUE"""),"Algorithms")</f>
        <v>Algorithms</v>
      </c>
      <c r="I977" s="20">
        <f>IFERROR(__xludf.DUMMYFUNCTION("""COMPUTED_VALUE"""),0.545)</f>
        <v>0.545</v>
      </c>
      <c r="J977" s="20">
        <f>IFERROR(__xludf.DUMMYFUNCTION("""COMPUTED_VALUE"""),976.0)</f>
        <v>976</v>
      </c>
      <c r="K977" s="20" t="b">
        <f>IFERROR(__xludf.DUMMYFUNCTION("""COMPUTED_VALUE"""),FALSE)</f>
        <v>0</v>
      </c>
      <c r="L977" s="20" t="str">
        <f>IFERROR(__xludf.DUMMYFUNCTION("""COMPUTED_VALUE"""),"Array;Math;Greedy;Sorting;")</f>
        <v>Array;Math;Greedy;Sorting;</v>
      </c>
      <c r="M977" s="20" t="b">
        <f>IFERROR(__xludf.DUMMYFUNCTION("""COMPUTED_VALUE"""),TRUE)</f>
        <v>1</v>
      </c>
      <c r="N977" s="20" t="b">
        <f>IFERROR(__xludf.DUMMYFUNCTION("""COMPUTED_VALUE"""),FALSE)</f>
        <v>0</v>
      </c>
      <c r="O977" s="20">
        <f>IFERROR(__xludf.DUMMYFUNCTION("""COMPUTED_VALUE"""),54.4532608277132)</f>
        <v>54.45326083</v>
      </c>
      <c r="P977" s="20">
        <f>IFERROR(__xludf.DUMMYFUNCTION("""COMPUTED_VALUE"""),183847.0)</f>
        <v>183847</v>
      </c>
      <c r="Q977" s="20">
        <f>IFERROR(__xludf.DUMMYFUNCTION("""COMPUTED_VALUE"""),337626.0)</f>
        <v>337626</v>
      </c>
    </row>
    <row r="978">
      <c r="A978" s="20">
        <f>IFERROR(__xludf.DUMMYFUNCTION("""COMPUTED_VALUE"""),1019.0)</f>
        <v>1019</v>
      </c>
      <c r="B978" s="20" t="str">
        <f>IFERROR(__xludf.DUMMYFUNCTION("""COMPUTED_VALUE"""),"Squares of a Sorted Array")</f>
        <v>Squares of a Sorted Array</v>
      </c>
      <c r="C978" s="20" t="str">
        <f>IFERROR(__xludf.DUMMYFUNCTION("""COMPUTED_VALUE"""),"squares-of-a-sorted-array")</f>
        <v>squares-of-a-sorted-array</v>
      </c>
      <c r="D978" s="20" t="b">
        <f>IFERROR(__xludf.DUMMYFUNCTION("""COMPUTED_VALUE"""),FALSE)</f>
        <v>0</v>
      </c>
      <c r="E978" s="20" t="str">
        <f>IFERROR(__xludf.DUMMYFUNCTION("""COMPUTED_VALUE"""),"Easy")</f>
        <v>Easy</v>
      </c>
      <c r="F978" s="20">
        <f>IFERROR(__xludf.DUMMYFUNCTION("""COMPUTED_VALUE"""),7042.0)</f>
        <v>7042</v>
      </c>
      <c r="G978" s="20">
        <f>IFERROR(__xludf.DUMMYFUNCTION("""COMPUTED_VALUE"""),177.0)</f>
        <v>177</v>
      </c>
      <c r="H978" s="20" t="str">
        <f>IFERROR(__xludf.DUMMYFUNCTION("""COMPUTED_VALUE"""),"Algorithms")</f>
        <v>Algorithms</v>
      </c>
      <c r="I978" s="20">
        <f>IFERROR(__xludf.DUMMYFUNCTION("""COMPUTED_VALUE"""),0.719)</f>
        <v>0.719</v>
      </c>
      <c r="J978" s="20">
        <f>IFERROR(__xludf.DUMMYFUNCTION("""COMPUTED_VALUE"""),977.0)</f>
        <v>977</v>
      </c>
      <c r="K978" s="20" t="b">
        <f>IFERROR(__xludf.DUMMYFUNCTION("""COMPUTED_VALUE"""),FALSE)</f>
        <v>0</v>
      </c>
      <c r="L978" s="20" t="str">
        <f>IFERROR(__xludf.DUMMYFUNCTION("""COMPUTED_VALUE"""),"Array;Two Pointers;Sorting;")</f>
        <v>Array;Two Pointers;Sorting;</v>
      </c>
      <c r="M978" s="20" t="b">
        <f>IFERROR(__xludf.DUMMYFUNCTION("""COMPUTED_VALUE"""),TRUE)</f>
        <v>1</v>
      </c>
      <c r="N978" s="20" t="b">
        <f>IFERROR(__xludf.DUMMYFUNCTION("""COMPUTED_VALUE"""),TRUE)</f>
        <v>1</v>
      </c>
      <c r="O978" s="20">
        <f>IFERROR(__xludf.DUMMYFUNCTION("""COMPUTED_VALUE"""),71.9085468101461)</f>
        <v>71.90854681</v>
      </c>
      <c r="P978" s="20">
        <f>IFERROR(__xludf.DUMMYFUNCTION("""COMPUTED_VALUE"""),1273179.0)</f>
        <v>1273179</v>
      </c>
      <c r="Q978" s="20">
        <f>IFERROR(__xludf.DUMMYFUNCTION("""COMPUTED_VALUE"""),1770549.0)</f>
        <v>1770549</v>
      </c>
    </row>
    <row r="979">
      <c r="A979" s="20">
        <f>IFERROR(__xludf.DUMMYFUNCTION("""COMPUTED_VALUE"""),1020.0)</f>
        <v>1020</v>
      </c>
      <c r="B979" s="20" t="str">
        <f>IFERROR(__xludf.DUMMYFUNCTION("""COMPUTED_VALUE"""),"Longest Turbulent Subarray")</f>
        <v>Longest Turbulent Subarray</v>
      </c>
      <c r="C979" s="20" t="str">
        <f>IFERROR(__xludf.DUMMYFUNCTION("""COMPUTED_VALUE"""),"longest-turbulent-subarray")</f>
        <v>longest-turbulent-subarray</v>
      </c>
      <c r="D979" s="20" t="b">
        <f>IFERROR(__xludf.DUMMYFUNCTION("""COMPUTED_VALUE"""),FALSE)</f>
        <v>0</v>
      </c>
      <c r="E979" s="20" t="str">
        <f>IFERROR(__xludf.DUMMYFUNCTION("""COMPUTED_VALUE"""),"Medium")</f>
        <v>Medium</v>
      </c>
      <c r="F979" s="20">
        <f>IFERROR(__xludf.DUMMYFUNCTION("""COMPUTED_VALUE"""),1543.0)</f>
        <v>1543</v>
      </c>
      <c r="G979" s="20">
        <f>IFERROR(__xludf.DUMMYFUNCTION("""COMPUTED_VALUE"""),186.0)</f>
        <v>186</v>
      </c>
      <c r="H979" s="20" t="str">
        <f>IFERROR(__xludf.DUMMYFUNCTION("""COMPUTED_VALUE"""),"Algorithms")</f>
        <v>Algorithms</v>
      </c>
      <c r="I979" s="20">
        <f>IFERROR(__xludf.DUMMYFUNCTION("""COMPUTED_VALUE"""),0.473)</f>
        <v>0.473</v>
      </c>
      <c r="J979" s="20">
        <f>IFERROR(__xludf.DUMMYFUNCTION("""COMPUTED_VALUE"""),978.0)</f>
        <v>978</v>
      </c>
      <c r="K979" s="20" t="b">
        <f>IFERROR(__xludf.DUMMYFUNCTION("""COMPUTED_VALUE"""),FALSE)</f>
        <v>0</v>
      </c>
      <c r="L979" s="20" t="str">
        <f>IFERROR(__xludf.DUMMYFUNCTION("""COMPUTED_VALUE"""),"Array;Dynamic Programming;Sliding Window;")</f>
        <v>Array;Dynamic Programming;Sliding Window;</v>
      </c>
      <c r="M979" s="20" t="b">
        <f>IFERROR(__xludf.DUMMYFUNCTION("""COMPUTED_VALUE"""),TRUE)</f>
        <v>1</v>
      </c>
      <c r="N979" s="20" t="b">
        <f>IFERROR(__xludf.DUMMYFUNCTION("""COMPUTED_VALUE"""),FALSE)</f>
        <v>0</v>
      </c>
      <c r="O979" s="20">
        <f>IFERROR(__xludf.DUMMYFUNCTION("""COMPUTED_VALUE"""),47.3481758474702)</f>
        <v>47.34817585</v>
      </c>
      <c r="P979" s="20">
        <f>IFERROR(__xludf.DUMMYFUNCTION("""COMPUTED_VALUE"""),79517.0)</f>
        <v>79517</v>
      </c>
      <c r="Q979" s="20">
        <f>IFERROR(__xludf.DUMMYFUNCTION("""COMPUTED_VALUE"""),167941.0)</f>
        <v>167941</v>
      </c>
    </row>
    <row r="980">
      <c r="A980" s="20">
        <f>IFERROR(__xludf.DUMMYFUNCTION("""COMPUTED_VALUE"""),1021.0)</f>
        <v>1021</v>
      </c>
      <c r="B980" s="20" t="str">
        <f>IFERROR(__xludf.DUMMYFUNCTION("""COMPUTED_VALUE"""),"Distribute Coins in Binary Tree")</f>
        <v>Distribute Coins in Binary Tree</v>
      </c>
      <c r="C980" s="20" t="str">
        <f>IFERROR(__xludf.DUMMYFUNCTION("""COMPUTED_VALUE"""),"distribute-coins-in-binary-tree")</f>
        <v>distribute-coins-in-binary-tree</v>
      </c>
      <c r="D980" s="20" t="b">
        <f>IFERROR(__xludf.DUMMYFUNCTION("""COMPUTED_VALUE"""),FALSE)</f>
        <v>0</v>
      </c>
      <c r="E980" s="20" t="str">
        <f>IFERROR(__xludf.DUMMYFUNCTION("""COMPUTED_VALUE"""),"Medium")</f>
        <v>Medium</v>
      </c>
      <c r="F980" s="20">
        <f>IFERROR(__xludf.DUMMYFUNCTION("""COMPUTED_VALUE"""),4352.0)</f>
        <v>4352</v>
      </c>
      <c r="G980" s="20">
        <f>IFERROR(__xludf.DUMMYFUNCTION("""COMPUTED_VALUE"""),144.0)</f>
        <v>144</v>
      </c>
      <c r="H980" s="20" t="str">
        <f>IFERROR(__xludf.DUMMYFUNCTION("""COMPUTED_VALUE"""),"Algorithms")</f>
        <v>Algorithms</v>
      </c>
      <c r="I980" s="20">
        <f>IFERROR(__xludf.DUMMYFUNCTION("""COMPUTED_VALUE"""),0.721)</f>
        <v>0.721</v>
      </c>
      <c r="J980" s="20">
        <f>IFERROR(__xludf.DUMMYFUNCTION("""COMPUTED_VALUE"""),979.0)</f>
        <v>979</v>
      </c>
      <c r="K980" s="20" t="b">
        <f>IFERROR(__xludf.DUMMYFUNCTION("""COMPUTED_VALUE"""),FALSE)</f>
        <v>0</v>
      </c>
      <c r="L980" s="20" t="str">
        <f>IFERROR(__xludf.DUMMYFUNCTION("""COMPUTED_VALUE"""),"Tree;Depth-First Search;Binary Tree;")</f>
        <v>Tree;Depth-First Search;Binary Tree;</v>
      </c>
      <c r="M980" s="20" t="b">
        <f>IFERROR(__xludf.DUMMYFUNCTION("""COMPUTED_VALUE"""),TRUE)</f>
        <v>1</v>
      </c>
      <c r="N980" s="20" t="b">
        <f>IFERROR(__xludf.DUMMYFUNCTION("""COMPUTED_VALUE"""),FALSE)</f>
        <v>0</v>
      </c>
      <c r="O980" s="20">
        <f>IFERROR(__xludf.DUMMYFUNCTION("""COMPUTED_VALUE"""),72.1074714758925)</f>
        <v>72.10747148</v>
      </c>
      <c r="P980" s="20">
        <f>IFERROR(__xludf.DUMMYFUNCTION("""COMPUTED_VALUE"""),97958.0)</f>
        <v>97958</v>
      </c>
      <c r="Q980" s="20">
        <f>IFERROR(__xludf.DUMMYFUNCTION("""COMPUTED_VALUE"""),135850.0)</f>
        <v>135850</v>
      </c>
    </row>
    <row r="981">
      <c r="A981" s="20">
        <f>IFERROR(__xludf.DUMMYFUNCTION("""COMPUTED_VALUE"""),1022.0)</f>
        <v>1022</v>
      </c>
      <c r="B981" s="20" t="str">
        <f>IFERROR(__xludf.DUMMYFUNCTION("""COMPUTED_VALUE"""),"Unique Paths III")</f>
        <v>Unique Paths III</v>
      </c>
      <c r="C981" s="20" t="str">
        <f>IFERROR(__xludf.DUMMYFUNCTION("""COMPUTED_VALUE"""),"unique-paths-iii")</f>
        <v>unique-paths-iii</v>
      </c>
      <c r="D981" s="20" t="b">
        <f>IFERROR(__xludf.DUMMYFUNCTION("""COMPUTED_VALUE"""),FALSE)</f>
        <v>0</v>
      </c>
      <c r="E981" s="20" t="str">
        <f>IFERROR(__xludf.DUMMYFUNCTION("""COMPUTED_VALUE"""),"Hard")</f>
        <v>Hard</v>
      </c>
      <c r="F981" s="20">
        <f>IFERROR(__xludf.DUMMYFUNCTION("""COMPUTED_VALUE"""),3496.0)</f>
        <v>3496</v>
      </c>
      <c r="G981" s="20">
        <f>IFERROR(__xludf.DUMMYFUNCTION("""COMPUTED_VALUE"""),149.0)</f>
        <v>149</v>
      </c>
      <c r="H981" s="20" t="str">
        <f>IFERROR(__xludf.DUMMYFUNCTION("""COMPUTED_VALUE"""),"Algorithms")</f>
        <v>Algorithms</v>
      </c>
      <c r="I981" s="20">
        <f>IFERROR(__xludf.DUMMYFUNCTION("""COMPUTED_VALUE"""),0.797)</f>
        <v>0.797</v>
      </c>
      <c r="J981" s="20">
        <f>IFERROR(__xludf.DUMMYFUNCTION("""COMPUTED_VALUE"""),980.0)</f>
        <v>980</v>
      </c>
      <c r="K981" s="20" t="b">
        <f>IFERROR(__xludf.DUMMYFUNCTION("""COMPUTED_VALUE"""),FALSE)</f>
        <v>0</v>
      </c>
      <c r="L981" s="20" t="str">
        <f>IFERROR(__xludf.DUMMYFUNCTION("""COMPUTED_VALUE"""),"Array;Backtracking;Bit Manipulation;Matrix;")</f>
        <v>Array;Backtracking;Bit Manipulation;Matrix;</v>
      </c>
      <c r="M981" s="20" t="b">
        <f>IFERROR(__xludf.DUMMYFUNCTION("""COMPUTED_VALUE"""),TRUE)</f>
        <v>1</v>
      </c>
      <c r="N981" s="20" t="b">
        <f>IFERROR(__xludf.DUMMYFUNCTION("""COMPUTED_VALUE"""),FALSE)</f>
        <v>0</v>
      </c>
      <c r="O981" s="20">
        <f>IFERROR(__xludf.DUMMYFUNCTION("""COMPUTED_VALUE"""),79.7377068949923)</f>
        <v>79.73770689</v>
      </c>
      <c r="P981" s="20">
        <f>IFERROR(__xludf.DUMMYFUNCTION("""COMPUTED_VALUE"""),132240.0)</f>
        <v>132240</v>
      </c>
      <c r="Q981" s="20">
        <f>IFERROR(__xludf.DUMMYFUNCTION("""COMPUTED_VALUE"""),165844.0)</f>
        <v>165844</v>
      </c>
    </row>
    <row r="982">
      <c r="A982" s="20">
        <f>IFERROR(__xludf.DUMMYFUNCTION("""COMPUTED_VALUE"""),1023.0)</f>
        <v>1023</v>
      </c>
      <c r="B982" s="20" t="str">
        <f>IFERROR(__xludf.DUMMYFUNCTION("""COMPUTED_VALUE"""),"Time Based Key-Value Store")</f>
        <v>Time Based Key-Value Store</v>
      </c>
      <c r="C982" s="20" t="str">
        <f>IFERROR(__xludf.DUMMYFUNCTION("""COMPUTED_VALUE"""),"time-based-key-value-store")</f>
        <v>time-based-key-value-store</v>
      </c>
      <c r="D982" s="20" t="b">
        <f>IFERROR(__xludf.DUMMYFUNCTION("""COMPUTED_VALUE"""),FALSE)</f>
        <v>0</v>
      </c>
      <c r="E982" s="20" t="str">
        <f>IFERROR(__xludf.DUMMYFUNCTION("""COMPUTED_VALUE"""),"Medium")</f>
        <v>Medium</v>
      </c>
      <c r="F982" s="20">
        <f>IFERROR(__xludf.DUMMYFUNCTION("""COMPUTED_VALUE"""),3709.0)</f>
        <v>3709</v>
      </c>
      <c r="G982" s="20">
        <f>IFERROR(__xludf.DUMMYFUNCTION("""COMPUTED_VALUE"""),351.0)</f>
        <v>351</v>
      </c>
      <c r="H982" s="20" t="str">
        <f>IFERROR(__xludf.DUMMYFUNCTION("""COMPUTED_VALUE"""),"Algorithms")</f>
        <v>Algorithms</v>
      </c>
      <c r="I982" s="20">
        <f>IFERROR(__xludf.DUMMYFUNCTION("""COMPUTED_VALUE"""),0.532)</f>
        <v>0.532</v>
      </c>
      <c r="J982" s="20">
        <f>IFERROR(__xludf.DUMMYFUNCTION("""COMPUTED_VALUE"""),981.0)</f>
        <v>981</v>
      </c>
      <c r="K982" s="20" t="b">
        <f>IFERROR(__xludf.DUMMYFUNCTION("""COMPUTED_VALUE"""),FALSE)</f>
        <v>0</v>
      </c>
      <c r="L982" s="20" t="str">
        <f>IFERROR(__xludf.DUMMYFUNCTION("""COMPUTED_VALUE"""),"Hash Table;String;Binary Search;Design;")</f>
        <v>Hash Table;String;Binary Search;Design;</v>
      </c>
      <c r="M982" s="20" t="b">
        <f>IFERROR(__xludf.DUMMYFUNCTION("""COMPUTED_VALUE"""),TRUE)</f>
        <v>1</v>
      </c>
      <c r="N982" s="20" t="b">
        <f>IFERROR(__xludf.DUMMYFUNCTION("""COMPUTED_VALUE"""),FALSE)</f>
        <v>0</v>
      </c>
      <c r="O982" s="20">
        <f>IFERROR(__xludf.DUMMYFUNCTION("""COMPUTED_VALUE"""),53.1516677640206)</f>
        <v>53.15166776</v>
      </c>
      <c r="P982" s="20">
        <f>IFERROR(__xludf.DUMMYFUNCTION("""COMPUTED_VALUE"""),289809.0)</f>
        <v>289809</v>
      </c>
      <c r="Q982" s="20">
        <f>IFERROR(__xludf.DUMMYFUNCTION("""COMPUTED_VALUE"""),545249.0)</f>
        <v>545249</v>
      </c>
    </row>
    <row r="983">
      <c r="A983" s="20">
        <f>IFERROR(__xludf.DUMMYFUNCTION("""COMPUTED_VALUE"""),1024.0)</f>
        <v>1024</v>
      </c>
      <c r="B983" s="20" t="str">
        <f>IFERROR(__xludf.DUMMYFUNCTION("""COMPUTED_VALUE"""),"Triples with Bitwise AND Equal To Zero")</f>
        <v>Triples with Bitwise AND Equal To Zero</v>
      </c>
      <c r="C983" s="20" t="str">
        <f>IFERROR(__xludf.DUMMYFUNCTION("""COMPUTED_VALUE"""),"triples-with-bitwise-and-equal-to-zero")</f>
        <v>triples-with-bitwise-and-equal-to-zero</v>
      </c>
      <c r="D983" s="20" t="b">
        <f>IFERROR(__xludf.DUMMYFUNCTION("""COMPUTED_VALUE"""),FALSE)</f>
        <v>0</v>
      </c>
      <c r="E983" s="20" t="str">
        <f>IFERROR(__xludf.DUMMYFUNCTION("""COMPUTED_VALUE"""),"Hard")</f>
        <v>Hard</v>
      </c>
      <c r="F983" s="20">
        <f>IFERROR(__xludf.DUMMYFUNCTION("""COMPUTED_VALUE"""),329.0)</f>
        <v>329</v>
      </c>
      <c r="G983" s="20">
        <f>IFERROR(__xludf.DUMMYFUNCTION("""COMPUTED_VALUE"""),198.0)</f>
        <v>198</v>
      </c>
      <c r="H983" s="20" t="str">
        <f>IFERROR(__xludf.DUMMYFUNCTION("""COMPUTED_VALUE"""),"Algorithms")</f>
        <v>Algorithms</v>
      </c>
      <c r="I983" s="20">
        <f>IFERROR(__xludf.DUMMYFUNCTION("""COMPUTED_VALUE"""),0.577)</f>
        <v>0.577</v>
      </c>
      <c r="J983" s="20">
        <f>IFERROR(__xludf.DUMMYFUNCTION("""COMPUTED_VALUE"""),982.0)</f>
        <v>982</v>
      </c>
      <c r="K983" s="20" t="b">
        <f>IFERROR(__xludf.DUMMYFUNCTION("""COMPUTED_VALUE"""),FALSE)</f>
        <v>0</v>
      </c>
      <c r="L983" s="20" t="str">
        <f>IFERROR(__xludf.DUMMYFUNCTION("""COMPUTED_VALUE"""),"Array;Hash Table;Bit Manipulation;")</f>
        <v>Array;Hash Table;Bit Manipulation;</v>
      </c>
      <c r="M983" s="20" t="b">
        <f>IFERROR(__xludf.DUMMYFUNCTION("""COMPUTED_VALUE"""),FALSE)</f>
        <v>0</v>
      </c>
      <c r="N983" s="20" t="b">
        <f>IFERROR(__xludf.DUMMYFUNCTION("""COMPUTED_VALUE"""),FALSE)</f>
        <v>0</v>
      </c>
      <c r="O983" s="20">
        <f>IFERROR(__xludf.DUMMYFUNCTION("""COMPUTED_VALUE"""),57.6554828150572)</f>
        <v>57.65548282</v>
      </c>
      <c r="P983" s="20">
        <f>IFERROR(__xludf.DUMMYFUNCTION("""COMPUTED_VALUE"""),14091.0)</f>
        <v>14091</v>
      </c>
      <c r="Q983" s="20">
        <f>IFERROR(__xludf.DUMMYFUNCTION("""COMPUTED_VALUE"""),24440.0)</f>
        <v>24440</v>
      </c>
    </row>
    <row r="984">
      <c r="A984" s="20">
        <f>IFERROR(__xludf.DUMMYFUNCTION("""COMPUTED_VALUE"""),1025.0)</f>
        <v>1025</v>
      </c>
      <c r="B984" s="20" t="str">
        <f>IFERROR(__xludf.DUMMYFUNCTION("""COMPUTED_VALUE"""),"Minimum Cost For Tickets")</f>
        <v>Minimum Cost For Tickets</v>
      </c>
      <c r="C984" s="20" t="str">
        <f>IFERROR(__xludf.DUMMYFUNCTION("""COMPUTED_VALUE"""),"minimum-cost-for-tickets")</f>
        <v>minimum-cost-for-tickets</v>
      </c>
      <c r="D984" s="20" t="b">
        <f>IFERROR(__xludf.DUMMYFUNCTION("""COMPUTED_VALUE"""),FALSE)</f>
        <v>0</v>
      </c>
      <c r="E984" s="20" t="str">
        <f>IFERROR(__xludf.DUMMYFUNCTION("""COMPUTED_VALUE"""),"Medium")</f>
        <v>Medium</v>
      </c>
      <c r="F984" s="20">
        <f>IFERROR(__xludf.DUMMYFUNCTION("""COMPUTED_VALUE"""),5405.0)</f>
        <v>5405</v>
      </c>
      <c r="G984" s="20">
        <f>IFERROR(__xludf.DUMMYFUNCTION("""COMPUTED_VALUE"""),92.0)</f>
        <v>92</v>
      </c>
      <c r="H984" s="20" t="str">
        <f>IFERROR(__xludf.DUMMYFUNCTION("""COMPUTED_VALUE"""),"Algorithms")</f>
        <v>Algorithms</v>
      </c>
      <c r="I984" s="20">
        <f>IFERROR(__xludf.DUMMYFUNCTION("""COMPUTED_VALUE"""),0.644)</f>
        <v>0.644</v>
      </c>
      <c r="J984" s="20">
        <f>IFERROR(__xludf.DUMMYFUNCTION("""COMPUTED_VALUE"""),983.0)</f>
        <v>983</v>
      </c>
      <c r="K984" s="20" t="b">
        <f>IFERROR(__xludf.DUMMYFUNCTION("""COMPUTED_VALUE"""),FALSE)</f>
        <v>0</v>
      </c>
      <c r="L984" s="20" t="str">
        <f>IFERROR(__xludf.DUMMYFUNCTION("""COMPUTED_VALUE"""),"Array;Dynamic Programming;")</f>
        <v>Array;Dynamic Programming;</v>
      </c>
      <c r="M984" s="20" t="b">
        <f>IFERROR(__xludf.DUMMYFUNCTION("""COMPUTED_VALUE"""),TRUE)</f>
        <v>1</v>
      </c>
      <c r="N984" s="20" t="b">
        <f>IFERROR(__xludf.DUMMYFUNCTION("""COMPUTED_VALUE"""),FALSE)</f>
        <v>0</v>
      </c>
      <c r="O984" s="20">
        <f>IFERROR(__xludf.DUMMYFUNCTION("""COMPUTED_VALUE"""),64.3675750229281)</f>
        <v>64.36757502</v>
      </c>
      <c r="P984" s="20">
        <f>IFERROR(__xludf.DUMMYFUNCTION("""COMPUTED_VALUE"""),181071.0)</f>
        <v>181071</v>
      </c>
      <c r="Q984" s="20">
        <f>IFERROR(__xludf.DUMMYFUNCTION("""COMPUTED_VALUE"""),281307.0)</f>
        <v>281307</v>
      </c>
    </row>
    <row r="985">
      <c r="A985" s="20">
        <f>IFERROR(__xludf.DUMMYFUNCTION("""COMPUTED_VALUE"""),1026.0)</f>
        <v>1026</v>
      </c>
      <c r="B985" s="20" t="str">
        <f>IFERROR(__xludf.DUMMYFUNCTION("""COMPUTED_VALUE"""),"String Without AAA or BBB")</f>
        <v>String Without AAA or BBB</v>
      </c>
      <c r="C985" s="20" t="str">
        <f>IFERROR(__xludf.DUMMYFUNCTION("""COMPUTED_VALUE"""),"string-without-aaa-or-bbb")</f>
        <v>string-without-aaa-or-bbb</v>
      </c>
      <c r="D985" s="20" t="b">
        <f>IFERROR(__xludf.DUMMYFUNCTION("""COMPUTED_VALUE"""),FALSE)</f>
        <v>0</v>
      </c>
      <c r="E985" s="20" t="str">
        <f>IFERROR(__xludf.DUMMYFUNCTION("""COMPUTED_VALUE"""),"Medium")</f>
        <v>Medium</v>
      </c>
      <c r="F985" s="20">
        <f>IFERROR(__xludf.DUMMYFUNCTION("""COMPUTED_VALUE"""),612.0)</f>
        <v>612</v>
      </c>
      <c r="G985" s="20">
        <f>IFERROR(__xludf.DUMMYFUNCTION("""COMPUTED_VALUE"""),346.0)</f>
        <v>346</v>
      </c>
      <c r="H985" s="20" t="str">
        <f>IFERROR(__xludf.DUMMYFUNCTION("""COMPUTED_VALUE"""),"Algorithms")</f>
        <v>Algorithms</v>
      </c>
      <c r="I985" s="20">
        <f>IFERROR(__xludf.DUMMYFUNCTION("""COMPUTED_VALUE"""),0.43)</f>
        <v>0.43</v>
      </c>
      <c r="J985" s="20">
        <f>IFERROR(__xludf.DUMMYFUNCTION("""COMPUTED_VALUE"""),984.0)</f>
        <v>984</v>
      </c>
      <c r="K985" s="20" t="b">
        <f>IFERROR(__xludf.DUMMYFUNCTION("""COMPUTED_VALUE"""),FALSE)</f>
        <v>0</v>
      </c>
      <c r="L985" s="20" t="str">
        <f>IFERROR(__xludf.DUMMYFUNCTION("""COMPUTED_VALUE"""),"String;Greedy;")</f>
        <v>String;Greedy;</v>
      </c>
      <c r="M985" s="20" t="b">
        <f>IFERROR(__xludf.DUMMYFUNCTION("""COMPUTED_VALUE"""),TRUE)</f>
        <v>1</v>
      </c>
      <c r="N985" s="20" t="b">
        <f>IFERROR(__xludf.DUMMYFUNCTION("""COMPUTED_VALUE"""),FALSE)</f>
        <v>0</v>
      </c>
      <c r="O985" s="20">
        <f>IFERROR(__xludf.DUMMYFUNCTION("""COMPUTED_VALUE"""),42.9809725158562)</f>
        <v>42.98097252</v>
      </c>
      <c r="P985" s="20">
        <f>IFERROR(__xludf.DUMMYFUNCTION("""COMPUTED_VALUE"""),38627.0)</f>
        <v>38627</v>
      </c>
      <c r="Q985" s="20">
        <f>IFERROR(__xludf.DUMMYFUNCTION("""COMPUTED_VALUE"""),89870.0)</f>
        <v>89870</v>
      </c>
    </row>
    <row r="986">
      <c r="A986" s="20">
        <f>IFERROR(__xludf.DUMMYFUNCTION("""COMPUTED_VALUE"""),1027.0)</f>
        <v>1027</v>
      </c>
      <c r="B986" s="20" t="str">
        <f>IFERROR(__xludf.DUMMYFUNCTION("""COMPUTED_VALUE"""),"Sum of Even Numbers After Queries")</f>
        <v>Sum of Even Numbers After Queries</v>
      </c>
      <c r="C986" s="20" t="str">
        <f>IFERROR(__xludf.DUMMYFUNCTION("""COMPUTED_VALUE"""),"sum-of-even-numbers-after-queries")</f>
        <v>sum-of-even-numbers-after-queries</v>
      </c>
      <c r="D986" s="20" t="b">
        <f>IFERROR(__xludf.DUMMYFUNCTION("""COMPUTED_VALUE"""),FALSE)</f>
        <v>0</v>
      </c>
      <c r="E986" s="20" t="str">
        <f>IFERROR(__xludf.DUMMYFUNCTION("""COMPUTED_VALUE"""),"Medium")</f>
        <v>Medium</v>
      </c>
      <c r="F986" s="20">
        <f>IFERROR(__xludf.DUMMYFUNCTION("""COMPUTED_VALUE"""),1917.0)</f>
        <v>1917</v>
      </c>
      <c r="G986" s="20">
        <f>IFERROR(__xludf.DUMMYFUNCTION("""COMPUTED_VALUE"""),312.0)</f>
        <v>312</v>
      </c>
      <c r="H986" s="20" t="str">
        <f>IFERROR(__xludf.DUMMYFUNCTION("""COMPUTED_VALUE"""),"Algorithms")</f>
        <v>Algorithms</v>
      </c>
      <c r="I986" s="20">
        <f>IFERROR(__xludf.DUMMYFUNCTION("""COMPUTED_VALUE"""),0.682)</f>
        <v>0.682</v>
      </c>
      <c r="J986" s="20">
        <f>IFERROR(__xludf.DUMMYFUNCTION("""COMPUTED_VALUE"""),985.0)</f>
        <v>985</v>
      </c>
      <c r="K986" s="20" t="b">
        <f>IFERROR(__xludf.DUMMYFUNCTION("""COMPUTED_VALUE"""),FALSE)</f>
        <v>0</v>
      </c>
      <c r="L986" s="20" t="str">
        <f>IFERROR(__xludf.DUMMYFUNCTION("""COMPUTED_VALUE"""),"Array;Simulation;")</f>
        <v>Array;Simulation;</v>
      </c>
      <c r="M986" s="20" t="b">
        <f>IFERROR(__xludf.DUMMYFUNCTION("""COMPUTED_VALUE"""),TRUE)</f>
        <v>1</v>
      </c>
      <c r="N986" s="20" t="b">
        <f>IFERROR(__xludf.DUMMYFUNCTION("""COMPUTED_VALUE"""),FALSE)</f>
        <v>0</v>
      </c>
      <c r="O986" s="20">
        <f>IFERROR(__xludf.DUMMYFUNCTION("""COMPUTED_VALUE"""),68.2258806606343)</f>
        <v>68.22588066</v>
      </c>
      <c r="P986" s="20">
        <f>IFERROR(__xludf.DUMMYFUNCTION("""COMPUTED_VALUE"""),129009.0)</f>
        <v>129009</v>
      </c>
      <c r="Q986" s="20">
        <f>IFERROR(__xludf.DUMMYFUNCTION("""COMPUTED_VALUE"""),189091.0)</f>
        <v>189091</v>
      </c>
    </row>
    <row r="987">
      <c r="A987" s="20">
        <f>IFERROR(__xludf.DUMMYFUNCTION("""COMPUTED_VALUE"""),1028.0)</f>
        <v>1028</v>
      </c>
      <c r="B987" s="20" t="str">
        <f>IFERROR(__xludf.DUMMYFUNCTION("""COMPUTED_VALUE"""),"Interval List Intersections")</f>
        <v>Interval List Intersections</v>
      </c>
      <c r="C987" s="20" t="str">
        <f>IFERROR(__xludf.DUMMYFUNCTION("""COMPUTED_VALUE"""),"interval-list-intersections")</f>
        <v>interval-list-intersections</v>
      </c>
      <c r="D987" s="20" t="b">
        <f>IFERROR(__xludf.DUMMYFUNCTION("""COMPUTED_VALUE"""),FALSE)</f>
        <v>0</v>
      </c>
      <c r="E987" s="20" t="str">
        <f>IFERROR(__xludf.DUMMYFUNCTION("""COMPUTED_VALUE"""),"Medium")</f>
        <v>Medium</v>
      </c>
      <c r="F987" s="20">
        <f>IFERROR(__xludf.DUMMYFUNCTION("""COMPUTED_VALUE"""),4857.0)</f>
        <v>4857</v>
      </c>
      <c r="G987" s="20">
        <f>IFERROR(__xludf.DUMMYFUNCTION("""COMPUTED_VALUE"""),95.0)</f>
        <v>95</v>
      </c>
      <c r="H987" s="20" t="str">
        <f>IFERROR(__xludf.DUMMYFUNCTION("""COMPUTED_VALUE"""),"Algorithms")</f>
        <v>Algorithms</v>
      </c>
      <c r="I987" s="20">
        <f>IFERROR(__xludf.DUMMYFUNCTION("""COMPUTED_VALUE"""),0.714)</f>
        <v>0.714</v>
      </c>
      <c r="J987" s="20">
        <f>IFERROR(__xludf.DUMMYFUNCTION("""COMPUTED_VALUE"""),986.0)</f>
        <v>986</v>
      </c>
      <c r="K987" s="20" t="b">
        <f>IFERROR(__xludf.DUMMYFUNCTION("""COMPUTED_VALUE"""),FALSE)</f>
        <v>0</v>
      </c>
      <c r="L987" s="20" t="str">
        <f>IFERROR(__xludf.DUMMYFUNCTION("""COMPUTED_VALUE"""),"Array;Two Pointers;")</f>
        <v>Array;Two Pointers;</v>
      </c>
      <c r="M987" s="20" t="b">
        <f>IFERROR(__xludf.DUMMYFUNCTION("""COMPUTED_VALUE"""),TRUE)</f>
        <v>1</v>
      </c>
      <c r="N987" s="20" t="b">
        <f>IFERROR(__xludf.DUMMYFUNCTION("""COMPUTED_VALUE"""),FALSE)</f>
        <v>0</v>
      </c>
      <c r="O987" s="20">
        <f>IFERROR(__xludf.DUMMYFUNCTION("""COMPUTED_VALUE"""),71.3821506838963)</f>
        <v>71.38215068</v>
      </c>
      <c r="P987" s="20">
        <f>IFERROR(__xludf.DUMMYFUNCTION("""COMPUTED_VALUE"""),340056.0)</f>
        <v>340056</v>
      </c>
      <c r="Q987" s="20">
        <f>IFERROR(__xludf.DUMMYFUNCTION("""COMPUTED_VALUE"""),476385.0)</f>
        <v>476385</v>
      </c>
    </row>
    <row r="988">
      <c r="A988" s="20">
        <f>IFERROR(__xludf.DUMMYFUNCTION("""COMPUTED_VALUE"""),1029.0)</f>
        <v>1029</v>
      </c>
      <c r="B988" s="20" t="str">
        <f>IFERROR(__xludf.DUMMYFUNCTION("""COMPUTED_VALUE"""),"Vertical Order Traversal of a Binary Tree")</f>
        <v>Vertical Order Traversal of a Binary Tree</v>
      </c>
      <c r="C988" s="20" t="str">
        <f>IFERROR(__xludf.DUMMYFUNCTION("""COMPUTED_VALUE"""),"vertical-order-traversal-of-a-binary-tree")</f>
        <v>vertical-order-traversal-of-a-binary-tree</v>
      </c>
      <c r="D988" s="20" t="b">
        <f>IFERROR(__xludf.DUMMYFUNCTION("""COMPUTED_VALUE"""),FALSE)</f>
        <v>0</v>
      </c>
      <c r="E988" s="20" t="str">
        <f>IFERROR(__xludf.DUMMYFUNCTION("""COMPUTED_VALUE"""),"Hard")</f>
        <v>Hard</v>
      </c>
      <c r="F988" s="20">
        <f>IFERROR(__xludf.DUMMYFUNCTION("""COMPUTED_VALUE"""),5562.0)</f>
        <v>5562</v>
      </c>
      <c r="G988" s="20">
        <f>IFERROR(__xludf.DUMMYFUNCTION("""COMPUTED_VALUE"""),4012.0)</f>
        <v>4012</v>
      </c>
      <c r="H988" s="20" t="str">
        <f>IFERROR(__xludf.DUMMYFUNCTION("""COMPUTED_VALUE"""),"Algorithms")</f>
        <v>Algorithms</v>
      </c>
      <c r="I988" s="20">
        <f>IFERROR(__xludf.DUMMYFUNCTION("""COMPUTED_VALUE"""),0.448)</f>
        <v>0.448</v>
      </c>
      <c r="J988" s="20">
        <f>IFERROR(__xludf.DUMMYFUNCTION("""COMPUTED_VALUE"""),987.0)</f>
        <v>987</v>
      </c>
      <c r="K988" s="20" t="b">
        <f>IFERROR(__xludf.DUMMYFUNCTION("""COMPUTED_VALUE"""),FALSE)</f>
        <v>0</v>
      </c>
      <c r="L988" s="20" t="str">
        <f>IFERROR(__xludf.DUMMYFUNCTION("""COMPUTED_VALUE"""),"Hash Table;Tree;Depth-First Search;Breadth-First Search;Binary Tree;")</f>
        <v>Hash Table;Tree;Depth-First Search;Breadth-First Search;Binary Tree;</v>
      </c>
      <c r="M988" s="20" t="b">
        <f>IFERROR(__xludf.DUMMYFUNCTION("""COMPUTED_VALUE"""),TRUE)</f>
        <v>1</v>
      </c>
      <c r="N988" s="20" t="b">
        <f>IFERROR(__xludf.DUMMYFUNCTION("""COMPUTED_VALUE"""),TRUE)</f>
        <v>1</v>
      </c>
      <c r="O988" s="20">
        <f>IFERROR(__xludf.DUMMYFUNCTION("""COMPUTED_VALUE"""),44.759836807544)</f>
        <v>44.75983681</v>
      </c>
      <c r="P988" s="20">
        <f>IFERROR(__xludf.DUMMYFUNCTION("""COMPUTED_VALUE"""),314974.0)</f>
        <v>314974</v>
      </c>
      <c r="Q988" s="20">
        <f>IFERROR(__xludf.DUMMYFUNCTION("""COMPUTED_VALUE"""),703703.0)</f>
        <v>703703</v>
      </c>
    </row>
    <row r="989">
      <c r="A989" s="20">
        <f>IFERROR(__xludf.DUMMYFUNCTION("""COMPUTED_VALUE"""),1030.0)</f>
        <v>1030</v>
      </c>
      <c r="B989" s="20" t="str">
        <f>IFERROR(__xludf.DUMMYFUNCTION("""COMPUTED_VALUE"""),"Smallest String Starting From Leaf")</f>
        <v>Smallest String Starting From Leaf</v>
      </c>
      <c r="C989" s="20" t="str">
        <f>IFERROR(__xludf.DUMMYFUNCTION("""COMPUTED_VALUE"""),"smallest-string-starting-from-leaf")</f>
        <v>smallest-string-starting-from-leaf</v>
      </c>
      <c r="D989" s="20" t="b">
        <f>IFERROR(__xludf.DUMMYFUNCTION("""COMPUTED_VALUE"""),FALSE)</f>
        <v>0</v>
      </c>
      <c r="E989" s="20" t="str">
        <f>IFERROR(__xludf.DUMMYFUNCTION("""COMPUTED_VALUE"""),"Medium")</f>
        <v>Medium</v>
      </c>
      <c r="F989" s="20">
        <f>IFERROR(__xludf.DUMMYFUNCTION("""COMPUTED_VALUE"""),1362.0)</f>
        <v>1362</v>
      </c>
      <c r="G989" s="20">
        <f>IFERROR(__xludf.DUMMYFUNCTION("""COMPUTED_VALUE"""),193.0)</f>
        <v>193</v>
      </c>
      <c r="H989" s="20" t="str">
        <f>IFERROR(__xludf.DUMMYFUNCTION("""COMPUTED_VALUE"""),"Algorithms")</f>
        <v>Algorithms</v>
      </c>
      <c r="I989" s="20">
        <f>IFERROR(__xludf.DUMMYFUNCTION("""COMPUTED_VALUE"""),0.498)</f>
        <v>0.498</v>
      </c>
      <c r="J989" s="20">
        <f>IFERROR(__xludf.DUMMYFUNCTION("""COMPUTED_VALUE"""),988.0)</f>
        <v>988</v>
      </c>
      <c r="K989" s="20" t="b">
        <f>IFERROR(__xludf.DUMMYFUNCTION("""COMPUTED_VALUE"""),FALSE)</f>
        <v>0</v>
      </c>
      <c r="L989" s="20" t="str">
        <f>IFERROR(__xludf.DUMMYFUNCTION("""COMPUTED_VALUE"""),"String;Tree;Depth-First Search;Binary Tree;")</f>
        <v>String;Tree;Depth-First Search;Binary Tree;</v>
      </c>
      <c r="M989" s="20" t="b">
        <f>IFERROR(__xludf.DUMMYFUNCTION("""COMPUTED_VALUE"""),TRUE)</f>
        <v>1</v>
      </c>
      <c r="N989" s="20" t="b">
        <f>IFERROR(__xludf.DUMMYFUNCTION("""COMPUTED_VALUE"""),FALSE)</f>
        <v>0</v>
      </c>
      <c r="O989" s="20">
        <f>IFERROR(__xludf.DUMMYFUNCTION("""COMPUTED_VALUE"""),49.8315829612799)</f>
        <v>49.83158296</v>
      </c>
      <c r="P989" s="20">
        <f>IFERROR(__xludf.DUMMYFUNCTION("""COMPUTED_VALUE"""),62726.0)</f>
        <v>62726</v>
      </c>
      <c r="Q989" s="20">
        <f>IFERROR(__xludf.DUMMYFUNCTION("""COMPUTED_VALUE"""),125876.0)</f>
        <v>125876</v>
      </c>
    </row>
    <row r="990">
      <c r="A990" s="20">
        <f>IFERROR(__xludf.DUMMYFUNCTION("""COMPUTED_VALUE"""),1031.0)</f>
        <v>1031</v>
      </c>
      <c r="B990" s="20" t="str">
        <f>IFERROR(__xludf.DUMMYFUNCTION("""COMPUTED_VALUE"""),"Add to Array-Form of Integer")</f>
        <v>Add to Array-Form of Integer</v>
      </c>
      <c r="C990" s="20" t="str">
        <f>IFERROR(__xludf.DUMMYFUNCTION("""COMPUTED_VALUE"""),"add-to-array-form-of-integer")</f>
        <v>add-to-array-form-of-integer</v>
      </c>
      <c r="D990" s="20" t="b">
        <f>IFERROR(__xludf.DUMMYFUNCTION("""COMPUTED_VALUE"""),FALSE)</f>
        <v>0</v>
      </c>
      <c r="E990" s="20" t="str">
        <f>IFERROR(__xludf.DUMMYFUNCTION("""COMPUTED_VALUE"""),"Easy")</f>
        <v>Easy</v>
      </c>
      <c r="F990" s="20">
        <f>IFERROR(__xludf.DUMMYFUNCTION("""COMPUTED_VALUE"""),1692.0)</f>
        <v>1692</v>
      </c>
      <c r="G990" s="20">
        <f>IFERROR(__xludf.DUMMYFUNCTION("""COMPUTED_VALUE"""),165.0)</f>
        <v>165</v>
      </c>
      <c r="H990" s="20" t="str">
        <f>IFERROR(__xludf.DUMMYFUNCTION("""COMPUTED_VALUE"""),"Algorithms")</f>
        <v>Algorithms</v>
      </c>
      <c r="I990" s="20">
        <f>IFERROR(__xludf.DUMMYFUNCTION("""COMPUTED_VALUE"""),0.455)</f>
        <v>0.455</v>
      </c>
      <c r="J990" s="20">
        <f>IFERROR(__xludf.DUMMYFUNCTION("""COMPUTED_VALUE"""),989.0)</f>
        <v>989</v>
      </c>
      <c r="K990" s="20" t="b">
        <f>IFERROR(__xludf.DUMMYFUNCTION("""COMPUTED_VALUE"""),FALSE)</f>
        <v>0</v>
      </c>
      <c r="L990" s="20" t="str">
        <f>IFERROR(__xludf.DUMMYFUNCTION("""COMPUTED_VALUE"""),"Array;Math;")</f>
        <v>Array;Math;</v>
      </c>
      <c r="M990" s="20" t="b">
        <f>IFERROR(__xludf.DUMMYFUNCTION("""COMPUTED_VALUE"""),TRUE)</f>
        <v>1</v>
      </c>
      <c r="N990" s="20" t="b">
        <f>IFERROR(__xludf.DUMMYFUNCTION("""COMPUTED_VALUE"""),FALSE)</f>
        <v>0</v>
      </c>
      <c r="O990" s="20">
        <f>IFERROR(__xludf.DUMMYFUNCTION("""COMPUTED_VALUE"""),45.4969443550981)</f>
        <v>45.49694436</v>
      </c>
      <c r="P990" s="20">
        <f>IFERROR(__xludf.DUMMYFUNCTION("""COMPUTED_VALUE"""),138621.0)</f>
        <v>138621</v>
      </c>
      <c r="Q990" s="20">
        <f>IFERROR(__xludf.DUMMYFUNCTION("""COMPUTED_VALUE"""),304682.0)</f>
        <v>304682</v>
      </c>
    </row>
    <row r="991">
      <c r="A991" s="20">
        <f>IFERROR(__xludf.DUMMYFUNCTION("""COMPUTED_VALUE"""),1032.0)</f>
        <v>1032</v>
      </c>
      <c r="B991" s="20" t="str">
        <f>IFERROR(__xludf.DUMMYFUNCTION("""COMPUTED_VALUE"""),"Satisfiability of Equality Equations")</f>
        <v>Satisfiability of Equality Equations</v>
      </c>
      <c r="C991" s="20" t="str">
        <f>IFERROR(__xludf.DUMMYFUNCTION("""COMPUTED_VALUE"""),"satisfiability-of-equality-equations")</f>
        <v>satisfiability-of-equality-equations</v>
      </c>
      <c r="D991" s="20" t="b">
        <f>IFERROR(__xludf.DUMMYFUNCTION("""COMPUTED_VALUE"""),FALSE)</f>
        <v>0</v>
      </c>
      <c r="E991" s="20" t="str">
        <f>IFERROR(__xludf.DUMMYFUNCTION("""COMPUTED_VALUE"""),"Medium")</f>
        <v>Medium</v>
      </c>
      <c r="F991" s="20">
        <f>IFERROR(__xludf.DUMMYFUNCTION("""COMPUTED_VALUE"""),3219.0)</f>
        <v>3219</v>
      </c>
      <c r="G991" s="20">
        <f>IFERROR(__xludf.DUMMYFUNCTION("""COMPUTED_VALUE"""),48.0)</f>
        <v>48</v>
      </c>
      <c r="H991" s="20" t="str">
        <f>IFERROR(__xludf.DUMMYFUNCTION("""COMPUTED_VALUE"""),"Algorithms")</f>
        <v>Algorithms</v>
      </c>
      <c r="I991" s="20">
        <f>IFERROR(__xludf.DUMMYFUNCTION("""COMPUTED_VALUE"""),0.508)</f>
        <v>0.508</v>
      </c>
      <c r="J991" s="20">
        <f>IFERROR(__xludf.DUMMYFUNCTION("""COMPUTED_VALUE"""),990.0)</f>
        <v>990</v>
      </c>
      <c r="K991" s="20" t="b">
        <f>IFERROR(__xludf.DUMMYFUNCTION("""COMPUTED_VALUE"""),FALSE)</f>
        <v>0</v>
      </c>
      <c r="L991" s="20" t="str">
        <f>IFERROR(__xludf.DUMMYFUNCTION("""COMPUTED_VALUE"""),"Array;String;Union Find;Graph;")</f>
        <v>Array;String;Union Find;Graph;</v>
      </c>
      <c r="M991" s="20" t="b">
        <f>IFERROR(__xludf.DUMMYFUNCTION("""COMPUTED_VALUE"""),TRUE)</f>
        <v>1</v>
      </c>
      <c r="N991" s="20" t="b">
        <f>IFERROR(__xludf.DUMMYFUNCTION("""COMPUTED_VALUE"""),FALSE)</f>
        <v>0</v>
      </c>
      <c r="O991" s="20">
        <f>IFERROR(__xludf.DUMMYFUNCTION("""COMPUTED_VALUE"""),50.7756402872172)</f>
        <v>50.77564029</v>
      </c>
      <c r="P991" s="20">
        <f>IFERROR(__xludf.DUMMYFUNCTION("""COMPUTED_VALUE"""),105788.0)</f>
        <v>105788</v>
      </c>
      <c r="Q991" s="20">
        <f>IFERROR(__xludf.DUMMYFUNCTION("""COMPUTED_VALUE"""),208344.0)</f>
        <v>208344</v>
      </c>
    </row>
    <row r="992">
      <c r="A992" s="20">
        <f>IFERROR(__xludf.DUMMYFUNCTION("""COMPUTED_VALUE"""),1033.0)</f>
        <v>1033</v>
      </c>
      <c r="B992" s="20" t="str">
        <f>IFERROR(__xludf.DUMMYFUNCTION("""COMPUTED_VALUE"""),"Broken Calculator")</f>
        <v>Broken Calculator</v>
      </c>
      <c r="C992" s="20" t="str">
        <f>IFERROR(__xludf.DUMMYFUNCTION("""COMPUTED_VALUE"""),"broken-calculator")</f>
        <v>broken-calculator</v>
      </c>
      <c r="D992" s="20" t="b">
        <f>IFERROR(__xludf.DUMMYFUNCTION("""COMPUTED_VALUE"""),FALSE)</f>
        <v>0</v>
      </c>
      <c r="E992" s="20" t="str">
        <f>IFERROR(__xludf.DUMMYFUNCTION("""COMPUTED_VALUE"""),"Medium")</f>
        <v>Medium</v>
      </c>
      <c r="F992" s="20">
        <f>IFERROR(__xludf.DUMMYFUNCTION("""COMPUTED_VALUE"""),2439.0)</f>
        <v>2439</v>
      </c>
      <c r="G992" s="20">
        <f>IFERROR(__xludf.DUMMYFUNCTION("""COMPUTED_VALUE"""),198.0)</f>
        <v>198</v>
      </c>
      <c r="H992" s="20" t="str">
        <f>IFERROR(__xludf.DUMMYFUNCTION("""COMPUTED_VALUE"""),"Algorithms")</f>
        <v>Algorithms</v>
      </c>
      <c r="I992" s="20">
        <f>IFERROR(__xludf.DUMMYFUNCTION("""COMPUTED_VALUE"""),0.541)</f>
        <v>0.541</v>
      </c>
      <c r="J992" s="20">
        <f>IFERROR(__xludf.DUMMYFUNCTION("""COMPUTED_VALUE"""),991.0)</f>
        <v>991</v>
      </c>
      <c r="K992" s="20" t="b">
        <f>IFERROR(__xludf.DUMMYFUNCTION("""COMPUTED_VALUE"""),FALSE)</f>
        <v>0</v>
      </c>
      <c r="L992" s="20" t="str">
        <f>IFERROR(__xludf.DUMMYFUNCTION("""COMPUTED_VALUE"""),"Math;Greedy;")</f>
        <v>Math;Greedy;</v>
      </c>
      <c r="M992" s="20" t="b">
        <f>IFERROR(__xludf.DUMMYFUNCTION("""COMPUTED_VALUE"""),TRUE)</f>
        <v>1</v>
      </c>
      <c r="N992" s="20" t="b">
        <f>IFERROR(__xludf.DUMMYFUNCTION("""COMPUTED_VALUE"""),FALSE)</f>
        <v>0</v>
      </c>
      <c r="O992" s="20">
        <f>IFERROR(__xludf.DUMMYFUNCTION("""COMPUTED_VALUE"""),54.0634186076711)</f>
        <v>54.06341861</v>
      </c>
      <c r="P992" s="20">
        <f>IFERROR(__xludf.DUMMYFUNCTION("""COMPUTED_VALUE"""),91591.0)</f>
        <v>91591</v>
      </c>
      <c r="Q992" s="20">
        <f>IFERROR(__xludf.DUMMYFUNCTION("""COMPUTED_VALUE"""),169414.0)</f>
        <v>169414</v>
      </c>
    </row>
    <row r="993">
      <c r="A993" s="20">
        <f>IFERROR(__xludf.DUMMYFUNCTION("""COMPUTED_VALUE"""),1034.0)</f>
        <v>1034</v>
      </c>
      <c r="B993" s="20" t="str">
        <f>IFERROR(__xludf.DUMMYFUNCTION("""COMPUTED_VALUE"""),"Subarrays with K Different Integers")</f>
        <v>Subarrays with K Different Integers</v>
      </c>
      <c r="C993" s="20" t="str">
        <f>IFERROR(__xludf.DUMMYFUNCTION("""COMPUTED_VALUE"""),"subarrays-with-k-different-integers")</f>
        <v>subarrays-with-k-different-integers</v>
      </c>
      <c r="D993" s="20" t="b">
        <f>IFERROR(__xludf.DUMMYFUNCTION("""COMPUTED_VALUE"""),FALSE)</f>
        <v>0</v>
      </c>
      <c r="E993" s="20" t="str">
        <f>IFERROR(__xludf.DUMMYFUNCTION("""COMPUTED_VALUE"""),"Hard")</f>
        <v>Hard</v>
      </c>
      <c r="F993" s="20">
        <f>IFERROR(__xludf.DUMMYFUNCTION("""COMPUTED_VALUE"""),3852.0)</f>
        <v>3852</v>
      </c>
      <c r="G993" s="20">
        <f>IFERROR(__xludf.DUMMYFUNCTION("""COMPUTED_VALUE"""),55.0)</f>
        <v>55</v>
      </c>
      <c r="H993" s="20" t="str">
        <f>IFERROR(__xludf.DUMMYFUNCTION("""COMPUTED_VALUE"""),"Algorithms")</f>
        <v>Algorithms</v>
      </c>
      <c r="I993" s="20">
        <f>IFERROR(__xludf.DUMMYFUNCTION("""COMPUTED_VALUE"""),0.545)</f>
        <v>0.545</v>
      </c>
      <c r="J993" s="20">
        <f>IFERROR(__xludf.DUMMYFUNCTION("""COMPUTED_VALUE"""),992.0)</f>
        <v>992</v>
      </c>
      <c r="K993" s="20" t="b">
        <f>IFERROR(__xludf.DUMMYFUNCTION("""COMPUTED_VALUE"""),FALSE)</f>
        <v>0</v>
      </c>
      <c r="L993" s="20" t="str">
        <f>IFERROR(__xludf.DUMMYFUNCTION("""COMPUTED_VALUE"""),"Array;Hash Table;Sliding Window;Counting;")</f>
        <v>Array;Hash Table;Sliding Window;Counting;</v>
      </c>
      <c r="M993" s="20" t="b">
        <f>IFERROR(__xludf.DUMMYFUNCTION("""COMPUTED_VALUE"""),TRUE)</f>
        <v>1</v>
      </c>
      <c r="N993" s="20" t="b">
        <f>IFERROR(__xludf.DUMMYFUNCTION("""COMPUTED_VALUE"""),FALSE)</f>
        <v>0</v>
      </c>
      <c r="O993" s="20">
        <f>IFERROR(__xludf.DUMMYFUNCTION("""COMPUTED_VALUE"""),54.4751592356687)</f>
        <v>54.47515924</v>
      </c>
      <c r="P993" s="20">
        <f>IFERROR(__xludf.DUMMYFUNCTION("""COMPUTED_VALUE"""),85523.0)</f>
        <v>85523</v>
      </c>
      <c r="Q993" s="20">
        <f>IFERROR(__xludf.DUMMYFUNCTION("""COMPUTED_VALUE"""),156995.0)</f>
        <v>156995</v>
      </c>
    </row>
    <row r="994">
      <c r="A994" s="20">
        <f>IFERROR(__xludf.DUMMYFUNCTION("""COMPUTED_VALUE"""),1035.0)</f>
        <v>1035</v>
      </c>
      <c r="B994" s="20" t="str">
        <f>IFERROR(__xludf.DUMMYFUNCTION("""COMPUTED_VALUE"""),"Cousins in Binary Tree")</f>
        <v>Cousins in Binary Tree</v>
      </c>
      <c r="C994" s="20" t="str">
        <f>IFERROR(__xludf.DUMMYFUNCTION("""COMPUTED_VALUE"""),"cousins-in-binary-tree")</f>
        <v>cousins-in-binary-tree</v>
      </c>
      <c r="D994" s="20" t="b">
        <f>IFERROR(__xludf.DUMMYFUNCTION("""COMPUTED_VALUE"""),FALSE)</f>
        <v>0</v>
      </c>
      <c r="E994" s="20" t="str">
        <f>IFERROR(__xludf.DUMMYFUNCTION("""COMPUTED_VALUE"""),"Easy")</f>
        <v>Easy</v>
      </c>
      <c r="F994" s="20">
        <f>IFERROR(__xludf.DUMMYFUNCTION("""COMPUTED_VALUE"""),3302.0)</f>
        <v>3302</v>
      </c>
      <c r="G994" s="20">
        <f>IFERROR(__xludf.DUMMYFUNCTION("""COMPUTED_VALUE"""),167.0)</f>
        <v>167</v>
      </c>
      <c r="H994" s="20" t="str">
        <f>IFERROR(__xludf.DUMMYFUNCTION("""COMPUTED_VALUE"""),"Algorithms")</f>
        <v>Algorithms</v>
      </c>
      <c r="I994" s="20">
        <f>IFERROR(__xludf.DUMMYFUNCTION("""COMPUTED_VALUE"""),0.543)</f>
        <v>0.543</v>
      </c>
      <c r="J994" s="20">
        <f>IFERROR(__xludf.DUMMYFUNCTION("""COMPUTED_VALUE"""),993.0)</f>
        <v>993</v>
      </c>
      <c r="K994" s="20" t="b">
        <f>IFERROR(__xludf.DUMMYFUNCTION("""COMPUTED_VALUE"""),FALSE)</f>
        <v>0</v>
      </c>
      <c r="L994" s="20" t="str">
        <f>IFERROR(__xludf.DUMMYFUNCTION("""COMPUTED_VALUE"""),"Tree;Depth-First Search;Breadth-First Search;Binary Tree;")</f>
        <v>Tree;Depth-First Search;Breadth-First Search;Binary Tree;</v>
      </c>
      <c r="M994" s="20" t="b">
        <f>IFERROR(__xludf.DUMMYFUNCTION("""COMPUTED_VALUE"""),TRUE)</f>
        <v>1</v>
      </c>
      <c r="N994" s="20" t="b">
        <f>IFERROR(__xludf.DUMMYFUNCTION("""COMPUTED_VALUE"""),FALSE)</f>
        <v>0</v>
      </c>
      <c r="O994" s="20">
        <f>IFERROR(__xludf.DUMMYFUNCTION("""COMPUTED_VALUE"""),54.3284737754123)</f>
        <v>54.32847378</v>
      </c>
      <c r="P994" s="20">
        <f>IFERROR(__xludf.DUMMYFUNCTION("""COMPUTED_VALUE"""),232948.0)</f>
        <v>232948</v>
      </c>
      <c r="Q994" s="20">
        <f>IFERROR(__xludf.DUMMYFUNCTION("""COMPUTED_VALUE"""),428777.0)</f>
        <v>428777</v>
      </c>
    </row>
    <row r="995">
      <c r="A995" s="20">
        <f>IFERROR(__xludf.DUMMYFUNCTION("""COMPUTED_VALUE"""),1036.0)</f>
        <v>1036</v>
      </c>
      <c r="B995" s="20" t="str">
        <f>IFERROR(__xludf.DUMMYFUNCTION("""COMPUTED_VALUE"""),"Rotting Oranges")</f>
        <v>Rotting Oranges</v>
      </c>
      <c r="C995" s="20" t="str">
        <f>IFERROR(__xludf.DUMMYFUNCTION("""COMPUTED_VALUE"""),"rotting-oranges")</f>
        <v>rotting-oranges</v>
      </c>
      <c r="D995" s="20" t="b">
        <f>IFERROR(__xludf.DUMMYFUNCTION("""COMPUTED_VALUE"""),FALSE)</f>
        <v>0</v>
      </c>
      <c r="E995" s="20" t="str">
        <f>IFERROR(__xludf.DUMMYFUNCTION("""COMPUTED_VALUE"""),"Medium")</f>
        <v>Medium</v>
      </c>
      <c r="F995" s="20">
        <f>IFERROR(__xludf.DUMMYFUNCTION("""COMPUTED_VALUE"""),9219.0)</f>
        <v>9219</v>
      </c>
      <c r="G995" s="20">
        <f>IFERROR(__xludf.DUMMYFUNCTION("""COMPUTED_VALUE"""),322.0)</f>
        <v>322</v>
      </c>
      <c r="H995" s="20" t="str">
        <f>IFERROR(__xludf.DUMMYFUNCTION("""COMPUTED_VALUE"""),"Algorithms")</f>
        <v>Algorithms</v>
      </c>
      <c r="I995" s="20">
        <f>IFERROR(__xludf.DUMMYFUNCTION("""COMPUTED_VALUE"""),0.526)</f>
        <v>0.526</v>
      </c>
      <c r="J995" s="20">
        <f>IFERROR(__xludf.DUMMYFUNCTION("""COMPUTED_VALUE"""),994.0)</f>
        <v>994</v>
      </c>
      <c r="K995" s="20" t="b">
        <f>IFERROR(__xludf.DUMMYFUNCTION("""COMPUTED_VALUE"""),FALSE)</f>
        <v>0</v>
      </c>
      <c r="L995" s="20" t="str">
        <f>IFERROR(__xludf.DUMMYFUNCTION("""COMPUTED_VALUE"""),"Array;Breadth-First Search;Matrix;")</f>
        <v>Array;Breadth-First Search;Matrix;</v>
      </c>
      <c r="M995" s="20" t="b">
        <f>IFERROR(__xludf.DUMMYFUNCTION("""COMPUTED_VALUE"""),TRUE)</f>
        <v>1</v>
      </c>
      <c r="N995" s="20" t="b">
        <f>IFERROR(__xludf.DUMMYFUNCTION("""COMPUTED_VALUE"""),FALSE)</f>
        <v>0</v>
      </c>
      <c r="O995" s="20">
        <f>IFERROR(__xludf.DUMMYFUNCTION("""COMPUTED_VALUE"""),52.6265922728708)</f>
        <v>52.62659227</v>
      </c>
      <c r="P995" s="20">
        <f>IFERROR(__xludf.DUMMYFUNCTION("""COMPUTED_VALUE"""),534886.0)</f>
        <v>534886</v>
      </c>
      <c r="Q995" s="20">
        <f>IFERROR(__xludf.DUMMYFUNCTION("""COMPUTED_VALUE"""),1016382.0)</f>
        <v>1016382</v>
      </c>
    </row>
    <row r="996">
      <c r="A996" s="20">
        <f>IFERROR(__xludf.DUMMYFUNCTION("""COMPUTED_VALUE"""),1037.0)</f>
        <v>1037</v>
      </c>
      <c r="B996" s="20" t="str">
        <f>IFERROR(__xludf.DUMMYFUNCTION("""COMPUTED_VALUE"""),"Minimum Number of K Consecutive Bit Flips")</f>
        <v>Minimum Number of K Consecutive Bit Flips</v>
      </c>
      <c r="C996" s="20" t="str">
        <f>IFERROR(__xludf.DUMMYFUNCTION("""COMPUTED_VALUE"""),"minimum-number-of-k-consecutive-bit-flips")</f>
        <v>minimum-number-of-k-consecutive-bit-flips</v>
      </c>
      <c r="D996" s="20" t="b">
        <f>IFERROR(__xludf.DUMMYFUNCTION("""COMPUTED_VALUE"""),FALSE)</f>
        <v>0</v>
      </c>
      <c r="E996" s="20" t="str">
        <f>IFERROR(__xludf.DUMMYFUNCTION("""COMPUTED_VALUE"""),"Hard")</f>
        <v>Hard</v>
      </c>
      <c r="F996" s="20">
        <f>IFERROR(__xludf.DUMMYFUNCTION("""COMPUTED_VALUE"""),973.0)</f>
        <v>973</v>
      </c>
      <c r="G996" s="20">
        <f>IFERROR(__xludf.DUMMYFUNCTION("""COMPUTED_VALUE"""),55.0)</f>
        <v>55</v>
      </c>
      <c r="H996" s="20" t="str">
        <f>IFERROR(__xludf.DUMMYFUNCTION("""COMPUTED_VALUE"""),"Algorithms")</f>
        <v>Algorithms</v>
      </c>
      <c r="I996" s="20">
        <f>IFERROR(__xludf.DUMMYFUNCTION("""COMPUTED_VALUE"""),0.512)</f>
        <v>0.512</v>
      </c>
      <c r="J996" s="20">
        <f>IFERROR(__xludf.DUMMYFUNCTION("""COMPUTED_VALUE"""),995.0)</f>
        <v>995</v>
      </c>
      <c r="K996" s="20" t="b">
        <f>IFERROR(__xludf.DUMMYFUNCTION("""COMPUTED_VALUE"""),FALSE)</f>
        <v>0</v>
      </c>
      <c r="L996" s="20" t="str">
        <f>IFERROR(__xludf.DUMMYFUNCTION("""COMPUTED_VALUE"""),"Array;Bit Manipulation;Queue;Sliding Window;Prefix Sum;")</f>
        <v>Array;Bit Manipulation;Queue;Sliding Window;Prefix Sum;</v>
      </c>
      <c r="M996" s="20" t="b">
        <f>IFERROR(__xludf.DUMMYFUNCTION("""COMPUTED_VALUE"""),FALSE)</f>
        <v>0</v>
      </c>
      <c r="N996" s="20" t="b">
        <f>IFERROR(__xludf.DUMMYFUNCTION("""COMPUTED_VALUE"""),FALSE)</f>
        <v>0</v>
      </c>
      <c r="O996" s="20">
        <f>IFERROR(__xludf.DUMMYFUNCTION("""COMPUTED_VALUE"""),51.1526141674397)</f>
        <v>51.15261417</v>
      </c>
      <c r="P996" s="20">
        <f>IFERROR(__xludf.DUMMYFUNCTION("""COMPUTED_VALUE"""),29224.0)</f>
        <v>29224</v>
      </c>
      <c r="Q996" s="20">
        <f>IFERROR(__xludf.DUMMYFUNCTION("""COMPUTED_VALUE"""),57131.0)</f>
        <v>57131</v>
      </c>
    </row>
    <row r="997">
      <c r="A997" s="20">
        <f>IFERROR(__xludf.DUMMYFUNCTION("""COMPUTED_VALUE"""),1038.0)</f>
        <v>1038</v>
      </c>
      <c r="B997" s="20" t="str">
        <f>IFERROR(__xludf.DUMMYFUNCTION("""COMPUTED_VALUE"""),"Number of Squareful Arrays")</f>
        <v>Number of Squareful Arrays</v>
      </c>
      <c r="C997" s="20" t="str">
        <f>IFERROR(__xludf.DUMMYFUNCTION("""COMPUTED_VALUE"""),"number-of-squareful-arrays")</f>
        <v>number-of-squareful-arrays</v>
      </c>
      <c r="D997" s="20" t="b">
        <f>IFERROR(__xludf.DUMMYFUNCTION("""COMPUTED_VALUE"""),FALSE)</f>
        <v>0</v>
      </c>
      <c r="E997" s="20" t="str">
        <f>IFERROR(__xludf.DUMMYFUNCTION("""COMPUTED_VALUE"""),"Hard")</f>
        <v>Hard</v>
      </c>
      <c r="F997" s="20">
        <f>IFERROR(__xludf.DUMMYFUNCTION("""COMPUTED_VALUE"""),807.0)</f>
        <v>807</v>
      </c>
      <c r="G997" s="20">
        <f>IFERROR(__xludf.DUMMYFUNCTION("""COMPUTED_VALUE"""),34.0)</f>
        <v>34</v>
      </c>
      <c r="H997" s="20" t="str">
        <f>IFERROR(__xludf.DUMMYFUNCTION("""COMPUTED_VALUE"""),"Algorithms")</f>
        <v>Algorithms</v>
      </c>
      <c r="I997" s="20">
        <f>IFERROR(__xludf.DUMMYFUNCTION("""COMPUTED_VALUE"""),0.492)</f>
        <v>0.492</v>
      </c>
      <c r="J997" s="20">
        <f>IFERROR(__xludf.DUMMYFUNCTION("""COMPUTED_VALUE"""),996.0)</f>
        <v>996</v>
      </c>
      <c r="K997" s="20" t="b">
        <f>IFERROR(__xludf.DUMMYFUNCTION("""COMPUTED_VALUE"""),FALSE)</f>
        <v>0</v>
      </c>
      <c r="L997" s="20" t="str">
        <f>IFERROR(__xludf.DUMMYFUNCTION("""COMPUTED_VALUE"""),"Array;Math;Dynamic Programming;Backtracking;Bit Manipulation;Bitmask;")</f>
        <v>Array;Math;Dynamic Programming;Backtracking;Bit Manipulation;Bitmask;</v>
      </c>
      <c r="M997" s="20" t="b">
        <f>IFERROR(__xludf.DUMMYFUNCTION("""COMPUTED_VALUE"""),FALSE)</f>
        <v>0</v>
      </c>
      <c r="N997" s="20" t="b">
        <f>IFERROR(__xludf.DUMMYFUNCTION("""COMPUTED_VALUE"""),FALSE)</f>
        <v>0</v>
      </c>
      <c r="O997" s="20">
        <f>IFERROR(__xludf.DUMMYFUNCTION("""COMPUTED_VALUE"""),49.2144231573663)</f>
        <v>49.21442316</v>
      </c>
      <c r="P997" s="20">
        <f>IFERROR(__xludf.DUMMYFUNCTION("""COMPUTED_VALUE"""),29413.0)</f>
        <v>29413</v>
      </c>
      <c r="Q997" s="20">
        <f>IFERROR(__xludf.DUMMYFUNCTION("""COMPUTED_VALUE"""),59765.0)</f>
        <v>59765</v>
      </c>
    </row>
    <row r="998">
      <c r="A998" s="20">
        <f>IFERROR(__xludf.DUMMYFUNCTION("""COMPUTED_VALUE"""),1039.0)</f>
        <v>1039</v>
      </c>
      <c r="B998" s="20" t="str">
        <f>IFERROR(__xludf.DUMMYFUNCTION("""COMPUTED_VALUE"""),"Find the Town Judge")</f>
        <v>Find the Town Judge</v>
      </c>
      <c r="C998" s="20" t="str">
        <f>IFERROR(__xludf.DUMMYFUNCTION("""COMPUTED_VALUE"""),"find-the-town-judge")</f>
        <v>find-the-town-judge</v>
      </c>
      <c r="D998" s="20" t="b">
        <f>IFERROR(__xludf.DUMMYFUNCTION("""COMPUTED_VALUE"""),FALSE)</f>
        <v>0</v>
      </c>
      <c r="E998" s="20" t="str">
        <f>IFERROR(__xludf.DUMMYFUNCTION("""COMPUTED_VALUE"""),"Easy")</f>
        <v>Easy</v>
      </c>
      <c r="F998" s="20">
        <f>IFERROR(__xludf.DUMMYFUNCTION("""COMPUTED_VALUE"""),4172.0)</f>
        <v>4172</v>
      </c>
      <c r="G998" s="20">
        <f>IFERROR(__xludf.DUMMYFUNCTION("""COMPUTED_VALUE"""),306.0)</f>
        <v>306</v>
      </c>
      <c r="H998" s="20" t="str">
        <f>IFERROR(__xludf.DUMMYFUNCTION("""COMPUTED_VALUE"""),"Algorithms")</f>
        <v>Algorithms</v>
      </c>
      <c r="I998" s="20">
        <f>IFERROR(__xludf.DUMMYFUNCTION("""COMPUTED_VALUE"""),0.492)</f>
        <v>0.492</v>
      </c>
      <c r="J998" s="20">
        <f>IFERROR(__xludf.DUMMYFUNCTION("""COMPUTED_VALUE"""),997.0)</f>
        <v>997</v>
      </c>
      <c r="K998" s="20" t="b">
        <f>IFERROR(__xludf.DUMMYFUNCTION("""COMPUTED_VALUE"""),FALSE)</f>
        <v>0</v>
      </c>
      <c r="L998" s="20" t="str">
        <f>IFERROR(__xludf.DUMMYFUNCTION("""COMPUTED_VALUE"""),"Array;Hash Table;Graph;")</f>
        <v>Array;Hash Table;Graph;</v>
      </c>
      <c r="M998" s="20" t="b">
        <f>IFERROR(__xludf.DUMMYFUNCTION("""COMPUTED_VALUE"""),TRUE)</f>
        <v>1</v>
      </c>
      <c r="N998" s="20" t="b">
        <f>IFERROR(__xludf.DUMMYFUNCTION("""COMPUTED_VALUE"""),FALSE)</f>
        <v>0</v>
      </c>
      <c r="O998" s="20">
        <f>IFERROR(__xludf.DUMMYFUNCTION("""COMPUTED_VALUE"""),49.2492838436667)</f>
        <v>49.24928384</v>
      </c>
      <c r="P998" s="20">
        <f>IFERROR(__xludf.DUMMYFUNCTION("""COMPUTED_VALUE"""),320634.0)</f>
        <v>320634</v>
      </c>
      <c r="Q998" s="20">
        <f>IFERROR(__xludf.DUMMYFUNCTION("""COMPUTED_VALUE"""),651039.0)</f>
        <v>651039</v>
      </c>
    </row>
    <row r="999">
      <c r="A999" s="20">
        <f>IFERROR(__xludf.DUMMYFUNCTION("""COMPUTED_VALUE"""),1040.0)</f>
        <v>1040</v>
      </c>
      <c r="B999" s="20" t="str">
        <f>IFERROR(__xludf.DUMMYFUNCTION("""COMPUTED_VALUE"""),"Maximum Binary Tree II")</f>
        <v>Maximum Binary Tree II</v>
      </c>
      <c r="C999" s="20" t="str">
        <f>IFERROR(__xludf.DUMMYFUNCTION("""COMPUTED_VALUE"""),"maximum-binary-tree-ii")</f>
        <v>maximum-binary-tree-ii</v>
      </c>
      <c r="D999" s="20" t="b">
        <f>IFERROR(__xludf.DUMMYFUNCTION("""COMPUTED_VALUE"""),FALSE)</f>
        <v>0</v>
      </c>
      <c r="E999" s="20" t="str">
        <f>IFERROR(__xludf.DUMMYFUNCTION("""COMPUTED_VALUE"""),"Medium")</f>
        <v>Medium</v>
      </c>
      <c r="F999" s="20">
        <f>IFERROR(__xludf.DUMMYFUNCTION("""COMPUTED_VALUE"""),440.0)</f>
        <v>440</v>
      </c>
      <c r="G999" s="20">
        <f>IFERROR(__xludf.DUMMYFUNCTION("""COMPUTED_VALUE"""),712.0)</f>
        <v>712</v>
      </c>
      <c r="H999" s="20" t="str">
        <f>IFERROR(__xludf.DUMMYFUNCTION("""COMPUTED_VALUE"""),"Algorithms")</f>
        <v>Algorithms</v>
      </c>
      <c r="I999" s="20">
        <f>IFERROR(__xludf.DUMMYFUNCTION("""COMPUTED_VALUE"""),0.665)</f>
        <v>0.665</v>
      </c>
      <c r="J999" s="20">
        <f>IFERROR(__xludf.DUMMYFUNCTION("""COMPUTED_VALUE"""),998.0)</f>
        <v>998</v>
      </c>
      <c r="K999" s="20" t="b">
        <f>IFERROR(__xludf.DUMMYFUNCTION("""COMPUTED_VALUE"""),FALSE)</f>
        <v>0</v>
      </c>
      <c r="L999" s="20" t="str">
        <f>IFERROR(__xludf.DUMMYFUNCTION("""COMPUTED_VALUE"""),"Tree;Binary Tree;")</f>
        <v>Tree;Binary Tree;</v>
      </c>
      <c r="M999" s="20" t="b">
        <f>IFERROR(__xludf.DUMMYFUNCTION("""COMPUTED_VALUE"""),FALSE)</f>
        <v>0</v>
      </c>
      <c r="N999" s="20" t="b">
        <f>IFERROR(__xludf.DUMMYFUNCTION("""COMPUTED_VALUE"""),FALSE)</f>
        <v>0</v>
      </c>
      <c r="O999" s="20">
        <f>IFERROR(__xludf.DUMMYFUNCTION("""COMPUTED_VALUE"""),66.5499632049595)</f>
        <v>66.5499632</v>
      </c>
      <c r="P999" s="20">
        <f>IFERROR(__xludf.DUMMYFUNCTION("""COMPUTED_VALUE"""),29843.0)</f>
        <v>29843</v>
      </c>
      <c r="Q999" s="20">
        <f>IFERROR(__xludf.DUMMYFUNCTION("""COMPUTED_VALUE"""),44843.0)</f>
        <v>44843</v>
      </c>
    </row>
    <row r="1000">
      <c r="A1000" s="20">
        <f>IFERROR(__xludf.DUMMYFUNCTION("""COMPUTED_VALUE"""),1041.0)</f>
        <v>1041</v>
      </c>
      <c r="B1000" s="20" t="str">
        <f>IFERROR(__xludf.DUMMYFUNCTION("""COMPUTED_VALUE"""),"Available Captures for Rook")</f>
        <v>Available Captures for Rook</v>
      </c>
      <c r="C1000" s="20" t="str">
        <f>IFERROR(__xludf.DUMMYFUNCTION("""COMPUTED_VALUE"""),"available-captures-for-rook")</f>
        <v>available-captures-for-rook</v>
      </c>
      <c r="D1000" s="20" t="b">
        <f>IFERROR(__xludf.DUMMYFUNCTION("""COMPUTED_VALUE"""),FALSE)</f>
        <v>0</v>
      </c>
      <c r="E1000" s="20" t="str">
        <f>IFERROR(__xludf.DUMMYFUNCTION("""COMPUTED_VALUE"""),"Easy")</f>
        <v>Easy</v>
      </c>
      <c r="F1000" s="20">
        <f>IFERROR(__xludf.DUMMYFUNCTION("""COMPUTED_VALUE"""),518.0)</f>
        <v>518</v>
      </c>
      <c r="G1000" s="20">
        <f>IFERROR(__xludf.DUMMYFUNCTION("""COMPUTED_VALUE"""),598.0)</f>
        <v>598</v>
      </c>
      <c r="H1000" s="20" t="str">
        <f>IFERROR(__xludf.DUMMYFUNCTION("""COMPUTED_VALUE"""),"Algorithms")</f>
        <v>Algorithms</v>
      </c>
      <c r="I1000" s="20">
        <f>IFERROR(__xludf.DUMMYFUNCTION("""COMPUTED_VALUE"""),0.679)</f>
        <v>0.679</v>
      </c>
      <c r="J1000" s="20">
        <f>IFERROR(__xludf.DUMMYFUNCTION("""COMPUTED_VALUE"""),999.0)</f>
        <v>999</v>
      </c>
      <c r="K1000" s="20" t="b">
        <f>IFERROR(__xludf.DUMMYFUNCTION("""COMPUTED_VALUE"""),FALSE)</f>
        <v>0</v>
      </c>
      <c r="L1000" s="20" t="str">
        <f>IFERROR(__xludf.DUMMYFUNCTION("""COMPUTED_VALUE"""),"Array;Matrix;Simulation;")</f>
        <v>Array;Matrix;Simulation;</v>
      </c>
      <c r="M1000" s="20" t="b">
        <f>IFERROR(__xludf.DUMMYFUNCTION("""COMPUTED_VALUE"""),FALSE)</f>
        <v>0</v>
      </c>
      <c r="N1000" s="20" t="b">
        <f>IFERROR(__xludf.DUMMYFUNCTION("""COMPUTED_VALUE"""),FALSE)</f>
        <v>0</v>
      </c>
      <c r="O1000" s="20">
        <f>IFERROR(__xludf.DUMMYFUNCTION("""COMPUTED_VALUE"""),67.9205503772747)</f>
        <v>67.92055038</v>
      </c>
      <c r="P1000" s="20">
        <f>IFERROR(__xludf.DUMMYFUNCTION("""COMPUTED_VALUE"""),55089.0)</f>
        <v>55089</v>
      </c>
      <c r="Q1000" s="20">
        <f>IFERROR(__xludf.DUMMYFUNCTION("""COMPUTED_VALUE"""),81108.0)</f>
        <v>81108</v>
      </c>
    </row>
    <row r="1001">
      <c r="A1001" s="20">
        <f>IFERROR(__xludf.DUMMYFUNCTION("""COMPUTED_VALUE"""),1042.0)</f>
        <v>1042</v>
      </c>
      <c r="B1001" s="20" t="str">
        <f>IFERROR(__xludf.DUMMYFUNCTION("""COMPUTED_VALUE"""),"Minimum Cost to Merge Stones")</f>
        <v>Minimum Cost to Merge Stones</v>
      </c>
      <c r="C1001" s="20" t="str">
        <f>IFERROR(__xludf.DUMMYFUNCTION("""COMPUTED_VALUE"""),"minimum-cost-to-merge-stones")</f>
        <v>minimum-cost-to-merge-stones</v>
      </c>
      <c r="D1001" s="20" t="b">
        <f>IFERROR(__xludf.DUMMYFUNCTION("""COMPUTED_VALUE"""),FALSE)</f>
        <v>0</v>
      </c>
      <c r="E1001" s="20" t="str">
        <f>IFERROR(__xludf.DUMMYFUNCTION("""COMPUTED_VALUE"""),"Hard")</f>
        <v>Hard</v>
      </c>
      <c r="F1001" s="20">
        <f>IFERROR(__xludf.DUMMYFUNCTION("""COMPUTED_VALUE"""),1988.0)</f>
        <v>1988</v>
      </c>
      <c r="G1001" s="20">
        <f>IFERROR(__xludf.DUMMYFUNCTION("""COMPUTED_VALUE"""),94.0)</f>
        <v>94</v>
      </c>
      <c r="H1001" s="20" t="str">
        <f>IFERROR(__xludf.DUMMYFUNCTION("""COMPUTED_VALUE"""),"Algorithms")</f>
        <v>Algorithms</v>
      </c>
      <c r="I1001" s="20">
        <f>IFERROR(__xludf.DUMMYFUNCTION("""COMPUTED_VALUE"""),0.424)</f>
        <v>0.424</v>
      </c>
      <c r="J1001" s="20">
        <f>IFERROR(__xludf.DUMMYFUNCTION("""COMPUTED_VALUE"""),1000.0)</f>
        <v>1000</v>
      </c>
      <c r="K1001" s="20" t="b">
        <f>IFERROR(__xludf.DUMMYFUNCTION("""COMPUTED_VALUE"""),FALSE)</f>
        <v>0</v>
      </c>
      <c r="L1001" s="20" t="str">
        <f>IFERROR(__xludf.DUMMYFUNCTION("""COMPUTED_VALUE"""),"Array;Dynamic Programming;")</f>
        <v>Array;Dynamic Programming;</v>
      </c>
      <c r="M1001" s="20" t="b">
        <f>IFERROR(__xludf.DUMMYFUNCTION("""COMPUTED_VALUE"""),FALSE)</f>
        <v>0</v>
      </c>
      <c r="N1001" s="20" t="b">
        <f>IFERROR(__xludf.DUMMYFUNCTION("""COMPUTED_VALUE"""),FALSE)</f>
        <v>0</v>
      </c>
      <c r="O1001" s="20">
        <f>IFERROR(__xludf.DUMMYFUNCTION("""COMPUTED_VALUE"""),42.3718837470897)</f>
        <v>42.37188375</v>
      </c>
      <c r="P1001" s="20">
        <f>IFERROR(__xludf.DUMMYFUNCTION("""COMPUTED_VALUE"""),32395.0)</f>
        <v>32395</v>
      </c>
      <c r="Q1001" s="20">
        <f>IFERROR(__xludf.DUMMYFUNCTION("""COMPUTED_VALUE"""),76453.0)</f>
        <v>76453</v>
      </c>
    </row>
    <row r="1002">
      <c r="A1002" s="20">
        <f>IFERROR(__xludf.DUMMYFUNCTION("""COMPUTED_VALUE"""),1043.0)</f>
        <v>1043</v>
      </c>
      <c r="B1002" s="20" t="str">
        <f>IFERROR(__xludf.DUMMYFUNCTION("""COMPUTED_VALUE"""),"Grid Illumination")</f>
        <v>Grid Illumination</v>
      </c>
      <c r="C1002" s="20" t="str">
        <f>IFERROR(__xludf.DUMMYFUNCTION("""COMPUTED_VALUE"""),"grid-illumination")</f>
        <v>grid-illumination</v>
      </c>
      <c r="D1002" s="20" t="b">
        <f>IFERROR(__xludf.DUMMYFUNCTION("""COMPUTED_VALUE"""),FALSE)</f>
        <v>0</v>
      </c>
      <c r="E1002" s="20" t="str">
        <f>IFERROR(__xludf.DUMMYFUNCTION("""COMPUTED_VALUE"""),"Hard")</f>
        <v>Hard</v>
      </c>
      <c r="F1002" s="20">
        <f>IFERROR(__xludf.DUMMYFUNCTION("""COMPUTED_VALUE"""),509.0)</f>
        <v>509</v>
      </c>
      <c r="G1002" s="20">
        <f>IFERROR(__xludf.DUMMYFUNCTION("""COMPUTED_VALUE"""),126.0)</f>
        <v>126</v>
      </c>
      <c r="H1002" s="20" t="str">
        <f>IFERROR(__xludf.DUMMYFUNCTION("""COMPUTED_VALUE"""),"Algorithms")</f>
        <v>Algorithms</v>
      </c>
      <c r="I1002" s="20">
        <f>IFERROR(__xludf.DUMMYFUNCTION("""COMPUTED_VALUE"""),0.362)</f>
        <v>0.362</v>
      </c>
      <c r="J1002" s="20">
        <f>IFERROR(__xludf.DUMMYFUNCTION("""COMPUTED_VALUE"""),1001.0)</f>
        <v>1001</v>
      </c>
      <c r="K1002" s="20" t="b">
        <f>IFERROR(__xludf.DUMMYFUNCTION("""COMPUTED_VALUE"""),FALSE)</f>
        <v>0</v>
      </c>
      <c r="L1002" s="20" t="str">
        <f>IFERROR(__xludf.DUMMYFUNCTION("""COMPUTED_VALUE"""),"Array;Hash Table;")</f>
        <v>Array;Hash Table;</v>
      </c>
      <c r="M1002" s="20" t="b">
        <f>IFERROR(__xludf.DUMMYFUNCTION("""COMPUTED_VALUE"""),FALSE)</f>
        <v>0</v>
      </c>
      <c r="N1002" s="20" t="b">
        <f>IFERROR(__xludf.DUMMYFUNCTION("""COMPUTED_VALUE"""),FALSE)</f>
        <v>0</v>
      </c>
      <c r="O1002" s="20">
        <f>IFERROR(__xludf.DUMMYFUNCTION("""COMPUTED_VALUE"""),36.2214047105585)</f>
        <v>36.22140471</v>
      </c>
      <c r="P1002" s="20">
        <f>IFERROR(__xludf.DUMMYFUNCTION("""COMPUTED_VALUE"""),17132.0)</f>
        <v>17132</v>
      </c>
      <c r="Q1002" s="20">
        <f>IFERROR(__xludf.DUMMYFUNCTION("""COMPUTED_VALUE"""),47298.0)</f>
        <v>47298</v>
      </c>
    </row>
    <row r="1003">
      <c r="A1003" s="20">
        <f>IFERROR(__xludf.DUMMYFUNCTION("""COMPUTED_VALUE"""),1044.0)</f>
        <v>1044</v>
      </c>
      <c r="B1003" s="20" t="str">
        <f>IFERROR(__xludf.DUMMYFUNCTION("""COMPUTED_VALUE"""),"Find Common Characters")</f>
        <v>Find Common Characters</v>
      </c>
      <c r="C1003" s="20" t="str">
        <f>IFERROR(__xludf.DUMMYFUNCTION("""COMPUTED_VALUE"""),"find-common-characters")</f>
        <v>find-common-characters</v>
      </c>
      <c r="D1003" s="20" t="b">
        <f>IFERROR(__xludf.DUMMYFUNCTION("""COMPUTED_VALUE"""),FALSE)</f>
        <v>0</v>
      </c>
      <c r="E1003" s="20" t="str">
        <f>IFERROR(__xludf.DUMMYFUNCTION("""COMPUTED_VALUE"""),"Easy")</f>
        <v>Easy</v>
      </c>
      <c r="F1003" s="20">
        <f>IFERROR(__xludf.DUMMYFUNCTION("""COMPUTED_VALUE"""),2789.0)</f>
        <v>2789</v>
      </c>
      <c r="G1003" s="20">
        <f>IFERROR(__xludf.DUMMYFUNCTION("""COMPUTED_VALUE"""),227.0)</f>
        <v>227</v>
      </c>
      <c r="H1003" s="20" t="str">
        <f>IFERROR(__xludf.DUMMYFUNCTION("""COMPUTED_VALUE"""),"Algorithms")</f>
        <v>Algorithms</v>
      </c>
      <c r="I1003" s="20">
        <f>IFERROR(__xludf.DUMMYFUNCTION("""COMPUTED_VALUE"""),0.684)</f>
        <v>0.684</v>
      </c>
      <c r="J1003" s="20">
        <f>IFERROR(__xludf.DUMMYFUNCTION("""COMPUTED_VALUE"""),1002.0)</f>
        <v>1002</v>
      </c>
      <c r="K1003" s="20" t="b">
        <f>IFERROR(__xludf.DUMMYFUNCTION("""COMPUTED_VALUE"""),FALSE)</f>
        <v>0</v>
      </c>
      <c r="L1003" s="20" t="str">
        <f>IFERROR(__xludf.DUMMYFUNCTION("""COMPUTED_VALUE"""),"Array;Hash Table;String;")</f>
        <v>Array;Hash Table;String;</v>
      </c>
      <c r="M1003" s="20" t="b">
        <f>IFERROR(__xludf.DUMMYFUNCTION("""COMPUTED_VALUE"""),FALSE)</f>
        <v>0</v>
      </c>
      <c r="N1003" s="20" t="b">
        <f>IFERROR(__xludf.DUMMYFUNCTION("""COMPUTED_VALUE"""),FALSE)</f>
        <v>0</v>
      </c>
      <c r="O1003" s="20">
        <f>IFERROR(__xludf.DUMMYFUNCTION("""COMPUTED_VALUE"""),68.3757980100074)</f>
        <v>68.37579801</v>
      </c>
      <c r="P1003" s="20">
        <f>IFERROR(__xludf.DUMMYFUNCTION("""COMPUTED_VALUE"""),166439.0)</f>
        <v>166439</v>
      </c>
      <c r="Q1003" s="20">
        <f>IFERROR(__xludf.DUMMYFUNCTION("""COMPUTED_VALUE"""),243418.0)</f>
        <v>243418</v>
      </c>
    </row>
    <row r="1004">
      <c r="A1004" s="20">
        <f>IFERROR(__xludf.DUMMYFUNCTION("""COMPUTED_VALUE"""),1045.0)</f>
        <v>1045</v>
      </c>
      <c r="B1004" s="20" t="str">
        <f>IFERROR(__xludf.DUMMYFUNCTION("""COMPUTED_VALUE"""),"Check If Word Is Valid After Substitutions")</f>
        <v>Check If Word Is Valid After Substitutions</v>
      </c>
      <c r="C1004" s="20" t="str">
        <f>IFERROR(__xludf.DUMMYFUNCTION("""COMPUTED_VALUE"""),"check-if-word-is-valid-after-substitutions")</f>
        <v>check-if-word-is-valid-after-substitutions</v>
      </c>
      <c r="D1004" s="20" t="b">
        <f>IFERROR(__xludf.DUMMYFUNCTION("""COMPUTED_VALUE"""),FALSE)</f>
        <v>0</v>
      </c>
      <c r="E1004" s="20" t="str">
        <f>IFERROR(__xludf.DUMMYFUNCTION("""COMPUTED_VALUE"""),"Medium")</f>
        <v>Medium</v>
      </c>
      <c r="F1004" s="20">
        <f>IFERROR(__xludf.DUMMYFUNCTION("""COMPUTED_VALUE"""),739.0)</f>
        <v>739</v>
      </c>
      <c r="G1004" s="20">
        <f>IFERROR(__xludf.DUMMYFUNCTION("""COMPUTED_VALUE"""),454.0)</f>
        <v>454</v>
      </c>
      <c r="H1004" s="20" t="str">
        <f>IFERROR(__xludf.DUMMYFUNCTION("""COMPUTED_VALUE"""),"Algorithms")</f>
        <v>Algorithms</v>
      </c>
      <c r="I1004" s="20">
        <f>IFERROR(__xludf.DUMMYFUNCTION("""COMPUTED_VALUE"""),0.581)</f>
        <v>0.581</v>
      </c>
      <c r="J1004" s="20">
        <f>IFERROR(__xludf.DUMMYFUNCTION("""COMPUTED_VALUE"""),1003.0)</f>
        <v>1003</v>
      </c>
      <c r="K1004" s="20" t="b">
        <f>IFERROR(__xludf.DUMMYFUNCTION("""COMPUTED_VALUE"""),FALSE)</f>
        <v>0</v>
      </c>
      <c r="L1004" s="20" t="str">
        <f>IFERROR(__xludf.DUMMYFUNCTION("""COMPUTED_VALUE"""),"String;Stack;")</f>
        <v>String;Stack;</v>
      </c>
      <c r="M1004" s="20" t="b">
        <f>IFERROR(__xludf.DUMMYFUNCTION("""COMPUTED_VALUE"""),FALSE)</f>
        <v>0</v>
      </c>
      <c r="N1004" s="20" t="b">
        <f>IFERROR(__xludf.DUMMYFUNCTION("""COMPUTED_VALUE"""),FALSE)</f>
        <v>0</v>
      </c>
      <c r="O1004" s="20">
        <f>IFERROR(__xludf.DUMMYFUNCTION("""COMPUTED_VALUE"""),58.1421224409059)</f>
        <v>58.14212244</v>
      </c>
      <c r="P1004" s="20">
        <f>IFERROR(__xludf.DUMMYFUNCTION("""COMPUTED_VALUE"""),47030.0)</f>
        <v>47030</v>
      </c>
      <c r="Q1004" s="20">
        <f>IFERROR(__xludf.DUMMYFUNCTION("""COMPUTED_VALUE"""),80888.0)</f>
        <v>80888</v>
      </c>
    </row>
    <row r="1005">
      <c r="A1005" s="20">
        <f>IFERROR(__xludf.DUMMYFUNCTION("""COMPUTED_VALUE"""),1046.0)</f>
        <v>1046</v>
      </c>
      <c r="B1005" s="20" t="str">
        <f>IFERROR(__xludf.DUMMYFUNCTION("""COMPUTED_VALUE"""),"Max Consecutive Ones III")</f>
        <v>Max Consecutive Ones III</v>
      </c>
      <c r="C1005" s="20" t="str">
        <f>IFERROR(__xludf.DUMMYFUNCTION("""COMPUTED_VALUE"""),"max-consecutive-ones-iii")</f>
        <v>max-consecutive-ones-iii</v>
      </c>
      <c r="D1005" s="20" t="b">
        <f>IFERROR(__xludf.DUMMYFUNCTION("""COMPUTED_VALUE"""),FALSE)</f>
        <v>0</v>
      </c>
      <c r="E1005" s="20" t="str">
        <f>IFERROR(__xludf.DUMMYFUNCTION("""COMPUTED_VALUE"""),"Medium")</f>
        <v>Medium</v>
      </c>
      <c r="F1005" s="20">
        <f>IFERROR(__xludf.DUMMYFUNCTION("""COMPUTED_VALUE"""),5670.0)</f>
        <v>5670</v>
      </c>
      <c r="G1005" s="20">
        <f>IFERROR(__xludf.DUMMYFUNCTION("""COMPUTED_VALUE"""),66.0)</f>
        <v>66</v>
      </c>
      <c r="H1005" s="20" t="str">
        <f>IFERROR(__xludf.DUMMYFUNCTION("""COMPUTED_VALUE"""),"Algorithms")</f>
        <v>Algorithms</v>
      </c>
      <c r="I1005" s="20">
        <f>IFERROR(__xludf.DUMMYFUNCTION("""COMPUTED_VALUE"""),0.634)</f>
        <v>0.634</v>
      </c>
      <c r="J1005" s="20">
        <f>IFERROR(__xludf.DUMMYFUNCTION("""COMPUTED_VALUE"""),1004.0)</f>
        <v>1004</v>
      </c>
      <c r="K1005" s="20" t="b">
        <f>IFERROR(__xludf.DUMMYFUNCTION("""COMPUTED_VALUE"""),FALSE)</f>
        <v>0</v>
      </c>
      <c r="L1005" s="20" t="str">
        <f>IFERROR(__xludf.DUMMYFUNCTION("""COMPUTED_VALUE"""),"Array;Binary Search;Sliding Window;Prefix Sum;")</f>
        <v>Array;Binary Search;Sliding Window;Prefix Sum;</v>
      </c>
      <c r="M1005" s="20" t="b">
        <f>IFERROR(__xludf.DUMMYFUNCTION("""COMPUTED_VALUE"""),TRUE)</f>
        <v>1</v>
      </c>
      <c r="N1005" s="20" t="b">
        <f>IFERROR(__xludf.DUMMYFUNCTION("""COMPUTED_VALUE"""),FALSE)</f>
        <v>0</v>
      </c>
      <c r="O1005" s="20">
        <f>IFERROR(__xludf.DUMMYFUNCTION("""COMPUTED_VALUE"""),63.3518115177786)</f>
        <v>63.35181152</v>
      </c>
      <c r="P1005" s="20">
        <f>IFERROR(__xludf.DUMMYFUNCTION("""COMPUTED_VALUE"""),267299.0)</f>
        <v>267299</v>
      </c>
      <c r="Q1005" s="20">
        <f>IFERROR(__xludf.DUMMYFUNCTION("""COMPUTED_VALUE"""),421932.0)</f>
        <v>421932</v>
      </c>
    </row>
    <row r="1006">
      <c r="A1006" s="20">
        <f>IFERROR(__xludf.DUMMYFUNCTION("""COMPUTED_VALUE"""),1047.0)</f>
        <v>1047</v>
      </c>
      <c r="B1006" s="20" t="str">
        <f>IFERROR(__xludf.DUMMYFUNCTION("""COMPUTED_VALUE"""),"Maximize Sum Of Array After K Negations")</f>
        <v>Maximize Sum Of Array After K Negations</v>
      </c>
      <c r="C1006" s="20" t="str">
        <f>IFERROR(__xludf.DUMMYFUNCTION("""COMPUTED_VALUE"""),"maximize-sum-of-array-after-k-negations")</f>
        <v>maximize-sum-of-array-after-k-negations</v>
      </c>
      <c r="D1006" s="20" t="b">
        <f>IFERROR(__xludf.DUMMYFUNCTION("""COMPUTED_VALUE"""),FALSE)</f>
        <v>0</v>
      </c>
      <c r="E1006" s="20" t="str">
        <f>IFERROR(__xludf.DUMMYFUNCTION("""COMPUTED_VALUE"""),"Easy")</f>
        <v>Easy</v>
      </c>
      <c r="F1006" s="20">
        <f>IFERROR(__xludf.DUMMYFUNCTION("""COMPUTED_VALUE"""),1205.0)</f>
        <v>1205</v>
      </c>
      <c r="G1006" s="20">
        <f>IFERROR(__xludf.DUMMYFUNCTION("""COMPUTED_VALUE"""),94.0)</f>
        <v>94</v>
      </c>
      <c r="H1006" s="20" t="str">
        <f>IFERROR(__xludf.DUMMYFUNCTION("""COMPUTED_VALUE"""),"Algorithms")</f>
        <v>Algorithms</v>
      </c>
      <c r="I1006" s="20">
        <f>IFERROR(__xludf.DUMMYFUNCTION("""COMPUTED_VALUE"""),0.51)</f>
        <v>0.51</v>
      </c>
      <c r="J1006" s="20">
        <f>IFERROR(__xludf.DUMMYFUNCTION("""COMPUTED_VALUE"""),1005.0)</f>
        <v>1005</v>
      </c>
      <c r="K1006" s="20" t="b">
        <f>IFERROR(__xludf.DUMMYFUNCTION("""COMPUTED_VALUE"""),FALSE)</f>
        <v>0</v>
      </c>
      <c r="L1006" s="20" t="str">
        <f>IFERROR(__xludf.DUMMYFUNCTION("""COMPUTED_VALUE"""),"Array;Greedy;Sorting;")</f>
        <v>Array;Greedy;Sorting;</v>
      </c>
      <c r="M1006" s="20" t="b">
        <f>IFERROR(__xludf.DUMMYFUNCTION("""COMPUTED_VALUE"""),FALSE)</f>
        <v>0</v>
      </c>
      <c r="N1006" s="20" t="b">
        <f>IFERROR(__xludf.DUMMYFUNCTION("""COMPUTED_VALUE"""),FALSE)</f>
        <v>0</v>
      </c>
      <c r="O1006" s="20">
        <f>IFERROR(__xludf.DUMMYFUNCTION("""COMPUTED_VALUE"""),50.952502692108)</f>
        <v>50.95250269</v>
      </c>
      <c r="P1006" s="20">
        <f>IFERROR(__xludf.DUMMYFUNCTION("""COMPUTED_VALUE"""),65770.0)</f>
        <v>65770</v>
      </c>
      <c r="Q1006" s="20">
        <f>IFERROR(__xludf.DUMMYFUNCTION("""COMPUTED_VALUE"""),129081.0)</f>
        <v>129081</v>
      </c>
    </row>
    <row r="1007">
      <c r="A1007" s="20">
        <f>IFERROR(__xludf.DUMMYFUNCTION("""COMPUTED_VALUE"""),1048.0)</f>
        <v>1048</v>
      </c>
      <c r="B1007" s="20" t="str">
        <f>IFERROR(__xludf.DUMMYFUNCTION("""COMPUTED_VALUE"""),"Clumsy Factorial")</f>
        <v>Clumsy Factorial</v>
      </c>
      <c r="C1007" s="20" t="str">
        <f>IFERROR(__xludf.DUMMYFUNCTION("""COMPUTED_VALUE"""),"clumsy-factorial")</f>
        <v>clumsy-factorial</v>
      </c>
      <c r="D1007" s="20" t="b">
        <f>IFERROR(__xludf.DUMMYFUNCTION("""COMPUTED_VALUE"""),FALSE)</f>
        <v>0</v>
      </c>
      <c r="E1007" s="20" t="str">
        <f>IFERROR(__xludf.DUMMYFUNCTION("""COMPUTED_VALUE"""),"Medium")</f>
        <v>Medium</v>
      </c>
      <c r="F1007" s="20">
        <f>IFERROR(__xludf.DUMMYFUNCTION("""COMPUTED_VALUE"""),256.0)</f>
        <v>256</v>
      </c>
      <c r="G1007" s="20">
        <f>IFERROR(__xludf.DUMMYFUNCTION("""COMPUTED_VALUE"""),278.0)</f>
        <v>278</v>
      </c>
      <c r="H1007" s="20" t="str">
        <f>IFERROR(__xludf.DUMMYFUNCTION("""COMPUTED_VALUE"""),"Algorithms")</f>
        <v>Algorithms</v>
      </c>
      <c r="I1007" s="20">
        <f>IFERROR(__xludf.DUMMYFUNCTION("""COMPUTED_VALUE"""),0.551)</f>
        <v>0.551</v>
      </c>
      <c r="J1007" s="20">
        <f>IFERROR(__xludf.DUMMYFUNCTION("""COMPUTED_VALUE"""),1006.0)</f>
        <v>1006</v>
      </c>
      <c r="K1007" s="20" t="b">
        <f>IFERROR(__xludf.DUMMYFUNCTION("""COMPUTED_VALUE"""),FALSE)</f>
        <v>0</v>
      </c>
      <c r="L1007" s="20" t="str">
        <f>IFERROR(__xludf.DUMMYFUNCTION("""COMPUTED_VALUE"""),"Math;Stack;Simulation;")</f>
        <v>Math;Stack;Simulation;</v>
      </c>
      <c r="M1007" s="20" t="b">
        <f>IFERROR(__xludf.DUMMYFUNCTION("""COMPUTED_VALUE"""),FALSE)</f>
        <v>0</v>
      </c>
      <c r="N1007" s="20" t="b">
        <f>IFERROR(__xludf.DUMMYFUNCTION("""COMPUTED_VALUE"""),FALSE)</f>
        <v>0</v>
      </c>
      <c r="O1007" s="20">
        <f>IFERROR(__xludf.DUMMYFUNCTION("""COMPUTED_VALUE"""),55.0692389631909)</f>
        <v>55.06923896</v>
      </c>
      <c r="P1007" s="20">
        <f>IFERROR(__xludf.DUMMYFUNCTION("""COMPUTED_VALUE"""),23262.0)</f>
        <v>23262</v>
      </c>
      <c r="Q1007" s="20">
        <f>IFERROR(__xludf.DUMMYFUNCTION("""COMPUTED_VALUE"""),42243.0)</f>
        <v>42243</v>
      </c>
    </row>
    <row r="1008">
      <c r="A1008" s="20">
        <f>IFERROR(__xludf.DUMMYFUNCTION("""COMPUTED_VALUE"""),1049.0)</f>
        <v>1049</v>
      </c>
      <c r="B1008" s="20" t="str">
        <f>IFERROR(__xludf.DUMMYFUNCTION("""COMPUTED_VALUE"""),"Minimum Domino Rotations For Equal Row")</f>
        <v>Minimum Domino Rotations For Equal Row</v>
      </c>
      <c r="C1008" s="20" t="str">
        <f>IFERROR(__xludf.DUMMYFUNCTION("""COMPUTED_VALUE"""),"minimum-domino-rotations-for-equal-row")</f>
        <v>minimum-domino-rotations-for-equal-row</v>
      </c>
      <c r="D1008" s="20" t="b">
        <f>IFERROR(__xludf.DUMMYFUNCTION("""COMPUTED_VALUE"""),FALSE)</f>
        <v>0</v>
      </c>
      <c r="E1008" s="20" t="str">
        <f>IFERROR(__xludf.DUMMYFUNCTION("""COMPUTED_VALUE"""),"Medium")</f>
        <v>Medium</v>
      </c>
      <c r="F1008" s="20">
        <f>IFERROR(__xludf.DUMMYFUNCTION("""COMPUTED_VALUE"""),2635.0)</f>
        <v>2635</v>
      </c>
      <c r="G1008" s="20">
        <f>IFERROR(__xludf.DUMMYFUNCTION("""COMPUTED_VALUE"""),242.0)</f>
        <v>242</v>
      </c>
      <c r="H1008" s="20" t="str">
        <f>IFERROR(__xludf.DUMMYFUNCTION("""COMPUTED_VALUE"""),"Algorithms")</f>
        <v>Algorithms</v>
      </c>
      <c r="I1008" s="20">
        <f>IFERROR(__xludf.DUMMYFUNCTION("""COMPUTED_VALUE"""),0.523)</f>
        <v>0.523</v>
      </c>
      <c r="J1008" s="20">
        <f>IFERROR(__xludf.DUMMYFUNCTION("""COMPUTED_VALUE"""),1007.0)</f>
        <v>1007</v>
      </c>
      <c r="K1008" s="20" t="b">
        <f>IFERROR(__xludf.DUMMYFUNCTION("""COMPUTED_VALUE"""),FALSE)</f>
        <v>0</v>
      </c>
      <c r="L1008" s="20" t="str">
        <f>IFERROR(__xludf.DUMMYFUNCTION("""COMPUTED_VALUE"""),"Array;Greedy;")</f>
        <v>Array;Greedy;</v>
      </c>
      <c r="M1008" s="20" t="b">
        <f>IFERROR(__xludf.DUMMYFUNCTION("""COMPUTED_VALUE"""),TRUE)</f>
        <v>1</v>
      </c>
      <c r="N1008" s="20" t="b">
        <f>IFERROR(__xludf.DUMMYFUNCTION("""COMPUTED_VALUE"""),FALSE)</f>
        <v>0</v>
      </c>
      <c r="O1008" s="20">
        <f>IFERROR(__xludf.DUMMYFUNCTION("""COMPUTED_VALUE"""),52.3353356430515)</f>
        <v>52.33533564</v>
      </c>
      <c r="P1008" s="20">
        <f>IFERROR(__xludf.DUMMYFUNCTION("""COMPUTED_VALUE"""),188974.0)</f>
        <v>188974</v>
      </c>
      <c r="Q1008" s="20">
        <f>IFERROR(__xludf.DUMMYFUNCTION("""COMPUTED_VALUE"""),361083.0)</f>
        <v>361083</v>
      </c>
    </row>
    <row r="1009">
      <c r="A1009" s="20">
        <f>IFERROR(__xludf.DUMMYFUNCTION("""COMPUTED_VALUE"""),1050.0)</f>
        <v>1050</v>
      </c>
      <c r="B1009" s="20" t="str">
        <f>IFERROR(__xludf.DUMMYFUNCTION("""COMPUTED_VALUE"""),"Construct Binary Search Tree from Preorder Traversal")</f>
        <v>Construct Binary Search Tree from Preorder Traversal</v>
      </c>
      <c r="C1009" s="20" t="str">
        <f>IFERROR(__xludf.DUMMYFUNCTION("""COMPUTED_VALUE"""),"construct-binary-search-tree-from-preorder-traversal")</f>
        <v>construct-binary-search-tree-from-preorder-traversal</v>
      </c>
      <c r="D1009" s="20" t="b">
        <f>IFERROR(__xludf.DUMMYFUNCTION("""COMPUTED_VALUE"""),FALSE)</f>
        <v>0</v>
      </c>
      <c r="E1009" s="20" t="str">
        <f>IFERROR(__xludf.DUMMYFUNCTION("""COMPUTED_VALUE"""),"Medium")</f>
        <v>Medium</v>
      </c>
      <c r="F1009" s="20">
        <f>IFERROR(__xludf.DUMMYFUNCTION("""COMPUTED_VALUE"""),4776.0)</f>
        <v>4776</v>
      </c>
      <c r="G1009" s="20">
        <f>IFERROR(__xludf.DUMMYFUNCTION("""COMPUTED_VALUE"""),64.0)</f>
        <v>64</v>
      </c>
      <c r="H1009" s="20" t="str">
        <f>IFERROR(__xludf.DUMMYFUNCTION("""COMPUTED_VALUE"""),"Algorithms")</f>
        <v>Algorithms</v>
      </c>
      <c r="I1009" s="20">
        <f>IFERROR(__xludf.DUMMYFUNCTION("""COMPUTED_VALUE"""),0.81)</f>
        <v>0.81</v>
      </c>
      <c r="J1009" s="20">
        <f>IFERROR(__xludf.DUMMYFUNCTION("""COMPUTED_VALUE"""),1008.0)</f>
        <v>1008</v>
      </c>
      <c r="K1009" s="20" t="b">
        <f>IFERROR(__xludf.DUMMYFUNCTION("""COMPUTED_VALUE"""),FALSE)</f>
        <v>0</v>
      </c>
      <c r="L1009" s="20" t="str">
        <f>IFERROR(__xludf.DUMMYFUNCTION("""COMPUTED_VALUE"""),"Array;Stack;Tree;Binary Search Tree;Monotonic Stack;Binary Tree;")</f>
        <v>Array;Stack;Tree;Binary Search Tree;Monotonic Stack;Binary Tree;</v>
      </c>
      <c r="M1009" s="20" t="b">
        <f>IFERROR(__xludf.DUMMYFUNCTION("""COMPUTED_VALUE"""),TRUE)</f>
        <v>1</v>
      </c>
      <c r="N1009" s="20" t="b">
        <f>IFERROR(__xludf.DUMMYFUNCTION("""COMPUTED_VALUE"""),FALSE)</f>
        <v>0</v>
      </c>
      <c r="O1009" s="20">
        <f>IFERROR(__xludf.DUMMYFUNCTION("""COMPUTED_VALUE"""),80.978283168723)</f>
        <v>80.97828317</v>
      </c>
      <c r="P1009" s="20">
        <f>IFERROR(__xludf.DUMMYFUNCTION("""COMPUTED_VALUE"""),276305.0)</f>
        <v>276305</v>
      </c>
      <c r="Q1009" s="20">
        <f>IFERROR(__xludf.DUMMYFUNCTION("""COMPUTED_VALUE"""),341209.0)</f>
        <v>341209</v>
      </c>
    </row>
    <row r="1010">
      <c r="A1010" s="20">
        <f>IFERROR(__xludf.DUMMYFUNCTION("""COMPUTED_VALUE"""),1054.0)</f>
        <v>1054</v>
      </c>
      <c r="B1010" s="20" t="str">
        <f>IFERROR(__xludf.DUMMYFUNCTION("""COMPUTED_VALUE"""),"Complement of Base 10 Integer")</f>
        <v>Complement of Base 10 Integer</v>
      </c>
      <c r="C1010" s="20" t="str">
        <f>IFERROR(__xludf.DUMMYFUNCTION("""COMPUTED_VALUE"""),"complement-of-base-10-integer")</f>
        <v>complement-of-base-10-integer</v>
      </c>
      <c r="D1010" s="20" t="b">
        <f>IFERROR(__xludf.DUMMYFUNCTION("""COMPUTED_VALUE"""),FALSE)</f>
        <v>0</v>
      </c>
      <c r="E1010" s="20" t="str">
        <f>IFERROR(__xludf.DUMMYFUNCTION("""COMPUTED_VALUE"""),"Easy")</f>
        <v>Easy</v>
      </c>
      <c r="F1010" s="20">
        <f>IFERROR(__xludf.DUMMYFUNCTION("""COMPUTED_VALUE"""),1761.0)</f>
        <v>1761</v>
      </c>
      <c r="G1010" s="20">
        <f>IFERROR(__xludf.DUMMYFUNCTION("""COMPUTED_VALUE"""),87.0)</f>
        <v>87</v>
      </c>
      <c r="H1010" s="20" t="str">
        <f>IFERROR(__xludf.DUMMYFUNCTION("""COMPUTED_VALUE"""),"Algorithms")</f>
        <v>Algorithms</v>
      </c>
      <c r="I1010" s="20">
        <f>IFERROR(__xludf.DUMMYFUNCTION("""COMPUTED_VALUE"""),0.618)</f>
        <v>0.618</v>
      </c>
      <c r="J1010" s="20">
        <f>IFERROR(__xludf.DUMMYFUNCTION("""COMPUTED_VALUE"""),1009.0)</f>
        <v>1009</v>
      </c>
      <c r="K1010" s="20" t="b">
        <f>IFERROR(__xludf.DUMMYFUNCTION("""COMPUTED_VALUE"""),FALSE)</f>
        <v>0</v>
      </c>
      <c r="L1010" s="20" t="str">
        <f>IFERROR(__xludf.DUMMYFUNCTION("""COMPUTED_VALUE"""),"Bit Manipulation;")</f>
        <v>Bit Manipulation;</v>
      </c>
      <c r="M1010" s="20" t="b">
        <f>IFERROR(__xludf.DUMMYFUNCTION("""COMPUTED_VALUE"""),TRUE)</f>
        <v>1</v>
      </c>
      <c r="N1010" s="20" t="b">
        <f>IFERROR(__xludf.DUMMYFUNCTION("""COMPUTED_VALUE"""),FALSE)</f>
        <v>0</v>
      </c>
      <c r="O1010" s="20">
        <f>IFERROR(__xludf.DUMMYFUNCTION("""COMPUTED_VALUE"""),61.7858553628201)</f>
        <v>61.78585536</v>
      </c>
      <c r="P1010" s="20">
        <f>IFERROR(__xludf.DUMMYFUNCTION("""COMPUTED_VALUE"""),161102.0)</f>
        <v>161102</v>
      </c>
      <c r="Q1010" s="20">
        <f>IFERROR(__xludf.DUMMYFUNCTION("""COMPUTED_VALUE"""),260745.0)</f>
        <v>260745</v>
      </c>
    </row>
    <row r="1011">
      <c r="A1011" s="20">
        <f>IFERROR(__xludf.DUMMYFUNCTION("""COMPUTED_VALUE"""),1055.0)</f>
        <v>1055</v>
      </c>
      <c r="B1011" s="20" t="str">
        <f>IFERROR(__xludf.DUMMYFUNCTION("""COMPUTED_VALUE"""),"Pairs of Songs With Total Durations Divisible by 60")</f>
        <v>Pairs of Songs With Total Durations Divisible by 60</v>
      </c>
      <c r="C1011" s="20" t="str">
        <f>IFERROR(__xludf.DUMMYFUNCTION("""COMPUTED_VALUE"""),"pairs-of-songs-with-total-durations-divisible-by-60")</f>
        <v>pairs-of-songs-with-total-durations-divisible-by-60</v>
      </c>
      <c r="D1011" s="20" t="b">
        <f>IFERROR(__xludf.DUMMYFUNCTION("""COMPUTED_VALUE"""),FALSE)</f>
        <v>0</v>
      </c>
      <c r="E1011" s="20" t="str">
        <f>IFERROR(__xludf.DUMMYFUNCTION("""COMPUTED_VALUE"""),"Medium")</f>
        <v>Medium</v>
      </c>
      <c r="F1011" s="20">
        <f>IFERROR(__xludf.DUMMYFUNCTION("""COMPUTED_VALUE"""),3665.0)</f>
        <v>3665</v>
      </c>
      <c r="G1011" s="20">
        <f>IFERROR(__xludf.DUMMYFUNCTION("""COMPUTED_VALUE"""),142.0)</f>
        <v>142</v>
      </c>
      <c r="H1011" s="20" t="str">
        <f>IFERROR(__xludf.DUMMYFUNCTION("""COMPUTED_VALUE"""),"Algorithms")</f>
        <v>Algorithms</v>
      </c>
      <c r="I1011" s="20">
        <f>IFERROR(__xludf.DUMMYFUNCTION("""COMPUTED_VALUE"""),0.529)</f>
        <v>0.529</v>
      </c>
      <c r="J1011" s="20">
        <f>IFERROR(__xludf.DUMMYFUNCTION("""COMPUTED_VALUE"""),1010.0)</f>
        <v>1010</v>
      </c>
      <c r="K1011" s="20" t="b">
        <f>IFERROR(__xludf.DUMMYFUNCTION("""COMPUTED_VALUE"""),FALSE)</f>
        <v>0</v>
      </c>
      <c r="L1011" s="20" t="str">
        <f>IFERROR(__xludf.DUMMYFUNCTION("""COMPUTED_VALUE"""),"Array;Hash Table;Counting;")</f>
        <v>Array;Hash Table;Counting;</v>
      </c>
      <c r="M1011" s="20" t="b">
        <f>IFERROR(__xludf.DUMMYFUNCTION("""COMPUTED_VALUE"""),TRUE)</f>
        <v>1</v>
      </c>
      <c r="N1011" s="20" t="b">
        <f>IFERROR(__xludf.DUMMYFUNCTION("""COMPUTED_VALUE"""),TRUE)</f>
        <v>1</v>
      </c>
      <c r="O1011" s="20">
        <f>IFERROR(__xludf.DUMMYFUNCTION("""COMPUTED_VALUE"""),52.9098647401611)</f>
        <v>52.90986474</v>
      </c>
      <c r="P1011" s="20">
        <f>IFERROR(__xludf.DUMMYFUNCTION("""COMPUTED_VALUE"""),227622.0)</f>
        <v>227622</v>
      </c>
      <c r="Q1011" s="20">
        <f>IFERROR(__xludf.DUMMYFUNCTION("""COMPUTED_VALUE"""),430207.0)</f>
        <v>430207</v>
      </c>
    </row>
    <row r="1012">
      <c r="A1012" s="20">
        <f>IFERROR(__xludf.DUMMYFUNCTION("""COMPUTED_VALUE"""),1056.0)</f>
        <v>1056</v>
      </c>
      <c r="B1012" s="20" t="str">
        <f>IFERROR(__xludf.DUMMYFUNCTION("""COMPUTED_VALUE"""),"Capacity To Ship Packages Within D Days")</f>
        <v>Capacity To Ship Packages Within D Days</v>
      </c>
      <c r="C1012" s="20" t="str">
        <f>IFERROR(__xludf.DUMMYFUNCTION("""COMPUTED_VALUE"""),"capacity-to-ship-packages-within-d-days")</f>
        <v>capacity-to-ship-packages-within-d-days</v>
      </c>
      <c r="D1012" s="20" t="b">
        <f>IFERROR(__xludf.DUMMYFUNCTION("""COMPUTED_VALUE"""),FALSE)</f>
        <v>0</v>
      </c>
      <c r="E1012" s="20" t="str">
        <f>IFERROR(__xludf.DUMMYFUNCTION("""COMPUTED_VALUE"""),"Medium")</f>
        <v>Medium</v>
      </c>
      <c r="F1012" s="20">
        <f>IFERROR(__xludf.DUMMYFUNCTION("""COMPUTED_VALUE"""),5605.0)</f>
        <v>5605</v>
      </c>
      <c r="G1012" s="20">
        <f>IFERROR(__xludf.DUMMYFUNCTION("""COMPUTED_VALUE"""),118.0)</f>
        <v>118</v>
      </c>
      <c r="H1012" s="20" t="str">
        <f>IFERROR(__xludf.DUMMYFUNCTION("""COMPUTED_VALUE"""),"Algorithms")</f>
        <v>Algorithms</v>
      </c>
      <c r="I1012" s="20">
        <f>IFERROR(__xludf.DUMMYFUNCTION("""COMPUTED_VALUE"""),0.647)</f>
        <v>0.647</v>
      </c>
      <c r="J1012" s="20">
        <f>IFERROR(__xludf.DUMMYFUNCTION("""COMPUTED_VALUE"""),1011.0)</f>
        <v>1011</v>
      </c>
      <c r="K1012" s="20" t="b">
        <f>IFERROR(__xludf.DUMMYFUNCTION("""COMPUTED_VALUE"""),FALSE)</f>
        <v>0</v>
      </c>
      <c r="L1012" s="20" t="str">
        <f>IFERROR(__xludf.DUMMYFUNCTION("""COMPUTED_VALUE"""),"Array;Binary Search;")</f>
        <v>Array;Binary Search;</v>
      </c>
      <c r="M1012" s="20" t="b">
        <f>IFERROR(__xludf.DUMMYFUNCTION("""COMPUTED_VALUE"""),TRUE)</f>
        <v>1</v>
      </c>
      <c r="N1012" s="20" t="b">
        <f>IFERROR(__xludf.DUMMYFUNCTION("""COMPUTED_VALUE"""),FALSE)</f>
        <v>0</v>
      </c>
      <c r="O1012" s="20">
        <f>IFERROR(__xludf.DUMMYFUNCTION("""COMPUTED_VALUE"""),64.6603623215906)</f>
        <v>64.66036232</v>
      </c>
      <c r="P1012" s="20">
        <f>IFERROR(__xludf.DUMMYFUNCTION("""COMPUTED_VALUE"""),187417.0)</f>
        <v>187417</v>
      </c>
      <c r="Q1012" s="20">
        <f>IFERROR(__xludf.DUMMYFUNCTION("""COMPUTED_VALUE"""),289847.0)</f>
        <v>289847</v>
      </c>
    </row>
    <row r="1013">
      <c r="A1013" s="20">
        <f>IFERROR(__xludf.DUMMYFUNCTION("""COMPUTED_VALUE"""),1057.0)</f>
        <v>1057</v>
      </c>
      <c r="B1013" s="20" t="str">
        <f>IFERROR(__xludf.DUMMYFUNCTION("""COMPUTED_VALUE"""),"Numbers With Repeated Digits")</f>
        <v>Numbers With Repeated Digits</v>
      </c>
      <c r="C1013" s="20" t="str">
        <f>IFERROR(__xludf.DUMMYFUNCTION("""COMPUTED_VALUE"""),"numbers-with-repeated-digits")</f>
        <v>numbers-with-repeated-digits</v>
      </c>
      <c r="D1013" s="20" t="b">
        <f>IFERROR(__xludf.DUMMYFUNCTION("""COMPUTED_VALUE"""),FALSE)</f>
        <v>0</v>
      </c>
      <c r="E1013" s="20" t="str">
        <f>IFERROR(__xludf.DUMMYFUNCTION("""COMPUTED_VALUE"""),"Hard")</f>
        <v>Hard</v>
      </c>
      <c r="F1013" s="20">
        <f>IFERROR(__xludf.DUMMYFUNCTION("""COMPUTED_VALUE"""),543.0)</f>
        <v>543</v>
      </c>
      <c r="G1013" s="20">
        <f>IFERROR(__xludf.DUMMYFUNCTION("""COMPUTED_VALUE"""),68.0)</f>
        <v>68</v>
      </c>
      <c r="H1013" s="20" t="str">
        <f>IFERROR(__xludf.DUMMYFUNCTION("""COMPUTED_VALUE"""),"Algorithms")</f>
        <v>Algorithms</v>
      </c>
      <c r="I1013" s="20">
        <f>IFERROR(__xludf.DUMMYFUNCTION("""COMPUTED_VALUE"""),0.403)</f>
        <v>0.403</v>
      </c>
      <c r="J1013" s="20">
        <f>IFERROR(__xludf.DUMMYFUNCTION("""COMPUTED_VALUE"""),1012.0)</f>
        <v>1012</v>
      </c>
      <c r="K1013" s="20" t="b">
        <f>IFERROR(__xludf.DUMMYFUNCTION("""COMPUTED_VALUE"""),FALSE)</f>
        <v>0</v>
      </c>
      <c r="L1013" s="20" t="str">
        <f>IFERROR(__xludf.DUMMYFUNCTION("""COMPUTED_VALUE"""),"Math;Dynamic Programming;")</f>
        <v>Math;Dynamic Programming;</v>
      </c>
      <c r="M1013" s="20" t="b">
        <f>IFERROR(__xludf.DUMMYFUNCTION("""COMPUTED_VALUE"""),FALSE)</f>
        <v>0</v>
      </c>
      <c r="N1013" s="20" t="b">
        <f>IFERROR(__xludf.DUMMYFUNCTION("""COMPUTED_VALUE"""),FALSE)</f>
        <v>0</v>
      </c>
      <c r="O1013" s="20">
        <f>IFERROR(__xludf.DUMMYFUNCTION("""COMPUTED_VALUE"""),40.2649891052224)</f>
        <v>40.26498911</v>
      </c>
      <c r="P1013" s="20">
        <f>IFERROR(__xludf.DUMMYFUNCTION("""COMPUTED_VALUE"""),11457.0)</f>
        <v>11457</v>
      </c>
      <c r="Q1013" s="20">
        <f>IFERROR(__xludf.DUMMYFUNCTION("""COMPUTED_VALUE"""),28454.0)</f>
        <v>28454</v>
      </c>
    </row>
    <row r="1014">
      <c r="A1014" s="20">
        <f>IFERROR(__xludf.DUMMYFUNCTION("""COMPUTED_VALUE"""),1062.0)</f>
        <v>1062</v>
      </c>
      <c r="B1014" s="20" t="str">
        <f>IFERROR(__xludf.DUMMYFUNCTION("""COMPUTED_VALUE"""),"Partition Array Into Three Parts With Equal Sum")</f>
        <v>Partition Array Into Three Parts With Equal Sum</v>
      </c>
      <c r="C1014" s="20" t="str">
        <f>IFERROR(__xludf.DUMMYFUNCTION("""COMPUTED_VALUE"""),"partition-array-into-three-parts-with-equal-sum")</f>
        <v>partition-array-into-three-parts-with-equal-sum</v>
      </c>
      <c r="D1014" s="20" t="b">
        <f>IFERROR(__xludf.DUMMYFUNCTION("""COMPUTED_VALUE"""),FALSE)</f>
        <v>0</v>
      </c>
      <c r="E1014" s="20" t="str">
        <f>IFERROR(__xludf.DUMMYFUNCTION("""COMPUTED_VALUE"""),"Easy")</f>
        <v>Easy</v>
      </c>
      <c r="F1014" s="20">
        <f>IFERROR(__xludf.DUMMYFUNCTION("""COMPUTED_VALUE"""),1379.0)</f>
        <v>1379</v>
      </c>
      <c r="G1014" s="20">
        <f>IFERROR(__xludf.DUMMYFUNCTION("""COMPUTED_VALUE"""),133.0)</f>
        <v>133</v>
      </c>
      <c r="H1014" s="20" t="str">
        <f>IFERROR(__xludf.DUMMYFUNCTION("""COMPUTED_VALUE"""),"Algorithms")</f>
        <v>Algorithms</v>
      </c>
      <c r="I1014" s="20">
        <f>IFERROR(__xludf.DUMMYFUNCTION("""COMPUTED_VALUE"""),0.431)</f>
        <v>0.431</v>
      </c>
      <c r="J1014" s="20">
        <f>IFERROR(__xludf.DUMMYFUNCTION("""COMPUTED_VALUE"""),1013.0)</f>
        <v>1013</v>
      </c>
      <c r="K1014" s="20" t="b">
        <f>IFERROR(__xludf.DUMMYFUNCTION("""COMPUTED_VALUE"""),FALSE)</f>
        <v>0</v>
      </c>
      <c r="L1014" s="20" t="str">
        <f>IFERROR(__xludf.DUMMYFUNCTION("""COMPUTED_VALUE"""),"Array;Greedy;")</f>
        <v>Array;Greedy;</v>
      </c>
      <c r="M1014" s="20" t="b">
        <f>IFERROR(__xludf.DUMMYFUNCTION("""COMPUTED_VALUE"""),FALSE)</f>
        <v>0</v>
      </c>
      <c r="N1014" s="20" t="b">
        <f>IFERROR(__xludf.DUMMYFUNCTION("""COMPUTED_VALUE"""),FALSE)</f>
        <v>0</v>
      </c>
      <c r="O1014" s="20">
        <f>IFERROR(__xludf.DUMMYFUNCTION("""COMPUTED_VALUE"""),43.1081864564007)</f>
        <v>43.10818646</v>
      </c>
      <c r="P1014" s="20">
        <f>IFERROR(__xludf.DUMMYFUNCTION("""COMPUTED_VALUE"""),74353.0)</f>
        <v>74353</v>
      </c>
      <c r="Q1014" s="20">
        <f>IFERROR(__xludf.DUMMYFUNCTION("""COMPUTED_VALUE"""),172480.0)</f>
        <v>172480</v>
      </c>
    </row>
    <row r="1015">
      <c r="A1015" s="20">
        <f>IFERROR(__xludf.DUMMYFUNCTION("""COMPUTED_VALUE"""),1063.0)</f>
        <v>1063</v>
      </c>
      <c r="B1015" s="20" t="str">
        <f>IFERROR(__xludf.DUMMYFUNCTION("""COMPUTED_VALUE"""),"Best Sightseeing Pair")</f>
        <v>Best Sightseeing Pair</v>
      </c>
      <c r="C1015" s="20" t="str">
        <f>IFERROR(__xludf.DUMMYFUNCTION("""COMPUTED_VALUE"""),"best-sightseeing-pair")</f>
        <v>best-sightseeing-pair</v>
      </c>
      <c r="D1015" s="20" t="b">
        <f>IFERROR(__xludf.DUMMYFUNCTION("""COMPUTED_VALUE"""),FALSE)</f>
        <v>0</v>
      </c>
      <c r="E1015" s="20" t="str">
        <f>IFERROR(__xludf.DUMMYFUNCTION("""COMPUTED_VALUE"""),"Medium")</f>
        <v>Medium</v>
      </c>
      <c r="F1015" s="20">
        <f>IFERROR(__xludf.DUMMYFUNCTION("""COMPUTED_VALUE"""),2145.0)</f>
        <v>2145</v>
      </c>
      <c r="G1015" s="20">
        <f>IFERROR(__xludf.DUMMYFUNCTION("""COMPUTED_VALUE"""),47.0)</f>
        <v>47</v>
      </c>
      <c r="H1015" s="20" t="str">
        <f>IFERROR(__xludf.DUMMYFUNCTION("""COMPUTED_VALUE"""),"Algorithms")</f>
        <v>Algorithms</v>
      </c>
      <c r="I1015" s="20">
        <f>IFERROR(__xludf.DUMMYFUNCTION("""COMPUTED_VALUE"""),0.595)</f>
        <v>0.595</v>
      </c>
      <c r="J1015" s="20">
        <f>IFERROR(__xludf.DUMMYFUNCTION("""COMPUTED_VALUE"""),1014.0)</f>
        <v>1014</v>
      </c>
      <c r="K1015" s="20" t="b">
        <f>IFERROR(__xludf.DUMMYFUNCTION("""COMPUTED_VALUE"""),FALSE)</f>
        <v>0</v>
      </c>
      <c r="L1015" s="20" t="str">
        <f>IFERROR(__xludf.DUMMYFUNCTION("""COMPUTED_VALUE"""),"Array;Dynamic Programming;")</f>
        <v>Array;Dynamic Programming;</v>
      </c>
      <c r="M1015" s="20" t="b">
        <f>IFERROR(__xludf.DUMMYFUNCTION("""COMPUTED_VALUE"""),FALSE)</f>
        <v>0</v>
      </c>
      <c r="N1015" s="20" t="b">
        <f>IFERROR(__xludf.DUMMYFUNCTION("""COMPUTED_VALUE"""),FALSE)</f>
        <v>0</v>
      </c>
      <c r="O1015" s="20">
        <f>IFERROR(__xludf.DUMMYFUNCTION("""COMPUTED_VALUE"""),59.5426405946746)</f>
        <v>59.54264059</v>
      </c>
      <c r="P1015" s="20">
        <f>IFERROR(__xludf.DUMMYFUNCTION("""COMPUTED_VALUE"""),77618.0)</f>
        <v>77618</v>
      </c>
      <c r="Q1015" s="20">
        <f>IFERROR(__xludf.DUMMYFUNCTION("""COMPUTED_VALUE"""),130357.0)</f>
        <v>130357</v>
      </c>
    </row>
    <row r="1016">
      <c r="A1016" s="20">
        <f>IFERROR(__xludf.DUMMYFUNCTION("""COMPUTED_VALUE"""),1064.0)</f>
        <v>1064</v>
      </c>
      <c r="B1016" s="20" t="str">
        <f>IFERROR(__xludf.DUMMYFUNCTION("""COMPUTED_VALUE"""),"Smallest Integer Divisible by K")</f>
        <v>Smallest Integer Divisible by K</v>
      </c>
      <c r="C1016" s="20" t="str">
        <f>IFERROR(__xludf.DUMMYFUNCTION("""COMPUTED_VALUE"""),"smallest-integer-divisible-by-k")</f>
        <v>smallest-integer-divisible-by-k</v>
      </c>
      <c r="D1016" s="20" t="b">
        <f>IFERROR(__xludf.DUMMYFUNCTION("""COMPUTED_VALUE"""),FALSE)</f>
        <v>0</v>
      </c>
      <c r="E1016" s="20" t="str">
        <f>IFERROR(__xludf.DUMMYFUNCTION("""COMPUTED_VALUE"""),"Medium")</f>
        <v>Medium</v>
      </c>
      <c r="F1016" s="20">
        <f>IFERROR(__xludf.DUMMYFUNCTION("""COMPUTED_VALUE"""),1026.0)</f>
        <v>1026</v>
      </c>
      <c r="G1016" s="20">
        <f>IFERROR(__xludf.DUMMYFUNCTION("""COMPUTED_VALUE"""),831.0)</f>
        <v>831</v>
      </c>
      <c r="H1016" s="20" t="str">
        <f>IFERROR(__xludf.DUMMYFUNCTION("""COMPUTED_VALUE"""),"Algorithms")</f>
        <v>Algorithms</v>
      </c>
      <c r="I1016" s="20">
        <f>IFERROR(__xludf.DUMMYFUNCTION("""COMPUTED_VALUE"""),0.47)</f>
        <v>0.47</v>
      </c>
      <c r="J1016" s="20">
        <f>IFERROR(__xludf.DUMMYFUNCTION("""COMPUTED_VALUE"""),1015.0)</f>
        <v>1015</v>
      </c>
      <c r="K1016" s="20" t="b">
        <f>IFERROR(__xludf.DUMMYFUNCTION("""COMPUTED_VALUE"""),FALSE)</f>
        <v>0</v>
      </c>
      <c r="L1016" s="20" t="str">
        <f>IFERROR(__xludf.DUMMYFUNCTION("""COMPUTED_VALUE"""),"Hash Table;Math;")</f>
        <v>Hash Table;Math;</v>
      </c>
      <c r="M1016" s="20" t="b">
        <f>IFERROR(__xludf.DUMMYFUNCTION("""COMPUTED_VALUE"""),TRUE)</f>
        <v>1</v>
      </c>
      <c r="N1016" s="20" t="b">
        <f>IFERROR(__xludf.DUMMYFUNCTION("""COMPUTED_VALUE"""),FALSE)</f>
        <v>0</v>
      </c>
      <c r="O1016" s="20">
        <f>IFERROR(__xludf.DUMMYFUNCTION("""COMPUTED_VALUE"""),47.008581704812)</f>
        <v>47.0085817</v>
      </c>
      <c r="P1016" s="20">
        <f>IFERROR(__xludf.DUMMYFUNCTION("""COMPUTED_VALUE"""),57900.0)</f>
        <v>57900</v>
      </c>
      <c r="Q1016" s="20">
        <f>IFERROR(__xludf.DUMMYFUNCTION("""COMPUTED_VALUE"""),123169.0)</f>
        <v>123169</v>
      </c>
    </row>
    <row r="1017">
      <c r="A1017" s="20">
        <f>IFERROR(__xludf.DUMMYFUNCTION("""COMPUTED_VALUE"""),1065.0)</f>
        <v>1065</v>
      </c>
      <c r="B1017" s="20" t="str">
        <f>IFERROR(__xludf.DUMMYFUNCTION("""COMPUTED_VALUE"""),"Binary String With Substrings Representing 1 To N")</f>
        <v>Binary String With Substrings Representing 1 To N</v>
      </c>
      <c r="C1017" s="20" t="str">
        <f>IFERROR(__xludf.DUMMYFUNCTION("""COMPUTED_VALUE"""),"binary-string-with-substrings-representing-1-to-n")</f>
        <v>binary-string-with-substrings-representing-1-to-n</v>
      </c>
      <c r="D1017" s="20" t="b">
        <f>IFERROR(__xludf.DUMMYFUNCTION("""COMPUTED_VALUE"""),FALSE)</f>
        <v>0</v>
      </c>
      <c r="E1017" s="20" t="str">
        <f>IFERROR(__xludf.DUMMYFUNCTION("""COMPUTED_VALUE"""),"Medium")</f>
        <v>Medium</v>
      </c>
      <c r="F1017" s="20">
        <f>IFERROR(__xludf.DUMMYFUNCTION("""COMPUTED_VALUE"""),292.0)</f>
        <v>292</v>
      </c>
      <c r="G1017" s="20">
        <f>IFERROR(__xludf.DUMMYFUNCTION("""COMPUTED_VALUE"""),491.0)</f>
        <v>491</v>
      </c>
      <c r="H1017" s="20" t="str">
        <f>IFERROR(__xludf.DUMMYFUNCTION("""COMPUTED_VALUE"""),"Algorithms")</f>
        <v>Algorithms</v>
      </c>
      <c r="I1017" s="20">
        <f>IFERROR(__xludf.DUMMYFUNCTION("""COMPUTED_VALUE"""),0.575)</f>
        <v>0.575</v>
      </c>
      <c r="J1017" s="20">
        <f>IFERROR(__xludf.DUMMYFUNCTION("""COMPUTED_VALUE"""),1016.0)</f>
        <v>1016</v>
      </c>
      <c r="K1017" s="20" t="b">
        <f>IFERROR(__xludf.DUMMYFUNCTION("""COMPUTED_VALUE"""),FALSE)</f>
        <v>0</v>
      </c>
      <c r="L1017" s="20" t="str">
        <f>IFERROR(__xludf.DUMMYFUNCTION("""COMPUTED_VALUE"""),"String;")</f>
        <v>String;</v>
      </c>
      <c r="M1017" s="20" t="b">
        <f>IFERROR(__xludf.DUMMYFUNCTION("""COMPUTED_VALUE"""),FALSE)</f>
        <v>0</v>
      </c>
      <c r="N1017" s="20" t="b">
        <f>IFERROR(__xludf.DUMMYFUNCTION("""COMPUTED_VALUE"""),FALSE)</f>
        <v>0</v>
      </c>
      <c r="O1017" s="20">
        <f>IFERROR(__xludf.DUMMYFUNCTION("""COMPUTED_VALUE"""),57.4760068167548)</f>
        <v>57.47600682</v>
      </c>
      <c r="P1017" s="20">
        <f>IFERROR(__xludf.DUMMYFUNCTION("""COMPUTED_VALUE"""),32040.0)</f>
        <v>32040</v>
      </c>
      <c r="Q1017" s="20">
        <f>IFERROR(__xludf.DUMMYFUNCTION("""COMPUTED_VALUE"""),55745.0)</f>
        <v>55745</v>
      </c>
    </row>
    <row r="1018">
      <c r="A1018" s="20">
        <f>IFERROR(__xludf.DUMMYFUNCTION("""COMPUTED_VALUE"""),1070.0)</f>
        <v>1070</v>
      </c>
      <c r="B1018" s="20" t="str">
        <f>IFERROR(__xludf.DUMMYFUNCTION("""COMPUTED_VALUE"""),"Convert to Base -2")</f>
        <v>Convert to Base -2</v>
      </c>
      <c r="C1018" s="20" t="str">
        <f>IFERROR(__xludf.DUMMYFUNCTION("""COMPUTED_VALUE"""),"convert-to-base-2")</f>
        <v>convert-to-base-2</v>
      </c>
      <c r="D1018" s="20" t="b">
        <f>IFERROR(__xludf.DUMMYFUNCTION("""COMPUTED_VALUE"""),FALSE)</f>
        <v>0</v>
      </c>
      <c r="E1018" s="20" t="str">
        <f>IFERROR(__xludf.DUMMYFUNCTION("""COMPUTED_VALUE"""),"Medium")</f>
        <v>Medium</v>
      </c>
      <c r="F1018" s="20">
        <f>IFERROR(__xludf.DUMMYFUNCTION("""COMPUTED_VALUE"""),419.0)</f>
        <v>419</v>
      </c>
      <c r="G1018" s="20">
        <f>IFERROR(__xludf.DUMMYFUNCTION("""COMPUTED_VALUE"""),255.0)</f>
        <v>255</v>
      </c>
      <c r="H1018" s="20" t="str">
        <f>IFERROR(__xludf.DUMMYFUNCTION("""COMPUTED_VALUE"""),"Algorithms")</f>
        <v>Algorithms</v>
      </c>
      <c r="I1018" s="20">
        <f>IFERROR(__xludf.DUMMYFUNCTION("""COMPUTED_VALUE"""),0.609)</f>
        <v>0.609</v>
      </c>
      <c r="J1018" s="20">
        <f>IFERROR(__xludf.DUMMYFUNCTION("""COMPUTED_VALUE"""),1017.0)</f>
        <v>1017</v>
      </c>
      <c r="K1018" s="20" t="b">
        <f>IFERROR(__xludf.DUMMYFUNCTION("""COMPUTED_VALUE"""),FALSE)</f>
        <v>0</v>
      </c>
      <c r="L1018" s="20" t="str">
        <f>IFERROR(__xludf.DUMMYFUNCTION("""COMPUTED_VALUE"""),"Math;")</f>
        <v>Math;</v>
      </c>
      <c r="M1018" s="20" t="b">
        <f>IFERROR(__xludf.DUMMYFUNCTION("""COMPUTED_VALUE"""),FALSE)</f>
        <v>0</v>
      </c>
      <c r="N1018" s="20" t="b">
        <f>IFERROR(__xludf.DUMMYFUNCTION("""COMPUTED_VALUE"""),FALSE)</f>
        <v>0</v>
      </c>
      <c r="O1018" s="20">
        <f>IFERROR(__xludf.DUMMYFUNCTION("""COMPUTED_VALUE"""),60.9344526413974)</f>
        <v>60.93445264</v>
      </c>
      <c r="P1018" s="20">
        <f>IFERROR(__xludf.DUMMYFUNCTION("""COMPUTED_VALUE"""),21557.0)</f>
        <v>21557</v>
      </c>
      <c r="Q1018" s="20">
        <f>IFERROR(__xludf.DUMMYFUNCTION("""COMPUTED_VALUE"""),35378.0)</f>
        <v>35378</v>
      </c>
    </row>
    <row r="1019">
      <c r="A1019" s="20">
        <f>IFERROR(__xludf.DUMMYFUNCTION("""COMPUTED_VALUE"""),1071.0)</f>
        <v>1071</v>
      </c>
      <c r="B1019" s="20" t="str">
        <f>IFERROR(__xludf.DUMMYFUNCTION("""COMPUTED_VALUE"""),"Binary Prefix Divisible By 5")</f>
        <v>Binary Prefix Divisible By 5</v>
      </c>
      <c r="C1019" s="20" t="str">
        <f>IFERROR(__xludf.DUMMYFUNCTION("""COMPUTED_VALUE"""),"binary-prefix-divisible-by-5")</f>
        <v>binary-prefix-divisible-by-5</v>
      </c>
      <c r="D1019" s="20" t="b">
        <f>IFERROR(__xludf.DUMMYFUNCTION("""COMPUTED_VALUE"""),FALSE)</f>
        <v>0</v>
      </c>
      <c r="E1019" s="20" t="str">
        <f>IFERROR(__xludf.DUMMYFUNCTION("""COMPUTED_VALUE"""),"Easy")</f>
        <v>Easy</v>
      </c>
      <c r="F1019" s="20">
        <f>IFERROR(__xludf.DUMMYFUNCTION("""COMPUTED_VALUE"""),608.0)</f>
        <v>608</v>
      </c>
      <c r="G1019" s="20">
        <f>IFERROR(__xludf.DUMMYFUNCTION("""COMPUTED_VALUE"""),157.0)</f>
        <v>157</v>
      </c>
      <c r="H1019" s="20" t="str">
        <f>IFERROR(__xludf.DUMMYFUNCTION("""COMPUTED_VALUE"""),"Algorithms")</f>
        <v>Algorithms</v>
      </c>
      <c r="I1019" s="20">
        <f>IFERROR(__xludf.DUMMYFUNCTION("""COMPUTED_VALUE"""),0.472)</f>
        <v>0.472</v>
      </c>
      <c r="J1019" s="20">
        <f>IFERROR(__xludf.DUMMYFUNCTION("""COMPUTED_VALUE"""),1018.0)</f>
        <v>1018</v>
      </c>
      <c r="K1019" s="20" t="b">
        <f>IFERROR(__xludf.DUMMYFUNCTION("""COMPUTED_VALUE"""),FALSE)</f>
        <v>0</v>
      </c>
      <c r="L1019" s="20" t="str">
        <f>IFERROR(__xludf.DUMMYFUNCTION("""COMPUTED_VALUE"""),"Array;")</f>
        <v>Array;</v>
      </c>
      <c r="M1019" s="20" t="b">
        <f>IFERROR(__xludf.DUMMYFUNCTION("""COMPUTED_VALUE"""),FALSE)</f>
        <v>0</v>
      </c>
      <c r="N1019" s="20" t="b">
        <f>IFERROR(__xludf.DUMMYFUNCTION("""COMPUTED_VALUE"""),FALSE)</f>
        <v>0</v>
      </c>
      <c r="O1019" s="20">
        <f>IFERROR(__xludf.DUMMYFUNCTION("""COMPUTED_VALUE"""),47.1843159149228)</f>
        <v>47.18431591</v>
      </c>
      <c r="P1019" s="20">
        <f>IFERROR(__xludf.DUMMYFUNCTION("""COMPUTED_VALUE"""),43947.0)</f>
        <v>43947</v>
      </c>
      <c r="Q1019" s="20">
        <f>IFERROR(__xludf.DUMMYFUNCTION("""COMPUTED_VALUE"""),93139.0)</f>
        <v>93139</v>
      </c>
    </row>
    <row r="1020">
      <c r="A1020" s="20">
        <f>IFERROR(__xludf.DUMMYFUNCTION("""COMPUTED_VALUE"""),1072.0)</f>
        <v>1072</v>
      </c>
      <c r="B1020" s="20" t="str">
        <f>IFERROR(__xludf.DUMMYFUNCTION("""COMPUTED_VALUE"""),"Next Greater Node In Linked List")</f>
        <v>Next Greater Node In Linked List</v>
      </c>
      <c r="C1020" s="20" t="str">
        <f>IFERROR(__xludf.DUMMYFUNCTION("""COMPUTED_VALUE"""),"next-greater-node-in-linked-list")</f>
        <v>next-greater-node-in-linked-list</v>
      </c>
      <c r="D1020" s="20" t="b">
        <f>IFERROR(__xludf.DUMMYFUNCTION("""COMPUTED_VALUE"""),FALSE)</f>
        <v>0</v>
      </c>
      <c r="E1020" s="20" t="str">
        <f>IFERROR(__xludf.DUMMYFUNCTION("""COMPUTED_VALUE"""),"Medium")</f>
        <v>Medium</v>
      </c>
      <c r="F1020" s="20">
        <f>IFERROR(__xludf.DUMMYFUNCTION("""COMPUTED_VALUE"""),2660.0)</f>
        <v>2660</v>
      </c>
      <c r="G1020" s="20">
        <f>IFERROR(__xludf.DUMMYFUNCTION("""COMPUTED_VALUE"""),104.0)</f>
        <v>104</v>
      </c>
      <c r="H1020" s="20" t="str">
        <f>IFERROR(__xludf.DUMMYFUNCTION("""COMPUTED_VALUE"""),"Algorithms")</f>
        <v>Algorithms</v>
      </c>
      <c r="I1020" s="20">
        <f>IFERROR(__xludf.DUMMYFUNCTION("""COMPUTED_VALUE"""),0.599)</f>
        <v>0.599</v>
      </c>
      <c r="J1020" s="20">
        <f>IFERROR(__xludf.DUMMYFUNCTION("""COMPUTED_VALUE"""),1019.0)</f>
        <v>1019</v>
      </c>
      <c r="K1020" s="20" t="b">
        <f>IFERROR(__xludf.DUMMYFUNCTION("""COMPUTED_VALUE"""),FALSE)</f>
        <v>0</v>
      </c>
      <c r="L1020" s="20" t="str">
        <f>IFERROR(__xludf.DUMMYFUNCTION("""COMPUTED_VALUE"""),"Array;Linked List;Stack;Monotonic Stack;")</f>
        <v>Array;Linked List;Stack;Monotonic Stack;</v>
      </c>
      <c r="M1020" s="20" t="b">
        <f>IFERROR(__xludf.DUMMYFUNCTION("""COMPUTED_VALUE"""),TRUE)</f>
        <v>1</v>
      </c>
      <c r="N1020" s="20" t="b">
        <f>IFERROR(__xludf.DUMMYFUNCTION("""COMPUTED_VALUE"""),FALSE)</f>
        <v>0</v>
      </c>
      <c r="O1020" s="20">
        <f>IFERROR(__xludf.DUMMYFUNCTION("""COMPUTED_VALUE"""),59.9243809124237)</f>
        <v>59.92438091</v>
      </c>
      <c r="P1020" s="20">
        <f>IFERROR(__xludf.DUMMYFUNCTION("""COMPUTED_VALUE"""),119976.0)</f>
        <v>119976</v>
      </c>
      <c r="Q1020" s="20">
        <f>IFERROR(__xludf.DUMMYFUNCTION("""COMPUTED_VALUE"""),200213.0)</f>
        <v>200213</v>
      </c>
    </row>
    <row r="1021">
      <c r="A1021" s="20">
        <f>IFERROR(__xludf.DUMMYFUNCTION("""COMPUTED_VALUE"""),1073.0)</f>
        <v>1073</v>
      </c>
      <c r="B1021" s="20" t="str">
        <f>IFERROR(__xludf.DUMMYFUNCTION("""COMPUTED_VALUE"""),"Number of Enclaves")</f>
        <v>Number of Enclaves</v>
      </c>
      <c r="C1021" s="20" t="str">
        <f>IFERROR(__xludf.DUMMYFUNCTION("""COMPUTED_VALUE"""),"number-of-enclaves")</f>
        <v>number-of-enclaves</v>
      </c>
      <c r="D1021" s="20" t="b">
        <f>IFERROR(__xludf.DUMMYFUNCTION("""COMPUTED_VALUE"""),FALSE)</f>
        <v>0</v>
      </c>
      <c r="E1021" s="20" t="str">
        <f>IFERROR(__xludf.DUMMYFUNCTION("""COMPUTED_VALUE"""),"Medium")</f>
        <v>Medium</v>
      </c>
      <c r="F1021" s="20">
        <f>IFERROR(__xludf.DUMMYFUNCTION("""COMPUTED_VALUE"""),1995.0)</f>
        <v>1995</v>
      </c>
      <c r="G1021" s="20">
        <f>IFERROR(__xludf.DUMMYFUNCTION("""COMPUTED_VALUE"""),39.0)</f>
        <v>39</v>
      </c>
      <c r="H1021" s="20" t="str">
        <f>IFERROR(__xludf.DUMMYFUNCTION("""COMPUTED_VALUE"""),"Algorithms")</f>
        <v>Algorithms</v>
      </c>
      <c r="I1021" s="20">
        <f>IFERROR(__xludf.DUMMYFUNCTION("""COMPUTED_VALUE"""),0.651)</f>
        <v>0.651</v>
      </c>
      <c r="J1021" s="20">
        <f>IFERROR(__xludf.DUMMYFUNCTION("""COMPUTED_VALUE"""),1020.0)</f>
        <v>1020</v>
      </c>
      <c r="K1021" s="20" t="b">
        <f>IFERROR(__xludf.DUMMYFUNCTION("""COMPUTED_VALUE"""),FALSE)</f>
        <v>0</v>
      </c>
      <c r="L1021" s="20" t="str">
        <f>IFERROR(__xludf.DUMMYFUNCTION("""COMPUTED_VALUE"""),"Array;Depth-First Search;Breadth-First Search;Union Find;Matrix;")</f>
        <v>Array;Depth-First Search;Breadth-First Search;Union Find;Matrix;</v>
      </c>
      <c r="M1021" s="20" t="b">
        <f>IFERROR(__xludf.DUMMYFUNCTION("""COMPUTED_VALUE"""),FALSE)</f>
        <v>0</v>
      </c>
      <c r="N1021" s="20" t="b">
        <f>IFERROR(__xludf.DUMMYFUNCTION("""COMPUTED_VALUE"""),FALSE)</f>
        <v>0</v>
      </c>
      <c r="O1021" s="20">
        <f>IFERROR(__xludf.DUMMYFUNCTION("""COMPUTED_VALUE"""),65.1058477671197)</f>
        <v>65.10584777</v>
      </c>
      <c r="P1021" s="20">
        <f>IFERROR(__xludf.DUMMYFUNCTION("""COMPUTED_VALUE"""),85927.0)</f>
        <v>85927</v>
      </c>
      <c r="Q1021" s="20">
        <f>IFERROR(__xludf.DUMMYFUNCTION("""COMPUTED_VALUE"""),131977.0)</f>
        <v>131977</v>
      </c>
    </row>
    <row r="1022">
      <c r="A1022" s="20">
        <f>IFERROR(__xludf.DUMMYFUNCTION("""COMPUTED_VALUE"""),1078.0)</f>
        <v>1078</v>
      </c>
      <c r="B1022" s="20" t="str">
        <f>IFERROR(__xludf.DUMMYFUNCTION("""COMPUTED_VALUE"""),"Remove Outermost Parentheses")</f>
        <v>Remove Outermost Parentheses</v>
      </c>
      <c r="C1022" s="20" t="str">
        <f>IFERROR(__xludf.DUMMYFUNCTION("""COMPUTED_VALUE"""),"remove-outermost-parentheses")</f>
        <v>remove-outermost-parentheses</v>
      </c>
      <c r="D1022" s="20" t="b">
        <f>IFERROR(__xludf.DUMMYFUNCTION("""COMPUTED_VALUE"""),FALSE)</f>
        <v>0</v>
      </c>
      <c r="E1022" s="20" t="str">
        <f>IFERROR(__xludf.DUMMYFUNCTION("""COMPUTED_VALUE"""),"Easy")</f>
        <v>Easy</v>
      </c>
      <c r="F1022" s="20">
        <f>IFERROR(__xludf.DUMMYFUNCTION("""COMPUTED_VALUE"""),1763.0)</f>
        <v>1763</v>
      </c>
      <c r="G1022" s="20">
        <f>IFERROR(__xludf.DUMMYFUNCTION("""COMPUTED_VALUE"""),1329.0)</f>
        <v>1329</v>
      </c>
      <c r="H1022" s="20" t="str">
        <f>IFERROR(__xludf.DUMMYFUNCTION("""COMPUTED_VALUE"""),"Algorithms")</f>
        <v>Algorithms</v>
      </c>
      <c r="I1022" s="20">
        <f>IFERROR(__xludf.DUMMYFUNCTION("""COMPUTED_VALUE"""),0.803)</f>
        <v>0.803</v>
      </c>
      <c r="J1022" s="20">
        <f>IFERROR(__xludf.DUMMYFUNCTION("""COMPUTED_VALUE"""),1021.0)</f>
        <v>1021</v>
      </c>
      <c r="K1022" s="20" t="b">
        <f>IFERROR(__xludf.DUMMYFUNCTION("""COMPUTED_VALUE"""),FALSE)</f>
        <v>0</v>
      </c>
      <c r="L1022" s="20" t="str">
        <f>IFERROR(__xludf.DUMMYFUNCTION("""COMPUTED_VALUE"""),"String;Stack;")</f>
        <v>String;Stack;</v>
      </c>
      <c r="M1022" s="20" t="b">
        <f>IFERROR(__xludf.DUMMYFUNCTION("""COMPUTED_VALUE"""),FALSE)</f>
        <v>0</v>
      </c>
      <c r="N1022" s="20" t="b">
        <f>IFERROR(__xludf.DUMMYFUNCTION("""COMPUTED_VALUE"""),FALSE)</f>
        <v>0</v>
      </c>
      <c r="O1022" s="20">
        <f>IFERROR(__xludf.DUMMYFUNCTION("""COMPUTED_VALUE"""),80.3025694388857)</f>
        <v>80.30256944</v>
      </c>
      <c r="P1022" s="20">
        <f>IFERROR(__xludf.DUMMYFUNCTION("""COMPUTED_VALUE"""),200642.0)</f>
        <v>200642</v>
      </c>
      <c r="Q1022" s="20">
        <f>IFERROR(__xludf.DUMMYFUNCTION("""COMPUTED_VALUE"""),249858.0)</f>
        <v>249858</v>
      </c>
    </row>
    <row r="1023">
      <c r="A1023" s="20">
        <f>IFERROR(__xludf.DUMMYFUNCTION("""COMPUTED_VALUE"""),1079.0)</f>
        <v>1079</v>
      </c>
      <c r="B1023" s="20" t="str">
        <f>IFERROR(__xludf.DUMMYFUNCTION("""COMPUTED_VALUE"""),"Sum of Root To Leaf Binary Numbers")</f>
        <v>Sum of Root To Leaf Binary Numbers</v>
      </c>
      <c r="C1023" s="20" t="str">
        <f>IFERROR(__xludf.DUMMYFUNCTION("""COMPUTED_VALUE"""),"sum-of-root-to-leaf-binary-numbers")</f>
        <v>sum-of-root-to-leaf-binary-numbers</v>
      </c>
      <c r="D1023" s="20" t="b">
        <f>IFERROR(__xludf.DUMMYFUNCTION("""COMPUTED_VALUE"""),FALSE)</f>
        <v>0</v>
      </c>
      <c r="E1023" s="20" t="str">
        <f>IFERROR(__xludf.DUMMYFUNCTION("""COMPUTED_VALUE"""),"Easy")</f>
        <v>Easy</v>
      </c>
      <c r="F1023" s="20">
        <f>IFERROR(__xludf.DUMMYFUNCTION("""COMPUTED_VALUE"""),2906.0)</f>
        <v>2906</v>
      </c>
      <c r="G1023" s="20">
        <f>IFERROR(__xludf.DUMMYFUNCTION("""COMPUTED_VALUE"""),172.0)</f>
        <v>172</v>
      </c>
      <c r="H1023" s="20" t="str">
        <f>IFERROR(__xludf.DUMMYFUNCTION("""COMPUTED_VALUE"""),"Algorithms")</f>
        <v>Algorithms</v>
      </c>
      <c r="I1023" s="20">
        <f>IFERROR(__xludf.DUMMYFUNCTION("""COMPUTED_VALUE"""),0.737)</f>
        <v>0.737</v>
      </c>
      <c r="J1023" s="20">
        <f>IFERROR(__xludf.DUMMYFUNCTION("""COMPUTED_VALUE"""),1022.0)</f>
        <v>1022</v>
      </c>
      <c r="K1023" s="20" t="b">
        <f>IFERROR(__xludf.DUMMYFUNCTION("""COMPUTED_VALUE"""),FALSE)</f>
        <v>0</v>
      </c>
      <c r="L1023" s="20" t="str">
        <f>IFERROR(__xludf.DUMMYFUNCTION("""COMPUTED_VALUE"""),"Tree;Depth-First Search;Binary Tree;")</f>
        <v>Tree;Depth-First Search;Binary Tree;</v>
      </c>
      <c r="M1023" s="20" t="b">
        <f>IFERROR(__xludf.DUMMYFUNCTION("""COMPUTED_VALUE"""),TRUE)</f>
        <v>1</v>
      </c>
      <c r="N1023" s="20" t="b">
        <f>IFERROR(__xludf.DUMMYFUNCTION("""COMPUTED_VALUE"""),FALSE)</f>
        <v>0</v>
      </c>
      <c r="O1023" s="20">
        <f>IFERROR(__xludf.DUMMYFUNCTION("""COMPUTED_VALUE"""),73.7050352405906)</f>
        <v>73.70503524</v>
      </c>
      <c r="P1023" s="20">
        <f>IFERROR(__xludf.DUMMYFUNCTION("""COMPUTED_VALUE"""),181436.0)</f>
        <v>181436</v>
      </c>
      <c r="Q1023" s="20">
        <f>IFERROR(__xludf.DUMMYFUNCTION("""COMPUTED_VALUE"""),246165.0)</f>
        <v>246165</v>
      </c>
    </row>
    <row r="1024">
      <c r="A1024" s="20">
        <f>IFERROR(__xludf.DUMMYFUNCTION("""COMPUTED_VALUE"""),1080.0)</f>
        <v>1080</v>
      </c>
      <c r="B1024" s="20" t="str">
        <f>IFERROR(__xludf.DUMMYFUNCTION("""COMPUTED_VALUE"""),"Camelcase Matching")</f>
        <v>Camelcase Matching</v>
      </c>
      <c r="C1024" s="20" t="str">
        <f>IFERROR(__xludf.DUMMYFUNCTION("""COMPUTED_VALUE"""),"camelcase-matching")</f>
        <v>camelcase-matching</v>
      </c>
      <c r="D1024" s="20" t="b">
        <f>IFERROR(__xludf.DUMMYFUNCTION("""COMPUTED_VALUE"""),FALSE)</f>
        <v>0</v>
      </c>
      <c r="E1024" s="20" t="str">
        <f>IFERROR(__xludf.DUMMYFUNCTION("""COMPUTED_VALUE"""),"Medium")</f>
        <v>Medium</v>
      </c>
      <c r="F1024" s="20">
        <f>IFERROR(__xludf.DUMMYFUNCTION("""COMPUTED_VALUE"""),694.0)</f>
        <v>694</v>
      </c>
      <c r="G1024" s="20">
        <f>IFERROR(__xludf.DUMMYFUNCTION("""COMPUTED_VALUE"""),254.0)</f>
        <v>254</v>
      </c>
      <c r="H1024" s="20" t="str">
        <f>IFERROR(__xludf.DUMMYFUNCTION("""COMPUTED_VALUE"""),"Algorithms")</f>
        <v>Algorithms</v>
      </c>
      <c r="I1024" s="20">
        <f>IFERROR(__xludf.DUMMYFUNCTION("""COMPUTED_VALUE"""),0.603)</f>
        <v>0.603</v>
      </c>
      <c r="J1024" s="20">
        <f>IFERROR(__xludf.DUMMYFUNCTION("""COMPUTED_VALUE"""),1023.0)</f>
        <v>1023</v>
      </c>
      <c r="K1024" s="20" t="b">
        <f>IFERROR(__xludf.DUMMYFUNCTION("""COMPUTED_VALUE"""),FALSE)</f>
        <v>0</v>
      </c>
      <c r="L1024" s="20" t="str">
        <f>IFERROR(__xludf.DUMMYFUNCTION("""COMPUTED_VALUE"""),"Two Pointers;String;Trie;String Matching;")</f>
        <v>Two Pointers;String;Trie;String Matching;</v>
      </c>
      <c r="M1024" s="20" t="b">
        <f>IFERROR(__xludf.DUMMYFUNCTION("""COMPUTED_VALUE"""),FALSE)</f>
        <v>0</v>
      </c>
      <c r="N1024" s="20" t="b">
        <f>IFERROR(__xludf.DUMMYFUNCTION("""COMPUTED_VALUE"""),FALSE)</f>
        <v>0</v>
      </c>
      <c r="O1024" s="20">
        <f>IFERROR(__xludf.DUMMYFUNCTION("""COMPUTED_VALUE"""),60.2963928018891)</f>
        <v>60.2963928</v>
      </c>
      <c r="P1024" s="20">
        <f>IFERROR(__xludf.DUMMYFUNCTION("""COMPUTED_VALUE"""),37025.0)</f>
        <v>37025</v>
      </c>
      <c r="Q1024" s="20">
        <f>IFERROR(__xludf.DUMMYFUNCTION("""COMPUTED_VALUE"""),61405.0)</f>
        <v>61405</v>
      </c>
    </row>
    <row r="1025">
      <c r="A1025" s="20">
        <f>IFERROR(__xludf.DUMMYFUNCTION("""COMPUTED_VALUE"""),1081.0)</f>
        <v>1081</v>
      </c>
      <c r="B1025" s="20" t="str">
        <f>IFERROR(__xludf.DUMMYFUNCTION("""COMPUTED_VALUE"""),"Video Stitching")</f>
        <v>Video Stitching</v>
      </c>
      <c r="C1025" s="20" t="str">
        <f>IFERROR(__xludf.DUMMYFUNCTION("""COMPUTED_VALUE"""),"video-stitching")</f>
        <v>video-stitching</v>
      </c>
      <c r="D1025" s="20" t="b">
        <f>IFERROR(__xludf.DUMMYFUNCTION("""COMPUTED_VALUE"""),FALSE)</f>
        <v>0</v>
      </c>
      <c r="E1025" s="20" t="str">
        <f>IFERROR(__xludf.DUMMYFUNCTION("""COMPUTED_VALUE"""),"Medium")</f>
        <v>Medium</v>
      </c>
      <c r="F1025" s="20">
        <f>IFERROR(__xludf.DUMMYFUNCTION("""COMPUTED_VALUE"""),1437.0)</f>
        <v>1437</v>
      </c>
      <c r="G1025" s="20">
        <f>IFERROR(__xludf.DUMMYFUNCTION("""COMPUTED_VALUE"""),50.0)</f>
        <v>50</v>
      </c>
      <c r="H1025" s="20" t="str">
        <f>IFERROR(__xludf.DUMMYFUNCTION("""COMPUTED_VALUE"""),"Algorithms")</f>
        <v>Algorithms</v>
      </c>
      <c r="I1025" s="20">
        <f>IFERROR(__xludf.DUMMYFUNCTION("""COMPUTED_VALUE"""),0.505)</f>
        <v>0.505</v>
      </c>
      <c r="J1025" s="20">
        <f>IFERROR(__xludf.DUMMYFUNCTION("""COMPUTED_VALUE"""),1024.0)</f>
        <v>1024</v>
      </c>
      <c r="K1025" s="20" t="b">
        <f>IFERROR(__xludf.DUMMYFUNCTION("""COMPUTED_VALUE"""),FALSE)</f>
        <v>0</v>
      </c>
      <c r="L1025" s="20" t="str">
        <f>IFERROR(__xludf.DUMMYFUNCTION("""COMPUTED_VALUE"""),"Array;Dynamic Programming;Greedy;")</f>
        <v>Array;Dynamic Programming;Greedy;</v>
      </c>
      <c r="M1025" s="20" t="b">
        <f>IFERROR(__xludf.DUMMYFUNCTION("""COMPUTED_VALUE"""),FALSE)</f>
        <v>0</v>
      </c>
      <c r="N1025" s="20" t="b">
        <f>IFERROR(__xludf.DUMMYFUNCTION("""COMPUTED_VALUE"""),FALSE)</f>
        <v>0</v>
      </c>
      <c r="O1025" s="20">
        <f>IFERROR(__xludf.DUMMYFUNCTION("""COMPUTED_VALUE"""),50.4988949407706)</f>
        <v>50.49889494</v>
      </c>
      <c r="P1025" s="20">
        <f>IFERROR(__xludf.DUMMYFUNCTION("""COMPUTED_VALUE"""),54609.0)</f>
        <v>54609</v>
      </c>
      <c r="Q1025" s="20">
        <f>IFERROR(__xludf.DUMMYFUNCTION("""COMPUTED_VALUE"""),108139.0)</f>
        <v>108139</v>
      </c>
    </row>
    <row r="1026">
      <c r="A1026" s="20">
        <f>IFERROR(__xludf.DUMMYFUNCTION("""COMPUTED_VALUE"""),1086.0)</f>
        <v>1086</v>
      </c>
      <c r="B1026" s="20" t="str">
        <f>IFERROR(__xludf.DUMMYFUNCTION("""COMPUTED_VALUE"""),"Divisor Game")</f>
        <v>Divisor Game</v>
      </c>
      <c r="C1026" s="20" t="str">
        <f>IFERROR(__xludf.DUMMYFUNCTION("""COMPUTED_VALUE"""),"divisor-game")</f>
        <v>divisor-game</v>
      </c>
      <c r="D1026" s="20" t="b">
        <f>IFERROR(__xludf.DUMMYFUNCTION("""COMPUTED_VALUE"""),FALSE)</f>
        <v>0</v>
      </c>
      <c r="E1026" s="20" t="str">
        <f>IFERROR(__xludf.DUMMYFUNCTION("""COMPUTED_VALUE"""),"Easy")</f>
        <v>Easy</v>
      </c>
      <c r="F1026" s="20">
        <f>IFERROR(__xludf.DUMMYFUNCTION("""COMPUTED_VALUE"""),1686.0)</f>
        <v>1686</v>
      </c>
      <c r="G1026" s="20">
        <f>IFERROR(__xludf.DUMMYFUNCTION("""COMPUTED_VALUE"""),3580.0)</f>
        <v>3580</v>
      </c>
      <c r="H1026" s="20" t="str">
        <f>IFERROR(__xludf.DUMMYFUNCTION("""COMPUTED_VALUE"""),"Algorithms")</f>
        <v>Algorithms</v>
      </c>
      <c r="I1026" s="20">
        <f>IFERROR(__xludf.DUMMYFUNCTION("""COMPUTED_VALUE"""),0.673)</f>
        <v>0.673</v>
      </c>
      <c r="J1026" s="20">
        <f>IFERROR(__xludf.DUMMYFUNCTION("""COMPUTED_VALUE"""),1025.0)</f>
        <v>1025</v>
      </c>
      <c r="K1026" s="20" t="b">
        <f>IFERROR(__xludf.DUMMYFUNCTION("""COMPUTED_VALUE"""),FALSE)</f>
        <v>0</v>
      </c>
      <c r="L1026" s="20" t="str">
        <f>IFERROR(__xludf.DUMMYFUNCTION("""COMPUTED_VALUE"""),"Math;Dynamic Programming;Brainteaser;Game Theory;")</f>
        <v>Math;Dynamic Programming;Brainteaser;Game Theory;</v>
      </c>
      <c r="M1026" s="20" t="b">
        <f>IFERROR(__xludf.DUMMYFUNCTION("""COMPUTED_VALUE"""),FALSE)</f>
        <v>0</v>
      </c>
      <c r="N1026" s="20" t="b">
        <f>IFERROR(__xludf.DUMMYFUNCTION("""COMPUTED_VALUE"""),FALSE)</f>
        <v>0</v>
      </c>
      <c r="O1026" s="20">
        <f>IFERROR(__xludf.DUMMYFUNCTION("""COMPUTED_VALUE"""),67.2652546191978)</f>
        <v>67.26525462</v>
      </c>
      <c r="P1026" s="20">
        <f>IFERROR(__xludf.DUMMYFUNCTION("""COMPUTED_VALUE"""),186573.0)</f>
        <v>186573</v>
      </c>
      <c r="Q1026" s="20">
        <f>IFERROR(__xludf.DUMMYFUNCTION("""COMPUTED_VALUE"""),277371.0)</f>
        <v>277371</v>
      </c>
    </row>
    <row r="1027">
      <c r="A1027" s="20">
        <f>IFERROR(__xludf.DUMMYFUNCTION("""COMPUTED_VALUE"""),1092.0)</f>
        <v>1092</v>
      </c>
      <c r="B1027" s="20" t="str">
        <f>IFERROR(__xludf.DUMMYFUNCTION("""COMPUTED_VALUE"""),"Maximum Difference Between Node and Ancestor")</f>
        <v>Maximum Difference Between Node and Ancestor</v>
      </c>
      <c r="C1027" s="20" t="str">
        <f>IFERROR(__xludf.DUMMYFUNCTION("""COMPUTED_VALUE"""),"maximum-difference-between-node-and-ancestor")</f>
        <v>maximum-difference-between-node-and-ancestor</v>
      </c>
      <c r="D1027" s="20" t="b">
        <f>IFERROR(__xludf.DUMMYFUNCTION("""COMPUTED_VALUE"""),FALSE)</f>
        <v>0</v>
      </c>
      <c r="E1027" s="20" t="str">
        <f>IFERROR(__xludf.DUMMYFUNCTION("""COMPUTED_VALUE"""),"Medium")</f>
        <v>Medium</v>
      </c>
      <c r="F1027" s="20">
        <f>IFERROR(__xludf.DUMMYFUNCTION("""COMPUTED_VALUE"""),3828.0)</f>
        <v>3828</v>
      </c>
      <c r="G1027" s="20">
        <f>IFERROR(__xludf.DUMMYFUNCTION("""COMPUTED_VALUE"""),92.0)</f>
        <v>92</v>
      </c>
      <c r="H1027" s="20" t="str">
        <f>IFERROR(__xludf.DUMMYFUNCTION("""COMPUTED_VALUE"""),"Algorithms")</f>
        <v>Algorithms</v>
      </c>
      <c r="I1027" s="20">
        <f>IFERROR(__xludf.DUMMYFUNCTION("""COMPUTED_VALUE"""),0.758)</f>
        <v>0.758</v>
      </c>
      <c r="J1027" s="20">
        <f>IFERROR(__xludf.DUMMYFUNCTION("""COMPUTED_VALUE"""),1026.0)</f>
        <v>1026</v>
      </c>
      <c r="K1027" s="20" t="b">
        <f>IFERROR(__xludf.DUMMYFUNCTION("""COMPUTED_VALUE"""),FALSE)</f>
        <v>0</v>
      </c>
      <c r="L1027" s="20" t="str">
        <f>IFERROR(__xludf.DUMMYFUNCTION("""COMPUTED_VALUE"""),"Tree;Depth-First Search;Binary Tree;")</f>
        <v>Tree;Depth-First Search;Binary Tree;</v>
      </c>
      <c r="M1027" s="20" t="b">
        <f>IFERROR(__xludf.DUMMYFUNCTION("""COMPUTED_VALUE"""),TRUE)</f>
        <v>1</v>
      </c>
      <c r="N1027" s="20" t="b">
        <f>IFERROR(__xludf.DUMMYFUNCTION("""COMPUTED_VALUE"""),FALSE)</f>
        <v>0</v>
      </c>
      <c r="O1027" s="20">
        <f>IFERROR(__xludf.DUMMYFUNCTION("""COMPUTED_VALUE"""),75.7823155685946)</f>
        <v>75.78231557</v>
      </c>
      <c r="P1027" s="20">
        <f>IFERROR(__xludf.DUMMYFUNCTION("""COMPUTED_VALUE"""),195021.0)</f>
        <v>195021</v>
      </c>
      <c r="Q1027" s="20">
        <f>IFERROR(__xludf.DUMMYFUNCTION("""COMPUTED_VALUE"""),257344.0)</f>
        <v>257344</v>
      </c>
    </row>
    <row r="1028">
      <c r="A1028" s="20">
        <f>IFERROR(__xludf.DUMMYFUNCTION("""COMPUTED_VALUE"""),1087.0)</f>
        <v>1087</v>
      </c>
      <c r="B1028" s="20" t="str">
        <f>IFERROR(__xludf.DUMMYFUNCTION("""COMPUTED_VALUE"""),"Longest Arithmetic Subsequence")</f>
        <v>Longest Arithmetic Subsequence</v>
      </c>
      <c r="C1028" s="20" t="str">
        <f>IFERROR(__xludf.DUMMYFUNCTION("""COMPUTED_VALUE"""),"longest-arithmetic-subsequence")</f>
        <v>longest-arithmetic-subsequence</v>
      </c>
      <c r="D1028" s="20" t="b">
        <f>IFERROR(__xludf.DUMMYFUNCTION("""COMPUTED_VALUE"""),FALSE)</f>
        <v>0</v>
      </c>
      <c r="E1028" s="20" t="str">
        <f>IFERROR(__xludf.DUMMYFUNCTION("""COMPUTED_VALUE"""),"Medium")</f>
        <v>Medium</v>
      </c>
      <c r="F1028" s="20">
        <f>IFERROR(__xludf.DUMMYFUNCTION("""COMPUTED_VALUE"""),2620.0)</f>
        <v>2620</v>
      </c>
      <c r="G1028" s="20">
        <f>IFERROR(__xludf.DUMMYFUNCTION("""COMPUTED_VALUE"""),124.0)</f>
        <v>124</v>
      </c>
      <c r="H1028" s="20" t="str">
        <f>IFERROR(__xludf.DUMMYFUNCTION("""COMPUTED_VALUE"""),"Algorithms")</f>
        <v>Algorithms</v>
      </c>
      <c r="I1028" s="20">
        <f>IFERROR(__xludf.DUMMYFUNCTION("""COMPUTED_VALUE"""),0.469)</f>
        <v>0.469</v>
      </c>
      <c r="J1028" s="20">
        <f>IFERROR(__xludf.DUMMYFUNCTION("""COMPUTED_VALUE"""),1027.0)</f>
        <v>1027</v>
      </c>
      <c r="K1028" s="20" t="b">
        <f>IFERROR(__xludf.DUMMYFUNCTION("""COMPUTED_VALUE"""),FALSE)</f>
        <v>0</v>
      </c>
      <c r="L1028" s="20" t="str">
        <f>IFERROR(__xludf.DUMMYFUNCTION("""COMPUTED_VALUE"""),"Array;Hash Table;Binary Search;Dynamic Programming;")</f>
        <v>Array;Hash Table;Binary Search;Dynamic Programming;</v>
      </c>
      <c r="M1028" s="20" t="b">
        <f>IFERROR(__xludf.DUMMYFUNCTION("""COMPUTED_VALUE"""),FALSE)</f>
        <v>0</v>
      </c>
      <c r="N1028" s="20" t="b">
        <f>IFERROR(__xludf.DUMMYFUNCTION("""COMPUTED_VALUE"""),FALSE)</f>
        <v>0</v>
      </c>
      <c r="O1028" s="20">
        <f>IFERROR(__xludf.DUMMYFUNCTION("""COMPUTED_VALUE"""),46.9211400070561)</f>
        <v>46.92114001</v>
      </c>
      <c r="P1028" s="20">
        <f>IFERROR(__xludf.DUMMYFUNCTION("""COMPUTED_VALUE"""),97085.0)</f>
        <v>97085</v>
      </c>
      <c r="Q1028" s="20">
        <f>IFERROR(__xludf.DUMMYFUNCTION("""COMPUTED_VALUE"""),206911.0)</f>
        <v>206911</v>
      </c>
    </row>
    <row r="1029">
      <c r="A1029" s="20">
        <f>IFERROR(__xludf.DUMMYFUNCTION("""COMPUTED_VALUE"""),1093.0)</f>
        <v>1093</v>
      </c>
      <c r="B1029" s="20" t="str">
        <f>IFERROR(__xludf.DUMMYFUNCTION("""COMPUTED_VALUE"""),"Recover a Tree From Preorder Traversal")</f>
        <v>Recover a Tree From Preorder Traversal</v>
      </c>
      <c r="C1029" s="20" t="str">
        <f>IFERROR(__xludf.DUMMYFUNCTION("""COMPUTED_VALUE"""),"recover-a-tree-from-preorder-traversal")</f>
        <v>recover-a-tree-from-preorder-traversal</v>
      </c>
      <c r="D1029" s="20" t="b">
        <f>IFERROR(__xludf.DUMMYFUNCTION("""COMPUTED_VALUE"""),FALSE)</f>
        <v>0</v>
      </c>
      <c r="E1029" s="20" t="str">
        <f>IFERROR(__xludf.DUMMYFUNCTION("""COMPUTED_VALUE"""),"Hard")</f>
        <v>Hard</v>
      </c>
      <c r="F1029" s="20">
        <f>IFERROR(__xludf.DUMMYFUNCTION("""COMPUTED_VALUE"""),1322.0)</f>
        <v>1322</v>
      </c>
      <c r="G1029" s="20">
        <f>IFERROR(__xludf.DUMMYFUNCTION("""COMPUTED_VALUE"""),36.0)</f>
        <v>36</v>
      </c>
      <c r="H1029" s="20" t="str">
        <f>IFERROR(__xludf.DUMMYFUNCTION("""COMPUTED_VALUE"""),"Algorithms")</f>
        <v>Algorithms</v>
      </c>
      <c r="I1029" s="20">
        <f>IFERROR(__xludf.DUMMYFUNCTION("""COMPUTED_VALUE"""),0.731)</f>
        <v>0.731</v>
      </c>
      <c r="J1029" s="20">
        <f>IFERROR(__xludf.DUMMYFUNCTION("""COMPUTED_VALUE"""),1028.0)</f>
        <v>1028</v>
      </c>
      <c r="K1029" s="20" t="b">
        <f>IFERROR(__xludf.DUMMYFUNCTION("""COMPUTED_VALUE"""),FALSE)</f>
        <v>0</v>
      </c>
      <c r="L1029" s="20" t="str">
        <f>IFERROR(__xludf.DUMMYFUNCTION("""COMPUTED_VALUE"""),"String;Tree;Depth-First Search;Binary Tree;")</f>
        <v>String;Tree;Depth-First Search;Binary Tree;</v>
      </c>
      <c r="M1029" s="20" t="b">
        <f>IFERROR(__xludf.DUMMYFUNCTION("""COMPUTED_VALUE"""),FALSE)</f>
        <v>0</v>
      </c>
      <c r="N1029" s="20" t="b">
        <f>IFERROR(__xludf.DUMMYFUNCTION("""COMPUTED_VALUE"""),FALSE)</f>
        <v>0</v>
      </c>
      <c r="O1029" s="20">
        <f>IFERROR(__xludf.DUMMYFUNCTION("""COMPUTED_VALUE"""),73.1212881563983)</f>
        <v>73.12128816</v>
      </c>
      <c r="P1029" s="20">
        <f>IFERROR(__xludf.DUMMYFUNCTION("""COMPUTED_VALUE"""),40507.0)</f>
        <v>40507</v>
      </c>
      <c r="Q1029" s="20">
        <f>IFERROR(__xludf.DUMMYFUNCTION("""COMPUTED_VALUE"""),55397.0)</f>
        <v>55397</v>
      </c>
    </row>
    <row r="1030">
      <c r="A1030" s="20">
        <f>IFERROR(__xludf.DUMMYFUNCTION("""COMPUTED_VALUE"""),1095.0)</f>
        <v>1095</v>
      </c>
      <c r="B1030" s="20" t="str">
        <f>IFERROR(__xludf.DUMMYFUNCTION("""COMPUTED_VALUE"""),"Two City Scheduling")</f>
        <v>Two City Scheduling</v>
      </c>
      <c r="C1030" s="20" t="str">
        <f>IFERROR(__xludf.DUMMYFUNCTION("""COMPUTED_VALUE"""),"two-city-scheduling")</f>
        <v>two-city-scheduling</v>
      </c>
      <c r="D1030" s="20" t="b">
        <f>IFERROR(__xludf.DUMMYFUNCTION("""COMPUTED_VALUE"""),FALSE)</f>
        <v>0</v>
      </c>
      <c r="E1030" s="20" t="str">
        <f>IFERROR(__xludf.DUMMYFUNCTION("""COMPUTED_VALUE"""),"Medium")</f>
        <v>Medium</v>
      </c>
      <c r="F1030" s="20">
        <f>IFERROR(__xludf.DUMMYFUNCTION("""COMPUTED_VALUE"""),4083.0)</f>
        <v>4083</v>
      </c>
      <c r="G1030" s="20">
        <f>IFERROR(__xludf.DUMMYFUNCTION("""COMPUTED_VALUE"""),304.0)</f>
        <v>304</v>
      </c>
      <c r="H1030" s="20" t="str">
        <f>IFERROR(__xludf.DUMMYFUNCTION("""COMPUTED_VALUE"""),"Algorithms")</f>
        <v>Algorithms</v>
      </c>
      <c r="I1030" s="20">
        <f>IFERROR(__xludf.DUMMYFUNCTION("""COMPUTED_VALUE"""),0.649)</f>
        <v>0.649</v>
      </c>
      <c r="J1030" s="20">
        <f>IFERROR(__xludf.DUMMYFUNCTION("""COMPUTED_VALUE"""),1029.0)</f>
        <v>1029</v>
      </c>
      <c r="K1030" s="20" t="b">
        <f>IFERROR(__xludf.DUMMYFUNCTION("""COMPUTED_VALUE"""),FALSE)</f>
        <v>0</v>
      </c>
      <c r="L1030" s="20" t="str">
        <f>IFERROR(__xludf.DUMMYFUNCTION("""COMPUTED_VALUE"""),"Array;Greedy;Sorting;")</f>
        <v>Array;Greedy;Sorting;</v>
      </c>
      <c r="M1030" s="20" t="b">
        <f>IFERROR(__xludf.DUMMYFUNCTION("""COMPUTED_VALUE"""),TRUE)</f>
        <v>1</v>
      </c>
      <c r="N1030" s="20" t="b">
        <f>IFERROR(__xludf.DUMMYFUNCTION("""COMPUTED_VALUE"""),FALSE)</f>
        <v>0</v>
      </c>
      <c r="O1030" s="20">
        <f>IFERROR(__xludf.DUMMYFUNCTION("""COMPUTED_VALUE"""),64.8802860597066)</f>
        <v>64.88028606</v>
      </c>
      <c r="P1030" s="20">
        <f>IFERROR(__xludf.DUMMYFUNCTION("""COMPUTED_VALUE"""),202855.0)</f>
        <v>202855</v>
      </c>
      <c r="Q1030" s="20">
        <f>IFERROR(__xludf.DUMMYFUNCTION("""COMPUTED_VALUE"""),312661.0)</f>
        <v>312661</v>
      </c>
    </row>
    <row r="1031">
      <c r="A1031" s="20">
        <f>IFERROR(__xludf.DUMMYFUNCTION("""COMPUTED_VALUE"""),1094.0)</f>
        <v>1094</v>
      </c>
      <c r="B1031" s="20" t="str">
        <f>IFERROR(__xludf.DUMMYFUNCTION("""COMPUTED_VALUE"""),"Matrix Cells in Distance Order")</f>
        <v>Matrix Cells in Distance Order</v>
      </c>
      <c r="C1031" s="20" t="str">
        <f>IFERROR(__xludf.DUMMYFUNCTION("""COMPUTED_VALUE"""),"matrix-cells-in-distance-order")</f>
        <v>matrix-cells-in-distance-order</v>
      </c>
      <c r="D1031" s="20" t="b">
        <f>IFERROR(__xludf.DUMMYFUNCTION("""COMPUTED_VALUE"""),FALSE)</f>
        <v>0</v>
      </c>
      <c r="E1031" s="20" t="str">
        <f>IFERROR(__xludf.DUMMYFUNCTION("""COMPUTED_VALUE"""),"Easy")</f>
        <v>Easy</v>
      </c>
      <c r="F1031" s="20">
        <f>IFERROR(__xludf.DUMMYFUNCTION("""COMPUTED_VALUE"""),581.0)</f>
        <v>581</v>
      </c>
      <c r="G1031" s="20">
        <f>IFERROR(__xludf.DUMMYFUNCTION("""COMPUTED_VALUE"""),262.0)</f>
        <v>262</v>
      </c>
      <c r="H1031" s="20" t="str">
        <f>IFERROR(__xludf.DUMMYFUNCTION("""COMPUTED_VALUE"""),"Algorithms")</f>
        <v>Algorithms</v>
      </c>
      <c r="I1031" s="20">
        <f>IFERROR(__xludf.DUMMYFUNCTION("""COMPUTED_VALUE"""),0.694)</f>
        <v>0.694</v>
      </c>
      <c r="J1031" s="20">
        <f>IFERROR(__xludf.DUMMYFUNCTION("""COMPUTED_VALUE"""),1030.0)</f>
        <v>1030</v>
      </c>
      <c r="K1031" s="20" t="b">
        <f>IFERROR(__xludf.DUMMYFUNCTION("""COMPUTED_VALUE"""),FALSE)</f>
        <v>0</v>
      </c>
      <c r="L1031" s="20" t="str">
        <f>IFERROR(__xludf.DUMMYFUNCTION("""COMPUTED_VALUE"""),"Array;Math;Geometry;Sorting;Matrix;")</f>
        <v>Array;Math;Geometry;Sorting;Matrix;</v>
      </c>
      <c r="M1031" s="20" t="b">
        <f>IFERROR(__xludf.DUMMYFUNCTION("""COMPUTED_VALUE"""),FALSE)</f>
        <v>0</v>
      </c>
      <c r="N1031" s="20" t="b">
        <f>IFERROR(__xludf.DUMMYFUNCTION("""COMPUTED_VALUE"""),FALSE)</f>
        <v>0</v>
      </c>
      <c r="O1031" s="20">
        <f>IFERROR(__xludf.DUMMYFUNCTION("""COMPUTED_VALUE"""),69.3517642779192)</f>
        <v>69.35176428</v>
      </c>
      <c r="P1031" s="20">
        <f>IFERROR(__xludf.DUMMYFUNCTION("""COMPUTED_VALUE"""),47662.0)</f>
        <v>47662</v>
      </c>
      <c r="Q1031" s="20">
        <f>IFERROR(__xludf.DUMMYFUNCTION("""COMPUTED_VALUE"""),68725.0)</f>
        <v>68725</v>
      </c>
    </row>
    <row r="1032">
      <c r="A1032" s="20">
        <f>IFERROR(__xludf.DUMMYFUNCTION("""COMPUTED_VALUE"""),1096.0)</f>
        <v>1096</v>
      </c>
      <c r="B1032" s="20" t="str">
        <f>IFERROR(__xludf.DUMMYFUNCTION("""COMPUTED_VALUE"""),"Maximum Sum of Two Non-Overlapping Subarrays")</f>
        <v>Maximum Sum of Two Non-Overlapping Subarrays</v>
      </c>
      <c r="C1032" s="20" t="str">
        <f>IFERROR(__xludf.DUMMYFUNCTION("""COMPUTED_VALUE"""),"maximum-sum-of-two-non-overlapping-subarrays")</f>
        <v>maximum-sum-of-two-non-overlapping-subarrays</v>
      </c>
      <c r="D1032" s="20" t="b">
        <f>IFERROR(__xludf.DUMMYFUNCTION("""COMPUTED_VALUE"""),FALSE)</f>
        <v>0</v>
      </c>
      <c r="E1032" s="20" t="str">
        <f>IFERROR(__xludf.DUMMYFUNCTION("""COMPUTED_VALUE"""),"Medium")</f>
        <v>Medium</v>
      </c>
      <c r="F1032" s="20">
        <f>IFERROR(__xludf.DUMMYFUNCTION("""COMPUTED_VALUE"""),2139.0)</f>
        <v>2139</v>
      </c>
      <c r="G1032" s="20">
        <f>IFERROR(__xludf.DUMMYFUNCTION("""COMPUTED_VALUE"""),75.0)</f>
        <v>75</v>
      </c>
      <c r="H1032" s="20" t="str">
        <f>IFERROR(__xludf.DUMMYFUNCTION("""COMPUTED_VALUE"""),"Algorithms")</f>
        <v>Algorithms</v>
      </c>
      <c r="I1032" s="20">
        <f>IFERROR(__xludf.DUMMYFUNCTION("""COMPUTED_VALUE"""),0.596)</f>
        <v>0.596</v>
      </c>
      <c r="J1032" s="20">
        <f>IFERROR(__xludf.DUMMYFUNCTION("""COMPUTED_VALUE"""),1031.0)</f>
        <v>1031</v>
      </c>
      <c r="K1032" s="20" t="b">
        <f>IFERROR(__xludf.DUMMYFUNCTION("""COMPUTED_VALUE"""),FALSE)</f>
        <v>0</v>
      </c>
      <c r="L1032" s="20" t="str">
        <f>IFERROR(__xludf.DUMMYFUNCTION("""COMPUTED_VALUE"""),"Array;Dynamic Programming;Sliding Window;")</f>
        <v>Array;Dynamic Programming;Sliding Window;</v>
      </c>
      <c r="M1032" s="20" t="b">
        <f>IFERROR(__xludf.DUMMYFUNCTION("""COMPUTED_VALUE"""),FALSE)</f>
        <v>0</v>
      </c>
      <c r="N1032" s="20" t="b">
        <f>IFERROR(__xludf.DUMMYFUNCTION("""COMPUTED_VALUE"""),FALSE)</f>
        <v>0</v>
      </c>
      <c r="O1032" s="20">
        <f>IFERROR(__xludf.DUMMYFUNCTION("""COMPUTED_VALUE"""),59.5506517951901)</f>
        <v>59.5506518</v>
      </c>
      <c r="P1032" s="20">
        <f>IFERROR(__xludf.DUMMYFUNCTION("""COMPUTED_VALUE"""),59478.0)</f>
        <v>59478</v>
      </c>
      <c r="Q1032" s="20">
        <f>IFERROR(__xludf.DUMMYFUNCTION("""COMPUTED_VALUE"""),99878.0)</f>
        <v>99878</v>
      </c>
    </row>
    <row r="1033">
      <c r="A1033" s="20">
        <f>IFERROR(__xludf.DUMMYFUNCTION("""COMPUTED_VALUE"""),1097.0)</f>
        <v>1097</v>
      </c>
      <c r="B1033" s="20" t="str">
        <f>IFERROR(__xludf.DUMMYFUNCTION("""COMPUTED_VALUE"""),"Stream of Characters")</f>
        <v>Stream of Characters</v>
      </c>
      <c r="C1033" s="20" t="str">
        <f>IFERROR(__xludf.DUMMYFUNCTION("""COMPUTED_VALUE"""),"stream-of-characters")</f>
        <v>stream-of-characters</v>
      </c>
      <c r="D1033" s="20" t="b">
        <f>IFERROR(__xludf.DUMMYFUNCTION("""COMPUTED_VALUE"""),FALSE)</f>
        <v>0</v>
      </c>
      <c r="E1033" s="20" t="str">
        <f>IFERROR(__xludf.DUMMYFUNCTION("""COMPUTED_VALUE"""),"Hard")</f>
        <v>Hard</v>
      </c>
      <c r="F1033" s="20">
        <f>IFERROR(__xludf.DUMMYFUNCTION("""COMPUTED_VALUE"""),1649.0)</f>
        <v>1649</v>
      </c>
      <c r="G1033" s="20">
        <f>IFERROR(__xludf.DUMMYFUNCTION("""COMPUTED_VALUE"""),176.0)</f>
        <v>176</v>
      </c>
      <c r="H1033" s="20" t="str">
        <f>IFERROR(__xludf.DUMMYFUNCTION("""COMPUTED_VALUE"""),"Algorithms")</f>
        <v>Algorithms</v>
      </c>
      <c r="I1033" s="20">
        <f>IFERROR(__xludf.DUMMYFUNCTION("""COMPUTED_VALUE"""),0.516)</f>
        <v>0.516</v>
      </c>
      <c r="J1033" s="20">
        <f>IFERROR(__xludf.DUMMYFUNCTION("""COMPUTED_VALUE"""),1032.0)</f>
        <v>1032</v>
      </c>
      <c r="K1033" s="20" t="b">
        <f>IFERROR(__xludf.DUMMYFUNCTION("""COMPUTED_VALUE"""),FALSE)</f>
        <v>0</v>
      </c>
      <c r="L1033" s="20" t="str">
        <f>IFERROR(__xludf.DUMMYFUNCTION("""COMPUTED_VALUE"""),"Array;String;Design;Trie;Data Stream;")</f>
        <v>Array;String;Design;Trie;Data Stream;</v>
      </c>
      <c r="M1033" s="20" t="b">
        <f>IFERROR(__xludf.DUMMYFUNCTION("""COMPUTED_VALUE"""),TRUE)</f>
        <v>1</v>
      </c>
      <c r="N1033" s="20" t="b">
        <f>IFERROR(__xludf.DUMMYFUNCTION("""COMPUTED_VALUE"""),FALSE)</f>
        <v>0</v>
      </c>
      <c r="O1033" s="20">
        <f>IFERROR(__xludf.DUMMYFUNCTION("""COMPUTED_VALUE"""),51.5824024768597)</f>
        <v>51.58240248</v>
      </c>
      <c r="P1033" s="20">
        <f>IFERROR(__xludf.DUMMYFUNCTION("""COMPUTED_VALUE"""),80304.0)</f>
        <v>80304</v>
      </c>
      <c r="Q1033" s="20">
        <f>IFERROR(__xludf.DUMMYFUNCTION("""COMPUTED_VALUE"""),155678.0)</f>
        <v>155678</v>
      </c>
    </row>
    <row r="1034">
      <c r="A1034" s="20">
        <f>IFERROR(__xludf.DUMMYFUNCTION("""COMPUTED_VALUE"""),1103.0)</f>
        <v>1103</v>
      </c>
      <c r="B1034" s="20" t="str">
        <f>IFERROR(__xludf.DUMMYFUNCTION("""COMPUTED_VALUE"""),"Moving Stones Until Consecutive")</f>
        <v>Moving Stones Until Consecutive</v>
      </c>
      <c r="C1034" s="20" t="str">
        <f>IFERROR(__xludf.DUMMYFUNCTION("""COMPUTED_VALUE"""),"moving-stones-until-consecutive")</f>
        <v>moving-stones-until-consecutive</v>
      </c>
      <c r="D1034" s="20" t="b">
        <f>IFERROR(__xludf.DUMMYFUNCTION("""COMPUTED_VALUE"""),FALSE)</f>
        <v>0</v>
      </c>
      <c r="E1034" s="20" t="str">
        <f>IFERROR(__xludf.DUMMYFUNCTION("""COMPUTED_VALUE"""),"Medium")</f>
        <v>Medium</v>
      </c>
      <c r="F1034" s="20">
        <f>IFERROR(__xludf.DUMMYFUNCTION("""COMPUTED_VALUE"""),175.0)</f>
        <v>175</v>
      </c>
      <c r="G1034" s="20">
        <f>IFERROR(__xludf.DUMMYFUNCTION("""COMPUTED_VALUE"""),619.0)</f>
        <v>619</v>
      </c>
      <c r="H1034" s="20" t="str">
        <f>IFERROR(__xludf.DUMMYFUNCTION("""COMPUTED_VALUE"""),"Algorithms")</f>
        <v>Algorithms</v>
      </c>
      <c r="I1034" s="20">
        <f>IFERROR(__xludf.DUMMYFUNCTION("""COMPUTED_VALUE"""),0.459)</f>
        <v>0.459</v>
      </c>
      <c r="J1034" s="20">
        <f>IFERROR(__xludf.DUMMYFUNCTION("""COMPUTED_VALUE"""),1033.0)</f>
        <v>1033</v>
      </c>
      <c r="K1034" s="20" t="b">
        <f>IFERROR(__xludf.DUMMYFUNCTION("""COMPUTED_VALUE"""),FALSE)</f>
        <v>0</v>
      </c>
      <c r="L1034" s="20" t="str">
        <f>IFERROR(__xludf.DUMMYFUNCTION("""COMPUTED_VALUE"""),"Math;Brainteaser;")</f>
        <v>Math;Brainteaser;</v>
      </c>
      <c r="M1034" s="20" t="b">
        <f>IFERROR(__xludf.DUMMYFUNCTION("""COMPUTED_VALUE"""),FALSE)</f>
        <v>0</v>
      </c>
      <c r="N1034" s="20" t="b">
        <f>IFERROR(__xludf.DUMMYFUNCTION("""COMPUTED_VALUE"""),FALSE)</f>
        <v>0</v>
      </c>
      <c r="O1034" s="20">
        <f>IFERROR(__xludf.DUMMYFUNCTION("""COMPUTED_VALUE"""),45.8673854447439)</f>
        <v>45.86738544</v>
      </c>
      <c r="P1034" s="20">
        <f>IFERROR(__xludf.DUMMYFUNCTION("""COMPUTED_VALUE"""),21271.0)</f>
        <v>21271</v>
      </c>
      <c r="Q1034" s="20">
        <f>IFERROR(__xludf.DUMMYFUNCTION("""COMPUTED_VALUE"""),46375.0)</f>
        <v>46375</v>
      </c>
    </row>
    <row r="1035">
      <c r="A1035" s="20">
        <f>IFERROR(__xludf.DUMMYFUNCTION("""COMPUTED_VALUE"""),1104.0)</f>
        <v>1104</v>
      </c>
      <c r="B1035" s="20" t="str">
        <f>IFERROR(__xludf.DUMMYFUNCTION("""COMPUTED_VALUE"""),"Coloring A Border")</f>
        <v>Coloring A Border</v>
      </c>
      <c r="C1035" s="20" t="str">
        <f>IFERROR(__xludf.DUMMYFUNCTION("""COMPUTED_VALUE"""),"coloring-a-border")</f>
        <v>coloring-a-border</v>
      </c>
      <c r="D1035" s="20" t="b">
        <f>IFERROR(__xludf.DUMMYFUNCTION("""COMPUTED_VALUE"""),FALSE)</f>
        <v>0</v>
      </c>
      <c r="E1035" s="20" t="str">
        <f>IFERROR(__xludf.DUMMYFUNCTION("""COMPUTED_VALUE"""),"Medium")</f>
        <v>Medium</v>
      </c>
      <c r="F1035" s="20">
        <f>IFERROR(__xludf.DUMMYFUNCTION("""COMPUTED_VALUE"""),558.0)</f>
        <v>558</v>
      </c>
      <c r="G1035" s="20">
        <f>IFERROR(__xludf.DUMMYFUNCTION("""COMPUTED_VALUE"""),728.0)</f>
        <v>728</v>
      </c>
      <c r="H1035" s="20" t="str">
        <f>IFERROR(__xludf.DUMMYFUNCTION("""COMPUTED_VALUE"""),"Algorithms")</f>
        <v>Algorithms</v>
      </c>
      <c r="I1035" s="20">
        <f>IFERROR(__xludf.DUMMYFUNCTION("""COMPUTED_VALUE"""),0.49)</f>
        <v>0.49</v>
      </c>
      <c r="J1035" s="20">
        <f>IFERROR(__xludf.DUMMYFUNCTION("""COMPUTED_VALUE"""),1034.0)</f>
        <v>1034</v>
      </c>
      <c r="K1035" s="20" t="b">
        <f>IFERROR(__xludf.DUMMYFUNCTION("""COMPUTED_VALUE"""),FALSE)</f>
        <v>0</v>
      </c>
      <c r="L1035" s="20" t="str">
        <f>IFERROR(__xludf.DUMMYFUNCTION("""COMPUTED_VALUE"""),"Array;Depth-First Search;Breadth-First Search;Matrix;")</f>
        <v>Array;Depth-First Search;Breadth-First Search;Matrix;</v>
      </c>
      <c r="M1035" s="20" t="b">
        <f>IFERROR(__xludf.DUMMYFUNCTION("""COMPUTED_VALUE"""),FALSE)</f>
        <v>0</v>
      </c>
      <c r="N1035" s="20" t="b">
        <f>IFERROR(__xludf.DUMMYFUNCTION("""COMPUTED_VALUE"""),FALSE)</f>
        <v>0</v>
      </c>
      <c r="O1035" s="20">
        <f>IFERROR(__xludf.DUMMYFUNCTION("""COMPUTED_VALUE"""),49.0128679710911)</f>
        <v>49.01286797</v>
      </c>
      <c r="P1035" s="20">
        <f>IFERROR(__xludf.DUMMYFUNCTION("""COMPUTED_VALUE"""),27805.0)</f>
        <v>27805</v>
      </c>
      <c r="Q1035" s="20">
        <f>IFERROR(__xludf.DUMMYFUNCTION("""COMPUTED_VALUE"""),56730.0)</f>
        <v>56730</v>
      </c>
    </row>
    <row r="1036">
      <c r="A1036" s="20">
        <f>IFERROR(__xludf.DUMMYFUNCTION("""COMPUTED_VALUE"""),1105.0)</f>
        <v>1105</v>
      </c>
      <c r="B1036" s="20" t="str">
        <f>IFERROR(__xludf.DUMMYFUNCTION("""COMPUTED_VALUE"""),"Uncrossed Lines")</f>
        <v>Uncrossed Lines</v>
      </c>
      <c r="C1036" s="20" t="str">
        <f>IFERROR(__xludf.DUMMYFUNCTION("""COMPUTED_VALUE"""),"uncrossed-lines")</f>
        <v>uncrossed-lines</v>
      </c>
      <c r="D1036" s="20" t="b">
        <f>IFERROR(__xludf.DUMMYFUNCTION("""COMPUTED_VALUE"""),FALSE)</f>
        <v>0</v>
      </c>
      <c r="E1036" s="20" t="str">
        <f>IFERROR(__xludf.DUMMYFUNCTION("""COMPUTED_VALUE"""),"Medium")</f>
        <v>Medium</v>
      </c>
      <c r="F1036" s="20">
        <f>IFERROR(__xludf.DUMMYFUNCTION("""COMPUTED_VALUE"""),1931.0)</f>
        <v>1931</v>
      </c>
      <c r="G1036" s="20">
        <f>IFERROR(__xludf.DUMMYFUNCTION("""COMPUTED_VALUE"""),28.0)</f>
        <v>28</v>
      </c>
      <c r="H1036" s="20" t="str">
        <f>IFERROR(__xludf.DUMMYFUNCTION("""COMPUTED_VALUE"""),"Algorithms")</f>
        <v>Algorithms</v>
      </c>
      <c r="I1036" s="20">
        <f>IFERROR(__xludf.DUMMYFUNCTION("""COMPUTED_VALUE"""),0.588)</f>
        <v>0.588</v>
      </c>
      <c r="J1036" s="20">
        <f>IFERROR(__xludf.DUMMYFUNCTION("""COMPUTED_VALUE"""),1035.0)</f>
        <v>1035</v>
      </c>
      <c r="K1036" s="20" t="b">
        <f>IFERROR(__xludf.DUMMYFUNCTION("""COMPUTED_VALUE"""),FALSE)</f>
        <v>0</v>
      </c>
      <c r="L1036" s="20" t="str">
        <f>IFERROR(__xludf.DUMMYFUNCTION("""COMPUTED_VALUE"""),"Array;Dynamic Programming;")</f>
        <v>Array;Dynamic Programming;</v>
      </c>
      <c r="M1036" s="20" t="b">
        <f>IFERROR(__xludf.DUMMYFUNCTION("""COMPUTED_VALUE"""),FALSE)</f>
        <v>0</v>
      </c>
      <c r="N1036" s="20" t="b">
        <f>IFERROR(__xludf.DUMMYFUNCTION("""COMPUTED_VALUE"""),FALSE)</f>
        <v>0</v>
      </c>
      <c r="O1036" s="20">
        <f>IFERROR(__xludf.DUMMYFUNCTION("""COMPUTED_VALUE"""),58.8152415054684)</f>
        <v>58.81524151</v>
      </c>
      <c r="P1036" s="20">
        <f>IFERROR(__xludf.DUMMYFUNCTION("""COMPUTED_VALUE"""),75557.0)</f>
        <v>75557</v>
      </c>
      <c r="Q1036" s="20">
        <f>IFERROR(__xludf.DUMMYFUNCTION("""COMPUTED_VALUE"""),128465.0)</f>
        <v>128465</v>
      </c>
    </row>
    <row r="1037">
      <c r="A1037" s="20">
        <f>IFERROR(__xludf.DUMMYFUNCTION("""COMPUTED_VALUE"""),1106.0)</f>
        <v>1106</v>
      </c>
      <c r="B1037" s="20" t="str">
        <f>IFERROR(__xludf.DUMMYFUNCTION("""COMPUTED_VALUE"""),"Escape a Large Maze")</f>
        <v>Escape a Large Maze</v>
      </c>
      <c r="C1037" s="20" t="str">
        <f>IFERROR(__xludf.DUMMYFUNCTION("""COMPUTED_VALUE"""),"escape-a-large-maze")</f>
        <v>escape-a-large-maze</v>
      </c>
      <c r="D1037" s="20" t="b">
        <f>IFERROR(__xludf.DUMMYFUNCTION("""COMPUTED_VALUE"""),FALSE)</f>
        <v>0</v>
      </c>
      <c r="E1037" s="20" t="str">
        <f>IFERROR(__xludf.DUMMYFUNCTION("""COMPUTED_VALUE"""),"Hard")</f>
        <v>Hard</v>
      </c>
      <c r="F1037" s="20">
        <f>IFERROR(__xludf.DUMMYFUNCTION("""COMPUTED_VALUE"""),538.0)</f>
        <v>538</v>
      </c>
      <c r="G1037" s="20">
        <f>IFERROR(__xludf.DUMMYFUNCTION("""COMPUTED_VALUE"""),152.0)</f>
        <v>152</v>
      </c>
      <c r="H1037" s="20" t="str">
        <f>IFERROR(__xludf.DUMMYFUNCTION("""COMPUTED_VALUE"""),"Algorithms")</f>
        <v>Algorithms</v>
      </c>
      <c r="I1037" s="20">
        <f>IFERROR(__xludf.DUMMYFUNCTION("""COMPUTED_VALUE"""),0.341)</f>
        <v>0.341</v>
      </c>
      <c r="J1037" s="20">
        <f>IFERROR(__xludf.DUMMYFUNCTION("""COMPUTED_VALUE"""),1036.0)</f>
        <v>1036</v>
      </c>
      <c r="K1037" s="20" t="b">
        <f>IFERROR(__xludf.DUMMYFUNCTION("""COMPUTED_VALUE"""),FALSE)</f>
        <v>0</v>
      </c>
      <c r="L1037" s="20" t="str">
        <f>IFERROR(__xludf.DUMMYFUNCTION("""COMPUTED_VALUE"""),"Array;Hash Table;Depth-First Search;Breadth-First Search;")</f>
        <v>Array;Hash Table;Depth-First Search;Breadth-First Search;</v>
      </c>
      <c r="M1037" s="20" t="b">
        <f>IFERROR(__xludf.DUMMYFUNCTION("""COMPUTED_VALUE"""),FALSE)</f>
        <v>0</v>
      </c>
      <c r="N1037" s="20" t="b">
        <f>IFERROR(__xludf.DUMMYFUNCTION("""COMPUTED_VALUE"""),FALSE)</f>
        <v>0</v>
      </c>
      <c r="O1037" s="20">
        <f>IFERROR(__xludf.DUMMYFUNCTION("""COMPUTED_VALUE"""),34.0901104907664)</f>
        <v>34.09011049</v>
      </c>
      <c r="P1037" s="20">
        <f>IFERROR(__xludf.DUMMYFUNCTION("""COMPUTED_VALUE"""),17463.0)</f>
        <v>17463</v>
      </c>
      <c r="Q1037" s="20">
        <f>IFERROR(__xludf.DUMMYFUNCTION("""COMPUTED_VALUE"""),51226.0)</f>
        <v>51226</v>
      </c>
    </row>
    <row r="1038">
      <c r="A1038" s="20">
        <f>IFERROR(__xludf.DUMMYFUNCTION("""COMPUTED_VALUE"""),1115.0)</f>
        <v>1115</v>
      </c>
      <c r="B1038" s="20" t="str">
        <f>IFERROR(__xludf.DUMMYFUNCTION("""COMPUTED_VALUE"""),"Valid Boomerang")</f>
        <v>Valid Boomerang</v>
      </c>
      <c r="C1038" s="20" t="str">
        <f>IFERROR(__xludf.DUMMYFUNCTION("""COMPUTED_VALUE"""),"valid-boomerang")</f>
        <v>valid-boomerang</v>
      </c>
      <c r="D1038" s="20" t="b">
        <f>IFERROR(__xludf.DUMMYFUNCTION("""COMPUTED_VALUE"""),FALSE)</f>
        <v>0</v>
      </c>
      <c r="E1038" s="20" t="str">
        <f>IFERROR(__xludf.DUMMYFUNCTION("""COMPUTED_VALUE"""),"Easy")</f>
        <v>Easy</v>
      </c>
      <c r="F1038" s="20">
        <f>IFERROR(__xludf.DUMMYFUNCTION("""COMPUTED_VALUE"""),292.0)</f>
        <v>292</v>
      </c>
      <c r="G1038" s="20">
        <f>IFERROR(__xludf.DUMMYFUNCTION("""COMPUTED_VALUE"""),423.0)</f>
        <v>423</v>
      </c>
      <c r="H1038" s="20" t="str">
        <f>IFERROR(__xludf.DUMMYFUNCTION("""COMPUTED_VALUE"""),"Algorithms")</f>
        <v>Algorithms</v>
      </c>
      <c r="I1038" s="20">
        <f>IFERROR(__xludf.DUMMYFUNCTION("""COMPUTED_VALUE"""),0.373)</f>
        <v>0.373</v>
      </c>
      <c r="J1038" s="20">
        <f>IFERROR(__xludf.DUMMYFUNCTION("""COMPUTED_VALUE"""),1037.0)</f>
        <v>1037</v>
      </c>
      <c r="K1038" s="20" t="b">
        <f>IFERROR(__xludf.DUMMYFUNCTION("""COMPUTED_VALUE"""),FALSE)</f>
        <v>0</v>
      </c>
      <c r="L1038" s="20" t="str">
        <f>IFERROR(__xludf.DUMMYFUNCTION("""COMPUTED_VALUE"""),"Array;Math;Geometry;")</f>
        <v>Array;Math;Geometry;</v>
      </c>
      <c r="M1038" s="20" t="b">
        <f>IFERROR(__xludf.DUMMYFUNCTION("""COMPUTED_VALUE"""),FALSE)</f>
        <v>0</v>
      </c>
      <c r="N1038" s="20" t="b">
        <f>IFERROR(__xludf.DUMMYFUNCTION("""COMPUTED_VALUE"""),FALSE)</f>
        <v>0</v>
      </c>
      <c r="O1038" s="20">
        <f>IFERROR(__xludf.DUMMYFUNCTION("""COMPUTED_VALUE"""),37.2811929038722)</f>
        <v>37.2811929</v>
      </c>
      <c r="P1038" s="20">
        <f>IFERROR(__xludf.DUMMYFUNCTION("""COMPUTED_VALUE"""),37953.0)</f>
        <v>37953</v>
      </c>
      <c r="Q1038" s="20">
        <f>IFERROR(__xludf.DUMMYFUNCTION("""COMPUTED_VALUE"""),101802.0)</f>
        <v>101802</v>
      </c>
    </row>
    <row r="1039">
      <c r="A1039" s="20">
        <f>IFERROR(__xludf.DUMMYFUNCTION("""COMPUTED_VALUE"""),1114.0)</f>
        <v>1114</v>
      </c>
      <c r="B1039" s="20" t="str">
        <f>IFERROR(__xludf.DUMMYFUNCTION("""COMPUTED_VALUE"""),"Binary Search Tree to Greater Sum Tree")</f>
        <v>Binary Search Tree to Greater Sum Tree</v>
      </c>
      <c r="C1039" s="20" t="str">
        <f>IFERROR(__xludf.DUMMYFUNCTION("""COMPUTED_VALUE"""),"binary-search-tree-to-greater-sum-tree")</f>
        <v>binary-search-tree-to-greater-sum-tree</v>
      </c>
      <c r="D1039" s="20" t="b">
        <f>IFERROR(__xludf.DUMMYFUNCTION("""COMPUTED_VALUE"""),FALSE)</f>
        <v>0</v>
      </c>
      <c r="E1039" s="20" t="str">
        <f>IFERROR(__xludf.DUMMYFUNCTION("""COMPUTED_VALUE"""),"Medium")</f>
        <v>Medium</v>
      </c>
      <c r="F1039" s="20">
        <f>IFERROR(__xludf.DUMMYFUNCTION("""COMPUTED_VALUE"""),3155.0)</f>
        <v>3155</v>
      </c>
      <c r="G1039" s="20">
        <f>IFERROR(__xludf.DUMMYFUNCTION("""COMPUTED_VALUE"""),143.0)</f>
        <v>143</v>
      </c>
      <c r="H1039" s="20" t="str">
        <f>IFERROR(__xludf.DUMMYFUNCTION("""COMPUTED_VALUE"""),"Algorithms")</f>
        <v>Algorithms</v>
      </c>
      <c r="I1039" s="20">
        <f>IFERROR(__xludf.DUMMYFUNCTION("""COMPUTED_VALUE"""),0.855)</f>
        <v>0.855</v>
      </c>
      <c r="J1039" s="20">
        <f>IFERROR(__xludf.DUMMYFUNCTION("""COMPUTED_VALUE"""),1038.0)</f>
        <v>1038</v>
      </c>
      <c r="K1039" s="20" t="b">
        <f>IFERROR(__xludf.DUMMYFUNCTION("""COMPUTED_VALUE"""),FALSE)</f>
        <v>0</v>
      </c>
      <c r="L1039" s="20" t="str">
        <f>IFERROR(__xludf.DUMMYFUNCTION("""COMPUTED_VALUE"""),"Tree;Depth-First Search;Binary Search Tree;Binary Tree;")</f>
        <v>Tree;Depth-First Search;Binary Search Tree;Binary Tree;</v>
      </c>
      <c r="M1039" s="20" t="b">
        <f>IFERROR(__xludf.DUMMYFUNCTION("""COMPUTED_VALUE"""),FALSE)</f>
        <v>0</v>
      </c>
      <c r="N1039" s="20" t="b">
        <f>IFERROR(__xludf.DUMMYFUNCTION("""COMPUTED_VALUE"""),FALSE)</f>
        <v>0</v>
      </c>
      <c r="O1039" s="20">
        <f>IFERROR(__xludf.DUMMYFUNCTION("""COMPUTED_VALUE"""),85.5025089259866)</f>
        <v>85.50250893</v>
      </c>
      <c r="P1039" s="20">
        <f>IFERROR(__xludf.DUMMYFUNCTION("""COMPUTED_VALUE"""),141766.0)</f>
        <v>141766</v>
      </c>
      <c r="Q1039" s="20">
        <f>IFERROR(__xludf.DUMMYFUNCTION("""COMPUTED_VALUE"""),165804.0)</f>
        <v>165804</v>
      </c>
    </row>
    <row r="1040">
      <c r="A1040" s="20">
        <f>IFERROR(__xludf.DUMMYFUNCTION("""COMPUTED_VALUE"""),1111.0)</f>
        <v>1111</v>
      </c>
      <c r="B1040" s="20" t="str">
        <f>IFERROR(__xludf.DUMMYFUNCTION("""COMPUTED_VALUE"""),"Minimum Score Triangulation of Polygon")</f>
        <v>Minimum Score Triangulation of Polygon</v>
      </c>
      <c r="C1040" s="20" t="str">
        <f>IFERROR(__xludf.DUMMYFUNCTION("""COMPUTED_VALUE"""),"minimum-score-triangulation-of-polygon")</f>
        <v>minimum-score-triangulation-of-polygon</v>
      </c>
      <c r="D1040" s="20" t="b">
        <f>IFERROR(__xludf.DUMMYFUNCTION("""COMPUTED_VALUE"""),FALSE)</f>
        <v>0</v>
      </c>
      <c r="E1040" s="20" t="str">
        <f>IFERROR(__xludf.DUMMYFUNCTION("""COMPUTED_VALUE"""),"Medium")</f>
        <v>Medium</v>
      </c>
      <c r="F1040" s="20">
        <f>IFERROR(__xludf.DUMMYFUNCTION("""COMPUTED_VALUE"""),1360.0)</f>
        <v>1360</v>
      </c>
      <c r="G1040" s="20">
        <f>IFERROR(__xludf.DUMMYFUNCTION("""COMPUTED_VALUE"""),134.0)</f>
        <v>134</v>
      </c>
      <c r="H1040" s="20" t="str">
        <f>IFERROR(__xludf.DUMMYFUNCTION("""COMPUTED_VALUE"""),"Algorithms")</f>
        <v>Algorithms</v>
      </c>
      <c r="I1040" s="20">
        <f>IFERROR(__xludf.DUMMYFUNCTION("""COMPUTED_VALUE"""),0.548)</f>
        <v>0.548</v>
      </c>
      <c r="J1040" s="20">
        <f>IFERROR(__xludf.DUMMYFUNCTION("""COMPUTED_VALUE"""),1039.0)</f>
        <v>1039</v>
      </c>
      <c r="K1040" s="20" t="b">
        <f>IFERROR(__xludf.DUMMYFUNCTION("""COMPUTED_VALUE"""),FALSE)</f>
        <v>0</v>
      </c>
      <c r="L1040" s="20" t="str">
        <f>IFERROR(__xludf.DUMMYFUNCTION("""COMPUTED_VALUE"""),"Array;Dynamic Programming;")</f>
        <v>Array;Dynamic Programming;</v>
      </c>
      <c r="M1040" s="20" t="b">
        <f>IFERROR(__xludf.DUMMYFUNCTION("""COMPUTED_VALUE"""),FALSE)</f>
        <v>0</v>
      </c>
      <c r="N1040" s="20" t="b">
        <f>IFERROR(__xludf.DUMMYFUNCTION("""COMPUTED_VALUE"""),FALSE)</f>
        <v>0</v>
      </c>
      <c r="O1040" s="20">
        <f>IFERROR(__xludf.DUMMYFUNCTION("""COMPUTED_VALUE"""),54.8037962145905)</f>
        <v>54.80379621</v>
      </c>
      <c r="P1040" s="20">
        <f>IFERROR(__xludf.DUMMYFUNCTION("""COMPUTED_VALUE"""),30432.0)</f>
        <v>30432</v>
      </c>
      <c r="Q1040" s="20">
        <f>IFERROR(__xludf.DUMMYFUNCTION("""COMPUTED_VALUE"""),55529.0)</f>
        <v>55529</v>
      </c>
    </row>
    <row r="1041">
      <c r="A1041" s="20">
        <f>IFERROR(__xludf.DUMMYFUNCTION("""COMPUTED_VALUE"""),1113.0)</f>
        <v>1113</v>
      </c>
      <c r="B1041" s="20" t="str">
        <f>IFERROR(__xludf.DUMMYFUNCTION("""COMPUTED_VALUE"""),"Moving Stones Until Consecutive II")</f>
        <v>Moving Stones Until Consecutive II</v>
      </c>
      <c r="C1041" s="20" t="str">
        <f>IFERROR(__xludf.DUMMYFUNCTION("""COMPUTED_VALUE"""),"moving-stones-until-consecutive-ii")</f>
        <v>moving-stones-until-consecutive-ii</v>
      </c>
      <c r="D1041" s="20" t="b">
        <f>IFERROR(__xludf.DUMMYFUNCTION("""COMPUTED_VALUE"""),FALSE)</f>
        <v>0</v>
      </c>
      <c r="E1041" s="20" t="str">
        <f>IFERROR(__xludf.DUMMYFUNCTION("""COMPUTED_VALUE"""),"Medium")</f>
        <v>Medium</v>
      </c>
      <c r="F1041" s="20">
        <f>IFERROR(__xludf.DUMMYFUNCTION("""COMPUTED_VALUE"""),326.0)</f>
        <v>326</v>
      </c>
      <c r="G1041" s="20">
        <f>IFERROR(__xludf.DUMMYFUNCTION("""COMPUTED_VALUE"""),539.0)</f>
        <v>539</v>
      </c>
      <c r="H1041" s="20" t="str">
        <f>IFERROR(__xludf.DUMMYFUNCTION("""COMPUTED_VALUE"""),"Algorithms")</f>
        <v>Algorithms</v>
      </c>
      <c r="I1041" s="20">
        <f>IFERROR(__xludf.DUMMYFUNCTION("""COMPUTED_VALUE"""),0.557)</f>
        <v>0.557</v>
      </c>
      <c r="J1041" s="20">
        <f>IFERROR(__xludf.DUMMYFUNCTION("""COMPUTED_VALUE"""),1040.0)</f>
        <v>1040</v>
      </c>
      <c r="K1041" s="20" t="b">
        <f>IFERROR(__xludf.DUMMYFUNCTION("""COMPUTED_VALUE"""),FALSE)</f>
        <v>0</v>
      </c>
      <c r="L1041" s="20" t="str">
        <f>IFERROR(__xludf.DUMMYFUNCTION("""COMPUTED_VALUE"""),"Array;Math;Two Pointers;Sorting;")</f>
        <v>Array;Math;Two Pointers;Sorting;</v>
      </c>
      <c r="M1041" s="20" t="b">
        <f>IFERROR(__xludf.DUMMYFUNCTION("""COMPUTED_VALUE"""),FALSE)</f>
        <v>0</v>
      </c>
      <c r="N1041" s="20" t="b">
        <f>IFERROR(__xludf.DUMMYFUNCTION("""COMPUTED_VALUE"""),FALSE)</f>
        <v>0</v>
      </c>
      <c r="O1041" s="20">
        <f>IFERROR(__xludf.DUMMYFUNCTION("""COMPUTED_VALUE"""),55.7196062782655)</f>
        <v>55.71960628</v>
      </c>
      <c r="P1041" s="20">
        <f>IFERROR(__xludf.DUMMYFUNCTION("""COMPUTED_VALUE"""),8378.0)</f>
        <v>8378</v>
      </c>
      <c r="Q1041" s="20">
        <f>IFERROR(__xludf.DUMMYFUNCTION("""COMPUTED_VALUE"""),15036.0)</f>
        <v>15036</v>
      </c>
    </row>
    <row r="1042">
      <c r="A1042" s="20">
        <f>IFERROR(__xludf.DUMMYFUNCTION("""COMPUTED_VALUE"""),1119.0)</f>
        <v>1119</v>
      </c>
      <c r="B1042" s="20" t="str">
        <f>IFERROR(__xludf.DUMMYFUNCTION("""COMPUTED_VALUE"""),"Robot Bounded In Circle")</f>
        <v>Robot Bounded In Circle</v>
      </c>
      <c r="C1042" s="20" t="str">
        <f>IFERROR(__xludf.DUMMYFUNCTION("""COMPUTED_VALUE"""),"robot-bounded-in-circle")</f>
        <v>robot-bounded-in-circle</v>
      </c>
      <c r="D1042" s="20" t="b">
        <f>IFERROR(__xludf.DUMMYFUNCTION("""COMPUTED_VALUE"""),FALSE)</f>
        <v>0</v>
      </c>
      <c r="E1042" s="20" t="str">
        <f>IFERROR(__xludf.DUMMYFUNCTION("""COMPUTED_VALUE"""),"Medium")</f>
        <v>Medium</v>
      </c>
      <c r="F1042" s="20">
        <f>IFERROR(__xludf.DUMMYFUNCTION("""COMPUTED_VALUE"""),3339.0)</f>
        <v>3339</v>
      </c>
      <c r="G1042" s="20">
        <f>IFERROR(__xludf.DUMMYFUNCTION("""COMPUTED_VALUE"""),646.0)</f>
        <v>646</v>
      </c>
      <c r="H1042" s="20" t="str">
        <f>IFERROR(__xludf.DUMMYFUNCTION("""COMPUTED_VALUE"""),"Algorithms")</f>
        <v>Algorithms</v>
      </c>
      <c r="I1042" s="20">
        <f>IFERROR(__xludf.DUMMYFUNCTION("""COMPUTED_VALUE"""),0.553)</f>
        <v>0.553</v>
      </c>
      <c r="J1042" s="20">
        <f>IFERROR(__xludf.DUMMYFUNCTION("""COMPUTED_VALUE"""),1041.0)</f>
        <v>1041</v>
      </c>
      <c r="K1042" s="20" t="b">
        <f>IFERROR(__xludf.DUMMYFUNCTION("""COMPUTED_VALUE"""),FALSE)</f>
        <v>0</v>
      </c>
      <c r="L1042" s="20" t="str">
        <f>IFERROR(__xludf.DUMMYFUNCTION("""COMPUTED_VALUE"""),"Math;String;Simulation;")</f>
        <v>Math;String;Simulation;</v>
      </c>
      <c r="M1042" s="20" t="b">
        <f>IFERROR(__xludf.DUMMYFUNCTION("""COMPUTED_VALUE"""),TRUE)</f>
        <v>1</v>
      </c>
      <c r="N1042" s="20" t="b">
        <f>IFERROR(__xludf.DUMMYFUNCTION("""COMPUTED_VALUE"""),FALSE)</f>
        <v>0</v>
      </c>
      <c r="O1042" s="20">
        <f>IFERROR(__xludf.DUMMYFUNCTION("""COMPUTED_VALUE"""),55.2809073337795)</f>
        <v>55.28090733</v>
      </c>
      <c r="P1042" s="20">
        <f>IFERROR(__xludf.DUMMYFUNCTION("""COMPUTED_VALUE"""),205640.0)</f>
        <v>205640</v>
      </c>
      <c r="Q1042" s="20">
        <f>IFERROR(__xludf.DUMMYFUNCTION("""COMPUTED_VALUE"""),371991.0)</f>
        <v>371991</v>
      </c>
    </row>
    <row r="1043">
      <c r="A1043" s="20">
        <f>IFERROR(__xludf.DUMMYFUNCTION("""COMPUTED_VALUE"""),1120.0)</f>
        <v>1120</v>
      </c>
      <c r="B1043" s="20" t="str">
        <f>IFERROR(__xludf.DUMMYFUNCTION("""COMPUTED_VALUE"""),"Flower Planting With No Adjacent")</f>
        <v>Flower Planting With No Adjacent</v>
      </c>
      <c r="C1043" s="20" t="str">
        <f>IFERROR(__xludf.DUMMYFUNCTION("""COMPUTED_VALUE"""),"flower-planting-with-no-adjacent")</f>
        <v>flower-planting-with-no-adjacent</v>
      </c>
      <c r="D1043" s="20" t="b">
        <f>IFERROR(__xludf.DUMMYFUNCTION("""COMPUTED_VALUE"""),FALSE)</f>
        <v>0</v>
      </c>
      <c r="E1043" s="20" t="str">
        <f>IFERROR(__xludf.DUMMYFUNCTION("""COMPUTED_VALUE"""),"Medium")</f>
        <v>Medium</v>
      </c>
      <c r="F1043" s="20">
        <f>IFERROR(__xludf.DUMMYFUNCTION("""COMPUTED_VALUE"""),1082.0)</f>
        <v>1082</v>
      </c>
      <c r="G1043" s="20">
        <f>IFERROR(__xludf.DUMMYFUNCTION("""COMPUTED_VALUE"""),682.0)</f>
        <v>682</v>
      </c>
      <c r="H1043" s="20" t="str">
        <f>IFERROR(__xludf.DUMMYFUNCTION("""COMPUTED_VALUE"""),"Algorithms")</f>
        <v>Algorithms</v>
      </c>
      <c r="I1043" s="20">
        <f>IFERROR(__xludf.DUMMYFUNCTION("""COMPUTED_VALUE"""),0.505)</f>
        <v>0.505</v>
      </c>
      <c r="J1043" s="20">
        <f>IFERROR(__xludf.DUMMYFUNCTION("""COMPUTED_VALUE"""),1042.0)</f>
        <v>1042</v>
      </c>
      <c r="K1043" s="20" t="b">
        <f>IFERROR(__xludf.DUMMYFUNCTION("""COMPUTED_VALUE"""),FALSE)</f>
        <v>0</v>
      </c>
      <c r="L1043" s="20" t="str">
        <f>IFERROR(__xludf.DUMMYFUNCTION("""COMPUTED_VALUE"""),"Depth-First Search;Breadth-First Search;Graph;")</f>
        <v>Depth-First Search;Breadth-First Search;Graph;</v>
      </c>
      <c r="M1043" s="20" t="b">
        <f>IFERROR(__xludf.DUMMYFUNCTION("""COMPUTED_VALUE"""),FALSE)</f>
        <v>0</v>
      </c>
      <c r="N1043" s="20" t="b">
        <f>IFERROR(__xludf.DUMMYFUNCTION("""COMPUTED_VALUE"""),FALSE)</f>
        <v>0</v>
      </c>
      <c r="O1043" s="20">
        <f>IFERROR(__xludf.DUMMYFUNCTION("""COMPUTED_VALUE"""),50.4517640309781)</f>
        <v>50.45176403</v>
      </c>
      <c r="P1043" s="20">
        <f>IFERROR(__xludf.DUMMYFUNCTION("""COMPUTED_VALUE"""),63321.0)</f>
        <v>63321</v>
      </c>
      <c r="Q1043" s="20">
        <f>IFERROR(__xludf.DUMMYFUNCTION("""COMPUTED_VALUE"""),125508.0)</f>
        <v>125508</v>
      </c>
    </row>
    <row r="1044">
      <c r="A1044" s="20">
        <f>IFERROR(__xludf.DUMMYFUNCTION("""COMPUTED_VALUE"""),1121.0)</f>
        <v>1121</v>
      </c>
      <c r="B1044" s="20" t="str">
        <f>IFERROR(__xludf.DUMMYFUNCTION("""COMPUTED_VALUE"""),"Partition Array for Maximum Sum")</f>
        <v>Partition Array for Maximum Sum</v>
      </c>
      <c r="C1044" s="20" t="str">
        <f>IFERROR(__xludf.DUMMYFUNCTION("""COMPUTED_VALUE"""),"partition-array-for-maximum-sum")</f>
        <v>partition-array-for-maximum-sum</v>
      </c>
      <c r="D1044" s="20" t="b">
        <f>IFERROR(__xludf.DUMMYFUNCTION("""COMPUTED_VALUE"""),FALSE)</f>
        <v>0</v>
      </c>
      <c r="E1044" s="20" t="str">
        <f>IFERROR(__xludf.DUMMYFUNCTION("""COMPUTED_VALUE"""),"Medium")</f>
        <v>Medium</v>
      </c>
      <c r="F1044" s="20">
        <f>IFERROR(__xludf.DUMMYFUNCTION("""COMPUTED_VALUE"""),2933.0)</f>
        <v>2933</v>
      </c>
      <c r="G1044" s="20">
        <f>IFERROR(__xludf.DUMMYFUNCTION("""COMPUTED_VALUE"""),214.0)</f>
        <v>214</v>
      </c>
      <c r="H1044" s="20" t="str">
        <f>IFERROR(__xludf.DUMMYFUNCTION("""COMPUTED_VALUE"""),"Algorithms")</f>
        <v>Algorithms</v>
      </c>
      <c r="I1044" s="20">
        <f>IFERROR(__xludf.DUMMYFUNCTION("""COMPUTED_VALUE"""),0.713)</f>
        <v>0.713</v>
      </c>
      <c r="J1044" s="20">
        <f>IFERROR(__xludf.DUMMYFUNCTION("""COMPUTED_VALUE"""),1043.0)</f>
        <v>1043</v>
      </c>
      <c r="K1044" s="20" t="b">
        <f>IFERROR(__xludf.DUMMYFUNCTION("""COMPUTED_VALUE"""),FALSE)</f>
        <v>0</v>
      </c>
      <c r="L1044" s="20" t="str">
        <f>IFERROR(__xludf.DUMMYFUNCTION("""COMPUTED_VALUE"""),"Array;Dynamic Programming;")</f>
        <v>Array;Dynamic Programming;</v>
      </c>
      <c r="M1044" s="20" t="b">
        <f>IFERROR(__xludf.DUMMYFUNCTION("""COMPUTED_VALUE"""),FALSE)</f>
        <v>0</v>
      </c>
      <c r="N1044" s="20" t="b">
        <f>IFERROR(__xludf.DUMMYFUNCTION("""COMPUTED_VALUE"""),FALSE)</f>
        <v>0</v>
      </c>
      <c r="O1044" s="20">
        <f>IFERROR(__xludf.DUMMYFUNCTION("""COMPUTED_VALUE"""),71.2512479201331)</f>
        <v>71.25124792</v>
      </c>
      <c r="P1044" s="20">
        <f>IFERROR(__xludf.DUMMYFUNCTION("""COMPUTED_VALUE"""),64233.0)</f>
        <v>64233</v>
      </c>
      <c r="Q1044" s="20">
        <f>IFERROR(__xludf.DUMMYFUNCTION("""COMPUTED_VALUE"""),90150.0)</f>
        <v>90150</v>
      </c>
    </row>
    <row r="1045">
      <c r="A1045" s="20">
        <f>IFERROR(__xludf.DUMMYFUNCTION("""COMPUTED_VALUE"""),1122.0)</f>
        <v>1122</v>
      </c>
      <c r="B1045" s="20" t="str">
        <f>IFERROR(__xludf.DUMMYFUNCTION("""COMPUTED_VALUE"""),"Longest Duplicate Substring")</f>
        <v>Longest Duplicate Substring</v>
      </c>
      <c r="C1045" s="20" t="str">
        <f>IFERROR(__xludf.DUMMYFUNCTION("""COMPUTED_VALUE"""),"longest-duplicate-substring")</f>
        <v>longest-duplicate-substring</v>
      </c>
      <c r="D1045" s="20" t="b">
        <f>IFERROR(__xludf.DUMMYFUNCTION("""COMPUTED_VALUE"""),FALSE)</f>
        <v>0</v>
      </c>
      <c r="E1045" s="20" t="str">
        <f>IFERROR(__xludf.DUMMYFUNCTION("""COMPUTED_VALUE"""),"Hard")</f>
        <v>Hard</v>
      </c>
      <c r="F1045" s="20">
        <f>IFERROR(__xludf.DUMMYFUNCTION("""COMPUTED_VALUE"""),1944.0)</f>
        <v>1944</v>
      </c>
      <c r="G1045" s="20">
        <f>IFERROR(__xludf.DUMMYFUNCTION("""COMPUTED_VALUE"""),364.0)</f>
        <v>364</v>
      </c>
      <c r="H1045" s="20" t="str">
        <f>IFERROR(__xludf.DUMMYFUNCTION("""COMPUTED_VALUE"""),"Algorithms")</f>
        <v>Algorithms</v>
      </c>
      <c r="I1045" s="20">
        <f>IFERROR(__xludf.DUMMYFUNCTION("""COMPUTED_VALUE"""),0.306)</f>
        <v>0.306</v>
      </c>
      <c r="J1045" s="20">
        <f>IFERROR(__xludf.DUMMYFUNCTION("""COMPUTED_VALUE"""),1044.0)</f>
        <v>1044</v>
      </c>
      <c r="K1045" s="20" t="b">
        <f>IFERROR(__xludf.DUMMYFUNCTION("""COMPUTED_VALUE"""),FALSE)</f>
        <v>0</v>
      </c>
      <c r="L1045" s="20" t="str">
        <f>IFERROR(__xludf.DUMMYFUNCTION("""COMPUTED_VALUE"""),"String;Binary Search;Sliding Window;Rolling Hash;Suffix Array;Hash Function;")</f>
        <v>String;Binary Search;Sliding Window;Rolling Hash;Suffix Array;Hash Function;</v>
      </c>
      <c r="M1045" s="20" t="b">
        <f>IFERROR(__xludf.DUMMYFUNCTION("""COMPUTED_VALUE"""),TRUE)</f>
        <v>1</v>
      </c>
      <c r="N1045" s="20" t="b">
        <f>IFERROR(__xludf.DUMMYFUNCTION("""COMPUTED_VALUE"""),FALSE)</f>
        <v>0</v>
      </c>
      <c r="O1045" s="20">
        <f>IFERROR(__xludf.DUMMYFUNCTION("""COMPUTED_VALUE"""),30.6324576227787)</f>
        <v>30.63245762</v>
      </c>
      <c r="P1045" s="20">
        <f>IFERROR(__xludf.DUMMYFUNCTION("""COMPUTED_VALUE"""),59816.0)</f>
        <v>59816</v>
      </c>
      <c r="Q1045" s="20">
        <f>IFERROR(__xludf.DUMMYFUNCTION("""COMPUTED_VALUE"""),195270.0)</f>
        <v>195270</v>
      </c>
    </row>
    <row r="1046">
      <c r="A1046" s="20">
        <f>IFERROR(__xludf.DUMMYFUNCTION("""COMPUTED_VALUE"""),1135.0)</f>
        <v>1135</v>
      </c>
      <c r="B1046" s="20" t="str">
        <f>IFERROR(__xludf.DUMMYFUNCTION("""COMPUTED_VALUE"""),"Customers Who Bought All Products")</f>
        <v>Customers Who Bought All Products</v>
      </c>
      <c r="C1046" s="20" t="str">
        <f>IFERROR(__xludf.DUMMYFUNCTION("""COMPUTED_VALUE"""),"customers-who-bought-all-products")</f>
        <v>customers-who-bought-all-products</v>
      </c>
      <c r="D1046" s="20" t="b">
        <f>IFERROR(__xludf.DUMMYFUNCTION("""COMPUTED_VALUE"""),TRUE)</f>
        <v>1</v>
      </c>
      <c r="E1046" s="20" t="str">
        <f>IFERROR(__xludf.DUMMYFUNCTION("""COMPUTED_VALUE"""),"Medium")</f>
        <v>Medium</v>
      </c>
      <c r="F1046" s="20">
        <f>IFERROR(__xludf.DUMMYFUNCTION("""COMPUTED_VALUE"""),227.0)</f>
        <v>227</v>
      </c>
      <c r="G1046" s="20">
        <f>IFERROR(__xludf.DUMMYFUNCTION("""COMPUTED_VALUE"""),39.0)</f>
        <v>39</v>
      </c>
      <c r="H1046" s="20" t="str">
        <f>IFERROR(__xludf.DUMMYFUNCTION("""COMPUTED_VALUE"""),"Database")</f>
        <v>Database</v>
      </c>
      <c r="I1046" s="20">
        <f>IFERROR(__xludf.DUMMYFUNCTION("""COMPUTED_VALUE"""),0.674)</f>
        <v>0.674</v>
      </c>
      <c r="J1046" s="20">
        <f>IFERROR(__xludf.DUMMYFUNCTION("""COMPUTED_VALUE"""),1045.0)</f>
        <v>1045</v>
      </c>
      <c r="K1046" s="20" t="b">
        <f>IFERROR(__xludf.DUMMYFUNCTION("""COMPUTED_VALUE"""),TRUE)</f>
        <v>1</v>
      </c>
      <c r="L1046" s="20" t="str">
        <f>IFERROR(__xludf.DUMMYFUNCTION("""COMPUTED_VALUE"""),"Database;")</f>
        <v>Database;</v>
      </c>
      <c r="M1046" s="20" t="b">
        <f>IFERROR(__xludf.DUMMYFUNCTION("""COMPUTED_VALUE"""),TRUE)</f>
        <v>1</v>
      </c>
      <c r="N1046" s="20" t="b">
        <f>IFERROR(__xludf.DUMMYFUNCTION("""COMPUTED_VALUE"""),FALSE)</f>
        <v>0</v>
      </c>
      <c r="O1046" s="20">
        <f>IFERROR(__xludf.DUMMYFUNCTION("""COMPUTED_VALUE"""),67.368237448763)</f>
        <v>67.36823745</v>
      </c>
      <c r="P1046" s="20">
        <f>IFERROR(__xludf.DUMMYFUNCTION("""COMPUTED_VALUE"""),46348.0)</f>
        <v>46348</v>
      </c>
      <c r="Q1046" s="20">
        <f>IFERROR(__xludf.DUMMYFUNCTION("""COMPUTED_VALUE"""),68798.0)</f>
        <v>68798</v>
      </c>
    </row>
    <row r="1047">
      <c r="A1047" s="20">
        <f>IFERROR(__xludf.DUMMYFUNCTION("""COMPUTED_VALUE"""),1127.0)</f>
        <v>1127</v>
      </c>
      <c r="B1047" s="20" t="str">
        <f>IFERROR(__xludf.DUMMYFUNCTION("""COMPUTED_VALUE"""),"Last Stone Weight")</f>
        <v>Last Stone Weight</v>
      </c>
      <c r="C1047" s="20" t="str">
        <f>IFERROR(__xludf.DUMMYFUNCTION("""COMPUTED_VALUE"""),"last-stone-weight")</f>
        <v>last-stone-weight</v>
      </c>
      <c r="D1047" s="20" t="b">
        <f>IFERROR(__xludf.DUMMYFUNCTION("""COMPUTED_VALUE"""),FALSE)</f>
        <v>0</v>
      </c>
      <c r="E1047" s="20" t="str">
        <f>IFERROR(__xludf.DUMMYFUNCTION("""COMPUTED_VALUE"""),"Easy")</f>
        <v>Easy</v>
      </c>
      <c r="F1047" s="20">
        <f>IFERROR(__xludf.DUMMYFUNCTION("""COMPUTED_VALUE"""),4050.0)</f>
        <v>4050</v>
      </c>
      <c r="G1047" s="20">
        <f>IFERROR(__xludf.DUMMYFUNCTION("""COMPUTED_VALUE"""),77.0)</f>
        <v>77</v>
      </c>
      <c r="H1047" s="20" t="str">
        <f>IFERROR(__xludf.DUMMYFUNCTION("""COMPUTED_VALUE"""),"Algorithms")</f>
        <v>Algorithms</v>
      </c>
      <c r="I1047" s="20">
        <f>IFERROR(__xludf.DUMMYFUNCTION("""COMPUTED_VALUE"""),0.648)</f>
        <v>0.648</v>
      </c>
      <c r="J1047" s="20">
        <f>IFERROR(__xludf.DUMMYFUNCTION("""COMPUTED_VALUE"""),1046.0)</f>
        <v>1046</v>
      </c>
      <c r="K1047" s="20" t="b">
        <f>IFERROR(__xludf.DUMMYFUNCTION("""COMPUTED_VALUE"""),FALSE)</f>
        <v>0</v>
      </c>
      <c r="L1047" s="20" t="str">
        <f>IFERROR(__xludf.DUMMYFUNCTION("""COMPUTED_VALUE"""),"Array;Heap (Priority Queue);")</f>
        <v>Array;Heap (Priority Queue);</v>
      </c>
      <c r="M1047" s="20" t="b">
        <f>IFERROR(__xludf.DUMMYFUNCTION("""COMPUTED_VALUE"""),TRUE)</f>
        <v>1</v>
      </c>
      <c r="N1047" s="20" t="b">
        <f>IFERROR(__xludf.DUMMYFUNCTION("""COMPUTED_VALUE"""),FALSE)</f>
        <v>0</v>
      </c>
      <c r="O1047" s="20">
        <f>IFERROR(__xludf.DUMMYFUNCTION("""COMPUTED_VALUE"""),64.7609798775153)</f>
        <v>64.76097988</v>
      </c>
      <c r="P1047" s="20">
        <f>IFERROR(__xludf.DUMMYFUNCTION("""COMPUTED_VALUE"""),370103.0)</f>
        <v>370103</v>
      </c>
      <c r="Q1047" s="20">
        <f>IFERROR(__xludf.DUMMYFUNCTION("""COMPUTED_VALUE"""),571491.0)</f>
        <v>571491</v>
      </c>
    </row>
    <row r="1048">
      <c r="A1048" s="20">
        <f>IFERROR(__xludf.DUMMYFUNCTION("""COMPUTED_VALUE"""),1128.0)</f>
        <v>1128</v>
      </c>
      <c r="B1048" s="20" t="str">
        <f>IFERROR(__xludf.DUMMYFUNCTION("""COMPUTED_VALUE"""),"Remove All Adjacent Duplicates In String")</f>
        <v>Remove All Adjacent Duplicates In String</v>
      </c>
      <c r="C1048" s="20" t="str">
        <f>IFERROR(__xludf.DUMMYFUNCTION("""COMPUTED_VALUE"""),"remove-all-adjacent-duplicates-in-string")</f>
        <v>remove-all-adjacent-duplicates-in-string</v>
      </c>
      <c r="D1048" s="20" t="b">
        <f>IFERROR(__xludf.DUMMYFUNCTION("""COMPUTED_VALUE"""),FALSE)</f>
        <v>0</v>
      </c>
      <c r="E1048" s="20" t="str">
        <f>IFERROR(__xludf.DUMMYFUNCTION("""COMPUTED_VALUE"""),"Easy")</f>
        <v>Easy</v>
      </c>
      <c r="F1048" s="20">
        <f>IFERROR(__xludf.DUMMYFUNCTION("""COMPUTED_VALUE"""),5245.0)</f>
        <v>5245</v>
      </c>
      <c r="G1048" s="20">
        <f>IFERROR(__xludf.DUMMYFUNCTION("""COMPUTED_VALUE"""),205.0)</f>
        <v>205</v>
      </c>
      <c r="H1048" s="20" t="str">
        <f>IFERROR(__xludf.DUMMYFUNCTION("""COMPUTED_VALUE"""),"Algorithms")</f>
        <v>Algorithms</v>
      </c>
      <c r="I1048" s="20">
        <f>IFERROR(__xludf.DUMMYFUNCTION("""COMPUTED_VALUE"""),0.702)</f>
        <v>0.702</v>
      </c>
      <c r="J1048" s="20">
        <f>IFERROR(__xludf.DUMMYFUNCTION("""COMPUTED_VALUE"""),1047.0)</f>
        <v>1047</v>
      </c>
      <c r="K1048" s="20" t="b">
        <f>IFERROR(__xludf.DUMMYFUNCTION("""COMPUTED_VALUE"""),FALSE)</f>
        <v>0</v>
      </c>
      <c r="L1048" s="20" t="str">
        <f>IFERROR(__xludf.DUMMYFUNCTION("""COMPUTED_VALUE"""),"String;Stack;")</f>
        <v>String;Stack;</v>
      </c>
      <c r="M1048" s="20" t="b">
        <f>IFERROR(__xludf.DUMMYFUNCTION("""COMPUTED_VALUE"""),TRUE)</f>
        <v>1</v>
      </c>
      <c r="N1048" s="20" t="b">
        <f>IFERROR(__xludf.DUMMYFUNCTION("""COMPUTED_VALUE"""),FALSE)</f>
        <v>0</v>
      </c>
      <c r="O1048" s="20">
        <f>IFERROR(__xludf.DUMMYFUNCTION("""COMPUTED_VALUE"""),70.2122042120611)</f>
        <v>70.21220421</v>
      </c>
      <c r="P1048" s="20">
        <f>IFERROR(__xludf.DUMMYFUNCTION("""COMPUTED_VALUE"""),412193.0)</f>
        <v>412193</v>
      </c>
      <c r="Q1048" s="20">
        <f>IFERROR(__xludf.DUMMYFUNCTION("""COMPUTED_VALUE"""),587066.0)</f>
        <v>587066</v>
      </c>
    </row>
    <row r="1049">
      <c r="A1049" s="20">
        <f>IFERROR(__xludf.DUMMYFUNCTION("""COMPUTED_VALUE"""),1129.0)</f>
        <v>1129</v>
      </c>
      <c r="B1049" s="20" t="str">
        <f>IFERROR(__xludf.DUMMYFUNCTION("""COMPUTED_VALUE"""),"Longest String Chain")</f>
        <v>Longest String Chain</v>
      </c>
      <c r="C1049" s="20" t="str">
        <f>IFERROR(__xludf.DUMMYFUNCTION("""COMPUTED_VALUE"""),"longest-string-chain")</f>
        <v>longest-string-chain</v>
      </c>
      <c r="D1049" s="20" t="b">
        <f>IFERROR(__xludf.DUMMYFUNCTION("""COMPUTED_VALUE"""),FALSE)</f>
        <v>0</v>
      </c>
      <c r="E1049" s="20" t="str">
        <f>IFERROR(__xludf.DUMMYFUNCTION("""COMPUTED_VALUE"""),"Medium")</f>
        <v>Medium</v>
      </c>
      <c r="F1049" s="20">
        <f>IFERROR(__xludf.DUMMYFUNCTION("""COMPUTED_VALUE"""),5550.0)</f>
        <v>5550</v>
      </c>
      <c r="G1049" s="20">
        <f>IFERROR(__xludf.DUMMYFUNCTION("""COMPUTED_VALUE"""),216.0)</f>
        <v>216</v>
      </c>
      <c r="H1049" s="20" t="str">
        <f>IFERROR(__xludf.DUMMYFUNCTION("""COMPUTED_VALUE"""),"Algorithms")</f>
        <v>Algorithms</v>
      </c>
      <c r="I1049" s="20">
        <f>IFERROR(__xludf.DUMMYFUNCTION("""COMPUTED_VALUE"""),0.592)</f>
        <v>0.592</v>
      </c>
      <c r="J1049" s="20">
        <f>IFERROR(__xludf.DUMMYFUNCTION("""COMPUTED_VALUE"""),1048.0)</f>
        <v>1048</v>
      </c>
      <c r="K1049" s="20" t="b">
        <f>IFERROR(__xludf.DUMMYFUNCTION("""COMPUTED_VALUE"""),FALSE)</f>
        <v>0</v>
      </c>
      <c r="L1049" s="20" t="str">
        <f>IFERROR(__xludf.DUMMYFUNCTION("""COMPUTED_VALUE"""),"Array;Hash Table;Two Pointers;String;Dynamic Programming;")</f>
        <v>Array;Hash Table;Two Pointers;String;Dynamic Programming;</v>
      </c>
      <c r="M1049" s="20" t="b">
        <f>IFERROR(__xludf.DUMMYFUNCTION("""COMPUTED_VALUE"""),TRUE)</f>
        <v>1</v>
      </c>
      <c r="N1049" s="20" t="b">
        <f>IFERROR(__xludf.DUMMYFUNCTION("""COMPUTED_VALUE"""),FALSE)</f>
        <v>0</v>
      </c>
      <c r="O1049" s="20">
        <f>IFERROR(__xludf.DUMMYFUNCTION("""COMPUTED_VALUE"""),59.1510936983336)</f>
        <v>59.1510937</v>
      </c>
      <c r="P1049" s="20">
        <f>IFERROR(__xludf.DUMMYFUNCTION("""COMPUTED_VALUE"""),295160.0)</f>
        <v>295160</v>
      </c>
      <c r="Q1049" s="20">
        <f>IFERROR(__xludf.DUMMYFUNCTION("""COMPUTED_VALUE"""),498990.0)</f>
        <v>498990</v>
      </c>
    </row>
    <row r="1050">
      <c r="A1050" s="20">
        <f>IFERROR(__xludf.DUMMYFUNCTION("""COMPUTED_VALUE"""),1130.0)</f>
        <v>1130</v>
      </c>
      <c r="B1050" s="20" t="str">
        <f>IFERROR(__xludf.DUMMYFUNCTION("""COMPUTED_VALUE"""),"Last Stone Weight II")</f>
        <v>Last Stone Weight II</v>
      </c>
      <c r="C1050" s="20" t="str">
        <f>IFERROR(__xludf.DUMMYFUNCTION("""COMPUTED_VALUE"""),"last-stone-weight-ii")</f>
        <v>last-stone-weight-ii</v>
      </c>
      <c r="D1050" s="20" t="b">
        <f>IFERROR(__xludf.DUMMYFUNCTION("""COMPUTED_VALUE"""),FALSE)</f>
        <v>0</v>
      </c>
      <c r="E1050" s="20" t="str">
        <f>IFERROR(__xludf.DUMMYFUNCTION("""COMPUTED_VALUE"""),"Medium")</f>
        <v>Medium</v>
      </c>
      <c r="F1050" s="20">
        <f>IFERROR(__xludf.DUMMYFUNCTION("""COMPUTED_VALUE"""),2547.0)</f>
        <v>2547</v>
      </c>
      <c r="G1050" s="20">
        <f>IFERROR(__xludf.DUMMYFUNCTION("""COMPUTED_VALUE"""),89.0)</f>
        <v>89</v>
      </c>
      <c r="H1050" s="20" t="str">
        <f>IFERROR(__xludf.DUMMYFUNCTION("""COMPUTED_VALUE"""),"Algorithms")</f>
        <v>Algorithms</v>
      </c>
      <c r="I1050" s="20">
        <f>IFERROR(__xludf.DUMMYFUNCTION("""COMPUTED_VALUE"""),0.526)</f>
        <v>0.526</v>
      </c>
      <c r="J1050" s="20">
        <f>IFERROR(__xludf.DUMMYFUNCTION("""COMPUTED_VALUE"""),1049.0)</f>
        <v>1049</v>
      </c>
      <c r="K1050" s="20" t="b">
        <f>IFERROR(__xludf.DUMMYFUNCTION("""COMPUTED_VALUE"""),FALSE)</f>
        <v>0</v>
      </c>
      <c r="L1050" s="20" t="str">
        <f>IFERROR(__xludf.DUMMYFUNCTION("""COMPUTED_VALUE"""),"Array;Dynamic Programming;")</f>
        <v>Array;Dynamic Programming;</v>
      </c>
      <c r="M1050" s="20" t="b">
        <f>IFERROR(__xludf.DUMMYFUNCTION("""COMPUTED_VALUE"""),FALSE)</f>
        <v>0</v>
      </c>
      <c r="N1050" s="20" t="b">
        <f>IFERROR(__xludf.DUMMYFUNCTION("""COMPUTED_VALUE"""),FALSE)</f>
        <v>0</v>
      </c>
      <c r="O1050" s="20">
        <f>IFERROR(__xludf.DUMMYFUNCTION("""COMPUTED_VALUE"""),52.6481443926181)</f>
        <v>52.64814439</v>
      </c>
      <c r="P1050" s="20">
        <f>IFERROR(__xludf.DUMMYFUNCTION("""COMPUTED_VALUE"""),64902.0)</f>
        <v>64902</v>
      </c>
      <c r="Q1050" s="20">
        <f>IFERROR(__xludf.DUMMYFUNCTION("""COMPUTED_VALUE"""),123274.0)</f>
        <v>123274</v>
      </c>
    </row>
    <row r="1051">
      <c r="A1051" s="20">
        <f>IFERROR(__xludf.DUMMYFUNCTION("""COMPUTED_VALUE"""),1136.0)</f>
        <v>1136</v>
      </c>
      <c r="B1051" s="20" t="str">
        <f>IFERROR(__xludf.DUMMYFUNCTION("""COMPUTED_VALUE"""),"Actors and Directors Who Cooperated At Least Three Times")</f>
        <v>Actors and Directors Who Cooperated At Least Three Times</v>
      </c>
      <c r="C1051" s="20" t="str">
        <f>IFERROR(__xludf.DUMMYFUNCTION("""COMPUTED_VALUE"""),"actors-and-directors-who-cooperated-at-least-three-times")</f>
        <v>actors-and-directors-who-cooperated-at-least-three-times</v>
      </c>
      <c r="D1051" s="20" t="b">
        <f>IFERROR(__xludf.DUMMYFUNCTION("""COMPUTED_VALUE"""),FALSE)</f>
        <v>0</v>
      </c>
      <c r="E1051" s="20" t="str">
        <f>IFERROR(__xludf.DUMMYFUNCTION("""COMPUTED_VALUE"""),"Easy")</f>
        <v>Easy</v>
      </c>
      <c r="F1051" s="20">
        <f>IFERROR(__xludf.DUMMYFUNCTION("""COMPUTED_VALUE"""),387.0)</f>
        <v>387</v>
      </c>
      <c r="G1051" s="20">
        <f>IFERROR(__xludf.DUMMYFUNCTION("""COMPUTED_VALUE"""),36.0)</f>
        <v>36</v>
      </c>
      <c r="H1051" s="20" t="str">
        <f>IFERROR(__xludf.DUMMYFUNCTION("""COMPUTED_VALUE"""),"Database")</f>
        <v>Database</v>
      </c>
      <c r="I1051" s="20">
        <f>IFERROR(__xludf.DUMMYFUNCTION("""COMPUTED_VALUE"""),0.719)</f>
        <v>0.719</v>
      </c>
      <c r="J1051" s="20">
        <f>IFERROR(__xludf.DUMMYFUNCTION("""COMPUTED_VALUE"""),1050.0)</f>
        <v>1050</v>
      </c>
      <c r="K1051" s="20" t="b">
        <f>IFERROR(__xludf.DUMMYFUNCTION("""COMPUTED_VALUE"""),FALSE)</f>
        <v>0</v>
      </c>
      <c r="L1051" s="20" t="str">
        <f>IFERROR(__xludf.DUMMYFUNCTION("""COMPUTED_VALUE"""),"Database;")</f>
        <v>Database;</v>
      </c>
      <c r="M1051" s="20" t="b">
        <f>IFERROR(__xludf.DUMMYFUNCTION("""COMPUTED_VALUE"""),FALSE)</f>
        <v>0</v>
      </c>
      <c r="N1051" s="20" t="b">
        <f>IFERROR(__xludf.DUMMYFUNCTION("""COMPUTED_VALUE"""),FALSE)</f>
        <v>0</v>
      </c>
      <c r="O1051" s="20">
        <f>IFERROR(__xludf.DUMMYFUNCTION("""COMPUTED_VALUE"""),71.8856565813493)</f>
        <v>71.88565658</v>
      </c>
      <c r="P1051" s="20">
        <f>IFERROR(__xludf.DUMMYFUNCTION("""COMPUTED_VALUE"""),92542.0)</f>
        <v>92542</v>
      </c>
      <c r="Q1051" s="20">
        <f>IFERROR(__xludf.DUMMYFUNCTION("""COMPUTED_VALUE"""),128733.0)</f>
        <v>128733</v>
      </c>
    </row>
    <row r="1052">
      <c r="A1052" s="20">
        <f>IFERROR(__xludf.DUMMYFUNCTION("""COMPUTED_VALUE"""),1137.0)</f>
        <v>1137</v>
      </c>
      <c r="B1052" s="20" t="str">
        <f>IFERROR(__xludf.DUMMYFUNCTION("""COMPUTED_VALUE"""),"Height Checker")</f>
        <v>Height Checker</v>
      </c>
      <c r="C1052" s="20" t="str">
        <f>IFERROR(__xludf.DUMMYFUNCTION("""COMPUTED_VALUE"""),"height-checker")</f>
        <v>height-checker</v>
      </c>
      <c r="D1052" s="20" t="b">
        <f>IFERROR(__xludf.DUMMYFUNCTION("""COMPUTED_VALUE"""),FALSE)</f>
        <v>0</v>
      </c>
      <c r="E1052" s="20" t="str">
        <f>IFERROR(__xludf.DUMMYFUNCTION("""COMPUTED_VALUE"""),"Easy")</f>
        <v>Easy</v>
      </c>
      <c r="F1052" s="20">
        <f>IFERROR(__xludf.DUMMYFUNCTION("""COMPUTED_VALUE"""),747.0)</f>
        <v>747</v>
      </c>
      <c r="G1052" s="20">
        <f>IFERROR(__xludf.DUMMYFUNCTION("""COMPUTED_VALUE"""),62.0)</f>
        <v>62</v>
      </c>
      <c r="H1052" s="20" t="str">
        <f>IFERROR(__xludf.DUMMYFUNCTION("""COMPUTED_VALUE"""),"Algorithms")</f>
        <v>Algorithms</v>
      </c>
      <c r="I1052" s="20">
        <f>IFERROR(__xludf.DUMMYFUNCTION("""COMPUTED_VALUE"""),0.752)</f>
        <v>0.752</v>
      </c>
      <c r="J1052" s="20">
        <f>IFERROR(__xludf.DUMMYFUNCTION("""COMPUTED_VALUE"""),1051.0)</f>
        <v>1051</v>
      </c>
      <c r="K1052" s="20" t="b">
        <f>IFERROR(__xludf.DUMMYFUNCTION("""COMPUTED_VALUE"""),FALSE)</f>
        <v>0</v>
      </c>
      <c r="L1052" s="20" t="str">
        <f>IFERROR(__xludf.DUMMYFUNCTION("""COMPUTED_VALUE"""),"Array;Sorting;Counting Sort;")</f>
        <v>Array;Sorting;Counting Sort;</v>
      </c>
      <c r="M1052" s="20" t="b">
        <f>IFERROR(__xludf.DUMMYFUNCTION("""COMPUTED_VALUE"""),FALSE)</f>
        <v>0</v>
      </c>
      <c r="N1052" s="20" t="b">
        <f>IFERROR(__xludf.DUMMYFUNCTION("""COMPUTED_VALUE"""),FALSE)</f>
        <v>0</v>
      </c>
      <c r="O1052" s="20">
        <f>IFERROR(__xludf.DUMMYFUNCTION("""COMPUTED_VALUE"""),75.2280532956593)</f>
        <v>75.2280533</v>
      </c>
      <c r="P1052" s="20">
        <f>IFERROR(__xludf.DUMMYFUNCTION("""COMPUTED_VALUE"""),247071.0)</f>
        <v>247071</v>
      </c>
      <c r="Q1052" s="20">
        <f>IFERROR(__xludf.DUMMYFUNCTION("""COMPUTED_VALUE"""),328430.0)</f>
        <v>328430</v>
      </c>
    </row>
    <row r="1053">
      <c r="A1053" s="20">
        <f>IFERROR(__xludf.DUMMYFUNCTION("""COMPUTED_VALUE"""),1138.0)</f>
        <v>1138</v>
      </c>
      <c r="B1053" s="20" t="str">
        <f>IFERROR(__xludf.DUMMYFUNCTION("""COMPUTED_VALUE"""),"Grumpy Bookstore Owner")</f>
        <v>Grumpy Bookstore Owner</v>
      </c>
      <c r="C1053" s="20" t="str">
        <f>IFERROR(__xludf.DUMMYFUNCTION("""COMPUTED_VALUE"""),"grumpy-bookstore-owner")</f>
        <v>grumpy-bookstore-owner</v>
      </c>
      <c r="D1053" s="20" t="b">
        <f>IFERROR(__xludf.DUMMYFUNCTION("""COMPUTED_VALUE"""),FALSE)</f>
        <v>0</v>
      </c>
      <c r="E1053" s="20" t="str">
        <f>IFERROR(__xludf.DUMMYFUNCTION("""COMPUTED_VALUE"""),"Medium")</f>
        <v>Medium</v>
      </c>
      <c r="F1053" s="20">
        <f>IFERROR(__xludf.DUMMYFUNCTION("""COMPUTED_VALUE"""),1369.0)</f>
        <v>1369</v>
      </c>
      <c r="G1053" s="20">
        <f>IFERROR(__xludf.DUMMYFUNCTION("""COMPUTED_VALUE"""),113.0)</f>
        <v>113</v>
      </c>
      <c r="H1053" s="20" t="str">
        <f>IFERROR(__xludf.DUMMYFUNCTION("""COMPUTED_VALUE"""),"Algorithms")</f>
        <v>Algorithms</v>
      </c>
      <c r="I1053" s="20">
        <f>IFERROR(__xludf.DUMMYFUNCTION("""COMPUTED_VALUE"""),0.571)</f>
        <v>0.571</v>
      </c>
      <c r="J1053" s="20">
        <f>IFERROR(__xludf.DUMMYFUNCTION("""COMPUTED_VALUE"""),1052.0)</f>
        <v>1052</v>
      </c>
      <c r="K1053" s="20" t="b">
        <f>IFERROR(__xludf.DUMMYFUNCTION("""COMPUTED_VALUE"""),FALSE)</f>
        <v>0</v>
      </c>
      <c r="L1053" s="20" t="str">
        <f>IFERROR(__xludf.DUMMYFUNCTION("""COMPUTED_VALUE"""),"Array;Sliding Window;")</f>
        <v>Array;Sliding Window;</v>
      </c>
      <c r="M1053" s="20" t="b">
        <f>IFERROR(__xludf.DUMMYFUNCTION("""COMPUTED_VALUE"""),FALSE)</f>
        <v>0</v>
      </c>
      <c r="N1053" s="20" t="b">
        <f>IFERROR(__xludf.DUMMYFUNCTION("""COMPUTED_VALUE"""),FALSE)</f>
        <v>0</v>
      </c>
      <c r="O1053" s="20">
        <f>IFERROR(__xludf.DUMMYFUNCTION("""COMPUTED_VALUE"""),57.0744914107037)</f>
        <v>57.07449141</v>
      </c>
      <c r="P1053" s="20">
        <f>IFERROR(__xludf.DUMMYFUNCTION("""COMPUTED_VALUE"""),59870.0)</f>
        <v>59870</v>
      </c>
      <c r="Q1053" s="20">
        <f>IFERROR(__xludf.DUMMYFUNCTION("""COMPUTED_VALUE"""),104898.0)</f>
        <v>104898</v>
      </c>
    </row>
    <row r="1054">
      <c r="A1054" s="20">
        <f>IFERROR(__xludf.DUMMYFUNCTION("""COMPUTED_VALUE"""),1139.0)</f>
        <v>1139</v>
      </c>
      <c r="B1054" s="20" t="str">
        <f>IFERROR(__xludf.DUMMYFUNCTION("""COMPUTED_VALUE"""),"Previous Permutation With One Swap")</f>
        <v>Previous Permutation With One Swap</v>
      </c>
      <c r="C1054" s="20" t="str">
        <f>IFERROR(__xludf.DUMMYFUNCTION("""COMPUTED_VALUE"""),"previous-permutation-with-one-swap")</f>
        <v>previous-permutation-with-one-swap</v>
      </c>
      <c r="D1054" s="20" t="b">
        <f>IFERROR(__xludf.DUMMYFUNCTION("""COMPUTED_VALUE"""),FALSE)</f>
        <v>0</v>
      </c>
      <c r="E1054" s="20" t="str">
        <f>IFERROR(__xludf.DUMMYFUNCTION("""COMPUTED_VALUE"""),"Medium")</f>
        <v>Medium</v>
      </c>
      <c r="F1054" s="20">
        <f>IFERROR(__xludf.DUMMYFUNCTION("""COMPUTED_VALUE"""),338.0)</f>
        <v>338</v>
      </c>
      <c r="G1054" s="20">
        <f>IFERROR(__xludf.DUMMYFUNCTION("""COMPUTED_VALUE"""),28.0)</f>
        <v>28</v>
      </c>
      <c r="H1054" s="20" t="str">
        <f>IFERROR(__xludf.DUMMYFUNCTION("""COMPUTED_VALUE"""),"Algorithms")</f>
        <v>Algorithms</v>
      </c>
      <c r="I1054" s="20">
        <f>IFERROR(__xludf.DUMMYFUNCTION("""COMPUTED_VALUE"""),0.507)</f>
        <v>0.507</v>
      </c>
      <c r="J1054" s="20">
        <f>IFERROR(__xludf.DUMMYFUNCTION("""COMPUTED_VALUE"""),1053.0)</f>
        <v>1053</v>
      </c>
      <c r="K1054" s="20" t="b">
        <f>IFERROR(__xludf.DUMMYFUNCTION("""COMPUTED_VALUE"""),FALSE)</f>
        <v>0</v>
      </c>
      <c r="L1054" s="20" t="str">
        <f>IFERROR(__xludf.DUMMYFUNCTION("""COMPUTED_VALUE"""),"Array;Greedy;")</f>
        <v>Array;Greedy;</v>
      </c>
      <c r="M1054" s="20" t="b">
        <f>IFERROR(__xludf.DUMMYFUNCTION("""COMPUTED_VALUE"""),FALSE)</f>
        <v>0</v>
      </c>
      <c r="N1054" s="20" t="b">
        <f>IFERROR(__xludf.DUMMYFUNCTION("""COMPUTED_VALUE"""),FALSE)</f>
        <v>0</v>
      </c>
      <c r="O1054" s="20">
        <f>IFERROR(__xludf.DUMMYFUNCTION("""COMPUTED_VALUE"""),50.6883935524633)</f>
        <v>50.68839355</v>
      </c>
      <c r="P1054" s="20">
        <f>IFERROR(__xludf.DUMMYFUNCTION("""COMPUTED_VALUE"""),34496.0)</f>
        <v>34496</v>
      </c>
      <c r="Q1054" s="20">
        <f>IFERROR(__xludf.DUMMYFUNCTION("""COMPUTED_VALUE"""),68056.0)</f>
        <v>68056</v>
      </c>
    </row>
    <row r="1055">
      <c r="A1055" s="20">
        <f>IFERROR(__xludf.DUMMYFUNCTION("""COMPUTED_VALUE"""),1140.0)</f>
        <v>1140</v>
      </c>
      <c r="B1055" s="20" t="str">
        <f>IFERROR(__xludf.DUMMYFUNCTION("""COMPUTED_VALUE"""),"Distant Barcodes")</f>
        <v>Distant Barcodes</v>
      </c>
      <c r="C1055" s="20" t="str">
        <f>IFERROR(__xludf.DUMMYFUNCTION("""COMPUTED_VALUE"""),"distant-barcodes")</f>
        <v>distant-barcodes</v>
      </c>
      <c r="D1055" s="20" t="b">
        <f>IFERROR(__xludf.DUMMYFUNCTION("""COMPUTED_VALUE"""),FALSE)</f>
        <v>0</v>
      </c>
      <c r="E1055" s="20" t="str">
        <f>IFERROR(__xludf.DUMMYFUNCTION("""COMPUTED_VALUE"""),"Medium")</f>
        <v>Medium</v>
      </c>
      <c r="F1055" s="20">
        <f>IFERROR(__xludf.DUMMYFUNCTION("""COMPUTED_VALUE"""),1015.0)</f>
        <v>1015</v>
      </c>
      <c r="G1055" s="20">
        <f>IFERROR(__xludf.DUMMYFUNCTION("""COMPUTED_VALUE"""),41.0)</f>
        <v>41</v>
      </c>
      <c r="H1055" s="20" t="str">
        <f>IFERROR(__xludf.DUMMYFUNCTION("""COMPUTED_VALUE"""),"Algorithms")</f>
        <v>Algorithms</v>
      </c>
      <c r="I1055" s="20">
        <f>IFERROR(__xludf.DUMMYFUNCTION("""COMPUTED_VALUE"""),0.457)</f>
        <v>0.457</v>
      </c>
      <c r="J1055" s="20">
        <f>IFERROR(__xludf.DUMMYFUNCTION("""COMPUTED_VALUE"""),1054.0)</f>
        <v>1054</v>
      </c>
      <c r="K1055" s="20" t="b">
        <f>IFERROR(__xludf.DUMMYFUNCTION("""COMPUTED_VALUE"""),FALSE)</f>
        <v>0</v>
      </c>
      <c r="L1055" s="20" t="str">
        <f>IFERROR(__xludf.DUMMYFUNCTION("""COMPUTED_VALUE"""),"Array;Hash Table;Greedy;Sorting;Heap (Priority Queue);Counting;")</f>
        <v>Array;Hash Table;Greedy;Sorting;Heap (Priority Queue);Counting;</v>
      </c>
      <c r="M1055" s="20" t="b">
        <f>IFERROR(__xludf.DUMMYFUNCTION("""COMPUTED_VALUE"""),FALSE)</f>
        <v>0</v>
      </c>
      <c r="N1055" s="20" t="b">
        <f>IFERROR(__xludf.DUMMYFUNCTION("""COMPUTED_VALUE"""),FALSE)</f>
        <v>0</v>
      </c>
      <c r="O1055" s="20">
        <f>IFERROR(__xludf.DUMMYFUNCTION("""COMPUTED_VALUE"""),45.7254453906551)</f>
        <v>45.72544539</v>
      </c>
      <c r="P1055" s="20">
        <f>IFERROR(__xludf.DUMMYFUNCTION("""COMPUTED_VALUE"""),34418.0)</f>
        <v>34418</v>
      </c>
      <c r="Q1055" s="20">
        <f>IFERROR(__xludf.DUMMYFUNCTION("""COMPUTED_VALUE"""),75271.0)</f>
        <v>75271</v>
      </c>
    </row>
    <row r="1056">
      <c r="A1056" s="20">
        <f>IFERROR(__xludf.DUMMYFUNCTION("""COMPUTED_VALUE"""),1051.0)</f>
        <v>1051</v>
      </c>
      <c r="B1056" s="20" t="str">
        <f>IFERROR(__xludf.DUMMYFUNCTION("""COMPUTED_VALUE"""),"Shortest Way to Form String")</f>
        <v>Shortest Way to Form String</v>
      </c>
      <c r="C1056" s="20" t="str">
        <f>IFERROR(__xludf.DUMMYFUNCTION("""COMPUTED_VALUE"""),"shortest-way-to-form-string")</f>
        <v>shortest-way-to-form-string</v>
      </c>
      <c r="D1056" s="20" t="b">
        <f>IFERROR(__xludf.DUMMYFUNCTION("""COMPUTED_VALUE"""),TRUE)</f>
        <v>1</v>
      </c>
      <c r="E1056" s="20" t="str">
        <f>IFERROR(__xludf.DUMMYFUNCTION("""COMPUTED_VALUE"""),"Medium")</f>
        <v>Medium</v>
      </c>
      <c r="F1056" s="20">
        <f>IFERROR(__xludf.DUMMYFUNCTION("""COMPUTED_VALUE"""),1036.0)</f>
        <v>1036</v>
      </c>
      <c r="G1056" s="20">
        <f>IFERROR(__xludf.DUMMYFUNCTION("""COMPUTED_VALUE"""),60.0)</f>
        <v>60</v>
      </c>
      <c r="H1056" s="20" t="str">
        <f>IFERROR(__xludf.DUMMYFUNCTION("""COMPUTED_VALUE"""),"Algorithms")</f>
        <v>Algorithms</v>
      </c>
      <c r="I1056" s="20">
        <f>IFERROR(__xludf.DUMMYFUNCTION("""COMPUTED_VALUE"""),0.592)</f>
        <v>0.592</v>
      </c>
      <c r="J1056" s="20">
        <f>IFERROR(__xludf.DUMMYFUNCTION("""COMPUTED_VALUE"""),1055.0)</f>
        <v>1055</v>
      </c>
      <c r="K1056" s="20" t="b">
        <f>IFERROR(__xludf.DUMMYFUNCTION("""COMPUTED_VALUE"""),TRUE)</f>
        <v>1</v>
      </c>
      <c r="L1056" s="20" t="str">
        <f>IFERROR(__xludf.DUMMYFUNCTION("""COMPUTED_VALUE"""),"String;Dynamic Programming;Greedy;")</f>
        <v>String;Dynamic Programming;Greedy;</v>
      </c>
      <c r="M1056" s="20" t="b">
        <f>IFERROR(__xludf.DUMMYFUNCTION("""COMPUTED_VALUE"""),FALSE)</f>
        <v>0</v>
      </c>
      <c r="N1056" s="20" t="b">
        <f>IFERROR(__xludf.DUMMYFUNCTION("""COMPUTED_VALUE"""),FALSE)</f>
        <v>0</v>
      </c>
      <c r="O1056" s="20">
        <f>IFERROR(__xludf.DUMMYFUNCTION("""COMPUTED_VALUE"""),59.1700976830548)</f>
        <v>59.17009768</v>
      </c>
      <c r="P1056" s="20">
        <f>IFERROR(__xludf.DUMMYFUNCTION("""COMPUTED_VALUE"""),73294.0)</f>
        <v>73294</v>
      </c>
      <c r="Q1056" s="20">
        <f>IFERROR(__xludf.DUMMYFUNCTION("""COMPUTED_VALUE"""),123870.0)</f>
        <v>123870</v>
      </c>
    </row>
    <row r="1057">
      <c r="A1057" s="20">
        <f>IFERROR(__xludf.DUMMYFUNCTION("""COMPUTED_VALUE"""),1069.0)</f>
        <v>1069</v>
      </c>
      <c r="B1057" s="20" t="str">
        <f>IFERROR(__xludf.DUMMYFUNCTION("""COMPUTED_VALUE"""),"Confusing Number")</f>
        <v>Confusing Number</v>
      </c>
      <c r="C1057" s="20" t="str">
        <f>IFERROR(__xludf.DUMMYFUNCTION("""COMPUTED_VALUE"""),"confusing-number")</f>
        <v>confusing-number</v>
      </c>
      <c r="D1057" s="20" t="b">
        <f>IFERROR(__xludf.DUMMYFUNCTION("""COMPUTED_VALUE"""),TRUE)</f>
        <v>1</v>
      </c>
      <c r="E1057" s="20" t="str">
        <f>IFERROR(__xludf.DUMMYFUNCTION("""COMPUTED_VALUE"""),"Easy")</f>
        <v>Easy</v>
      </c>
      <c r="F1057" s="20">
        <f>IFERROR(__xludf.DUMMYFUNCTION("""COMPUTED_VALUE"""),182.0)</f>
        <v>182</v>
      </c>
      <c r="G1057" s="20">
        <f>IFERROR(__xludf.DUMMYFUNCTION("""COMPUTED_VALUE"""),96.0)</f>
        <v>96</v>
      </c>
      <c r="H1057" s="20" t="str">
        <f>IFERROR(__xludf.DUMMYFUNCTION("""COMPUTED_VALUE"""),"Algorithms")</f>
        <v>Algorithms</v>
      </c>
      <c r="I1057" s="20">
        <f>IFERROR(__xludf.DUMMYFUNCTION("""COMPUTED_VALUE"""),0.461)</f>
        <v>0.461</v>
      </c>
      <c r="J1057" s="20">
        <f>IFERROR(__xludf.DUMMYFUNCTION("""COMPUTED_VALUE"""),1056.0)</f>
        <v>1056</v>
      </c>
      <c r="K1057" s="20" t="b">
        <f>IFERROR(__xludf.DUMMYFUNCTION("""COMPUTED_VALUE"""),TRUE)</f>
        <v>1</v>
      </c>
      <c r="L1057" s="20" t="str">
        <f>IFERROR(__xludf.DUMMYFUNCTION("""COMPUTED_VALUE"""),"Math;")</f>
        <v>Math;</v>
      </c>
      <c r="M1057" s="20" t="b">
        <f>IFERROR(__xludf.DUMMYFUNCTION("""COMPUTED_VALUE"""),TRUE)</f>
        <v>1</v>
      </c>
      <c r="N1057" s="20" t="b">
        <f>IFERROR(__xludf.DUMMYFUNCTION("""COMPUTED_VALUE"""),FALSE)</f>
        <v>0</v>
      </c>
      <c r="O1057" s="20">
        <f>IFERROR(__xludf.DUMMYFUNCTION("""COMPUTED_VALUE"""),46.1097220179438)</f>
        <v>46.10972202</v>
      </c>
      <c r="P1057" s="20">
        <f>IFERROR(__xludf.DUMMYFUNCTION("""COMPUTED_VALUE"""),28215.0)</f>
        <v>28215</v>
      </c>
      <c r="Q1057" s="20">
        <f>IFERROR(__xludf.DUMMYFUNCTION("""COMPUTED_VALUE"""),61191.0)</f>
        <v>61191</v>
      </c>
    </row>
    <row r="1058">
      <c r="A1058" s="20">
        <f>IFERROR(__xludf.DUMMYFUNCTION("""COMPUTED_VALUE"""),1052.0)</f>
        <v>1052</v>
      </c>
      <c r="B1058" s="20" t="str">
        <f>IFERROR(__xludf.DUMMYFUNCTION("""COMPUTED_VALUE"""),"Campus Bikes")</f>
        <v>Campus Bikes</v>
      </c>
      <c r="C1058" s="20" t="str">
        <f>IFERROR(__xludf.DUMMYFUNCTION("""COMPUTED_VALUE"""),"campus-bikes")</f>
        <v>campus-bikes</v>
      </c>
      <c r="D1058" s="20" t="b">
        <f>IFERROR(__xludf.DUMMYFUNCTION("""COMPUTED_VALUE"""),TRUE)</f>
        <v>1</v>
      </c>
      <c r="E1058" s="20" t="str">
        <f>IFERROR(__xludf.DUMMYFUNCTION("""COMPUTED_VALUE"""),"Medium")</f>
        <v>Medium</v>
      </c>
      <c r="F1058" s="20">
        <f>IFERROR(__xludf.DUMMYFUNCTION("""COMPUTED_VALUE"""),895.0)</f>
        <v>895</v>
      </c>
      <c r="G1058" s="20">
        <f>IFERROR(__xludf.DUMMYFUNCTION("""COMPUTED_VALUE"""),167.0)</f>
        <v>167</v>
      </c>
      <c r="H1058" s="20" t="str">
        <f>IFERROR(__xludf.DUMMYFUNCTION("""COMPUTED_VALUE"""),"Algorithms")</f>
        <v>Algorithms</v>
      </c>
      <c r="I1058" s="20">
        <f>IFERROR(__xludf.DUMMYFUNCTION("""COMPUTED_VALUE"""),0.577)</f>
        <v>0.577</v>
      </c>
      <c r="J1058" s="20">
        <f>IFERROR(__xludf.DUMMYFUNCTION("""COMPUTED_VALUE"""),1057.0)</f>
        <v>1057</v>
      </c>
      <c r="K1058" s="20" t="b">
        <f>IFERROR(__xludf.DUMMYFUNCTION("""COMPUTED_VALUE"""),TRUE)</f>
        <v>1</v>
      </c>
      <c r="L1058" s="20" t="str">
        <f>IFERROR(__xludf.DUMMYFUNCTION("""COMPUTED_VALUE"""),"Array;Greedy;Sorting;")</f>
        <v>Array;Greedy;Sorting;</v>
      </c>
      <c r="M1058" s="20" t="b">
        <f>IFERROR(__xludf.DUMMYFUNCTION("""COMPUTED_VALUE"""),TRUE)</f>
        <v>1</v>
      </c>
      <c r="N1058" s="20" t="b">
        <f>IFERROR(__xludf.DUMMYFUNCTION("""COMPUTED_VALUE"""),FALSE)</f>
        <v>0</v>
      </c>
      <c r="O1058" s="20">
        <f>IFERROR(__xludf.DUMMYFUNCTION("""COMPUTED_VALUE"""),57.6579685924741)</f>
        <v>57.65796859</v>
      </c>
      <c r="P1058" s="20">
        <f>IFERROR(__xludf.DUMMYFUNCTION("""COMPUTED_VALUE"""),63482.0)</f>
        <v>63482</v>
      </c>
      <c r="Q1058" s="20">
        <f>IFERROR(__xludf.DUMMYFUNCTION("""COMPUTED_VALUE"""),110101.0)</f>
        <v>110101</v>
      </c>
    </row>
    <row r="1059">
      <c r="A1059" s="20">
        <f>IFERROR(__xludf.DUMMYFUNCTION("""COMPUTED_VALUE"""),1053.0)</f>
        <v>1053</v>
      </c>
      <c r="B1059" s="20" t="str">
        <f>IFERROR(__xludf.DUMMYFUNCTION("""COMPUTED_VALUE"""),"Minimize Rounding Error to Meet Target")</f>
        <v>Minimize Rounding Error to Meet Target</v>
      </c>
      <c r="C1059" s="20" t="str">
        <f>IFERROR(__xludf.DUMMYFUNCTION("""COMPUTED_VALUE"""),"minimize-rounding-error-to-meet-target")</f>
        <v>minimize-rounding-error-to-meet-target</v>
      </c>
      <c r="D1059" s="20" t="b">
        <f>IFERROR(__xludf.DUMMYFUNCTION("""COMPUTED_VALUE"""),TRUE)</f>
        <v>1</v>
      </c>
      <c r="E1059" s="20" t="str">
        <f>IFERROR(__xludf.DUMMYFUNCTION("""COMPUTED_VALUE"""),"Medium")</f>
        <v>Medium</v>
      </c>
      <c r="F1059" s="20">
        <f>IFERROR(__xludf.DUMMYFUNCTION("""COMPUTED_VALUE"""),137.0)</f>
        <v>137</v>
      </c>
      <c r="G1059" s="20">
        <f>IFERROR(__xludf.DUMMYFUNCTION("""COMPUTED_VALUE"""),135.0)</f>
        <v>135</v>
      </c>
      <c r="H1059" s="20" t="str">
        <f>IFERROR(__xludf.DUMMYFUNCTION("""COMPUTED_VALUE"""),"Algorithms")</f>
        <v>Algorithms</v>
      </c>
      <c r="I1059" s="20">
        <f>IFERROR(__xludf.DUMMYFUNCTION("""COMPUTED_VALUE"""),0.448)</f>
        <v>0.448</v>
      </c>
      <c r="J1059" s="20">
        <f>IFERROR(__xludf.DUMMYFUNCTION("""COMPUTED_VALUE"""),1058.0)</f>
        <v>1058</v>
      </c>
      <c r="K1059" s="20" t="b">
        <f>IFERROR(__xludf.DUMMYFUNCTION("""COMPUTED_VALUE"""),TRUE)</f>
        <v>1</v>
      </c>
      <c r="L1059" s="20" t="str">
        <f>IFERROR(__xludf.DUMMYFUNCTION("""COMPUTED_VALUE"""),"Array;Math;String;Greedy;")</f>
        <v>Array;Math;String;Greedy;</v>
      </c>
      <c r="M1059" s="20" t="b">
        <f>IFERROR(__xludf.DUMMYFUNCTION("""COMPUTED_VALUE"""),FALSE)</f>
        <v>0</v>
      </c>
      <c r="N1059" s="20" t="b">
        <f>IFERROR(__xludf.DUMMYFUNCTION("""COMPUTED_VALUE"""),FALSE)</f>
        <v>0</v>
      </c>
      <c r="O1059" s="20">
        <f>IFERROR(__xludf.DUMMYFUNCTION("""COMPUTED_VALUE"""),44.8370010375143)</f>
        <v>44.83700104</v>
      </c>
      <c r="P1059" s="20">
        <f>IFERROR(__xludf.DUMMYFUNCTION("""COMPUTED_VALUE"""),8211.0)</f>
        <v>8211</v>
      </c>
      <c r="Q1059" s="20">
        <f>IFERROR(__xludf.DUMMYFUNCTION("""COMPUTED_VALUE"""),18313.0)</f>
        <v>18313</v>
      </c>
    </row>
    <row r="1060">
      <c r="A1060" s="20">
        <f>IFERROR(__xludf.DUMMYFUNCTION("""COMPUTED_VALUE"""),511.0)</f>
        <v>511</v>
      </c>
      <c r="B1060" s="20" t="str">
        <f>IFERROR(__xludf.DUMMYFUNCTION("""COMPUTED_VALUE"""),"All Paths from Source Lead to Destination")</f>
        <v>All Paths from Source Lead to Destination</v>
      </c>
      <c r="C1060" s="20" t="str">
        <f>IFERROR(__xludf.DUMMYFUNCTION("""COMPUTED_VALUE"""),"all-paths-from-source-lead-to-destination")</f>
        <v>all-paths-from-source-lead-to-destination</v>
      </c>
      <c r="D1060" s="20" t="b">
        <f>IFERROR(__xludf.DUMMYFUNCTION("""COMPUTED_VALUE"""),TRUE)</f>
        <v>1</v>
      </c>
      <c r="E1060" s="20" t="str">
        <f>IFERROR(__xludf.DUMMYFUNCTION("""COMPUTED_VALUE"""),"Medium")</f>
        <v>Medium</v>
      </c>
      <c r="F1060" s="20">
        <f>IFERROR(__xludf.DUMMYFUNCTION("""COMPUTED_VALUE"""),618.0)</f>
        <v>618</v>
      </c>
      <c r="G1060" s="20">
        <f>IFERROR(__xludf.DUMMYFUNCTION("""COMPUTED_VALUE"""),267.0)</f>
        <v>267</v>
      </c>
      <c r="H1060" s="20" t="str">
        <f>IFERROR(__xludf.DUMMYFUNCTION("""COMPUTED_VALUE"""),"Algorithms")</f>
        <v>Algorithms</v>
      </c>
      <c r="I1060" s="20">
        <f>IFERROR(__xludf.DUMMYFUNCTION("""COMPUTED_VALUE"""),0.399)</f>
        <v>0.399</v>
      </c>
      <c r="J1060" s="20">
        <f>IFERROR(__xludf.DUMMYFUNCTION("""COMPUTED_VALUE"""),1059.0)</f>
        <v>1059</v>
      </c>
      <c r="K1060" s="20" t="b">
        <f>IFERROR(__xludf.DUMMYFUNCTION("""COMPUTED_VALUE"""),TRUE)</f>
        <v>1</v>
      </c>
      <c r="L1060" s="20" t="str">
        <f>IFERROR(__xludf.DUMMYFUNCTION("""COMPUTED_VALUE"""),"Depth-First Search;Graph;")</f>
        <v>Depth-First Search;Graph;</v>
      </c>
      <c r="M1060" s="20" t="b">
        <f>IFERROR(__xludf.DUMMYFUNCTION("""COMPUTED_VALUE"""),TRUE)</f>
        <v>1</v>
      </c>
      <c r="N1060" s="20" t="b">
        <f>IFERROR(__xludf.DUMMYFUNCTION("""COMPUTED_VALUE"""),FALSE)</f>
        <v>0</v>
      </c>
      <c r="O1060" s="20">
        <f>IFERROR(__xludf.DUMMYFUNCTION("""COMPUTED_VALUE"""),39.9392131938333)</f>
        <v>39.93921319</v>
      </c>
      <c r="P1060" s="20">
        <f>IFERROR(__xludf.DUMMYFUNCTION("""COMPUTED_VALUE"""),49015.0)</f>
        <v>49015</v>
      </c>
      <c r="Q1060" s="20">
        <f>IFERROR(__xludf.DUMMYFUNCTION("""COMPUTED_VALUE"""),122724.0)</f>
        <v>122724</v>
      </c>
    </row>
    <row r="1061">
      <c r="A1061" s="20">
        <f>IFERROR(__xludf.DUMMYFUNCTION("""COMPUTED_VALUE"""),1059.0)</f>
        <v>1059</v>
      </c>
      <c r="B1061" s="20" t="str">
        <f>IFERROR(__xludf.DUMMYFUNCTION("""COMPUTED_VALUE"""),"Missing Element in Sorted Array")</f>
        <v>Missing Element in Sorted Array</v>
      </c>
      <c r="C1061" s="20" t="str">
        <f>IFERROR(__xludf.DUMMYFUNCTION("""COMPUTED_VALUE"""),"missing-element-in-sorted-array")</f>
        <v>missing-element-in-sorted-array</v>
      </c>
      <c r="D1061" s="20" t="b">
        <f>IFERROR(__xludf.DUMMYFUNCTION("""COMPUTED_VALUE"""),TRUE)</f>
        <v>1</v>
      </c>
      <c r="E1061" s="20" t="str">
        <f>IFERROR(__xludf.DUMMYFUNCTION("""COMPUTED_VALUE"""),"Medium")</f>
        <v>Medium</v>
      </c>
      <c r="F1061" s="20">
        <f>IFERROR(__xludf.DUMMYFUNCTION("""COMPUTED_VALUE"""),1446.0)</f>
        <v>1446</v>
      </c>
      <c r="G1061" s="20">
        <f>IFERROR(__xludf.DUMMYFUNCTION("""COMPUTED_VALUE"""),57.0)</f>
        <v>57</v>
      </c>
      <c r="H1061" s="20" t="str">
        <f>IFERROR(__xludf.DUMMYFUNCTION("""COMPUTED_VALUE"""),"Algorithms")</f>
        <v>Algorithms</v>
      </c>
      <c r="I1061" s="20">
        <f>IFERROR(__xludf.DUMMYFUNCTION("""COMPUTED_VALUE"""),0.546)</f>
        <v>0.546</v>
      </c>
      <c r="J1061" s="20">
        <f>IFERROR(__xludf.DUMMYFUNCTION("""COMPUTED_VALUE"""),1060.0)</f>
        <v>1060</v>
      </c>
      <c r="K1061" s="20" t="b">
        <f>IFERROR(__xludf.DUMMYFUNCTION("""COMPUTED_VALUE"""),TRUE)</f>
        <v>1</v>
      </c>
      <c r="L1061" s="20" t="str">
        <f>IFERROR(__xludf.DUMMYFUNCTION("""COMPUTED_VALUE"""),"Array;Binary Search;")</f>
        <v>Array;Binary Search;</v>
      </c>
      <c r="M1061" s="20" t="b">
        <f>IFERROR(__xludf.DUMMYFUNCTION("""COMPUTED_VALUE"""),TRUE)</f>
        <v>1</v>
      </c>
      <c r="N1061" s="20" t="b">
        <f>IFERROR(__xludf.DUMMYFUNCTION("""COMPUTED_VALUE"""),FALSE)</f>
        <v>0</v>
      </c>
      <c r="O1061" s="20">
        <f>IFERROR(__xludf.DUMMYFUNCTION("""COMPUTED_VALUE"""),54.5794476059947)</f>
        <v>54.57944761</v>
      </c>
      <c r="P1061" s="20">
        <f>IFERROR(__xludf.DUMMYFUNCTION("""COMPUTED_VALUE"""),109911.0)</f>
        <v>109911</v>
      </c>
      <c r="Q1061" s="20">
        <f>IFERROR(__xludf.DUMMYFUNCTION("""COMPUTED_VALUE"""),201378.0)</f>
        <v>201378</v>
      </c>
    </row>
    <row r="1062">
      <c r="A1062" s="20">
        <f>IFERROR(__xludf.DUMMYFUNCTION("""COMPUTED_VALUE"""),1058.0)</f>
        <v>1058</v>
      </c>
      <c r="B1062" s="20" t="str">
        <f>IFERROR(__xludf.DUMMYFUNCTION("""COMPUTED_VALUE"""),"Lexicographically Smallest Equivalent String")</f>
        <v>Lexicographically Smallest Equivalent String</v>
      </c>
      <c r="C1062" s="20" t="str">
        <f>IFERROR(__xludf.DUMMYFUNCTION("""COMPUTED_VALUE"""),"lexicographically-smallest-equivalent-string")</f>
        <v>lexicographically-smallest-equivalent-string</v>
      </c>
      <c r="D1062" s="20" t="b">
        <f>IFERROR(__xludf.DUMMYFUNCTION("""COMPUTED_VALUE"""),TRUE)</f>
        <v>1</v>
      </c>
      <c r="E1062" s="20" t="str">
        <f>IFERROR(__xludf.DUMMYFUNCTION("""COMPUTED_VALUE"""),"Medium")</f>
        <v>Medium</v>
      </c>
      <c r="F1062" s="20">
        <f>IFERROR(__xludf.DUMMYFUNCTION("""COMPUTED_VALUE"""),251.0)</f>
        <v>251</v>
      </c>
      <c r="G1062" s="20">
        <f>IFERROR(__xludf.DUMMYFUNCTION("""COMPUTED_VALUE"""),17.0)</f>
        <v>17</v>
      </c>
      <c r="H1062" s="20" t="str">
        <f>IFERROR(__xludf.DUMMYFUNCTION("""COMPUTED_VALUE"""),"Algorithms")</f>
        <v>Algorithms</v>
      </c>
      <c r="I1062" s="20">
        <f>IFERROR(__xludf.DUMMYFUNCTION("""COMPUTED_VALUE"""),0.708)</f>
        <v>0.708</v>
      </c>
      <c r="J1062" s="20">
        <f>IFERROR(__xludf.DUMMYFUNCTION("""COMPUTED_VALUE"""),1061.0)</f>
        <v>1061</v>
      </c>
      <c r="K1062" s="20" t="b">
        <f>IFERROR(__xludf.DUMMYFUNCTION("""COMPUTED_VALUE"""),TRUE)</f>
        <v>1</v>
      </c>
      <c r="L1062" s="20" t="str">
        <f>IFERROR(__xludf.DUMMYFUNCTION("""COMPUTED_VALUE"""),"String;Union Find;")</f>
        <v>String;Union Find;</v>
      </c>
      <c r="M1062" s="20" t="b">
        <f>IFERROR(__xludf.DUMMYFUNCTION("""COMPUTED_VALUE"""),TRUE)</f>
        <v>1</v>
      </c>
      <c r="N1062" s="20" t="b">
        <f>IFERROR(__xludf.DUMMYFUNCTION("""COMPUTED_VALUE"""),FALSE)</f>
        <v>0</v>
      </c>
      <c r="O1062" s="20">
        <f>IFERROR(__xludf.DUMMYFUNCTION("""COMPUTED_VALUE"""),70.7888349514563)</f>
        <v>70.78883495</v>
      </c>
      <c r="P1062" s="20">
        <f>IFERROR(__xludf.DUMMYFUNCTION("""COMPUTED_VALUE"""),11666.0)</f>
        <v>11666</v>
      </c>
      <c r="Q1062" s="20">
        <f>IFERROR(__xludf.DUMMYFUNCTION("""COMPUTED_VALUE"""),16480.0)</f>
        <v>16480</v>
      </c>
    </row>
    <row r="1063">
      <c r="A1063" s="20">
        <f>IFERROR(__xludf.DUMMYFUNCTION("""COMPUTED_VALUE"""),1060.0)</f>
        <v>1060</v>
      </c>
      <c r="B1063" s="20" t="str">
        <f>IFERROR(__xludf.DUMMYFUNCTION("""COMPUTED_VALUE"""),"Longest Repeating Substring")</f>
        <v>Longest Repeating Substring</v>
      </c>
      <c r="C1063" s="20" t="str">
        <f>IFERROR(__xludf.DUMMYFUNCTION("""COMPUTED_VALUE"""),"longest-repeating-substring")</f>
        <v>longest-repeating-substring</v>
      </c>
      <c r="D1063" s="20" t="b">
        <f>IFERROR(__xludf.DUMMYFUNCTION("""COMPUTED_VALUE"""),TRUE)</f>
        <v>1</v>
      </c>
      <c r="E1063" s="20" t="str">
        <f>IFERROR(__xludf.DUMMYFUNCTION("""COMPUTED_VALUE"""),"Medium")</f>
        <v>Medium</v>
      </c>
      <c r="F1063" s="20">
        <f>IFERROR(__xludf.DUMMYFUNCTION("""COMPUTED_VALUE"""),580.0)</f>
        <v>580</v>
      </c>
      <c r="G1063" s="20">
        <f>IFERROR(__xludf.DUMMYFUNCTION("""COMPUTED_VALUE"""),40.0)</f>
        <v>40</v>
      </c>
      <c r="H1063" s="20" t="str">
        <f>IFERROR(__xludf.DUMMYFUNCTION("""COMPUTED_VALUE"""),"Algorithms")</f>
        <v>Algorithms</v>
      </c>
      <c r="I1063" s="20">
        <f>IFERROR(__xludf.DUMMYFUNCTION("""COMPUTED_VALUE"""),0.592)</f>
        <v>0.592</v>
      </c>
      <c r="J1063" s="20">
        <f>IFERROR(__xludf.DUMMYFUNCTION("""COMPUTED_VALUE"""),1062.0)</f>
        <v>1062</v>
      </c>
      <c r="K1063" s="20" t="b">
        <f>IFERROR(__xludf.DUMMYFUNCTION("""COMPUTED_VALUE"""),TRUE)</f>
        <v>1</v>
      </c>
      <c r="L1063" s="20" t="str">
        <f>IFERROR(__xludf.DUMMYFUNCTION("""COMPUTED_VALUE"""),"String;Binary Search;Dynamic Programming;Rolling Hash;Suffix Array;Hash Function;")</f>
        <v>String;Binary Search;Dynamic Programming;Rolling Hash;Suffix Array;Hash Function;</v>
      </c>
      <c r="M1063" s="20" t="b">
        <f>IFERROR(__xludf.DUMMYFUNCTION("""COMPUTED_VALUE"""),TRUE)</f>
        <v>1</v>
      </c>
      <c r="N1063" s="20" t="b">
        <f>IFERROR(__xludf.DUMMYFUNCTION("""COMPUTED_VALUE"""),FALSE)</f>
        <v>0</v>
      </c>
      <c r="O1063" s="20">
        <f>IFERROR(__xludf.DUMMYFUNCTION("""COMPUTED_VALUE"""),59.2283746816338)</f>
        <v>59.22837468</v>
      </c>
      <c r="P1063" s="20">
        <f>IFERROR(__xludf.DUMMYFUNCTION("""COMPUTED_VALUE"""),31394.0)</f>
        <v>31394</v>
      </c>
      <c r="Q1063" s="20">
        <f>IFERROR(__xludf.DUMMYFUNCTION("""COMPUTED_VALUE"""),53005.0)</f>
        <v>53005</v>
      </c>
    </row>
    <row r="1064">
      <c r="A1064" s="20">
        <f>IFERROR(__xludf.DUMMYFUNCTION("""COMPUTED_VALUE"""),1061.0)</f>
        <v>1061</v>
      </c>
      <c r="B1064" s="20" t="str">
        <f>IFERROR(__xludf.DUMMYFUNCTION("""COMPUTED_VALUE"""),"Number of Valid Subarrays")</f>
        <v>Number of Valid Subarrays</v>
      </c>
      <c r="C1064" s="20" t="str">
        <f>IFERROR(__xludf.DUMMYFUNCTION("""COMPUTED_VALUE"""),"number-of-valid-subarrays")</f>
        <v>number-of-valid-subarrays</v>
      </c>
      <c r="D1064" s="20" t="b">
        <f>IFERROR(__xludf.DUMMYFUNCTION("""COMPUTED_VALUE"""),TRUE)</f>
        <v>1</v>
      </c>
      <c r="E1064" s="20" t="str">
        <f>IFERROR(__xludf.DUMMYFUNCTION("""COMPUTED_VALUE"""),"Hard")</f>
        <v>Hard</v>
      </c>
      <c r="F1064" s="20">
        <f>IFERROR(__xludf.DUMMYFUNCTION("""COMPUTED_VALUE"""),204.0)</f>
        <v>204</v>
      </c>
      <c r="G1064" s="20">
        <f>IFERROR(__xludf.DUMMYFUNCTION("""COMPUTED_VALUE"""),9.0)</f>
        <v>9</v>
      </c>
      <c r="H1064" s="20" t="str">
        <f>IFERROR(__xludf.DUMMYFUNCTION("""COMPUTED_VALUE"""),"Algorithms")</f>
        <v>Algorithms</v>
      </c>
      <c r="I1064" s="20">
        <f>IFERROR(__xludf.DUMMYFUNCTION("""COMPUTED_VALUE"""),0.741)</f>
        <v>0.741</v>
      </c>
      <c r="J1064" s="20">
        <f>IFERROR(__xludf.DUMMYFUNCTION("""COMPUTED_VALUE"""),1063.0)</f>
        <v>1063</v>
      </c>
      <c r="K1064" s="20" t="b">
        <f>IFERROR(__xludf.DUMMYFUNCTION("""COMPUTED_VALUE"""),TRUE)</f>
        <v>1</v>
      </c>
      <c r="L1064" s="20" t="str">
        <f>IFERROR(__xludf.DUMMYFUNCTION("""COMPUTED_VALUE"""),"Array;Stack;Monotonic Stack;")</f>
        <v>Array;Stack;Monotonic Stack;</v>
      </c>
      <c r="M1064" s="20" t="b">
        <f>IFERROR(__xludf.DUMMYFUNCTION("""COMPUTED_VALUE"""),FALSE)</f>
        <v>0</v>
      </c>
      <c r="N1064" s="20" t="b">
        <f>IFERROR(__xludf.DUMMYFUNCTION("""COMPUTED_VALUE"""),FALSE)</f>
        <v>0</v>
      </c>
      <c r="O1064" s="20">
        <f>IFERROR(__xludf.DUMMYFUNCTION("""COMPUTED_VALUE"""),74.1124107235275)</f>
        <v>74.11241072</v>
      </c>
      <c r="P1064" s="20">
        <f>IFERROR(__xludf.DUMMYFUNCTION("""COMPUTED_VALUE"""),7160.0)</f>
        <v>7160</v>
      </c>
      <c r="Q1064" s="20">
        <f>IFERROR(__xludf.DUMMYFUNCTION("""COMPUTED_VALUE"""),9661.0)</f>
        <v>9661</v>
      </c>
    </row>
    <row r="1065">
      <c r="A1065" s="20">
        <f>IFERROR(__xludf.DUMMYFUNCTION("""COMPUTED_VALUE"""),1066.0)</f>
        <v>1066</v>
      </c>
      <c r="B1065" s="20" t="str">
        <f>IFERROR(__xludf.DUMMYFUNCTION("""COMPUTED_VALUE"""),"Fixed Point")</f>
        <v>Fixed Point</v>
      </c>
      <c r="C1065" s="20" t="str">
        <f>IFERROR(__xludf.DUMMYFUNCTION("""COMPUTED_VALUE"""),"fixed-point")</f>
        <v>fixed-point</v>
      </c>
      <c r="D1065" s="20" t="b">
        <f>IFERROR(__xludf.DUMMYFUNCTION("""COMPUTED_VALUE"""),TRUE)</f>
        <v>1</v>
      </c>
      <c r="E1065" s="20" t="str">
        <f>IFERROR(__xludf.DUMMYFUNCTION("""COMPUTED_VALUE"""),"Easy")</f>
        <v>Easy</v>
      </c>
      <c r="F1065" s="20">
        <f>IFERROR(__xludf.DUMMYFUNCTION("""COMPUTED_VALUE"""),384.0)</f>
        <v>384</v>
      </c>
      <c r="G1065" s="20">
        <f>IFERROR(__xludf.DUMMYFUNCTION("""COMPUTED_VALUE"""),61.0)</f>
        <v>61</v>
      </c>
      <c r="H1065" s="20" t="str">
        <f>IFERROR(__xludf.DUMMYFUNCTION("""COMPUTED_VALUE"""),"Algorithms")</f>
        <v>Algorithms</v>
      </c>
      <c r="I1065" s="20">
        <f>IFERROR(__xludf.DUMMYFUNCTION("""COMPUTED_VALUE"""),0.636)</f>
        <v>0.636</v>
      </c>
      <c r="J1065" s="20">
        <f>IFERROR(__xludf.DUMMYFUNCTION("""COMPUTED_VALUE"""),1064.0)</f>
        <v>1064</v>
      </c>
      <c r="K1065" s="20" t="b">
        <f>IFERROR(__xludf.DUMMYFUNCTION("""COMPUTED_VALUE"""),TRUE)</f>
        <v>1</v>
      </c>
      <c r="L1065" s="20" t="str">
        <f>IFERROR(__xludf.DUMMYFUNCTION("""COMPUTED_VALUE"""),"Array;Binary Search;")</f>
        <v>Array;Binary Search;</v>
      </c>
      <c r="M1065" s="20" t="b">
        <f>IFERROR(__xludf.DUMMYFUNCTION("""COMPUTED_VALUE"""),TRUE)</f>
        <v>1</v>
      </c>
      <c r="N1065" s="20" t="b">
        <f>IFERROR(__xludf.DUMMYFUNCTION("""COMPUTED_VALUE"""),FALSE)</f>
        <v>0</v>
      </c>
      <c r="O1065" s="20">
        <f>IFERROR(__xludf.DUMMYFUNCTION("""COMPUTED_VALUE"""),63.5945158299112)</f>
        <v>63.59451583</v>
      </c>
      <c r="P1065" s="20">
        <f>IFERROR(__xludf.DUMMYFUNCTION("""COMPUTED_VALUE"""),38406.0)</f>
        <v>38406</v>
      </c>
      <c r="Q1065" s="20">
        <f>IFERROR(__xludf.DUMMYFUNCTION("""COMPUTED_VALUE"""),60392.0)</f>
        <v>60392</v>
      </c>
    </row>
    <row r="1066">
      <c r="A1066" s="20">
        <f>IFERROR(__xludf.DUMMYFUNCTION("""COMPUTED_VALUE"""),1075.0)</f>
        <v>1075</v>
      </c>
      <c r="B1066" s="20" t="str">
        <f>IFERROR(__xludf.DUMMYFUNCTION("""COMPUTED_VALUE"""),"Index Pairs of a String")</f>
        <v>Index Pairs of a String</v>
      </c>
      <c r="C1066" s="20" t="str">
        <f>IFERROR(__xludf.DUMMYFUNCTION("""COMPUTED_VALUE"""),"index-pairs-of-a-string")</f>
        <v>index-pairs-of-a-string</v>
      </c>
      <c r="D1066" s="20" t="b">
        <f>IFERROR(__xludf.DUMMYFUNCTION("""COMPUTED_VALUE"""),TRUE)</f>
        <v>1</v>
      </c>
      <c r="E1066" s="20" t="str">
        <f>IFERROR(__xludf.DUMMYFUNCTION("""COMPUTED_VALUE"""),"Easy")</f>
        <v>Easy</v>
      </c>
      <c r="F1066" s="20">
        <f>IFERROR(__xludf.DUMMYFUNCTION("""COMPUTED_VALUE"""),260.0)</f>
        <v>260</v>
      </c>
      <c r="G1066" s="20">
        <f>IFERROR(__xludf.DUMMYFUNCTION("""COMPUTED_VALUE"""),85.0)</f>
        <v>85</v>
      </c>
      <c r="H1066" s="20" t="str">
        <f>IFERROR(__xludf.DUMMYFUNCTION("""COMPUTED_VALUE"""),"Algorithms")</f>
        <v>Algorithms</v>
      </c>
      <c r="I1066" s="20">
        <f>IFERROR(__xludf.DUMMYFUNCTION("""COMPUTED_VALUE"""),0.633)</f>
        <v>0.633</v>
      </c>
      <c r="J1066" s="20">
        <f>IFERROR(__xludf.DUMMYFUNCTION("""COMPUTED_VALUE"""),1065.0)</f>
        <v>1065</v>
      </c>
      <c r="K1066" s="20" t="b">
        <f>IFERROR(__xludf.DUMMYFUNCTION("""COMPUTED_VALUE"""),TRUE)</f>
        <v>1</v>
      </c>
      <c r="L1066" s="20" t="str">
        <f>IFERROR(__xludf.DUMMYFUNCTION("""COMPUTED_VALUE"""),"Array;String;Trie;Sorting;")</f>
        <v>Array;String;Trie;Sorting;</v>
      </c>
      <c r="M1066" s="20" t="b">
        <f>IFERROR(__xludf.DUMMYFUNCTION("""COMPUTED_VALUE"""),FALSE)</f>
        <v>0</v>
      </c>
      <c r="N1066" s="20" t="b">
        <f>IFERROR(__xludf.DUMMYFUNCTION("""COMPUTED_VALUE"""),FALSE)</f>
        <v>0</v>
      </c>
      <c r="O1066" s="20">
        <f>IFERROR(__xludf.DUMMYFUNCTION("""COMPUTED_VALUE"""),63.2677003075557)</f>
        <v>63.26770031</v>
      </c>
      <c r="P1066" s="20">
        <f>IFERROR(__xludf.DUMMYFUNCTION("""COMPUTED_VALUE"""),19954.0)</f>
        <v>19954</v>
      </c>
      <c r="Q1066" s="20">
        <f>IFERROR(__xludf.DUMMYFUNCTION("""COMPUTED_VALUE"""),31539.0)</f>
        <v>31539</v>
      </c>
    </row>
    <row r="1067">
      <c r="A1067" s="20">
        <f>IFERROR(__xludf.DUMMYFUNCTION("""COMPUTED_VALUE"""),1067.0)</f>
        <v>1067</v>
      </c>
      <c r="B1067" s="20" t="str">
        <f>IFERROR(__xludf.DUMMYFUNCTION("""COMPUTED_VALUE"""),"Campus Bikes II")</f>
        <v>Campus Bikes II</v>
      </c>
      <c r="C1067" s="20" t="str">
        <f>IFERROR(__xludf.DUMMYFUNCTION("""COMPUTED_VALUE"""),"campus-bikes-ii")</f>
        <v>campus-bikes-ii</v>
      </c>
      <c r="D1067" s="20" t="b">
        <f>IFERROR(__xludf.DUMMYFUNCTION("""COMPUTED_VALUE"""),TRUE)</f>
        <v>1</v>
      </c>
      <c r="E1067" s="20" t="str">
        <f>IFERROR(__xludf.DUMMYFUNCTION("""COMPUTED_VALUE"""),"Medium")</f>
        <v>Medium</v>
      </c>
      <c r="F1067" s="20">
        <f>IFERROR(__xludf.DUMMYFUNCTION("""COMPUTED_VALUE"""),826.0)</f>
        <v>826</v>
      </c>
      <c r="G1067" s="20">
        <f>IFERROR(__xludf.DUMMYFUNCTION("""COMPUTED_VALUE"""),78.0)</f>
        <v>78</v>
      </c>
      <c r="H1067" s="20" t="str">
        <f>IFERROR(__xludf.DUMMYFUNCTION("""COMPUTED_VALUE"""),"Algorithms")</f>
        <v>Algorithms</v>
      </c>
      <c r="I1067" s="20">
        <f>IFERROR(__xludf.DUMMYFUNCTION("""COMPUTED_VALUE"""),0.548)</f>
        <v>0.548</v>
      </c>
      <c r="J1067" s="20">
        <f>IFERROR(__xludf.DUMMYFUNCTION("""COMPUTED_VALUE"""),1066.0)</f>
        <v>1066</v>
      </c>
      <c r="K1067" s="20" t="b">
        <f>IFERROR(__xludf.DUMMYFUNCTION("""COMPUTED_VALUE"""),TRUE)</f>
        <v>1</v>
      </c>
      <c r="L1067" s="20" t="str">
        <f>IFERROR(__xludf.DUMMYFUNCTION("""COMPUTED_VALUE"""),"Array;Dynamic Programming;Backtracking;Bit Manipulation;Bitmask;")</f>
        <v>Array;Dynamic Programming;Backtracking;Bit Manipulation;Bitmask;</v>
      </c>
      <c r="M1067" s="20" t="b">
        <f>IFERROR(__xludf.DUMMYFUNCTION("""COMPUTED_VALUE"""),TRUE)</f>
        <v>1</v>
      </c>
      <c r="N1067" s="20" t="b">
        <f>IFERROR(__xludf.DUMMYFUNCTION("""COMPUTED_VALUE"""),FALSE)</f>
        <v>0</v>
      </c>
      <c r="O1067" s="20">
        <f>IFERROR(__xludf.DUMMYFUNCTION("""COMPUTED_VALUE"""),54.8398057030679)</f>
        <v>54.8398057</v>
      </c>
      <c r="P1067" s="20">
        <f>IFERROR(__xludf.DUMMYFUNCTION("""COMPUTED_VALUE"""),43579.0)</f>
        <v>43579</v>
      </c>
      <c r="Q1067" s="20">
        <f>IFERROR(__xludf.DUMMYFUNCTION("""COMPUTED_VALUE"""),79466.0)</f>
        <v>79466</v>
      </c>
    </row>
    <row r="1068">
      <c r="A1068" s="20">
        <f>IFERROR(__xludf.DUMMYFUNCTION("""COMPUTED_VALUE"""),1068.0)</f>
        <v>1068</v>
      </c>
      <c r="B1068" s="20" t="str">
        <f>IFERROR(__xludf.DUMMYFUNCTION("""COMPUTED_VALUE"""),"Digit Count in Range")</f>
        <v>Digit Count in Range</v>
      </c>
      <c r="C1068" s="20" t="str">
        <f>IFERROR(__xludf.DUMMYFUNCTION("""COMPUTED_VALUE"""),"digit-count-in-range")</f>
        <v>digit-count-in-range</v>
      </c>
      <c r="D1068" s="20" t="b">
        <f>IFERROR(__xludf.DUMMYFUNCTION("""COMPUTED_VALUE"""),TRUE)</f>
        <v>1</v>
      </c>
      <c r="E1068" s="20" t="str">
        <f>IFERROR(__xludf.DUMMYFUNCTION("""COMPUTED_VALUE"""),"Hard")</f>
        <v>Hard</v>
      </c>
      <c r="F1068" s="20">
        <f>IFERROR(__xludf.DUMMYFUNCTION("""COMPUTED_VALUE"""),76.0)</f>
        <v>76</v>
      </c>
      <c r="G1068" s="20">
        <f>IFERROR(__xludf.DUMMYFUNCTION("""COMPUTED_VALUE"""),21.0)</f>
        <v>21</v>
      </c>
      <c r="H1068" s="20" t="str">
        <f>IFERROR(__xludf.DUMMYFUNCTION("""COMPUTED_VALUE"""),"Algorithms")</f>
        <v>Algorithms</v>
      </c>
      <c r="I1068" s="20">
        <f>IFERROR(__xludf.DUMMYFUNCTION("""COMPUTED_VALUE"""),0.449)</f>
        <v>0.449</v>
      </c>
      <c r="J1068" s="20">
        <f>IFERROR(__xludf.DUMMYFUNCTION("""COMPUTED_VALUE"""),1067.0)</f>
        <v>1067</v>
      </c>
      <c r="K1068" s="20" t="b">
        <f>IFERROR(__xludf.DUMMYFUNCTION("""COMPUTED_VALUE"""),TRUE)</f>
        <v>1</v>
      </c>
      <c r="L1068" s="20" t="str">
        <f>IFERROR(__xludf.DUMMYFUNCTION("""COMPUTED_VALUE"""),"Math;Dynamic Programming;")</f>
        <v>Math;Dynamic Programming;</v>
      </c>
      <c r="M1068" s="20" t="b">
        <f>IFERROR(__xludf.DUMMYFUNCTION("""COMPUTED_VALUE"""),FALSE)</f>
        <v>0</v>
      </c>
      <c r="N1068" s="20" t="b">
        <f>IFERROR(__xludf.DUMMYFUNCTION("""COMPUTED_VALUE"""),FALSE)</f>
        <v>0</v>
      </c>
      <c r="O1068" s="20">
        <f>IFERROR(__xludf.DUMMYFUNCTION("""COMPUTED_VALUE"""),44.9191206968063)</f>
        <v>44.9191207</v>
      </c>
      <c r="P1068" s="20">
        <f>IFERROR(__xludf.DUMMYFUNCTION("""COMPUTED_VALUE"""),3249.0)</f>
        <v>3249</v>
      </c>
      <c r="Q1068" s="20">
        <f>IFERROR(__xludf.DUMMYFUNCTION("""COMPUTED_VALUE"""),7233.0)</f>
        <v>7233</v>
      </c>
    </row>
    <row r="1069">
      <c r="A1069" s="20">
        <f>IFERROR(__xludf.DUMMYFUNCTION("""COMPUTED_VALUE"""),1153.0)</f>
        <v>1153</v>
      </c>
      <c r="B1069" s="20" t="str">
        <f>IFERROR(__xludf.DUMMYFUNCTION("""COMPUTED_VALUE"""),"Product Sales Analysis I")</f>
        <v>Product Sales Analysis I</v>
      </c>
      <c r="C1069" s="20" t="str">
        <f>IFERROR(__xludf.DUMMYFUNCTION("""COMPUTED_VALUE"""),"product-sales-analysis-i")</f>
        <v>product-sales-analysis-i</v>
      </c>
      <c r="D1069" s="20" t="b">
        <f>IFERROR(__xludf.DUMMYFUNCTION("""COMPUTED_VALUE"""),TRUE)</f>
        <v>1</v>
      </c>
      <c r="E1069" s="20" t="str">
        <f>IFERROR(__xludf.DUMMYFUNCTION("""COMPUTED_VALUE"""),"Easy")</f>
        <v>Easy</v>
      </c>
      <c r="F1069" s="20">
        <f>IFERROR(__xludf.DUMMYFUNCTION("""COMPUTED_VALUE"""),104.0)</f>
        <v>104</v>
      </c>
      <c r="G1069" s="20">
        <f>IFERROR(__xludf.DUMMYFUNCTION("""COMPUTED_VALUE"""),125.0)</f>
        <v>125</v>
      </c>
      <c r="H1069" s="20" t="str">
        <f>IFERROR(__xludf.DUMMYFUNCTION("""COMPUTED_VALUE"""),"Database")</f>
        <v>Database</v>
      </c>
      <c r="I1069" s="20">
        <f>IFERROR(__xludf.DUMMYFUNCTION("""COMPUTED_VALUE"""),0.802)</f>
        <v>0.802</v>
      </c>
      <c r="J1069" s="20">
        <f>IFERROR(__xludf.DUMMYFUNCTION("""COMPUTED_VALUE"""),1068.0)</f>
        <v>1068</v>
      </c>
      <c r="K1069" s="20" t="b">
        <f>IFERROR(__xludf.DUMMYFUNCTION("""COMPUTED_VALUE"""),TRUE)</f>
        <v>1</v>
      </c>
      <c r="L1069" s="20" t="str">
        <f>IFERROR(__xludf.DUMMYFUNCTION("""COMPUTED_VALUE"""),"Database;")</f>
        <v>Database;</v>
      </c>
      <c r="M1069" s="20" t="b">
        <f>IFERROR(__xludf.DUMMYFUNCTION("""COMPUTED_VALUE"""),FALSE)</f>
        <v>0</v>
      </c>
      <c r="N1069" s="20" t="b">
        <f>IFERROR(__xludf.DUMMYFUNCTION("""COMPUTED_VALUE"""),FALSE)</f>
        <v>0</v>
      </c>
      <c r="O1069" s="20">
        <f>IFERROR(__xludf.DUMMYFUNCTION("""COMPUTED_VALUE"""),80.2068594713905)</f>
        <v>80.20685947</v>
      </c>
      <c r="P1069" s="20">
        <f>IFERROR(__xludf.DUMMYFUNCTION("""COMPUTED_VALUE"""),56687.0)</f>
        <v>56687</v>
      </c>
      <c r="Q1069" s="20">
        <f>IFERROR(__xludf.DUMMYFUNCTION("""COMPUTED_VALUE"""),70676.0)</f>
        <v>70676</v>
      </c>
    </row>
    <row r="1070">
      <c r="A1070" s="20">
        <f>IFERROR(__xludf.DUMMYFUNCTION("""COMPUTED_VALUE"""),1154.0)</f>
        <v>1154</v>
      </c>
      <c r="B1070" s="20" t="str">
        <f>IFERROR(__xludf.DUMMYFUNCTION("""COMPUTED_VALUE"""),"Product Sales Analysis II")</f>
        <v>Product Sales Analysis II</v>
      </c>
      <c r="C1070" s="20" t="str">
        <f>IFERROR(__xludf.DUMMYFUNCTION("""COMPUTED_VALUE"""),"product-sales-analysis-ii")</f>
        <v>product-sales-analysis-ii</v>
      </c>
      <c r="D1070" s="20" t="b">
        <f>IFERROR(__xludf.DUMMYFUNCTION("""COMPUTED_VALUE"""),TRUE)</f>
        <v>1</v>
      </c>
      <c r="E1070" s="20" t="str">
        <f>IFERROR(__xludf.DUMMYFUNCTION("""COMPUTED_VALUE"""),"Easy")</f>
        <v>Easy</v>
      </c>
      <c r="F1070" s="20">
        <f>IFERROR(__xludf.DUMMYFUNCTION("""COMPUTED_VALUE"""),68.0)</f>
        <v>68</v>
      </c>
      <c r="G1070" s="20">
        <f>IFERROR(__xludf.DUMMYFUNCTION("""COMPUTED_VALUE"""),166.0)</f>
        <v>166</v>
      </c>
      <c r="H1070" s="20" t="str">
        <f>IFERROR(__xludf.DUMMYFUNCTION("""COMPUTED_VALUE"""),"Database")</f>
        <v>Database</v>
      </c>
      <c r="I1070" s="20">
        <f>IFERROR(__xludf.DUMMYFUNCTION("""COMPUTED_VALUE"""),0.819)</f>
        <v>0.819</v>
      </c>
      <c r="J1070" s="20">
        <f>IFERROR(__xludf.DUMMYFUNCTION("""COMPUTED_VALUE"""),1069.0)</f>
        <v>1069</v>
      </c>
      <c r="K1070" s="20" t="b">
        <f>IFERROR(__xludf.DUMMYFUNCTION("""COMPUTED_VALUE"""),TRUE)</f>
        <v>1</v>
      </c>
      <c r="L1070" s="20" t="str">
        <f>IFERROR(__xludf.DUMMYFUNCTION("""COMPUTED_VALUE"""),"Database;")</f>
        <v>Database;</v>
      </c>
      <c r="M1070" s="20" t="b">
        <f>IFERROR(__xludf.DUMMYFUNCTION("""COMPUTED_VALUE"""),FALSE)</f>
        <v>0</v>
      </c>
      <c r="N1070" s="20" t="b">
        <f>IFERROR(__xludf.DUMMYFUNCTION("""COMPUTED_VALUE"""),FALSE)</f>
        <v>0</v>
      </c>
      <c r="O1070" s="20">
        <f>IFERROR(__xludf.DUMMYFUNCTION("""COMPUTED_VALUE"""),81.8827388569471)</f>
        <v>81.88273886</v>
      </c>
      <c r="P1070" s="20">
        <f>IFERROR(__xludf.DUMMYFUNCTION("""COMPUTED_VALUE"""),45431.0)</f>
        <v>45431</v>
      </c>
      <c r="Q1070" s="20">
        <f>IFERROR(__xludf.DUMMYFUNCTION("""COMPUTED_VALUE"""),55483.0)</f>
        <v>55483</v>
      </c>
    </row>
    <row r="1071">
      <c r="A1071" s="20">
        <f>IFERROR(__xludf.DUMMYFUNCTION("""COMPUTED_VALUE"""),1155.0)</f>
        <v>1155</v>
      </c>
      <c r="B1071" s="20" t="str">
        <f>IFERROR(__xludf.DUMMYFUNCTION("""COMPUTED_VALUE"""),"Product Sales Analysis III")</f>
        <v>Product Sales Analysis III</v>
      </c>
      <c r="C1071" s="20" t="str">
        <f>IFERROR(__xludf.DUMMYFUNCTION("""COMPUTED_VALUE"""),"product-sales-analysis-iii")</f>
        <v>product-sales-analysis-iii</v>
      </c>
      <c r="D1071" s="20" t="b">
        <f>IFERROR(__xludf.DUMMYFUNCTION("""COMPUTED_VALUE"""),TRUE)</f>
        <v>1</v>
      </c>
      <c r="E1071" s="20" t="str">
        <f>IFERROR(__xludf.DUMMYFUNCTION("""COMPUTED_VALUE"""),"Medium")</f>
        <v>Medium</v>
      </c>
      <c r="F1071" s="20">
        <f>IFERROR(__xludf.DUMMYFUNCTION("""COMPUTED_VALUE"""),84.0)</f>
        <v>84</v>
      </c>
      <c r="G1071" s="20">
        <f>IFERROR(__xludf.DUMMYFUNCTION("""COMPUTED_VALUE"""),328.0)</f>
        <v>328</v>
      </c>
      <c r="H1071" s="20" t="str">
        <f>IFERROR(__xludf.DUMMYFUNCTION("""COMPUTED_VALUE"""),"Database")</f>
        <v>Database</v>
      </c>
      <c r="I1071" s="20">
        <f>IFERROR(__xludf.DUMMYFUNCTION("""COMPUTED_VALUE"""),0.49)</f>
        <v>0.49</v>
      </c>
      <c r="J1071" s="20">
        <f>IFERROR(__xludf.DUMMYFUNCTION("""COMPUTED_VALUE"""),1070.0)</f>
        <v>1070</v>
      </c>
      <c r="K1071" s="20" t="b">
        <f>IFERROR(__xludf.DUMMYFUNCTION("""COMPUTED_VALUE"""),TRUE)</f>
        <v>1</v>
      </c>
      <c r="L1071" s="20" t="str">
        <f>IFERROR(__xludf.DUMMYFUNCTION("""COMPUTED_VALUE"""),"Database;")</f>
        <v>Database;</v>
      </c>
      <c r="M1071" s="20" t="b">
        <f>IFERROR(__xludf.DUMMYFUNCTION("""COMPUTED_VALUE"""),FALSE)</f>
        <v>0</v>
      </c>
      <c r="N1071" s="20" t="b">
        <f>IFERROR(__xludf.DUMMYFUNCTION("""COMPUTED_VALUE"""),FALSE)</f>
        <v>0</v>
      </c>
      <c r="O1071" s="20">
        <f>IFERROR(__xludf.DUMMYFUNCTION("""COMPUTED_VALUE"""),49.0016763659656)</f>
        <v>49.00167637</v>
      </c>
      <c r="P1071" s="20">
        <f>IFERROR(__xludf.DUMMYFUNCTION("""COMPUTED_VALUE"""),35954.0)</f>
        <v>35954</v>
      </c>
      <c r="Q1071" s="20">
        <f>IFERROR(__xludf.DUMMYFUNCTION("""COMPUTED_VALUE"""),73373.0)</f>
        <v>73373</v>
      </c>
    </row>
    <row r="1072">
      <c r="A1072" s="20">
        <f>IFERROR(__xludf.DUMMYFUNCTION("""COMPUTED_VALUE"""),1146.0)</f>
        <v>1146</v>
      </c>
      <c r="B1072" s="20" t="str">
        <f>IFERROR(__xludf.DUMMYFUNCTION("""COMPUTED_VALUE"""),"Greatest Common Divisor of Strings")</f>
        <v>Greatest Common Divisor of Strings</v>
      </c>
      <c r="C1072" s="20" t="str">
        <f>IFERROR(__xludf.DUMMYFUNCTION("""COMPUTED_VALUE"""),"greatest-common-divisor-of-strings")</f>
        <v>greatest-common-divisor-of-strings</v>
      </c>
      <c r="D1072" s="20" t="b">
        <f>IFERROR(__xludf.DUMMYFUNCTION("""COMPUTED_VALUE"""),FALSE)</f>
        <v>0</v>
      </c>
      <c r="E1072" s="20" t="str">
        <f>IFERROR(__xludf.DUMMYFUNCTION("""COMPUTED_VALUE"""),"Easy")</f>
        <v>Easy</v>
      </c>
      <c r="F1072" s="20">
        <f>IFERROR(__xludf.DUMMYFUNCTION("""COMPUTED_VALUE"""),1536.0)</f>
        <v>1536</v>
      </c>
      <c r="G1072" s="20">
        <f>IFERROR(__xludf.DUMMYFUNCTION("""COMPUTED_VALUE"""),305.0)</f>
        <v>305</v>
      </c>
      <c r="H1072" s="20" t="str">
        <f>IFERROR(__xludf.DUMMYFUNCTION("""COMPUTED_VALUE"""),"Algorithms")</f>
        <v>Algorithms</v>
      </c>
      <c r="I1072" s="20">
        <f>IFERROR(__xludf.DUMMYFUNCTION("""COMPUTED_VALUE"""),0.51)</f>
        <v>0.51</v>
      </c>
      <c r="J1072" s="20">
        <f>IFERROR(__xludf.DUMMYFUNCTION("""COMPUTED_VALUE"""),1071.0)</f>
        <v>1071</v>
      </c>
      <c r="K1072" s="20" t="b">
        <f>IFERROR(__xludf.DUMMYFUNCTION("""COMPUTED_VALUE"""),FALSE)</f>
        <v>0</v>
      </c>
      <c r="L1072" s="20" t="str">
        <f>IFERROR(__xludf.DUMMYFUNCTION("""COMPUTED_VALUE"""),"Math;String;")</f>
        <v>Math;String;</v>
      </c>
      <c r="M1072" s="20" t="b">
        <f>IFERROR(__xludf.DUMMYFUNCTION("""COMPUTED_VALUE"""),FALSE)</f>
        <v>0</v>
      </c>
      <c r="N1072" s="20" t="b">
        <f>IFERROR(__xludf.DUMMYFUNCTION("""COMPUTED_VALUE"""),FALSE)</f>
        <v>0</v>
      </c>
      <c r="O1072" s="20">
        <f>IFERROR(__xludf.DUMMYFUNCTION("""COMPUTED_VALUE"""),51.0329288809887)</f>
        <v>51.03292888</v>
      </c>
      <c r="P1072" s="20">
        <f>IFERROR(__xludf.DUMMYFUNCTION("""COMPUTED_VALUE"""),85843.0)</f>
        <v>85843</v>
      </c>
      <c r="Q1072" s="20">
        <f>IFERROR(__xludf.DUMMYFUNCTION("""COMPUTED_VALUE"""),168211.0)</f>
        <v>168211</v>
      </c>
    </row>
    <row r="1073">
      <c r="A1073" s="20">
        <f>IFERROR(__xludf.DUMMYFUNCTION("""COMPUTED_VALUE"""),1147.0)</f>
        <v>1147</v>
      </c>
      <c r="B1073" s="20" t="str">
        <f>IFERROR(__xludf.DUMMYFUNCTION("""COMPUTED_VALUE"""),"Flip Columns For Maximum Number of Equal Rows")</f>
        <v>Flip Columns For Maximum Number of Equal Rows</v>
      </c>
      <c r="C1073" s="20" t="str">
        <f>IFERROR(__xludf.DUMMYFUNCTION("""COMPUTED_VALUE"""),"flip-columns-for-maximum-number-of-equal-rows")</f>
        <v>flip-columns-for-maximum-number-of-equal-rows</v>
      </c>
      <c r="D1073" s="20" t="b">
        <f>IFERROR(__xludf.DUMMYFUNCTION("""COMPUTED_VALUE"""),FALSE)</f>
        <v>0</v>
      </c>
      <c r="E1073" s="20" t="str">
        <f>IFERROR(__xludf.DUMMYFUNCTION("""COMPUTED_VALUE"""),"Medium")</f>
        <v>Medium</v>
      </c>
      <c r="F1073" s="20">
        <f>IFERROR(__xludf.DUMMYFUNCTION("""COMPUTED_VALUE"""),623.0)</f>
        <v>623</v>
      </c>
      <c r="G1073" s="20">
        <f>IFERROR(__xludf.DUMMYFUNCTION("""COMPUTED_VALUE"""),46.0)</f>
        <v>46</v>
      </c>
      <c r="H1073" s="20" t="str">
        <f>IFERROR(__xludf.DUMMYFUNCTION("""COMPUTED_VALUE"""),"Algorithms")</f>
        <v>Algorithms</v>
      </c>
      <c r="I1073" s="20">
        <f>IFERROR(__xludf.DUMMYFUNCTION("""COMPUTED_VALUE"""),0.631)</f>
        <v>0.631</v>
      </c>
      <c r="J1073" s="20">
        <f>IFERROR(__xludf.DUMMYFUNCTION("""COMPUTED_VALUE"""),1072.0)</f>
        <v>1072</v>
      </c>
      <c r="K1073" s="20" t="b">
        <f>IFERROR(__xludf.DUMMYFUNCTION("""COMPUTED_VALUE"""),FALSE)</f>
        <v>0</v>
      </c>
      <c r="L1073" s="20" t="str">
        <f>IFERROR(__xludf.DUMMYFUNCTION("""COMPUTED_VALUE"""),"Array;Hash Table;Matrix;")</f>
        <v>Array;Hash Table;Matrix;</v>
      </c>
      <c r="M1073" s="20" t="b">
        <f>IFERROR(__xludf.DUMMYFUNCTION("""COMPUTED_VALUE"""),FALSE)</f>
        <v>0</v>
      </c>
      <c r="N1073" s="20" t="b">
        <f>IFERROR(__xludf.DUMMYFUNCTION("""COMPUTED_VALUE"""),FALSE)</f>
        <v>0</v>
      </c>
      <c r="O1073" s="20">
        <f>IFERROR(__xludf.DUMMYFUNCTION("""COMPUTED_VALUE"""),63.0615472625096)</f>
        <v>63.06154726</v>
      </c>
      <c r="P1073" s="20">
        <f>IFERROR(__xludf.DUMMYFUNCTION("""COMPUTED_VALUE"""),18740.0)</f>
        <v>18740</v>
      </c>
      <c r="Q1073" s="20">
        <f>IFERROR(__xludf.DUMMYFUNCTION("""COMPUTED_VALUE"""),29717.0)</f>
        <v>29717</v>
      </c>
    </row>
    <row r="1074">
      <c r="A1074" s="20">
        <f>IFERROR(__xludf.DUMMYFUNCTION("""COMPUTED_VALUE"""),1148.0)</f>
        <v>1148</v>
      </c>
      <c r="B1074" s="20" t="str">
        <f>IFERROR(__xludf.DUMMYFUNCTION("""COMPUTED_VALUE"""),"Adding Two Negabinary Numbers")</f>
        <v>Adding Two Negabinary Numbers</v>
      </c>
      <c r="C1074" s="20" t="str">
        <f>IFERROR(__xludf.DUMMYFUNCTION("""COMPUTED_VALUE"""),"adding-two-negabinary-numbers")</f>
        <v>adding-two-negabinary-numbers</v>
      </c>
      <c r="D1074" s="20" t="b">
        <f>IFERROR(__xludf.DUMMYFUNCTION("""COMPUTED_VALUE"""),FALSE)</f>
        <v>0</v>
      </c>
      <c r="E1074" s="20" t="str">
        <f>IFERROR(__xludf.DUMMYFUNCTION("""COMPUTED_VALUE"""),"Medium")</f>
        <v>Medium</v>
      </c>
      <c r="F1074" s="20">
        <f>IFERROR(__xludf.DUMMYFUNCTION("""COMPUTED_VALUE"""),264.0)</f>
        <v>264</v>
      </c>
      <c r="G1074" s="20">
        <f>IFERROR(__xludf.DUMMYFUNCTION("""COMPUTED_VALUE"""),100.0)</f>
        <v>100</v>
      </c>
      <c r="H1074" s="20" t="str">
        <f>IFERROR(__xludf.DUMMYFUNCTION("""COMPUTED_VALUE"""),"Algorithms")</f>
        <v>Algorithms</v>
      </c>
      <c r="I1074" s="20">
        <f>IFERROR(__xludf.DUMMYFUNCTION("""COMPUTED_VALUE"""),0.364)</f>
        <v>0.364</v>
      </c>
      <c r="J1074" s="20">
        <f>IFERROR(__xludf.DUMMYFUNCTION("""COMPUTED_VALUE"""),1073.0)</f>
        <v>1073</v>
      </c>
      <c r="K1074" s="20" t="b">
        <f>IFERROR(__xludf.DUMMYFUNCTION("""COMPUTED_VALUE"""),FALSE)</f>
        <v>0</v>
      </c>
      <c r="L1074" s="20" t="str">
        <f>IFERROR(__xludf.DUMMYFUNCTION("""COMPUTED_VALUE"""),"Array;Math;")</f>
        <v>Array;Math;</v>
      </c>
      <c r="M1074" s="20" t="b">
        <f>IFERROR(__xludf.DUMMYFUNCTION("""COMPUTED_VALUE"""),FALSE)</f>
        <v>0</v>
      </c>
      <c r="N1074" s="20" t="b">
        <f>IFERROR(__xludf.DUMMYFUNCTION("""COMPUTED_VALUE"""),FALSE)</f>
        <v>0</v>
      </c>
      <c r="O1074" s="20">
        <f>IFERROR(__xludf.DUMMYFUNCTION("""COMPUTED_VALUE"""),36.3645505971087)</f>
        <v>36.3645506</v>
      </c>
      <c r="P1074" s="20">
        <f>IFERROR(__xludf.DUMMYFUNCTION("""COMPUTED_VALUE"""),14464.0)</f>
        <v>14464</v>
      </c>
      <c r="Q1074" s="20">
        <f>IFERROR(__xludf.DUMMYFUNCTION("""COMPUTED_VALUE"""),39775.0)</f>
        <v>39775</v>
      </c>
    </row>
    <row r="1075">
      <c r="A1075" s="20">
        <f>IFERROR(__xludf.DUMMYFUNCTION("""COMPUTED_VALUE"""),1145.0)</f>
        <v>1145</v>
      </c>
      <c r="B1075" s="20" t="str">
        <f>IFERROR(__xludf.DUMMYFUNCTION("""COMPUTED_VALUE"""),"Number of Submatrices That Sum to Target")</f>
        <v>Number of Submatrices That Sum to Target</v>
      </c>
      <c r="C1075" s="20" t="str">
        <f>IFERROR(__xludf.DUMMYFUNCTION("""COMPUTED_VALUE"""),"number-of-submatrices-that-sum-to-target")</f>
        <v>number-of-submatrices-that-sum-to-target</v>
      </c>
      <c r="D1075" s="20" t="b">
        <f>IFERROR(__xludf.DUMMYFUNCTION("""COMPUTED_VALUE"""),FALSE)</f>
        <v>0</v>
      </c>
      <c r="E1075" s="20" t="str">
        <f>IFERROR(__xludf.DUMMYFUNCTION("""COMPUTED_VALUE"""),"Hard")</f>
        <v>Hard</v>
      </c>
      <c r="F1075" s="20">
        <f>IFERROR(__xludf.DUMMYFUNCTION("""COMPUTED_VALUE"""),2821.0)</f>
        <v>2821</v>
      </c>
      <c r="G1075" s="20">
        <f>IFERROR(__xludf.DUMMYFUNCTION("""COMPUTED_VALUE"""),63.0)</f>
        <v>63</v>
      </c>
      <c r="H1075" s="20" t="str">
        <f>IFERROR(__xludf.DUMMYFUNCTION("""COMPUTED_VALUE"""),"Algorithms")</f>
        <v>Algorithms</v>
      </c>
      <c r="I1075" s="20">
        <f>IFERROR(__xludf.DUMMYFUNCTION("""COMPUTED_VALUE"""),0.698)</f>
        <v>0.698</v>
      </c>
      <c r="J1075" s="20">
        <f>IFERROR(__xludf.DUMMYFUNCTION("""COMPUTED_VALUE"""),1074.0)</f>
        <v>1074</v>
      </c>
      <c r="K1075" s="20" t="b">
        <f>IFERROR(__xludf.DUMMYFUNCTION("""COMPUTED_VALUE"""),FALSE)</f>
        <v>0</v>
      </c>
      <c r="L1075" s="20" t="str">
        <f>IFERROR(__xludf.DUMMYFUNCTION("""COMPUTED_VALUE"""),"Array;Hash Table;Matrix;Prefix Sum;")</f>
        <v>Array;Hash Table;Matrix;Prefix Sum;</v>
      </c>
      <c r="M1075" s="20" t="b">
        <f>IFERROR(__xludf.DUMMYFUNCTION("""COMPUTED_VALUE"""),TRUE)</f>
        <v>1</v>
      </c>
      <c r="N1075" s="20" t="b">
        <f>IFERROR(__xludf.DUMMYFUNCTION("""COMPUTED_VALUE"""),FALSE)</f>
        <v>0</v>
      </c>
      <c r="O1075" s="20">
        <f>IFERROR(__xludf.DUMMYFUNCTION("""COMPUTED_VALUE"""),69.8335126610869)</f>
        <v>69.83351266</v>
      </c>
      <c r="P1075" s="20">
        <f>IFERROR(__xludf.DUMMYFUNCTION("""COMPUTED_VALUE"""),85023.0)</f>
        <v>85023</v>
      </c>
      <c r="Q1075" s="20">
        <f>IFERROR(__xludf.DUMMYFUNCTION("""COMPUTED_VALUE"""),121751.0)</f>
        <v>121751</v>
      </c>
    </row>
    <row r="1076">
      <c r="A1076" s="20">
        <f>IFERROR(__xludf.DUMMYFUNCTION("""COMPUTED_VALUE"""),1161.0)</f>
        <v>1161</v>
      </c>
      <c r="B1076" s="20" t="str">
        <f>IFERROR(__xludf.DUMMYFUNCTION("""COMPUTED_VALUE"""),"Project Employees I")</f>
        <v>Project Employees I</v>
      </c>
      <c r="C1076" s="20" t="str">
        <f>IFERROR(__xludf.DUMMYFUNCTION("""COMPUTED_VALUE"""),"project-employees-i")</f>
        <v>project-employees-i</v>
      </c>
      <c r="D1076" s="20" t="b">
        <f>IFERROR(__xludf.DUMMYFUNCTION("""COMPUTED_VALUE"""),TRUE)</f>
        <v>1</v>
      </c>
      <c r="E1076" s="20" t="str">
        <f>IFERROR(__xludf.DUMMYFUNCTION("""COMPUTED_VALUE"""),"Easy")</f>
        <v>Easy</v>
      </c>
      <c r="F1076" s="20">
        <f>IFERROR(__xludf.DUMMYFUNCTION("""COMPUTED_VALUE"""),98.0)</f>
        <v>98</v>
      </c>
      <c r="G1076" s="20">
        <f>IFERROR(__xludf.DUMMYFUNCTION("""COMPUTED_VALUE"""),71.0)</f>
        <v>71</v>
      </c>
      <c r="H1076" s="20" t="str">
        <f>IFERROR(__xludf.DUMMYFUNCTION("""COMPUTED_VALUE"""),"Database")</f>
        <v>Database</v>
      </c>
      <c r="I1076" s="20">
        <f>IFERROR(__xludf.DUMMYFUNCTION("""COMPUTED_VALUE"""),0.67)</f>
        <v>0.67</v>
      </c>
      <c r="J1076" s="20">
        <f>IFERROR(__xludf.DUMMYFUNCTION("""COMPUTED_VALUE"""),1075.0)</f>
        <v>1075</v>
      </c>
      <c r="K1076" s="20" t="b">
        <f>IFERROR(__xludf.DUMMYFUNCTION("""COMPUTED_VALUE"""),TRUE)</f>
        <v>1</v>
      </c>
      <c r="L1076" s="20" t="str">
        <f>IFERROR(__xludf.DUMMYFUNCTION("""COMPUTED_VALUE"""),"Database;")</f>
        <v>Database;</v>
      </c>
      <c r="M1076" s="20" t="b">
        <f>IFERROR(__xludf.DUMMYFUNCTION("""COMPUTED_VALUE"""),FALSE)</f>
        <v>0</v>
      </c>
      <c r="N1076" s="20" t="b">
        <f>IFERROR(__xludf.DUMMYFUNCTION("""COMPUTED_VALUE"""),FALSE)</f>
        <v>0</v>
      </c>
      <c r="O1076" s="20">
        <f>IFERROR(__xludf.DUMMYFUNCTION("""COMPUTED_VALUE"""),67.0348522241618)</f>
        <v>67.03485222</v>
      </c>
      <c r="P1076" s="20">
        <f>IFERROR(__xludf.DUMMYFUNCTION("""COMPUTED_VALUE"""),44546.0)</f>
        <v>44546</v>
      </c>
      <c r="Q1076" s="20">
        <f>IFERROR(__xludf.DUMMYFUNCTION("""COMPUTED_VALUE"""),66452.0)</f>
        <v>66452</v>
      </c>
    </row>
    <row r="1077">
      <c r="A1077" s="20">
        <f>IFERROR(__xludf.DUMMYFUNCTION("""COMPUTED_VALUE"""),1162.0)</f>
        <v>1162</v>
      </c>
      <c r="B1077" s="20" t="str">
        <f>IFERROR(__xludf.DUMMYFUNCTION("""COMPUTED_VALUE"""),"Project Employees II")</f>
        <v>Project Employees II</v>
      </c>
      <c r="C1077" s="20" t="str">
        <f>IFERROR(__xludf.DUMMYFUNCTION("""COMPUTED_VALUE"""),"project-employees-ii")</f>
        <v>project-employees-ii</v>
      </c>
      <c r="D1077" s="20" t="b">
        <f>IFERROR(__xludf.DUMMYFUNCTION("""COMPUTED_VALUE"""),TRUE)</f>
        <v>1</v>
      </c>
      <c r="E1077" s="20" t="str">
        <f>IFERROR(__xludf.DUMMYFUNCTION("""COMPUTED_VALUE"""),"Easy")</f>
        <v>Easy</v>
      </c>
      <c r="F1077" s="20">
        <f>IFERROR(__xludf.DUMMYFUNCTION("""COMPUTED_VALUE"""),177.0)</f>
        <v>177</v>
      </c>
      <c r="G1077" s="20">
        <f>IFERROR(__xludf.DUMMYFUNCTION("""COMPUTED_VALUE"""),54.0)</f>
        <v>54</v>
      </c>
      <c r="H1077" s="20" t="str">
        <f>IFERROR(__xludf.DUMMYFUNCTION("""COMPUTED_VALUE"""),"Database")</f>
        <v>Database</v>
      </c>
      <c r="I1077" s="20">
        <f>IFERROR(__xludf.DUMMYFUNCTION("""COMPUTED_VALUE"""),0.508)</f>
        <v>0.508</v>
      </c>
      <c r="J1077" s="20">
        <f>IFERROR(__xludf.DUMMYFUNCTION("""COMPUTED_VALUE"""),1076.0)</f>
        <v>1076</v>
      </c>
      <c r="K1077" s="20" t="b">
        <f>IFERROR(__xludf.DUMMYFUNCTION("""COMPUTED_VALUE"""),TRUE)</f>
        <v>1</v>
      </c>
      <c r="L1077" s="20" t="str">
        <f>IFERROR(__xludf.DUMMYFUNCTION("""COMPUTED_VALUE"""),"Database;")</f>
        <v>Database;</v>
      </c>
      <c r="M1077" s="20" t="b">
        <f>IFERROR(__xludf.DUMMYFUNCTION("""COMPUTED_VALUE"""),FALSE)</f>
        <v>0</v>
      </c>
      <c r="N1077" s="20" t="b">
        <f>IFERROR(__xludf.DUMMYFUNCTION("""COMPUTED_VALUE"""),FALSE)</f>
        <v>0</v>
      </c>
      <c r="O1077" s="20">
        <f>IFERROR(__xludf.DUMMYFUNCTION("""COMPUTED_VALUE"""),50.8472401885844)</f>
        <v>50.84724019</v>
      </c>
      <c r="P1077" s="20">
        <f>IFERROR(__xludf.DUMMYFUNCTION("""COMPUTED_VALUE"""),47562.0)</f>
        <v>47562</v>
      </c>
      <c r="Q1077" s="20">
        <f>IFERROR(__xludf.DUMMYFUNCTION("""COMPUTED_VALUE"""),93539.0)</f>
        <v>93539</v>
      </c>
    </row>
    <row r="1078">
      <c r="A1078" s="20">
        <f>IFERROR(__xludf.DUMMYFUNCTION("""COMPUTED_VALUE"""),1163.0)</f>
        <v>1163</v>
      </c>
      <c r="B1078" s="20" t="str">
        <f>IFERROR(__xludf.DUMMYFUNCTION("""COMPUTED_VALUE"""),"Project Employees III")</f>
        <v>Project Employees III</v>
      </c>
      <c r="C1078" s="20" t="str">
        <f>IFERROR(__xludf.DUMMYFUNCTION("""COMPUTED_VALUE"""),"project-employees-iii")</f>
        <v>project-employees-iii</v>
      </c>
      <c r="D1078" s="20" t="b">
        <f>IFERROR(__xludf.DUMMYFUNCTION("""COMPUTED_VALUE"""),TRUE)</f>
        <v>1</v>
      </c>
      <c r="E1078" s="20" t="str">
        <f>IFERROR(__xludf.DUMMYFUNCTION("""COMPUTED_VALUE"""),"Medium")</f>
        <v>Medium</v>
      </c>
      <c r="F1078" s="20">
        <f>IFERROR(__xludf.DUMMYFUNCTION("""COMPUTED_VALUE"""),219.0)</f>
        <v>219</v>
      </c>
      <c r="G1078" s="20">
        <f>IFERROR(__xludf.DUMMYFUNCTION("""COMPUTED_VALUE"""),8.0)</f>
        <v>8</v>
      </c>
      <c r="H1078" s="20" t="str">
        <f>IFERROR(__xludf.DUMMYFUNCTION("""COMPUTED_VALUE"""),"Database")</f>
        <v>Database</v>
      </c>
      <c r="I1078" s="20">
        <f>IFERROR(__xludf.DUMMYFUNCTION("""COMPUTED_VALUE"""),0.785)</f>
        <v>0.785</v>
      </c>
      <c r="J1078" s="20">
        <f>IFERROR(__xludf.DUMMYFUNCTION("""COMPUTED_VALUE"""),1077.0)</f>
        <v>1077</v>
      </c>
      <c r="K1078" s="20" t="b">
        <f>IFERROR(__xludf.DUMMYFUNCTION("""COMPUTED_VALUE"""),TRUE)</f>
        <v>1</v>
      </c>
      <c r="L1078" s="20" t="str">
        <f>IFERROR(__xludf.DUMMYFUNCTION("""COMPUTED_VALUE"""),"Database;")</f>
        <v>Database;</v>
      </c>
      <c r="M1078" s="20" t="b">
        <f>IFERROR(__xludf.DUMMYFUNCTION("""COMPUTED_VALUE"""),FALSE)</f>
        <v>0</v>
      </c>
      <c r="N1078" s="20" t="b">
        <f>IFERROR(__xludf.DUMMYFUNCTION("""COMPUTED_VALUE"""),FALSE)</f>
        <v>0</v>
      </c>
      <c r="O1078" s="20">
        <f>IFERROR(__xludf.DUMMYFUNCTION("""COMPUTED_VALUE"""),78.5021051880396)</f>
        <v>78.50210519</v>
      </c>
      <c r="P1078" s="20">
        <f>IFERROR(__xludf.DUMMYFUNCTION("""COMPUTED_VALUE"""),44002.0)</f>
        <v>44002</v>
      </c>
      <c r="Q1078" s="20">
        <f>IFERROR(__xludf.DUMMYFUNCTION("""COMPUTED_VALUE"""),56052.0)</f>
        <v>56052</v>
      </c>
    </row>
    <row r="1079">
      <c r="A1079" s="20">
        <f>IFERROR(__xludf.DUMMYFUNCTION("""COMPUTED_VALUE"""),1156.0)</f>
        <v>1156</v>
      </c>
      <c r="B1079" s="20" t="str">
        <f>IFERROR(__xludf.DUMMYFUNCTION("""COMPUTED_VALUE"""),"Occurrences After Bigram")</f>
        <v>Occurrences After Bigram</v>
      </c>
      <c r="C1079" s="20" t="str">
        <f>IFERROR(__xludf.DUMMYFUNCTION("""COMPUTED_VALUE"""),"occurrences-after-bigram")</f>
        <v>occurrences-after-bigram</v>
      </c>
      <c r="D1079" s="20" t="b">
        <f>IFERROR(__xludf.DUMMYFUNCTION("""COMPUTED_VALUE"""),FALSE)</f>
        <v>0</v>
      </c>
      <c r="E1079" s="20" t="str">
        <f>IFERROR(__xludf.DUMMYFUNCTION("""COMPUTED_VALUE"""),"Easy")</f>
        <v>Easy</v>
      </c>
      <c r="F1079" s="20">
        <f>IFERROR(__xludf.DUMMYFUNCTION("""COMPUTED_VALUE"""),390.0)</f>
        <v>390</v>
      </c>
      <c r="G1079" s="20">
        <f>IFERROR(__xludf.DUMMYFUNCTION("""COMPUTED_VALUE"""),314.0)</f>
        <v>314</v>
      </c>
      <c r="H1079" s="20" t="str">
        <f>IFERROR(__xludf.DUMMYFUNCTION("""COMPUTED_VALUE"""),"Algorithms")</f>
        <v>Algorithms</v>
      </c>
      <c r="I1079" s="20">
        <f>IFERROR(__xludf.DUMMYFUNCTION("""COMPUTED_VALUE"""),0.637)</f>
        <v>0.637</v>
      </c>
      <c r="J1079" s="20">
        <f>IFERROR(__xludf.DUMMYFUNCTION("""COMPUTED_VALUE"""),1078.0)</f>
        <v>1078</v>
      </c>
      <c r="K1079" s="20" t="b">
        <f>IFERROR(__xludf.DUMMYFUNCTION("""COMPUTED_VALUE"""),FALSE)</f>
        <v>0</v>
      </c>
      <c r="L1079" s="20" t="str">
        <f>IFERROR(__xludf.DUMMYFUNCTION("""COMPUTED_VALUE"""),"String;")</f>
        <v>String;</v>
      </c>
      <c r="M1079" s="20" t="b">
        <f>IFERROR(__xludf.DUMMYFUNCTION("""COMPUTED_VALUE"""),FALSE)</f>
        <v>0</v>
      </c>
      <c r="N1079" s="20" t="b">
        <f>IFERROR(__xludf.DUMMYFUNCTION("""COMPUTED_VALUE"""),FALSE)</f>
        <v>0</v>
      </c>
      <c r="O1079" s="20">
        <f>IFERROR(__xludf.DUMMYFUNCTION("""COMPUTED_VALUE"""),63.7296974306045)</f>
        <v>63.72969743</v>
      </c>
      <c r="P1079" s="20">
        <f>IFERROR(__xludf.DUMMYFUNCTION("""COMPUTED_VALUE"""),58660.0)</f>
        <v>58660</v>
      </c>
      <c r="Q1079" s="20">
        <f>IFERROR(__xludf.DUMMYFUNCTION("""COMPUTED_VALUE"""),92045.0)</f>
        <v>92045</v>
      </c>
    </row>
    <row r="1080">
      <c r="A1080" s="20">
        <f>IFERROR(__xludf.DUMMYFUNCTION("""COMPUTED_VALUE"""),1160.0)</f>
        <v>1160</v>
      </c>
      <c r="B1080" s="20" t="str">
        <f>IFERROR(__xludf.DUMMYFUNCTION("""COMPUTED_VALUE"""),"Letter Tile Possibilities")</f>
        <v>Letter Tile Possibilities</v>
      </c>
      <c r="C1080" s="20" t="str">
        <f>IFERROR(__xludf.DUMMYFUNCTION("""COMPUTED_VALUE"""),"letter-tile-possibilities")</f>
        <v>letter-tile-possibilities</v>
      </c>
      <c r="D1080" s="20" t="b">
        <f>IFERROR(__xludf.DUMMYFUNCTION("""COMPUTED_VALUE"""),FALSE)</f>
        <v>0</v>
      </c>
      <c r="E1080" s="20" t="str">
        <f>IFERROR(__xludf.DUMMYFUNCTION("""COMPUTED_VALUE"""),"Medium")</f>
        <v>Medium</v>
      </c>
      <c r="F1080" s="20">
        <f>IFERROR(__xludf.DUMMYFUNCTION("""COMPUTED_VALUE"""),2046.0)</f>
        <v>2046</v>
      </c>
      <c r="G1080" s="20">
        <f>IFERROR(__xludf.DUMMYFUNCTION("""COMPUTED_VALUE"""),56.0)</f>
        <v>56</v>
      </c>
      <c r="H1080" s="20" t="str">
        <f>IFERROR(__xludf.DUMMYFUNCTION("""COMPUTED_VALUE"""),"Algorithms")</f>
        <v>Algorithms</v>
      </c>
      <c r="I1080" s="20">
        <f>IFERROR(__xludf.DUMMYFUNCTION("""COMPUTED_VALUE"""),0.76)</f>
        <v>0.76</v>
      </c>
      <c r="J1080" s="20">
        <f>IFERROR(__xludf.DUMMYFUNCTION("""COMPUTED_VALUE"""),1079.0)</f>
        <v>1079</v>
      </c>
      <c r="K1080" s="20" t="b">
        <f>IFERROR(__xludf.DUMMYFUNCTION("""COMPUTED_VALUE"""),FALSE)</f>
        <v>0</v>
      </c>
      <c r="L1080" s="20" t="str">
        <f>IFERROR(__xludf.DUMMYFUNCTION("""COMPUTED_VALUE"""),"Hash Table;String;Backtracking;Counting;")</f>
        <v>Hash Table;String;Backtracking;Counting;</v>
      </c>
      <c r="M1080" s="20" t="b">
        <f>IFERROR(__xludf.DUMMYFUNCTION("""COMPUTED_VALUE"""),FALSE)</f>
        <v>0</v>
      </c>
      <c r="N1080" s="20" t="b">
        <f>IFERROR(__xludf.DUMMYFUNCTION("""COMPUTED_VALUE"""),FALSE)</f>
        <v>0</v>
      </c>
      <c r="O1080" s="20">
        <f>IFERROR(__xludf.DUMMYFUNCTION("""COMPUTED_VALUE"""),76.0234308029336)</f>
        <v>76.0234308</v>
      </c>
      <c r="P1080" s="20">
        <f>IFERROR(__xludf.DUMMYFUNCTION("""COMPUTED_VALUE"""),79817.0)</f>
        <v>79817</v>
      </c>
      <c r="Q1080" s="20">
        <f>IFERROR(__xludf.DUMMYFUNCTION("""COMPUTED_VALUE"""),104990.0)</f>
        <v>104990</v>
      </c>
    </row>
    <row r="1081">
      <c r="A1081" s="20">
        <f>IFERROR(__xludf.DUMMYFUNCTION("""COMPUTED_VALUE"""),1157.0)</f>
        <v>1157</v>
      </c>
      <c r="B1081" s="20" t="str">
        <f>IFERROR(__xludf.DUMMYFUNCTION("""COMPUTED_VALUE"""),"Insufficient Nodes in Root to Leaf Paths")</f>
        <v>Insufficient Nodes in Root to Leaf Paths</v>
      </c>
      <c r="C1081" s="20" t="str">
        <f>IFERROR(__xludf.DUMMYFUNCTION("""COMPUTED_VALUE"""),"insufficient-nodes-in-root-to-leaf-paths")</f>
        <v>insufficient-nodes-in-root-to-leaf-paths</v>
      </c>
      <c r="D1081" s="20" t="b">
        <f>IFERROR(__xludf.DUMMYFUNCTION("""COMPUTED_VALUE"""),FALSE)</f>
        <v>0</v>
      </c>
      <c r="E1081" s="20" t="str">
        <f>IFERROR(__xludf.DUMMYFUNCTION("""COMPUTED_VALUE"""),"Medium")</f>
        <v>Medium</v>
      </c>
      <c r="F1081" s="20">
        <f>IFERROR(__xludf.DUMMYFUNCTION("""COMPUTED_VALUE"""),538.0)</f>
        <v>538</v>
      </c>
      <c r="G1081" s="20">
        <f>IFERROR(__xludf.DUMMYFUNCTION("""COMPUTED_VALUE"""),630.0)</f>
        <v>630</v>
      </c>
      <c r="H1081" s="20" t="str">
        <f>IFERROR(__xludf.DUMMYFUNCTION("""COMPUTED_VALUE"""),"Algorithms")</f>
        <v>Algorithms</v>
      </c>
      <c r="I1081" s="20">
        <f>IFERROR(__xludf.DUMMYFUNCTION("""COMPUTED_VALUE"""),0.531)</f>
        <v>0.531</v>
      </c>
      <c r="J1081" s="20">
        <f>IFERROR(__xludf.DUMMYFUNCTION("""COMPUTED_VALUE"""),1080.0)</f>
        <v>1080</v>
      </c>
      <c r="K1081" s="20" t="b">
        <f>IFERROR(__xludf.DUMMYFUNCTION("""COMPUTED_VALUE"""),FALSE)</f>
        <v>0</v>
      </c>
      <c r="L1081" s="20" t="str">
        <f>IFERROR(__xludf.DUMMYFUNCTION("""COMPUTED_VALUE"""),"Tree;Depth-First Search;Binary Tree;")</f>
        <v>Tree;Depth-First Search;Binary Tree;</v>
      </c>
      <c r="M1081" s="20" t="b">
        <f>IFERROR(__xludf.DUMMYFUNCTION("""COMPUTED_VALUE"""),FALSE)</f>
        <v>0</v>
      </c>
      <c r="N1081" s="20" t="b">
        <f>IFERROR(__xludf.DUMMYFUNCTION("""COMPUTED_VALUE"""),FALSE)</f>
        <v>0</v>
      </c>
      <c r="O1081" s="20">
        <f>IFERROR(__xludf.DUMMYFUNCTION("""COMPUTED_VALUE"""),53.0717055979598)</f>
        <v>53.0717056</v>
      </c>
      <c r="P1081" s="20">
        <f>IFERROR(__xludf.DUMMYFUNCTION("""COMPUTED_VALUE"""),29968.0)</f>
        <v>29968</v>
      </c>
      <c r="Q1081" s="20">
        <f>IFERROR(__xludf.DUMMYFUNCTION("""COMPUTED_VALUE"""),56467.0)</f>
        <v>56467</v>
      </c>
    </row>
    <row r="1082">
      <c r="A1082" s="20">
        <f>IFERROR(__xludf.DUMMYFUNCTION("""COMPUTED_VALUE"""),1159.0)</f>
        <v>1159</v>
      </c>
      <c r="B1082" s="20" t="str">
        <f>IFERROR(__xludf.DUMMYFUNCTION("""COMPUTED_VALUE"""),"Smallest Subsequence of Distinct Characters")</f>
        <v>Smallest Subsequence of Distinct Characters</v>
      </c>
      <c r="C1082" s="20" t="str">
        <f>IFERROR(__xludf.DUMMYFUNCTION("""COMPUTED_VALUE"""),"smallest-subsequence-of-distinct-characters")</f>
        <v>smallest-subsequence-of-distinct-characters</v>
      </c>
      <c r="D1082" s="20" t="b">
        <f>IFERROR(__xludf.DUMMYFUNCTION("""COMPUTED_VALUE"""),FALSE)</f>
        <v>0</v>
      </c>
      <c r="E1082" s="20" t="str">
        <f>IFERROR(__xludf.DUMMYFUNCTION("""COMPUTED_VALUE"""),"Medium")</f>
        <v>Medium</v>
      </c>
      <c r="F1082" s="20">
        <f>IFERROR(__xludf.DUMMYFUNCTION("""COMPUTED_VALUE"""),2020.0)</f>
        <v>2020</v>
      </c>
      <c r="G1082" s="20">
        <f>IFERROR(__xludf.DUMMYFUNCTION("""COMPUTED_VALUE"""),161.0)</f>
        <v>161</v>
      </c>
      <c r="H1082" s="20" t="str">
        <f>IFERROR(__xludf.DUMMYFUNCTION("""COMPUTED_VALUE"""),"Algorithms")</f>
        <v>Algorithms</v>
      </c>
      <c r="I1082" s="20">
        <f>IFERROR(__xludf.DUMMYFUNCTION("""COMPUTED_VALUE"""),0.576)</f>
        <v>0.576</v>
      </c>
      <c r="J1082" s="20">
        <f>IFERROR(__xludf.DUMMYFUNCTION("""COMPUTED_VALUE"""),1081.0)</f>
        <v>1081</v>
      </c>
      <c r="K1082" s="20" t="b">
        <f>IFERROR(__xludf.DUMMYFUNCTION("""COMPUTED_VALUE"""),FALSE)</f>
        <v>0</v>
      </c>
      <c r="L1082" s="20" t="str">
        <f>IFERROR(__xludf.DUMMYFUNCTION("""COMPUTED_VALUE"""),"String;Stack;Greedy;Monotonic Stack;")</f>
        <v>String;Stack;Greedy;Monotonic Stack;</v>
      </c>
      <c r="M1082" s="20" t="b">
        <f>IFERROR(__xludf.DUMMYFUNCTION("""COMPUTED_VALUE"""),FALSE)</f>
        <v>0</v>
      </c>
      <c r="N1082" s="20" t="b">
        <f>IFERROR(__xludf.DUMMYFUNCTION("""COMPUTED_VALUE"""),FALSE)</f>
        <v>0</v>
      </c>
      <c r="O1082" s="20">
        <f>IFERROR(__xludf.DUMMYFUNCTION("""COMPUTED_VALUE"""),57.5884572369633)</f>
        <v>57.58845724</v>
      </c>
      <c r="P1082" s="20">
        <f>IFERROR(__xludf.DUMMYFUNCTION("""COMPUTED_VALUE"""),46858.0)</f>
        <v>46858</v>
      </c>
      <c r="Q1082" s="20">
        <f>IFERROR(__xludf.DUMMYFUNCTION("""COMPUTED_VALUE"""),81367.0)</f>
        <v>81367</v>
      </c>
    </row>
    <row r="1083">
      <c r="A1083" s="20">
        <f>IFERROR(__xludf.DUMMYFUNCTION("""COMPUTED_VALUE"""),1172.0)</f>
        <v>1172</v>
      </c>
      <c r="B1083" s="20" t="str">
        <f>IFERROR(__xludf.DUMMYFUNCTION("""COMPUTED_VALUE"""),"Sales Analysis I")</f>
        <v>Sales Analysis I</v>
      </c>
      <c r="C1083" s="20" t="str">
        <f>IFERROR(__xludf.DUMMYFUNCTION("""COMPUTED_VALUE"""),"sales-analysis-i")</f>
        <v>sales-analysis-i</v>
      </c>
      <c r="D1083" s="20" t="b">
        <f>IFERROR(__xludf.DUMMYFUNCTION("""COMPUTED_VALUE"""),TRUE)</f>
        <v>1</v>
      </c>
      <c r="E1083" s="20" t="str">
        <f>IFERROR(__xludf.DUMMYFUNCTION("""COMPUTED_VALUE"""),"Easy")</f>
        <v>Easy</v>
      </c>
      <c r="F1083" s="20">
        <f>IFERROR(__xludf.DUMMYFUNCTION("""COMPUTED_VALUE"""),168.0)</f>
        <v>168</v>
      </c>
      <c r="G1083" s="20">
        <f>IFERROR(__xludf.DUMMYFUNCTION("""COMPUTED_VALUE"""),66.0)</f>
        <v>66</v>
      </c>
      <c r="H1083" s="20" t="str">
        <f>IFERROR(__xludf.DUMMYFUNCTION("""COMPUTED_VALUE"""),"Database")</f>
        <v>Database</v>
      </c>
      <c r="I1083" s="20">
        <f>IFERROR(__xludf.DUMMYFUNCTION("""COMPUTED_VALUE"""),0.753)</f>
        <v>0.753</v>
      </c>
      <c r="J1083" s="20">
        <f>IFERROR(__xludf.DUMMYFUNCTION("""COMPUTED_VALUE"""),1082.0)</f>
        <v>1082</v>
      </c>
      <c r="K1083" s="20" t="b">
        <f>IFERROR(__xludf.DUMMYFUNCTION("""COMPUTED_VALUE"""),TRUE)</f>
        <v>1</v>
      </c>
      <c r="L1083" s="20" t="str">
        <f>IFERROR(__xludf.DUMMYFUNCTION("""COMPUTED_VALUE"""),"Database;")</f>
        <v>Database;</v>
      </c>
      <c r="M1083" s="20" t="b">
        <f>IFERROR(__xludf.DUMMYFUNCTION("""COMPUTED_VALUE"""),FALSE)</f>
        <v>0</v>
      </c>
      <c r="N1083" s="20" t="b">
        <f>IFERROR(__xludf.DUMMYFUNCTION("""COMPUTED_VALUE"""),FALSE)</f>
        <v>0</v>
      </c>
      <c r="O1083" s="20">
        <f>IFERROR(__xludf.DUMMYFUNCTION("""COMPUTED_VALUE"""),75.3128607711844)</f>
        <v>75.31286077</v>
      </c>
      <c r="P1083" s="20">
        <f>IFERROR(__xludf.DUMMYFUNCTION("""COMPUTED_VALUE"""),48927.0)</f>
        <v>48927</v>
      </c>
      <c r="Q1083" s="20">
        <f>IFERROR(__xludf.DUMMYFUNCTION("""COMPUTED_VALUE"""),64965.0)</f>
        <v>64965</v>
      </c>
    </row>
    <row r="1084">
      <c r="A1084" s="20">
        <f>IFERROR(__xludf.DUMMYFUNCTION("""COMPUTED_VALUE"""),1173.0)</f>
        <v>1173</v>
      </c>
      <c r="B1084" s="20" t="str">
        <f>IFERROR(__xludf.DUMMYFUNCTION("""COMPUTED_VALUE"""),"Sales Analysis II")</f>
        <v>Sales Analysis II</v>
      </c>
      <c r="C1084" s="20" t="str">
        <f>IFERROR(__xludf.DUMMYFUNCTION("""COMPUTED_VALUE"""),"sales-analysis-ii")</f>
        <v>sales-analysis-ii</v>
      </c>
      <c r="D1084" s="20" t="b">
        <f>IFERROR(__xludf.DUMMYFUNCTION("""COMPUTED_VALUE"""),TRUE)</f>
        <v>1</v>
      </c>
      <c r="E1084" s="20" t="str">
        <f>IFERROR(__xludf.DUMMYFUNCTION("""COMPUTED_VALUE"""),"Easy")</f>
        <v>Easy</v>
      </c>
      <c r="F1084" s="20">
        <f>IFERROR(__xludf.DUMMYFUNCTION("""COMPUTED_VALUE"""),225.0)</f>
        <v>225</v>
      </c>
      <c r="G1084" s="20">
        <f>IFERROR(__xludf.DUMMYFUNCTION("""COMPUTED_VALUE"""),42.0)</f>
        <v>42</v>
      </c>
      <c r="H1084" s="20" t="str">
        <f>IFERROR(__xludf.DUMMYFUNCTION("""COMPUTED_VALUE"""),"Database")</f>
        <v>Database</v>
      </c>
      <c r="I1084" s="20">
        <f>IFERROR(__xludf.DUMMYFUNCTION("""COMPUTED_VALUE"""),0.503)</f>
        <v>0.503</v>
      </c>
      <c r="J1084" s="20">
        <f>IFERROR(__xludf.DUMMYFUNCTION("""COMPUTED_VALUE"""),1083.0)</f>
        <v>1083</v>
      </c>
      <c r="K1084" s="20" t="b">
        <f>IFERROR(__xludf.DUMMYFUNCTION("""COMPUTED_VALUE"""),TRUE)</f>
        <v>1</v>
      </c>
      <c r="L1084" s="20" t="str">
        <f>IFERROR(__xludf.DUMMYFUNCTION("""COMPUTED_VALUE"""),"Database;")</f>
        <v>Database;</v>
      </c>
      <c r="M1084" s="20" t="b">
        <f>IFERROR(__xludf.DUMMYFUNCTION("""COMPUTED_VALUE"""),FALSE)</f>
        <v>0</v>
      </c>
      <c r="N1084" s="20" t="b">
        <f>IFERROR(__xludf.DUMMYFUNCTION("""COMPUTED_VALUE"""),FALSE)</f>
        <v>0</v>
      </c>
      <c r="O1084" s="20">
        <f>IFERROR(__xludf.DUMMYFUNCTION("""COMPUTED_VALUE"""),50.2993950684258)</f>
        <v>50.29939507</v>
      </c>
      <c r="P1084" s="20">
        <f>IFERROR(__xludf.DUMMYFUNCTION("""COMPUTED_VALUE"""),49141.0)</f>
        <v>49141</v>
      </c>
      <c r="Q1084" s="20">
        <f>IFERROR(__xludf.DUMMYFUNCTION("""COMPUTED_VALUE"""),97696.0)</f>
        <v>97696</v>
      </c>
    </row>
    <row r="1085">
      <c r="A1085" s="20">
        <f>IFERROR(__xludf.DUMMYFUNCTION("""COMPUTED_VALUE"""),1174.0)</f>
        <v>1174</v>
      </c>
      <c r="B1085" s="20" t="str">
        <f>IFERROR(__xludf.DUMMYFUNCTION("""COMPUTED_VALUE"""),"Sales Analysis III")</f>
        <v>Sales Analysis III</v>
      </c>
      <c r="C1085" s="20" t="str">
        <f>IFERROR(__xludf.DUMMYFUNCTION("""COMPUTED_VALUE"""),"sales-analysis-iii")</f>
        <v>sales-analysis-iii</v>
      </c>
      <c r="D1085" s="20" t="b">
        <f>IFERROR(__xludf.DUMMYFUNCTION("""COMPUTED_VALUE"""),FALSE)</f>
        <v>0</v>
      </c>
      <c r="E1085" s="20" t="str">
        <f>IFERROR(__xludf.DUMMYFUNCTION("""COMPUTED_VALUE"""),"Easy")</f>
        <v>Easy</v>
      </c>
      <c r="F1085" s="20">
        <f>IFERROR(__xludf.DUMMYFUNCTION("""COMPUTED_VALUE"""),461.0)</f>
        <v>461</v>
      </c>
      <c r="G1085" s="20">
        <f>IFERROR(__xludf.DUMMYFUNCTION("""COMPUTED_VALUE"""),102.0)</f>
        <v>102</v>
      </c>
      <c r="H1085" s="20" t="str">
        <f>IFERROR(__xludf.DUMMYFUNCTION("""COMPUTED_VALUE"""),"Database")</f>
        <v>Database</v>
      </c>
      <c r="I1085" s="20">
        <f>IFERROR(__xludf.DUMMYFUNCTION("""COMPUTED_VALUE"""),0.509)</f>
        <v>0.509</v>
      </c>
      <c r="J1085" s="20">
        <f>IFERROR(__xludf.DUMMYFUNCTION("""COMPUTED_VALUE"""),1084.0)</f>
        <v>1084</v>
      </c>
      <c r="K1085" s="20" t="b">
        <f>IFERROR(__xludf.DUMMYFUNCTION("""COMPUTED_VALUE"""),FALSE)</f>
        <v>0</v>
      </c>
      <c r="L1085" s="20" t="str">
        <f>IFERROR(__xludf.DUMMYFUNCTION("""COMPUTED_VALUE"""),"Database;")</f>
        <v>Database;</v>
      </c>
      <c r="M1085" s="20" t="b">
        <f>IFERROR(__xludf.DUMMYFUNCTION("""COMPUTED_VALUE"""),FALSE)</f>
        <v>0</v>
      </c>
      <c r="N1085" s="20" t="b">
        <f>IFERROR(__xludf.DUMMYFUNCTION("""COMPUTED_VALUE"""),FALSE)</f>
        <v>0</v>
      </c>
      <c r="O1085" s="20">
        <f>IFERROR(__xludf.DUMMYFUNCTION("""COMPUTED_VALUE"""),50.9048709343537)</f>
        <v>50.90487093</v>
      </c>
      <c r="P1085" s="20">
        <f>IFERROR(__xludf.DUMMYFUNCTION("""COMPUTED_VALUE"""),81150.0)</f>
        <v>81150</v>
      </c>
      <c r="Q1085" s="20">
        <f>IFERROR(__xludf.DUMMYFUNCTION("""COMPUTED_VALUE"""),159415.0)</f>
        <v>159415</v>
      </c>
    </row>
    <row r="1086">
      <c r="A1086" s="20">
        <f>IFERROR(__xludf.DUMMYFUNCTION("""COMPUTED_VALUE"""),1082.0)</f>
        <v>1082</v>
      </c>
      <c r="B1086" s="20" t="str">
        <f>IFERROR(__xludf.DUMMYFUNCTION("""COMPUTED_VALUE"""),"Sum of Digits in the Minimum Number")</f>
        <v>Sum of Digits in the Minimum Number</v>
      </c>
      <c r="C1086" s="20" t="str">
        <f>IFERROR(__xludf.DUMMYFUNCTION("""COMPUTED_VALUE"""),"sum-of-digits-in-the-minimum-number")</f>
        <v>sum-of-digits-in-the-minimum-number</v>
      </c>
      <c r="D1086" s="20" t="b">
        <f>IFERROR(__xludf.DUMMYFUNCTION("""COMPUTED_VALUE"""),TRUE)</f>
        <v>1</v>
      </c>
      <c r="E1086" s="20" t="str">
        <f>IFERROR(__xludf.DUMMYFUNCTION("""COMPUTED_VALUE"""),"Easy")</f>
        <v>Easy</v>
      </c>
      <c r="F1086" s="20">
        <f>IFERROR(__xludf.DUMMYFUNCTION("""COMPUTED_VALUE"""),101.0)</f>
        <v>101</v>
      </c>
      <c r="G1086" s="20">
        <f>IFERROR(__xludf.DUMMYFUNCTION("""COMPUTED_VALUE"""),144.0)</f>
        <v>144</v>
      </c>
      <c r="H1086" s="20" t="str">
        <f>IFERROR(__xludf.DUMMYFUNCTION("""COMPUTED_VALUE"""),"Algorithms")</f>
        <v>Algorithms</v>
      </c>
      <c r="I1086" s="20">
        <f>IFERROR(__xludf.DUMMYFUNCTION("""COMPUTED_VALUE"""),0.761)</f>
        <v>0.761</v>
      </c>
      <c r="J1086" s="20">
        <f>IFERROR(__xludf.DUMMYFUNCTION("""COMPUTED_VALUE"""),1085.0)</f>
        <v>1085</v>
      </c>
      <c r="K1086" s="20" t="b">
        <f>IFERROR(__xludf.DUMMYFUNCTION("""COMPUTED_VALUE"""),TRUE)</f>
        <v>1</v>
      </c>
      <c r="L1086" s="20" t="str">
        <f>IFERROR(__xludf.DUMMYFUNCTION("""COMPUTED_VALUE"""),"Array;Math;")</f>
        <v>Array;Math;</v>
      </c>
      <c r="M1086" s="20" t="b">
        <f>IFERROR(__xludf.DUMMYFUNCTION("""COMPUTED_VALUE"""),FALSE)</f>
        <v>0</v>
      </c>
      <c r="N1086" s="20" t="b">
        <f>IFERROR(__xludf.DUMMYFUNCTION("""COMPUTED_VALUE"""),FALSE)</f>
        <v>0</v>
      </c>
      <c r="O1086" s="20">
        <f>IFERROR(__xludf.DUMMYFUNCTION("""COMPUTED_VALUE"""),76.0530201814218)</f>
        <v>76.05302018</v>
      </c>
      <c r="P1086" s="20">
        <f>IFERROR(__xludf.DUMMYFUNCTION("""COMPUTED_VALUE"""),21630.0)</f>
        <v>21630</v>
      </c>
      <c r="Q1086" s="20">
        <f>IFERROR(__xludf.DUMMYFUNCTION("""COMPUTED_VALUE"""),28441.0)</f>
        <v>28441</v>
      </c>
    </row>
    <row r="1087">
      <c r="A1087" s="20">
        <f>IFERROR(__xludf.DUMMYFUNCTION("""COMPUTED_VALUE"""),1074.0)</f>
        <v>1074</v>
      </c>
      <c r="B1087" s="20" t="str">
        <f>IFERROR(__xludf.DUMMYFUNCTION("""COMPUTED_VALUE"""),"High Five")</f>
        <v>High Five</v>
      </c>
      <c r="C1087" s="20" t="str">
        <f>IFERROR(__xludf.DUMMYFUNCTION("""COMPUTED_VALUE"""),"high-five")</f>
        <v>high-five</v>
      </c>
      <c r="D1087" s="20" t="b">
        <f>IFERROR(__xludf.DUMMYFUNCTION("""COMPUTED_VALUE"""),TRUE)</f>
        <v>1</v>
      </c>
      <c r="E1087" s="20" t="str">
        <f>IFERROR(__xludf.DUMMYFUNCTION("""COMPUTED_VALUE"""),"Easy")</f>
        <v>Easy</v>
      </c>
      <c r="F1087" s="20">
        <f>IFERROR(__xludf.DUMMYFUNCTION("""COMPUTED_VALUE"""),735.0)</f>
        <v>735</v>
      </c>
      <c r="G1087" s="20">
        <f>IFERROR(__xludf.DUMMYFUNCTION("""COMPUTED_VALUE"""),117.0)</f>
        <v>117</v>
      </c>
      <c r="H1087" s="20" t="str">
        <f>IFERROR(__xludf.DUMMYFUNCTION("""COMPUTED_VALUE"""),"Algorithms")</f>
        <v>Algorithms</v>
      </c>
      <c r="I1087" s="20">
        <f>IFERROR(__xludf.DUMMYFUNCTION("""COMPUTED_VALUE"""),0.751)</f>
        <v>0.751</v>
      </c>
      <c r="J1087" s="20">
        <f>IFERROR(__xludf.DUMMYFUNCTION("""COMPUTED_VALUE"""),1086.0)</f>
        <v>1086</v>
      </c>
      <c r="K1087" s="20" t="b">
        <f>IFERROR(__xludf.DUMMYFUNCTION("""COMPUTED_VALUE"""),TRUE)</f>
        <v>1</v>
      </c>
      <c r="L1087" s="20" t="str">
        <f>IFERROR(__xludf.DUMMYFUNCTION("""COMPUTED_VALUE"""),"Array;Hash Table;Sorting;")</f>
        <v>Array;Hash Table;Sorting;</v>
      </c>
      <c r="M1087" s="20" t="b">
        <f>IFERROR(__xludf.DUMMYFUNCTION("""COMPUTED_VALUE"""),TRUE)</f>
        <v>1</v>
      </c>
      <c r="N1087" s="20" t="b">
        <f>IFERROR(__xludf.DUMMYFUNCTION("""COMPUTED_VALUE"""),FALSE)</f>
        <v>0</v>
      </c>
      <c r="O1087" s="20">
        <f>IFERROR(__xludf.DUMMYFUNCTION("""COMPUTED_VALUE"""),75.1182685001348)</f>
        <v>75.1182685</v>
      </c>
      <c r="P1087" s="20">
        <f>IFERROR(__xludf.DUMMYFUNCTION("""COMPUTED_VALUE"""),91938.0)</f>
        <v>91938</v>
      </c>
      <c r="Q1087" s="20">
        <f>IFERROR(__xludf.DUMMYFUNCTION("""COMPUTED_VALUE"""),122391.0)</f>
        <v>122391</v>
      </c>
    </row>
    <row r="1088">
      <c r="A1088" s="20">
        <f>IFERROR(__xludf.DUMMYFUNCTION("""COMPUTED_VALUE"""),1076.0)</f>
        <v>1076</v>
      </c>
      <c r="B1088" s="20" t="str">
        <f>IFERROR(__xludf.DUMMYFUNCTION("""COMPUTED_VALUE"""),"Brace Expansion")</f>
        <v>Brace Expansion</v>
      </c>
      <c r="C1088" s="20" t="str">
        <f>IFERROR(__xludf.DUMMYFUNCTION("""COMPUTED_VALUE"""),"brace-expansion")</f>
        <v>brace-expansion</v>
      </c>
      <c r="D1088" s="20" t="b">
        <f>IFERROR(__xludf.DUMMYFUNCTION("""COMPUTED_VALUE"""),TRUE)</f>
        <v>1</v>
      </c>
      <c r="E1088" s="20" t="str">
        <f>IFERROR(__xludf.DUMMYFUNCTION("""COMPUTED_VALUE"""),"Medium")</f>
        <v>Medium</v>
      </c>
      <c r="F1088" s="20">
        <f>IFERROR(__xludf.DUMMYFUNCTION("""COMPUTED_VALUE"""),586.0)</f>
        <v>586</v>
      </c>
      <c r="G1088" s="20">
        <f>IFERROR(__xludf.DUMMYFUNCTION("""COMPUTED_VALUE"""),48.0)</f>
        <v>48</v>
      </c>
      <c r="H1088" s="20" t="str">
        <f>IFERROR(__xludf.DUMMYFUNCTION("""COMPUTED_VALUE"""),"Algorithms")</f>
        <v>Algorithms</v>
      </c>
      <c r="I1088" s="20">
        <f>IFERROR(__xludf.DUMMYFUNCTION("""COMPUTED_VALUE"""),0.661)</f>
        <v>0.661</v>
      </c>
      <c r="J1088" s="20">
        <f>IFERROR(__xludf.DUMMYFUNCTION("""COMPUTED_VALUE"""),1087.0)</f>
        <v>1087</v>
      </c>
      <c r="K1088" s="20" t="b">
        <f>IFERROR(__xludf.DUMMYFUNCTION("""COMPUTED_VALUE"""),TRUE)</f>
        <v>1</v>
      </c>
      <c r="L1088" s="20" t="str">
        <f>IFERROR(__xludf.DUMMYFUNCTION("""COMPUTED_VALUE"""),"String;Backtracking;Breadth-First Search;")</f>
        <v>String;Backtracking;Breadth-First Search;</v>
      </c>
      <c r="M1088" s="20" t="b">
        <f>IFERROR(__xludf.DUMMYFUNCTION("""COMPUTED_VALUE"""),TRUE)</f>
        <v>1</v>
      </c>
      <c r="N1088" s="20" t="b">
        <f>IFERROR(__xludf.DUMMYFUNCTION("""COMPUTED_VALUE"""),FALSE)</f>
        <v>0</v>
      </c>
      <c r="O1088" s="20">
        <f>IFERROR(__xludf.DUMMYFUNCTION("""COMPUTED_VALUE"""),66.1168287316346)</f>
        <v>66.11682873</v>
      </c>
      <c r="P1088" s="20">
        <f>IFERROR(__xludf.DUMMYFUNCTION("""COMPUTED_VALUE"""),46576.0)</f>
        <v>46576</v>
      </c>
      <c r="Q1088" s="20">
        <f>IFERROR(__xludf.DUMMYFUNCTION("""COMPUTED_VALUE"""),70445.0)</f>
        <v>70445</v>
      </c>
    </row>
    <row r="1089">
      <c r="A1089" s="20">
        <f>IFERROR(__xludf.DUMMYFUNCTION("""COMPUTED_VALUE"""),1077.0)</f>
        <v>1077</v>
      </c>
      <c r="B1089" s="20" t="str">
        <f>IFERROR(__xludf.DUMMYFUNCTION("""COMPUTED_VALUE"""),"Confusing Number II")</f>
        <v>Confusing Number II</v>
      </c>
      <c r="C1089" s="20" t="str">
        <f>IFERROR(__xludf.DUMMYFUNCTION("""COMPUTED_VALUE"""),"confusing-number-ii")</f>
        <v>confusing-number-ii</v>
      </c>
      <c r="D1089" s="20" t="b">
        <f>IFERROR(__xludf.DUMMYFUNCTION("""COMPUTED_VALUE"""),TRUE)</f>
        <v>1</v>
      </c>
      <c r="E1089" s="20" t="str">
        <f>IFERROR(__xludf.DUMMYFUNCTION("""COMPUTED_VALUE"""),"Hard")</f>
        <v>Hard</v>
      </c>
      <c r="F1089" s="20">
        <f>IFERROR(__xludf.DUMMYFUNCTION("""COMPUTED_VALUE"""),400.0)</f>
        <v>400</v>
      </c>
      <c r="G1089" s="20">
        <f>IFERROR(__xludf.DUMMYFUNCTION("""COMPUTED_VALUE"""),121.0)</f>
        <v>121</v>
      </c>
      <c r="H1089" s="20" t="str">
        <f>IFERROR(__xludf.DUMMYFUNCTION("""COMPUTED_VALUE"""),"Algorithms")</f>
        <v>Algorithms</v>
      </c>
      <c r="I1089" s="20">
        <f>IFERROR(__xludf.DUMMYFUNCTION("""COMPUTED_VALUE"""),0.465)</f>
        <v>0.465</v>
      </c>
      <c r="J1089" s="20">
        <f>IFERROR(__xludf.DUMMYFUNCTION("""COMPUTED_VALUE"""),1088.0)</f>
        <v>1088</v>
      </c>
      <c r="K1089" s="20" t="b">
        <f>IFERROR(__xludf.DUMMYFUNCTION("""COMPUTED_VALUE"""),TRUE)</f>
        <v>1</v>
      </c>
      <c r="L1089" s="20" t="str">
        <f>IFERROR(__xludf.DUMMYFUNCTION("""COMPUTED_VALUE"""),"Math;Backtracking;")</f>
        <v>Math;Backtracking;</v>
      </c>
      <c r="M1089" s="20" t="b">
        <f>IFERROR(__xludf.DUMMYFUNCTION("""COMPUTED_VALUE"""),TRUE)</f>
        <v>1</v>
      </c>
      <c r="N1089" s="20" t="b">
        <f>IFERROR(__xludf.DUMMYFUNCTION("""COMPUTED_VALUE"""),FALSE)</f>
        <v>0</v>
      </c>
      <c r="O1089" s="20">
        <f>IFERROR(__xludf.DUMMYFUNCTION("""COMPUTED_VALUE"""),46.4539363243755)</f>
        <v>46.45393632</v>
      </c>
      <c r="P1089" s="20">
        <f>IFERROR(__xludf.DUMMYFUNCTION("""COMPUTED_VALUE"""),32377.0)</f>
        <v>32377</v>
      </c>
      <c r="Q1089" s="20">
        <f>IFERROR(__xludf.DUMMYFUNCTION("""COMPUTED_VALUE"""),69697.0)</f>
        <v>69697</v>
      </c>
    </row>
    <row r="1090">
      <c r="A1090" s="20">
        <f>IFERROR(__xludf.DUMMYFUNCTION("""COMPUTED_VALUE"""),1168.0)</f>
        <v>1168</v>
      </c>
      <c r="B1090" s="20" t="str">
        <f>IFERROR(__xludf.DUMMYFUNCTION("""COMPUTED_VALUE"""),"Duplicate Zeros")</f>
        <v>Duplicate Zeros</v>
      </c>
      <c r="C1090" s="20" t="str">
        <f>IFERROR(__xludf.DUMMYFUNCTION("""COMPUTED_VALUE"""),"duplicate-zeros")</f>
        <v>duplicate-zeros</v>
      </c>
      <c r="D1090" s="20" t="b">
        <f>IFERROR(__xludf.DUMMYFUNCTION("""COMPUTED_VALUE"""),FALSE)</f>
        <v>0</v>
      </c>
      <c r="E1090" s="20" t="str">
        <f>IFERROR(__xludf.DUMMYFUNCTION("""COMPUTED_VALUE"""),"Easy")</f>
        <v>Easy</v>
      </c>
      <c r="F1090" s="20">
        <f>IFERROR(__xludf.DUMMYFUNCTION("""COMPUTED_VALUE"""),2109.0)</f>
        <v>2109</v>
      </c>
      <c r="G1090" s="20">
        <f>IFERROR(__xludf.DUMMYFUNCTION("""COMPUTED_VALUE"""),635.0)</f>
        <v>635</v>
      </c>
      <c r="H1090" s="20" t="str">
        <f>IFERROR(__xludf.DUMMYFUNCTION("""COMPUTED_VALUE"""),"Algorithms")</f>
        <v>Algorithms</v>
      </c>
      <c r="I1090" s="20">
        <f>IFERROR(__xludf.DUMMYFUNCTION("""COMPUTED_VALUE"""),0.515)</f>
        <v>0.515</v>
      </c>
      <c r="J1090" s="20">
        <f>IFERROR(__xludf.DUMMYFUNCTION("""COMPUTED_VALUE"""),1089.0)</f>
        <v>1089</v>
      </c>
      <c r="K1090" s="20" t="b">
        <f>IFERROR(__xludf.DUMMYFUNCTION("""COMPUTED_VALUE"""),FALSE)</f>
        <v>0</v>
      </c>
      <c r="L1090" s="20" t="str">
        <f>IFERROR(__xludf.DUMMYFUNCTION("""COMPUTED_VALUE"""),"Array;Two Pointers;")</f>
        <v>Array;Two Pointers;</v>
      </c>
      <c r="M1090" s="20" t="b">
        <f>IFERROR(__xludf.DUMMYFUNCTION("""COMPUTED_VALUE"""),TRUE)</f>
        <v>1</v>
      </c>
      <c r="N1090" s="20" t="b">
        <f>IFERROR(__xludf.DUMMYFUNCTION("""COMPUTED_VALUE"""),FALSE)</f>
        <v>0</v>
      </c>
      <c r="O1090" s="20">
        <f>IFERROR(__xludf.DUMMYFUNCTION("""COMPUTED_VALUE"""),51.517296082911)</f>
        <v>51.51729608</v>
      </c>
      <c r="P1090" s="20">
        <f>IFERROR(__xludf.DUMMYFUNCTION("""COMPUTED_VALUE"""),325390.0)</f>
        <v>325390</v>
      </c>
      <c r="Q1090" s="20">
        <f>IFERROR(__xludf.DUMMYFUNCTION("""COMPUTED_VALUE"""),631614.0)</f>
        <v>631614</v>
      </c>
    </row>
    <row r="1091">
      <c r="A1091" s="20">
        <f>IFERROR(__xludf.DUMMYFUNCTION("""COMPUTED_VALUE"""),1169.0)</f>
        <v>1169</v>
      </c>
      <c r="B1091" s="20" t="str">
        <f>IFERROR(__xludf.DUMMYFUNCTION("""COMPUTED_VALUE"""),"Largest Values From Labels")</f>
        <v>Largest Values From Labels</v>
      </c>
      <c r="C1091" s="20" t="str">
        <f>IFERROR(__xludf.DUMMYFUNCTION("""COMPUTED_VALUE"""),"largest-values-from-labels")</f>
        <v>largest-values-from-labels</v>
      </c>
      <c r="D1091" s="20" t="b">
        <f>IFERROR(__xludf.DUMMYFUNCTION("""COMPUTED_VALUE"""),FALSE)</f>
        <v>0</v>
      </c>
      <c r="E1091" s="20" t="str">
        <f>IFERROR(__xludf.DUMMYFUNCTION("""COMPUTED_VALUE"""),"Medium")</f>
        <v>Medium</v>
      </c>
      <c r="F1091" s="20">
        <f>IFERROR(__xludf.DUMMYFUNCTION("""COMPUTED_VALUE"""),353.0)</f>
        <v>353</v>
      </c>
      <c r="G1091" s="20">
        <f>IFERROR(__xludf.DUMMYFUNCTION("""COMPUTED_VALUE"""),589.0)</f>
        <v>589</v>
      </c>
      <c r="H1091" s="20" t="str">
        <f>IFERROR(__xludf.DUMMYFUNCTION("""COMPUTED_VALUE"""),"Algorithms")</f>
        <v>Algorithms</v>
      </c>
      <c r="I1091" s="20">
        <f>IFERROR(__xludf.DUMMYFUNCTION("""COMPUTED_VALUE"""),0.609)</f>
        <v>0.609</v>
      </c>
      <c r="J1091" s="20">
        <f>IFERROR(__xludf.DUMMYFUNCTION("""COMPUTED_VALUE"""),1090.0)</f>
        <v>1090</v>
      </c>
      <c r="K1091" s="20" t="b">
        <f>IFERROR(__xludf.DUMMYFUNCTION("""COMPUTED_VALUE"""),FALSE)</f>
        <v>0</v>
      </c>
      <c r="L1091" s="20" t="str">
        <f>IFERROR(__xludf.DUMMYFUNCTION("""COMPUTED_VALUE"""),"Array;Hash Table;Greedy;Sorting;Counting;")</f>
        <v>Array;Hash Table;Greedy;Sorting;Counting;</v>
      </c>
      <c r="M1091" s="20" t="b">
        <f>IFERROR(__xludf.DUMMYFUNCTION("""COMPUTED_VALUE"""),FALSE)</f>
        <v>0</v>
      </c>
      <c r="N1091" s="20" t="b">
        <f>IFERROR(__xludf.DUMMYFUNCTION("""COMPUTED_VALUE"""),FALSE)</f>
        <v>0</v>
      </c>
      <c r="O1091" s="20">
        <f>IFERROR(__xludf.DUMMYFUNCTION("""COMPUTED_VALUE"""),60.9351839374747)</f>
        <v>60.93518394</v>
      </c>
      <c r="P1091" s="20">
        <f>IFERROR(__xludf.DUMMYFUNCTION("""COMPUTED_VALUE"""),31654.0)</f>
        <v>31654</v>
      </c>
      <c r="Q1091" s="20">
        <f>IFERROR(__xludf.DUMMYFUNCTION("""COMPUTED_VALUE"""),51947.0)</f>
        <v>51947</v>
      </c>
    </row>
    <row r="1092">
      <c r="A1092" s="20">
        <f>IFERROR(__xludf.DUMMYFUNCTION("""COMPUTED_VALUE"""),1171.0)</f>
        <v>1171</v>
      </c>
      <c r="B1092" s="20" t="str">
        <f>IFERROR(__xludf.DUMMYFUNCTION("""COMPUTED_VALUE"""),"Shortest Path in Binary Matrix")</f>
        <v>Shortest Path in Binary Matrix</v>
      </c>
      <c r="C1092" s="20" t="str">
        <f>IFERROR(__xludf.DUMMYFUNCTION("""COMPUTED_VALUE"""),"shortest-path-in-binary-matrix")</f>
        <v>shortest-path-in-binary-matrix</v>
      </c>
      <c r="D1092" s="20" t="b">
        <f>IFERROR(__xludf.DUMMYFUNCTION("""COMPUTED_VALUE"""),FALSE)</f>
        <v>0</v>
      </c>
      <c r="E1092" s="20" t="str">
        <f>IFERROR(__xludf.DUMMYFUNCTION("""COMPUTED_VALUE"""),"Medium")</f>
        <v>Medium</v>
      </c>
      <c r="F1092" s="20">
        <f>IFERROR(__xludf.DUMMYFUNCTION("""COMPUTED_VALUE"""),4247.0)</f>
        <v>4247</v>
      </c>
      <c r="G1092" s="20">
        <f>IFERROR(__xludf.DUMMYFUNCTION("""COMPUTED_VALUE"""),177.0)</f>
        <v>177</v>
      </c>
      <c r="H1092" s="20" t="str">
        <f>IFERROR(__xludf.DUMMYFUNCTION("""COMPUTED_VALUE"""),"Algorithms")</f>
        <v>Algorithms</v>
      </c>
      <c r="I1092" s="20">
        <f>IFERROR(__xludf.DUMMYFUNCTION("""COMPUTED_VALUE"""),0.445)</f>
        <v>0.445</v>
      </c>
      <c r="J1092" s="20">
        <f>IFERROR(__xludf.DUMMYFUNCTION("""COMPUTED_VALUE"""),1091.0)</f>
        <v>1091</v>
      </c>
      <c r="K1092" s="20" t="b">
        <f>IFERROR(__xludf.DUMMYFUNCTION("""COMPUTED_VALUE"""),FALSE)</f>
        <v>0</v>
      </c>
      <c r="L1092" s="20" t="str">
        <f>IFERROR(__xludf.DUMMYFUNCTION("""COMPUTED_VALUE"""),"Array;Breadth-First Search;Matrix;")</f>
        <v>Array;Breadth-First Search;Matrix;</v>
      </c>
      <c r="M1092" s="20" t="b">
        <f>IFERROR(__xludf.DUMMYFUNCTION("""COMPUTED_VALUE"""),TRUE)</f>
        <v>1</v>
      </c>
      <c r="N1092" s="20" t="b">
        <f>IFERROR(__xludf.DUMMYFUNCTION("""COMPUTED_VALUE"""),FALSE)</f>
        <v>0</v>
      </c>
      <c r="O1092" s="20">
        <f>IFERROR(__xludf.DUMMYFUNCTION("""COMPUTED_VALUE"""),44.5361187667891)</f>
        <v>44.53611877</v>
      </c>
      <c r="P1092" s="20">
        <f>IFERROR(__xludf.DUMMYFUNCTION("""COMPUTED_VALUE"""),280850.0)</f>
        <v>280850</v>
      </c>
      <c r="Q1092" s="20">
        <f>IFERROR(__xludf.DUMMYFUNCTION("""COMPUTED_VALUE"""),630610.0)</f>
        <v>630610</v>
      </c>
    </row>
    <row r="1093">
      <c r="A1093" s="20">
        <f>IFERROR(__xludf.DUMMYFUNCTION("""COMPUTED_VALUE"""),1170.0)</f>
        <v>1170</v>
      </c>
      <c r="B1093" s="20" t="str">
        <f>IFERROR(__xludf.DUMMYFUNCTION("""COMPUTED_VALUE"""),"Shortest Common Supersequence ")</f>
        <v>Shortest Common Supersequence </v>
      </c>
      <c r="C1093" s="20" t="str">
        <f>IFERROR(__xludf.DUMMYFUNCTION("""COMPUTED_VALUE"""),"shortest-common-supersequence")</f>
        <v>shortest-common-supersequence</v>
      </c>
      <c r="D1093" s="20" t="b">
        <f>IFERROR(__xludf.DUMMYFUNCTION("""COMPUTED_VALUE"""),FALSE)</f>
        <v>0</v>
      </c>
      <c r="E1093" s="20" t="str">
        <f>IFERROR(__xludf.DUMMYFUNCTION("""COMPUTED_VALUE"""),"Hard")</f>
        <v>Hard</v>
      </c>
      <c r="F1093" s="20">
        <f>IFERROR(__xludf.DUMMYFUNCTION("""COMPUTED_VALUE"""),3356.0)</f>
        <v>3356</v>
      </c>
      <c r="G1093" s="20">
        <f>IFERROR(__xludf.DUMMYFUNCTION("""COMPUTED_VALUE"""),53.0)</f>
        <v>53</v>
      </c>
      <c r="H1093" s="20" t="str">
        <f>IFERROR(__xludf.DUMMYFUNCTION("""COMPUTED_VALUE"""),"Algorithms")</f>
        <v>Algorithms</v>
      </c>
      <c r="I1093" s="20">
        <f>IFERROR(__xludf.DUMMYFUNCTION("""COMPUTED_VALUE"""),0.579)</f>
        <v>0.579</v>
      </c>
      <c r="J1093" s="20">
        <f>IFERROR(__xludf.DUMMYFUNCTION("""COMPUTED_VALUE"""),1092.0)</f>
        <v>1092</v>
      </c>
      <c r="K1093" s="20" t="b">
        <f>IFERROR(__xludf.DUMMYFUNCTION("""COMPUTED_VALUE"""),FALSE)</f>
        <v>0</v>
      </c>
      <c r="L1093" s="20" t="str">
        <f>IFERROR(__xludf.DUMMYFUNCTION("""COMPUTED_VALUE"""),"String;Dynamic Programming;")</f>
        <v>String;Dynamic Programming;</v>
      </c>
      <c r="M1093" s="20" t="b">
        <f>IFERROR(__xludf.DUMMYFUNCTION("""COMPUTED_VALUE"""),FALSE)</f>
        <v>0</v>
      </c>
      <c r="N1093" s="20" t="b">
        <f>IFERROR(__xludf.DUMMYFUNCTION("""COMPUTED_VALUE"""),FALSE)</f>
        <v>0</v>
      </c>
      <c r="O1093" s="20">
        <f>IFERROR(__xludf.DUMMYFUNCTION("""COMPUTED_VALUE"""),57.8897612982852)</f>
        <v>57.8897613</v>
      </c>
      <c r="P1093" s="20">
        <f>IFERROR(__xludf.DUMMYFUNCTION("""COMPUTED_VALUE"""),66134.0)</f>
        <v>66134</v>
      </c>
      <c r="Q1093" s="20">
        <f>IFERROR(__xludf.DUMMYFUNCTION("""COMPUTED_VALUE"""),114242.0)</f>
        <v>114242</v>
      </c>
    </row>
    <row r="1094">
      <c r="A1094" s="20">
        <f>IFERROR(__xludf.DUMMYFUNCTION("""COMPUTED_VALUE"""),1183.0)</f>
        <v>1183</v>
      </c>
      <c r="B1094" s="20" t="str">
        <f>IFERROR(__xludf.DUMMYFUNCTION("""COMPUTED_VALUE"""),"Statistics from a Large Sample")</f>
        <v>Statistics from a Large Sample</v>
      </c>
      <c r="C1094" s="20" t="str">
        <f>IFERROR(__xludf.DUMMYFUNCTION("""COMPUTED_VALUE"""),"statistics-from-a-large-sample")</f>
        <v>statistics-from-a-large-sample</v>
      </c>
      <c r="D1094" s="20" t="b">
        <f>IFERROR(__xludf.DUMMYFUNCTION("""COMPUTED_VALUE"""),FALSE)</f>
        <v>0</v>
      </c>
      <c r="E1094" s="20" t="str">
        <f>IFERROR(__xludf.DUMMYFUNCTION("""COMPUTED_VALUE"""),"Medium")</f>
        <v>Medium</v>
      </c>
      <c r="F1094" s="20">
        <f>IFERROR(__xludf.DUMMYFUNCTION("""COMPUTED_VALUE"""),78.0)</f>
        <v>78</v>
      </c>
      <c r="G1094" s="20">
        <f>IFERROR(__xludf.DUMMYFUNCTION("""COMPUTED_VALUE"""),77.0)</f>
        <v>77</v>
      </c>
      <c r="H1094" s="20" t="str">
        <f>IFERROR(__xludf.DUMMYFUNCTION("""COMPUTED_VALUE"""),"Algorithms")</f>
        <v>Algorithms</v>
      </c>
      <c r="I1094" s="20">
        <f>IFERROR(__xludf.DUMMYFUNCTION("""COMPUTED_VALUE"""),0.442)</f>
        <v>0.442</v>
      </c>
      <c r="J1094" s="20">
        <f>IFERROR(__xludf.DUMMYFUNCTION("""COMPUTED_VALUE"""),1093.0)</f>
        <v>1093</v>
      </c>
      <c r="K1094" s="20" t="b">
        <f>IFERROR(__xludf.DUMMYFUNCTION("""COMPUTED_VALUE"""),FALSE)</f>
        <v>0</v>
      </c>
      <c r="L1094" s="20" t="str">
        <f>IFERROR(__xludf.DUMMYFUNCTION("""COMPUTED_VALUE"""),"Math;Two Pointers;Probability and Statistics;")</f>
        <v>Math;Two Pointers;Probability and Statistics;</v>
      </c>
      <c r="M1094" s="20" t="b">
        <f>IFERROR(__xludf.DUMMYFUNCTION("""COMPUTED_VALUE"""),FALSE)</f>
        <v>0</v>
      </c>
      <c r="N1094" s="20" t="b">
        <f>IFERROR(__xludf.DUMMYFUNCTION("""COMPUTED_VALUE"""),FALSE)</f>
        <v>0</v>
      </c>
      <c r="O1094" s="20">
        <f>IFERROR(__xludf.DUMMYFUNCTION("""COMPUTED_VALUE"""),44.2156777575073)</f>
        <v>44.21567776</v>
      </c>
      <c r="P1094" s="20">
        <f>IFERROR(__xludf.DUMMYFUNCTION("""COMPUTED_VALUE"""),15269.0)</f>
        <v>15269</v>
      </c>
      <c r="Q1094" s="20">
        <f>IFERROR(__xludf.DUMMYFUNCTION("""COMPUTED_VALUE"""),34533.0)</f>
        <v>34533</v>
      </c>
    </row>
    <row r="1095">
      <c r="A1095" s="20">
        <f>IFERROR(__xludf.DUMMYFUNCTION("""COMPUTED_VALUE"""),1184.0)</f>
        <v>1184</v>
      </c>
      <c r="B1095" s="20" t="str">
        <f>IFERROR(__xludf.DUMMYFUNCTION("""COMPUTED_VALUE"""),"Car Pooling")</f>
        <v>Car Pooling</v>
      </c>
      <c r="C1095" s="20" t="str">
        <f>IFERROR(__xludf.DUMMYFUNCTION("""COMPUTED_VALUE"""),"car-pooling")</f>
        <v>car-pooling</v>
      </c>
      <c r="D1095" s="20" t="b">
        <f>IFERROR(__xludf.DUMMYFUNCTION("""COMPUTED_VALUE"""),FALSE)</f>
        <v>0</v>
      </c>
      <c r="E1095" s="20" t="str">
        <f>IFERROR(__xludf.DUMMYFUNCTION("""COMPUTED_VALUE"""),"Medium")</f>
        <v>Medium</v>
      </c>
      <c r="F1095" s="20">
        <f>IFERROR(__xludf.DUMMYFUNCTION("""COMPUTED_VALUE"""),3764.0)</f>
        <v>3764</v>
      </c>
      <c r="G1095" s="20">
        <f>IFERROR(__xludf.DUMMYFUNCTION("""COMPUTED_VALUE"""),79.0)</f>
        <v>79</v>
      </c>
      <c r="H1095" s="20" t="str">
        <f>IFERROR(__xludf.DUMMYFUNCTION("""COMPUTED_VALUE"""),"Algorithms")</f>
        <v>Algorithms</v>
      </c>
      <c r="I1095" s="20">
        <f>IFERROR(__xludf.DUMMYFUNCTION("""COMPUTED_VALUE"""),0.572)</f>
        <v>0.572</v>
      </c>
      <c r="J1095" s="20">
        <f>IFERROR(__xludf.DUMMYFUNCTION("""COMPUTED_VALUE"""),1094.0)</f>
        <v>1094</v>
      </c>
      <c r="K1095" s="20" t="b">
        <f>IFERROR(__xludf.DUMMYFUNCTION("""COMPUTED_VALUE"""),FALSE)</f>
        <v>0</v>
      </c>
      <c r="L1095" s="20" t="str">
        <f>IFERROR(__xludf.DUMMYFUNCTION("""COMPUTED_VALUE"""),"Array;Sorting;Heap (Priority Queue);Simulation;Prefix Sum;")</f>
        <v>Array;Sorting;Heap (Priority Queue);Simulation;Prefix Sum;</v>
      </c>
      <c r="M1095" s="20" t="b">
        <f>IFERROR(__xludf.DUMMYFUNCTION("""COMPUTED_VALUE"""),TRUE)</f>
        <v>1</v>
      </c>
      <c r="N1095" s="20" t="b">
        <f>IFERROR(__xludf.DUMMYFUNCTION("""COMPUTED_VALUE"""),FALSE)</f>
        <v>0</v>
      </c>
      <c r="O1095" s="20">
        <f>IFERROR(__xludf.DUMMYFUNCTION("""COMPUTED_VALUE"""),57.1871305389599)</f>
        <v>57.18713054</v>
      </c>
      <c r="P1095" s="20">
        <f>IFERROR(__xludf.DUMMYFUNCTION("""COMPUTED_VALUE"""),181389.0)</f>
        <v>181389</v>
      </c>
      <c r="Q1095" s="20">
        <f>IFERROR(__xludf.DUMMYFUNCTION("""COMPUTED_VALUE"""),317185.0)</f>
        <v>317185</v>
      </c>
    </row>
    <row r="1096">
      <c r="A1096" s="20">
        <f>IFERROR(__xludf.DUMMYFUNCTION("""COMPUTED_VALUE"""),1185.0)</f>
        <v>1185</v>
      </c>
      <c r="B1096" s="20" t="str">
        <f>IFERROR(__xludf.DUMMYFUNCTION("""COMPUTED_VALUE"""),"Find in Mountain Array")</f>
        <v>Find in Mountain Array</v>
      </c>
      <c r="C1096" s="20" t="str">
        <f>IFERROR(__xludf.DUMMYFUNCTION("""COMPUTED_VALUE"""),"find-in-mountain-array")</f>
        <v>find-in-mountain-array</v>
      </c>
      <c r="D1096" s="20" t="b">
        <f>IFERROR(__xludf.DUMMYFUNCTION("""COMPUTED_VALUE"""),FALSE)</f>
        <v>0</v>
      </c>
      <c r="E1096" s="20" t="str">
        <f>IFERROR(__xludf.DUMMYFUNCTION("""COMPUTED_VALUE"""),"Hard")</f>
        <v>Hard</v>
      </c>
      <c r="F1096" s="20">
        <f>IFERROR(__xludf.DUMMYFUNCTION("""COMPUTED_VALUE"""),1691.0)</f>
        <v>1691</v>
      </c>
      <c r="G1096" s="20">
        <f>IFERROR(__xludf.DUMMYFUNCTION("""COMPUTED_VALUE"""),68.0)</f>
        <v>68</v>
      </c>
      <c r="H1096" s="20" t="str">
        <f>IFERROR(__xludf.DUMMYFUNCTION("""COMPUTED_VALUE"""),"Algorithms")</f>
        <v>Algorithms</v>
      </c>
      <c r="I1096" s="20">
        <f>IFERROR(__xludf.DUMMYFUNCTION("""COMPUTED_VALUE"""),0.357)</f>
        <v>0.357</v>
      </c>
      <c r="J1096" s="20">
        <f>IFERROR(__xludf.DUMMYFUNCTION("""COMPUTED_VALUE"""),1095.0)</f>
        <v>1095</v>
      </c>
      <c r="K1096" s="20" t="b">
        <f>IFERROR(__xludf.DUMMYFUNCTION("""COMPUTED_VALUE"""),FALSE)</f>
        <v>0</v>
      </c>
      <c r="L1096" s="20" t="str">
        <f>IFERROR(__xludf.DUMMYFUNCTION("""COMPUTED_VALUE"""),"Array;Binary Search;Interactive;")</f>
        <v>Array;Binary Search;Interactive;</v>
      </c>
      <c r="M1096" s="20" t="b">
        <f>IFERROR(__xludf.DUMMYFUNCTION("""COMPUTED_VALUE"""),FALSE)</f>
        <v>0</v>
      </c>
      <c r="N1096" s="20" t="b">
        <f>IFERROR(__xludf.DUMMYFUNCTION("""COMPUTED_VALUE"""),FALSE)</f>
        <v>0</v>
      </c>
      <c r="O1096" s="20">
        <f>IFERROR(__xludf.DUMMYFUNCTION("""COMPUTED_VALUE"""),35.7321794579822)</f>
        <v>35.73217946</v>
      </c>
      <c r="P1096" s="20">
        <f>IFERROR(__xludf.DUMMYFUNCTION("""COMPUTED_VALUE"""),54914.0)</f>
        <v>54914</v>
      </c>
      <c r="Q1096" s="20">
        <f>IFERROR(__xludf.DUMMYFUNCTION("""COMPUTED_VALUE"""),153684.0)</f>
        <v>153684</v>
      </c>
    </row>
    <row r="1097">
      <c r="A1097" s="20">
        <f>IFERROR(__xludf.DUMMYFUNCTION("""COMPUTED_VALUE"""),1188.0)</f>
        <v>1188</v>
      </c>
      <c r="B1097" s="20" t="str">
        <f>IFERROR(__xludf.DUMMYFUNCTION("""COMPUTED_VALUE"""),"Brace Expansion II")</f>
        <v>Brace Expansion II</v>
      </c>
      <c r="C1097" s="20" t="str">
        <f>IFERROR(__xludf.DUMMYFUNCTION("""COMPUTED_VALUE"""),"brace-expansion-ii")</f>
        <v>brace-expansion-ii</v>
      </c>
      <c r="D1097" s="20" t="b">
        <f>IFERROR(__xludf.DUMMYFUNCTION("""COMPUTED_VALUE"""),FALSE)</f>
        <v>0</v>
      </c>
      <c r="E1097" s="20" t="str">
        <f>IFERROR(__xludf.DUMMYFUNCTION("""COMPUTED_VALUE"""),"Hard")</f>
        <v>Hard</v>
      </c>
      <c r="F1097" s="20">
        <f>IFERROR(__xludf.DUMMYFUNCTION("""COMPUTED_VALUE"""),428.0)</f>
        <v>428</v>
      </c>
      <c r="G1097" s="20">
        <f>IFERROR(__xludf.DUMMYFUNCTION("""COMPUTED_VALUE"""),258.0)</f>
        <v>258</v>
      </c>
      <c r="H1097" s="20" t="str">
        <f>IFERROR(__xludf.DUMMYFUNCTION("""COMPUTED_VALUE"""),"Algorithms")</f>
        <v>Algorithms</v>
      </c>
      <c r="I1097" s="20">
        <f>IFERROR(__xludf.DUMMYFUNCTION("""COMPUTED_VALUE"""),0.636)</f>
        <v>0.636</v>
      </c>
      <c r="J1097" s="20">
        <f>IFERROR(__xludf.DUMMYFUNCTION("""COMPUTED_VALUE"""),1096.0)</f>
        <v>1096</v>
      </c>
      <c r="K1097" s="20" t="b">
        <f>IFERROR(__xludf.DUMMYFUNCTION("""COMPUTED_VALUE"""),FALSE)</f>
        <v>0</v>
      </c>
      <c r="L1097" s="20" t="str">
        <f>IFERROR(__xludf.DUMMYFUNCTION("""COMPUTED_VALUE"""),"String;Backtracking;Stack;Breadth-First Search;")</f>
        <v>String;Backtracking;Stack;Breadth-First Search;</v>
      </c>
      <c r="M1097" s="20" t="b">
        <f>IFERROR(__xludf.DUMMYFUNCTION("""COMPUTED_VALUE"""),FALSE)</f>
        <v>0</v>
      </c>
      <c r="N1097" s="20" t="b">
        <f>IFERROR(__xludf.DUMMYFUNCTION("""COMPUTED_VALUE"""),FALSE)</f>
        <v>0</v>
      </c>
      <c r="O1097" s="20">
        <f>IFERROR(__xludf.DUMMYFUNCTION("""COMPUTED_VALUE"""),63.5955189027814)</f>
        <v>63.5955189</v>
      </c>
      <c r="P1097" s="20">
        <f>IFERROR(__xludf.DUMMYFUNCTION("""COMPUTED_VALUE"""),21515.0)</f>
        <v>21515</v>
      </c>
      <c r="Q1097" s="20">
        <f>IFERROR(__xludf.DUMMYFUNCTION("""COMPUTED_VALUE"""),33831.0)</f>
        <v>33831</v>
      </c>
    </row>
    <row r="1098">
      <c r="A1098" s="20">
        <f>IFERROR(__xludf.DUMMYFUNCTION("""COMPUTED_VALUE"""),1193.0)</f>
        <v>1193</v>
      </c>
      <c r="B1098" s="20" t="str">
        <f>IFERROR(__xludf.DUMMYFUNCTION("""COMPUTED_VALUE"""),"Game Play Analysis V")</f>
        <v>Game Play Analysis V</v>
      </c>
      <c r="C1098" s="20" t="str">
        <f>IFERROR(__xludf.DUMMYFUNCTION("""COMPUTED_VALUE"""),"game-play-analysis-v")</f>
        <v>game-play-analysis-v</v>
      </c>
      <c r="D1098" s="20" t="b">
        <f>IFERROR(__xludf.DUMMYFUNCTION("""COMPUTED_VALUE"""),TRUE)</f>
        <v>1</v>
      </c>
      <c r="E1098" s="20" t="str">
        <f>IFERROR(__xludf.DUMMYFUNCTION("""COMPUTED_VALUE"""),"Hard")</f>
        <v>Hard</v>
      </c>
      <c r="F1098" s="20">
        <f>IFERROR(__xludf.DUMMYFUNCTION("""COMPUTED_VALUE"""),149.0)</f>
        <v>149</v>
      </c>
      <c r="G1098" s="20">
        <f>IFERROR(__xludf.DUMMYFUNCTION("""COMPUTED_VALUE"""),28.0)</f>
        <v>28</v>
      </c>
      <c r="H1098" s="20" t="str">
        <f>IFERROR(__xludf.DUMMYFUNCTION("""COMPUTED_VALUE"""),"Database")</f>
        <v>Database</v>
      </c>
      <c r="I1098" s="20">
        <f>IFERROR(__xludf.DUMMYFUNCTION("""COMPUTED_VALUE"""),0.547)</f>
        <v>0.547</v>
      </c>
      <c r="J1098" s="20">
        <f>IFERROR(__xludf.DUMMYFUNCTION("""COMPUTED_VALUE"""),1097.0)</f>
        <v>1097</v>
      </c>
      <c r="K1098" s="20" t="b">
        <f>IFERROR(__xludf.DUMMYFUNCTION("""COMPUTED_VALUE"""),TRUE)</f>
        <v>1</v>
      </c>
      <c r="L1098" s="20" t="str">
        <f>IFERROR(__xludf.DUMMYFUNCTION("""COMPUTED_VALUE"""),"Database;")</f>
        <v>Database;</v>
      </c>
      <c r="M1098" s="20" t="b">
        <f>IFERROR(__xludf.DUMMYFUNCTION("""COMPUTED_VALUE"""),TRUE)</f>
        <v>1</v>
      </c>
      <c r="N1098" s="20" t="b">
        <f>IFERROR(__xludf.DUMMYFUNCTION("""COMPUTED_VALUE"""),FALSE)</f>
        <v>0</v>
      </c>
      <c r="O1098" s="20">
        <f>IFERROR(__xludf.DUMMYFUNCTION("""COMPUTED_VALUE"""),54.6957063588617)</f>
        <v>54.69570636</v>
      </c>
      <c r="P1098" s="20">
        <f>IFERROR(__xludf.DUMMYFUNCTION("""COMPUTED_VALUE"""),18433.0)</f>
        <v>18433</v>
      </c>
      <c r="Q1098" s="20">
        <f>IFERROR(__xludf.DUMMYFUNCTION("""COMPUTED_VALUE"""),33701.0)</f>
        <v>33701</v>
      </c>
    </row>
    <row r="1099">
      <c r="A1099" s="20">
        <f>IFERROR(__xludf.DUMMYFUNCTION("""COMPUTED_VALUE"""),1198.0)</f>
        <v>1198</v>
      </c>
      <c r="B1099" s="20" t="str">
        <f>IFERROR(__xludf.DUMMYFUNCTION("""COMPUTED_VALUE"""),"Unpopular Books")</f>
        <v>Unpopular Books</v>
      </c>
      <c r="C1099" s="20" t="str">
        <f>IFERROR(__xludf.DUMMYFUNCTION("""COMPUTED_VALUE"""),"unpopular-books")</f>
        <v>unpopular-books</v>
      </c>
      <c r="D1099" s="20" t="b">
        <f>IFERROR(__xludf.DUMMYFUNCTION("""COMPUTED_VALUE"""),TRUE)</f>
        <v>1</v>
      </c>
      <c r="E1099" s="20" t="str">
        <f>IFERROR(__xludf.DUMMYFUNCTION("""COMPUTED_VALUE"""),"Medium")</f>
        <v>Medium</v>
      </c>
      <c r="F1099" s="20">
        <f>IFERROR(__xludf.DUMMYFUNCTION("""COMPUTED_VALUE"""),172.0)</f>
        <v>172</v>
      </c>
      <c r="G1099" s="20">
        <f>IFERROR(__xludf.DUMMYFUNCTION("""COMPUTED_VALUE"""),511.0)</f>
        <v>511</v>
      </c>
      <c r="H1099" s="20" t="str">
        <f>IFERROR(__xludf.DUMMYFUNCTION("""COMPUTED_VALUE"""),"Database")</f>
        <v>Database</v>
      </c>
      <c r="I1099" s="20">
        <f>IFERROR(__xludf.DUMMYFUNCTION("""COMPUTED_VALUE"""),0.451)</f>
        <v>0.451</v>
      </c>
      <c r="J1099" s="20">
        <f>IFERROR(__xludf.DUMMYFUNCTION("""COMPUTED_VALUE"""),1098.0)</f>
        <v>1098</v>
      </c>
      <c r="K1099" s="20" t="b">
        <f>IFERROR(__xludf.DUMMYFUNCTION("""COMPUTED_VALUE"""),TRUE)</f>
        <v>1</v>
      </c>
      <c r="L1099" s="20" t="str">
        <f>IFERROR(__xludf.DUMMYFUNCTION("""COMPUTED_VALUE"""),"Database;")</f>
        <v>Database;</v>
      </c>
      <c r="M1099" s="20" t="b">
        <f>IFERROR(__xludf.DUMMYFUNCTION("""COMPUTED_VALUE"""),FALSE)</f>
        <v>0</v>
      </c>
      <c r="N1099" s="20" t="b">
        <f>IFERROR(__xludf.DUMMYFUNCTION("""COMPUTED_VALUE"""),FALSE)</f>
        <v>0</v>
      </c>
      <c r="O1099" s="20">
        <f>IFERROR(__xludf.DUMMYFUNCTION("""COMPUTED_VALUE"""),45.0623427607752)</f>
        <v>45.06234276</v>
      </c>
      <c r="P1099" s="20">
        <f>IFERROR(__xludf.DUMMYFUNCTION("""COMPUTED_VALUE"""),32599.0)</f>
        <v>32599</v>
      </c>
      <c r="Q1099" s="20">
        <f>IFERROR(__xludf.DUMMYFUNCTION("""COMPUTED_VALUE"""),72342.0)</f>
        <v>72342</v>
      </c>
    </row>
    <row r="1100">
      <c r="A1100" s="20">
        <f>IFERROR(__xludf.DUMMYFUNCTION("""COMPUTED_VALUE"""),1083.0)</f>
        <v>1083</v>
      </c>
      <c r="B1100" s="20" t="str">
        <f>IFERROR(__xludf.DUMMYFUNCTION("""COMPUTED_VALUE"""),"Two Sum Less Than K")</f>
        <v>Two Sum Less Than K</v>
      </c>
      <c r="C1100" s="20" t="str">
        <f>IFERROR(__xludf.DUMMYFUNCTION("""COMPUTED_VALUE"""),"two-sum-less-than-k")</f>
        <v>two-sum-less-than-k</v>
      </c>
      <c r="D1100" s="20" t="b">
        <f>IFERROR(__xludf.DUMMYFUNCTION("""COMPUTED_VALUE"""),TRUE)</f>
        <v>1</v>
      </c>
      <c r="E1100" s="20" t="str">
        <f>IFERROR(__xludf.DUMMYFUNCTION("""COMPUTED_VALUE"""),"Easy")</f>
        <v>Easy</v>
      </c>
      <c r="F1100" s="20">
        <f>IFERROR(__xludf.DUMMYFUNCTION("""COMPUTED_VALUE"""),976.0)</f>
        <v>976</v>
      </c>
      <c r="G1100" s="20">
        <f>IFERROR(__xludf.DUMMYFUNCTION("""COMPUTED_VALUE"""),112.0)</f>
        <v>112</v>
      </c>
      <c r="H1100" s="20" t="str">
        <f>IFERROR(__xludf.DUMMYFUNCTION("""COMPUTED_VALUE"""),"Algorithms")</f>
        <v>Algorithms</v>
      </c>
      <c r="I1100" s="20">
        <f>IFERROR(__xludf.DUMMYFUNCTION("""COMPUTED_VALUE"""),0.609)</f>
        <v>0.609</v>
      </c>
      <c r="J1100" s="20">
        <f>IFERROR(__xludf.DUMMYFUNCTION("""COMPUTED_VALUE"""),1099.0)</f>
        <v>1099</v>
      </c>
      <c r="K1100" s="20" t="b">
        <f>IFERROR(__xludf.DUMMYFUNCTION("""COMPUTED_VALUE"""),TRUE)</f>
        <v>1</v>
      </c>
      <c r="L1100" s="20" t="str">
        <f>IFERROR(__xludf.DUMMYFUNCTION("""COMPUTED_VALUE"""),"Array;Two Pointers;Binary Search;Sorting;")</f>
        <v>Array;Two Pointers;Binary Search;Sorting;</v>
      </c>
      <c r="M1100" s="20" t="b">
        <f>IFERROR(__xludf.DUMMYFUNCTION("""COMPUTED_VALUE"""),TRUE)</f>
        <v>1</v>
      </c>
      <c r="N1100" s="20" t="b">
        <f>IFERROR(__xludf.DUMMYFUNCTION("""COMPUTED_VALUE"""),TRUE)</f>
        <v>1</v>
      </c>
      <c r="O1100" s="20">
        <f>IFERROR(__xludf.DUMMYFUNCTION("""COMPUTED_VALUE"""),60.9317538410796)</f>
        <v>60.93175384</v>
      </c>
      <c r="P1100" s="20">
        <f>IFERROR(__xludf.DUMMYFUNCTION("""COMPUTED_VALUE"""),110843.0)</f>
        <v>110843</v>
      </c>
      <c r="Q1100" s="20">
        <f>IFERROR(__xludf.DUMMYFUNCTION("""COMPUTED_VALUE"""),181914.0)</f>
        <v>181914</v>
      </c>
    </row>
    <row r="1101">
      <c r="A1101" s="20">
        <f>IFERROR(__xludf.DUMMYFUNCTION("""COMPUTED_VALUE"""),1084.0)</f>
        <v>1084</v>
      </c>
      <c r="B1101" s="20" t="str">
        <f>IFERROR(__xludf.DUMMYFUNCTION("""COMPUTED_VALUE"""),"Find K-Length Substrings With No Repeated Characters")</f>
        <v>Find K-Length Substrings With No Repeated Characters</v>
      </c>
      <c r="C1101" s="20" t="str">
        <f>IFERROR(__xludf.DUMMYFUNCTION("""COMPUTED_VALUE"""),"find-k-length-substrings-with-no-repeated-characters")</f>
        <v>find-k-length-substrings-with-no-repeated-characters</v>
      </c>
      <c r="D1101" s="20" t="b">
        <f>IFERROR(__xludf.DUMMYFUNCTION("""COMPUTED_VALUE"""),TRUE)</f>
        <v>1</v>
      </c>
      <c r="E1101" s="20" t="str">
        <f>IFERROR(__xludf.DUMMYFUNCTION("""COMPUTED_VALUE"""),"Medium")</f>
        <v>Medium</v>
      </c>
      <c r="F1101" s="20">
        <f>IFERROR(__xludf.DUMMYFUNCTION("""COMPUTED_VALUE"""),477.0)</f>
        <v>477</v>
      </c>
      <c r="G1101" s="20">
        <f>IFERROR(__xludf.DUMMYFUNCTION("""COMPUTED_VALUE"""),9.0)</f>
        <v>9</v>
      </c>
      <c r="H1101" s="20" t="str">
        <f>IFERROR(__xludf.DUMMYFUNCTION("""COMPUTED_VALUE"""),"Algorithms")</f>
        <v>Algorithms</v>
      </c>
      <c r="I1101" s="20">
        <f>IFERROR(__xludf.DUMMYFUNCTION("""COMPUTED_VALUE"""),0.747)</f>
        <v>0.747</v>
      </c>
      <c r="J1101" s="20">
        <f>IFERROR(__xludf.DUMMYFUNCTION("""COMPUTED_VALUE"""),1100.0)</f>
        <v>1100</v>
      </c>
      <c r="K1101" s="20" t="b">
        <f>IFERROR(__xludf.DUMMYFUNCTION("""COMPUTED_VALUE"""),TRUE)</f>
        <v>1</v>
      </c>
      <c r="L1101" s="20" t="str">
        <f>IFERROR(__xludf.DUMMYFUNCTION("""COMPUTED_VALUE"""),"Hash Table;String;Sliding Window;")</f>
        <v>Hash Table;String;Sliding Window;</v>
      </c>
      <c r="M1101" s="20" t="b">
        <f>IFERROR(__xludf.DUMMYFUNCTION("""COMPUTED_VALUE"""),TRUE)</f>
        <v>1</v>
      </c>
      <c r="N1101" s="20" t="b">
        <f>IFERROR(__xludf.DUMMYFUNCTION("""COMPUTED_VALUE"""),FALSE)</f>
        <v>0</v>
      </c>
      <c r="O1101" s="20">
        <f>IFERROR(__xludf.DUMMYFUNCTION("""COMPUTED_VALUE"""),74.6630788204955)</f>
        <v>74.66307882</v>
      </c>
      <c r="P1101" s="20">
        <f>IFERROR(__xludf.DUMMYFUNCTION("""COMPUTED_VALUE"""),33296.0)</f>
        <v>33296</v>
      </c>
      <c r="Q1101" s="20">
        <f>IFERROR(__xludf.DUMMYFUNCTION("""COMPUTED_VALUE"""),44595.0)</f>
        <v>44595</v>
      </c>
    </row>
    <row r="1102">
      <c r="A1102" s="20">
        <f>IFERROR(__xludf.DUMMYFUNCTION("""COMPUTED_VALUE"""),1085.0)</f>
        <v>1085</v>
      </c>
      <c r="B1102" s="20" t="str">
        <f>IFERROR(__xludf.DUMMYFUNCTION("""COMPUTED_VALUE"""),"The Earliest Moment When Everyone Become Friends")</f>
        <v>The Earliest Moment When Everyone Become Friends</v>
      </c>
      <c r="C1102" s="20" t="str">
        <f>IFERROR(__xludf.DUMMYFUNCTION("""COMPUTED_VALUE"""),"the-earliest-moment-when-everyone-become-friends")</f>
        <v>the-earliest-moment-when-everyone-become-friends</v>
      </c>
      <c r="D1102" s="20" t="b">
        <f>IFERROR(__xludf.DUMMYFUNCTION("""COMPUTED_VALUE"""),TRUE)</f>
        <v>1</v>
      </c>
      <c r="E1102" s="20" t="str">
        <f>IFERROR(__xludf.DUMMYFUNCTION("""COMPUTED_VALUE"""),"Medium")</f>
        <v>Medium</v>
      </c>
      <c r="F1102" s="20">
        <f>IFERROR(__xludf.DUMMYFUNCTION("""COMPUTED_VALUE"""),739.0)</f>
        <v>739</v>
      </c>
      <c r="G1102" s="20">
        <f>IFERROR(__xludf.DUMMYFUNCTION("""COMPUTED_VALUE"""),19.0)</f>
        <v>19</v>
      </c>
      <c r="H1102" s="20" t="str">
        <f>IFERROR(__xludf.DUMMYFUNCTION("""COMPUTED_VALUE"""),"Algorithms")</f>
        <v>Algorithms</v>
      </c>
      <c r="I1102" s="20">
        <f>IFERROR(__xludf.DUMMYFUNCTION("""COMPUTED_VALUE"""),0.649)</f>
        <v>0.649</v>
      </c>
      <c r="J1102" s="20">
        <f>IFERROR(__xludf.DUMMYFUNCTION("""COMPUTED_VALUE"""),1101.0)</f>
        <v>1101</v>
      </c>
      <c r="K1102" s="20" t="b">
        <f>IFERROR(__xludf.DUMMYFUNCTION("""COMPUTED_VALUE"""),TRUE)</f>
        <v>1</v>
      </c>
      <c r="L1102" s="20" t="str">
        <f>IFERROR(__xludf.DUMMYFUNCTION("""COMPUTED_VALUE"""),"Array;Union Find;")</f>
        <v>Array;Union Find;</v>
      </c>
      <c r="M1102" s="20" t="b">
        <f>IFERROR(__xludf.DUMMYFUNCTION("""COMPUTED_VALUE"""),TRUE)</f>
        <v>1</v>
      </c>
      <c r="N1102" s="20" t="b">
        <f>IFERROR(__xludf.DUMMYFUNCTION("""COMPUTED_VALUE"""),FALSE)</f>
        <v>0</v>
      </c>
      <c r="O1102" s="20">
        <f>IFERROR(__xludf.DUMMYFUNCTION("""COMPUTED_VALUE"""),64.897466827503)</f>
        <v>64.89746683</v>
      </c>
      <c r="P1102" s="20">
        <f>IFERROR(__xludf.DUMMYFUNCTION("""COMPUTED_VALUE"""),57566.0)</f>
        <v>57566</v>
      </c>
      <c r="Q1102" s="20">
        <f>IFERROR(__xludf.DUMMYFUNCTION("""COMPUTED_VALUE"""),88702.0)</f>
        <v>88702</v>
      </c>
    </row>
    <row r="1103">
      <c r="A1103" s="20">
        <f>IFERROR(__xludf.DUMMYFUNCTION("""COMPUTED_VALUE"""),1099.0)</f>
        <v>1099</v>
      </c>
      <c r="B1103" s="20" t="str">
        <f>IFERROR(__xludf.DUMMYFUNCTION("""COMPUTED_VALUE"""),"Path With Maximum Minimum Value")</f>
        <v>Path With Maximum Minimum Value</v>
      </c>
      <c r="C1103" s="20" t="str">
        <f>IFERROR(__xludf.DUMMYFUNCTION("""COMPUTED_VALUE"""),"path-with-maximum-minimum-value")</f>
        <v>path-with-maximum-minimum-value</v>
      </c>
      <c r="D1103" s="20" t="b">
        <f>IFERROR(__xludf.DUMMYFUNCTION("""COMPUTED_VALUE"""),TRUE)</f>
        <v>1</v>
      </c>
      <c r="E1103" s="20" t="str">
        <f>IFERROR(__xludf.DUMMYFUNCTION("""COMPUTED_VALUE"""),"Medium")</f>
        <v>Medium</v>
      </c>
      <c r="F1103" s="20">
        <f>IFERROR(__xludf.DUMMYFUNCTION("""COMPUTED_VALUE"""),1155.0)</f>
        <v>1155</v>
      </c>
      <c r="G1103" s="20">
        <f>IFERROR(__xludf.DUMMYFUNCTION("""COMPUTED_VALUE"""),115.0)</f>
        <v>115</v>
      </c>
      <c r="H1103" s="20" t="str">
        <f>IFERROR(__xludf.DUMMYFUNCTION("""COMPUTED_VALUE"""),"Algorithms")</f>
        <v>Algorithms</v>
      </c>
      <c r="I1103" s="20">
        <f>IFERROR(__xludf.DUMMYFUNCTION("""COMPUTED_VALUE"""),0.533)</f>
        <v>0.533</v>
      </c>
      <c r="J1103" s="20">
        <f>IFERROR(__xludf.DUMMYFUNCTION("""COMPUTED_VALUE"""),1102.0)</f>
        <v>1102</v>
      </c>
      <c r="K1103" s="20" t="b">
        <f>IFERROR(__xludf.DUMMYFUNCTION("""COMPUTED_VALUE"""),TRUE)</f>
        <v>1</v>
      </c>
      <c r="L1103" s="20" t="str">
        <f>IFERROR(__xludf.DUMMYFUNCTION("""COMPUTED_VALUE"""),"Array;Depth-First Search;Breadth-First Search;Union Find;Heap (Priority Queue);Matrix;")</f>
        <v>Array;Depth-First Search;Breadth-First Search;Union Find;Heap (Priority Queue);Matrix;</v>
      </c>
      <c r="M1103" s="20" t="b">
        <f>IFERROR(__xludf.DUMMYFUNCTION("""COMPUTED_VALUE"""),TRUE)</f>
        <v>1</v>
      </c>
      <c r="N1103" s="20" t="b">
        <f>IFERROR(__xludf.DUMMYFUNCTION("""COMPUTED_VALUE"""),FALSE)</f>
        <v>0</v>
      </c>
      <c r="O1103" s="20">
        <f>IFERROR(__xludf.DUMMYFUNCTION("""COMPUTED_VALUE"""),53.3036979141224)</f>
        <v>53.30369791</v>
      </c>
      <c r="P1103" s="20">
        <f>IFERROR(__xludf.DUMMYFUNCTION("""COMPUTED_VALUE"""),54559.0)</f>
        <v>54559</v>
      </c>
      <c r="Q1103" s="20">
        <f>IFERROR(__xludf.DUMMYFUNCTION("""COMPUTED_VALUE"""),102355.0)</f>
        <v>102355</v>
      </c>
    </row>
    <row r="1104">
      <c r="A1104" s="20">
        <f>IFERROR(__xludf.DUMMYFUNCTION("""COMPUTED_VALUE"""),1195.0)</f>
        <v>1195</v>
      </c>
      <c r="B1104" s="20" t="str">
        <f>IFERROR(__xludf.DUMMYFUNCTION("""COMPUTED_VALUE"""),"Distribute Candies to People")</f>
        <v>Distribute Candies to People</v>
      </c>
      <c r="C1104" s="20" t="str">
        <f>IFERROR(__xludf.DUMMYFUNCTION("""COMPUTED_VALUE"""),"distribute-candies-to-people")</f>
        <v>distribute-candies-to-people</v>
      </c>
      <c r="D1104" s="20" t="b">
        <f>IFERROR(__xludf.DUMMYFUNCTION("""COMPUTED_VALUE"""),FALSE)</f>
        <v>0</v>
      </c>
      <c r="E1104" s="20" t="str">
        <f>IFERROR(__xludf.DUMMYFUNCTION("""COMPUTED_VALUE"""),"Easy")</f>
        <v>Easy</v>
      </c>
      <c r="F1104" s="20">
        <f>IFERROR(__xludf.DUMMYFUNCTION("""COMPUTED_VALUE"""),793.0)</f>
        <v>793</v>
      </c>
      <c r="G1104" s="20">
        <f>IFERROR(__xludf.DUMMYFUNCTION("""COMPUTED_VALUE"""),181.0)</f>
        <v>181</v>
      </c>
      <c r="H1104" s="20" t="str">
        <f>IFERROR(__xludf.DUMMYFUNCTION("""COMPUTED_VALUE"""),"Algorithms")</f>
        <v>Algorithms</v>
      </c>
      <c r="I1104" s="20">
        <f>IFERROR(__xludf.DUMMYFUNCTION("""COMPUTED_VALUE"""),0.64)</f>
        <v>0.64</v>
      </c>
      <c r="J1104" s="20">
        <f>IFERROR(__xludf.DUMMYFUNCTION("""COMPUTED_VALUE"""),1103.0)</f>
        <v>1103</v>
      </c>
      <c r="K1104" s="20" t="b">
        <f>IFERROR(__xludf.DUMMYFUNCTION("""COMPUTED_VALUE"""),FALSE)</f>
        <v>0</v>
      </c>
      <c r="L1104" s="20" t="str">
        <f>IFERROR(__xludf.DUMMYFUNCTION("""COMPUTED_VALUE"""),"Math;Simulation;")</f>
        <v>Math;Simulation;</v>
      </c>
      <c r="M1104" s="20" t="b">
        <f>IFERROR(__xludf.DUMMYFUNCTION("""COMPUTED_VALUE"""),FALSE)</f>
        <v>0</v>
      </c>
      <c r="N1104" s="20" t="b">
        <f>IFERROR(__xludf.DUMMYFUNCTION("""COMPUTED_VALUE"""),FALSE)</f>
        <v>0</v>
      </c>
      <c r="O1104" s="20">
        <f>IFERROR(__xludf.DUMMYFUNCTION("""COMPUTED_VALUE"""),63.9988075300967)</f>
        <v>63.99880753</v>
      </c>
      <c r="P1104" s="20">
        <f>IFERROR(__xludf.DUMMYFUNCTION("""COMPUTED_VALUE"""),72990.0)</f>
        <v>72990</v>
      </c>
      <c r="Q1104" s="20">
        <f>IFERROR(__xludf.DUMMYFUNCTION("""COMPUTED_VALUE"""),114049.0)</f>
        <v>114049</v>
      </c>
    </row>
    <row r="1105">
      <c r="A1105" s="20">
        <f>IFERROR(__xludf.DUMMYFUNCTION("""COMPUTED_VALUE"""),1194.0)</f>
        <v>1194</v>
      </c>
      <c r="B1105" s="20" t="str">
        <f>IFERROR(__xludf.DUMMYFUNCTION("""COMPUTED_VALUE"""),"Path In Zigzag Labelled Binary Tree")</f>
        <v>Path In Zigzag Labelled Binary Tree</v>
      </c>
      <c r="C1105" s="20" t="str">
        <f>IFERROR(__xludf.DUMMYFUNCTION("""COMPUTED_VALUE"""),"path-in-zigzag-labelled-binary-tree")</f>
        <v>path-in-zigzag-labelled-binary-tree</v>
      </c>
      <c r="D1105" s="20" t="b">
        <f>IFERROR(__xludf.DUMMYFUNCTION("""COMPUTED_VALUE"""),FALSE)</f>
        <v>0</v>
      </c>
      <c r="E1105" s="20" t="str">
        <f>IFERROR(__xludf.DUMMYFUNCTION("""COMPUTED_VALUE"""),"Medium")</f>
        <v>Medium</v>
      </c>
      <c r="F1105" s="20">
        <f>IFERROR(__xludf.DUMMYFUNCTION("""COMPUTED_VALUE"""),1228.0)</f>
        <v>1228</v>
      </c>
      <c r="G1105" s="20">
        <f>IFERROR(__xludf.DUMMYFUNCTION("""COMPUTED_VALUE"""),290.0)</f>
        <v>290</v>
      </c>
      <c r="H1105" s="20" t="str">
        <f>IFERROR(__xludf.DUMMYFUNCTION("""COMPUTED_VALUE"""),"Algorithms")</f>
        <v>Algorithms</v>
      </c>
      <c r="I1105" s="20">
        <f>IFERROR(__xludf.DUMMYFUNCTION("""COMPUTED_VALUE"""),0.75)</f>
        <v>0.75</v>
      </c>
      <c r="J1105" s="20">
        <f>IFERROR(__xludf.DUMMYFUNCTION("""COMPUTED_VALUE"""),1104.0)</f>
        <v>1104</v>
      </c>
      <c r="K1105" s="20" t="b">
        <f>IFERROR(__xludf.DUMMYFUNCTION("""COMPUTED_VALUE"""),FALSE)</f>
        <v>0</v>
      </c>
      <c r="L1105" s="20" t="str">
        <f>IFERROR(__xludf.DUMMYFUNCTION("""COMPUTED_VALUE"""),"Math;Tree;Binary Tree;")</f>
        <v>Math;Tree;Binary Tree;</v>
      </c>
      <c r="M1105" s="20" t="b">
        <f>IFERROR(__xludf.DUMMYFUNCTION("""COMPUTED_VALUE"""),FALSE)</f>
        <v>0</v>
      </c>
      <c r="N1105" s="20" t="b">
        <f>IFERROR(__xludf.DUMMYFUNCTION("""COMPUTED_VALUE"""),FALSE)</f>
        <v>0</v>
      </c>
      <c r="O1105" s="20">
        <f>IFERROR(__xludf.DUMMYFUNCTION("""COMPUTED_VALUE"""),75.0174292372965)</f>
        <v>75.01742924</v>
      </c>
      <c r="P1105" s="20">
        <f>IFERROR(__xludf.DUMMYFUNCTION("""COMPUTED_VALUE"""),37661.0)</f>
        <v>37661</v>
      </c>
      <c r="Q1105" s="20">
        <f>IFERROR(__xludf.DUMMYFUNCTION("""COMPUTED_VALUE"""),50203.0)</f>
        <v>50203</v>
      </c>
    </row>
    <row r="1106">
      <c r="A1106" s="20">
        <f>IFERROR(__xludf.DUMMYFUNCTION("""COMPUTED_VALUE"""),1196.0)</f>
        <v>1196</v>
      </c>
      <c r="B1106" s="20" t="str">
        <f>IFERROR(__xludf.DUMMYFUNCTION("""COMPUTED_VALUE"""),"Filling Bookcase Shelves")</f>
        <v>Filling Bookcase Shelves</v>
      </c>
      <c r="C1106" s="20" t="str">
        <f>IFERROR(__xludf.DUMMYFUNCTION("""COMPUTED_VALUE"""),"filling-bookcase-shelves")</f>
        <v>filling-bookcase-shelves</v>
      </c>
      <c r="D1106" s="20" t="b">
        <f>IFERROR(__xludf.DUMMYFUNCTION("""COMPUTED_VALUE"""),FALSE)</f>
        <v>0</v>
      </c>
      <c r="E1106" s="20" t="str">
        <f>IFERROR(__xludf.DUMMYFUNCTION("""COMPUTED_VALUE"""),"Medium")</f>
        <v>Medium</v>
      </c>
      <c r="F1106" s="20">
        <f>IFERROR(__xludf.DUMMYFUNCTION("""COMPUTED_VALUE"""),1499.0)</f>
        <v>1499</v>
      </c>
      <c r="G1106" s="20">
        <f>IFERROR(__xludf.DUMMYFUNCTION("""COMPUTED_VALUE"""),98.0)</f>
        <v>98</v>
      </c>
      <c r="H1106" s="20" t="str">
        <f>IFERROR(__xludf.DUMMYFUNCTION("""COMPUTED_VALUE"""),"Algorithms")</f>
        <v>Algorithms</v>
      </c>
      <c r="I1106" s="20">
        <f>IFERROR(__xludf.DUMMYFUNCTION("""COMPUTED_VALUE"""),0.592)</f>
        <v>0.592</v>
      </c>
      <c r="J1106" s="20">
        <f>IFERROR(__xludf.DUMMYFUNCTION("""COMPUTED_VALUE"""),1105.0)</f>
        <v>1105</v>
      </c>
      <c r="K1106" s="20" t="b">
        <f>IFERROR(__xludf.DUMMYFUNCTION("""COMPUTED_VALUE"""),FALSE)</f>
        <v>0</v>
      </c>
      <c r="L1106" s="20" t="str">
        <f>IFERROR(__xludf.DUMMYFUNCTION("""COMPUTED_VALUE"""),"Array;Dynamic Programming;")</f>
        <v>Array;Dynamic Programming;</v>
      </c>
      <c r="M1106" s="20" t="b">
        <f>IFERROR(__xludf.DUMMYFUNCTION("""COMPUTED_VALUE"""),FALSE)</f>
        <v>0</v>
      </c>
      <c r="N1106" s="20" t="b">
        <f>IFERROR(__xludf.DUMMYFUNCTION("""COMPUTED_VALUE"""),FALSE)</f>
        <v>0</v>
      </c>
      <c r="O1106" s="20">
        <f>IFERROR(__xludf.DUMMYFUNCTION("""COMPUTED_VALUE"""),59.2245571132027)</f>
        <v>59.22455711</v>
      </c>
      <c r="P1106" s="20">
        <f>IFERROR(__xludf.DUMMYFUNCTION("""COMPUTED_VALUE"""),41654.0)</f>
        <v>41654</v>
      </c>
      <c r="Q1106" s="20">
        <f>IFERROR(__xludf.DUMMYFUNCTION("""COMPUTED_VALUE"""),70333.0)</f>
        <v>70333</v>
      </c>
    </row>
    <row r="1107">
      <c r="A1107" s="20">
        <f>IFERROR(__xludf.DUMMYFUNCTION("""COMPUTED_VALUE"""),1197.0)</f>
        <v>1197</v>
      </c>
      <c r="B1107" s="20" t="str">
        <f>IFERROR(__xludf.DUMMYFUNCTION("""COMPUTED_VALUE"""),"Parsing A Boolean Expression")</f>
        <v>Parsing A Boolean Expression</v>
      </c>
      <c r="C1107" s="20" t="str">
        <f>IFERROR(__xludf.DUMMYFUNCTION("""COMPUTED_VALUE"""),"parsing-a-boolean-expression")</f>
        <v>parsing-a-boolean-expression</v>
      </c>
      <c r="D1107" s="20" t="b">
        <f>IFERROR(__xludf.DUMMYFUNCTION("""COMPUTED_VALUE"""),FALSE)</f>
        <v>0</v>
      </c>
      <c r="E1107" s="20" t="str">
        <f>IFERROR(__xludf.DUMMYFUNCTION("""COMPUTED_VALUE"""),"Hard")</f>
        <v>Hard</v>
      </c>
      <c r="F1107" s="20">
        <f>IFERROR(__xludf.DUMMYFUNCTION("""COMPUTED_VALUE"""),826.0)</f>
        <v>826</v>
      </c>
      <c r="G1107" s="20">
        <f>IFERROR(__xludf.DUMMYFUNCTION("""COMPUTED_VALUE"""),44.0)</f>
        <v>44</v>
      </c>
      <c r="H1107" s="20" t="str">
        <f>IFERROR(__xludf.DUMMYFUNCTION("""COMPUTED_VALUE"""),"Algorithms")</f>
        <v>Algorithms</v>
      </c>
      <c r="I1107" s="20">
        <f>IFERROR(__xludf.DUMMYFUNCTION("""COMPUTED_VALUE"""),0.586)</f>
        <v>0.586</v>
      </c>
      <c r="J1107" s="20">
        <f>IFERROR(__xludf.DUMMYFUNCTION("""COMPUTED_VALUE"""),1106.0)</f>
        <v>1106</v>
      </c>
      <c r="K1107" s="20" t="b">
        <f>IFERROR(__xludf.DUMMYFUNCTION("""COMPUTED_VALUE"""),FALSE)</f>
        <v>0</v>
      </c>
      <c r="L1107" s="20" t="str">
        <f>IFERROR(__xludf.DUMMYFUNCTION("""COMPUTED_VALUE"""),"String;Stack;Recursion;")</f>
        <v>String;Stack;Recursion;</v>
      </c>
      <c r="M1107" s="20" t="b">
        <f>IFERROR(__xludf.DUMMYFUNCTION("""COMPUTED_VALUE"""),FALSE)</f>
        <v>0</v>
      </c>
      <c r="N1107" s="20" t="b">
        <f>IFERROR(__xludf.DUMMYFUNCTION("""COMPUTED_VALUE"""),FALSE)</f>
        <v>0</v>
      </c>
      <c r="O1107" s="20">
        <f>IFERROR(__xludf.DUMMYFUNCTION("""COMPUTED_VALUE"""),58.5618377416484)</f>
        <v>58.56183774</v>
      </c>
      <c r="P1107" s="20">
        <f>IFERROR(__xludf.DUMMYFUNCTION("""COMPUTED_VALUE"""),21720.0)</f>
        <v>21720</v>
      </c>
      <c r="Q1107" s="20">
        <f>IFERROR(__xludf.DUMMYFUNCTION("""COMPUTED_VALUE"""),37089.0)</f>
        <v>37089</v>
      </c>
    </row>
    <row r="1108">
      <c r="A1108" s="20">
        <f>IFERROR(__xludf.DUMMYFUNCTION("""COMPUTED_VALUE"""),1204.0)</f>
        <v>1204</v>
      </c>
      <c r="B1108" s="20" t="str">
        <f>IFERROR(__xludf.DUMMYFUNCTION("""COMPUTED_VALUE"""),"New Users Daily Count")</f>
        <v>New Users Daily Count</v>
      </c>
      <c r="C1108" s="20" t="str">
        <f>IFERROR(__xludf.DUMMYFUNCTION("""COMPUTED_VALUE"""),"new-users-daily-count")</f>
        <v>new-users-daily-count</v>
      </c>
      <c r="D1108" s="20" t="b">
        <f>IFERROR(__xludf.DUMMYFUNCTION("""COMPUTED_VALUE"""),TRUE)</f>
        <v>1</v>
      </c>
      <c r="E1108" s="20" t="str">
        <f>IFERROR(__xludf.DUMMYFUNCTION("""COMPUTED_VALUE"""),"Medium")</f>
        <v>Medium</v>
      </c>
      <c r="F1108" s="20">
        <f>IFERROR(__xludf.DUMMYFUNCTION("""COMPUTED_VALUE"""),127.0)</f>
        <v>127</v>
      </c>
      <c r="G1108" s="20">
        <f>IFERROR(__xludf.DUMMYFUNCTION("""COMPUTED_VALUE"""),139.0)</f>
        <v>139</v>
      </c>
      <c r="H1108" s="20" t="str">
        <f>IFERROR(__xludf.DUMMYFUNCTION("""COMPUTED_VALUE"""),"Database")</f>
        <v>Database</v>
      </c>
      <c r="I1108" s="20">
        <f>IFERROR(__xludf.DUMMYFUNCTION("""COMPUTED_VALUE"""),0.457)</f>
        <v>0.457</v>
      </c>
      <c r="J1108" s="20">
        <f>IFERROR(__xludf.DUMMYFUNCTION("""COMPUTED_VALUE"""),1107.0)</f>
        <v>1107</v>
      </c>
      <c r="K1108" s="20" t="b">
        <f>IFERROR(__xludf.DUMMYFUNCTION("""COMPUTED_VALUE"""),TRUE)</f>
        <v>1</v>
      </c>
      <c r="L1108" s="20" t="str">
        <f>IFERROR(__xludf.DUMMYFUNCTION("""COMPUTED_VALUE"""),"Database;")</f>
        <v>Database;</v>
      </c>
      <c r="M1108" s="20" t="b">
        <f>IFERROR(__xludf.DUMMYFUNCTION("""COMPUTED_VALUE"""),FALSE)</f>
        <v>0</v>
      </c>
      <c r="N1108" s="20" t="b">
        <f>IFERROR(__xludf.DUMMYFUNCTION("""COMPUTED_VALUE"""),FALSE)</f>
        <v>0</v>
      </c>
      <c r="O1108" s="20">
        <f>IFERROR(__xludf.DUMMYFUNCTION("""COMPUTED_VALUE"""),45.6801084061492)</f>
        <v>45.68010841</v>
      </c>
      <c r="P1108" s="20">
        <f>IFERROR(__xludf.DUMMYFUNCTION("""COMPUTED_VALUE"""),29327.0)</f>
        <v>29327</v>
      </c>
      <c r="Q1108" s="20">
        <f>IFERROR(__xludf.DUMMYFUNCTION("""COMPUTED_VALUE"""),64202.0)</f>
        <v>64202</v>
      </c>
    </row>
    <row r="1109">
      <c r="A1109" s="20">
        <f>IFERROR(__xludf.DUMMYFUNCTION("""COMPUTED_VALUE"""),1205.0)</f>
        <v>1205</v>
      </c>
      <c r="B1109" s="20" t="str">
        <f>IFERROR(__xludf.DUMMYFUNCTION("""COMPUTED_VALUE"""),"Defanging an IP Address")</f>
        <v>Defanging an IP Address</v>
      </c>
      <c r="C1109" s="20" t="str">
        <f>IFERROR(__xludf.DUMMYFUNCTION("""COMPUTED_VALUE"""),"defanging-an-ip-address")</f>
        <v>defanging-an-ip-address</v>
      </c>
      <c r="D1109" s="20" t="b">
        <f>IFERROR(__xludf.DUMMYFUNCTION("""COMPUTED_VALUE"""),FALSE)</f>
        <v>0</v>
      </c>
      <c r="E1109" s="20" t="str">
        <f>IFERROR(__xludf.DUMMYFUNCTION("""COMPUTED_VALUE"""),"Easy")</f>
        <v>Easy</v>
      </c>
      <c r="F1109" s="20">
        <f>IFERROR(__xludf.DUMMYFUNCTION("""COMPUTED_VALUE"""),1463.0)</f>
        <v>1463</v>
      </c>
      <c r="G1109" s="20">
        <f>IFERROR(__xludf.DUMMYFUNCTION("""COMPUTED_VALUE"""),1612.0)</f>
        <v>1612</v>
      </c>
      <c r="H1109" s="20" t="str">
        <f>IFERROR(__xludf.DUMMYFUNCTION("""COMPUTED_VALUE"""),"Algorithms")</f>
        <v>Algorithms</v>
      </c>
      <c r="I1109" s="20">
        <f>IFERROR(__xludf.DUMMYFUNCTION("""COMPUTED_VALUE"""),0.893)</f>
        <v>0.893</v>
      </c>
      <c r="J1109" s="20">
        <f>IFERROR(__xludf.DUMMYFUNCTION("""COMPUTED_VALUE"""),1108.0)</f>
        <v>1108</v>
      </c>
      <c r="K1109" s="20" t="b">
        <f>IFERROR(__xludf.DUMMYFUNCTION("""COMPUTED_VALUE"""),FALSE)</f>
        <v>0</v>
      </c>
      <c r="L1109" s="20" t="str">
        <f>IFERROR(__xludf.DUMMYFUNCTION("""COMPUTED_VALUE"""),"String;")</f>
        <v>String;</v>
      </c>
      <c r="M1109" s="20" t="b">
        <f>IFERROR(__xludf.DUMMYFUNCTION("""COMPUTED_VALUE"""),FALSE)</f>
        <v>0</v>
      </c>
      <c r="N1109" s="20" t="b">
        <f>IFERROR(__xludf.DUMMYFUNCTION("""COMPUTED_VALUE"""),FALSE)</f>
        <v>0</v>
      </c>
      <c r="O1109" s="20">
        <f>IFERROR(__xludf.DUMMYFUNCTION("""COMPUTED_VALUE"""),89.2559529960861)</f>
        <v>89.255953</v>
      </c>
      <c r="P1109" s="20">
        <f>IFERROR(__xludf.DUMMYFUNCTION("""COMPUTED_VALUE"""),475026.0)</f>
        <v>475026</v>
      </c>
      <c r="Q1109" s="20">
        <f>IFERROR(__xludf.DUMMYFUNCTION("""COMPUTED_VALUE"""),532205.0)</f>
        <v>532205</v>
      </c>
    </row>
    <row r="1110">
      <c r="A1110" s="20">
        <f>IFERROR(__xludf.DUMMYFUNCTION("""COMPUTED_VALUE"""),1206.0)</f>
        <v>1206</v>
      </c>
      <c r="B1110" s="20" t="str">
        <f>IFERROR(__xludf.DUMMYFUNCTION("""COMPUTED_VALUE"""),"Corporate Flight Bookings")</f>
        <v>Corporate Flight Bookings</v>
      </c>
      <c r="C1110" s="20" t="str">
        <f>IFERROR(__xludf.DUMMYFUNCTION("""COMPUTED_VALUE"""),"corporate-flight-bookings")</f>
        <v>corporate-flight-bookings</v>
      </c>
      <c r="D1110" s="20" t="b">
        <f>IFERROR(__xludf.DUMMYFUNCTION("""COMPUTED_VALUE"""),FALSE)</f>
        <v>0</v>
      </c>
      <c r="E1110" s="20" t="str">
        <f>IFERROR(__xludf.DUMMYFUNCTION("""COMPUTED_VALUE"""),"Medium")</f>
        <v>Medium</v>
      </c>
      <c r="F1110" s="20">
        <f>IFERROR(__xludf.DUMMYFUNCTION("""COMPUTED_VALUE"""),1275.0)</f>
        <v>1275</v>
      </c>
      <c r="G1110" s="20">
        <f>IFERROR(__xludf.DUMMYFUNCTION("""COMPUTED_VALUE"""),148.0)</f>
        <v>148</v>
      </c>
      <c r="H1110" s="20" t="str">
        <f>IFERROR(__xludf.DUMMYFUNCTION("""COMPUTED_VALUE"""),"Algorithms")</f>
        <v>Algorithms</v>
      </c>
      <c r="I1110" s="20">
        <f>IFERROR(__xludf.DUMMYFUNCTION("""COMPUTED_VALUE"""),0.605)</f>
        <v>0.605</v>
      </c>
      <c r="J1110" s="20">
        <f>IFERROR(__xludf.DUMMYFUNCTION("""COMPUTED_VALUE"""),1109.0)</f>
        <v>1109</v>
      </c>
      <c r="K1110" s="20" t="b">
        <f>IFERROR(__xludf.DUMMYFUNCTION("""COMPUTED_VALUE"""),FALSE)</f>
        <v>0</v>
      </c>
      <c r="L1110" s="20" t="str">
        <f>IFERROR(__xludf.DUMMYFUNCTION("""COMPUTED_VALUE"""),"Array;Prefix Sum;")</f>
        <v>Array;Prefix Sum;</v>
      </c>
      <c r="M1110" s="20" t="b">
        <f>IFERROR(__xludf.DUMMYFUNCTION("""COMPUTED_VALUE"""),FALSE)</f>
        <v>0</v>
      </c>
      <c r="N1110" s="20" t="b">
        <f>IFERROR(__xludf.DUMMYFUNCTION("""COMPUTED_VALUE"""),FALSE)</f>
        <v>0</v>
      </c>
      <c r="O1110" s="20">
        <f>IFERROR(__xludf.DUMMYFUNCTION("""COMPUTED_VALUE"""),60.5125687599914)</f>
        <v>60.51256876</v>
      </c>
      <c r="P1110" s="20">
        <f>IFERROR(__xludf.DUMMYFUNCTION("""COMPUTED_VALUE"""),48073.0)</f>
        <v>48073</v>
      </c>
      <c r="Q1110" s="20">
        <f>IFERROR(__xludf.DUMMYFUNCTION("""COMPUTED_VALUE"""),79442.0)</f>
        <v>79442</v>
      </c>
    </row>
    <row r="1111">
      <c r="A1111" s="20">
        <f>IFERROR(__xludf.DUMMYFUNCTION("""COMPUTED_VALUE"""),1207.0)</f>
        <v>1207</v>
      </c>
      <c r="B1111" s="20" t="str">
        <f>IFERROR(__xludf.DUMMYFUNCTION("""COMPUTED_VALUE"""),"Delete Nodes And Return Forest")</f>
        <v>Delete Nodes And Return Forest</v>
      </c>
      <c r="C1111" s="20" t="str">
        <f>IFERROR(__xludf.DUMMYFUNCTION("""COMPUTED_VALUE"""),"delete-nodes-and-return-forest")</f>
        <v>delete-nodes-and-return-forest</v>
      </c>
      <c r="D1111" s="20" t="b">
        <f>IFERROR(__xludf.DUMMYFUNCTION("""COMPUTED_VALUE"""),FALSE)</f>
        <v>0</v>
      </c>
      <c r="E1111" s="20" t="str">
        <f>IFERROR(__xludf.DUMMYFUNCTION("""COMPUTED_VALUE"""),"Medium")</f>
        <v>Medium</v>
      </c>
      <c r="F1111" s="20">
        <f>IFERROR(__xludf.DUMMYFUNCTION("""COMPUTED_VALUE"""),3247.0)</f>
        <v>3247</v>
      </c>
      <c r="G1111" s="20">
        <f>IFERROR(__xludf.DUMMYFUNCTION("""COMPUTED_VALUE"""),99.0)</f>
        <v>99</v>
      </c>
      <c r="H1111" s="20" t="str">
        <f>IFERROR(__xludf.DUMMYFUNCTION("""COMPUTED_VALUE"""),"Algorithms")</f>
        <v>Algorithms</v>
      </c>
      <c r="I1111" s="20">
        <f>IFERROR(__xludf.DUMMYFUNCTION("""COMPUTED_VALUE"""),0.693)</f>
        <v>0.693</v>
      </c>
      <c r="J1111" s="20">
        <f>IFERROR(__xludf.DUMMYFUNCTION("""COMPUTED_VALUE"""),1110.0)</f>
        <v>1110</v>
      </c>
      <c r="K1111" s="20" t="b">
        <f>IFERROR(__xludf.DUMMYFUNCTION("""COMPUTED_VALUE"""),FALSE)</f>
        <v>0</v>
      </c>
      <c r="L1111" s="20" t="str">
        <f>IFERROR(__xludf.DUMMYFUNCTION("""COMPUTED_VALUE"""),"Tree;Depth-First Search;Binary Tree;")</f>
        <v>Tree;Depth-First Search;Binary Tree;</v>
      </c>
      <c r="M1111" s="20" t="b">
        <f>IFERROR(__xludf.DUMMYFUNCTION("""COMPUTED_VALUE"""),FALSE)</f>
        <v>0</v>
      </c>
      <c r="N1111" s="20" t="b">
        <f>IFERROR(__xludf.DUMMYFUNCTION("""COMPUTED_VALUE"""),FALSE)</f>
        <v>0</v>
      </c>
      <c r="O1111" s="20">
        <f>IFERROR(__xludf.DUMMYFUNCTION("""COMPUTED_VALUE"""),69.3415621621195)</f>
        <v>69.34156216</v>
      </c>
      <c r="P1111" s="20">
        <f>IFERROR(__xludf.DUMMYFUNCTION("""COMPUTED_VALUE"""),175724.0)</f>
        <v>175724</v>
      </c>
      <c r="Q1111" s="20">
        <f>IFERROR(__xludf.DUMMYFUNCTION("""COMPUTED_VALUE"""),253418.0)</f>
        <v>253418</v>
      </c>
    </row>
    <row r="1112">
      <c r="A1112" s="20">
        <f>IFERROR(__xludf.DUMMYFUNCTION("""COMPUTED_VALUE"""),1208.0)</f>
        <v>1208</v>
      </c>
      <c r="B1112" s="20" t="str">
        <f>IFERROR(__xludf.DUMMYFUNCTION("""COMPUTED_VALUE"""),"Maximum Nesting Depth of Two Valid Parentheses Strings")</f>
        <v>Maximum Nesting Depth of Two Valid Parentheses Strings</v>
      </c>
      <c r="C1112" s="20" t="str">
        <f>IFERROR(__xludf.DUMMYFUNCTION("""COMPUTED_VALUE"""),"maximum-nesting-depth-of-two-valid-parentheses-strings")</f>
        <v>maximum-nesting-depth-of-two-valid-parentheses-strings</v>
      </c>
      <c r="D1112" s="20" t="b">
        <f>IFERROR(__xludf.DUMMYFUNCTION("""COMPUTED_VALUE"""),FALSE)</f>
        <v>0</v>
      </c>
      <c r="E1112" s="20" t="str">
        <f>IFERROR(__xludf.DUMMYFUNCTION("""COMPUTED_VALUE"""),"Medium")</f>
        <v>Medium</v>
      </c>
      <c r="F1112" s="20">
        <f>IFERROR(__xludf.DUMMYFUNCTION("""COMPUTED_VALUE"""),347.0)</f>
        <v>347</v>
      </c>
      <c r="G1112" s="20">
        <f>IFERROR(__xludf.DUMMYFUNCTION("""COMPUTED_VALUE"""),1440.0)</f>
        <v>1440</v>
      </c>
      <c r="H1112" s="20" t="str">
        <f>IFERROR(__xludf.DUMMYFUNCTION("""COMPUTED_VALUE"""),"Algorithms")</f>
        <v>Algorithms</v>
      </c>
      <c r="I1112" s="20">
        <f>IFERROR(__xludf.DUMMYFUNCTION("""COMPUTED_VALUE"""),0.732)</f>
        <v>0.732</v>
      </c>
      <c r="J1112" s="20">
        <f>IFERROR(__xludf.DUMMYFUNCTION("""COMPUTED_VALUE"""),1111.0)</f>
        <v>1111</v>
      </c>
      <c r="K1112" s="20" t="b">
        <f>IFERROR(__xludf.DUMMYFUNCTION("""COMPUTED_VALUE"""),FALSE)</f>
        <v>0</v>
      </c>
      <c r="L1112" s="20" t="str">
        <f>IFERROR(__xludf.DUMMYFUNCTION("""COMPUTED_VALUE"""),"String;Stack;")</f>
        <v>String;Stack;</v>
      </c>
      <c r="M1112" s="20" t="b">
        <f>IFERROR(__xludf.DUMMYFUNCTION("""COMPUTED_VALUE"""),FALSE)</f>
        <v>0</v>
      </c>
      <c r="N1112" s="20" t="b">
        <f>IFERROR(__xludf.DUMMYFUNCTION("""COMPUTED_VALUE"""),FALSE)</f>
        <v>0</v>
      </c>
      <c r="O1112" s="20">
        <f>IFERROR(__xludf.DUMMYFUNCTION("""COMPUTED_VALUE"""),73.1832139201637)</f>
        <v>73.18321392</v>
      </c>
      <c r="P1112" s="20">
        <f>IFERROR(__xludf.DUMMYFUNCTION("""COMPUTED_VALUE"""),22165.0)</f>
        <v>22165</v>
      </c>
      <c r="Q1112" s="20">
        <f>IFERROR(__xludf.DUMMYFUNCTION("""COMPUTED_VALUE"""),30287.0)</f>
        <v>30287</v>
      </c>
    </row>
    <row r="1113">
      <c r="A1113" s="20">
        <f>IFERROR(__xludf.DUMMYFUNCTION("""COMPUTED_VALUE"""),1214.0)</f>
        <v>1214</v>
      </c>
      <c r="B1113" s="20" t="str">
        <f>IFERROR(__xludf.DUMMYFUNCTION("""COMPUTED_VALUE"""),"Highest Grade For Each Student")</f>
        <v>Highest Grade For Each Student</v>
      </c>
      <c r="C1113" s="20" t="str">
        <f>IFERROR(__xludf.DUMMYFUNCTION("""COMPUTED_VALUE"""),"highest-grade-for-each-student")</f>
        <v>highest-grade-for-each-student</v>
      </c>
      <c r="D1113" s="20" t="b">
        <f>IFERROR(__xludf.DUMMYFUNCTION("""COMPUTED_VALUE"""),TRUE)</f>
        <v>1</v>
      </c>
      <c r="E1113" s="20" t="str">
        <f>IFERROR(__xludf.DUMMYFUNCTION("""COMPUTED_VALUE"""),"Medium")</f>
        <v>Medium</v>
      </c>
      <c r="F1113" s="20">
        <f>IFERROR(__xludf.DUMMYFUNCTION("""COMPUTED_VALUE"""),239.0)</f>
        <v>239</v>
      </c>
      <c r="G1113" s="20">
        <f>IFERROR(__xludf.DUMMYFUNCTION("""COMPUTED_VALUE"""),12.0)</f>
        <v>12</v>
      </c>
      <c r="H1113" s="20" t="str">
        <f>IFERROR(__xludf.DUMMYFUNCTION("""COMPUTED_VALUE"""),"Database")</f>
        <v>Database</v>
      </c>
      <c r="I1113" s="20">
        <f>IFERROR(__xludf.DUMMYFUNCTION("""COMPUTED_VALUE"""),0.733)</f>
        <v>0.733</v>
      </c>
      <c r="J1113" s="20">
        <f>IFERROR(__xludf.DUMMYFUNCTION("""COMPUTED_VALUE"""),1112.0)</f>
        <v>1112</v>
      </c>
      <c r="K1113" s="20" t="b">
        <f>IFERROR(__xludf.DUMMYFUNCTION("""COMPUTED_VALUE"""),TRUE)</f>
        <v>1</v>
      </c>
      <c r="L1113" s="20" t="str">
        <f>IFERROR(__xludf.DUMMYFUNCTION("""COMPUTED_VALUE"""),"Database;")</f>
        <v>Database;</v>
      </c>
      <c r="M1113" s="20" t="b">
        <f>IFERROR(__xludf.DUMMYFUNCTION("""COMPUTED_VALUE"""),FALSE)</f>
        <v>0</v>
      </c>
      <c r="N1113" s="20" t="b">
        <f>IFERROR(__xludf.DUMMYFUNCTION("""COMPUTED_VALUE"""),FALSE)</f>
        <v>0</v>
      </c>
      <c r="O1113" s="20">
        <f>IFERROR(__xludf.DUMMYFUNCTION("""COMPUTED_VALUE"""),73.2683452532575)</f>
        <v>73.26834525</v>
      </c>
      <c r="P1113" s="20">
        <f>IFERROR(__xludf.DUMMYFUNCTION("""COMPUTED_VALUE"""),44871.0)</f>
        <v>44871</v>
      </c>
      <c r="Q1113" s="20">
        <f>IFERROR(__xludf.DUMMYFUNCTION("""COMPUTED_VALUE"""),61242.0)</f>
        <v>61242</v>
      </c>
    </row>
    <row r="1114">
      <c r="A1114" s="20">
        <f>IFERROR(__xludf.DUMMYFUNCTION("""COMPUTED_VALUE"""),1215.0)</f>
        <v>1215</v>
      </c>
      <c r="B1114" s="20" t="str">
        <f>IFERROR(__xludf.DUMMYFUNCTION("""COMPUTED_VALUE"""),"Reported Posts")</f>
        <v>Reported Posts</v>
      </c>
      <c r="C1114" s="20" t="str">
        <f>IFERROR(__xludf.DUMMYFUNCTION("""COMPUTED_VALUE"""),"reported-posts")</f>
        <v>reported-posts</v>
      </c>
      <c r="D1114" s="20" t="b">
        <f>IFERROR(__xludf.DUMMYFUNCTION("""COMPUTED_VALUE"""),TRUE)</f>
        <v>1</v>
      </c>
      <c r="E1114" s="20" t="str">
        <f>IFERROR(__xludf.DUMMYFUNCTION("""COMPUTED_VALUE"""),"Easy")</f>
        <v>Easy</v>
      </c>
      <c r="F1114" s="20">
        <f>IFERROR(__xludf.DUMMYFUNCTION("""COMPUTED_VALUE"""),83.0)</f>
        <v>83</v>
      </c>
      <c r="G1114" s="20">
        <f>IFERROR(__xludf.DUMMYFUNCTION("""COMPUTED_VALUE"""),336.0)</f>
        <v>336</v>
      </c>
      <c r="H1114" s="20" t="str">
        <f>IFERROR(__xludf.DUMMYFUNCTION("""COMPUTED_VALUE"""),"Database")</f>
        <v>Database</v>
      </c>
      <c r="I1114" s="20">
        <f>IFERROR(__xludf.DUMMYFUNCTION("""COMPUTED_VALUE"""),0.66)</f>
        <v>0.66</v>
      </c>
      <c r="J1114" s="20">
        <f>IFERROR(__xludf.DUMMYFUNCTION("""COMPUTED_VALUE"""),1113.0)</f>
        <v>1113</v>
      </c>
      <c r="K1114" s="20" t="b">
        <f>IFERROR(__xludf.DUMMYFUNCTION("""COMPUTED_VALUE"""),TRUE)</f>
        <v>1</v>
      </c>
      <c r="L1114" s="20" t="str">
        <f>IFERROR(__xludf.DUMMYFUNCTION("""COMPUTED_VALUE"""),"Database;")</f>
        <v>Database;</v>
      </c>
      <c r="M1114" s="20" t="b">
        <f>IFERROR(__xludf.DUMMYFUNCTION("""COMPUTED_VALUE"""),FALSE)</f>
        <v>0</v>
      </c>
      <c r="N1114" s="20" t="b">
        <f>IFERROR(__xludf.DUMMYFUNCTION("""COMPUTED_VALUE"""),FALSE)</f>
        <v>0</v>
      </c>
      <c r="O1114" s="20">
        <f>IFERROR(__xludf.DUMMYFUNCTION("""COMPUTED_VALUE"""),66.0310986489931)</f>
        <v>66.03109865</v>
      </c>
      <c r="P1114" s="20">
        <f>IFERROR(__xludf.DUMMYFUNCTION("""COMPUTED_VALUE"""),38856.0)</f>
        <v>38856</v>
      </c>
      <c r="Q1114" s="20">
        <f>IFERROR(__xludf.DUMMYFUNCTION("""COMPUTED_VALUE"""),58845.0)</f>
        <v>58845</v>
      </c>
    </row>
    <row r="1115">
      <c r="A1115" s="20">
        <f>IFERROR(__xludf.DUMMYFUNCTION("""COMPUTED_VALUE"""),1203.0)</f>
        <v>1203</v>
      </c>
      <c r="B1115" s="20" t="str">
        <f>IFERROR(__xludf.DUMMYFUNCTION("""COMPUTED_VALUE"""),"Print in Order")</f>
        <v>Print in Order</v>
      </c>
      <c r="C1115" s="20" t="str">
        <f>IFERROR(__xludf.DUMMYFUNCTION("""COMPUTED_VALUE"""),"print-in-order")</f>
        <v>print-in-order</v>
      </c>
      <c r="D1115" s="20" t="b">
        <f>IFERROR(__xludf.DUMMYFUNCTION("""COMPUTED_VALUE"""),FALSE)</f>
        <v>0</v>
      </c>
      <c r="E1115" s="20" t="str">
        <f>IFERROR(__xludf.DUMMYFUNCTION("""COMPUTED_VALUE"""),"Easy")</f>
        <v>Easy</v>
      </c>
      <c r="F1115" s="20">
        <f>IFERROR(__xludf.DUMMYFUNCTION("""COMPUTED_VALUE"""),1155.0)</f>
        <v>1155</v>
      </c>
      <c r="G1115" s="20">
        <f>IFERROR(__xludf.DUMMYFUNCTION("""COMPUTED_VALUE"""),181.0)</f>
        <v>181</v>
      </c>
      <c r="H1115" s="20" t="str">
        <f>IFERROR(__xludf.DUMMYFUNCTION("""COMPUTED_VALUE"""),"Concurrency")</f>
        <v>Concurrency</v>
      </c>
      <c r="I1115" s="20">
        <f>IFERROR(__xludf.DUMMYFUNCTION("""COMPUTED_VALUE"""),0.682)</f>
        <v>0.682</v>
      </c>
      <c r="J1115" s="20">
        <f>IFERROR(__xludf.DUMMYFUNCTION("""COMPUTED_VALUE"""),1114.0)</f>
        <v>1114</v>
      </c>
      <c r="K1115" s="20" t="b">
        <f>IFERROR(__xludf.DUMMYFUNCTION("""COMPUTED_VALUE"""),FALSE)</f>
        <v>0</v>
      </c>
      <c r="L1115" s="20" t="str">
        <f>IFERROR(__xludf.DUMMYFUNCTION("""COMPUTED_VALUE"""),"Concurrency;")</f>
        <v>Concurrency;</v>
      </c>
      <c r="M1115" s="20" t="b">
        <f>IFERROR(__xludf.DUMMYFUNCTION("""COMPUTED_VALUE"""),TRUE)</f>
        <v>1</v>
      </c>
      <c r="N1115" s="20" t="b">
        <f>IFERROR(__xludf.DUMMYFUNCTION("""COMPUTED_VALUE"""),FALSE)</f>
        <v>0</v>
      </c>
      <c r="O1115" s="20">
        <f>IFERROR(__xludf.DUMMYFUNCTION("""COMPUTED_VALUE"""),68.2316919014579)</f>
        <v>68.2316919</v>
      </c>
      <c r="P1115" s="20">
        <f>IFERROR(__xludf.DUMMYFUNCTION("""COMPUTED_VALUE"""),121449.0)</f>
        <v>121449</v>
      </c>
      <c r="Q1115" s="20">
        <f>IFERROR(__xludf.DUMMYFUNCTION("""COMPUTED_VALUE"""),177995.0)</f>
        <v>177995</v>
      </c>
    </row>
    <row r="1116">
      <c r="A1116" s="20">
        <f>IFERROR(__xludf.DUMMYFUNCTION("""COMPUTED_VALUE"""),1187.0)</f>
        <v>1187</v>
      </c>
      <c r="B1116" s="20" t="str">
        <f>IFERROR(__xludf.DUMMYFUNCTION("""COMPUTED_VALUE"""),"Print FooBar Alternately")</f>
        <v>Print FooBar Alternately</v>
      </c>
      <c r="C1116" s="20" t="str">
        <f>IFERROR(__xludf.DUMMYFUNCTION("""COMPUTED_VALUE"""),"print-foobar-alternately")</f>
        <v>print-foobar-alternately</v>
      </c>
      <c r="D1116" s="20" t="b">
        <f>IFERROR(__xludf.DUMMYFUNCTION("""COMPUTED_VALUE"""),FALSE)</f>
        <v>0</v>
      </c>
      <c r="E1116" s="20" t="str">
        <f>IFERROR(__xludf.DUMMYFUNCTION("""COMPUTED_VALUE"""),"Medium")</f>
        <v>Medium</v>
      </c>
      <c r="F1116" s="20">
        <f>IFERROR(__xludf.DUMMYFUNCTION("""COMPUTED_VALUE"""),545.0)</f>
        <v>545</v>
      </c>
      <c r="G1116" s="20">
        <f>IFERROR(__xludf.DUMMYFUNCTION("""COMPUTED_VALUE"""),45.0)</f>
        <v>45</v>
      </c>
      <c r="H1116" s="20" t="str">
        <f>IFERROR(__xludf.DUMMYFUNCTION("""COMPUTED_VALUE"""),"Concurrency")</f>
        <v>Concurrency</v>
      </c>
      <c r="I1116" s="20">
        <f>IFERROR(__xludf.DUMMYFUNCTION("""COMPUTED_VALUE"""),0.62)</f>
        <v>0.62</v>
      </c>
      <c r="J1116" s="20">
        <f>IFERROR(__xludf.DUMMYFUNCTION("""COMPUTED_VALUE"""),1115.0)</f>
        <v>1115</v>
      </c>
      <c r="K1116" s="20" t="b">
        <f>IFERROR(__xludf.DUMMYFUNCTION("""COMPUTED_VALUE"""),FALSE)</f>
        <v>0</v>
      </c>
      <c r="L1116" s="20" t="str">
        <f>IFERROR(__xludf.DUMMYFUNCTION("""COMPUTED_VALUE"""),"Concurrency;")</f>
        <v>Concurrency;</v>
      </c>
      <c r="M1116" s="20" t="b">
        <f>IFERROR(__xludf.DUMMYFUNCTION("""COMPUTED_VALUE"""),FALSE)</f>
        <v>0</v>
      </c>
      <c r="N1116" s="20" t="b">
        <f>IFERROR(__xludf.DUMMYFUNCTION("""COMPUTED_VALUE"""),FALSE)</f>
        <v>0</v>
      </c>
      <c r="O1116" s="20">
        <f>IFERROR(__xludf.DUMMYFUNCTION("""COMPUTED_VALUE"""),62.0246664988673)</f>
        <v>62.0246665</v>
      </c>
      <c r="P1116" s="20">
        <f>IFERROR(__xludf.DUMMYFUNCTION("""COMPUTED_VALUE"""),61606.0)</f>
        <v>61606</v>
      </c>
      <c r="Q1116" s="20">
        <f>IFERROR(__xludf.DUMMYFUNCTION("""COMPUTED_VALUE"""),99325.0)</f>
        <v>99325</v>
      </c>
    </row>
    <row r="1117">
      <c r="A1117" s="20">
        <f>IFERROR(__xludf.DUMMYFUNCTION("""COMPUTED_VALUE"""),1216.0)</f>
        <v>1216</v>
      </c>
      <c r="B1117" s="20" t="str">
        <f>IFERROR(__xludf.DUMMYFUNCTION("""COMPUTED_VALUE"""),"Print Zero Even Odd")</f>
        <v>Print Zero Even Odd</v>
      </c>
      <c r="C1117" s="20" t="str">
        <f>IFERROR(__xludf.DUMMYFUNCTION("""COMPUTED_VALUE"""),"print-zero-even-odd")</f>
        <v>print-zero-even-odd</v>
      </c>
      <c r="D1117" s="20" t="b">
        <f>IFERROR(__xludf.DUMMYFUNCTION("""COMPUTED_VALUE"""),FALSE)</f>
        <v>0</v>
      </c>
      <c r="E1117" s="20" t="str">
        <f>IFERROR(__xludf.DUMMYFUNCTION("""COMPUTED_VALUE"""),"Medium")</f>
        <v>Medium</v>
      </c>
      <c r="F1117" s="20">
        <f>IFERROR(__xludf.DUMMYFUNCTION("""COMPUTED_VALUE"""),394.0)</f>
        <v>394</v>
      </c>
      <c r="G1117" s="20">
        <f>IFERROR(__xludf.DUMMYFUNCTION("""COMPUTED_VALUE"""),274.0)</f>
        <v>274</v>
      </c>
      <c r="H1117" s="20" t="str">
        <f>IFERROR(__xludf.DUMMYFUNCTION("""COMPUTED_VALUE"""),"Concurrency")</f>
        <v>Concurrency</v>
      </c>
      <c r="I1117" s="20">
        <f>IFERROR(__xludf.DUMMYFUNCTION("""COMPUTED_VALUE"""),0.604)</f>
        <v>0.604</v>
      </c>
      <c r="J1117" s="20">
        <f>IFERROR(__xludf.DUMMYFUNCTION("""COMPUTED_VALUE"""),1116.0)</f>
        <v>1116</v>
      </c>
      <c r="K1117" s="20" t="b">
        <f>IFERROR(__xludf.DUMMYFUNCTION("""COMPUTED_VALUE"""),FALSE)</f>
        <v>0</v>
      </c>
      <c r="L1117" s="20" t="str">
        <f>IFERROR(__xludf.DUMMYFUNCTION("""COMPUTED_VALUE"""),"Concurrency;")</f>
        <v>Concurrency;</v>
      </c>
      <c r="M1117" s="20" t="b">
        <f>IFERROR(__xludf.DUMMYFUNCTION("""COMPUTED_VALUE"""),FALSE)</f>
        <v>0</v>
      </c>
      <c r="N1117" s="20" t="b">
        <f>IFERROR(__xludf.DUMMYFUNCTION("""COMPUTED_VALUE"""),FALSE)</f>
        <v>0</v>
      </c>
      <c r="O1117" s="20">
        <f>IFERROR(__xludf.DUMMYFUNCTION("""COMPUTED_VALUE"""),60.3599513579246)</f>
        <v>60.35995136</v>
      </c>
      <c r="P1117" s="20">
        <f>IFERROR(__xludf.DUMMYFUNCTION("""COMPUTED_VALUE"""),37227.0)</f>
        <v>37227</v>
      </c>
      <c r="Q1117" s="20">
        <f>IFERROR(__xludf.DUMMYFUNCTION("""COMPUTED_VALUE"""),61675.0)</f>
        <v>61675</v>
      </c>
    </row>
    <row r="1118">
      <c r="A1118" s="20">
        <f>IFERROR(__xludf.DUMMYFUNCTION("""COMPUTED_VALUE"""),1186.0)</f>
        <v>1186</v>
      </c>
      <c r="B1118" s="20" t="str">
        <f>IFERROR(__xludf.DUMMYFUNCTION("""COMPUTED_VALUE"""),"Building H2O")</f>
        <v>Building H2O</v>
      </c>
      <c r="C1118" s="20" t="str">
        <f>IFERROR(__xludf.DUMMYFUNCTION("""COMPUTED_VALUE"""),"building-h2o")</f>
        <v>building-h2o</v>
      </c>
      <c r="D1118" s="20" t="b">
        <f>IFERROR(__xludf.DUMMYFUNCTION("""COMPUTED_VALUE"""),FALSE)</f>
        <v>0</v>
      </c>
      <c r="E1118" s="20" t="str">
        <f>IFERROR(__xludf.DUMMYFUNCTION("""COMPUTED_VALUE"""),"Medium")</f>
        <v>Medium</v>
      </c>
      <c r="F1118" s="20">
        <f>IFERROR(__xludf.DUMMYFUNCTION("""COMPUTED_VALUE"""),395.0)</f>
        <v>395</v>
      </c>
      <c r="G1118" s="20">
        <f>IFERROR(__xludf.DUMMYFUNCTION("""COMPUTED_VALUE"""),107.0)</f>
        <v>107</v>
      </c>
      <c r="H1118" s="20" t="str">
        <f>IFERROR(__xludf.DUMMYFUNCTION("""COMPUTED_VALUE"""),"Concurrency")</f>
        <v>Concurrency</v>
      </c>
      <c r="I1118" s="20">
        <f>IFERROR(__xludf.DUMMYFUNCTION("""COMPUTED_VALUE"""),0.557)</f>
        <v>0.557</v>
      </c>
      <c r="J1118" s="20">
        <f>IFERROR(__xludf.DUMMYFUNCTION("""COMPUTED_VALUE"""),1117.0)</f>
        <v>1117</v>
      </c>
      <c r="K1118" s="20" t="b">
        <f>IFERROR(__xludf.DUMMYFUNCTION("""COMPUTED_VALUE"""),FALSE)</f>
        <v>0</v>
      </c>
      <c r="L1118" s="20" t="str">
        <f>IFERROR(__xludf.DUMMYFUNCTION("""COMPUTED_VALUE"""),"Concurrency;")</f>
        <v>Concurrency;</v>
      </c>
      <c r="M1118" s="20" t="b">
        <f>IFERROR(__xludf.DUMMYFUNCTION("""COMPUTED_VALUE"""),FALSE)</f>
        <v>0</v>
      </c>
      <c r="N1118" s="20" t="b">
        <f>IFERROR(__xludf.DUMMYFUNCTION("""COMPUTED_VALUE"""),FALSE)</f>
        <v>0</v>
      </c>
      <c r="O1118" s="20">
        <f>IFERROR(__xludf.DUMMYFUNCTION("""COMPUTED_VALUE"""),55.7303034833308)</f>
        <v>55.73030348</v>
      </c>
      <c r="P1118" s="20">
        <f>IFERROR(__xludf.DUMMYFUNCTION("""COMPUTED_VALUE"""),37278.0)</f>
        <v>37278</v>
      </c>
      <c r="Q1118" s="20">
        <f>IFERROR(__xludf.DUMMYFUNCTION("""COMPUTED_VALUE"""),66890.0)</f>
        <v>66890</v>
      </c>
    </row>
    <row r="1119">
      <c r="A1119" s="20">
        <f>IFERROR(__xludf.DUMMYFUNCTION("""COMPUTED_VALUE"""),1088.0)</f>
        <v>1088</v>
      </c>
      <c r="B1119" s="20" t="str">
        <f>IFERROR(__xludf.DUMMYFUNCTION("""COMPUTED_VALUE"""),"Number of Days in a Month")</f>
        <v>Number of Days in a Month</v>
      </c>
      <c r="C1119" s="20" t="str">
        <f>IFERROR(__xludf.DUMMYFUNCTION("""COMPUTED_VALUE"""),"number-of-days-in-a-month")</f>
        <v>number-of-days-in-a-month</v>
      </c>
      <c r="D1119" s="20" t="b">
        <f>IFERROR(__xludf.DUMMYFUNCTION("""COMPUTED_VALUE"""),TRUE)</f>
        <v>1</v>
      </c>
      <c r="E1119" s="20" t="str">
        <f>IFERROR(__xludf.DUMMYFUNCTION("""COMPUTED_VALUE"""),"Easy")</f>
        <v>Easy</v>
      </c>
      <c r="F1119" s="20">
        <f>IFERROR(__xludf.DUMMYFUNCTION("""COMPUTED_VALUE"""),32.0)</f>
        <v>32</v>
      </c>
      <c r="G1119" s="20">
        <f>IFERROR(__xludf.DUMMYFUNCTION("""COMPUTED_VALUE"""),150.0)</f>
        <v>150</v>
      </c>
      <c r="H1119" s="20" t="str">
        <f>IFERROR(__xludf.DUMMYFUNCTION("""COMPUTED_VALUE"""),"Algorithms")</f>
        <v>Algorithms</v>
      </c>
      <c r="I1119" s="20">
        <f>IFERROR(__xludf.DUMMYFUNCTION("""COMPUTED_VALUE"""),0.569)</f>
        <v>0.569</v>
      </c>
      <c r="J1119" s="20">
        <f>IFERROR(__xludf.DUMMYFUNCTION("""COMPUTED_VALUE"""),1118.0)</f>
        <v>1118</v>
      </c>
      <c r="K1119" s="20" t="b">
        <f>IFERROR(__xludf.DUMMYFUNCTION("""COMPUTED_VALUE"""),TRUE)</f>
        <v>1</v>
      </c>
      <c r="L1119" s="20" t="str">
        <f>IFERROR(__xludf.DUMMYFUNCTION("""COMPUTED_VALUE"""),"Math;")</f>
        <v>Math;</v>
      </c>
      <c r="M1119" s="20" t="b">
        <f>IFERROR(__xludf.DUMMYFUNCTION("""COMPUTED_VALUE"""),FALSE)</f>
        <v>0</v>
      </c>
      <c r="N1119" s="20" t="b">
        <f>IFERROR(__xludf.DUMMYFUNCTION("""COMPUTED_VALUE"""),FALSE)</f>
        <v>0</v>
      </c>
      <c r="O1119" s="20">
        <f>IFERROR(__xludf.DUMMYFUNCTION("""COMPUTED_VALUE"""),56.8632170076213)</f>
        <v>56.86321701</v>
      </c>
      <c r="P1119" s="20">
        <f>IFERROR(__xludf.DUMMYFUNCTION("""COMPUTED_VALUE"""),7088.0)</f>
        <v>7088</v>
      </c>
      <c r="Q1119" s="20">
        <f>IFERROR(__xludf.DUMMYFUNCTION("""COMPUTED_VALUE"""),12465.0)</f>
        <v>12465</v>
      </c>
    </row>
    <row r="1120">
      <c r="A1120" s="20">
        <f>IFERROR(__xludf.DUMMYFUNCTION("""COMPUTED_VALUE"""),1089.0)</f>
        <v>1089</v>
      </c>
      <c r="B1120" s="20" t="str">
        <f>IFERROR(__xludf.DUMMYFUNCTION("""COMPUTED_VALUE"""),"Remove Vowels from a String")</f>
        <v>Remove Vowels from a String</v>
      </c>
      <c r="C1120" s="20" t="str">
        <f>IFERROR(__xludf.DUMMYFUNCTION("""COMPUTED_VALUE"""),"remove-vowels-from-a-string")</f>
        <v>remove-vowels-from-a-string</v>
      </c>
      <c r="D1120" s="20" t="b">
        <f>IFERROR(__xludf.DUMMYFUNCTION("""COMPUTED_VALUE"""),TRUE)</f>
        <v>1</v>
      </c>
      <c r="E1120" s="20" t="str">
        <f>IFERROR(__xludf.DUMMYFUNCTION("""COMPUTED_VALUE"""),"Easy")</f>
        <v>Easy</v>
      </c>
      <c r="F1120" s="20">
        <f>IFERROR(__xludf.DUMMYFUNCTION("""COMPUTED_VALUE"""),302.0)</f>
        <v>302</v>
      </c>
      <c r="G1120" s="20">
        <f>IFERROR(__xludf.DUMMYFUNCTION("""COMPUTED_VALUE"""),108.0)</f>
        <v>108</v>
      </c>
      <c r="H1120" s="20" t="str">
        <f>IFERROR(__xludf.DUMMYFUNCTION("""COMPUTED_VALUE"""),"Algorithms")</f>
        <v>Algorithms</v>
      </c>
      <c r="I1120" s="20">
        <f>IFERROR(__xludf.DUMMYFUNCTION("""COMPUTED_VALUE"""),0.908)</f>
        <v>0.908</v>
      </c>
      <c r="J1120" s="20">
        <f>IFERROR(__xludf.DUMMYFUNCTION("""COMPUTED_VALUE"""),1119.0)</f>
        <v>1119</v>
      </c>
      <c r="K1120" s="20" t="b">
        <f>IFERROR(__xludf.DUMMYFUNCTION("""COMPUTED_VALUE"""),TRUE)</f>
        <v>1</v>
      </c>
      <c r="L1120" s="20" t="str">
        <f>IFERROR(__xludf.DUMMYFUNCTION("""COMPUTED_VALUE"""),"String;")</f>
        <v>String;</v>
      </c>
      <c r="M1120" s="20" t="b">
        <f>IFERROR(__xludf.DUMMYFUNCTION("""COMPUTED_VALUE"""),FALSE)</f>
        <v>0</v>
      </c>
      <c r="N1120" s="20" t="b">
        <f>IFERROR(__xludf.DUMMYFUNCTION("""COMPUTED_VALUE"""),FALSE)</f>
        <v>0</v>
      </c>
      <c r="O1120" s="20">
        <f>IFERROR(__xludf.DUMMYFUNCTION("""COMPUTED_VALUE"""),90.7572649232178)</f>
        <v>90.75726492</v>
      </c>
      <c r="P1120" s="20">
        <f>IFERROR(__xludf.DUMMYFUNCTION("""COMPUTED_VALUE"""),91133.0)</f>
        <v>91133</v>
      </c>
      <c r="Q1120" s="20">
        <f>IFERROR(__xludf.DUMMYFUNCTION("""COMPUTED_VALUE"""),100414.0)</f>
        <v>100414</v>
      </c>
    </row>
    <row r="1121">
      <c r="A1121" s="20">
        <f>IFERROR(__xludf.DUMMYFUNCTION("""COMPUTED_VALUE"""),1091.0)</f>
        <v>1091</v>
      </c>
      <c r="B1121" s="20" t="str">
        <f>IFERROR(__xludf.DUMMYFUNCTION("""COMPUTED_VALUE"""),"Maximum Average Subtree")</f>
        <v>Maximum Average Subtree</v>
      </c>
      <c r="C1121" s="20" t="str">
        <f>IFERROR(__xludf.DUMMYFUNCTION("""COMPUTED_VALUE"""),"maximum-average-subtree")</f>
        <v>maximum-average-subtree</v>
      </c>
      <c r="D1121" s="20" t="b">
        <f>IFERROR(__xludf.DUMMYFUNCTION("""COMPUTED_VALUE"""),TRUE)</f>
        <v>1</v>
      </c>
      <c r="E1121" s="20" t="str">
        <f>IFERROR(__xludf.DUMMYFUNCTION("""COMPUTED_VALUE"""),"Medium")</f>
        <v>Medium</v>
      </c>
      <c r="F1121" s="20">
        <f>IFERROR(__xludf.DUMMYFUNCTION("""COMPUTED_VALUE"""),736.0)</f>
        <v>736</v>
      </c>
      <c r="G1121" s="20">
        <f>IFERROR(__xludf.DUMMYFUNCTION("""COMPUTED_VALUE"""),32.0)</f>
        <v>32</v>
      </c>
      <c r="H1121" s="20" t="str">
        <f>IFERROR(__xludf.DUMMYFUNCTION("""COMPUTED_VALUE"""),"Algorithms")</f>
        <v>Algorithms</v>
      </c>
      <c r="I1121" s="20">
        <f>IFERROR(__xludf.DUMMYFUNCTION("""COMPUTED_VALUE"""),0.655)</f>
        <v>0.655</v>
      </c>
      <c r="J1121" s="20">
        <f>IFERROR(__xludf.DUMMYFUNCTION("""COMPUTED_VALUE"""),1120.0)</f>
        <v>1120</v>
      </c>
      <c r="K1121" s="20" t="b">
        <f>IFERROR(__xludf.DUMMYFUNCTION("""COMPUTED_VALUE"""),TRUE)</f>
        <v>1</v>
      </c>
      <c r="L1121" s="20" t="str">
        <f>IFERROR(__xludf.DUMMYFUNCTION("""COMPUTED_VALUE"""),"Tree;Depth-First Search;Binary Tree;")</f>
        <v>Tree;Depth-First Search;Binary Tree;</v>
      </c>
      <c r="M1121" s="20" t="b">
        <f>IFERROR(__xludf.DUMMYFUNCTION("""COMPUTED_VALUE"""),TRUE)</f>
        <v>1</v>
      </c>
      <c r="N1121" s="20" t="b">
        <f>IFERROR(__xludf.DUMMYFUNCTION("""COMPUTED_VALUE"""),FALSE)</f>
        <v>0</v>
      </c>
      <c r="O1121" s="20">
        <f>IFERROR(__xludf.DUMMYFUNCTION("""COMPUTED_VALUE"""),65.5237195279718)</f>
        <v>65.52371953</v>
      </c>
      <c r="P1121" s="20">
        <f>IFERROR(__xludf.DUMMYFUNCTION("""COMPUTED_VALUE"""),58246.0)</f>
        <v>58246</v>
      </c>
      <c r="Q1121" s="20">
        <f>IFERROR(__xludf.DUMMYFUNCTION("""COMPUTED_VALUE"""),88893.0)</f>
        <v>88893</v>
      </c>
    </row>
    <row r="1122">
      <c r="A1122" s="20">
        <f>IFERROR(__xludf.DUMMYFUNCTION("""COMPUTED_VALUE"""),1118.0)</f>
        <v>1118</v>
      </c>
      <c r="B1122" s="20" t="str">
        <f>IFERROR(__xludf.DUMMYFUNCTION("""COMPUTED_VALUE"""),"Divide Array Into Increasing Sequences")</f>
        <v>Divide Array Into Increasing Sequences</v>
      </c>
      <c r="C1122" s="20" t="str">
        <f>IFERROR(__xludf.DUMMYFUNCTION("""COMPUTED_VALUE"""),"divide-array-into-increasing-sequences")</f>
        <v>divide-array-into-increasing-sequences</v>
      </c>
      <c r="D1122" s="20" t="b">
        <f>IFERROR(__xludf.DUMMYFUNCTION("""COMPUTED_VALUE"""),TRUE)</f>
        <v>1</v>
      </c>
      <c r="E1122" s="20" t="str">
        <f>IFERROR(__xludf.DUMMYFUNCTION("""COMPUTED_VALUE"""),"Hard")</f>
        <v>Hard</v>
      </c>
      <c r="F1122" s="20">
        <f>IFERROR(__xludf.DUMMYFUNCTION("""COMPUTED_VALUE"""),104.0)</f>
        <v>104</v>
      </c>
      <c r="G1122" s="20">
        <f>IFERROR(__xludf.DUMMYFUNCTION("""COMPUTED_VALUE"""),26.0)</f>
        <v>26</v>
      </c>
      <c r="H1122" s="20" t="str">
        <f>IFERROR(__xludf.DUMMYFUNCTION("""COMPUTED_VALUE"""),"Algorithms")</f>
        <v>Algorithms</v>
      </c>
      <c r="I1122" s="20">
        <f>IFERROR(__xludf.DUMMYFUNCTION("""COMPUTED_VALUE"""),0.601)</f>
        <v>0.601</v>
      </c>
      <c r="J1122" s="20">
        <f>IFERROR(__xludf.DUMMYFUNCTION("""COMPUTED_VALUE"""),1121.0)</f>
        <v>1121</v>
      </c>
      <c r="K1122" s="20" t="b">
        <f>IFERROR(__xludf.DUMMYFUNCTION("""COMPUTED_VALUE"""),TRUE)</f>
        <v>1</v>
      </c>
      <c r="L1122" s="20" t="str">
        <f>IFERROR(__xludf.DUMMYFUNCTION("""COMPUTED_VALUE"""),"Array;Greedy;")</f>
        <v>Array;Greedy;</v>
      </c>
      <c r="M1122" s="20" t="b">
        <f>IFERROR(__xludf.DUMMYFUNCTION("""COMPUTED_VALUE"""),FALSE)</f>
        <v>0</v>
      </c>
      <c r="N1122" s="20" t="b">
        <f>IFERROR(__xludf.DUMMYFUNCTION("""COMPUTED_VALUE"""),FALSE)</f>
        <v>0</v>
      </c>
      <c r="O1122" s="20">
        <f>IFERROR(__xludf.DUMMYFUNCTION("""COMPUTED_VALUE"""),60.1094470046083)</f>
        <v>60.109447</v>
      </c>
      <c r="P1122" s="20">
        <f>IFERROR(__xludf.DUMMYFUNCTION("""COMPUTED_VALUE"""),4174.0)</f>
        <v>4174</v>
      </c>
      <c r="Q1122" s="20">
        <f>IFERROR(__xludf.DUMMYFUNCTION("""COMPUTED_VALUE"""),6944.0)</f>
        <v>6944</v>
      </c>
    </row>
    <row r="1123">
      <c r="A1123" s="20">
        <f>IFERROR(__xludf.DUMMYFUNCTION("""COMPUTED_VALUE"""),1217.0)</f>
        <v>1217</v>
      </c>
      <c r="B1123" s="20" t="str">
        <f>IFERROR(__xludf.DUMMYFUNCTION("""COMPUTED_VALUE"""),"Relative Sort Array")</f>
        <v>Relative Sort Array</v>
      </c>
      <c r="C1123" s="20" t="str">
        <f>IFERROR(__xludf.DUMMYFUNCTION("""COMPUTED_VALUE"""),"relative-sort-array")</f>
        <v>relative-sort-array</v>
      </c>
      <c r="D1123" s="20" t="b">
        <f>IFERROR(__xludf.DUMMYFUNCTION("""COMPUTED_VALUE"""),FALSE)</f>
        <v>0</v>
      </c>
      <c r="E1123" s="20" t="str">
        <f>IFERROR(__xludf.DUMMYFUNCTION("""COMPUTED_VALUE"""),"Easy")</f>
        <v>Easy</v>
      </c>
      <c r="F1123" s="20">
        <f>IFERROR(__xludf.DUMMYFUNCTION("""COMPUTED_VALUE"""),2051.0)</f>
        <v>2051</v>
      </c>
      <c r="G1123" s="20">
        <f>IFERROR(__xludf.DUMMYFUNCTION("""COMPUTED_VALUE"""),119.0)</f>
        <v>119</v>
      </c>
      <c r="H1123" s="20" t="str">
        <f>IFERROR(__xludf.DUMMYFUNCTION("""COMPUTED_VALUE"""),"Algorithms")</f>
        <v>Algorithms</v>
      </c>
      <c r="I1123" s="20">
        <f>IFERROR(__xludf.DUMMYFUNCTION("""COMPUTED_VALUE"""),0.685)</f>
        <v>0.685</v>
      </c>
      <c r="J1123" s="20">
        <f>IFERROR(__xludf.DUMMYFUNCTION("""COMPUTED_VALUE"""),1122.0)</f>
        <v>1122</v>
      </c>
      <c r="K1123" s="20" t="b">
        <f>IFERROR(__xludf.DUMMYFUNCTION("""COMPUTED_VALUE"""),FALSE)</f>
        <v>0</v>
      </c>
      <c r="L1123" s="20" t="str">
        <f>IFERROR(__xludf.DUMMYFUNCTION("""COMPUTED_VALUE"""),"Array;Hash Table;Sorting;Counting Sort;")</f>
        <v>Array;Hash Table;Sorting;Counting Sort;</v>
      </c>
      <c r="M1123" s="20" t="b">
        <f>IFERROR(__xludf.DUMMYFUNCTION("""COMPUTED_VALUE"""),FALSE)</f>
        <v>0</v>
      </c>
      <c r="N1123" s="20" t="b">
        <f>IFERROR(__xludf.DUMMYFUNCTION("""COMPUTED_VALUE"""),FALSE)</f>
        <v>0</v>
      </c>
      <c r="O1123" s="20">
        <f>IFERROR(__xludf.DUMMYFUNCTION("""COMPUTED_VALUE"""),68.4907110586206)</f>
        <v>68.49071106</v>
      </c>
      <c r="P1123" s="20">
        <f>IFERROR(__xludf.DUMMYFUNCTION("""COMPUTED_VALUE"""),146139.0)</f>
        <v>146139</v>
      </c>
      <c r="Q1123" s="20">
        <f>IFERROR(__xludf.DUMMYFUNCTION("""COMPUTED_VALUE"""),213371.0)</f>
        <v>213371</v>
      </c>
    </row>
    <row r="1124">
      <c r="A1124" s="20">
        <f>IFERROR(__xludf.DUMMYFUNCTION("""COMPUTED_VALUE"""),1218.0)</f>
        <v>1218</v>
      </c>
      <c r="B1124" s="20" t="str">
        <f>IFERROR(__xludf.DUMMYFUNCTION("""COMPUTED_VALUE"""),"Lowest Common Ancestor of Deepest Leaves")</f>
        <v>Lowest Common Ancestor of Deepest Leaves</v>
      </c>
      <c r="C1124" s="20" t="str">
        <f>IFERROR(__xludf.DUMMYFUNCTION("""COMPUTED_VALUE"""),"lowest-common-ancestor-of-deepest-leaves")</f>
        <v>lowest-common-ancestor-of-deepest-leaves</v>
      </c>
      <c r="D1124" s="20" t="b">
        <f>IFERROR(__xludf.DUMMYFUNCTION("""COMPUTED_VALUE"""),FALSE)</f>
        <v>0</v>
      </c>
      <c r="E1124" s="20" t="str">
        <f>IFERROR(__xludf.DUMMYFUNCTION("""COMPUTED_VALUE"""),"Medium")</f>
        <v>Medium</v>
      </c>
      <c r="F1124" s="20">
        <f>IFERROR(__xludf.DUMMYFUNCTION("""COMPUTED_VALUE"""),1581.0)</f>
        <v>1581</v>
      </c>
      <c r="G1124" s="20">
        <f>IFERROR(__xludf.DUMMYFUNCTION("""COMPUTED_VALUE"""),774.0)</f>
        <v>774</v>
      </c>
      <c r="H1124" s="20" t="str">
        <f>IFERROR(__xludf.DUMMYFUNCTION("""COMPUTED_VALUE"""),"Algorithms")</f>
        <v>Algorithms</v>
      </c>
      <c r="I1124" s="20">
        <f>IFERROR(__xludf.DUMMYFUNCTION("""COMPUTED_VALUE"""),0.707)</f>
        <v>0.707</v>
      </c>
      <c r="J1124" s="20">
        <f>IFERROR(__xludf.DUMMYFUNCTION("""COMPUTED_VALUE"""),1123.0)</f>
        <v>1123</v>
      </c>
      <c r="K1124" s="20" t="b">
        <f>IFERROR(__xludf.DUMMYFUNCTION("""COMPUTED_VALUE"""),FALSE)</f>
        <v>0</v>
      </c>
      <c r="L1124" s="20" t="str">
        <f>IFERROR(__xludf.DUMMYFUNCTION("""COMPUTED_VALUE"""),"Hash Table;Tree;Depth-First Search;Breadth-First Search;Binary Tree;")</f>
        <v>Hash Table;Tree;Depth-First Search;Breadth-First Search;Binary Tree;</v>
      </c>
      <c r="M1124" s="20" t="b">
        <f>IFERROR(__xludf.DUMMYFUNCTION("""COMPUTED_VALUE"""),FALSE)</f>
        <v>0</v>
      </c>
      <c r="N1124" s="20" t="b">
        <f>IFERROR(__xludf.DUMMYFUNCTION("""COMPUTED_VALUE"""),FALSE)</f>
        <v>0</v>
      </c>
      <c r="O1124" s="20">
        <f>IFERROR(__xludf.DUMMYFUNCTION("""COMPUTED_VALUE"""),70.6780227938357)</f>
        <v>70.67802279</v>
      </c>
      <c r="P1124" s="20">
        <f>IFERROR(__xludf.DUMMYFUNCTION("""COMPUTED_VALUE"""),86634.0)</f>
        <v>86634</v>
      </c>
      <c r="Q1124" s="20">
        <f>IFERROR(__xludf.DUMMYFUNCTION("""COMPUTED_VALUE"""),122575.0)</f>
        <v>122575</v>
      </c>
    </row>
    <row r="1125">
      <c r="A1125" s="20">
        <f>IFERROR(__xludf.DUMMYFUNCTION("""COMPUTED_VALUE"""),1219.0)</f>
        <v>1219</v>
      </c>
      <c r="B1125" s="20" t="str">
        <f>IFERROR(__xludf.DUMMYFUNCTION("""COMPUTED_VALUE"""),"Longest Well-Performing Interval")</f>
        <v>Longest Well-Performing Interval</v>
      </c>
      <c r="C1125" s="20" t="str">
        <f>IFERROR(__xludf.DUMMYFUNCTION("""COMPUTED_VALUE"""),"longest-well-performing-interval")</f>
        <v>longest-well-performing-interval</v>
      </c>
      <c r="D1125" s="20" t="b">
        <f>IFERROR(__xludf.DUMMYFUNCTION("""COMPUTED_VALUE"""),FALSE)</f>
        <v>0</v>
      </c>
      <c r="E1125" s="20" t="str">
        <f>IFERROR(__xludf.DUMMYFUNCTION("""COMPUTED_VALUE"""),"Medium")</f>
        <v>Medium</v>
      </c>
      <c r="F1125" s="20">
        <f>IFERROR(__xludf.DUMMYFUNCTION("""COMPUTED_VALUE"""),1161.0)</f>
        <v>1161</v>
      </c>
      <c r="G1125" s="20">
        <f>IFERROR(__xludf.DUMMYFUNCTION("""COMPUTED_VALUE"""),98.0)</f>
        <v>98</v>
      </c>
      <c r="H1125" s="20" t="str">
        <f>IFERROR(__xludf.DUMMYFUNCTION("""COMPUTED_VALUE"""),"Algorithms")</f>
        <v>Algorithms</v>
      </c>
      <c r="I1125" s="20">
        <f>IFERROR(__xludf.DUMMYFUNCTION("""COMPUTED_VALUE"""),0.346)</f>
        <v>0.346</v>
      </c>
      <c r="J1125" s="20">
        <f>IFERROR(__xludf.DUMMYFUNCTION("""COMPUTED_VALUE"""),1124.0)</f>
        <v>1124</v>
      </c>
      <c r="K1125" s="20" t="b">
        <f>IFERROR(__xludf.DUMMYFUNCTION("""COMPUTED_VALUE"""),FALSE)</f>
        <v>0</v>
      </c>
      <c r="L1125" s="20" t="str">
        <f>IFERROR(__xludf.DUMMYFUNCTION("""COMPUTED_VALUE"""),"Array;Hash Table;Stack;Monotonic Stack;Prefix Sum;")</f>
        <v>Array;Hash Table;Stack;Monotonic Stack;Prefix Sum;</v>
      </c>
      <c r="M1125" s="20" t="b">
        <f>IFERROR(__xludf.DUMMYFUNCTION("""COMPUTED_VALUE"""),FALSE)</f>
        <v>0</v>
      </c>
      <c r="N1125" s="20" t="b">
        <f>IFERROR(__xludf.DUMMYFUNCTION("""COMPUTED_VALUE"""),FALSE)</f>
        <v>0</v>
      </c>
      <c r="O1125" s="20">
        <f>IFERROR(__xludf.DUMMYFUNCTION("""COMPUTED_VALUE"""),34.5675282225945)</f>
        <v>34.56752822</v>
      </c>
      <c r="P1125" s="20">
        <f>IFERROR(__xludf.DUMMYFUNCTION("""COMPUTED_VALUE"""),25170.0)</f>
        <v>25170</v>
      </c>
      <c r="Q1125" s="20">
        <f>IFERROR(__xludf.DUMMYFUNCTION("""COMPUTED_VALUE"""),72814.0)</f>
        <v>72814</v>
      </c>
    </row>
    <row r="1126">
      <c r="A1126" s="20">
        <f>IFERROR(__xludf.DUMMYFUNCTION("""COMPUTED_VALUE"""),1220.0)</f>
        <v>1220</v>
      </c>
      <c r="B1126" s="20" t="str">
        <f>IFERROR(__xludf.DUMMYFUNCTION("""COMPUTED_VALUE"""),"Smallest Sufficient Team")</f>
        <v>Smallest Sufficient Team</v>
      </c>
      <c r="C1126" s="20" t="str">
        <f>IFERROR(__xludf.DUMMYFUNCTION("""COMPUTED_VALUE"""),"smallest-sufficient-team")</f>
        <v>smallest-sufficient-team</v>
      </c>
      <c r="D1126" s="20" t="b">
        <f>IFERROR(__xludf.DUMMYFUNCTION("""COMPUTED_VALUE"""),FALSE)</f>
        <v>0</v>
      </c>
      <c r="E1126" s="20" t="str">
        <f>IFERROR(__xludf.DUMMYFUNCTION("""COMPUTED_VALUE"""),"Hard")</f>
        <v>Hard</v>
      </c>
      <c r="F1126" s="20">
        <f>IFERROR(__xludf.DUMMYFUNCTION("""COMPUTED_VALUE"""),860.0)</f>
        <v>860</v>
      </c>
      <c r="G1126" s="20">
        <f>IFERROR(__xludf.DUMMYFUNCTION("""COMPUTED_VALUE"""),15.0)</f>
        <v>15</v>
      </c>
      <c r="H1126" s="20" t="str">
        <f>IFERROR(__xludf.DUMMYFUNCTION("""COMPUTED_VALUE"""),"Algorithms")</f>
        <v>Algorithms</v>
      </c>
      <c r="I1126" s="20">
        <f>IFERROR(__xludf.DUMMYFUNCTION("""COMPUTED_VALUE"""),0.47)</f>
        <v>0.47</v>
      </c>
      <c r="J1126" s="20">
        <f>IFERROR(__xludf.DUMMYFUNCTION("""COMPUTED_VALUE"""),1125.0)</f>
        <v>1125</v>
      </c>
      <c r="K1126" s="20" t="b">
        <f>IFERROR(__xludf.DUMMYFUNCTION("""COMPUTED_VALUE"""),FALSE)</f>
        <v>0</v>
      </c>
      <c r="L1126" s="20" t="str">
        <f>IFERROR(__xludf.DUMMYFUNCTION("""COMPUTED_VALUE"""),"Array;Dynamic Programming;Bit Manipulation;Bitmask;")</f>
        <v>Array;Dynamic Programming;Bit Manipulation;Bitmask;</v>
      </c>
      <c r="M1126" s="20" t="b">
        <f>IFERROR(__xludf.DUMMYFUNCTION("""COMPUTED_VALUE"""),FALSE)</f>
        <v>0</v>
      </c>
      <c r="N1126" s="20" t="b">
        <f>IFERROR(__xludf.DUMMYFUNCTION("""COMPUTED_VALUE"""),FALSE)</f>
        <v>0</v>
      </c>
      <c r="O1126" s="20">
        <f>IFERROR(__xludf.DUMMYFUNCTION("""COMPUTED_VALUE"""),46.9679292732882)</f>
        <v>46.96792927</v>
      </c>
      <c r="P1126" s="20">
        <f>IFERROR(__xludf.DUMMYFUNCTION("""COMPUTED_VALUE"""),18116.0)</f>
        <v>18116</v>
      </c>
      <c r="Q1126" s="20">
        <f>IFERROR(__xludf.DUMMYFUNCTION("""COMPUTED_VALUE"""),38571.0)</f>
        <v>38571</v>
      </c>
    </row>
    <row r="1127">
      <c r="A1127" s="20">
        <f>IFERROR(__xludf.DUMMYFUNCTION("""COMPUTED_VALUE"""),1225.0)</f>
        <v>1225</v>
      </c>
      <c r="B1127" s="20" t="str">
        <f>IFERROR(__xludf.DUMMYFUNCTION("""COMPUTED_VALUE"""),"Active Businesses")</f>
        <v>Active Businesses</v>
      </c>
      <c r="C1127" s="20" t="str">
        <f>IFERROR(__xludf.DUMMYFUNCTION("""COMPUTED_VALUE"""),"active-businesses")</f>
        <v>active-businesses</v>
      </c>
      <c r="D1127" s="20" t="b">
        <f>IFERROR(__xludf.DUMMYFUNCTION("""COMPUTED_VALUE"""),TRUE)</f>
        <v>1</v>
      </c>
      <c r="E1127" s="20" t="str">
        <f>IFERROR(__xludf.DUMMYFUNCTION("""COMPUTED_VALUE"""),"Medium")</f>
        <v>Medium</v>
      </c>
      <c r="F1127" s="20">
        <f>IFERROR(__xludf.DUMMYFUNCTION("""COMPUTED_VALUE"""),233.0)</f>
        <v>233</v>
      </c>
      <c r="G1127" s="20">
        <f>IFERROR(__xludf.DUMMYFUNCTION("""COMPUTED_VALUE"""),25.0)</f>
        <v>25</v>
      </c>
      <c r="H1127" s="20" t="str">
        <f>IFERROR(__xludf.DUMMYFUNCTION("""COMPUTED_VALUE"""),"Database")</f>
        <v>Database</v>
      </c>
      <c r="I1127" s="20">
        <f>IFERROR(__xludf.DUMMYFUNCTION("""COMPUTED_VALUE"""),0.676)</f>
        <v>0.676</v>
      </c>
      <c r="J1127" s="20">
        <f>IFERROR(__xludf.DUMMYFUNCTION("""COMPUTED_VALUE"""),1126.0)</f>
        <v>1126</v>
      </c>
      <c r="K1127" s="20" t="b">
        <f>IFERROR(__xludf.DUMMYFUNCTION("""COMPUTED_VALUE"""),TRUE)</f>
        <v>1</v>
      </c>
      <c r="L1127" s="20" t="str">
        <f>IFERROR(__xludf.DUMMYFUNCTION("""COMPUTED_VALUE"""),"Database;")</f>
        <v>Database;</v>
      </c>
      <c r="M1127" s="20" t="b">
        <f>IFERROR(__xludf.DUMMYFUNCTION("""COMPUTED_VALUE"""),FALSE)</f>
        <v>0</v>
      </c>
      <c r="N1127" s="20" t="b">
        <f>IFERROR(__xludf.DUMMYFUNCTION("""COMPUTED_VALUE"""),FALSE)</f>
        <v>0</v>
      </c>
      <c r="O1127" s="20">
        <f>IFERROR(__xludf.DUMMYFUNCTION("""COMPUTED_VALUE"""),67.5910771098074)</f>
        <v>67.59107711</v>
      </c>
      <c r="P1127" s="20">
        <f>IFERROR(__xludf.DUMMYFUNCTION("""COMPUTED_VALUE"""),36754.0)</f>
        <v>36754</v>
      </c>
      <c r="Q1127" s="20">
        <f>IFERROR(__xludf.DUMMYFUNCTION("""COMPUTED_VALUE"""),54377.0)</f>
        <v>54377</v>
      </c>
    </row>
    <row r="1128">
      <c r="A1128" s="20">
        <f>IFERROR(__xludf.DUMMYFUNCTION("""COMPUTED_VALUE"""),1226.0)</f>
        <v>1226</v>
      </c>
      <c r="B1128" s="20" t="str">
        <f>IFERROR(__xludf.DUMMYFUNCTION("""COMPUTED_VALUE"""),"User Purchase Platform")</f>
        <v>User Purchase Platform</v>
      </c>
      <c r="C1128" s="20" t="str">
        <f>IFERROR(__xludf.DUMMYFUNCTION("""COMPUTED_VALUE"""),"user-purchase-platform")</f>
        <v>user-purchase-platform</v>
      </c>
      <c r="D1128" s="20" t="b">
        <f>IFERROR(__xludf.DUMMYFUNCTION("""COMPUTED_VALUE"""),TRUE)</f>
        <v>1</v>
      </c>
      <c r="E1128" s="20" t="str">
        <f>IFERROR(__xludf.DUMMYFUNCTION("""COMPUTED_VALUE"""),"Hard")</f>
        <v>Hard</v>
      </c>
      <c r="F1128" s="20">
        <f>IFERROR(__xludf.DUMMYFUNCTION("""COMPUTED_VALUE"""),150.0)</f>
        <v>150</v>
      </c>
      <c r="G1128" s="20">
        <f>IFERROR(__xludf.DUMMYFUNCTION("""COMPUTED_VALUE"""),119.0)</f>
        <v>119</v>
      </c>
      <c r="H1128" s="20" t="str">
        <f>IFERROR(__xludf.DUMMYFUNCTION("""COMPUTED_VALUE"""),"Database")</f>
        <v>Database</v>
      </c>
      <c r="I1128" s="20">
        <f>IFERROR(__xludf.DUMMYFUNCTION("""COMPUTED_VALUE"""),0.508)</f>
        <v>0.508</v>
      </c>
      <c r="J1128" s="20">
        <f>IFERROR(__xludf.DUMMYFUNCTION("""COMPUTED_VALUE"""),1127.0)</f>
        <v>1127</v>
      </c>
      <c r="K1128" s="20" t="b">
        <f>IFERROR(__xludf.DUMMYFUNCTION("""COMPUTED_VALUE"""),TRUE)</f>
        <v>1</v>
      </c>
      <c r="L1128" s="20" t="str">
        <f>IFERROR(__xludf.DUMMYFUNCTION("""COMPUTED_VALUE"""),"Database;")</f>
        <v>Database;</v>
      </c>
      <c r="M1128" s="20" t="b">
        <f>IFERROR(__xludf.DUMMYFUNCTION("""COMPUTED_VALUE"""),FALSE)</f>
        <v>0</v>
      </c>
      <c r="N1128" s="20" t="b">
        <f>IFERROR(__xludf.DUMMYFUNCTION("""COMPUTED_VALUE"""),FALSE)</f>
        <v>0</v>
      </c>
      <c r="O1128" s="20">
        <f>IFERROR(__xludf.DUMMYFUNCTION("""COMPUTED_VALUE"""),50.8016843469106)</f>
        <v>50.80168435</v>
      </c>
      <c r="P1128" s="20">
        <f>IFERROR(__xludf.DUMMYFUNCTION("""COMPUTED_VALUE"""),12547.0)</f>
        <v>12547</v>
      </c>
      <c r="Q1128" s="20">
        <f>IFERROR(__xludf.DUMMYFUNCTION("""COMPUTED_VALUE"""),24698.0)</f>
        <v>24698</v>
      </c>
    </row>
    <row r="1129">
      <c r="A1129" s="20">
        <f>IFERROR(__xludf.DUMMYFUNCTION("""COMPUTED_VALUE"""),1227.0)</f>
        <v>1227</v>
      </c>
      <c r="B1129" s="20" t="str">
        <f>IFERROR(__xludf.DUMMYFUNCTION("""COMPUTED_VALUE"""),"Number of Equivalent Domino Pairs")</f>
        <v>Number of Equivalent Domino Pairs</v>
      </c>
      <c r="C1129" s="20" t="str">
        <f>IFERROR(__xludf.DUMMYFUNCTION("""COMPUTED_VALUE"""),"number-of-equivalent-domino-pairs")</f>
        <v>number-of-equivalent-domino-pairs</v>
      </c>
      <c r="D1129" s="20" t="b">
        <f>IFERROR(__xludf.DUMMYFUNCTION("""COMPUTED_VALUE"""),FALSE)</f>
        <v>0</v>
      </c>
      <c r="E1129" s="20" t="str">
        <f>IFERROR(__xludf.DUMMYFUNCTION("""COMPUTED_VALUE"""),"Easy")</f>
        <v>Easy</v>
      </c>
      <c r="F1129" s="20">
        <f>IFERROR(__xludf.DUMMYFUNCTION("""COMPUTED_VALUE"""),552.0)</f>
        <v>552</v>
      </c>
      <c r="G1129" s="20">
        <f>IFERROR(__xludf.DUMMYFUNCTION("""COMPUTED_VALUE"""),281.0)</f>
        <v>281</v>
      </c>
      <c r="H1129" s="20" t="str">
        <f>IFERROR(__xludf.DUMMYFUNCTION("""COMPUTED_VALUE"""),"Algorithms")</f>
        <v>Algorithms</v>
      </c>
      <c r="I1129" s="20">
        <f>IFERROR(__xludf.DUMMYFUNCTION("""COMPUTED_VALUE"""),0.47)</f>
        <v>0.47</v>
      </c>
      <c r="J1129" s="20">
        <f>IFERROR(__xludf.DUMMYFUNCTION("""COMPUTED_VALUE"""),1128.0)</f>
        <v>1128</v>
      </c>
      <c r="K1129" s="20" t="b">
        <f>IFERROR(__xludf.DUMMYFUNCTION("""COMPUTED_VALUE"""),FALSE)</f>
        <v>0</v>
      </c>
      <c r="L1129" s="20" t="str">
        <f>IFERROR(__xludf.DUMMYFUNCTION("""COMPUTED_VALUE"""),"Array;Hash Table;Counting;")</f>
        <v>Array;Hash Table;Counting;</v>
      </c>
      <c r="M1129" s="20" t="b">
        <f>IFERROR(__xludf.DUMMYFUNCTION("""COMPUTED_VALUE"""),FALSE)</f>
        <v>0</v>
      </c>
      <c r="N1129" s="20" t="b">
        <f>IFERROR(__xludf.DUMMYFUNCTION("""COMPUTED_VALUE"""),FALSE)</f>
        <v>0</v>
      </c>
      <c r="O1129" s="20">
        <f>IFERROR(__xludf.DUMMYFUNCTION("""COMPUTED_VALUE"""),47.0107765993841)</f>
        <v>47.0107766</v>
      </c>
      <c r="P1129" s="20">
        <f>IFERROR(__xludf.DUMMYFUNCTION("""COMPUTED_VALUE"""),54965.0)</f>
        <v>54965</v>
      </c>
      <c r="Q1129" s="20">
        <f>IFERROR(__xludf.DUMMYFUNCTION("""COMPUTED_VALUE"""),116920.0)</f>
        <v>116920</v>
      </c>
    </row>
    <row r="1130">
      <c r="A1130" s="20">
        <f>IFERROR(__xludf.DUMMYFUNCTION("""COMPUTED_VALUE"""),1229.0)</f>
        <v>1229</v>
      </c>
      <c r="B1130" s="20" t="str">
        <f>IFERROR(__xludf.DUMMYFUNCTION("""COMPUTED_VALUE"""),"Shortest Path with Alternating Colors")</f>
        <v>Shortest Path with Alternating Colors</v>
      </c>
      <c r="C1130" s="20" t="str">
        <f>IFERROR(__xludf.DUMMYFUNCTION("""COMPUTED_VALUE"""),"shortest-path-with-alternating-colors")</f>
        <v>shortest-path-with-alternating-colors</v>
      </c>
      <c r="D1130" s="20" t="b">
        <f>IFERROR(__xludf.DUMMYFUNCTION("""COMPUTED_VALUE"""),FALSE)</f>
        <v>0</v>
      </c>
      <c r="E1130" s="20" t="str">
        <f>IFERROR(__xludf.DUMMYFUNCTION("""COMPUTED_VALUE"""),"Medium")</f>
        <v>Medium</v>
      </c>
      <c r="F1130" s="20">
        <f>IFERROR(__xludf.DUMMYFUNCTION("""COMPUTED_VALUE"""),1669.0)</f>
        <v>1669</v>
      </c>
      <c r="G1130" s="20">
        <f>IFERROR(__xludf.DUMMYFUNCTION("""COMPUTED_VALUE"""),82.0)</f>
        <v>82</v>
      </c>
      <c r="H1130" s="20" t="str">
        <f>IFERROR(__xludf.DUMMYFUNCTION("""COMPUTED_VALUE"""),"Algorithms")</f>
        <v>Algorithms</v>
      </c>
      <c r="I1130" s="20">
        <f>IFERROR(__xludf.DUMMYFUNCTION("""COMPUTED_VALUE"""),0.429)</f>
        <v>0.429</v>
      </c>
      <c r="J1130" s="20">
        <f>IFERROR(__xludf.DUMMYFUNCTION("""COMPUTED_VALUE"""),1129.0)</f>
        <v>1129</v>
      </c>
      <c r="K1130" s="20" t="b">
        <f>IFERROR(__xludf.DUMMYFUNCTION("""COMPUTED_VALUE"""),FALSE)</f>
        <v>0</v>
      </c>
      <c r="L1130" s="20" t="str">
        <f>IFERROR(__xludf.DUMMYFUNCTION("""COMPUTED_VALUE"""),"Breadth-First Search;Graph;")</f>
        <v>Breadth-First Search;Graph;</v>
      </c>
      <c r="M1130" s="20" t="b">
        <f>IFERROR(__xludf.DUMMYFUNCTION("""COMPUTED_VALUE"""),FALSE)</f>
        <v>0</v>
      </c>
      <c r="N1130" s="20" t="b">
        <f>IFERROR(__xludf.DUMMYFUNCTION("""COMPUTED_VALUE"""),FALSE)</f>
        <v>0</v>
      </c>
      <c r="O1130" s="20">
        <f>IFERROR(__xludf.DUMMYFUNCTION("""COMPUTED_VALUE"""),42.9484262074238)</f>
        <v>42.94842621</v>
      </c>
      <c r="P1130" s="20">
        <f>IFERROR(__xludf.DUMMYFUNCTION("""COMPUTED_VALUE"""),47184.0)</f>
        <v>47184</v>
      </c>
      <c r="Q1130" s="20">
        <f>IFERROR(__xludf.DUMMYFUNCTION("""COMPUTED_VALUE"""),109862.0)</f>
        <v>109862</v>
      </c>
    </row>
    <row r="1131">
      <c r="A1131" s="20">
        <f>IFERROR(__xludf.DUMMYFUNCTION("""COMPUTED_VALUE"""),1228.0)</f>
        <v>1228</v>
      </c>
      <c r="B1131" s="20" t="str">
        <f>IFERROR(__xludf.DUMMYFUNCTION("""COMPUTED_VALUE"""),"Minimum Cost Tree From Leaf Values")</f>
        <v>Minimum Cost Tree From Leaf Values</v>
      </c>
      <c r="C1131" s="20" t="str">
        <f>IFERROR(__xludf.DUMMYFUNCTION("""COMPUTED_VALUE"""),"minimum-cost-tree-from-leaf-values")</f>
        <v>minimum-cost-tree-from-leaf-values</v>
      </c>
      <c r="D1131" s="20" t="b">
        <f>IFERROR(__xludf.DUMMYFUNCTION("""COMPUTED_VALUE"""),FALSE)</f>
        <v>0</v>
      </c>
      <c r="E1131" s="20" t="str">
        <f>IFERROR(__xludf.DUMMYFUNCTION("""COMPUTED_VALUE"""),"Medium")</f>
        <v>Medium</v>
      </c>
      <c r="F1131" s="20">
        <f>IFERROR(__xludf.DUMMYFUNCTION("""COMPUTED_VALUE"""),3682.0)</f>
        <v>3682</v>
      </c>
      <c r="G1131" s="20">
        <f>IFERROR(__xludf.DUMMYFUNCTION("""COMPUTED_VALUE"""),245.0)</f>
        <v>245</v>
      </c>
      <c r="H1131" s="20" t="str">
        <f>IFERROR(__xludf.DUMMYFUNCTION("""COMPUTED_VALUE"""),"Algorithms")</f>
        <v>Algorithms</v>
      </c>
      <c r="I1131" s="20">
        <f>IFERROR(__xludf.DUMMYFUNCTION("""COMPUTED_VALUE"""),0.685)</f>
        <v>0.685</v>
      </c>
      <c r="J1131" s="20">
        <f>IFERROR(__xludf.DUMMYFUNCTION("""COMPUTED_VALUE"""),1130.0)</f>
        <v>1130</v>
      </c>
      <c r="K1131" s="20" t="b">
        <f>IFERROR(__xludf.DUMMYFUNCTION("""COMPUTED_VALUE"""),FALSE)</f>
        <v>0</v>
      </c>
      <c r="L1131" s="20" t="str">
        <f>IFERROR(__xludf.DUMMYFUNCTION("""COMPUTED_VALUE"""),"Dynamic Programming;Stack;Greedy;Monotonic Stack;")</f>
        <v>Dynamic Programming;Stack;Greedy;Monotonic Stack;</v>
      </c>
      <c r="M1131" s="20" t="b">
        <f>IFERROR(__xludf.DUMMYFUNCTION("""COMPUTED_VALUE"""),FALSE)</f>
        <v>0</v>
      </c>
      <c r="N1131" s="20" t="b">
        <f>IFERROR(__xludf.DUMMYFUNCTION("""COMPUTED_VALUE"""),FALSE)</f>
        <v>0</v>
      </c>
      <c r="O1131" s="20">
        <f>IFERROR(__xludf.DUMMYFUNCTION("""COMPUTED_VALUE"""),68.4736127394337)</f>
        <v>68.47361274</v>
      </c>
      <c r="P1131" s="20">
        <f>IFERROR(__xludf.DUMMYFUNCTION("""COMPUTED_VALUE"""),81183.0)</f>
        <v>81183</v>
      </c>
      <c r="Q1131" s="20">
        <f>IFERROR(__xludf.DUMMYFUNCTION("""COMPUTED_VALUE"""),118560.0)</f>
        <v>118560</v>
      </c>
    </row>
    <row r="1132">
      <c r="A1132" s="20">
        <f>IFERROR(__xludf.DUMMYFUNCTION("""COMPUTED_VALUE"""),1230.0)</f>
        <v>1230</v>
      </c>
      <c r="B1132" s="20" t="str">
        <f>IFERROR(__xludf.DUMMYFUNCTION("""COMPUTED_VALUE"""),"Maximum of Absolute Value Expression")</f>
        <v>Maximum of Absolute Value Expression</v>
      </c>
      <c r="C1132" s="20" t="str">
        <f>IFERROR(__xludf.DUMMYFUNCTION("""COMPUTED_VALUE"""),"maximum-of-absolute-value-expression")</f>
        <v>maximum-of-absolute-value-expression</v>
      </c>
      <c r="D1132" s="20" t="b">
        <f>IFERROR(__xludf.DUMMYFUNCTION("""COMPUTED_VALUE"""),FALSE)</f>
        <v>0</v>
      </c>
      <c r="E1132" s="20" t="str">
        <f>IFERROR(__xludf.DUMMYFUNCTION("""COMPUTED_VALUE"""),"Medium")</f>
        <v>Medium</v>
      </c>
      <c r="F1132" s="20">
        <f>IFERROR(__xludf.DUMMYFUNCTION("""COMPUTED_VALUE"""),537.0)</f>
        <v>537</v>
      </c>
      <c r="G1132" s="20">
        <f>IFERROR(__xludf.DUMMYFUNCTION("""COMPUTED_VALUE"""),367.0)</f>
        <v>367</v>
      </c>
      <c r="H1132" s="20" t="str">
        <f>IFERROR(__xludf.DUMMYFUNCTION("""COMPUTED_VALUE"""),"Algorithms")</f>
        <v>Algorithms</v>
      </c>
      <c r="I1132" s="20">
        <f>IFERROR(__xludf.DUMMYFUNCTION("""COMPUTED_VALUE"""),0.494)</f>
        <v>0.494</v>
      </c>
      <c r="J1132" s="20">
        <f>IFERROR(__xludf.DUMMYFUNCTION("""COMPUTED_VALUE"""),1131.0)</f>
        <v>1131</v>
      </c>
      <c r="K1132" s="20" t="b">
        <f>IFERROR(__xludf.DUMMYFUNCTION("""COMPUTED_VALUE"""),FALSE)</f>
        <v>0</v>
      </c>
      <c r="L1132" s="20" t="str">
        <f>IFERROR(__xludf.DUMMYFUNCTION("""COMPUTED_VALUE"""),"Array;Math;")</f>
        <v>Array;Math;</v>
      </c>
      <c r="M1132" s="20" t="b">
        <f>IFERROR(__xludf.DUMMYFUNCTION("""COMPUTED_VALUE"""),FALSE)</f>
        <v>0</v>
      </c>
      <c r="N1132" s="20" t="b">
        <f>IFERROR(__xludf.DUMMYFUNCTION("""COMPUTED_VALUE"""),FALSE)</f>
        <v>0</v>
      </c>
      <c r="O1132" s="20">
        <f>IFERROR(__xludf.DUMMYFUNCTION("""COMPUTED_VALUE"""),49.3660118557112)</f>
        <v>49.36601186</v>
      </c>
      <c r="P1132" s="20">
        <f>IFERROR(__xludf.DUMMYFUNCTION("""COMPUTED_VALUE"""),18571.0)</f>
        <v>18571</v>
      </c>
      <c r="Q1132" s="20">
        <f>IFERROR(__xludf.DUMMYFUNCTION("""COMPUTED_VALUE"""),37619.0)</f>
        <v>37619</v>
      </c>
    </row>
    <row r="1133">
      <c r="A1133" s="20">
        <f>IFERROR(__xludf.DUMMYFUNCTION("""COMPUTED_VALUE"""),1237.0)</f>
        <v>1237</v>
      </c>
      <c r="B1133" s="20" t="str">
        <f>IFERROR(__xludf.DUMMYFUNCTION("""COMPUTED_VALUE"""),"Reported Posts II")</f>
        <v>Reported Posts II</v>
      </c>
      <c r="C1133" s="20" t="str">
        <f>IFERROR(__xludf.DUMMYFUNCTION("""COMPUTED_VALUE"""),"reported-posts-ii")</f>
        <v>reported-posts-ii</v>
      </c>
      <c r="D1133" s="20" t="b">
        <f>IFERROR(__xludf.DUMMYFUNCTION("""COMPUTED_VALUE"""),TRUE)</f>
        <v>1</v>
      </c>
      <c r="E1133" s="20" t="str">
        <f>IFERROR(__xludf.DUMMYFUNCTION("""COMPUTED_VALUE"""),"Medium")</f>
        <v>Medium</v>
      </c>
      <c r="F1133" s="20">
        <f>IFERROR(__xludf.DUMMYFUNCTION("""COMPUTED_VALUE"""),135.0)</f>
        <v>135</v>
      </c>
      <c r="G1133" s="20">
        <f>IFERROR(__xludf.DUMMYFUNCTION("""COMPUTED_VALUE"""),490.0)</f>
        <v>490</v>
      </c>
      <c r="H1133" s="20" t="str">
        <f>IFERROR(__xludf.DUMMYFUNCTION("""COMPUTED_VALUE"""),"Database")</f>
        <v>Database</v>
      </c>
      <c r="I1133" s="20">
        <f>IFERROR(__xludf.DUMMYFUNCTION("""COMPUTED_VALUE"""),0.335)</f>
        <v>0.335</v>
      </c>
      <c r="J1133" s="20">
        <f>IFERROR(__xludf.DUMMYFUNCTION("""COMPUTED_VALUE"""),1132.0)</f>
        <v>1132</v>
      </c>
      <c r="K1133" s="20" t="b">
        <f>IFERROR(__xludf.DUMMYFUNCTION("""COMPUTED_VALUE"""),TRUE)</f>
        <v>1</v>
      </c>
      <c r="L1133" s="20" t="str">
        <f>IFERROR(__xludf.DUMMYFUNCTION("""COMPUTED_VALUE"""),"Database;")</f>
        <v>Database;</v>
      </c>
      <c r="M1133" s="20" t="b">
        <f>IFERROR(__xludf.DUMMYFUNCTION("""COMPUTED_VALUE"""),FALSE)</f>
        <v>0</v>
      </c>
      <c r="N1133" s="20" t="b">
        <f>IFERROR(__xludf.DUMMYFUNCTION("""COMPUTED_VALUE"""),FALSE)</f>
        <v>0</v>
      </c>
      <c r="O1133" s="20">
        <f>IFERROR(__xludf.DUMMYFUNCTION("""COMPUTED_VALUE"""),33.5497215592681)</f>
        <v>33.54972156</v>
      </c>
      <c r="P1133" s="20">
        <f>IFERROR(__xludf.DUMMYFUNCTION("""COMPUTED_VALUE"""),31629.0)</f>
        <v>31629</v>
      </c>
      <c r="Q1133" s="20">
        <f>IFERROR(__xludf.DUMMYFUNCTION("""COMPUTED_VALUE"""),94275.0)</f>
        <v>94275</v>
      </c>
    </row>
    <row r="1134">
      <c r="A1134" s="20">
        <f>IFERROR(__xludf.DUMMYFUNCTION("""COMPUTED_VALUE"""),1098.0)</f>
        <v>1098</v>
      </c>
      <c r="B1134" s="20" t="str">
        <f>IFERROR(__xludf.DUMMYFUNCTION("""COMPUTED_VALUE"""),"Largest Unique Number")</f>
        <v>Largest Unique Number</v>
      </c>
      <c r="C1134" s="20" t="str">
        <f>IFERROR(__xludf.DUMMYFUNCTION("""COMPUTED_VALUE"""),"largest-unique-number")</f>
        <v>largest-unique-number</v>
      </c>
      <c r="D1134" s="20" t="b">
        <f>IFERROR(__xludf.DUMMYFUNCTION("""COMPUTED_VALUE"""),TRUE)</f>
        <v>1</v>
      </c>
      <c r="E1134" s="20" t="str">
        <f>IFERROR(__xludf.DUMMYFUNCTION("""COMPUTED_VALUE"""),"Easy")</f>
        <v>Easy</v>
      </c>
      <c r="F1134" s="20">
        <f>IFERROR(__xludf.DUMMYFUNCTION("""COMPUTED_VALUE"""),253.0)</f>
        <v>253</v>
      </c>
      <c r="G1134" s="20">
        <f>IFERROR(__xludf.DUMMYFUNCTION("""COMPUTED_VALUE"""),16.0)</f>
        <v>16</v>
      </c>
      <c r="H1134" s="20" t="str">
        <f>IFERROR(__xludf.DUMMYFUNCTION("""COMPUTED_VALUE"""),"Algorithms")</f>
        <v>Algorithms</v>
      </c>
      <c r="I1134" s="20">
        <f>IFERROR(__xludf.DUMMYFUNCTION("""COMPUTED_VALUE"""),0.674)</f>
        <v>0.674</v>
      </c>
      <c r="J1134" s="20">
        <f>IFERROR(__xludf.DUMMYFUNCTION("""COMPUTED_VALUE"""),1133.0)</f>
        <v>1133</v>
      </c>
      <c r="K1134" s="20" t="b">
        <f>IFERROR(__xludf.DUMMYFUNCTION("""COMPUTED_VALUE"""),TRUE)</f>
        <v>1</v>
      </c>
      <c r="L1134" s="20" t="str">
        <f>IFERROR(__xludf.DUMMYFUNCTION("""COMPUTED_VALUE"""),"Array;Hash Table;Sorting;")</f>
        <v>Array;Hash Table;Sorting;</v>
      </c>
      <c r="M1134" s="20" t="b">
        <f>IFERROR(__xludf.DUMMYFUNCTION("""COMPUTED_VALUE"""),TRUE)</f>
        <v>1</v>
      </c>
      <c r="N1134" s="20" t="b">
        <f>IFERROR(__xludf.DUMMYFUNCTION("""COMPUTED_VALUE"""),FALSE)</f>
        <v>0</v>
      </c>
      <c r="O1134" s="20">
        <f>IFERROR(__xludf.DUMMYFUNCTION("""COMPUTED_VALUE"""),67.3901930714482)</f>
        <v>67.39019307</v>
      </c>
      <c r="P1134" s="20">
        <f>IFERROR(__xludf.DUMMYFUNCTION("""COMPUTED_VALUE"""),34276.0)</f>
        <v>34276</v>
      </c>
      <c r="Q1134" s="20">
        <f>IFERROR(__xludf.DUMMYFUNCTION("""COMPUTED_VALUE"""),50862.0)</f>
        <v>50862</v>
      </c>
    </row>
    <row r="1135">
      <c r="A1135" s="20">
        <f>IFERROR(__xludf.DUMMYFUNCTION("""COMPUTED_VALUE"""),1090.0)</f>
        <v>1090</v>
      </c>
      <c r="B1135" s="20" t="str">
        <f>IFERROR(__xludf.DUMMYFUNCTION("""COMPUTED_VALUE"""),"Armstrong Number")</f>
        <v>Armstrong Number</v>
      </c>
      <c r="C1135" s="20" t="str">
        <f>IFERROR(__xludf.DUMMYFUNCTION("""COMPUTED_VALUE"""),"armstrong-number")</f>
        <v>armstrong-number</v>
      </c>
      <c r="D1135" s="20" t="b">
        <f>IFERROR(__xludf.DUMMYFUNCTION("""COMPUTED_VALUE"""),TRUE)</f>
        <v>1</v>
      </c>
      <c r="E1135" s="20" t="str">
        <f>IFERROR(__xludf.DUMMYFUNCTION("""COMPUTED_VALUE"""),"Easy")</f>
        <v>Easy</v>
      </c>
      <c r="F1135" s="20">
        <f>IFERROR(__xludf.DUMMYFUNCTION("""COMPUTED_VALUE"""),172.0)</f>
        <v>172</v>
      </c>
      <c r="G1135" s="20">
        <f>IFERROR(__xludf.DUMMYFUNCTION("""COMPUTED_VALUE"""),18.0)</f>
        <v>18</v>
      </c>
      <c r="H1135" s="20" t="str">
        <f>IFERROR(__xludf.DUMMYFUNCTION("""COMPUTED_VALUE"""),"Algorithms")</f>
        <v>Algorithms</v>
      </c>
      <c r="I1135" s="20">
        <f>IFERROR(__xludf.DUMMYFUNCTION("""COMPUTED_VALUE"""),0.781)</f>
        <v>0.781</v>
      </c>
      <c r="J1135" s="20">
        <f>IFERROR(__xludf.DUMMYFUNCTION("""COMPUTED_VALUE"""),1134.0)</f>
        <v>1134</v>
      </c>
      <c r="K1135" s="20" t="b">
        <f>IFERROR(__xludf.DUMMYFUNCTION("""COMPUTED_VALUE"""),TRUE)</f>
        <v>1</v>
      </c>
      <c r="L1135" s="20" t="str">
        <f>IFERROR(__xludf.DUMMYFUNCTION("""COMPUTED_VALUE"""),"Math;")</f>
        <v>Math;</v>
      </c>
      <c r="M1135" s="20" t="b">
        <f>IFERROR(__xludf.DUMMYFUNCTION("""COMPUTED_VALUE"""),TRUE)</f>
        <v>1</v>
      </c>
      <c r="N1135" s="20" t="b">
        <f>IFERROR(__xludf.DUMMYFUNCTION("""COMPUTED_VALUE"""),FALSE)</f>
        <v>0</v>
      </c>
      <c r="O1135" s="20">
        <f>IFERROR(__xludf.DUMMYFUNCTION("""COMPUTED_VALUE"""),78.1406206389079)</f>
        <v>78.14062064</v>
      </c>
      <c r="P1135" s="20">
        <f>IFERROR(__xludf.DUMMYFUNCTION("""COMPUTED_VALUE"""),30796.0)</f>
        <v>30796</v>
      </c>
      <c r="Q1135" s="20">
        <f>IFERROR(__xludf.DUMMYFUNCTION("""COMPUTED_VALUE"""),39411.0)</f>
        <v>39411</v>
      </c>
    </row>
    <row r="1136">
      <c r="A1136" s="20">
        <f>IFERROR(__xludf.DUMMYFUNCTION("""COMPUTED_VALUE"""),1100.0)</f>
        <v>1100</v>
      </c>
      <c r="B1136" s="20" t="str">
        <f>IFERROR(__xludf.DUMMYFUNCTION("""COMPUTED_VALUE"""),"Connecting Cities With Minimum Cost")</f>
        <v>Connecting Cities With Minimum Cost</v>
      </c>
      <c r="C1136" s="20" t="str">
        <f>IFERROR(__xludf.DUMMYFUNCTION("""COMPUTED_VALUE"""),"connecting-cities-with-minimum-cost")</f>
        <v>connecting-cities-with-minimum-cost</v>
      </c>
      <c r="D1136" s="20" t="b">
        <f>IFERROR(__xludf.DUMMYFUNCTION("""COMPUTED_VALUE"""),TRUE)</f>
        <v>1</v>
      </c>
      <c r="E1136" s="20" t="str">
        <f>IFERROR(__xludf.DUMMYFUNCTION("""COMPUTED_VALUE"""),"Medium")</f>
        <v>Medium</v>
      </c>
      <c r="F1136" s="20">
        <f>IFERROR(__xludf.DUMMYFUNCTION("""COMPUTED_VALUE"""),993.0)</f>
        <v>993</v>
      </c>
      <c r="G1136" s="20">
        <f>IFERROR(__xludf.DUMMYFUNCTION("""COMPUTED_VALUE"""),57.0)</f>
        <v>57</v>
      </c>
      <c r="H1136" s="20" t="str">
        <f>IFERROR(__xludf.DUMMYFUNCTION("""COMPUTED_VALUE"""),"Algorithms")</f>
        <v>Algorithms</v>
      </c>
      <c r="I1136" s="20">
        <f>IFERROR(__xludf.DUMMYFUNCTION("""COMPUTED_VALUE"""),0.612)</f>
        <v>0.612</v>
      </c>
      <c r="J1136" s="20">
        <f>IFERROR(__xludf.DUMMYFUNCTION("""COMPUTED_VALUE"""),1135.0)</f>
        <v>1135</v>
      </c>
      <c r="K1136" s="20" t="b">
        <f>IFERROR(__xludf.DUMMYFUNCTION("""COMPUTED_VALUE"""),TRUE)</f>
        <v>1</v>
      </c>
      <c r="L1136" s="20" t="str">
        <f>IFERROR(__xludf.DUMMYFUNCTION("""COMPUTED_VALUE"""),"Union Find;Graph;Heap (Priority Queue);Minimum Spanning Tree;")</f>
        <v>Union Find;Graph;Heap (Priority Queue);Minimum Spanning Tree;</v>
      </c>
      <c r="M1136" s="20" t="b">
        <f>IFERROR(__xludf.DUMMYFUNCTION("""COMPUTED_VALUE"""),TRUE)</f>
        <v>1</v>
      </c>
      <c r="N1136" s="20" t="b">
        <f>IFERROR(__xludf.DUMMYFUNCTION("""COMPUTED_VALUE"""),FALSE)</f>
        <v>0</v>
      </c>
      <c r="O1136" s="20">
        <f>IFERROR(__xludf.DUMMYFUNCTION("""COMPUTED_VALUE"""),61.1969315341371)</f>
        <v>61.19693153</v>
      </c>
      <c r="P1136" s="20">
        <f>IFERROR(__xludf.DUMMYFUNCTION("""COMPUTED_VALUE"""),63898.0)</f>
        <v>63898</v>
      </c>
      <c r="Q1136" s="20">
        <f>IFERROR(__xludf.DUMMYFUNCTION("""COMPUTED_VALUE"""),104415.0)</f>
        <v>104415</v>
      </c>
    </row>
    <row r="1137">
      <c r="A1137" s="20">
        <f>IFERROR(__xludf.DUMMYFUNCTION("""COMPUTED_VALUE"""),1101.0)</f>
        <v>1101</v>
      </c>
      <c r="B1137" s="20" t="str">
        <f>IFERROR(__xludf.DUMMYFUNCTION("""COMPUTED_VALUE"""),"Parallel Courses")</f>
        <v>Parallel Courses</v>
      </c>
      <c r="C1137" s="20" t="str">
        <f>IFERROR(__xludf.DUMMYFUNCTION("""COMPUTED_VALUE"""),"parallel-courses")</f>
        <v>parallel-courses</v>
      </c>
      <c r="D1137" s="20" t="b">
        <f>IFERROR(__xludf.DUMMYFUNCTION("""COMPUTED_VALUE"""),TRUE)</f>
        <v>1</v>
      </c>
      <c r="E1137" s="20" t="str">
        <f>IFERROR(__xludf.DUMMYFUNCTION("""COMPUTED_VALUE"""),"Medium")</f>
        <v>Medium</v>
      </c>
      <c r="F1137" s="20">
        <f>IFERROR(__xludf.DUMMYFUNCTION("""COMPUTED_VALUE"""),865.0)</f>
        <v>865</v>
      </c>
      <c r="G1137" s="20">
        <f>IFERROR(__xludf.DUMMYFUNCTION("""COMPUTED_VALUE"""),22.0)</f>
        <v>22</v>
      </c>
      <c r="H1137" s="20" t="str">
        <f>IFERROR(__xludf.DUMMYFUNCTION("""COMPUTED_VALUE"""),"Algorithms")</f>
        <v>Algorithms</v>
      </c>
      <c r="I1137" s="20">
        <f>IFERROR(__xludf.DUMMYFUNCTION("""COMPUTED_VALUE"""),0.619)</f>
        <v>0.619</v>
      </c>
      <c r="J1137" s="20">
        <f>IFERROR(__xludf.DUMMYFUNCTION("""COMPUTED_VALUE"""),1136.0)</f>
        <v>1136</v>
      </c>
      <c r="K1137" s="20" t="b">
        <f>IFERROR(__xludf.DUMMYFUNCTION("""COMPUTED_VALUE"""),TRUE)</f>
        <v>1</v>
      </c>
      <c r="L1137" s="20" t="str">
        <f>IFERROR(__xludf.DUMMYFUNCTION("""COMPUTED_VALUE"""),"Graph;Topological Sort;")</f>
        <v>Graph;Topological Sort;</v>
      </c>
      <c r="M1137" s="20" t="b">
        <f>IFERROR(__xludf.DUMMYFUNCTION("""COMPUTED_VALUE"""),TRUE)</f>
        <v>1</v>
      </c>
      <c r="N1137" s="20" t="b">
        <f>IFERROR(__xludf.DUMMYFUNCTION("""COMPUTED_VALUE"""),FALSE)</f>
        <v>0</v>
      </c>
      <c r="O1137" s="20">
        <f>IFERROR(__xludf.DUMMYFUNCTION("""COMPUTED_VALUE"""),61.8747496642555)</f>
        <v>61.87474966</v>
      </c>
      <c r="P1137" s="20">
        <f>IFERROR(__xludf.DUMMYFUNCTION("""COMPUTED_VALUE"""),52523.0)</f>
        <v>52523</v>
      </c>
      <c r="Q1137" s="20">
        <f>IFERROR(__xludf.DUMMYFUNCTION("""COMPUTED_VALUE"""),84886.0)</f>
        <v>84886</v>
      </c>
    </row>
    <row r="1138">
      <c r="A1138" s="20">
        <f>IFERROR(__xludf.DUMMYFUNCTION("""COMPUTED_VALUE"""),1236.0)</f>
        <v>1236</v>
      </c>
      <c r="B1138" s="20" t="str">
        <f>IFERROR(__xludf.DUMMYFUNCTION("""COMPUTED_VALUE"""),"N-th Tribonacci Number")</f>
        <v>N-th Tribonacci Number</v>
      </c>
      <c r="C1138" s="20" t="str">
        <f>IFERROR(__xludf.DUMMYFUNCTION("""COMPUTED_VALUE"""),"n-th-tribonacci-number")</f>
        <v>n-th-tribonacci-number</v>
      </c>
      <c r="D1138" s="20" t="b">
        <f>IFERROR(__xludf.DUMMYFUNCTION("""COMPUTED_VALUE"""),FALSE)</f>
        <v>0</v>
      </c>
      <c r="E1138" s="20" t="str">
        <f>IFERROR(__xludf.DUMMYFUNCTION("""COMPUTED_VALUE"""),"Easy")</f>
        <v>Easy</v>
      </c>
      <c r="F1138" s="20">
        <f>IFERROR(__xludf.DUMMYFUNCTION("""COMPUTED_VALUE"""),2499.0)</f>
        <v>2499</v>
      </c>
      <c r="G1138" s="20">
        <f>IFERROR(__xludf.DUMMYFUNCTION("""COMPUTED_VALUE"""),133.0)</f>
        <v>133</v>
      </c>
      <c r="H1138" s="20" t="str">
        <f>IFERROR(__xludf.DUMMYFUNCTION("""COMPUTED_VALUE"""),"Algorithms")</f>
        <v>Algorithms</v>
      </c>
      <c r="I1138" s="20">
        <f>IFERROR(__xludf.DUMMYFUNCTION("""COMPUTED_VALUE"""),0.633)</f>
        <v>0.633</v>
      </c>
      <c r="J1138" s="20">
        <f>IFERROR(__xludf.DUMMYFUNCTION("""COMPUTED_VALUE"""),1137.0)</f>
        <v>1137</v>
      </c>
      <c r="K1138" s="20" t="b">
        <f>IFERROR(__xludf.DUMMYFUNCTION("""COMPUTED_VALUE"""),FALSE)</f>
        <v>0</v>
      </c>
      <c r="L1138" s="20" t="str">
        <f>IFERROR(__xludf.DUMMYFUNCTION("""COMPUTED_VALUE"""),"Math;Dynamic Programming;Memoization;")</f>
        <v>Math;Dynamic Programming;Memoization;</v>
      </c>
      <c r="M1138" s="20" t="b">
        <f>IFERROR(__xludf.DUMMYFUNCTION("""COMPUTED_VALUE"""),TRUE)</f>
        <v>1</v>
      </c>
      <c r="N1138" s="20" t="b">
        <f>IFERROR(__xludf.DUMMYFUNCTION("""COMPUTED_VALUE"""),FALSE)</f>
        <v>0</v>
      </c>
      <c r="O1138" s="20">
        <f>IFERROR(__xludf.DUMMYFUNCTION("""COMPUTED_VALUE"""),63.2737327814344)</f>
        <v>63.27373278</v>
      </c>
      <c r="P1138" s="20">
        <f>IFERROR(__xludf.DUMMYFUNCTION("""COMPUTED_VALUE"""),372982.0)</f>
        <v>372982</v>
      </c>
      <c r="Q1138" s="20">
        <f>IFERROR(__xludf.DUMMYFUNCTION("""COMPUTED_VALUE"""),589467.0)</f>
        <v>589467</v>
      </c>
    </row>
    <row r="1139">
      <c r="A1139" s="20">
        <f>IFERROR(__xludf.DUMMYFUNCTION("""COMPUTED_VALUE"""),1238.0)</f>
        <v>1238</v>
      </c>
      <c r="B1139" s="20" t="str">
        <f>IFERROR(__xludf.DUMMYFUNCTION("""COMPUTED_VALUE"""),"Alphabet Board Path")</f>
        <v>Alphabet Board Path</v>
      </c>
      <c r="C1139" s="20" t="str">
        <f>IFERROR(__xludf.DUMMYFUNCTION("""COMPUTED_VALUE"""),"alphabet-board-path")</f>
        <v>alphabet-board-path</v>
      </c>
      <c r="D1139" s="20" t="b">
        <f>IFERROR(__xludf.DUMMYFUNCTION("""COMPUTED_VALUE"""),FALSE)</f>
        <v>0</v>
      </c>
      <c r="E1139" s="20" t="str">
        <f>IFERROR(__xludf.DUMMYFUNCTION("""COMPUTED_VALUE"""),"Medium")</f>
        <v>Medium</v>
      </c>
      <c r="F1139" s="20">
        <f>IFERROR(__xludf.DUMMYFUNCTION("""COMPUTED_VALUE"""),742.0)</f>
        <v>742</v>
      </c>
      <c r="G1139" s="20">
        <f>IFERROR(__xludf.DUMMYFUNCTION("""COMPUTED_VALUE"""),151.0)</f>
        <v>151</v>
      </c>
      <c r="H1139" s="20" t="str">
        <f>IFERROR(__xludf.DUMMYFUNCTION("""COMPUTED_VALUE"""),"Algorithms")</f>
        <v>Algorithms</v>
      </c>
      <c r="I1139" s="20">
        <f>IFERROR(__xludf.DUMMYFUNCTION("""COMPUTED_VALUE"""),0.523)</f>
        <v>0.523</v>
      </c>
      <c r="J1139" s="20">
        <f>IFERROR(__xludf.DUMMYFUNCTION("""COMPUTED_VALUE"""),1138.0)</f>
        <v>1138</v>
      </c>
      <c r="K1139" s="20" t="b">
        <f>IFERROR(__xludf.DUMMYFUNCTION("""COMPUTED_VALUE"""),FALSE)</f>
        <v>0</v>
      </c>
      <c r="L1139" s="20" t="str">
        <f>IFERROR(__xludf.DUMMYFUNCTION("""COMPUTED_VALUE"""),"Hash Table;String;")</f>
        <v>Hash Table;String;</v>
      </c>
      <c r="M1139" s="20" t="b">
        <f>IFERROR(__xludf.DUMMYFUNCTION("""COMPUTED_VALUE"""),FALSE)</f>
        <v>0</v>
      </c>
      <c r="N1139" s="20" t="b">
        <f>IFERROR(__xludf.DUMMYFUNCTION("""COMPUTED_VALUE"""),FALSE)</f>
        <v>0</v>
      </c>
      <c r="O1139" s="20">
        <f>IFERROR(__xludf.DUMMYFUNCTION("""COMPUTED_VALUE"""),52.2760663507109)</f>
        <v>52.27606635</v>
      </c>
      <c r="P1139" s="20">
        <f>IFERROR(__xludf.DUMMYFUNCTION("""COMPUTED_VALUE"""),44121.0)</f>
        <v>44121</v>
      </c>
      <c r="Q1139" s="20">
        <f>IFERROR(__xludf.DUMMYFUNCTION("""COMPUTED_VALUE"""),84400.0)</f>
        <v>84400</v>
      </c>
    </row>
    <row r="1140">
      <c r="A1140" s="20">
        <f>IFERROR(__xludf.DUMMYFUNCTION("""COMPUTED_VALUE"""),1239.0)</f>
        <v>1239</v>
      </c>
      <c r="B1140" s="20" t="str">
        <f>IFERROR(__xludf.DUMMYFUNCTION("""COMPUTED_VALUE"""),"Largest 1-Bordered Square")</f>
        <v>Largest 1-Bordered Square</v>
      </c>
      <c r="C1140" s="20" t="str">
        <f>IFERROR(__xludf.DUMMYFUNCTION("""COMPUTED_VALUE"""),"largest-1-bordered-square")</f>
        <v>largest-1-bordered-square</v>
      </c>
      <c r="D1140" s="20" t="b">
        <f>IFERROR(__xludf.DUMMYFUNCTION("""COMPUTED_VALUE"""),FALSE)</f>
        <v>0</v>
      </c>
      <c r="E1140" s="20" t="str">
        <f>IFERROR(__xludf.DUMMYFUNCTION("""COMPUTED_VALUE"""),"Medium")</f>
        <v>Medium</v>
      </c>
      <c r="F1140" s="20">
        <f>IFERROR(__xludf.DUMMYFUNCTION("""COMPUTED_VALUE"""),603.0)</f>
        <v>603</v>
      </c>
      <c r="G1140" s="20">
        <f>IFERROR(__xludf.DUMMYFUNCTION("""COMPUTED_VALUE"""),90.0)</f>
        <v>90</v>
      </c>
      <c r="H1140" s="20" t="str">
        <f>IFERROR(__xludf.DUMMYFUNCTION("""COMPUTED_VALUE"""),"Algorithms")</f>
        <v>Algorithms</v>
      </c>
      <c r="I1140" s="20">
        <f>IFERROR(__xludf.DUMMYFUNCTION("""COMPUTED_VALUE"""),0.501)</f>
        <v>0.501</v>
      </c>
      <c r="J1140" s="20">
        <f>IFERROR(__xludf.DUMMYFUNCTION("""COMPUTED_VALUE"""),1139.0)</f>
        <v>1139</v>
      </c>
      <c r="K1140" s="20" t="b">
        <f>IFERROR(__xludf.DUMMYFUNCTION("""COMPUTED_VALUE"""),FALSE)</f>
        <v>0</v>
      </c>
      <c r="L1140" s="20" t="str">
        <f>IFERROR(__xludf.DUMMYFUNCTION("""COMPUTED_VALUE"""),"Array;Dynamic Programming;Matrix;")</f>
        <v>Array;Dynamic Programming;Matrix;</v>
      </c>
      <c r="M1140" s="20" t="b">
        <f>IFERROR(__xludf.DUMMYFUNCTION("""COMPUTED_VALUE"""),FALSE)</f>
        <v>0</v>
      </c>
      <c r="N1140" s="20" t="b">
        <f>IFERROR(__xludf.DUMMYFUNCTION("""COMPUTED_VALUE"""),FALSE)</f>
        <v>0</v>
      </c>
      <c r="O1140" s="20">
        <f>IFERROR(__xludf.DUMMYFUNCTION("""COMPUTED_VALUE"""),50.0915380774626)</f>
        <v>50.09153808</v>
      </c>
      <c r="P1140" s="20">
        <f>IFERROR(__xludf.DUMMYFUNCTION("""COMPUTED_VALUE"""),21068.0)</f>
        <v>21068</v>
      </c>
      <c r="Q1140" s="20">
        <f>IFERROR(__xludf.DUMMYFUNCTION("""COMPUTED_VALUE"""),42059.0)</f>
        <v>42059</v>
      </c>
    </row>
    <row r="1141">
      <c r="A1141" s="20">
        <f>IFERROR(__xludf.DUMMYFUNCTION("""COMPUTED_VALUE"""),1240.0)</f>
        <v>1240</v>
      </c>
      <c r="B1141" s="20" t="str">
        <f>IFERROR(__xludf.DUMMYFUNCTION("""COMPUTED_VALUE"""),"Stone Game II")</f>
        <v>Stone Game II</v>
      </c>
      <c r="C1141" s="20" t="str">
        <f>IFERROR(__xludf.DUMMYFUNCTION("""COMPUTED_VALUE"""),"stone-game-ii")</f>
        <v>stone-game-ii</v>
      </c>
      <c r="D1141" s="20" t="b">
        <f>IFERROR(__xludf.DUMMYFUNCTION("""COMPUTED_VALUE"""),FALSE)</f>
        <v>0</v>
      </c>
      <c r="E1141" s="20" t="str">
        <f>IFERROR(__xludf.DUMMYFUNCTION("""COMPUTED_VALUE"""),"Medium")</f>
        <v>Medium</v>
      </c>
      <c r="F1141" s="20">
        <f>IFERROR(__xludf.DUMMYFUNCTION("""COMPUTED_VALUE"""),1571.0)</f>
        <v>1571</v>
      </c>
      <c r="G1141" s="20">
        <f>IFERROR(__xludf.DUMMYFUNCTION("""COMPUTED_VALUE"""),277.0)</f>
        <v>277</v>
      </c>
      <c r="H1141" s="20" t="str">
        <f>IFERROR(__xludf.DUMMYFUNCTION("""COMPUTED_VALUE"""),"Algorithms")</f>
        <v>Algorithms</v>
      </c>
      <c r="I1141" s="20">
        <f>IFERROR(__xludf.DUMMYFUNCTION("""COMPUTED_VALUE"""),0.648)</f>
        <v>0.648</v>
      </c>
      <c r="J1141" s="20">
        <f>IFERROR(__xludf.DUMMYFUNCTION("""COMPUTED_VALUE"""),1140.0)</f>
        <v>1140</v>
      </c>
      <c r="K1141" s="20" t="b">
        <f>IFERROR(__xludf.DUMMYFUNCTION("""COMPUTED_VALUE"""),FALSE)</f>
        <v>0</v>
      </c>
      <c r="L1141" s="20" t="str">
        <f>IFERROR(__xludf.DUMMYFUNCTION("""COMPUTED_VALUE"""),"Array;Math;Dynamic Programming;Game Theory;")</f>
        <v>Array;Math;Dynamic Programming;Game Theory;</v>
      </c>
      <c r="M1141" s="20" t="b">
        <f>IFERROR(__xludf.DUMMYFUNCTION("""COMPUTED_VALUE"""),FALSE)</f>
        <v>0</v>
      </c>
      <c r="N1141" s="20" t="b">
        <f>IFERROR(__xludf.DUMMYFUNCTION("""COMPUTED_VALUE"""),FALSE)</f>
        <v>0</v>
      </c>
      <c r="O1141" s="20">
        <f>IFERROR(__xludf.DUMMYFUNCTION("""COMPUTED_VALUE"""),64.8369596920025)</f>
        <v>64.83695969</v>
      </c>
      <c r="P1141" s="20">
        <f>IFERROR(__xludf.DUMMYFUNCTION("""COMPUTED_VALUE"""),44460.0)</f>
        <v>44460</v>
      </c>
      <c r="Q1141" s="20">
        <f>IFERROR(__xludf.DUMMYFUNCTION("""COMPUTED_VALUE"""),68572.0)</f>
        <v>68572</v>
      </c>
    </row>
    <row r="1142">
      <c r="A1142" s="20">
        <f>IFERROR(__xludf.DUMMYFUNCTION("""COMPUTED_VALUE"""),1245.0)</f>
        <v>1245</v>
      </c>
      <c r="B1142" s="20" t="str">
        <f>IFERROR(__xludf.DUMMYFUNCTION("""COMPUTED_VALUE"""),"User Activity for the Past 30 Days I")</f>
        <v>User Activity for the Past 30 Days I</v>
      </c>
      <c r="C1142" s="20" t="str">
        <f>IFERROR(__xludf.DUMMYFUNCTION("""COMPUTED_VALUE"""),"user-activity-for-the-past-30-days-i")</f>
        <v>user-activity-for-the-past-30-days-i</v>
      </c>
      <c r="D1142" s="20" t="b">
        <f>IFERROR(__xludf.DUMMYFUNCTION("""COMPUTED_VALUE"""),FALSE)</f>
        <v>0</v>
      </c>
      <c r="E1142" s="20" t="str">
        <f>IFERROR(__xludf.DUMMYFUNCTION("""COMPUTED_VALUE"""),"Easy")</f>
        <v>Easy</v>
      </c>
      <c r="F1142" s="20">
        <f>IFERROR(__xludf.DUMMYFUNCTION("""COMPUTED_VALUE"""),256.0)</f>
        <v>256</v>
      </c>
      <c r="G1142" s="20">
        <f>IFERROR(__xludf.DUMMYFUNCTION("""COMPUTED_VALUE"""),390.0)</f>
        <v>390</v>
      </c>
      <c r="H1142" s="20" t="str">
        <f>IFERROR(__xludf.DUMMYFUNCTION("""COMPUTED_VALUE"""),"Database")</f>
        <v>Database</v>
      </c>
      <c r="I1142" s="20">
        <f>IFERROR(__xludf.DUMMYFUNCTION("""COMPUTED_VALUE"""),0.496)</f>
        <v>0.496</v>
      </c>
      <c r="J1142" s="20">
        <f>IFERROR(__xludf.DUMMYFUNCTION("""COMPUTED_VALUE"""),1141.0)</f>
        <v>1141</v>
      </c>
      <c r="K1142" s="20" t="b">
        <f>IFERROR(__xludf.DUMMYFUNCTION("""COMPUTED_VALUE"""),FALSE)</f>
        <v>0</v>
      </c>
      <c r="L1142" s="20" t="str">
        <f>IFERROR(__xludf.DUMMYFUNCTION("""COMPUTED_VALUE"""),"Database;")</f>
        <v>Database;</v>
      </c>
      <c r="M1142" s="20" t="b">
        <f>IFERROR(__xludf.DUMMYFUNCTION("""COMPUTED_VALUE"""),FALSE)</f>
        <v>0</v>
      </c>
      <c r="N1142" s="20" t="b">
        <f>IFERROR(__xludf.DUMMYFUNCTION("""COMPUTED_VALUE"""),FALSE)</f>
        <v>0</v>
      </c>
      <c r="O1142" s="20">
        <f>IFERROR(__xludf.DUMMYFUNCTION("""COMPUTED_VALUE"""),49.6435523668773)</f>
        <v>49.64355237</v>
      </c>
      <c r="P1142" s="20">
        <f>IFERROR(__xludf.DUMMYFUNCTION("""COMPUTED_VALUE"""),76249.0)</f>
        <v>76249</v>
      </c>
      <c r="Q1142" s="20">
        <f>IFERROR(__xludf.DUMMYFUNCTION("""COMPUTED_VALUE"""),153594.0)</f>
        <v>153594</v>
      </c>
    </row>
    <row r="1143">
      <c r="A1143" s="20">
        <f>IFERROR(__xludf.DUMMYFUNCTION("""COMPUTED_VALUE"""),1246.0)</f>
        <v>1246</v>
      </c>
      <c r="B1143" s="20" t="str">
        <f>IFERROR(__xludf.DUMMYFUNCTION("""COMPUTED_VALUE"""),"User Activity for the Past 30 Days II")</f>
        <v>User Activity for the Past 30 Days II</v>
      </c>
      <c r="C1143" s="20" t="str">
        <f>IFERROR(__xludf.DUMMYFUNCTION("""COMPUTED_VALUE"""),"user-activity-for-the-past-30-days-ii")</f>
        <v>user-activity-for-the-past-30-days-ii</v>
      </c>
      <c r="D1143" s="20" t="b">
        <f>IFERROR(__xludf.DUMMYFUNCTION("""COMPUTED_VALUE"""),TRUE)</f>
        <v>1</v>
      </c>
      <c r="E1143" s="20" t="str">
        <f>IFERROR(__xludf.DUMMYFUNCTION("""COMPUTED_VALUE"""),"Easy")</f>
        <v>Easy</v>
      </c>
      <c r="F1143" s="20">
        <f>IFERROR(__xludf.DUMMYFUNCTION("""COMPUTED_VALUE"""),87.0)</f>
        <v>87</v>
      </c>
      <c r="G1143" s="20">
        <f>IFERROR(__xludf.DUMMYFUNCTION("""COMPUTED_VALUE"""),328.0)</f>
        <v>328</v>
      </c>
      <c r="H1143" s="20" t="str">
        <f>IFERROR(__xludf.DUMMYFUNCTION("""COMPUTED_VALUE"""),"Database")</f>
        <v>Database</v>
      </c>
      <c r="I1143" s="20">
        <f>IFERROR(__xludf.DUMMYFUNCTION("""COMPUTED_VALUE"""),0.359)</f>
        <v>0.359</v>
      </c>
      <c r="J1143" s="20">
        <f>IFERROR(__xludf.DUMMYFUNCTION("""COMPUTED_VALUE"""),1142.0)</f>
        <v>1142</v>
      </c>
      <c r="K1143" s="20" t="b">
        <f>IFERROR(__xludf.DUMMYFUNCTION("""COMPUTED_VALUE"""),TRUE)</f>
        <v>1</v>
      </c>
      <c r="L1143" s="20" t="str">
        <f>IFERROR(__xludf.DUMMYFUNCTION("""COMPUTED_VALUE"""),"Database;")</f>
        <v>Database;</v>
      </c>
      <c r="M1143" s="20" t="b">
        <f>IFERROR(__xludf.DUMMYFUNCTION("""COMPUTED_VALUE"""),FALSE)</f>
        <v>0</v>
      </c>
      <c r="N1143" s="20" t="b">
        <f>IFERROR(__xludf.DUMMYFUNCTION("""COMPUTED_VALUE"""),FALSE)</f>
        <v>0</v>
      </c>
      <c r="O1143" s="20">
        <f>IFERROR(__xludf.DUMMYFUNCTION("""COMPUTED_VALUE"""),35.9412733537441)</f>
        <v>35.94127335</v>
      </c>
      <c r="P1143" s="20">
        <f>IFERROR(__xludf.DUMMYFUNCTION("""COMPUTED_VALUE"""),35570.0)</f>
        <v>35570</v>
      </c>
      <c r="Q1143" s="20">
        <f>IFERROR(__xludf.DUMMYFUNCTION("""COMPUTED_VALUE"""),98967.0)</f>
        <v>98967</v>
      </c>
    </row>
    <row r="1144">
      <c r="A1144" s="20">
        <f>IFERROR(__xludf.DUMMYFUNCTION("""COMPUTED_VALUE"""),1250.0)</f>
        <v>1250</v>
      </c>
      <c r="B1144" s="20" t="str">
        <f>IFERROR(__xludf.DUMMYFUNCTION("""COMPUTED_VALUE"""),"Longest Common Subsequence")</f>
        <v>Longest Common Subsequence</v>
      </c>
      <c r="C1144" s="20" t="str">
        <f>IFERROR(__xludf.DUMMYFUNCTION("""COMPUTED_VALUE"""),"longest-common-subsequence")</f>
        <v>longest-common-subsequence</v>
      </c>
      <c r="D1144" s="20" t="b">
        <f>IFERROR(__xludf.DUMMYFUNCTION("""COMPUTED_VALUE"""),FALSE)</f>
        <v>0</v>
      </c>
      <c r="E1144" s="20" t="str">
        <f>IFERROR(__xludf.DUMMYFUNCTION("""COMPUTED_VALUE"""),"Medium")</f>
        <v>Medium</v>
      </c>
      <c r="F1144" s="20">
        <f>IFERROR(__xludf.DUMMYFUNCTION("""COMPUTED_VALUE"""),9845.0)</f>
        <v>9845</v>
      </c>
      <c r="G1144" s="20">
        <f>IFERROR(__xludf.DUMMYFUNCTION("""COMPUTED_VALUE"""),114.0)</f>
        <v>114</v>
      </c>
      <c r="H1144" s="20" t="str">
        <f>IFERROR(__xludf.DUMMYFUNCTION("""COMPUTED_VALUE"""),"Algorithms")</f>
        <v>Algorithms</v>
      </c>
      <c r="I1144" s="20">
        <f>IFERROR(__xludf.DUMMYFUNCTION("""COMPUTED_VALUE"""),0.587)</f>
        <v>0.587</v>
      </c>
      <c r="J1144" s="20">
        <f>IFERROR(__xludf.DUMMYFUNCTION("""COMPUTED_VALUE"""),1143.0)</f>
        <v>1143</v>
      </c>
      <c r="K1144" s="20" t="b">
        <f>IFERROR(__xludf.DUMMYFUNCTION("""COMPUTED_VALUE"""),FALSE)</f>
        <v>0</v>
      </c>
      <c r="L1144" s="20" t="str">
        <f>IFERROR(__xludf.DUMMYFUNCTION("""COMPUTED_VALUE"""),"String;Dynamic Programming;")</f>
        <v>String;Dynamic Programming;</v>
      </c>
      <c r="M1144" s="20" t="b">
        <f>IFERROR(__xludf.DUMMYFUNCTION("""COMPUTED_VALUE"""),TRUE)</f>
        <v>1</v>
      </c>
      <c r="N1144" s="20" t="b">
        <f>IFERROR(__xludf.DUMMYFUNCTION("""COMPUTED_VALUE"""),FALSE)</f>
        <v>0</v>
      </c>
      <c r="O1144" s="20">
        <f>IFERROR(__xludf.DUMMYFUNCTION("""COMPUTED_VALUE"""),58.6529011988456)</f>
        <v>58.6529012</v>
      </c>
      <c r="P1144" s="20">
        <f>IFERROR(__xludf.DUMMYFUNCTION("""COMPUTED_VALUE"""),621284.0)</f>
        <v>621284</v>
      </c>
      <c r="Q1144" s="20">
        <f>IFERROR(__xludf.DUMMYFUNCTION("""COMPUTED_VALUE"""),1059249.0)</f>
        <v>1059249</v>
      </c>
    </row>
    <row r="1145">
      <c r="A1145" s="20">
        <f>IFERROR(__xludf.DUMMYFUNCTION("""COMPUTED_VALUE"""),1247.0)</f>
        <v>1247</v>
      </c>
      <c r="B1145" s="20" t="str">
        <f>IFERROR(__xludf.DUMMYFUNCTION("""COMPUTED_VALUE"""),"Decrease Elements To Make Array Zigzag")</f>
        <v>Decrease Elements To Make Array Zigzag</v>
      </c>
      <c r="C1145" s="20" t="str">
        <f>IFERROR(__xludf.DUMMYFUNCTION("""COMPUTED_VALUE"""),"decrease-elements-to-make-array-zigzag")</f>
        <v>decrease-elements-to-make-array-zigzag</v>
      </c>
      <c r="D1145" s="20" t="b">
        <f>IFERROR(__xludf.DUMMYFUNCTION("""COMPUTED_VALUE"""),FALSE)</f>
        <v>0</v>
      </c>
      <c r="E1145" s="20" t="str">
        <f>IFERROR(__xludf.DUMMYFUNCTION("""COMPUTED_VALUE"""),"Medium")</f>
        <v>Medium</v>
      </c>
      <c r="F1145" s="20">
        <f>IFERROR(__xludf.DUMMYFUNCTION("""COMPUTED_VALUE"""),360.0)</f>
        <v>360</v>
      </c>
      <c r="G1145" s="20">
        <f>IFERROR(__xludf.DUMMYFUNCTION("""COMPUTED_VALUE"""),154.0)</f>
        <v>154</v>
      </c>
      <c r="H1145" s="20" t="str">
        <f>IFERROR(__xludf.DUMMYFUNCTION("""COMPUTED_VALUE"""),"Algorithms")</f>
        <v>Algorithms</v>
      </c>
      <c r="I1145" s="20">
        <f>IFERROR(__xludf.DUMMYFUNCTION("""COMPUTED_VALUE"""),0.472)</f>
        <v>0.472</v>
      </c>
      <c r="J1145" s="20">
        <f>IFERROR(__xludf.DUMMYFUNCTION("""COMPUTED_VALUE"""),1144.0)</f>
        <v>1144</v>
      </c>
      <c r="K1145" s="20" t="b">
        <f>IFERROR(__xludf.DUMMYFUNCTION("""COMPUTED_VALUE"""),FALSE)</f>
        <v>0</v>
      </c>
      <c r="L1145" s="20" t="str">
        <f>IFERROR(__xludf.DUMMYFUNCTION("""COMPUTED_VALUE"""),"Array;Greedy;")</f>
        <v>Array;Greedy;</v>
      </c>
      <c r="M1145" s="20" t="b">
        <f>IFERROR(__xludf.DUMMYFUNCTION("""COMPUTED_VALUE"""),FALSE)</f>
        <v>0</v>
      </c>
      <c r="N1145" s="20" t="b">
        <f>IFERROR(__xludf.DUMMYFUNCTION("""COMPUTED_VALUE"""),FALSE)</f>
        <v>0</v>
      </c>
      <c r="O1145" s="20">
        <f>IFERROR(__xludf.DUMMYFUNCTION("""COMPUTED_VALUE"""),47.1528015519799)</f>
        <v>47.15280155</v>
      </c>
      <c r="P1145" s="20">
        <f>IFERROR(__xludf.DUMMYFUNCTION("""COMPUTED_VALUE"""),16528.0)</f>
        <v>16528</v>
      </c>
      <c r="Q1145" s="20">
        <f>IFERROR(__xludf.DUMMYFUNCTION("""COMPUTED_VALUE"""),35052.0)</f>
        <v>35052</v>
      </c>
    </row>
    <row r="1146">
      <c r="A1146" s="20">
        <f>IFERROR(__xludf.DUMMYFUNCTION("""COMPUTED_VALUE"""),1248.0)</f>
        <v>1248</v>
      </c>
      <c r="B1146" s="20" t="str">
        <f>IFERROR(__xludf.DUMMYFUNCTION("""COMPUTED_VALUE"""),"Binary Tree Coloring Game")</f>
        <v>Binary Tree Coloring Game</v>
      </c>
      <c r="C1146" s="20" t="str">
        <f>IFERROR(__xludf.DUMMYFUNCTION("""COMPUTED_VALUE"""),"binary-tree-coloring-game")</f>
        <v>binary-tree-coloring-game</v>
      </c>
      <c r="D1146" s="20" t="b">
        <f>IFERROR(__xludf.DUMMYFUNCTION("""COMPUTED_VALUE"""),FALSE)</f>
        <v>0</v>
      </c>
      <c r="E1146" s="20" t="str">
        <f>IFERROR(__xludf.DUMMYFUNCTION("""COMPUTED_VALUE"""),"Medium")</f>
        <v>Medium</v>
      </c>
      <c r="F1146" s="20">
        <f>IFERROR(__xludf.DUMMYFUNCTION("""COMPUTED_VALUE"""),1147.0)</f>
        <v>1147</v>
      </c>
      <c r="G1146" s="20">
        <f>IFERROR(__xludf.DUMMYFUNCTION("""COMPUTED_VALUE"""),195.0)</f>
        <v>195</v>
      </c>
      <c r="H1146" s="20" t="str">
        <f>IFERROR(__xludf.DUMMYFUNCTION("""COMPUTED_VALUE"""),"Algorithms")</f>
        <v>Algorithms</v>
      </c>
      <c r="I1146" s="20">
        <f>IFERROR(__xludf.DUMMYFUNCTION("""COMPUTED_VALUE"""),0.515)</f>
        <v>0.515</v>
      </c>
      <c r="J1146" s="20">
        <f>IFERROR(__xludf.DUMMYFUNCTION("""COMPUTED_VALUE"""),1145.0)</f>
        <v>1145</v>
      </c>
      <c r="K1146" s="20" t="b">
        <f>IFERROR(__xludf.DUMMYFUNCTION("""COMPUTED_VALUE"""),FALSE)</f>
        <v>0</v>
      </c>
      <c r="L1146" s="20" t="str">
        <f>IFERROR(__xludf.DUMMYFUNCTION("""COMPUTED_VALUE"""),"Tree;Depth-First Search;Binary Tree;")</f>
        <v>Tree;Depth-First Search;Binary Tree;</v>
      </c>
      <c r="M1146" s="20" t="b">
        <f>IFERROR(__xludf.DUMMYFUNCTION("""COMPUTED_VALUE"""),FALSE)</f>
        <v>0</v>
      </c>
      <c r="N1146" s="20" t="b">
        <f>IFERROR(__xludf.DUMMYFUNCTION("""COMPUTED_VALUE"""),FALSE)</f>
        <v>0</v>
      </c>
      <c r="O1146" s="20">
        <f>IFERROR(__xludf.DUMMYFUNCTION("""COMPUTED_VALUE"""),51.5285667646098)</f>
        <v>51.52856676</v>
      </c>
      <c r="P1146" s="20">
        <f>IFERROR(__xludf.DUMMYFUNCTION("""COMPUTED_VALUE"""),39458.0)</f>
        <v>39458</v>
      </c>
      <c r="Q1146" s="20">
        <f>IFERROR(__xludf.DUMMYFUNCTION("""COMPUTED_VALUE"""),76575.0)</f>
        <v>76575</v>
      </c>
    </row>
    <row r="1147">
      <c r="A1147" s="20">
        <f>IFERROR(__xludf.DUMMYFUNCTION("""COMPUTED_VALUE"""),1249.0)</f>
        <v>1249</v>
      </c>
      <c r="B1147" s="20" t="str">
        <f>IFERROR(__xludf.DUMMYFUNCTION("""COMPUTED_VALUE"""),"Snapshot Array")</f>
        <v>Snapshot Array</v>
      </c>
      <c r="C1147" s="20" t="str">
        <f>IFERROR(__xludf.DUMMYFUNCTION("""COMPUTED_VALUE"""),"snapshot-array")</f>
        <v>snapshot-array</v>
      </c>
      <c r="D1147" s="20" t="b">
        <f>IFERROR(__xludf.DUMMYFUNCTION("""COMPUTED_VALUE"""),FALSE)</f>
        <v>0</v>
      </c>
      <c r="E1147" s="20" t="str">
        <f>IFERROR(__xludf.DUMMYFUNCTION("""COMPUTED_VALUE"""),"Medium")</f>
        <v>Medium</v>
      </c>
      <c r="F1147" s="20">
        <f>IFERROR(__xludf.DUMMYFUNCTION("""COMPUTED_VALUE"""),2042.0)</f>
        <v>2042</v>
      </c>
      <c r="G1147" s="20">
        <f>IFERROR(__xludf.DUMMYFUNCTION("""COMPUTED_VALUE"""),294.0)</f>
        <v>294</v>
      </c>
      <c r="H1147" s="20" t="str">
        <f>IFERROR(__xludf.DUMMYFUNCTION("""COMPUTED_VALUE"""),"Algorithms")</f>
        <v>Algorithms</v>
      </c>
      <c r="I1147" s="20">
        <f>IFERROR(__xludf.DUMMYFUNCTION("""COMPUTED_VALUE"""),0.373)</f>
        <v>0.373</v>
      </c>
      <c r="J1147" s="20">
        <f>IFERROR(__xludf.DUMMYFUNCTION("""COMPUTED_VALUE"""),1146.0)</f>
        <v>1146</v>
      </c>
      <c r="K1147" s="20" t="b">
        <f>IFERROR(__xludf.DUMMYFUNCTION("""COMPUTED_VALUE"""),FALSE)</f>
        <v>0</v>
      </c>
      <c r="L1147" s="20" t="str">
        <f>IFERROR(__xludf.DUMMYFUNCTION("""COMPUTED_VALUE"""),"Array;Hash Table;Binary Search;Design;")</f>
        <v>Array;Hash Table;Binary Search;Design;</v>
      </c>
      <c r="M1147" s="20" t="b">
        <f>IFERROR(__xludf.DUMMYFUNCTION("""COMPUTED_VALUE"""),FALSE)</f>
        <v>0</v>
      </c>
      <c r="N1147" s="20" t="b">
        <f>IFERROR(__xludf.DUMMYFUNCTION("""COMPUTED_VALUE"""),FALSE)</f>
        <v>0</v>
      </c>
      <c r="O1147" s="20">
        <f>IFERROR(__xludf.DUMMYFUNCTION("""COMPUTED_VALUE"""),37.3079760636117)</f>
        <v>37.30797606</v>
      </c>
      <c r="P1147" s="20">
        <f>IFERROR(__xludf.DUMMYFUNCTION("""COMPUTED_VALUE"""),136536.0)</f>
        <v>136536</v>
      </c>
      <c r="Q1147" s="20">
        <f>IFERROR(__xludf.DUMMYFUNCTION("""COMPUTED_VALUE"""),365970.0)</f>
        <v>365970</v>
      </c>
    </row>
    <row r="1148">
      <c r="A1148" s="20">
        <f>IFERROR(__xludf.DUMMYFUNCTION("""COMPUTED_VALUE"""),1251.0)</f>
        <v>1251</v>
      </c>
      <c r="B1148" s="20" t="str">
        <f>IFERROR(__xludf.DUMMYFUNCTION("""COMPUTED_VALUE"""),"Longest Chunked Palindrome Decomposition")</f>
        <v>Longest Chunked Palindrome Decomposition</v>
      </c>
      <c r="C1148" s="20" t="str">
        <f>IFERROR(__xludf.DUMMYFUNCTION("""COMPUTED_VALUE"""),"longest-chunked-palindrome-decomposition")</f>
        <v>longest-chunked-palindrome-decomposition</v>
      </c>
      <c r="D1148" s="20" t="b">
        <f>IFERROR(__xludf.DUMMYFUNCTION("""COMPUTED_VALUE"""),FALSE)</f>
        <v>0</v>
      </c>
      <c r="E1148" s="20" t="str">
        <f>IFERROR(__xludf.DUMMYFUNCTION("""COMPUTED_VALUE"""),"Hard")</f>
        <v>Hard</v>
      </c>
      <c r="F1148" s="20">
        <f>IFERROR(__xludf.DUMMYFUNCTION("""COMPUTED_VALUE"""),543.0)</f>
        <v>543</v>
      </c>
      <c r="G1148" s="20">
        <f>IFERROR(__xludf.DUMMYFUNCTION("""COMPUTED_VALUE"""),26.0)</f>
        <v>26</v>
      </c>
      <c r="H1148" s="20" t="str">
        <f>IFERROR(__xludf.DUMMYFUNCTION("""COMPUTED_VALUE"""),"Algorithms")</f>
        <v>Algorithms</v>
      </c>
      <c r="I1148" s="20">
        <f>IFERROR(__xludf.DUMMYFUNCTION("""COMPUTED_VALUE"""),0.596)</f>
        <v>0.596</v>
      </c>
      <c r="J1148" s="20">
        <f>IFERROR(__xludf.DUMMYFUNCTION("""COMPUTED_VALUE"""),1147.0)</f>
        <v>1147</v>
      </c>
      <c r="K1148" s="20" t="b">
        <f>IFERROR(__xludf.DUMMYFUNCTION("""COMPUTED_VALUE"""),FALSE)</f>
        <v>0</v>
      </c>
      <c r="L1148" s="20" t="str">
        <f>IFERROR(__xludf.DUMMYFUNCTION("""COMPUTED_VALUE"""),"Two Pointers;String;Dynamic Programming;Greedy;Rolling Hash;Hash Function;")</f>
        <v>Two Pointers;String;Dynamic Programming;Greedy;Rolling Hash;Hash Function;</v>
      </c>
      <c r="M1148" s="20" t="b">
        <f>IFERROR(__xludf.DUMMYFUNCTION("""COMPUTED_VALUE"""),FALSE)</f>
        <v>0</v>
      </c>
      <c r="N1148" s="20" t="b">
        <f>IFERROR(__xludf.DUMMYFUNCTION("""COMPUTED_VALUE"""),FALSE)</f>
        <v>0</v>
      </c>
      <c r="O1148" s="20">
        <f>IFERROR(__xludf.DUMMYFUNCTION("""COMPUTED_VALUE"""),59.6199894268744)</f>
        <v>59.61998943</v>
      </c>
      <c r="P1148" s="20">
        <f>IFERROR(__xludf.DUMMYFUNCTION("""COMPUTED_VALUE"""),19172.0)</f>
        <v>19172</v>
      </c>
      <c r="Q1148" s="20">
        <f>IFERROR(__xludf.DUMMYFUNCTION("""COMPUTED_VALUE"""),32157.0)</f>
        <v>32157</v>
      </c>
    </row>
    <row r="1149">
      <c r="A1149" s="20">
        <f>IFERROR(__xludf.DUMMYFUNCTION("""COMPUTED_VALUE"""),1258.0)</f>
        <v>1258</v>
      </c>
      <c r="B1149" s="20" t="str">
        <f>IFERROR(__xludf.DUMMYFUNCTION("""COMPUTED_VALUE"""),"Article Views I")</f>
        <v>Article Views I</v>
      </c>
      <c r="C1149" s="20" t="str">
        <f>IFERROR(__xludf.DUMMYFUNCTION("""COMPUTED_VALUE"""),"article-views-i")</f>
        <v>article-views-i</v>
      </c>
      <c r="D1149" s="20" t="b">
        <f>IFERROR(__xludf.DUMMYFUNCTION("""COMPUTED_VALUE"""),FALSE)</f>
        <v>0</v>
      </c>
      <c r="E1149" s="20" t="str">
        <f>IFERROR(__xludf.DUMMYFUNCTION("""COMPUTED_VALUE"""),"Easy")</f>
        <v>Easy</v>
      </c>
      <c r="F1149" s="20">
        <f>IFERROR(__xludf.DUMMYFUNCTION("""COMPUTED_VALUE"""),302.0)</f>
        <v>302</v>
      </c>
      <c r="G1149" s="20">
        <f>IFERROR(__xludf.DUMMYFUNCTION("""COMPUTED_VALUE"""),29.0)</f>
        <v>29</v>
      </c>
      <c r="H1149" s="20" t="str">
        <f>IFERROR(__xludf.DUMMYFUNCTION("""COMPUTED_VALUE"""),"Database")</f>
        <v>Database</v>
      </c>
      <c r="I1149" s="20">
        <f>IFERROR(__xludf.DUMMYFUNCTION("""COMPUTED_VALUE"""),0.769)</f>
        <v>0.769</v>
      </c>
      <c r="J1149" s="20">
        <f>IFERROR(__xludf.DUMMYFUNCTION("""COMPUTED_VALUE"""),1148.0)</f>
        <v>1148</v>
      </c>
      <c r="K1149" s="20" t="b">
        <f>IFERROR(__xludf.DUMMYFUNCTION("""COMPUTED_VALUE"""),FALSE)</f>
        <v>0</v>
      </c>
      <c r="L1149" s="20" t="str">
        <f>IFERROR(__xludf.DUMMYFUNCTION("""COMPUTED_VALUE"""),"Database;")</f>
        <v>Database;</v>
      </c>
      <c r="M1149" s="20" t="b">
        <f>IFERROR(__xludf.DUMMYFUNCTION("""COMPUTED_VALUE"""),FALSE)</f>
        <v>0</v>
      </c>
      <c r="N1149" s="20" t="b">
        <f>IFERROR(__xludf.DUMMYFUNCTION("""COMPUTED_VALUE"""),FALSE)</f>
        <v>0</v>
      </c>
      <c r="O1149" s="20">
        <f>IFERROR(__xludf.DUMMYFUNCTION("""COMPUTED_VALUE"""),76.9064264704598)</f>
        <v>76.90642647</v>
      </c>
      <c r="P1149" s="20">
        <f>IFERROR(__xludf.DUMMYFUNCTION("""COMPUTED_VALUE"""),88113.0)</f>
        <v>88113</v>
      </c>
      <c r="Q1149" s="20">
        <f>IFERROR(__xludf.DUMMYFUNCTION("""COMPUTED_VALUE"""),114572.0)</f>
        <v>114572</v>
      </c>
    </row>
    <row r="1150">
      <c r="A1150" s="20">
        <f>IFERROR(__xludf.DUMMYFUNCTION("""COMPUTED_VALUE"""),1259.0)</f>
        <v>1259</v>
      </c>
      <c r="B1150" s="20" t="str">
        <f>IFERROR(__xludf.DUMMYFUNCTION("""COMPUTED_VALUE"""),"Article Views II")</f>
        <v>Article Views II</v>
      </c>
      <c r="C1150" s="20" t="str">
        <f>IFERROR(__xludf.DUMMYFUNCTION("""COMPUTED_VALUE"""),"article-views-ii")</f>
        <v>article-views-ii</v>
      </c>
      <c r="D1150" s="20" t="b">
        <f>IFERROR(__xludf.DUMMYFUNCTION("""COMPUTED_VALUE"""),TRUE)</f>
        <v>1</v>
      </c>
      <c r="E1150" s="20" t="str">
        <f>IFERROR(__xludf.DUMMYFUNCTION("""COMPUTED_VALUE"""),"Medium")</f>
        <v>Medium</v>
      </c>
      <c r="F1150" s="20">
        <f>IFERROR(__xludf.DUMMYFUNCTION("""COMPUTED_VALUE"""),110.0)</f>
        <v>110</v>
      </c>
      <c r="G1150" s="20">
        <f>IFERROR(__xludf.DUMMYFUNCTION("""COMPUTED_VALUE"""),27.0)</f>
        <v>27</v>
      </c>
      <c r="H1150" s="20" t="str">
        <f>IFERROR(__xludf.DUMMYFUNCTION("""COMPUTED_VALUE"""),"Database")</f>
        <v>Database</v>
      </c>
      <c r="I1150" s="20">
        <f>IFERROR(__xludf.DUMMYFUNCTION("""COMPUTED_VALUE"""),0.476)</f>
        <v>0.476</v>
      </c>
      <c r="J1150" s="20">
        <f>IFERROR(__xludf.DUMMYFUNCTION("""COMPUTED_VALUE"""),1149.0)</f>
        <v>1149</v>
      </c>
      <c r="K1150" s="20" t="b">
        <f>IFERROR(__xludf.DUMMYFUNCTION("""COMPUTED_VALUE"""),TRUE)</f>
        <v>1</v>
      </c>
      <c r="L1150" s="20" t="str">
        <f>IFERROR(__xludf.DUMMYFUNCTION("""COMPUTED_VALUE"""),"Database;")</f>
        <v>Database;</v>
      </c>
      <c r="M1150" s="20" t="b">
        <f>IFERROR(__xludf.DUMMYFUNCTION("""COMPUTED_VALUE"""),FALSE)</f>
        <v>0</v>
      </c>
      <c r="N1150" s="20" t="b">
        <f>IFERROR(__xludf.DUMMYFUNCTION("""COMPUTED_VALUE"""),FALSE)</f>
        <v>0</v>
      </c>
      <c r="O1150" s="20">
        <f>IFERROR(__xludf.DUMMYFUNCTION("""COMPUTED_VALUE"""),47.5975669176241)</f>
        <v>47.59756692</v>
      </c>
      <c r="P1150" s="20">
        <f>IFERROR(__xludf.DUMMYFUNCTION("""COMPUTED_VALUE"""),30283.0)</f>
        <v>30283</v>
      </c>
      <c r="Q1150" s="20">
        <f>IFERROR(__xludf.DUMMYFUNCTION("""COMPUTED_VALUE"""),63623.0)</f>
        <v>63623</v>
      </c>
    </row>
    <row r="1151">
      <c r="A1151" s="20">
        <f>IFERROR(__xludf.DUMMYFUNCTION("""COMPUTED_VALUE"""),1102.0)</f>
        <v>1102</v>
      </c>
      <c r="B1151" s="20" t="str">
        <f>IFERROR(__xludf.DUMMYFUNCTION("""COMPUTED_VALUE"""),"Check If a Number Is Majority Element in a Sorted Array")</f>
        <v>Check If a Number Is Majority Element in a Sorted Array</v>
      </c>
      <c r="C1151" s="20" t="str">
        <f>IFERROR(__xludf.DUMMYFUNCTION("""COMPUTED_VALUE"""),"check-if-a-number-is-majority-element-in-a-sorted-array")</f>
        <v>check-if-a-number-is-majority-element-in-a-sorted-array</v>
      </c>
      <c r="D1151" s="20" t="b">
        <f>IFERROR(__xludf.DUMMYFUNCTION("""COMPUTED_VALUE"""),TRUE)</f>
        <v>1</v>
      </c>
      <c r="E1151" s="20" t="str">
        <f>IFERROR(__xludf.DUMMYFUNCTION("""COMPUTED_VALUE"""),"Easy")</f>
        <v>Easy</v>
      </c>
      <c r="F1151" s="20">
        <f>IFERROR(__xludf.DUMMYFUNCTION("""COMPUTED_VALUE"""),351.0)</f>
        <v>351</v>
      </c>
      <c r="G1151" s="20">
        <f>IFERROR(__xludf.DUMMYFUNCTION("""COMPUTED_VALUE"""),34.0)</f>
        <v>34</v>
      </c>
      <c r="H1151" s="20" t="str">
        <f>IFERROR(__xludf.DUMMYFUNCTION("""COMPUTED_VALUE"""),"Algorithms")</f>
        <v>Algorithms</v>
      </c>
      <c r="I1151" s="20">
        <f>IFERROR(__xludf.DUMMYFUNCTION("""COMPUTED_VALUE"""),0.57)</f>
        <v>0.57</v>
      </c>
      <c r="J1151" s="20">
        <f>IFERROR(__xludf.DUMMYFUNCTION("""COMPUTED_VALUE"""),1150.0)</f>
        <v>1150</v>
      </c>
      <c r="K1151" s="20" t="b">
        <f>IFERROR(__xludf.DUMMYFUNCTION("""COMPUTED_VALUE"""),TRUE)</f>
        <v>1</v>
      </c>
      <c r="L1151" s="20" t="str">
        <f>IFERROR(__xludf.DUMMYFUNCTION("""COMPUTED_VALUE"""),"Array;Binary Search;")</f>
        <v>Array;Binary Search;</v>
      </c>
      <c r="M1151" s="20" t="b">
        <f>IFERROR(__xludf.DUMMYFUNCTION("""COMPUTED_VALUE"""),FALSE)</f>
        <v>0</v>
      </c>
      <c r="N1151" s="20" t="b">
        <f>IFERROR(__xludf.DUMMYFUNCTION("""COMPUTED_VALUE"""),FALSE)</f>
        <v>0</v>
      </c>
      <c r="O1151" s="20">
        <f>IFERROR(__xludf.DUMMYFUNCTION("""COMPUTED_VALUE"""),57.0434943893165)</f>
        <v>57.04349439</v>
      </c>
      <c r="P1151" s="20">
        <f>IFERROR(__xludf.DUMMYFUNCTION("""COMPUTED_VALUE"""),36906.0)</f>
        <v>36906</v>
      </c>
      <c r="Q1151" s="20">
        <f>IFERROR(__xludf.DUMMYFUNCTION("""COMPUTED_VALUE"""),64698.0)</f>
        <v>64698</v>
      </c>
    </row>
    <row r="1152">
      <c r="A1152" s="20">
        <f>IFERROR(__xludf.DUMMYFUNCTION("""COMPUTED_VALUE"""),1107.0)</f>
        <v>1107</v>
      </c>
      <c r="B1152" s="20" t="str">
        <f>IFERROR(__xludf.DUMMYFUNCTION("""COMPUTED_VALUE"""),"Minimum Swaps to Group All 1's Together")</f>
        <v>Minimum Swaps to Group All 1's Together</v>
      </c>
      <c r="C1152" s="20" t="str">
        <f>IFERROR(__xludf.DUMMYFUNCTION("""COMPUTED_VALUE"""),"minimum-swaps-to-group-all-1s-together")</f>
        <v>minimum-swaps-to-group-all-1s-together</v>
      </c>
      <c r="D1152" s="20" t="b">
        <f>IFERROR(__xludf.DUMMYFUNCTION("""COMPUTED_VALUE"""),TRUE)</f>
        <v>1</v>
      </c>
      <c r="E1152" s="20" t="str">
        <f>IFERROR(__xludf.DUMMYFUNCTION("""COMPUTED_VALUE"""),"Medium")</f>
        <v>Medium</v>
      </c>
      <c r="F1152" s="20">
        <f>IFERROR(__xludf.DUMMYFUNCTION("""COMPUTED_VALUE"""),1057.0)</f>
        <v>1057</v>
      </c>
      <c r="G1152" s="20">
        <f>IFERROR(__xludf.DUMMYFUNCTION("""COMPUTED_VALUE"""),14.0)</f>
        <v>14</v>
      </c>
      <c r="H1152" s="20" t="str">
        <f>IFERROR(__xludf.DUMMYFUNCTION("""COMPUTED_VALUE"""),"Algorithms")</f>
        <v>Algorithms</v>
      </c>
      <c r="I1152" s="20">
        <f>IFERROR(__xludf.DUMMYFUNCTION("""COMPUTED_VALUE"""),0.609)</f>
        <v>0.609</v>
      </c>
      <c r="J1152" s="20">
        <f>IFERROR(__xludf.DUMMYFUNCTION("""COMPUTED_VALUE"""),1151.0)</f>
        <v>1151</v>
      </c>
      <c r="K1152" s="20" t="b">
        <f>IFERROR(__xludf.DUMMYFUNCTION("""COMPUTED_VALUE"""),TRUE)</f>
        <v>1</v>
      </c>
      <c r="L1152" s="20" t="str">
        <f>IFERROR(__xludf.DUMMYFUNCTION("""COMPUTED_VALUE"""),"Array;Sliding Window;")</f>
        <v>Array;Sliding Window;</v>
      </c>
      <c r="M1152" s="20" t="b">
        <f>IFERROR(__xludf.DUMMYFUNCTION("""COMPUTED_VALUE"""),TRUE)</f>
        <v>1</v>
      </c>
      <c r="N1152" s="20" t="b">
        <f>IFERROR(__xludf.DUMMYFUNCTION("""COMPUTED_VALUE"""),TRUE)</f>
        <v>1</v>
      </c>
      <c r="O1152" s="20">
        <f>IFERROR(__xludf.DUMMYFUNCTION("""COMPUTED_VALUE"""),60.8513851633117)</f>
        <v>60.85138516</v>
      </c>
      <c r="P1152" s="20">
        <f>IFERROR(__xludf.DUMMYFUNCTION("""COMPUTED_VALUE"""),53991.0)</f>
        <v>53991</v>
      </c>
      <c r="Q1152" s="20">
        <f>IFERROR(__xludf.DUMMYFUNCTION("""COMPUTED_VALUE"""),88723.0)</f>
        <v>88723</v>
      </c>
    </row>
    <row r="1153">
      <c r="A1153" s="20">
        <f>IFERROR(__xludf.DUMMYFUNCTION("""COMPUTED_VALUE"""),1108.0)</f>
        <v>1108</v>
      </c>
      <c r="B1153" s="20" t="str">
        <f>IFERROR(__xludf.DUMMYFUNCTION("""COMPUTED_VALUE"""),"Analyze User Website Visit Pattern")</f>
        <v>Analyze User Website Visit Pattern</v>
      </c>
      <c r="C1153" s="20" t="str">
        <f>IFERROR(__xludf.DUMMYFUNCTION("""COMPUTED_VALUE"""),"analyze-user-website-visit-pattern")</f>
        <v>analyze-user-website-visit-pattern</v>
      </c>
      <c r="D1153" s="20" t="b">
        <f>IFERROR(__xludf.DUMMYFUNCTION("""COMPUTED_VALUE"""),TRUE)</f>
        <v>1</v>
      </c>
      <c r="E1153" s="20" t="str">
        <f>IFERROR(__xludf.DUMMYFUNCTION("""COMPUTED_VALUE"""),"Medium")</f>
        <v>Medium</v>
      </c>
      <c r="F1153" s="20">
        <f>IFERROR(__xludf.DUMMYFUNCTION("""COMPUTED_VALUE"""),446.0)</f>
        <v>446</v>
      </c>
      <c r="G1153" s="20">
        <f>IFERROR(__xludf.DUMMYFUNCTION("""COMPUTED_VALUE"""),3415.0)</f>
        <v>3415</v>
      </c>
      <c r="H1153" s="20" t="str">
        <f>IFERROR(__xludf.DUMMYFUNCTION("""COMPUTED_VALUE"""),"Algorithms")</f>
        <v>Algorithms</v>
      </c>
      <c r="I1153" s="20">
        <f>IFERROR(__xludf.DUMMYFUNCTION("""COMPUTED_VALUE"""),0.433)</f>
        <v>0.433</v>
      </c>
      <c r="J1153" s="20">
        <f>IFERROR(__xludf.DUMMYFUNCTION("""COMPUTED_VALUE"""),1152.0)</f>
        <v>1152</v>
      </c>
      <c r="K1153" s="20" t="b">
        <f>IFERROR(__xludf.DUMMYFUNCTION("""COMPUTED_VALUE"""),TRUE)</f>
        <v>1</v>
      </c>
      <c r="L1153" s="20" t="str">
        <f>IFERROR(__xludf.DUMMYFUNCTION("""COMPUTED_VALUE"""),"Array;Hash Table;Sorting;")</f>
        <v>Array;Hash Table;Sorting;</v>
      </c>
      <c r="M1153" s="20" t="b">
        <f>IFERROR(__xludf.DUMMYFUNCTION("""COMPUTED_VALUE"""),FALSE)</f>
        <v>0</v>
      </c>
      <c r="N1153" s="20" t="b">
        <f>IFERROR(__xludf.DUMMYFUNCTION("""COMPUTED_VALUE"""),FALSE)</f>
        <v>0</v>
      </c>
      <c r="O1153" s="20">
        <f>IFERROR(__xludf.DUMMYFUNCTION("""COMPUTED_VALUE"""),43.2658387879529)</f>
        <v>43.26583879</v>
      </c>
      <c r="P1153" s="20">
        <f>IFERROR(__xludf.DUMMYFUNCTION("""COMPUTED_VALUE"""),84872.0)</f>
        <v>84872</v>
      </c>
      <c r="Q1153" s="20">
        <f>IFERROR(__xludf.DUMMYFUNCTION("""COMPUTED_VALUE"""),196163.0)</f>
        <v>196163</v>
      </c>
    </row>
    <row r="1154">
      <c r="A1154" s="20">
        <f>IFERROR(__xludf.DUMMYFUNCTION("""COMPUTED_VALUE"""),1124.0)</f>
        <v>1124</v>
      </c>
      <c r="B1154" s="20" t="str">
        <f>IFERROR(__xludf.DUMMYFUNCTION("""COMPUTED_VALUE"""),"String Transforms Into Another String")</f>
        <v>String Transforms Into Another String</v>
      </c>
      <c r="C1154" s="20" t="str">
        <f>IFERROR(__xludf.DUMMYFUNCTION("""COMPUTED_VALUE"""),"string-transforms-into-another-string")</f>
        <v>string-transforms-into-another-string</v>
      </c>
      <c r="D1154" s="20" t="b">
        <f>IFERROR(__xludf.DUMMYFUNCTION("""COMPUTED_VALUE"""),TRUE)</f>
        <v>1</v>
      </c>
      <c r="E1154" s="20" t="str">
        <f>IFERROR(__xludf.DUMMYFUNCTION("""COMPUTED_VALUE"""),"Hard")</f>
        <v>Hard</v>
      </c>
      <c r="F1154" s="20">
        <f>IFERROR(__xludf.DUMMYFUNCTION("""COMPUTED_VALUE"""),838.0)</f>
        <v>838</v>
      </c>
      <c r="G1154" s="20">
        <f>IFERROR(__xludf.DUMMYFUNCTION("""COMPUTED_VALUE"""),322.0)</f>
        <v>322</v>
      </c>
      <c r="H1154" s="20" t="str">
        <f>IFERROR(__xludf.DUMMYFUNCTION("""COMPUTED_VALUE"""),"Algorithms")</f>
        <v>Algorithms</v>
      </c>
      <c r="I1154" s="20">
        <f>IFERROR(__xludf.DUMMYFUNCTION("""COMPUTED_VALUE"""),0.353)</f>
        <v>0.353</v>
      </c>
      <c r="J1154" s="20">
        <f>IFERROR(__xludf.DUMMYFUNCTION("""COMPUTED_VALUE"""),1153.0)</f>
        <v>1153</v>
      </c>
      <c r="K1154" s="20" t="b">
        <f>IFERROR(__xludf.DUMMYFUNCTION("""COMPUTED_VALUE"""),TRUE)</f>
        <v>1</v>
      </c>
      <c r="L1154" s="20" t="str">
        <f>IFERROR(__xludf.DUMMYFUNCTION("""COMPUTED_VALUE"""),"Hash Table;String;")</f>
        <v>Hash Table;String;</v>
      </c>
      <c r="M1154" s="20" t="b">
        <f>IFERROR(__xludf.DUMMYFUNCTION("""COMPUTED_VALUE"""),TRUE)</f>
        <v>1</v>
      </c>
      <c r="N1154" s="20" t="b">
        <f>IFERROR(__xludf.DUMMYFUNCTION("""COMPUTED_VALUE"""),FALSE)</f>
        <v>0</v>
      </c>
      <c r="O1154" s="20">
        <f>IFERROR(__xludf.DUMMYFUNCTION("""COMPUTED_VALUE"""),35.3262210815041)</f>
        <v>35.32622108</v>
      </c>
      <c r="P1154" s="20">
        <f>IFERROR(__xludf.DUMMYFUNCTION("""COMPUTED_VALUE"""),50100.0)</f>
        <v>50100</v>
      </c>
      <c r="Q1154" s="20">
        <f>IFERROR(__xludf.DUMMYFUNCTION("""COMPUTED_VALUE"""),141821.0)</f>
        <v>141821</v>
      </c>
    </row>
    <row r="1155">
      <c r="A1155" s="20">
        <f>IFERROR(__xludf.DUMMYFUNCTION("""COMPUTED_VALUE"""),1260.0)</f>
        <v>1260</v>
      </c>
      <c r="B1155" s="20" t="str">
        <f>IFERROR(__xludf.DUMMYFUNCTION("""COMPUTED_VALUE"""),"Day of the Year")</f>
        <v>Day of the Year</v>
      </c>
      <c r="C1155" s="20" t="str">
        <f>IFERROR(__xludf.DUMMYFUNCTION("""COMPUTED_VALUE"""),"day-of-the-year")</f>
        <v>day-of-the-year</v>
      </c>
      <c r="D1155" s="20" t="b">
        <f>IFERROR(__xludf.DUMMYFUNCTION("""COMPUTED_VALUE"""),FALSE)</f>
        <v>0</v>
      </c>
      <c r="E1155" s="20" t="str">
        <f>IFERROR(__xludf.DUMMYFUNCTION("""COMPUTED_VALUE"""),"Easy")</f>
        <v>Easy</v>
      </c>
      <c r="F1155" s="20">
        <f>IFERROR(__xludf.DUMMYFUNCTION("""COMPUTED_VALUE"""),310.0)</f>
        <v>310</v>
      </c>
      <c r="G1155" s="20">
        <f>IFERROR(__xludf.DUMMYFUNCTION("""COMPUTED_VALUE"""),366.0)</f>
        <v>366</v>
      </c>
      <c r="H1155" s="20" t="str">
        <f>IFERROR(__xludf.DUMMYFUNCTION("""COMPUTED_VALUE"""),"Algorithms")</f>
        <v>Algorithms</v>
      </c>
      <c r="I1155" s="20">
        <f>IFERROR(__xludf.DUMMYFUNCTION("""COMPUTED_VALUE"""),0.501)</f>
        <v>0.501</v>
      </c>
      <c r="J1155" s="20">
        <f>IFERROR(__xludf.DUMMYFUNCTION("""COMPUTED_VALUE"""),1154.0)</f>
        <v>1154</v>
      </c>
      <c r="K1155" s="20" t="b">
        <f>IFERROR(__xludf.DUMMYFUNCTION("""COMPUTED_VALUE"""),FALSE)</f>
        <v>0</v>
      </c>
      <c r="L1155" s="20" t="str">
        <f>IFERROR(__xludf.DUMMYFUNCTION("""COMPUTED_VALUE"""),"Math;String;")</f>
        <v>Math;String;</v>
      </c>
      <c r="M1155" s="20" t="b">
        <f>IFERROR(__xludf.DUMMYFUNCTION("""COMPUTED_VALUE"""),FALSE)</f>
        <v>0</v>
      </c>
      <c r="N1155" s="20" t="b">
        <f>IFERROR(__xludf.DUMMYFUNCTION("""COMPUTED_VALUE"""),FALSE)</f>
        <v>0</v>
      </c>
      <c r="O1155" s="20">
        <f>IFERROR(__xludf.DUMMYFUNCTION("""COMPUTED_VALUE"""),50.096694905738)</f>
        <v>50.09669491</v>
      </c>
      <c r="P1155" s="20">
        <f>IFERROR(__xludf.DUMMYFUNCTION("""COMPUTED_VALUE"""),40152.0)</f>
        <v>40152</v>
      </c>
      <c r="Q1155" s="20">
        <f>IFERROR(__xludf.DUMMYFUNCTION("""COMPUTED_VALUE"""),80149.0)</f>
        <v>80149</v>
      </c>
    </row>
    <row r="1156">
      <c r="A1156" s="20">
        <f>IFERROR(__xludf.DUMMYFUNCTION("""COMPUTED_VALUE"""),1263.0)</f>
        <v>1263</v>
      </c>
      <c r="B1156" s="20" t="str">
        <f>IFERROR(__xludf.DUMMYFUNCTION("""COMPUTED_VALUE"""),"Number of Dice Rolls With Target Sum")</f>
        <v>Number of Dice Rolls With Target Sum</v>
      </c>
      <c r="C1156" s="20" t="str">
        <f>IFERROR(__xludf.DUMMYFUNCTION("""COMPUTED_VALUE"""),"number-of-dice-rolls-with-target-sum")</f>
        <v>number-of-dice-rolls-with-target-sum</v>
      </c>
      <c r="D1156" s="20" t="b">
        <f>IFERROR(__xludf.DUMMYFUNCTION("""COMPUTED_VALUE"""),FALSE)</f>
        <v>0</v>
      </c>
      <c r="E1156" s="20" t="str">
        <f>IFERROR(__xludf.DUMMYFUNCTION("""COMPUTED_VALUE"""),"Medium")</f>
        <v>Medium</v>
      </c>
      <c r="F1156" s="20">
        <f>IFERROR(__xludf.DUMMYFUNCTION("""COMPUTED_VALUE"""),3667.0)</f>
        <v>3667</v>
      </c>
      <c r="G1156" s="20">
        <f>IFERROR(__xludf.DUMMYFUNCTION("""COMPUTED_VALUE"""),115.0)</f>
        <v>115</v>
      </c>
      <c r="H1156" s="20" t="str">
        <f>IFERROR(__xludf.DUMMYFUNCTION("""COMPUTED_VALUE"""),"Algorithms")</f>
        <v>Algorithms</v>
      </c>
      <c r="I1156" s="20">
        <f>IFERROR(__xludf.DUMMYFUNCTION("""COMPUTED_VALUE"""),0.536)</f>
        <v>0.536</v>
      </c>
      <c r="J1156" s="20">
        <f>IFERROR(__xludf.DUMMYFUNCTION("""COMPUTED_VALUE"""),1155.0)</f>
        <v>1155</v>
      </c>
      <c r="K1156" s="20" t="b">
        <f>IFERROR(__xludf.DUMMYFUNCTION("""COMPUTED_VALUE"""),FALSE)</f>
        <v>0</v>
      </c>
      <c r="L1156" s="20" t="str">
        <f>IFERROR(__xludf.DUMMYFUNCTION("""COMPUTED_VALUE"""),"Dynamic Programming;")</f>
        <v>Dynamic Programming;</v>
      </c>
      <c r="M1156" s="20" t="b">
        <f>IFERROR(__xludf.DUMMYFUNCTION("""COMPUTED_VALUE"""),TRUE)</f>
        <v>1</v>
      </c>
      <c r="N1156" s="20" t="b">
        <f>IFERROR(__xludf.DUMMYFUNCTION("""COMPUTED_VALUE"""),FALSE)</f>
        <v>0</v>
      </c>
      <c r="O1156" s="20">
        <f>IFERROR(__xludf.DUMMYFUNCTION("""COMPUTED_VALUE"""),53.6453028589938)</f>
        <v>53.64530286</v>
      </c>
      <c r="P1156" s="20">
        <f>IFERROR(__xludf.DUMMYFUNCTION("""COMPUTED_VALUE"""),172232.0)</f>
        <v>172232</v>
      </c>
      <c r="Q1156" s="20">
        <f>IFERROR(__xludf.DUMMYFUNCTION("""COMPUTED_VALUE"""),321057.0)</f>
        <v>321057</v>
      </c>
    </row>
    <row r="1157">
      <c r="A1157" s="20">
        <f>IFERROR(__xludf.DUMMYFUNCTION("""COMPUTED_VALUE"""),1261.0)</f>
        <v>1261</v>
      </c>
      <c r="B1157" s="20" t="str">
        <f>IFERROR(__xludf.DUMMYFUNCTION("""COMPUTED_VALUE"""),"Swap For Longest Repeated Character Substring")</f>
        <v>Swap For Longest Repeated Character Substring</v>
      </c>
      <c r="C1157" s="20" t="str">
        <f>IFERROR(__xludf.DUMMYFUNCTION("""COMPUTED_VALUE"""),"swap-for-longest-repeated-character-substring")</f>
        <v>swap-for-longest-repeated-character-substring</v>
      </c>
      <c r="D1157" s="20" t="b">
        <f>IFERROR(__xludf.DUMMYFUNCTION("""COMPUTED_VALUE"""),FALSE)</f>
        <v>0</v>
      </c>
      <c r="E1157" s="20" t="str">
        <f>IFERROR(__xludf.DUMMYFUNCTION("""COMPUTED_VALUE"""),"Medium")</f>
        <v>Medium</v>
      </c>
      <c r="F1157" s="20">
        <f>IFERROR(__xludf.DUMMYFUNCTION("""COMPUTED_VALUE"""),843.0)</f>
        <v>843</v>
      </c>
      <c r="G1157" s="20">
        <f>IFERROR(__xludf.DUMMYFUNCTION("""COMPUTED_VALUE"""),77.0)</f>
        <v>77</v>
      </c>
      <c r="H1157" s="20" t="str">
        <f>IFERROR(__xludf.DUMMYFUNCTION("""COMPUTED_VALUE"""),"Algorithms")</f>
        <v>Algorithms</v>
      </c>
      <c r="I1157" s="20">
        <f>IFERROR(__xludf.DUMMYFUNCTION("""COMPUTED_VALUE"""),0.454)</f>
        <v>0.454</v>
      </c>
      <c r="J1157" s="20">
        <f>IFERROR(__xludf.DUMMYFUNCTION("""COMPUTED_VALUE"""),1156.0)</f>
        <v>1156</v>
      </c>
      <c r="K1157" s="20" t="b">
        <f>IFERROR(__xludf.DUMMYFUNCTION("""COMPUTED_VALUE"""),FALSE)</f>
        <v>0</v>
      </c>
      <c r="L1157" s="20" t="str">
        <f>IFERROR(__xludf.DUMMYFUNCTION("""COMPUTED_VALUE"""),"String;Sliding Window;")</f>
        <v>String;Sliding Window;</v>
      </c>
      <c r="M1157" s="20" t="b">
        <f>IFERROR(__xludf.DUMMYFUNCTION("""COMPUTED_VALUE"""),FALSE)</f>
        <v>0</v>
      </c>
      <c r="N1157" s="20" t="b">
        <f>IFERROR(__xludf.DUMMYFUNCTION("""COMPUTED_VALUE"""),FALSE)</f>
        <v>0</v>
      </c>
      <c r="O1157" s="20">
        <f>IFERROR(__xludf.DUMMYFUNCTION("""COMPUTED_VALUE"""),45.3773139650742)</f>
        <v>45.37731397</v>
      </c>
      <c r="P1157" s="20">
        <f>IFERROR(__xludf.DUMMYFUNCTION("""COMPUTED_VALUE"""),25959.0)</f>
        <v>25959</v>
      </c>
      <c r="Q1157" s="20">
        <f>IFERROR(__xludf.DUMMYFUNCTION("""COMPUTED_VALUE"""),57207.0)</f>
        <v>57207</v>
      </c>
    </row>
    <row r="1158">
      <c r="A1158" s="20">
        <f>IFERROR(__xludf.DUMMYFUNCTION("""COMPUTED_VALUE"""),1262.0)</f>
        <v>1262</v>
      </c>
      <c r="B1158" s="20" t="str">
        <f>IFERROR(__xludf.DUMMYFUNCTION("""COMPUTED_VALUE"""),"Online Majority Element In Subarray")</f>
        <v>Online Majority Element In Subarray</v>
      </c>
      <c r="C1158" s="20" t="str">
        <f>IFERROR(__xludf.DUMMYFUNCTION("""COMPUTED_VALUE"""),"online-majority-element-in-subarray")</f>
        <v>online-majority-element-in-subarray</v>
      </c>
      <c r="D1158" s="20" t="b">
        <f>IFERROR(__xludf.DUMMYFUNCTION("""COMPUTED_VALUE"""),FALSE)</f>
        <v>0</v>
      </c>
      <c r="E1158" s="20" t="str">
        <f>IFERROR(__xludf.DUMMYFUNCTION("""COMPUTED_VALUE"""),"Hard")</f>
        <v>Hard</v>
      </c>
      <c r="F1158" s="20">
        <f>IFERROR(__xludf.DUMMYFUNCTION("""COMPUTED_VALUE"""),541.0)</f>
        <v>541</v>
      </c>
      <c r="G1158" s="20">
        <f>IFERROR(__xludf.DUMMYFUNCTION("""COMPUTED_VALUE"""),52.0)</f>
        <v>52</v>
      </c>
      <c r="H1158" s="20" t="str">
        <f>IFERROR(__xludf.DUMMYFUNCTION("""COMPUTED_VALUE"""),"Algorithms")</f>
        <v>Algorithms</v>
      </c>
      <c r="I1158" s="20">
        <f>IFERROR(__xludf.DUMMYFUNCTION("""COMPUTED_VALUE"""),0.418)</f>
        <v>0.418</v>
      </c>
      <c r="J1158" s="20">
        <f>IFERROR(__xludf.DUMMYFUNCTION("""COMPUTED_VALUE"""),1157.0)</f>
        <v>1157</v>
      </c>
      <c r="K1158" s="20" t="b">
        <f>IFERROR(__xludf.DUMMYFUNCTION("""COMPUTED_VALUE"""),FALSE)</f>
        <v>0</v>
      </c>
      <c r="L1158" s="20" t="str">
        <f>IFERROR(__xludf.DUMMYFUNCTION("""COMPUTED_VALUE"""),"Array;Binary Search;Design;Binary Indexed Tree;Segment Tree;")</f>
        <v>Array;Binary Search;Design;Binary Indexed Tree;Segment Tree;</v>
      </c>
      <c r="M1158" s="20" t="b">
        <f>IFERROR(__xludf.DUMMYFUNCTION("""COMPUTED_VALUE"""),FALSE)</f>
        <v>0</v>
      </c>
      <c r="N1158" s="20" t="b">
        <f>IFERROR(__xludf.DUMMYFUNCTION("""COMPUTED_VALUE"""),FALSE)</f>
        <v>0</v>
      </c>
      <c r="O1158" s="20">
        <f>IFERROR(__xludf.DUMMYFUNCTION("""COMPUTED_VALUE"""),41.816949552098)</f>
        <v>41.81694955</v>
      </c>
      <c r="P1158" s="20">
        <f>IFERROR(__xludf.DUMMYFUNCTION("""COMPUTED_VALUE"""),14191.0)</f>
        <v>14191</v>
      </c>
      <c r="Q1158" s="20">
        <f>IFERROR(__xludf.DUMMYFUNCTION("""COMPUTED_VALUE"""),33934.0)</f>
        <v>33934</v>
      </c>
    </row>
    <row r="1159">
      <c r="A1159" s="20">
        <f>IFERROR(__xludf.DUMMYFUNCTION("""COMPUTED_VALUE"""),1268.0)</f>
        <v>1268</v>
      </c>
      <c r="B1159" s="20" t="str">
        <f>IFERROR(__xludf.DUMMYFUNCTION("""COMPUTED_VALUE"""),"Market Analysis I")</f>
        <v>Market Analysis I</v>
      </c>
      <c r="C1159" s="20" t="str">
        <f>IFERROR(__xludf.DUMMYFUNCTION("""COMPUTED_VALUE"""),"market-analysis-i")</f>
        <v>market-analysis-i</v>
      </c>
      <c r="D1159" s="20" t="b">
        <f>IFERROR(__xludf.DUMMYFUNCTION("""COMPUTED_VALUE"""),FALSE)</f>
        <v>0</v>
      </c>
      <c r="E1159" s="20" t="str">
        <f>IFERROR(__xludf.DUMMYFUNCTION("""COMPUTED_VALUE"""),"Medium")</f>
        <v>Medium</v>
      </c>
      <c r="F1159" s="20">
        <f>IFERROR(__xludf.DUMMYFUNCTION("""COMPUTED_VALUE"""),392.0)</f>
        <v>392</v>
      </c>
      <c r="G1159" s="20">
        <f>IFERROR(__xludf.DUMMYFUNCTION("""COMPUTED_VALUE"""),54.0)</f>
        <v>54</v>
      </c>
      <c r="H1159" s="20" t="str">
        <f>IFERROR(__xludf.DUMMYFUNCTION("""COMPUTED_VALUE"""),"Database")</f>
        <v>Database</v>
      </c>
      <c r="I1159" s="20">
        <f>IFERROR(__xludf.DUMMYFUNCTION("""COMPUTED_VALUE"""),0.63)</f>
        <v>0.63</v>
      </c>
      <c r="J1159" s="20">
        <f>IFERROR(__xludf.DUMMYFUNCTION("""COMPUTED_VALUE"""),1158.0)</f>
        <v>1158</v>
      </c>
      <c r="K1159" s="20" t="b">
        <f>IFERROR(__xludf.DUMMYFUNCTION("""COMPUTED_VALUE"""),FALSE)</f>
        <v>0</v>
      </c>
      <c r="L1159" s="20" t="str">
        <f>IFERROR(__xludf.DUMMYFUNCTION("""COMPUTED_VALUE"""),"Database;")</f>
        <v>Database;</v>
      </c>
      <c r="M1159" s="20" t="b">
        <f>IFERROR(__xludf.DUMMYFUNCTION("""COMPUTED_VALUE"""),FALSE)</f>
        <v>0</v>
      </c>
      <c r="N1159" s="20" t="b">
        <f>IFERROR(__xludf.DUMMYFUNCTION("""COMPUTED_VALUE"""),FALSE)</f>
        <v>0</v>
      </c>
      <c r="O1159" s="20">
        <f>IFERROR(__xludf.DUMMYFUNCTION("""COMPUTED_VALUE"""),63.0092312268289)</f>
        <v>63.00923123</v>
      </c>
      <c r="P1159" s="20">
        <f>IFERROR(__xludf.DUMMYFUNCTION("""COMPUTED_VALUE"""),59311.0)</f>
        <v>59311</v>
      </c>
      <c r="Q1159" s="20">
        <f>IFERROR(__xludf.DUMMYFUNCTION("""COMPUTED_VALUE"""),94111.0)</f>
        <v>94111</v>
      </c>
    </row>
    <row r="1160">
      <c r="A1160" s="20">
        <f>IFERROR(__xludf.DUMMYFUNCTION("""COMPUTED_VALUE"""),1269.0)</f>
        <v>1269</v>
      </c>
      <c r="B1160" s="20" t="str">
        <f>IFERROR(__xludf.DUMMYFUNCTION("""COMPUTED_VALUE"""),"Market Analysis II")</f>
        <v>Market Analysis II</v>
      </c>
      <c r="C1160" s="20" t="str">
        <f>IFERROR(__xludf.DUMMYFUNCTION("""COMPUTED_VALUE"""),"market-analysis-ii")</f>
        <v>market-analysis-ii</v>
      </c>
      <c r="D1160" s="20" t="b">
        <f>IFERROR(__xludf.DUMMYFUNCTION("""COMPUTED_VALUE"""),TRUE)</f>
        <v>1</v>
      </c>
      <c r="E1160" s="20" t="str">
        <f>IFERROR(__xludf.DUMMYFUNCTION("""COMPUTED_VALUE"""),"Hard")</f>
        <v>Hard</v>
      </c>
      <c r="F1160" s="20">
        <f>IFERROR(__xludf.DUMMYFUNCTION("""COMPUTED_VALUE"""),100.0)</f>
        <v>100</v>
      </c>
      <c r="G1160" s="20">
        <f>IFERROR(__xludf.DUMMYFUNCTION("""COMPUTED_VALUE"""),46.0)</f>
        <v>46</v>
      </c>
      <c r="H1160" s="20" t="str">
        <f>IFERROR(__xludf.DUMMYFUNCTION("""COMPUTED_VALUE"""),"Database")</f>
        <v>Database</v>
      </c>
      <c r="I1160" s="20">
        <f>IFERROR(__xludf.DUMMYFUNCTION("""COMPUTED_VALUE"""),0.585)</f>
        <v>0.585</v>
      </c>
      <c r="J1160" s="20">
        <f>IFERROR(__xludf.DUMMYFUNCTION("""COMPUTED_VALUE"""),1159.0)</f>
        <v>1159</v>
      </c>
      <c r="K1160" s="20" t="b">
        <f>IFERROR(__xludf.DUMMYFUNCTION("""COMPUTED_VALUE"""),TRUE)</f>
        <v>1</v>
      </c>
      <c r="L1160" s="20" t="str">
        <f>IFERROR(__xludf.DUMMYFUNCTION("""COMPUTED_VALUE"""),"Database;")</f>
        <v>Database;</v>
      </c>
      <c r="M1160" s="20" t="b">
        <f>IFERROR(__xludf.DUMMYFUNCTION("""COMPUTED_VALUE"""),FALSE)</f>
        <v>0</v>
      </c>
      <c r="N1160" s="20" t="b">
        <f>IFERROR(__xludf.DUMMYFUNCTION("""COMPUTED_VALUE"""),FALSE)</f>
        <v>0</v>
      </c>
      <c r="O1160" s="20">
        <f>IFERROR(__xludf.DUMMYFUNCTION("""COMPUTED_VALUE"""),58.5146372024148)</f>
        <v>58.5146372</v>
      </c>
      <c r="P1160" s="20">
        <f>IFERROR(__xludf.DUMMYFUNCTION("""COMPUTED_VALUE"""),15411.0)</f>
        <v>15411</v>
      </c>
      <c r="Q1160" s="20">
        <f>IFERROR(__xludf.DUMMYFUNCTION("""COMPUTED_VALUE"""),26337.0)</f>
        <v>26337</v>
      </c>
    </row>
    <row r="1161">
      <c r="A1161" s="20">
        <f>IFERROR(__xludf.DUMMYFUNCTION("""COMPUTED_VALUE"""),1112.0)</f>
        <v>1112</v>
      </c>
      <c r="B1161" s="20" t="str">
        <f>IFERROR(__xludf.DUMMYFUNCTION("""COMPUTED_VALUE"""),"Find Words That Can Be Formed by Characters")</f>
        <v>Find Words That Can Be Formed by Characters</v>
      </c>
      <c r="C1161" s="20" t="str">
        <f>IFERROR(__xludf.DUMMYFUNCTION("""COMPUTED_VALUE"""),"find-words-that-can-be-formed-by-characters")</f>
        <v>find-words-that-can-be-formed-by-characters</v>
      </c>
      <c r="D1161" s="20" t="b">
        <f>IFERROR(__xludf.DUMMYFUNCTION("""COMPUTED_VALUE"""),FALSE)</f>
        <v>0</v>
      </c>
      <c r="E1161" s="20" t="str">
        <f>IFERROR(__xludf.DUMMYFUNCTION("""COMPUTED_VALUE"""),"Easy")</f>
        <v>Easy</v>
      </c>
      <c r="F1161" s="20">
        <f>IFERROR(__xludf.DUMMYFUNCTION("""COMPUTED_VALUE"""),1220.0)</f>
        <v>1220</v>
      </c>
      <c r="G1161" s="20">
        <f>IFERROR(__xludf.DUMMYFUNCTION("""COMPUTED_VALUE"""),139.0)</f>
        <v>139</v>
      </c>
      <c r="H1161" s="20" t="str">
        <f>IFERROR(__xludf.DUMMYFUNCTION("""COMPUTED_VALUE"""),"Algorithms")</f>
        <v>Algorithms</v>
      </c>
      <c r="I1161" s="20">
        <f>IFERROR(__xludf.DUMMYFUNCTION("""COMPUTED_VALUE"""),0.677)</f>
        <v>0.677</v>
      </c>
      <c r="J1161" s="20">
        <f>IFERROR(__xludf.DUMMYFUNCTION("""COMPUTED_VALUE"""),1160.0)</f>
        <v>1160</v>
      </c>
      <c r="K1161" s="20" t="b">
        <f>IFERROR(__xludf.DUMMYFUNCTION("""COMPUTED_VALUE"""),FALSE)</f>
        <v>0</v>
      </c>
      <c r="L1161" s="20" t="str">
        <f>IFERROR(__xludf.DUMMYFUNCTION("""COMPUTED_VALUE"""),"Array;Hash Table;String;")</f>
        <v>Array;Hash Table;String;</v>
      </c>
      <c r="M1161" s="20" t="b">
        <f>IFERROR(__xludf.DUMMYFUNCTION("""COMPUTED_VALUE"""),FALSE)</f>
        <v>0</v>
      </c>
      <c r="N1161" s="20" t="b">
        <f>IFERROR(__xludf.DUMMYFUNCTION("""COMPUTED_VALUE"""),FALSE)</f>
        <v>0</v>
      </c>
      <c r="O1161" s="20">
        <f>IFERROR(__xludf.DUMMYFUNCTION("""COMPUTED_VALUE"""),67.6801396442818)</f>
        <v>67.68013964</v>
      </c>
      <c r="P1161" s="20">
        <f>IFERROR(__xludf.DUMMYFUNCTION("""COMPUTED_VALUE"""),137256.0)</f>
        <v>137256</v>
      </c>
      <c r="Q1161" s="20">
        <f>IFERROR(__xludf.DUMMYFUNCTION("""COMPUTED_VALUE"""),202800.0)</f>
        <v>202800</v>
      </c>
    </row>
    <row r="1162">
      <c r="A1162" s="20">
        <f>IFERROR(__xludf.DUMMYFUNCTION("""COMPUTED_VALUE"""),1116.0)</f>
        <v>1116</v>
      </c>
      <c r="B1162" s="20" t="str">
        <f>IFERROR(__xludf.DUMMYFUNCTION("""COMPUTED_VALUE"""),"Maximum Level Sum of a Binary Tree")</f>
        <v>Maximum Level Sum of a Binary Tree</v>
      </c>
      <c r="C1162" s="20" t="str">
        <f>IFERROR(__xludf.DUMMYFUNCTION("""COMPUTED_VALUE"""),"maximum-level-sum-of-a-binary-tree")</f>
        <v>maximum-level-sum-of-a-binary-tree</v>
      </c>
      <c r="D1162" s="20" t="b">
        <f>IFERROR(__xludf.DUMMYFUNCTION("""COMPUTED_VALUE"""),FALSE)</f>
        <v>0</v>
      </c>
      <c r="E1162" s="20" t="str">
        <f>IFERROR(__xludf.DUMMYFUNCTION("""COMPUTED_VALUE"""),"Medium")</f>
        <v>Medium</v>
      </c>
      <c r="F1162" s="20">
        <f>IFERROR(__xludf.DUMMYFUNCTION("""COMPUTED_VALUE"""),1763.0)</f>
        <v>1763</v>
      </c>
      <c r="G1162" s="20">
        <f>IFERROR(__xludf.DUMMYFUNCTION("""COMPUTED_VALUE"""),65.0)</f>
        <v>65</v>
      </c>
      <c r="H1162" s="20" t="str">
        <f>IFERROR(__xludf.DUMMYFUNCTION("""COMPUTED_VALUE"""),"Algorithms")</f>
        <v>Algorithms</v>
      </c>
      <c r="I1162" s="20">
        <f>IFERROR(__xludf.DUMMYFUNCTION("""COMPUTED_VALUE"""),0.661)</f>
        <v>0.661</v>
      </c>
      <c r="J1162" s="20">
        <f>IFERROR(__xludf.DUMMYFUNCTION("""COMPUTED_VALUE"""),1161.0)</f>
        <v>1161</v>
      </c>
      <c r="K1162" s="20" t="b">
        <f>IFERROR(__xludf.DUMMYFUNCTION("""COMPUTED_VALUE"""),FALSE)</f>
        <v>0</v>
      </c>
      <c r="L1162" s="20" t="str">
        <f>IFERROR(__xludf.DUMMYFUNCTION("""COMPUTED_VALUE"""),"Tree;Depth-First Search;Breadth-First Search;Binary Tree;")</f>
        <v>Tree;Depth-First Search;Breadth-First Search;Binary Tree;</v>
      </c>
      <c r="M1162" s="20" t="b">
        <f>IFERROR(__xludf.DUMMYFUNCTION("""COMPUTED_VALUE"""),TRUE)</f>
        <v>1</v>
      </c>
      <c r="N1162" s="20" t="b">
        <f>IFERROR(__xludf.DUMMYFUNCTION("""COMPUTED_VALUE"""),FALSE)</f>
        <v>0</v>
      </c>
      <c r="O1162" s="20">
        <f>IFERROR(__xludf.DUMMYFUNCTION("""COMPUTED_VALUE"""),66.0817303741364)</f>
        <v>66.08173037</v>
      </c>
      <c r="P1162" s="20">
        <f>IFERROR(__xludf.DUMMYFUNCTION("""COMPUTED_VALUE"""),120617.0)</f>
        <v>120617</v>
      </c>
      <c r="Q1162" s="20">
        <f>IFERROR(__xludf.DUMMYFUNCTION("""COMPUTED_VALUE"""),182527.0)</f>
        <v>182527</v>
      </c>
    </row>
    <row r="1163">
      <c r="A1163" s="20">
        <f>IFERROR(__xludf.DUMMYFUNCTION("""COMPUTED_VALUE"""),1117.0)</f>
        <v>1117</v>
      </c>
      <c r="B1163" s="20" t="str">
        <f>IFERROR(__xludf.DUMMYFUNCTION("""COMPUTED_VALUE"""),"As Far from Land as Possible")</f>
        <v>As Far from Land as Possible</v>
      </c>
      <c r="C1163" s="20" t="str">
        <f>IFERROR(__xludf.DUMMYFUNCTION("""COMPUTED_VALUE"""),"as-far-from-land-as-possible")</f>
        <v>as-far-from-land-as-possible</v>
      </c>
      <c r="D1163" s="20" t="b">
        <f>IFERROR(__xludf.DUMMYFUNCTION("""COMPUTED_VALUE"""),FALSE)</f>
        <v>0</v>
      </c>
      <c r="E1163" s="20" t="str">
        <f>IFERROR(__xludf.DUMMYFUNCTION("""COMPUTED_VALUE"""),"Medium")</f>
        <v>Medium</v>
      </c>
      <c r="F1163" s="20">
        <f>IFERROR(__xludf.DUMMYFUNCTION("""COMPUTED_VALUE"""),2382.0)</f>
        <v>2382</v>
      </c>
      <c r="G1163" s="20">
        <f>IFERROR(__xludf.DUMMYFUNCTION("""COMPUTED_VALUE"""),69.0)</f>
        <v>69</v>
      </c>
      <c r="H1163" s="20" t="str">
        <f>IFERROR(__xludf.DUMMYFUNCTION("""COMPUTED_VALUE"""),"Algorithms")</f>
        <v>Algorithms</v>
      </c>
      <c r="I1163" s="20">
        <f>IFERROR(__xludf.DUMMYFUNCTION("""COMPUTED_VALUE"""),0.485)</f>
        <v>0.485</v>
      </c>
      <c r="J1163" s="20">
        <f>IFERROR(__xludf.DUMMYFUNCTION("""COMPUTED_VALUE"""),1162.0)</f>
        <v>1162</v>
      </c>
      <c r="K1163" s="20" t="b">
        <f>IFERROR(__xludf.DUMMYFUNCTION("""COMPUTED_VALUE"""),FALSE)</f>
        <v>0</v>
      </c>
      <c r="L1163" s="20" t="str">
        <f>IFERROR(__xludf.DUMMYFUNCTION("""COMPUTED_VALUE"""),"Array;Dynamic Programming;Breadth-First Search;Matrix;")</f>
        <v>Array;Dynamic Programming;Breadth-First Search;Matrix;</v>
      </c>
      <c r="M1163" s="20" t="b">
        <f>IFERROR(__xludf.DUMMYFUNCTION("""COMPUTED_VALUE"""),FALSE)</f>
        <v>0</v>
      </c>
      <c r="N1163" s="20" t="b">
        <f>IFERROR(__xludf.DUMMYFUNCTION("""COMPUTED_VALUE"""),FALSE)</f>
        <v>0</v>
      </c>
      <c r="O1163" s="20">
        <f>IFERROR(__xludf.DUMMYFUNCTION("""COMPUTED_VALUE"""),48.5416792418663)</f>
        <v>48.54167924</v>
      </c>
      <c r="P1163" s="20">
        <f>IFERROR(__xludf.DUMMYFUNCTION("""COMPUTED_VALUE"""),80418.0)</f>
        <v>80418</v>
      </c>
      <c r="Q1163" s="20">
        <f>IFERROR(__xludf.DUMMYFUNCTION("""COMPUTED_VALUE"""),165669.0)</f>
        <v>165669</v>
      </c>
    </row>
    <row r="1164">
      <c r="A1164" s="20">
        <f>IFERROR(__xludf.DUMMYFUNCTION("""COMPUTED_VALUE"""),1133.0)</f>
        <v>1133</v>
      </c>
      <c r="B1164" s="20" t="str">
        <f>IFERROR(__xludf.DUMMYFUNCTION("""COMPUTED_VALUE"""),"Last Substring in Lexicographical Order")</f>
        <v>Last Substring in Lexicographical Order</v>
      </c>
      <c r="C1164" s="20" t="str">
        <f>IFERROR(__xludf.DUMMYFUNCTION("""COMPUTED_VALUE"""),"last-substring-in-lexicographical-order")</f>
        <v>last-substring-in-lexicographical-order</v>
      </c>
      <c r="D1164" s="20" t="b">
        <f>IFERROR(__xludf.DUMMYFUNCTION("""COMPUTED_VALUE"""),FALSE)</f>
        <v>0</v>
      </c>
      <c r="E1164" s="20" t="str">
        <f>IFERROR(__xludf.DUMMYFUNCTION("""COMPUTED_VALUE"""),"Hard")</f>
        <v>Hard</v>
      </c>
      <c r="F1164" s="20">
        <f>IFERROR(__xludf.DUMMYFUNCTION("""COMPUTED_VALUE"""),503.0)</f>
        <v>503</v>
      </c>
      <c r="G1164" s="20">
        <f>IFERROR(__xludf.DUMMYFUNCTION("""COMPUTED_VALUE"""),431.0)</f>
        <v>431</v>
      </c>
      <c r="H1164" s="20" t="str">
        <f>IFERROR(__xludf.DUMMYFUNCTION("""COMPUTED_VALUE"""),"Algorithms")</f>
        <v>Algorithms</v>
      </c>
      <c r="I1164" s="20">
        <f>IFERROR(__xludf.DUMMYFUNCTION("""COMPUTED_VALUE"""),0.349)</f>
        <v>0.349</v>
      </c>
      <c r="J1164" s="20">
        <f>IFERROR(__xludf.DUMMYFUNCTION("""COMPUTED_VALUE"""),1163.0)</f>
        <v>1163</v>
      </c>
      <c r="K1164" s="20" t="b">
        <f>IFERROR(__xludf.DUMMYFUNCTION("""COMPUTED_VALUE"""),FALSE)</f>
        <v>0</v>
      </c>
      <c r="L1164" s="20" t="str">
        <f>IFERROR(__xludf.DUMMYFUNCTION("""COMPUTED_VALUE"""),"Two Pointers;String;")</f>
        <v>Two Pointers;String;</v>
      </c>
      <c r="M1164" s="20" t="b">
        <f>IFERROR(__xludf.DUMMYFUNCTION("""COMPUTED_VALUE"""),FALSE)</f>
        <v>0</v>
      </c>
      <c r="N1164" s="20" t="b">
        <f>IFERROR(__xludf.DUMMYFUNCTION("""COMPUTED_VALUE"""),FALSE)</f>
        <v>0</v>
      </c>
      <c r="O1164" s="20">
        <f>IFERROR(__xludf.DUMMYFUNCTION("""COMPUTED_VALUE"""),34.9278049328613)</f>
        <v>34.92780493</v>
      </c>
      <c r="P1164" s="20">
        <f>IFERROR(__xludf.DUMMYFUNCTION("""COMPUTED_VALUE"""),31084.0)</f>
        <v>31084</v>
      </c>
      <c r="Q1164" s="20">
        <f>IFERROR(__xludf.DUMMYFUNCTION("""COMPUTED_VALUE"""),88995.0)</f>
        <v>88995</v>
      </c>
    </row>
    <row r="1165">
      <c r="A1165" s="20">
        <f>IFERROR(__xludf.DUMMYFUNCTION("""COMPUTED_VALUE"""),1278.0)</f>
        <v>1278</v>
      </c>
      <c r="B1165" s="20" t="str">
        <f>IFERROR(__xludf.DUMMYFUNCTION("""COMPUTED_VALUE"""),"Product Price at a Given Date")</f>
        <v>Product Price at a Given Date</v>
      </c>
      <c r="C1165" s="20" t="str">
        <f>IFERROR(__xludf.DUMMYFUNCTION("""COMPUTED_VALUE"""),"product-price-at-a-given-date")</f>
        <v>product-price-at-a-given-date</v>
      </c>
      <c r="D1165" s="20" t="b">
        <f>IFERROR(__xludf.DUMMYFUNCTION("""COMPUTED_VALUE"""),TRUE)</f>
        <v>1</v>
      </c>
      <c r="E1165" s="20" t="str">
        <f>IFERROR(__xludf.DUMMYFUNCTION("""COMPUTED_VALUE"""),"Medium")</f>
        <v>Medium</v>
      </c>
      <c r="F1165" s="20">
        <f>IFERROR(__xludf.DUMMYFUNCTION("""COMPUTED_VALUE"""),326.0)</f>
        <v>326</v>
      </c>
      <c r="G1165" s="20">
        <f>IFERROR(__xludf.DUMMYFUNCTION("""COMPUTED_VALUE"""),96.0)</f>
        <v>96</v>
      </c>
      <c r="H1165" s="20" t="str">
        <f>IFERROR(__xludf.DUMMYFUNCTION("""COMPUTED_VALUE"""),"Database")</f>
        <v>Database</v>
      </c>
      <c r="I1165" s="20">
        <f>IFERROR(__xludf.DUMMYFUNCTION("""COMPUTED_VALUE"""),0.682)</f>
        <v>0.682</v>
      </c>
      <c r="J1165" s="20">
        <f>IFERROR(__xludf.DUMMYFUNCTION("""COMPUTED_VALUE"""),1164.0)</f>
        <v>1164</v>
      </c>
      <c r="K1165" s="20" t="b">
        <f>IFERROR(__xludf.DUMMYFUNCTION("""COMPUTED_VALUE"""),TRUE)</f>
        <v>1</v>
      </c>
      <c r="L1165" s="20" t="str">
        <f>IFERROR(__xludf.DUMMYFUNCTION("""COMPUTED_VALUE"""),"Database;")</f>
        <v>Database;</v>
      </c>
      <c r="M1165" s="20" t="b">
        <f>IFERROR(__xludf.DUMMYFUNCTION("""COMPUTED_VALUE"""),TRUE)</f>
        <v>1</v>
      </c>
      <c r="N1165" s="20" t="b">
        <f>IFERROR(__xludf.DUMMYFUNCTION("""COMPUTED_VALUE"""),FALSE)</f>
        <v>0</v>
      </c>
      <c r="O1165" s="20">
        <f>IFERROR(__xludf.DUMMYFUNCTION("""COMPUTED_VALUE"""),68.1949883224752)</f>
        <v>68.19498832</v>
      </c>
      <c r="P1165" s="20">
        <f>IFERROR(__xludf.DUMMYFUNCTION("""COMPUTED_VALUE"""),38835.0)</f>
        <v>38835</v>
      </c>
      <c r="Q1165" s="20">
        <f>IFERROR(__xludf.DUMMYFUNCTION("""COMPUTED_VALUE"""),56947.0)</f>
        <v>56947</v>
      </c>
    </row>
    <row r="1166">
      <c r="A1166" s="20">
        <f>IFERROR(__xludf.DUMMYFUNCTION("""COMPUTED_VALUE"""),1123.0)</f>
        <v>1123</v>
      </c>
      <c r="B1166" s="20" t="str">
        <f>IFERROR(__xludf.DUMMYFUNCTION("""COMPUTED_VALUE"""),"Single-Row Keyboard")</f>
        <v>Single-Row Keyboard</v>
      </c>
      <c r="C1166" s="20" t="str">
        <f>IFERROR(__xludf.DUMMYFUNCTION("""COMPUTED_VALUE"""),"single-row-keyboard")</f>
        <v>single-row-keyboard</v>
      </c>
      <c r="D1166" s="20" t="b">
        <f>IFERROR(__xludf.DUMMYFUNCTION("""COMPUTED_VALUE"""),TRUE)</f>
        <v>1</v>
      </c>
      <c r="E1166" s="20" t="str">
        <f>IFERROR(__xludf.DUMMYFUNCTION("""COMPUTED_VALUE"""),"Easy")</f>
        <v>Easy</v>
      </c>
      <c r="F1166" s="20">
        <f>IFERROR(__xludf.DUMMYFUNCTION("""COMPUTED_VALUE"""),450.0)</f>
        <v>450</v>
      </c>
      <c r="G1166" s="20">
        <f>IFERROR(__xludf.DUMMYFUNCTION("""COMPUTED_VALUE"""),20.0)</f>
        <v>20</v>
      </c>
      <c r="H1166" s="20" t="str">
        <f>IFERROR(__xludf.DUMMYFUNCTION("""COMPUTED_VALUE"""),"Algorithms")</f>
        <v>Algorithms</v>
      </c>
      <c r="I1166" s="20">
        <f>IFERROR(__xludf.DUMMYFUNCTION("""COMPUTED_VALUE"""),0.865)</f>
        <v>0.865</v>
      </c>
      <c r="J1166" s="20">
        <f>IFERROR(__xludf.DUMMYFUNCTION("""COMPUTED_VALUE"""),1165.0)</f>
        <v>1165</v>
      </c>
      <c r="K1166" s="20" t="b">
        <f>IFERROR(__xludf.DUMMYFUNCTION("""COMPUTED_VALUE"""),TRUE)</f>
        <v>1</v>
      </c>
      <c r="L1166" s="20" t="str">
        <f>IFERROR(__xludf.DUMMYFUNCTION("""COMPUTED_VALUE"""),"Hash Table;String;")</f>
        <v>Hash Table;String;</v>
      </c>
      <c r="M1166" s="20" t="b">
        <f>IFERROR(__xludf.DUMMYFUNCTION("""COMPUTED_VALUE"""),TRUE)</f>
        <v>1</v>
      </c>
      <c r="N1166" s="20" t="b">
        <f>IFERROR(__xludf.DUMMYFUNCTION("""COMPUTED_VALUE"""),TRUE)</f>
        <v>1</v>
      </c>
      <c r="O1166" s="20">
        <f>IFERROR(__xludf.DUMMYFUNCTION("""COMPUTED_VALUE"""),86.4554282868525)</f>
        <v>86.45542829</v>
      </c>
      <c r="P1166" s="20">
        <f>IFERROR(__xludf.DUMMYFUNCTION("""COMPUTED_VALUE"""),69441.0)</f>
        <v>69441</v>
      </c>
      <c r="Q1166" s="20">
        <f>IFERROR(__xludf.DUMMYFUNCTION("""COMPUTED_VALUE"""),80320.0)</f>
        <v>80320</v>
      </c>
    </row>
    <row r="1167">
      <c r="A1167" s="20">
        <f>IFERROR(__xludf.DUMMYFUNCTION("""COMPUTED_VALUE"""),1125.0)</f>
        <v>1125</v>
      </c>
      <c r="B1167" s="20" t="str">
        <f>IFERROR(__xludf.DUMMYFUNCTION("""COMPUTED_VALUE"""),"Design File System")</f>
        <v>Design File System</v>
      </c>
      <c r="C1167" s="20" t="str">
        <f>IFERROR(__xludf.DUMMYFUNCTION("""COMPUTED_VALUE"""),"design-file-system")</f>
        <v>design-file-system</v>
      </c>
      <c r="D1167" s="20" t="b">
        <f>IFERROR(__xludf.DUMMYFUNCTION("""COMPUTED_VALUE"""),TRUE)</f>
        <v>1</v>
      </c>
      <c r="E1167" s="20" t="str">
        <f>IFERROR(__xludf.DUMMYFUNCTION("""COMPUTED_VALUE"""),"Medium")</f>
        <v>Medium</v>
      </c>
      <c r="F1167" s="20">
        <f>IFERROR(__xludf.DUMMYFUNCTION("""COMPUTED_VALUE"""),469.0)</f>
        <v>469</v>
      </c>
      <c r="G1167" s="20">
        <f>IFERROR(__xludf.DUMMYFUNCTION("""COMPUTED_VALUE"""),51.0)</f>
        <v>51</v>
      </c>
      <c r="H1167" s="20" t="str">
        <f>IFERROR(__xludf.DUMMYFUNCTION("""COMPUTED_VALUE"""),"Algorithms")</f>
        <v>Algorithms</v>
      </c>
      <c r="I1167" s="20">
        <f>IFERROR(__xludf.DUMMYFUNCTION("""COMPUTED_VALUE"""),0.62)</f>
        <v>0.62</v>
      </c>
      <c r="J1167" s="20">
        <f>IFERROR(__xludf.DUMMYFUNCTION("""COMPUTED_VALUE"""),1166.0)</f>
        <v>1166</v>
      </c>
      <c r="K1167" s="20" t="b">
        <f>IFERROR(__xludf.DUMMYFUNCTION("""COMPUTED_VALUE"""),TRUE)</f>
        <v>1</v>
      </c>
      <c r="L1167" s="20" t="str">
        <f>IFERROR(__xludf.DUMMYFUNCTION("""COMPUTED_VALUE"""),"Hash Table;String;Design;Trie;")</f>
        <v>Hash Table;String;Design;Trie;</v>
      </c>
      <c r="M1167" s="20" t="b">
        <f>IFERROR(__xludf.DUMMYFUNCTION("""COMPUTED_VALUE"""),TRUE)</f>
        <v>1</v>
      </c>
      <c r="N1167" s="20" t="b">
        <f>IFERROR(__xludf.DUMMYFUNCTION("""COMPUTED_VALUE"""),FALSE)</f>
        <v>0</v>
      </c>
      <c r="O1167" s="20">
        <f>IFERROR(__xludf.DUMMYFUNCTION("""COMPUTED_VALUE"""),62.0329105245114)</f>
        <v>62.03291052</v>
      </c>
      <c r="P1167" s="20">
        <f>IFERROR(__xludf.DUMMYFUNCTION("""COMPUTED_VALUE"""),39809.0)</f>
        <v>39809</v>
      </c>
      <c r="Q1167" s="20">
        <f>IFERROR(__xludf.DUMMYFUNCTION("""COMPUTED_VALUE"""),64174.0)</f>
        <v>64174</v>
      </c>
    </row>
    <row r="1168">
      <c r="A1168" s="20">
        <f>IFERROR(__xludf.DUMMYFUNCTION("""COMPUTED_VALUE"""),1126.0)</f>
        <v>1126</v>
      </c>
      <c r="B1168" s="20" t="str">
        <f>IFERROR(__xludf.DUMMYFUNCTION("""COMPUTED_VALUE"""),"Minimum Cost to Connect Sticks")</f>
        <v>Minimum Cost to Connect Sticks</v>
      </c>
      <c r="C1168" s="20" t="str">
        <f>IFERROR(__xludf.DUMMYFUNCTION("""COMPUTED_VALUE"""),"minimum-cost-to-connect-sticks")</f>
        <v>minimum-cost-to-connect-sticks</v>
      </c>
      <c r="D1168" s="20" t="b">
        <f>IFERROR(__xludf.DUMMYFUNCTION("""COMPUTED_VALUE"""),TRUE)</f>
        <v>1</v>
      </c>
      <c r="E1168" s="20" t="str">
        <f>IFERROR(__xludf.DUMMYFUNCTION("""COMPUTED_VALUE"""),"Medium")</f>
        <v>Medium</v>
      </c>
      <c r="F1168" s="20">
        <f>IFERROR(__xludf.DUMMYFUNCTION("""COMPUTED_VALUE"""),1166.0)</f>
        <v>1166</v>
      </c>
      <c r="G1168" s="20">
        <f>IFERROR(__xludf.DUMMYFUNCTION("""COMPUTED_VALUE"""),151.0)</f>
        <v>151</v>
      </c>
      <c r="H1168" s="20" t="str">
        <f>IFERROR(__xludf.DUMMYFUNCTION("""COMPUTED_VALUE"""),"Algorithms")</f>
        <v>Algorithms</v>
      </c>
      <c r="I1168" s="20">
        <f>IFERROR(__xludf.DUMMYFUNCTION("""COMPUTED_VALUE"""),0.68)</f>
        <v>0.68</v>
      </c>
      <c r="J1168" s="20">
        <f>IFERROR(__xludf.DUMMYFUNCTION("""COMPUTED_VALUE"""),1167.0)</f>
        <v>1167</v>
      </c>
      <c r="K1168" s="20" t="b">
        <f>IFERROR(__xludf.DUMMYFUNCTION("""COMPUTED_VALUE"""),TRUE)</f>
        <v>1</v>
      </c>
      <c r="L1168" s="20" t="str">
        <f>IFERROR(__xludf.DUMMYFUNCTION("""COMPUTED_VALUE"""),"Array;Greedy;Heap (Priority Queue);")</f>
        <v>Array;Greedy;Heap (Priority Queue);</v>
      </c>
      <c r="M1168" s="20" t="b">
        <f>IFERROR(__xludf.DUMMYFUNCTION("""COMPUTED_VALUE"""),TRUE)</f>
        <v>1</v>
      </c>
      <c r="N1168" s="20" t="b">
        <f>IFERROR(__xludf.DUMMYFUNCTION("""COMPUTED_VALUE"""),TRUE)</f>
        <v>1</v>
      </c>
      <c r="O1168" s="20">
        <f>IFERROR(__xludf.DUMMYFUNCTION("""COMPUTED_VALUE"""),68.0334842870866)</f>
        <v>68.03348429</v>
      </c>
      <c r="P1168" s="20">
        <f>IFERROR(__xludf.DUMMYFUNCTION("""COMPUTED_VALUE"""),99145.0)</f>
        <v>99145</v>
      </c>
      <c r="Q1168" s="20">
        <f>IFERROR(__xludf.DUMMYFUNCTION("""COMPUTED_VALUE"""),145729.0)</f>
        <v>145729</v>
      </c>
    </row>
    <row r="1169">
      <c r="A1169" s="20">
        <f>IFERROR(__xludf.DUMMYFUNCTION("""COMPUTED_VALUE"""),1144.0)</f>
        <v>1144</v>
      </c>
      <c r="B1169" s="20" t="str">
        <f>IFERROR(__xludf.DUMMYFUNCTION("""COMPUTED_VALUE"""),"Optimize Water Distribution in a Village")</f>
        <v>Optimize Water Distribution in a Village</v>
      </c>
      <c r="C1169" s="20" t="str">
        <f>IFERROR(__xludf.DUMMYFUNCTION("""COMPUTED_VALUE"""),"optimize-water-distribution-in-a-village")</f>
        <v>optimize-water-distribution-in-a-village</v>
      </c>
      <c r="D1169" s="20" t="b">
        <f>IFERROR(__xludf.DUMMYFUNCTION("""COMPUTED_VALUE"""),TRUE)</f>
        <v>1</v>
      </c>
      <c r="E1169" s="20" t="str">
        <f>IFERROR(__xludf.DUMMYFUNCTION("""COMPUTED_VALUE"""),"Hard")</f>
        <v>Hard</v>
      </c>
      <c r="F1169" s="20">
        <f>IFERROR(__xludf.DUMMYFUNCTION("""COMPUTED_VALUE"""),958.0)</f>
        <v>958</v>
      </c>
      <c r="G1169" s="20">
        <f>IFERROR(__xludf.DUMMYFUNCTION("""COMPUTED_VALUE"""),34.0)</f>
        <v>34</v>
      </c>
      <c r="H1169" s="20" t="str">
        <f>IFERROR(__xludf.DUMMYFUNCTION("""COMPUTED_VALUE"""),"Algorithms")</f>
        <v>Algorithms</v>
      </c>
      <c r="I1169" s="20">
        <f>IFERROR(__xludf.DUMMYFUNCTION("""COMPUTED_VALUE"""),0.644)</f>
        <v>0.644</v>
      </c>
      <c r="J1169" s="20">
        <f>IFERROR(__xludf.DUMMYFUNCTION("""COMPUTED_VALUE"""),1168.0)</f>
        <v>1168</v>
      </c>
      <c r="K1169" s="20" t="b">
        <f>IFERROR(__xludf.DUMMYFUNCTION("""COMPUTED_VALUE"""),TRUE)</f>
        <v>1</v>
      </c>
      <c r="L1169" s="20" t="str">
        <f>IFERROR(__xludf.DUMMYFUNCTION("""COMPUTED_VALUE"""),"Union Find;Graph;Minimum Spanning Tree;")</f>
        <v>Union Find;Graph;Minimum Spanning Tree;</v>
      </c>
      <c r="M1169" s="20" t="b">
        <f>IFERROR(__xludf.DUMMYFUNCTION("""COMPUTED_VALUE"""),TRUE)</f>
        <v>1</v>
      </c>
      <c r="N1169" s="20" t="b">
        <f>IFERROR(__xludf.DUMMYFUNCTION("""COMPUTED_VALUE"""),FALSE)</f>
        <v>0</v>
      </c>
      <c r="O1169" s="20">
        <f>IFERROR(__xludf.DUMMYFUNCTION("""COMPUTED_VALUE"""),64.4445985540664)</f>
        <v>64.44459855</v>
      </c>
      <c r="P1169" s="20">
        <f>IFERROR(__xludf.DUMMYFUNCTION("""COMPUTED_VALUE"""),37171.0)</f>
        <v>37171</v>
      </c>
      <c r="Q1169" s="20">
        <f>IFERROR(__xludf.DUMMYFUNCTION("""COMPUTED_VALUE"""),57679.0)</f>
        <v>57679</v>
      </c>
    </row>
    <row r="1170">
      <c r="A1170" s="20">
        <f>IFERROR(__xludf.DUMMYFUNCTION("""COMPUTED_VALUE"""),1272.0)</f>
        <v>1272</v>
      </c>
      <c r="B1170" s="20" t="str">
        <f>IFERROR(__xludf.DUMMYFUNCTION("""COMPUTED_VALUE"""),"Invalid Transactions")</f>
        <v>Invalid Transactions</v>
      </c>
      <c r="C1170" s="20" t="str">
        <f>IFERROR(__xludf.DUMMYFUNCTION("""COMPUTED_VALUE"""),"invalid-transactions")</f>
        <v>invalid-transactions</v>
      </c>
      <c r="D1170" s="20" t="b">
        <f>IFERROR(__xludf.DUMMYFUNCTION("""COMPUTED_VALUE"""),FALSE)</f>
        <v>0</v>
      </c>
      <c r="E1170" s="20" t="str">
        <f>IFERROR(__xludf.DUMMYFUNCTION("""COMPUTED_VALUE"""),"Medium")</f>
        <v>Medium</v>
      </c>
      <c r="F1170" s="20">
        <f>IFERROR(__xludf.DUMMYFUNCTION("""COMPUTED_VALUE"""),399.0)</f>
        <v>399</v>
      </c>
      <c r="G1170" s="20">
        <f>IFERROR(__xludf.DUMMYFUNCTION("""COMPUTED_VALUE"""),1908.0)</f>
        <v>1908</v>
      </c>
      <c r="H1170" s="20" t="str">
        <f>IFERROR(__xludf.DUMMYFUNCTION("""COMPUTED_VALUE"""),"Algorithms")</f>
        <v>Algorithms</v>
      </c>
      <c r="I1170" s="20">
        <f>IFERROR(__xludf.DUMMYFUNCTION("""COMPUTED_VALUE"""),0.312)</f>
        <v>0.312</v>
      </c>
      <c r="J1170" s="20">
        <f>IFERROR(__xludf.DUMMYFUNCTION("""COMPUTED_VALUE"""),1169.0)</f>
        <v>1169</v>
      </c>
      <c r="K1170" s="20" t="b">
        <f>IFERROR(__xludf.DUMMYFUNCTION("""COMPUTED_VALUE"""),FALSE)</f>
        <v>0</v>
      </c>
      <c r="L1170" s="20" t="str">
        <f>IFERROR(__xludf.DUMMYFUNCTION("""COMPUTED_VALUE"""),"Array;Hash Table;String;Sorting;")</f>
        <v>Array;Hash Table;String;Sorting;</v>
      </c>
      <c r="M1170" s="20" t="b">
        <f>IFERROR(__xludf.DUMMYFUNCTION("""COMPUTED_VALUE"""),FALSE)</f>
        <v>0</v>
      </c>
      <c r="N1170" s="20" t="b">
        <f>IFERROR(__xludf.DUMMYFUNCTION("""COMPUTED_VALUE"""),FALSE)</f>
        <v>0</v>
      </c>
      <c r="O1170" s="20">
        <f>IFERROR(__xludf.DUMMYFUNCTION("""COMPUTED_VALUE"""),31.2485172168366)</f>
        <v>31.24851722</v>
      </c>
      <c r="P1170" s="20">
        <f>IFERROR(__xludf.DUMMYFUNCTION("""COMPUTED_VALUE"""),56636.0)</f>
        <v>56636</v>
      </c>
      <c r="Q1170" s="20">
        <f>IFERROR(__xludf.DUMMYFUNCTION("""COMPUTED_VALUE"""),181246.0)</f>
        <v>181246</v>
      </c>
    </row>
    <row r="1171">
      <c r="A1171" s="20">
        <f>IFERROR(__xludf.DUMMYFUNCTION("""COMPUTED_VALUE"""),1273.0)</f>
        <v>1273</v>
      </c>
      <c r="B1171" s="20" t="str">
        <f>IFERROR(__xludf.DUMMYFUNCTION("""COMPUTED_VALUE"""),"Compare Strings by Frequency of the Smallest Character")</f>
        <v>Compare Strings by Frequency of the Smallest Character</v>
      </c>
      <c r="C1171" s="20" t="str">
        <f>IFERROR(__xludf.DUMMYFUNCTION("""COMPUTED_VALUE"""),"compare-strings-by-frequency-of-the-smallest-character")</f>
        <v>compare-strings-by-frequency-of-the-smallest-character</v>
      </c>
      <c r="D1171" s="20" t="b">
        <f>IFERROR(__xludf.DUMMYFUNCTION("""COMPUTED_VALUE"""),FALSE)</f>
        <v>0</v>
      </c>
      <c r="E1171" s="20" t="str">
        <f>IFERROR(__xludf.DUMMYFUNCTION("""COMPUTED_VALUE"""),"Medium")</f>
        <v>Medium</v>
      </c>
      <c r="F1171" s="20">
        <f>IFERROR(__xludf.DUMMYFUNCTION("""COMPUTED_VALUE"""),574.0)</f>
        <v>574</v>
      </c>
      <c r="G1171" s="20">
        <f>IFERROR(__xludf.DUMMYFUNCTION("""COMPUTED_VALUE"""),930.0)</f>
        <v>930</v>
      </c>
      <c r="H1171" s="20" t="str">
        <f>IFERROR(__xludf.DUMMYFUNCTION("""COMPUTED_VALUE"""),"Algorithms")</f>
        <v>Algorithms</v>
      </c>
      <c r="I1171" s="20">
        <f>IFERROR(__xludf.DUMMYFUNCTION("""COMPUTED_VALUE"""),0.614)</f>
        <v>0.614</v>
      </c>
      <c r="J1171" s="20">
        <f>IFERROR(__xludf.DUMMYFUNCTION("""COMPUTED_VALUE"""),1170.0)</f>
        <v>1170</v>
      </c>
      <c r="K1171" s="20" t="b">
        <f>IFERROR(__xludf.DUMMYFUNCTION("""COMPUTED_VALUE"""),FALSE)</f>
        <v>0</v>
      </c>
      <c r="L1171" s="20" t="str">
        <f>IFERROR(__xludf.DUMMYFUNCTION("""COMPUTED_VALUE"""),"Array;Hash Table;String;Binary Search;Sorting;")</f>
        <v>Array;Hash Table;String;Binary Search;Sorting;</v>
      </c>
      <c r="M1171" s="20" t="b">
        <f>IFERROR(__xludf.DUMMYFUNCTION("""COMPUTED_VALUE"""),FALSE)</f>
        <v>0</v>
      </c>
      <c r="N1171" s="20" t="b">
        <f>IFERROR(__xludf.DUMMYFUNCTION("""COMPUTED_VALUE"""),FALSE)</f>
        <v>0</v>
      </c>
      <c r="O1171" s="20">
        <f>IFERROR(__xludf.DUMMYFUNCTION("""COMPUTED_VALUE"""),61.3851262780739)</f>
        <v>61.38512628</v>
      </c>
      <c r="P1171" s="20">
        <f>IFERROR(__xludf.DUMMYFUNCTION("""COMPUTED_VALUE"""),70243.0)</f>
        <v>70243</v>
      </c>
      <c r="Q1171" s="20">
        <f>IFERROR(__xludf.DUMMYFUNCTION("""COMPUTED_VALUE"""),114430.0)</f>
        <v>114430</v>
      </c>
    </row>
    <row r="1172">
      <c r="A1172" s="20">
        <f>IFERROR(__xludf.DUMMYFUNCTION("""COMPUTED_VALUE"""),1267.0)</f>
        <v>1267</v>
      </c>
      <c r="B1172" s="20" t="str">
        <f>IFERROR(__xludf.DUMMYFUNCTION("""COMPUTED_VALUE"""),"Remove Zero Sum Consecutive Nodes from Linked List")</f>
        <v>Remove Zero Sum Consecutive Nodes from Linked List</v>
      </c>
      <c r="C1172" s="20" t="str">
        <f>IFERROR(__xludf.DUMMYFUNCTION("""COMPUTED_VALUE"""),"remove-zero-sum-consecutive-nodes-from-linked-list")</f>
        <v>remove-zero-sum-consecutive-nodes-from-linked-list</v>
      </c>
      <c r="D1172" s="20" t="b">
        <f>IFERROR(__xludf.DUMMYFUNCTION("""COMPUTED_VALUE"""),FALSE)</f>
        <v>0</v>
      </c>
      <c r="E1172" s="20" t="str">
        <f>IFERROR(__xludf.DUMMYFUNCTION("""COMPUTED_VALUE"""),"Medium")</f>
        <v>Medium</v>
      </c>
      <c r="F1172" s="20">
        <f>IFERROR(__xludf.DUMMYFUNCTION("""COMPUTED_VALUE"""),1749.0)</f>
        <v>1749</v>
      </c>
      <c r="G1172" s="20">
        <f>IFERROR(__xludf.DUMMYFUNCTION("""COMPUTED_VALUE"""),80.0)</f>
        <v>80</v>
      </c>
      <c r="H1172" s="20" t="str">
        <f>IFERROR(__xludf.DUMMYFUNCTION("""COMPUTED_VALUE"""),"Algorithms")</f>
        <v>Algorithms</v>
      </c>
      <c r="I1172" s="20">
        <f>IFERROR(__xludf.DUMMYFUNCTION("""COMPUTED_VALUE"""),0.431)</f>
        <v>0.431</v>
      </c>
      <c r="J1172" s="20">
        <f>IFERROR(__xludf.DUMMYFUNCTION("""COMPUTED_VALUE"""),1171.0)</f>
        <v>1171</v>
      </c>
      <c r="K1172" s="20" t="b">
        <f>IFERROR(__xludf.DUMMYFUNCTION("""COMPUTED_VALUE"""),FALSE)</f>
        <v>0</v>
      </c>
      <c r="L1172" s="20" t="str">
        <f>IFERROR(__xludf.DUMMYFUNCTION("""COMPUTED_VALUE"""),"Hash Table;Linked List;")</f>
        <v>Hash Table;Linked List;</v>
      </c>
      <c r="M1172" s="20" t="b">
        <f>IFERROR(__xludf.DUMMYFUNCTION("""COMPUTED_VALUE"""),FALSE)</f>
        <v>0</v>
      </c>
      <c r="N1172" s="20" t="b">
        <f>IFERROR(__xludf.DUMMYFUNCTION("""COMPUTED_VALUE"""),FALSE)</f>
        <v>0</v>
      </c>
      <c r="O1172" s="20">
        <f>IFERROR(__xludf.DUMMYFUNCTION("""COMPUTED_VALUE"""),43.0762827150717)</f>
        <v>43.07628272</v>
      </c>
      <c r="P1172" s="20">
        <f>IFERROR(__xludf.DUMMYFUNCTION("""COMPUTED_VALUE"""),42431.0)</f>
        <v>42431</v>
      </c>
      <c r="Q1172" s="20">
        <f>IFERROR(__xludf.DUMMYFUNCTION("""COMPUTED_VALUE"""),98502.0)</f>
        <v>98502</v>
      </c>
    </row>
    <row r="1173">
      <c r="A1173" s="20">
        <f>IFERROR(__xludf.DUMMYFUNCTION("""COMPUTED_VALUE"""),1270.0)</f>
        <v>1270</v>
      </c>
      <c r="B1173" s="20" t="str">
        <f>IFERROR(__xludf.DUMMYFUNCTION("""COMPUTED_VALUE"""),"Dinner Plate Stacks")</f>
        <v>Dinner Plate Stacks</v>
      </c>
      <c r="C1173" s="20" t="str">
        <f>IFERROR(__xludf.DUMMYFUNCTION("""COMPUTED_VALUE"""),"dinner-plate-stacks")</f>
        <v>dinner-plate-stacks</v>
      </c>
      <c r="D1173" s="20" t="b">
        <f>IFERROR(__xludf.DUMMYFUNCTION("""COMPUTED_VALUE"""),FALSE)</f>
        <v>0</v>
      </c>
      <c r="E1173" s="20" t="str">
        <f>IFERROR(__xludf.DUMMYFUNCTION("""COMPUTED_VALUE"""),"Hard")</f>
        <v>Hard</v>
      </c>
      <c r="F1173" s="20">
        <f>IFERROR(__xludf.DUMMYFUNCTION("""COMPUTED_VALUE"""),389.0)</f>
        <v>389</v>
      </c>
      <c r="G1173" s="20">
        <f>IFERROR(__xludf.DUMMYFUNCTION("""COMPUTED_VALUE"""),55.0)</f>
        <v>55</v>
      </c>
      <c r="H1173" s="20" t="str">
        <f>IFERROR(__xludf.DUMMYFUNCTION("""COMPUTED_VALUE"""),"Algorithms")</f>
        <v>Algorithms</v>
      </c>
      <c r="I1173" s="20">
        <f>IFERROR(__xludf.DUMMYFUNCTION("""COMPUTED_VALUE"""),0.334)</f>
        <v>0.334</v>
      </c>
      <c r="J1173" s="20">
        <f>IFERROR(__xludf.DUMMYFUNCTION("""COMPUTED_VALUE"""),1172.0)</f>
        <v>1172</v>
      </c>
      <c r="K1173" s="20" t="b">
        <f>IFERROR(__xludf.DUMMYFUNCTION("""COMPUTED_VALUE"""),FALSE)</f>
        <v>0</v>
      </c>
      <c r="L1173" s="20" t="str">
        <f>IFERROR(__xludf.DUMMYFUNCTION("""COMPUTED_VALUE"""),"Hash Table;Stack;Design;Heap (Priority Queue);")</f>
        <v>Hash Table;Stack;Design;Heap (Priority Queue);</v>
      </c>
      <c r="M1173" s="20" t="b">
        <f>IFERROR(__xludf.DUMMYFUNCTION("""COMPUTED_VALUE"""),FALSE)</f>
        <v>0</v>
      </c>
      <c r="N1173" s="20" t="b">
        <f>IFERROR(__xludf.DUMMYFUNCTION("""COMPUTED_VALUE"""),FALSE)</f>
        <v>0</v>
      </c>
      <c r="O1173" s="20">
        <f>IFERROR(__xludf.DUMMYFUNCTION("""COMPUTED_VALUE"""),33.4484275346382)</f>
        <v>33.44842753</v>
      </c>
      <c r="P1173" s="20">
        <f>IFERROR(__xludf.DUMMYFUNCTION("""COMPUTED_VALUE"""),15209.0)</f>
        <v>15209</v>
      </c>
      <c r="Q1173" s="20">
        <f>IFERROR(__xludf.DUMMYFUNCTION("""COMPUTED_VALUE"""),45470.0)</f>
        <v>45470</v>
      </c>
    </row>
    <row r="1174">
      <c r="A1174" s="20">
        <f>IFERROR(__xludf.DUMMYFUNCTION("""COMPUTED_VALUE"""),1291.0)</f>
        <v>1291</v>
      </c>
      <c r="B1174" s="20" t="str">
        <f>IFERROR(__xludf.DUMMYFUNCTION("""COMPUTED_VALUE"""),"Immediate Food Delivery I")</f>
        <v>Immediate Food Delivery I</v>
      </c>
      <c r="C1174" s="20" t="str">
        <f>IFERROR(__xludf.DUMMYFUNCTION("""COMPUTED_VALUE"""),"immediate-food-delivery-i")</f>
        <v>immediate-food-delivery-i</v>
      </c>
      <c r="D1174" s="20" t="b">
        <f>IFERROR(__xludf.DUMMYFUNCTION("""COMPUTED_VALUE"""),TRUE)</f>
        <v>1</v>
      </c>
      <c r="E1174" s="20" t="str">
        <f>IFERROR(__xludf.DUMMYFUNCTION("""COMPUTED_VALUE"""),"Easy")</f>
        <v>Easy</v>
      </c>
      <c r="F1174" s="20">
        <f>IFERROR(__xludf.DUMMYFUNCTION("""COMPUTED_VALUE"""),189.0)</f>
        <v>189</v>
      </c>
      <c r="G1174" s="20">
        <f>IFERROR(__xludf.DUMMYFUNCTION("""COMPUTED_VALUE"""),10.0)</f>
        <v>10</v>
      </c>
      <c r="H1174" s="20" t="str">
        <f>IFERROR(__xludf.DUMMYFUNCTION("""COMPUTED_VALUE"""),"Database")</f>
        <v>Database</v>
      </c>
      <c r="I1174" s="20">
        <f>IFERROR(__xludf.DUMMYFUNCTION("""COMPUTED_VALUE"""),0.833)</f>
        <v>0.833</v>
      </c>
      <c r="J1174" s="20">
        <f>IFERROR(__xludf.DUMMYFUNCTION("""COMPUTED_VALUE"""),1173.0)</f>
        <v>1173</v>
      </c>
      <c r="K1174" s="20" t="b">
        <f>IFERROR(__xludf.DUMMYFUNCTION("""COMPUTED_VALUE"""),TRUE)</f>
        <v>1</v>
      </c>
      <c r="L1174" s="20" t="str">
        <f>IFERROR(__xludf.DUMMYFUNCTION("""COMPUTED_VALUE"""),"Database;")</f>
        <v>Database;</v>
      </c>
      <c r="M1174" s="20" t="b">
        <f>IFERROR(__xludf.DUMMYFUNCTION("""COMPUTED_VALUE"""),FALSE)</f>
        <v>0</v>
      </c>
      <c r="N1174" s="20" t="b">
        <f>IFERROR(__xludf.DUMMYFUNCTION("""COMPUTED_VALUE"""),FALSE)</f>
        <v>0</v>
      </c>
      <c r="O1174" s="20">
        <f>IFERROR(__xludf.DUMMYFUNCTION("""COMPUTED_VALUE"""),83.311454441415)</f>
        <v>83.31145444</v>
      </c>
      <c r="P1174" s="20">
        <f>IFERROR(__xludf.DUMMYFUNCTION("""COMPUTED_VALUE"""),49502.0)</f>
        <v>49502</v>
      </c>
      <c r="Q1174" s="20">
        <f>IFERROR(__xludf.DUMMYFUNCTION("""COMPUTED_VALUE"""),59418.0)</f>
        <v>59418</v>
      </c>
    </row>
    <row r="1175">
      <c r="A1175" s="20">
        <f>IFERROR(__xludf.DUMMYFUNCTION("""COMPUTED_VALUE"""),1292.0)</f>
        <v>1292</v>
      </c>
      <c r="B1175" s="20" t="str">
        <f>IFERROR(__xludf.DUMMYFUNCTION("""COMPUTED_VALUE"""),"Immediate Food Delivery II")</f>
        <v>Immediate Food Delivery II</v>
      </c>
      <c r="C1175" s="20" t="str">
        <f>IFERROR(__xludf.DUMMYFUNCTION("""COMPUTED_VALUE"""),"immediate-food-delivery-ii")</f>
        <v>immediate-food-delivery-ii</v>
      </c>
      <c r="D1175" s="20" t="b">
        <f>IFERROR(__xludf.DUMMYFUNCTION("""COMPUTED_VALUE"""),TRUE)</f>
        <v>1</v>
      </c>
      <c r="E1175" s="20" t="str">
        <f>IFERROR(__xludf.DUMMYFUNCTION("""COMPUTED_VALUE"""),"Medium")</f>
        <v>Medium</v>
      </c>
      <c r="F1175" s="20">
        <f>IFERROR(__xludf.DUMMYFUNCTION("""COMPUTED_VALUE"""),113.0)</f>
        <v>113</v>
      </c>
      <c r="G1175" s="20">
        <f>IFERROR(__xludf.DUMMYFUNCTION("""COMPUTED_VALUE"""),52.0)</f>
        <v>52</v>
      </c>
      <c r="H1175" s="20" t="str">
        <f>IFERROR(__xludf.DUMMYFUNCTION("""COMPUTED_VALUE"""),"Database")</f>
        <v>Database</v>
      </c>
      <c r="I1175" s="20">
        <f>IFERROR(__xludf.DUMMYFUNCTION("""COMPUTED_VALUE"""),0.637)</f>
        <v>0.637</v>
      </c>
      <c r="J1175" s="20">
        <f>IFERROR(__xludf.DUMMYFUNCTION("""COMPUTED_VALUE"""),1174.0)</f>
        <v>1174</v>
      </c>
      <c r="K1175" s="20" t="b">
        <f>IFERROR(__xludf.DUMMYFUNCTION("""COMPUTED_VALUE"""),TRUE)</f>
        <v>1</v>
      </c>
      <c r="L1175" s="20" t="str">
        <f>IFERROR(__xludf.DUMMYFUNCTION("""COMPUTED_VALUE"""),"Database;")</f>
        <v>Database;</v>
      </c>
      <c r="M1175" s="20" t="b">
        <f>IFERROR(__xludf.DUMMYFUNCTION("""COMPUTED_VALUE"""),FALSE)</f>
        <v>0</v>
      </c>
      <c r="N1175" s="20" t="b">
        <f>IFERROR(__xludf.DUMMYFUNCTION("""COMPUTED_VALUE"""),FALSE)</f>
        <v>0</v>
      </c>
      <c r="O1175" s="20">
        <f>IFERROR(__xludf.DUMMYFUNCTION("""COMPUTED_VALUE"""),63.732760413057)</f>
        <v>63.73276041</v>
      </c>
      <c r="P1175" s="20">
        <f>IFERROR(__xludf.DUMMYFUNCTION("""COMPUTED_VALUE"""),27588.0)</f>
        <v>27588</v>
      </c>
      <c r="Q1175" s="20">
        <f>IFERROR(__xludf.DUMMYFUNCTION("""COMPUTED_VALUE"""),43287.0)</f>
        <v>43287</v>
      </c>
    </row>
    <row r="1176">
      <c r="A1176" s="20">
        <f>IFERROR(__xludf.DUMMYFUNCTION("""COMPUTED_VALUE"""),1279.0)</f>
        <v>1279</v>
      </c>
      <c r="B1176" s="20" t="str">
        <f>IFERROR(__xludf.DUMMYFUNCTION("""COMPUTED_VALUE"""),"Prime Arrangements")</f>
        <v>Prime Arrangements</v>
      </c>
      <c r="C1176" s="20" t="str">
        <f>IFERROR(__xludf.DUMMYFUNCTION("""COMPUTED_VALUE"""),"prime-arrangements")</f>
        <v>prime-arrangements</v>
      </c>
      <c r="D1176" s="20" t="b">
        <f>IFERROR(__xludf.DUMMYFUNCTION("""COMPUTED_VALUE"""),FALSE)</f>
        <v>0</v>
      </c>
      <c r="E1176" s="20" t="str">
        <f>IFERROR(__xludf.DUMMYFUNCTION("""COMPUTED_VALUE"""),"Easy")</f>
        <v>Easy</v>
      </c>
      <c r="F1176" s="20">
        <f>IFERROR(__xludf.DUMMYFUNCTION("""COMPUTED_VALUE"""),309.0)</f>
        <v>309</v>
      </c>
      <c r="G1176" s="20">
        <f>IFERROR(__xludf.DUMMYFUNCTION("""COMPUTED_VALUE"""),430.0)</f>
        <v>430</v>
      </c>
      <c r="H1176" s="20" t="str">
        <f>IFERROR(__xludf.DUMMYFUNCTION("""COMPUTED_VALUE"""),"Algorithms")</f>
        <v>Algorithms</v>
      </c>
      <c r="I1176" s="20">
        <f>IFERROR(__xludf.DUMMYFUNCTION("""COMPUTED_VALUE"""),0.538)</f>
        <v>0.538</v>
      </c>
      <c r="J1176" s="20">
        <f>IFERROR(__xludf.DUMMYFUNCTION("""COMPUTED_VALUE"""),1175.0)</f>
        <v>1175</v>
      </c>
      <c r="K1176" s="20" t="b">
        <f>IFERROR(__xludf.DUMMYFUNCTION("""COMPUTED_VALUE"""),FALSE)</f>
        <v>0</v>
      </c>
      <c r="L1176" s="20" t="str">
        <f>IFERROR(__xludf.DUMMYFUNCTION("""COMPUTED_VALUE"""),"Math;")</f>
        <v>Math;</v>
      </c>
      <c r="M1176" s="20" t="b">
        <f>IFERROR(__xludf.DUMMYFUNCTION("""COMPUTED_VALUE"""),FALSE)</f>
        <v>0</v>
      </c>
      <c r="N1176" s="20" t="b">
        <f>IFERROR(__xludf.DUMMYFUNCTION("""COMPUTED_VALUE"""),FALSE)</f>
        <v>0</v>
      </c>
      <c r="O1176" s="20">
        <f>IFERROR(__xludf.DUMMYFUNCTION("""COMPUTED_VALUE"""),53.8314219922026)</f>
        <v>53.83142199</v>
      </c>
      <c r="P1176" s="20">
        <f>IFERROR(__xludf.DUMMYFUNCTION("""COMPUTED_VALUE"""),23611.0)</f>
        <v>23611</v>
      </c>
      <c r="Q1176" s="20">
        <f>IFERROR(__xludf.DUMMYFUNCTION("""COMPUTED_VALUE"""),43861.0)</f>
        <v>43861</v>
      </c>
    </row>
    <row r="1177">
      <c r="A1177" s="20">
        <f>IFERROR(__xludf.DUMMYFUNCTION("""COMPUTED_VALUE"""),1280.0)</f>
        <v>1280</v>
      </c>
      <c r="B1177" s="20" t="str">
        <f>IFERROR(__xludf.DUMMYFUNCTION("""COMPUTED_VALUE"""),"Diet Plan Performance")</f>
        <v>Diet Plan Performance</v>
      </c>
      <c r="C1177" s="20" t="str">
        <f>IFERROR(__xludf.DUMMYFUNCTION("""COMPUTED_VALUE"""),"diet-plan-performance")</f>
        <v>diet-plan-performance</v>
      </c>
      <c r="D1177" s="20" t="b">
        <f>IFERROR(__xludf.DUMMYFUNCTION("""COMPUTED_VALUE"""),TRUE)</f>
        <v>1</v>
      </c>
      <c r="E1177" s="20" t="str">
        <f>IFERROR(__xludf.DUMMYFUNCTION("""COMPUTED_VALUE"""),"Easy")</f>
        <v>Easy</v>
      </c>
      <c r="F1177" s="20">
        <f>IFERROR(__xludf.DUMMYFUNCTION("""COMPUTED_VALUE"""),140.0)</f>
        <v>140</v>
      </c>
      <c r="G1177" s="20">
        <f>IFERROR(__xludf.DUMMYFUNCTION("""COMPUTED_VALUE"""),270.0)</f>
        <v>270</v>
      </c>
      <c r="H1177" s="20" t="str">
        <f>IFERROR(__xludf.DUMMYFUNCTION("""COMPUTED_VALUE"""),"Algorithms")</f>
        <v>Algorithms</v>
      </c>
      <c r="I1177" s="20">
        <f>IFERROR(__xludf.DUMMYFUNCTION("""COMPUTED_VALUE"""),0.525)</f>
        <v>0.525</v>
      </c>
      <c r="J1177" s="20">
        <f>IFERROR(__xludf.DUMMYFUNCTION("""COMPUTED_VALUE"""),1176.0)</f>
        <v>1176</v>
      </c>
      <c r="K1177" s="20" t="b">
        <f>IFERROR(__xludf.DUMMYFUNCTION("""COMPUTED_VALUE"""),TRUE)</f>
        <v>1</v>
      </c>
      <c r="L1177" s="20" t="str">
        <f>IFERROR(__xludf.DUMMYFUNCTION("""COMPUTED_VALUE"""),"Array;Sliding Window;")</f>
        <v>Array;Sliding Window;</v>
      </c>
      <c r="M1177" s="20" t="b">
        <f>IFERROR(__xludf.DUMMYFUNCTION("""COMPUTED_VALUE"""),FALSE)</f>
        <v>0</v>
      </c>
      <c r="N1177" s="20" t="b">
        <f>IFERROR(__xludf.DUMMYFUNCTION("""COMPUTED_VALUE"""),FALSE)</f>
        <v>0</v>
      </c>
      <c r="O1177" s="20">
        <f>IFERROR(__xludf.DUMMYFUNCTION("""COMPUTED_VALUE"""),52.5031614966897)</f>
        <v>52.5031615</v>
      </c>
      <c r="P1177" s="20">
        <f>IFERROR(__xludf.DUMMYFUNCTION("""COMPUTED_VALUE"""),28232.0)</f>
        <v>28232</v>
      </c>
      <c r="Q1177" s="20">
        <f>IFERROR(__xludf.DUMMYFUNCTION("""COMPUTED_VALUE"""),53772.0)</f>
        <v>53772</v>
      </c>
    </row>
    <row r="1178">
      <c r="A1178" s="20">
        <f>IFERROR(__xludf.DUMMYFUNCTION("""COMPUTED_VALUE"""),1281.0)</f>
        <v>1281</v>
      </c>
      <c r="B1178" s="20" t="str">
        <f>IFERROR(__xludf.DUMMYFUNCTION("""COMPUTED_VALUE"""),"Can Make Palindrome from Substring")</f>
        <v>Can Make Palindrome from Substring</v>
      </c>
      <c r="C1178" s="20" t="str">
        <f>IFERROR(__xludf.DUMMYFUNCTION("""COMPUTED_VALUE"""),"can-make-palindrome-from-substring")</f>
        <v>can-make-palindrome-from-substring</v>
      </c>
      <c r="D1178" s="20" t="b">
        <f>IFERROR(__xludf.DUMMYFUNCTION("""COMPUTED_VALUE"""),FALSE)</f>
        <v>0</v>
      </c>
      <c r="E1178" s="20" t="str">
        <f>IFERROR(__xludf.DUMMYFUNCTION("""COMPUTED_VALUE"""),"Medium")</f>
        <v>Medium</v>
      </c>
      <c r="F1178" s="20">
        <f>IFERROR(__xludf.DUMMYFUNCTION("""COMPUTED_VALUE"""),638.0)</f>
        <v>638</v>
      </c>
      <c r="G1178" s="20">
        <f>IFERROR(__xludf.DUMMYFUNCTION("""COMPUTED_VALUE"""),246.0)</f>
        <v>246</v>
      </c>
      <c r="H1178" s="20" t="str">
        <f>IFERROR(__xludf.DUMMYFUNCTION("""COMPUTED_VALUE"""),"Algorithms")</f>
        <v>Algorithms</v>
      </c>
      <c r="I1178" s="20">
        <f>IFERROR(__xludf.DUMMYFUNCTION("""COMPUTED_VALUE"""),0.379)</f>
        <v>0.379</v>
      </c>
      <c r="J1178" s="20">
        <f>IFERROR(__xludf.DUMMYFUNCTION("""COMPUTED_VALUE"""),1177.0)</f>
        <v>1177</v>
      </c>
      <c r="K1178" s="20" t="b">
        <f>IFERROR(__xludf.DUMMYFUNCTION("""COMPUTED_VALUE"""),FALSE)</f>
        <v>0</v>
      </c>
      <c r="L1178" s="20" t="str">
        <f>IFERROR(__xludf.DUMMYFUNCTION("""COMPUTED_VALUE"""),"Hash Table;String;Bit Manipulation;Prefix Sum;")</f>
        <v>Hash Table;String;Bit Manipulation;Prefix Sum;</v>
      </c>
      <c r="M1178" s="20" t="b">
        <f>IFERROR(__xludf.DUMMYFUNCTION("""COMPUTED_VALUE"""),FALSE)</f>
        <v>0</v>
      </c>
      <c r="N1178" s="20" t="b">
        <f>IFERROR(__xludf.DUMMYFUNCTION("""COMPUTED_VALUE"""),FALSE)</f>
        <v>0</v>
      </c>
      <c r="O1178" s="20">
        <f>IFERROR(__xludf.DUMMYFUNCTION("""COMPUTED_VALUE"""),37.9419665949174)</f>
        <v>37.94196659</v>
      </c>
      <c r="P1178" s="20">
        <f>IFERROR(__xludf.DUMMYFUNCTION("""COMPUTED_VALUE"""),22739.0)</f>
        <v>22739</v>
      </c>
      <c r="Q1178" s="20">
        <f>IFERROR(__xludf.DUMMYFUNCTION("""COMPUTED_VALUE"""),59931.0)</f>
        <v>59931</v>
      </c>
    </row>
    <row r="1179">
      <c r="A1179" s="20">
        <f>IFERROR(__xludf.DUMMYFUNCTION("""COMPUTED_VALUE"""),1282.0)</f>
        <v>1282</v>
      </c>
      <c r="B1179" s="20" t="str">
        <f>IFERROR(__xludf.DUMMYFUNCTION("""COMPUTED_VALUE"""),"Number of Valid Words for Each Puzzle")</f>
        <v>Number of Valid Words for Each Puzzle</v>
      </c>
      <c r="C1179" s="20" t="str">
        <f>IFERROR(__xludf.DUMMYFUNCTION("""COMPUTED_VALUE"""),"number-of-valid-words-for-each-puzzle")</f>
        <v>number-of-valid-words-for-each-puzzle</v>
      </c>
      <c r="D1179" s="20" t="b">
        <f>IFERROR(__xludf.DUMMYFUNCTION("""COMPUTED_VALUE"""),FALSE)</f>
        <v>0</v>
      </c>
      <c r="E1179" s="20" t="str">
        <f>IFERROR(__xludf.DUMMYFUNCTION("""COMPUTED_VALUE"""),"Hard")</f>
        <v>Hard</v>
      </c>
      <c r="F1179" s="20">
        <f>IFERROR(__xludf.DUMMYFUNCTION("""COMPUTED_VALUE"""),1162.0)</f>
        <v>1162</v>
      </c>
      <c r="G1179" s="20">
        <f>IFERROR(__xludf.DUMMYFUNCTION("""COMPUTED_VALUE"""),78.0)</f>
        <v>78</v>
      </c>
      <c r="H1179" s="20" t="str">
        <f>IFERROR(__xludf.DUMMYFUNCTION("""COMPUTED_VALUE"""),"Algorithms")</f>
        <v>Algorithms</v>
      </c>
      <c r="I1179" s="20">
        <f>IFERROR(__xludf.DUMMYFUNCTION("""COMPUTED_VALUE"""),0.465)</f>
        <v>0.465</v>
      </c>
      <c r="J1179" s="20">
        <f>IFERROR(__xludf.DUMMYFUNCTION("""COMPUTED_VALUE"""),1178.0)</f>
        <v>1178</v>
      </c>
      <c r="K1179" s="20" t="b">
        <f>IFERROR(__xludf.DUMMYFUNCTION("""COMPUTED_VALUE"""),FALSE)</f>
        <v>0</v>
      </c>
      <c r="L1179" s="20" t="str">
        <f>IFERROR(__xludf.DUMMYFUNCTION("""COMPUTED_VALUE"""),"Array;Hash Table;String;Bit Manipulation;Trie;")</f>
        <v>Array;Hash Table;String;Bit Manipulation;Trie;</v>
      </c>
      <c r="M1179" s="20" t="b">
        <f>IFERROR(__xludf.DUMMYFUNCTION("""COMPUTED_VALUE"""),TRUE)</f>
        <v>1</v>
      </c>
      <c r="N1179" s="20" t="b">
        <f>IFERROR(__xludf.DUMMYFUNCTION("""COMPUTED_VALUE"""),FALSE)</f>
        <v>0</v>
      </c>
      <c r="O1179" s="20">
        <f>IFERROR(__xludf.DUMMYFUNCTION("""COMPUTED_VALUE"""),46.4695761506137)</f>
        <v>46.46957615</v>
      </c>
      <c r="P1179" s="20">
        <f>IFERROR(__xludf.DUMMYFUNCTION("""COMPUTED_VALUE"""),28089.0)</f>
        <v>28089</v>
      </c>
      <c r="Q1179" s="20">
        <f>IFERROR(__xludf.DUMMYFUNCTION("""COMPUTED_VALUE"""),60446.0)</f>
        <v>60446</v>
      </c>
    </row>
    <row r="1180">
      <c r="A1180" s="20">
        <f>IFERROR(__xludf.DUMMYFUNCTION("""COMPUTED_VALUE"""),1301.0)</f>
        <v>1301</v>
      </c>
      <c r="B1180" s="20" t="str">
        <f>IFERROR(__xludf.DUMMYFUNCTION("""COMPUTED_VALUE"""),"Reformat Department Table")</f>
        <v>Reformat Department Table</v>
      </c>
      <c r="C1180" s="20" t="str">
        <f>IFERROR(__xludf.DUMMYFUNCTION("""COMPUTED_VALUE"""),"reformat-department-table")</f>
        <v>reformat-department-table</v>
      </c>
      <c r="D1180" s="20" t="b">
        <f>IFERROR(__xludf.DUMMYFUNCTION("""COMPUTED_VALUE"""),FALSE)</f>
        <v>0</v>
      </c>
      <c r="E1180" s="20" t="str">
        <f>IFERROR(__xludf.DUMMYFUNCTION("""COMPUTED_VALUE"""),"Easy")</f>
        <v>Easy</v>
      </c>
      <c r="F1180" s="20">
        <f>IFERROR(__xludf.DUMMYFUNCTION("""COMPUTED_VALUE"""),556.0)</f>
        <v>556</v>
      </c>
      <c r="G1180" s="20">
        <f>IFERROR(__xludf.DUMMYFUNCTION("""COMPUTED_VALUE"""),440.0)</f>
        <v>440</v>
      </c>
      <c r="H1180" s="20" t="str">
        <f>IFERROR(__xludf.DUMMYFUNCTION("""COMPUTED_VALUE"""),"Database")</f>
        <v>Database</v>
      </c>
      <c r="I1180" s="20">
        <f>IFERROR(__xludf.DUMMYFUNCTION("""COMPUTED_VALUE"""),0.821)</f>
        <v>0.821</v>
      </c>
      <c r="J1180" s="20">
        <f>IFERROR(__xludf.DUMMYFUNCTION("""COMPUTED_VALUE"""),1179.0)</f>
        <v>1179</v>
      </c>
      <c r="K1180" s="20" t="b">
        <f>IFERROR(__xludf.DUMMYFUNCTION("""COMPUTED_VALUE"""),FALSE)</f>
        <v>0</v>
      </c>
      <c r="L1180" s="20" t="str">
        <f>IFERROR(__xludf.DUMMYFUNCTION("""COMPUTED_VALUE"""),"Database;")</f>
        <v>Database;</v>
      </c>
      <c r="M1180" s="20" t="b">
        <f>IFERROR(__xludf.DUMMYFUNCTION("""COMPUTED_VALUE"""),TRUE)</f>
        <v>1</v>
      </c>
      <c r="N1180" s="20" t="b">
        <f>IFERROR(__xludf.DUMMYFUNCTION("""COMPUTED_VALUE"""),FALSE)</f>
        <v>0</v>
      </c>
      <c r="O1180" s="20">
        <f>IFERROR(__xludf.DUMMYFUNCTION("""COMPUTED_VALUE"""),82.070121041127)</f>
        <v>82.07012104</v>
      </c>
      <c r="P1180" s="20">
        <f>IFERROR(__xludf.DUMMYFUNCTION("""COMPUTED_VALUE"""),85229.0)</f>
        <v>85229</v>
      </c>
      <c r="Q1180" s="20">
        <f>IFERROR(__xludf.DUMMYFUNCTION("""COMPUTED_VALUE"""),103849.0)</f>
        <v>103849</v>
      </c>
    </row>
    <row r="1181">
      <c r="A1181" s="20">
        <f>IFERROR(__xludf.DUMMYFUNCTION("""COMPUTED_VALUE"""),1131.0)</f>
        <v>1131</v>
      </c>
      <c r="B1181" s="20" t="str">
        <f>IFERROR(__xludf.DUMMYFUNCTION("""COMPUTED_VALUE"""),"Count Substrings with Only One Distinct Letter")</f>
        <v>Count Substrings with Only One Distinct Letter</v>
      </c>
      <c r="C1181" s="20" t="str">
        <f>IFERROR(__xludf.DUMMYFUNCTION("""COMPUTED_VALUE"""),"count-substrings-with-only-one-distinct-letter")</f>
        <v>count-substrings-with-only-one-distinct-letter</v>
      </c>
      <c r="D1181" s="20" t="b">
        <f>IFERROR(__xludf.DUMMYFUNCTION("""COMPUTED_VALUE"""),TRUE)</f>
        <v>1</v>
      </c>
      <c r="E1181" s="20" t="str">
        <f>IFERROR(__xludf.DUMMYFUNCTION("""COMPUTED_VALUE"""),"Easy")</f>
        <v>Easy</v>
      </c>
      <c r="F1181" s="20">
        <f>IFERROR(__xludf.DUMMYFUNCTION("""COMPUTED_VALUE"""),302.0)</f>
        <v>302</v>
      </c>
      <c r="G1181" s="20">
        <f>IFERROR(__xludf.DUMMYFUNCTION("""COMPUTED_VALUE"""),47.0)</f>
        <v>47</v>
      </c>
      <c r="H1181" s="20" t="str">
        <f>IFERROR(__xludf.DUMMYFUNCTION("""COMPUTED_VALUE"""),"Algorithms")</f>
        <v>Algorithms</v>
      </c>
      <c r="I1181" s="20">
        <f>IFERROR(__xludf.DUMMYFUNCTION("""COMPUTED_VALUE"""),0.791)</f>
        <v>0.791</v>
      </c>
      <c r="J1181" s="20">
        <f>IFERROR(__xludf.DUMMYFUNCTION("""COMPUTED_VALUE"""),1180.0)</f>
        <v>1180</v>
      </c>
      <c r="K1181" s="20" t="b">
        <f>IFERROR(__xludf.DUMMYFUNCTION("""COMPUTED_VALUE"""),TRUE)</f>
        <v>1</v>
      </c>
      <c r="L1181" s="20" t="str">
        <f>IFERROR(__xludf.DUMMYFUNCTION("""COMPUTED_VALUE"""),"Math;String;")</f>
        <v>Math;String;</v>
      </c>
      <c r="M1181" s="20" t="b">
        <f>IFERROR(__xludf.DUMMYFUNCTION("""COMPUTED_VALUE"""),TRUE)</f>
        <v>1</v>
      </c>
      <c r="N1181" s="20" t="b">
        <f>IFERROR(__xludf.DUMMYFUNCTION("""COMPUTED_VALUE"""),FALSE)</f>
        <v>0</v>
      </c>
      <c r="O1181" s="20">
        <f>IFERROR(__xludf.DUMMYFUNCTION("""COMPUTED_VALUE"""),79.0935216924621)</f>
        <v>79.09352169</v>
      </c>
      <c r="P1181" s="20">
        <f>IFERROR(__xludf.DUMMYFUNCTION("""COMPUTED_VALUE"""),22843.0)</f>
        <v>22843</v>
      </c>
      <c r="Q1181" s="20">
        <f>IFERROR(__xludf.DUMMYFUNCTION("""COMPUTED_VALUE"""),28881.0)</f>
        <v>28881</v>
      </c>
    </row>
    <row r="1182">
      <c r="A1182" s="20">
        <f>IFERROR(__xludf.DUMMYFUNCTION("""COMPUTED_VALUE"""),1132.0)</f>
        <v>1132</v>
      </c>
      <c r="B1182" s="20" t="str">
        <f>IFERROR(__xludf.DUMMYFUNCTION("""COMPUTED_VALUE"""),"Before and After Puzzle")</f>
        <v>Before and After Puzzle</v>
      </c>
      <c r="C1182" s="20" t="str">
        <f>IFERROR(__xludf.DUMMYFUNCTION("""COMPUTED_VALUE"""),"before-and-after-puzzle")</f>
        <v>before-and-after-puzzle</v>
      </c>
      <c r="D1182" s="20" t="b">
        <f>IFERROR(__xludf.DUMMYFUNCTION("""COMPUTED_VALUE"""),TRUE)</f>
        <v>1</v>
      </c>
      <c r="E1182" s="20" t="str">
        <f>IFERROR(__xludf.DUMMYFUNCTION("""COMPUTED_VALUE"""),"Medium")</f>
        <v>Medium</v>
      </c>
      <c r="F1182" s="20">
        <f>IFERROR(__xludf.DUMMYFUNCTION("""COMPUTED_VALUE"""),69.0)</f>
        <v>69</v>
      </c>
      <c r="G1182" s="20">
        <f>IFERROR(__xludf.DUMMYFUNCTION("""COMPUTED_VALUE"""),146.0)</f>
        <v>146</v>
      </c>
      <c r="H1182" s="20" t="str">
        <f>IFERROR(__xludf.DUMMYFUNCTION("""COMPUTED_VALUE"""),"Algorithms")</f>
        <v>Algorithms</v>
      </c>
      <c r="I1182" s="20">
        <f>IFERROR(__xludf.DUMMYFUNCTION("""COMPUTED_VALUE"""),0.452)</f>
        <v>0.452</v>
      </c>
      <c r="J1182" s="20">
        <f>IFERROR(__xludf.DUMMYFUNCTION("""COMPUTED_VALUE"""),1181.0)</f>
        <v>1181</v>
      </c>
      <c r="K1182" s="20" t="b">
        <f>IFERROR(__xludf.DUMMYFUNCTION("""COMPUTED_VALUE"""),TRUE)</f>
        <v>1</v>
      </c>
      <c r="L1182" s="20" t="str">
        <f>IFERROR(__xludf.DUMMYFUNCTION("""COMPUTED_VALUE"""),"Array;Hash Table;String;Sorting;")</f>
        <v>Array;Hash Table;String;Sorting;</v>
      </c>
      <c r="M1182" s="20" t="b">
        <f>IFERROR(__xludf.DUMMYFUNCTION("""COMPUTED_VALUE"""),FALSE)</f>
        <v>0</v>
      </c>
      <c r="N1182" s="20" t="b">
        <f>IFERROR(__xludf.DUMMYFUNCTION("""COMPUTED_VALUE"""),FALSE)</f>
        <v>0</v>
      </c>
      <c r="O1182" s="20">
        <f>IFERROR(__xludf.DUMMYFUNCTION("""COMPUTED_VALUE"""),45.1915019470596)</f>
        <v>45.19150195</v>
      </c>
      <c r="P1182" s="20">
        <f>IFERROR(__xludf.DUMMYFUNCTION("""COMPUTED_VALUE"""),9168.0)</f>
        <v>9168</v>
      </c>
      <c r="Q1182" s="20">
        <f>IFERROR(__xludf.DUMMYFUNCTION("""COMPUTED_VALUE"""),20287.0)</f>
        <v>20287</v>
      </c>
    </row>
    <row r="1183">
      <c r="A1183" s="20">
        <f>IFERROR(__xludf.DUMMYFUNCTION("""COMPUTED_VALUE"""),1134.0)</f>
        <v>1134</v>
      </c>
      <c r="B1183" s="20" t="str">
        <f>IFERROR(__xludf.DUMMYFUNCTION("""COMPUTED_VALUE"""),"Shortest Distance to Target Color")</f>
        <v>Shortest Distance to Target Color</v>
      </c>
      <c r="C1183" s="20" t="str">
        <f>IFERROR(__xludf.DUMMYFUNCTION("""COMPUTED_VALUE"""),"shortest-distance-to-target-color")</f>
        <v>shortest-distance-to-target-color</v>
      </c>
      <c r="D1183" s="20" t="b">
        <f>IFERROR(__xludf.DUMMYFUNCTION("""COMPUTED_VALUE"""),TRUE)</f>
        <v>1</v>
      </c>
      <c r="E1183" s="20" t="str">
        <f>IFERROR(__xludf.DUMMYFUNCTION("""COMPUTED_VALUE"""),"Medium")</f>
        <v>Medium</v>
      </c>
      <c r="F1183" s="20">
        <f>IFERROR(__xludf.DUMMYFUNCTION("""COMPUTED_VALUE"""),474.0)</f>
        <v>474</v>
      </c>
      <c r="G1183" s="20">
        <f>IFERROR(__xludf.DUMMYFUNCTION("""COMPUTED_VALUE"""),20.0)</f>
        <v>20</v>
      </c>
      <c r="H1183" s="20" t="str">
        <f>IFERROR(__xludf.DUMMYFUNCTION("""COMPUTED_VALUE"""),"Algorithms")</f>
        <v>Algorithms</v>
      </c>
      <c r="I1183" s="20">
        <f>IFERROR(__xludf.DUMMYFUNCTION("""COMPUTED_VALUE"""),0.554)</f>
        <v>0.554</v>
      </c>
      <c r="J1183" s="20">
        <f>IFERROR(__xludf.DUMMYFUNCTION("""COMPUTED_VALUE"""),1182.0)</f>
        <v>1182</v>
      </c>
      <c r="K1183" s="20" t="b">
        <f>IFERROR(__xludf.DUMMYFUNCTION("""COMPUTED_VALUE"""),TRUE)</f>
        <v>1</v>
      </c>
      <c r="L1183" s="20" t="str">
        <f>IFERROR(__xludf.DUMMYFUNCTION("""COMPUTED_VALUE"""),"Array;Binary Search;Dynamic Programming;")</f>
        <v>Array;Binary Search;Dynamic Programming;</v>
      </c>
      <c r="M1183" s="20" t="b">
        <f>IFERROR(__xludf.DUMMYFUNCTION("""COMPUTED_VALUE"""),TRUE)</f>
        <v>1</v>
      </c>
      <c r="N1183" s="20" t="b">
        <f>IFERROR(__xludf.DUMMYFUNCTION("""COMPUTED_VALUE"""),FALSE)</f>
        <v>0</v>
      </c>
      <c r="O1183" s="20">
        <f>IFERROR(__xludf.DUMMYFUNCTION("""COMPUTED_VALUE"""),55.4175974509498)</f>
        <v>55.41759745</v>
      </c>
      <c r="P1183" s="20">
        <f>IFERROR(__xludf.DUMMYFUNCTION("""COMPUTED_VALUE"""),32002.0)</f>
        <v>32002</v>
      </c>
      <c r="Q1183" s="20">
        <f>IFERROR(__xludf.DUMMYFUNCTION("""COMPUTED_VALUE"""),57747.0)</f>
        <v>57747</v>
      </c>
    </row>
    <row r="1184">
      <c r="A1184" s="20">
        <f>IFERROR(__xludf.DUMMYFUNCTION("""COMPUTED_VALUE"""),1152.0)</f>
        <v>1152</v>
      </c>
      <c r="B1184" s="20" t="str">
        <f>IFERROR(__xludf.DUMMYFUNCTION("""COMPUTED_VALUE"""),"Maximum Number of Ones")</f>
        <v>Maximum Number of Ones</v>
      </c>
      <c r="C1184" s="20" t="str">
        <f>IFERROR(__xludf.DUMMYFUNCTION("""COMPUTED_VALUE"""),"maximum-number-of-ones")</f>
        <v>maximum-number-of-ones</v>
      </c>
      <c r="D1184" s="20" t="b">
        <f>IFERROR(__xludf.DUMMYFUNCTION("""COMPUTED_VALUE"""),TRUE)</f>
        <v>1</v>
      </c>
      <c r="E1184" s="20" t="str">
        <f>IFERROR(__xludf.DUMMYFUNCTION("""COMPUTED_VALUE"""),"Hard")</f>
        <v>Hard</v>
      </c>
      <c r="F1184" s="20">
        <f>IFERROR(__xludf.DUMMYFUNCTION("""COMPUTED_VALUE"""),106.0)</f>
        <v>106</v>
      </c>
      <c r="G1184" s="20">
        <f>IFERROR(__xludf.DUMMYFUNCTION("""COMPUTED_VALUE"""),10.0)</f>
        <v>10</v>
      </c>
      <c r="H1184" s="20" t="str">
        <f>IFERROR(__xludf.DUMMYFUNCTION("""COMPUTED_VALUE"""),"Algorithms")</f>
        <v>Algorithms</v>
      </c>
      <c r="I1184" s="20">
        <f>IFERROR(__xludf.DUMMYFUNCTION("""COMPUTED_VALUE"""),0.611)</f>
        <v>0.611</v>
      </c>
      <c r="J1184" s="20">
        <f>IFERROR(__xludf.DUMMYFUNCTION("""COMPUTED_VALUE"""),1183.0)</f>
        <v>1183</v>
      </c>
      <c r="K1184" s="20" t="b">
        <f>IFERROR(__xludf.DUMMYFUNCTION("""COMPUTED_VALUE"""),TRUE)</f>
        <v>1</v>
      </c>
      <c r="L1184" s="20" t="str">
        <f>IFERROR(__xludf.DUMMYFUNCTION("""COMPUTED_VALUE"""),"Greedy;Heap (Priority Queue);")</f>
        <v>Greedy;Heap (Priority Queue);</v>
      </c>
      <c r="M1184" s="20" t="b">
        <f>IFERROR(__xludf.DUMMYFUNCTION("""COMPUTED_VALUE"""),FALSE)</f>
        <v>0</v>
      </c>
      <c r="N1184" s="20" t="b">
        <f>IFERROR(__xludf.DUMMYFUNCTION("""COMPUTED_VALUE"""),FALSE)</f>
        <v>0</v>
      </c>
      <c r="O1184" s="20">
        <f>IFERROR(__xludf.DUMMYFUNCTION("""COMPUTED_VALUE"""),61.0515569167942)</f>
        <v>61.05155692</v>
      </c>
      <c r="P1184" s="20">
        <f>IFERROR(__xludf.DUMMYFUNCTION("""COMPUTED_VALUE"""),2392.0)</f>
        <v>2392</v>
      </c>
      <c r="Q1184" s="20">
        <f>IFERROR(__xludf.DUMMYFUNCTION("""COMPUTED_VALUE"""),3918.0)</f>
        <v>3918</v>
      </c>
    </row>
    <row r="1185">
      <c r="A1185" s="20">
        <f>IFERROR(__xludf.DUMMYFUNCTION("""COMPUTED_VALUE"""),1287.0)</f>
        <v>1287</v>
      </c>
      <c r="B1185" s="20" t="str">
        <f>IFERROR(__xludf.DUMMYFUNCTION("""COMPUTED_VALUE"""),"Distance Between Bus Stops")</f>
        <v>Distance Between Bus Stops</v>
      </c>
      <c r="C1185" s="20" t="str">
        <f>IFERROR(__xludf.DUMMYFUNCTION("""COMPUTED_VALUE"""),"distance-between-bus-stops")</f>
        <v>distance-between-bus-stops</v>
      </c>
      <c r="D1185" s="20" t="b">
        <f>IFERROR(__xludf.DUMMYFUNCTION("""COMPUTED_VALUE"""),FALSE)</f>
        <v>0</v>
      </c>
      <c r="E1185" s="20" t="str">
        <f>IFERROR(__xludf.DUMMYFUNCTION("""COMPUTED_VALUE"""),"Easy")</f>
        <v>Easy</v>
      </c>
      <c r="F1185" s="20">
        <f>IFERROR(__xludf.DUMMYFUNCTION("""COMPUTED_VALUE"""),618.0)</f>
        <v>618</v>
      </c>
      <c r="G1185" s="20">
        <f>IFERROR(__xludf.DUMMYFUNCTION("""COMPUTED_VALUE"""),64.0)</f>
        <v>64</v>
      </c>
      <c r="H1185" s="20" t="str">
        <f>IFERROR(__xludf.DUMMYFUNCTION("""COMPUTED_VALUE"""),"Algorithms")</f>
        <v>Algorithms</v>
      </c>
      <c r="I1185" s="20">
        <f>IFERROR(__xludf.DUMMYFUNCTION("""COMPUTED_VALUE"""),0.541)</f>
        <v>0.541</v>
      </c>
      <c r="J1185" s="20">
        <f>IFERROR(__xludf.DUMMYFUNCTION("""COMPUTED_VALUE"""),1184.0)</f>
        <v>1184</v>
      </c>
      <c r="K1185" s="20" t="b">
        <f>IFERROR(__xludf.DUMMYFUNCTION("""COMPUTED_VALUE"""),FALSE)</f>
        <v>0</v>
      </c>
      <c r="L1185" s="20" t="str">
        <f>IFERROR(__xludf.DUMMYFUNCTION("""COMPUTED_VALUE"""),"Array;")</f>
        <v>Array;</v>
      </c>
      <c r="M1185" s="20" t="b">
        <f>IFERROR(__xludf.DUMMYFUNCTION("""COMPUTED_VALUE"""),FALSE)</f>
        <v>0</v>
      </c>
      <c r="N1185" s="20" t="b">
        <f>IFERROR(__xludf.DUMMYFUNCTION("""COMPUTED_VALUE"""),FALSE)</f>
        <v>0</v>
      </c>
      <c r="O1185" s="20">
        <f>IFERROR(__xludf.DUMMYFUNCTION("""COMPUTED_VALUE"""),54.1180877995618)</f>
        <v>54.1180878</v>
      </c>
      <c r="P1185" s="20">
        <f>IFERROR(__xludf.DUMMYFUNCTION("""COMPUTED_VALUE"""),47670.0)</f>
        <v>47670</v>
      </c>
      <c r="Q1185" s="20">
        <f>IFERROR(__xludf.DUMMYFUNCTION("""COMPUTED_VALUE"""),88086.0)</f>
        <v>88086</v>
      </c>
    </row>
    <row r="1186">
      <c r="A1186" s="20">
        <f>IFERROR(__xludf.DUMMYFUNCTION("""COMPUTED_VALUE"""),1289.0)</f>
        <v>1289</v>
      </c>
      <c r="B1186" s="20" t="str">
        <f>IFERROR(__xludf.DUMMYFUNCTION("""COMPUTED_VALUE"""),"Day of the Week")</f>
        <v>Day of the Week</v>
      </c>
      <c r="C1186" s="20" t="str">
        <f>IFERROR(__xludf.DUMMYFUNCTION("""COMPUTED_VALUE"""),"day-of-the-week")</f>
        <v>day-of-the-week</v>
      </c>
      <c r="D1186" s="20" t="b">
        <f>IFERROR(__xludf.DUMMYFUNCTION("""COMPUTED_VALUE"""),FALSE)</f>
        <v>0</v>
      </c>
      <c r="E1186" s="20" t="str">
        <f>IFERROR(__xludf.DUMMYFUNCTION("""COMPUTED_VALUE"""),"Easy")</f>
        <v>Easy</v>
      </c>
      <c r="F1186" s="20">
        <f>IFERROR(__xludf.DUMMYFUNCTION("""COMPUTED_VALUE"""),294.0)</f>
        <v>294</v>
      </c>
      <c r="G1186" s="20">
        <f>IFERROR(__xludf.DUMMYFUNCTION("""COMPUTED_VALUE"""),2131.0)</f>
        <v>2131</v>
      </c>
      <c r="H1186" s="20" t="str">
        <f>IFERROR(__xludf.DUMMYFUNCTION("""COMPUTED_VALUE"""),"Algorithms")</f>
        <v>Algorithms</v>
      </c>
      <c r="I1186" s="20">
        <f>IFERROR(__xludf.DUMMYFUNCTION("""COMPUTED_VALUE"""),0.577)</f>
        <v>0.577</v>
      </c>
      <c r="J1186" s="20">
        <f>IFERROR(__xludf.DUMMYFUNCTION("""COMPUTED_VALUE"""),1185.0)</f>
        <v>1185</v>
      </c>
      <c r="K1186" s="20" t="b">
        <f>IFERROR(__xludf.DUMMYFUNCTION("""COMPUTED_VALUE"""),FALSE)</f>
        <v>0</v>
      </c>
      <c r="L1186" s="20" t="str">
        <f>IFERROR(__xludf.DUMMYFUNCTION("""COMPUTED_VALUE"""),"Math;")</f>
        <v>Math;</v>
      </c>
      <c r="M1186" s="20" t="b">
        <f>IFERROR(__xludf.DUMMYFUNCTION("""COMPUTED_VALUE"""),FALSE)</f>
        <v>0</v>
      </c>
      <c r="N1186" s="20" t="b">
        <f>IFERROR(__xludf.DUMMYFUNCTION("""COMPUTED_VALUE"""),FALSE)</f>
        <v>0</v>
      </c>
      <c r="O1186" s="20">
        <f>IFERROR(__xludf.DUMMYFUNCTION("""COMPUTED_VALUE"""),57.667816091954)</f>
        <v>57.66781609</v>
      </c>
      <c r="P1186" s="20">
        <f>IFERROR(__xludf.DUMMYFUNCTION("""COMPUTED_VALUE"""),50170.0)</f>
        <v>50170</v>
      </c>
      <c r="Q1186" s="20">
        <f>IFERROR(__xludf.DUMMYFUNCTION("""COMPUTED_VALUE"""),86999.0)</f>
        <v>86999</v>
      </c>
    </row>
    <row r="1187">
      <c r="A1187" s="20">
        <f>IFERROR(__xludf.DUMMYFUNCTION("""COMPUTED_VALUE"""),1288.0)</f>
        <v>1288</v>
      </c>
      <c r="B1187" s="20" t="str">
        <f>IFERROR(__xludf.DUMMYFUNCTION("""COMPUTED_VALUE"""),"Maximum Subarray Sum with One Deletion")</f>
        <v>Maximum Subarray Sum with One Deletion</v>
      </c>
      <c r="C1187" s="20" t="str">
        <f>IFERROR(__xludf.DUMMYFUNCTION("""COMPUTED_VALUE"""),"maximum-subarray-sum-with-one-deletion")</f>
        <v>maximum-subarray-sum-with-one-deletion</v>
      </c>
      <c r="D1187" s="20" t="b">
        <f>IFERROR(__xludf.DUMMYFUNCTION("""COMPUTED_VALUE"""),FALSE)</f>
        <v>0</v>
      </c>
      <c r="E1187" s="20" t="str">
        <f>IFERROR(__xludf.DUMMYFUNCTION("""COMPUTED_VALUE"""),"Medium")</f>
        <v>Medium</v>
      </c>
      <c r="F1187" s="20">
        <f>IFERROR(__xludf.DUMMYFUNCTION("""COMPUTED_VALUE"""),1473.0)</f>
        <v>1473</v>
      </c>
      <c r="G1187" s="20">
        <f>IFERROR(__xludf.DUMMYFUNCTION("""COMPUTED_VALUE"""),52.0)</f>
        <v>52</v>
      </c>
      <c r="H1187" s="20" t="str">
        <f>IFERROR(__xludf.DUMMYFUNCTION("""COMPUTED_VALUE"""),"Algorithms")</f>
        <v>Algorithms</v>
      </c>
      <c r="I1187" s="20">
        <f>IFERROR(__xludf.DUMMYFUNCTION("""COMPUTED_VALUE"""),0.413)</f>
        <v>0.413</v>
      </c>
      <c r="J1187" s="20">
        <f>IFERROR(__xludf.DUMMYFUNCTION("""COMPUTED_VALUE"""),1186.0)</f>
        <v>1186</v>
      </c>
      <c r="K1187" s="20" t="b">
        <f>IFERROR(__xludf.DUMMYFUNCTION("""COMPUTED_VALUE"""),FALSE)</f>
        <v>0</v>
      </c>
      <c r="L1187" s="20" t="str">
        <f>IFERROR(__xludf.DUMMYFUNCTION("""COMPUTED_VALUE"""),"Array;Dynamic Programming;")</f>
        <v>Array;Dynamic Programming;</v>
      </c>
      <c r="M1187" s="20" t="b">
        <f>IFERROR(__xludf.DUMMYFUNCTION("""COMPUTED_VALUE"""),FALSE)</f>
        <v>0</v>
      </c>
      <c r="N1187" s="20" t="b">
        <f>IFERROR(__xludf.DUMMYFUNCTION("""COMPUTED_VALUE"""),FALSE)</f>
        <v>0</v>
      </c>
      <c r="O1187" s="20">
        <f>IFERROR(__xludf.DUMMYFUNCTION("""COMPUTED_VALUE"""),41.3226985709538)</f>
        <v>41.32269857</v>
      </c>
      <c r="P1187" s="20">
        <f>IFERROR(__xludf.DUMMYFUNCTION("""COMPUTED_VALUE"""),37302.0)</f>
        <v>37302</v>
      </c>
      <c r="Q1187" s="20">
        <f>IFERROR(__xludf.DUMMYFUNCTION("""COMPUTED_VALUE"""),90270.0)</f>
        <v>90270</v>
      </c>
    </row>
    <row r="1188">
      <c r="A1188" s="20">
        <f>IFERROR(__xludf.DUMMYFUNCTION("""COMPUTED_VALUE"""),1290.0)</f>
        <v>1290</v>
      </c>
      <c r="B1188" s="20" t="str">
        <f>IFERROR(__xludf.DUMMYFUNCTION("""COMPUTED_VALUE"""),"Make Array Strictly Increasing")</f>
        <v>Make Array Strictly Increasing</v>
      </c>
      <c r="C1188" s="20" t="str">
        <f>IFERROR(__xludf.DUMMYFUNCTION("""COMPUTED_VALUE"""),"make-array-strictly-increasing")</f>
        <v>make-array-strictly-increasing</v>
      </c>
      <c r="D1188" s="20" t="b">
        <f>IFERROR(__xludf.DUMMYFUNCTION("""COMPUTED_VALUE"""),FALSE)</f>
        <v>0</v>
      </c>
      <c r="E1188" s="20" t="str">
        <f>IFERROR(__xludf.DUMMYFUNCTION("""COMPUTED_VALUE"""),"Hard")</f>
        <v>Hard</v>
      </c>
      <c r="F1188" s="20">
        <f>IFERROR(__xludf.DUMMYFUNCTION("""COMPUTED_VALUE"""),753.0)</f>
        <v>753</v>
      </c>
      <c r="G1188" s="20">
        <f>IFERROR(__xludf.DUMMYFUNCTION("""COMPUTED_VALUE"""),18.0)</f>
        <v>18</v>
      </c>
      <c r="H1188" s="20" t="str">
        <f>IFERROR(__xludf.DUMMYFUNCTION("""COMPUTED_VALUE"""),"Algorithms")</f>
        <v>Algorithms</v>
      </c>
      <c r="I1188" s="20">
        <f>IFERROR(__xludf.DUMMYFUNCTION("""COMPUTED_VALUE"""),0.452)</f>
        <v>0.452</v>
      </c>
      <c r="J1188" s="20">
        <f>IFERROR(__xludf.DUMMYFUNCTION("""COMPUTED_VALUE"""),1187.0)</f>
        <v>1187</v>
      </c>
      <c r="K1188" s="20" t="b">
        <f>IFERROR(__xludf.DUMMYFUNCTION("""COMPUTED_VALUE"""),FALSE)</f>
        <v>0</v>
      </c>
      <c r="L1188" s="20" t="str">
        <f>IFERROR(__xludf.DUMMYFUNCTION("""COMPUTED_VALUE"""),"Array;Binary Search;Dynamic Programming;")</f>
        <v>Array;Binary Search;Dynamic Programming;</v>
      </c>
      <c r="M1188" s="20" t="b">
        <f>IFERROR(__xludf.DUMMYFUNCTION("""COMPUTED_VALUE"""),FALSE)</f>
        <v>0</v>
      </c>
      <c r="N1188" s="20" t="b">
        <f>IFERROR(__xludf.DUMMYFUNCTION("""COMPUTED_VALUE"""),FALSE)</f>
        <v>0</v>
      </c>
      <c r="O1188" s="20">
        <f>IFERROR(__xludf.DUMMYFUNCTION("""COMPUTED_VALUE"""),45.1921761728901)</f>
        <v>45.19217617</v>
      </c>
      <c r="P1188" s="20">
        <f>IFERROR(__xludf.DUMMYFUNCTION("""COMPUTED_VALUE"""),13216.0)</f>
        <v>13216</v>
      </c>
      <c r="Q1188" s="20">
        <f>IFERROR(__xludf.DUMMYFUNCTION("""COMPUTED_VALUE"""),29244.0)</f>
        <v>29244</v>
      </c>
    </row>
    <row r="1189">
      <c r="A1189" s="20">
        <f>IFERROR(__xludf.DUMMYFUNCTION("""COMPUTED_VALUE"""),1209.0)</f>
        <v>1209</v>
      </c>
      <c r="B1189" s="20" t="str">
        <f>IFERROR(__xludf.DUMMYFUNCTION("""COMPUTED_VALUE"""),"Design Bounded Blocking Queue")</f>
        <v>Design Bounded Blocking Queue</v>
      </c>
      <c r="C1189" s="20" t="str">
        <f>IFERROR(__xludf.DUMMYFUNCTION("""COMPUTED_VALUE"""),"design-bounded-blocking-queue")</f>
        <v>design-bounded-blocking-queue</v>
      </c>
      <c r="D1189" s="20" t="b">
        <f>IFERROR(__xludf.DUMMYFUNCTION("""COMPUTED_VALUE"""),TRUE)</f>
        <v>1</v>
      </c>
      <c r="E1189" s="20" t="str">
        <f>IFERROR(__xludf.DUMMYFUNCTION("""COMPUTED_VALUE"""),"Medium")</f>
        <v>Medium</v>
      </c>
      <c r="F1189" s="20">
        <f>IFERROR(__xludf.DUMMYFUNCTION("""COMPUTED_VALUE"""),469.0)</f>
        <v>469</v>
      </c>
      <c r="G1189" s="20">
        <f>IFERROR(__xludf.DUMMYFUNCTION("""COMPUTED_VALUE"""),39.0)</f>
        <v>39</v>
      </c>
      <c r="H1189" s="20" t="str">
        <f>IFERROR(__xludf.DUMMYFUNCTION("""COMPUTED_VALUE"""),"Concurrency")</f>
        <v>Concurrency</v>
      </c>
      <c r="I1189" s="20">
        <f>IFERROR(__xludf.DUMMYFUNCTION("""COMPUTED_VALUE"""),0.729)</f>
        <v>0.729</v>
      </c>
      <c r="J1189" s="20">
        <f>IFERROR(__xludf.DUMMYFUNCTION("""COMPUTED_VALUE"""),1188.0)</f>
        <v>1188</v>
      </c>
      <c r="K1189" s="20" t="b">
        <f>IFERROR(__xludf.DUMMYFUNCTION("""COMPUTED_VALUE"""),TRUE)</f>
        <v>1</v>
      </c>
      <c r="L1189" s="20" t="str">
        <f>IFERROR(__xludf.DUMMYFUNCTION("""COMPUTED_VALUE"""),"Concurrency;")</f>
        <v>Concurrency;</v>
      </c>
      <c r="M1189" s="20" t="b">
        <f>IFERROR(__xludf.DUMMYFUNCTION("""COMPUTED_VALUE"""),FALSE)</f>
        <v>0</v>
      </c>
      <c r="N1189" s="20" t="b">
        <f>IFERROR(__xludf.DUMMYFUNCTION("""COMPUTED_VALUE"""),FALSE)</f>
        <v>0</v>
      </c>
      <c r="O1189" s="20">
        <f>IFERROR(__xludf.DUMMYFUNCTION("""COMPUTED_VALUE"""),72.9008236885087)</f>
        <v>72.90082369</v>
      </c>
      <c r="P1189" s="20">
        <f>IFERROR(__xludf.DUMMYFUNCTION("""COMPUTED_VALUE"""),41509.0)</f>
        <v>41509</v>
      </c>
      <c r="Q1189" s="20">
        <f>IFERROR(__xludf.DUMMYFUNCTION("""COMPUTED_VALUE"""),56939.0)</f>
        <v>56939</v>
      </c>
    </row>
    <row r="1190">
      <c r="A1190" s="20">
        <f>IFERROR(__xludf.DUMMYFUNCTION("""COMPUTED_VALUE"""),1297.0)</f>
        <v>1297</v>
      </c>
      <c r="B1190" s="20" t="str">
        <f>IFERROR(__xludf.DUMMYFUNCTION("""COMPUTED_VALUE"""),"Maximum Number of Balloons")</f>
        <v>Maximum Number of Balloons</v>
      </c>
      <c r="C1190" s="20" t="str">
        <f>IFERROR(__xludf.DUMMYFUNCTION("""COMPUTED_VALUE"""),"maximum-number-of-balloons")</f>
        <v>maximum-number-of-balloons</v>
      </c>
      <c r="D1190" s="20" t="b">
        <f>IFERROR(__xludf.DUMMYFUNCTION("""COMPUTED_VALUE"""),FALSE)</f>
        <v>0</v>
      </c>
      <c r="E1190" s="20" t="str">
        <f>IFERROR(__xludf.DUMMYFUNCTION("""COMPUTED_VALUE"""),"Easy")</f>
        <v>Easy</v>
      </c>
      <c r="F1190" s="20">
        <f>IFERROR(__xludf.DUMMYFUNCTION("""COMPUTED_VALUE"""),1264.0)</f>
        <v>1264</v>
      </c>
      <c r="G1190" s="20">
        <f>IFERROR(__xludf.DUMMYFUNCTION("""COMPUTED_VALUE"""),77.0)</f>
        <v>77</v>
      </c>
      <c r="H1190" s="20" t="str">
        <f>IFERROR(__xludf.DUMMYFUNCTION("""COMPUTED_VALUE"""),"Algorithms")</f>
        <v>Algorithms</v>
      </c>
      <c r="I1190" s="20">
        <f>IFERROR(__xludf.DUMMYFUNCTION("""COMPUTED_VALUE"""),0.616)</f>
        <v>0.616</v>
      </c>
      <c r="J1190" s="20">
        <f>IFERROR(__xludf.DUMMYFUNCTION("""COMPUTED_VALUE"""),1189.0)</f>
        <v>1189</v>
      </c>
      <c r="K1190" s="20" t="b">
        <f>IFERROR(__xludf.DUMMYFUNCTION("""COMPUTED_VALUE"""),FALSE)</f>
        <v>0</v>
      </c>
      <c r="L1190" s="20" t="str">
        <f>IFERROR(__xludf.DUMMYFUNCTION("""COMPUTED_VALUE"""),"Hash Table;String;Counting;")</f>
        <v>Hash Table;String;Counting;</v>
      </c>
      <c r="M1190" s="20" t="b">
        <f>IFERROR(__xludf.DUMMYFUNCTION("""COMPUTED_VALUE"""),TRUE)</f>
        <v>1</v>
      </c>
      <c r="N1190" s="20" t="b">
        <f>IFERROR(__xludf.DUMMYFUNCTION("""COMPUTED_VALUE"""),FALSE)</f>
        <v>0</v>
      </c>
      <c r="O1190" s="20">
        <f>IFERROR(__xludf.DUMMYFUNCTION("""COMPUTED_VALUE"""),61.5954801622554)</f>
        <v>61.59548016</v>
      </c>
      <c r="P1190" s="20">
        <f>IFERROR(__xludf.DUMMYFUNCTION("""COMPUTED_VALUE"""),131044.0)</f>
        <v>131044</v>
      </c>
      <c r="Q1190" s="20">
        <f>IFERROR(__xludf.DUMMYFUNCTION("""COMPUTED_VALUE"""),212749.0)</f>
        <v>212749</v>
      </c>
    </row>
    <row r="1191">
      <c r="A1191" s="20">
        <f>IFERROR(__xludf.DUMMYFUNCTION("""COMPUTED_VALUE"""),1298.0)</f>
        <v>1298</v>
      </c>
      <c r="B1191" s="20" t="str">
        <f>IFERROR(__xludf.DUMMYFUNCTION("""COMPUTED_VALUE"""),"Reverse Substrings Between Each Pair of Parentheses")</f>
        <v>Reverse Substrings Between Each Pair of Parentheses</v>
      </c>
      <c r="C1191" s="20" t="str">
        <f>IFERROR(__xludf.DUMMYFUNCTION("""COMPUTED_VALUE"""),"reverse-substrings-between-each-pair-of-parentheses")</f>
        <v>reverse-substrings-between-each-pair-of-parentheses</v>
      </c>
      <c r="D1191" s="20" t="b">
        <f>IFERROR(__xludf.DUMMYFUNCTION("""COMPUTED_VALUE"""),FALSE)</f>
        <v>0</v>
      </c>
      <c r="E1191" s="20" t="str">
        <f>IFERROR(__xludf.DUMMYFUNCTION("""COMPUTED_VALUE"""),"Medium")</f>
        <v>Medium</v>
      </c>
      <c r="F1191" s="20">
        <f>IFERROR(__xludf.DUMMYFUNCTION("""COMPUTED_VALUE"""),1555.0)</f>
        <v>1555</v>
      </c>
      <c r="G1191" s="20">
        <f>IFERROR(__xludf.DUMMYFUNCTION("""COMPUTED_VALUE"""),41.0)</f>
        <v>41</v>
      </c>
      <c r="H1191" s="20" t="str">
        <f>IFERROR(__xludf.DUMMYFUNCTION("""COMPUTED_VALUE"""),"Algorithms")</f>
        <v>Algorithms</v>
      </c>
      <c r="I1191" s="20">
        <f>IFERROR(__xludf.DUMMYFUNCTION("""COMPUTED_VALUE"""),0.659)</f>
        <v>0.659</v>
      </c>
      <c r="J1191" s="20">
        <f>IFERROR(__xludf.DUMMYFUNCTION("""COMPUTED_VALUE"""),1190.0)</f>
        <v>1190</v>
      </c>
      <c r="K1191" s="20" t="b">
        <f>IFERROR(__xludf.DUMMYFUNCTION("""COMPUTED_VALUE"""),FALSE)</f>
        <v>0</v>
      </c>
      <c r="L1191" s="20" t="str">
        <f>IFERROR(__xludf.DUMMYFUNCTION("""COMPUTED_VALUE"""),"String;Stack;")</f>
        <v>String;Stack;</v>
      </c>
      <c r="M1191" s="20" t="b">
        <f>IFERROR(__xludf.DUMMYFUNCTION("""COMPUTED_VALUE"""),FALSE)</f>
        <v>0</v>
      </c>
      <c r="N1191" s="20" t="b">
        <f>IFERROR(__xludf.DUMMYFUNCTION("""COMPUTED_VALUE"""),FALSE)</f>
        <v>0</v>
      </c>
      <c r="O1191" s="20">
        <f>IFERROR(__xludf.DUMMYFUNCTION("""COMPUTED_VALUE"""),65.9127366057106)</f>
        <v>65.91273661</v>
      </c>
      <c r="P1191" s="20">
        <f>IFERROR(__xludf.DUMMYFUNCTION("""COMPUTED_VALUE"""),57526.0)</f>
        <v>57526</v>
      </c>
      <c r="Q1191" s="20">
        <f>IFERROR(__xludf.DUMMYFUNCTION("""COMPUTED_VALUE"""),87273.0)</f>
        <v>87273</v>
      </c>
    </row>
    <row r="1192">
      <c r="A1192" s="20">
        <f>IFERROR(__xludf.DUMMYFUNCTION("""COMPUTED_VALUE"""),1299.0)</f>
        <v>1299</v>
      </c>
      <c r="B1192" s="20" t="str">
        <f>IFERROR(__xludf.DUMMYFUNCTION("""COMPUTED_VALUE"""),"K-Concatenation Maximum Sum")</f>
        <v>K-Concatenation Maximum Sum</v>
      </c>
      <c r="C1192" s="20" t="str">
        <f>IFERROR(__xludf.DUMMYFUNCTION("""COMPUTED_VALUE"""),"k-concatenation-maximum-sum")</f>
        <v>k-concatenation-maximum-sum</v>
      </c>
      <c r="D1192" s="20" t="b">
        <f>IFERROR(__xludf.DUMMYFUNCTION("""COMPUTED_VALUE"""),FALSE)</f>
        <v>0</v>
      </c>
      <c r="E1192" s="20" t="str">
        <f>IFERROR(__xludf.DUMMYFUNCTION("""COMPUTED_VALUE"""),"Medium")</f>
        <v>Medium</v>
      </c>
      <c r="F1192" s="20">
        <f>IFERROR(__xludf.DUMMYFUNCTION("""COMPUTED_VALUE"""),1161.0)</f>
        <v>1161</v>
      </c>
      <c r="G1192" s="20">
        <f>IFERROR(__xludf.DUMMYFUNCTION("""COMPUTED_VALUE"""),94.0)</f>
        <v>94</v>
      </c>
      <c r="H1192" s="20" t="str">
        <f>IFERROR(__xludf.DUMMYFUNCTION("""COMPUTED_VALUE"""),"Algorithms")</f>
        <v>Algorithms</v>
      </c>
      <c r="I1192" s="20">
        <f>IFERROR(__xludf.DUMMYFUNCTION("""COMPUTED_VALUE"""),0.239)</f>
        <v>0.239</v>
      </c>
      <c r="J1192" s="20">
        <f>IFERROR(__xludf.DUMMYFUNCTION("""COMPUTED_VALUE"""),1191.0)</f>
        <v>1191</v>
      </c>
      <c r="K1192" s="20" t="b">
        <f>IFERROR(__xludf.DUMMYFUNCTION("""COMPUTED_VALUE"""),FALSE)</f>
        <v>0</v>
      </c>
      <c r="L1192" s="20" t="str">
        <f>IFERROR(__xludf.DUMMYFUNCTION("""COMPUTED_VALUE"""),"Array;Dynamic Programming;")</f>
        <v>Array;Dynamic Programming;</v>
      </c>
      <c r="M1192" s="20" t="b">
        <f>IFERROR(__xludf.DUMMYFUNCTION("""COMPUTED_VALUE"""),FALSE)</f>
        <v>0</v>
      </c>
      <c r="N1192" s="20" t="b">
        <f>IFERROR(__xludf.DUMMYFUNCTION("""COMPUTED_VALUE"""),FALSE)</f>
        <v>0</v>
      </c>
      <c r="O1192" s="20">
        <f>IFERROR(__xludf.DUMMYFUNCTION("""COMPUTED_VALUE"""),23.9230209752794)</f>
        <v>23.92302098</v>
      </c>
      <c r="P1192" s="20">
        <f>IFERROR(__xludf.DUMMYFUNCTION("""COMPUTED_VALUE"""),28616.0)</f>
        <v>28616</v>
      </c>
      <c r="Q1192" s="20">
        <f>IFERROR(__xludf.DUMMYFUNCTION("""COMPUTED_VALUE"""),119617.0)</f>
        <v>119617</v>
      </c>
    </row>
    <row r="1193">
      <c r="A1193" s="20">
        <f>IFERROR(__xludf.DUMMYFUNCTION("""COMPUTED_VALUE"""),1300.0)</f>
        <v>1300</v>
      </c>
      <c r="B1193" s="20" t="str">
        <f>IFERROR(__xludf.DUMMYFUNCTION("""COMPUTED_VALUE"""),"Critical Connections in a Network")</f>
        <v>Critical Connections in a Network</v>
      </c>
      <c r="C1193" s="20" t="str">
        <f>IFERROR(__xludf.DUMMYFUNCTION("""COMPUTED_VALUE"""),"critical-connections-in-a-network")</f>
        <v>critical-connections-in-a-network</v>
      </c>
      <c r="D1193" s="20" t="b">
        <f>IFERROR(__xludf.DUMMYFUNCTION("""COMPUTED_VALUE"""),FALSE)</f>
        <v>0</v>
      </c>
      <c r="E1193" s="20" t="str">
        <f>IFERROR(__xludf.DUMMYFUNCTION("""COMPUTED_VALUE"""),"Hard")</f>
        <v>Hard</v>
      </c>
      <c r="F1193" s="20">
        <f>IFERROR(__xludf.DUMMYFUNCTION("""COMPUTED_VALUE"""),5066.0)</f>
        <v>5066</v>
      </c>
      <c r="G1193" s="20">
        <f>IFERROR(__xludf.DUMMYFUNCTION("""COMPUTED_VALUE"""),168.0)</f>
        <v>168</v>
      </c>
      <c r="H1193" s="20" t="str">
        <f>IFERROR(__xludf.DUMMYFUNCTION("""COMPUTED_VALUE"""),"Algorithms")</f>
        <v>Algorithms</v>
      </c>
      <c r="I1193" s="20">
        <f>IFERROR(__xludf.DUMMYFUNCTION("""COMPUTED_VALUE"""),0.545)</f>
        <v>0.545</v>
      </c>
      <c r="J1193" s="20">
        <f>IFERROR(__xludf.DUMMYFUNCTION("""COMPUTED_VALUE"""),1192.0)</f>
        <v>1192</v>
      </c>
      <c r="K1193" s="20" t="b">
        <f>IFERROR(__xludf.DUMMYFUNCTION("""COMPUTED_VALUE"""),FALSE)</f>
        <v>0</v>
      </c>
      <c r="L1193" s="20" t="str">
        <f>IFERROR(__xludf.DUMMYFUNCTION("""COMPUTED_VALUE"""),"Depth-First Search;Graph;Biconnected Component;")</f>
        <v>Depth-First Search;Graph;Biconnected Component;</v>
      </c>
      <c r="M1193" s="20" t="b">
        <f>IFERROR(__xludf.DUMMYFUNCTION("""COMPUTED_VALUE"""),TRUE)</f>
        <v>1</v>
      </c>
      <c r="N1193" s="20" t="b">
        <f>IFERROR(__xludf.DUMMYFUNCTION("""COMPUTED_VALUE"""),FALSE)</f>
        <v>0</v>
      </c>
      <c r="O1193" s="20">
        <f>IFERROR(__xludf.DUMMYFUNCTION("""COMPUTED_VALUE"""),54.5110131653608)</f>
        <v>54.51101317</v>
      </c>
      <c r="P1193" s="20">
        <f>IFERROR(__xludf.DUMMYFUNCTION("""COMPUTED_VALUE"""),190214.0)</f>
        <v>190214</v>
      </c>
      <c r="Q1193" s="20">
        <f>IFERROR(__xludf.DUMMYFUNCTION("""COMPUTED_VALUE"""),348946.0)</f>
        <v>348946</v>
      </c>
    </row>
    <row r="1194">
      <c r="A1194" s="20">
        <f>IFERROR(__xludf.DUMMYFUNCTION("""COMPUTED_VALUE"""),1317.0)</f>
        <v>1317</v>
      </c>
      <c r="B1194" s="20" t="str">
        <f>IFERROR(__xludf.DUMMYFUNCTION("""COMPUTED_VALUE"""),"Monthly Transactions I")</f>
        <v>Monthly Transactions I</v>
      </c>
      <c r="C1194" s="20" t="str">
        <f>IFERROR(__xludf.DUMMYFUNCTION("""COMPUTED_VALUE"""),"monthly-transactions-i")</f>
        <v>monthly-transactions-i</v>
      </c>
      <c r="D1194" s="20" t="b">
        <f>IFERROR(__xludf.DUMMYFUNCTION("""COMPUTED_VALUE"""),TRUE)</f>
        <v>1</v>
      </c>
      <c r="E1194" s="20" t="str">
        <f>IFERROR(__xludf.DUMMYFUNCTION("""COMPUTED_VALUE"""),"Medium")</f>
        <v>Medium</v>
      </c>
      <c r="F1194" s="20">
        <f>IFERROR(__xludf.DUMMYFUNCTION("""COMPUTED_VALUE"""),162.0)</f>
        <v>162</v>
      </c>
      <c r="G1194" s="20">
        <f>IFERROR(__xludf.DUMMYFUNCTION("""COMPUTED_VALUE"""),25.0)</f>
        <v>25</v>
      </c>
      <c r="H1194" s="20" t="str">
        <f>IFERROR(__xludf.DUMMYFUNCTION("""COMPUTED_VALUE"""),"Database")</f>
        <v>Database</v>
      </c>
      <c r="I1194" s="20">
        <f>IFERROR(__xludf.DUMMYFUNCTION("""COMPUTED_VALUE"""),0.668)</f>
        <v>0.668</v>
      </c>
      <c r="J1194" s="20">
        <f>IFERROR(__xludf.DUMMYFUNCTION("""COMPUTED_VALUE"""),1193.0)</f>
        <v>1193</v>
      </c>
      <c r="K1194" s="20" t="b">
        <f>IFERROR(__xludf.DUMMYFUNCTION("""COMPUTED_VALUE"""),TRUE)</f>
        <v>1</v>
      </c>
      <c r="L1194" s="20" t="str">
        <f>IFERROR(__xludf.DUMMYFUNCTION("""COMPUTED_VALUE"""),"Database;")</f>
        <v>Database;</v>
      </c>
      <c r="M1194" s="20" t="b">
        <f>IFERROR(__xludf.DUMMYFUNCTION("""COMPUTED_VALUE"""),FALSE)</f>
        <v>0</v>
      </c>
      <c r="N1194" s="20" t="b">
        <f>IFERROR(__xludf.DUMMYFUNCTION("""COMPUTED_VALUE"""),FALSE)</f>
        <v>0</v>
      </c>
      <c r="O1194" s="20">
        <f>IFERROR(__xludf.DUMMYFUNCTION("""COMPUTED_VALUE"""),66.8461602187059)</f>
        <v>66.84616022</v>
      </c>
      <c r="P1194" s="20">
        <f>IFERROR(__xludf.DUMMYFUNCTION("""COMPUTED_VALUE"""),32276.0)</f>
        <v>32276</v>
      </c>
      <c r="Q1194" s="20">
        <f>IFERROR(__xludf.DUMMYFUNCTION("""COMPUTED_VALUE"""),48284.0)</f>
        <v>48284</v>
      </c>
    </row>
    <row r="1195">
      <c r="A1195" s="20">
        <f>IFERROR(__xludf.DUMMYFUNCTION("""COMPUTED_VALUE"""),1318.0)</f>
        <v>1318</v>
      </c>
      <c r="B1195" s="20" t="str">
        <f>IFERROR(__xludf.DUMMYFUNCTION("""COMPUTED_VALUE"""),"Tournament Winners")</f>
        <v>Tournament Winners</v>
      </c>
      <c r="C1195" s="20" t="str">
        <f>IFERROR(__xludf.DUMMYFUNCTION("""COMPUTED_VALUE"""),"tournament-winners")</f>
        <v>tournament-winners</v>
      </c>
      <c r="D1195" s="20" t="b">
        <f>IFERROR(__xludf.DUMMYFUNCTION("""COMPUTED_VALUE"""),TRUE)</f>
        <v>1</v>
      </c>
      <c r="E1195" s="20" t="str">
        <f>IFERROR(__xludf.DUMMYFUNCTION("""COMPUTED_VALUE"""),"Hard")</f>
        <v>Hard</v>
      </c>
      <c r="F1195" s="20">
        <f>IFERROR(__xludf.DUMMYFUNCTION("""COMPUTED_VALUE"""),120.0)</f>
        <v>120</v>
      </c>
      <c r="G1195" s="20">
        <f>IFERROR(__xludf.DUMMYFUNCTION("""COMPUTED_VALUE"""),51.0)</f>
        <v>51</v>
      </c>
      <c r="H1195" s="20" t="str">
        <f>IFERROR(__xludf.DUMMYFUNCTION("""COMPUTED_VALUE"""),"Database")</f>
        <v>Database</v>
      </c>
      <c r="I1195" s="20">
        <f>IFERROR(__xludf.DUMMYFUNCTION("""COMPUTED_VALUE"""),0.514)</f>
        <v>0.514</v>
      </c>
      <c r="J1195" s="20">
        <f>IFERROR(__xludf.DUMMYFUNCTION("""COMPUTED_VALUE"""),1194.0)</f>
        <v>1194</v>
      </c>
      <c r="K1195" s="20" t="b">
        <f>IFERROR(__xludf.DUMMYFUNCTION("""COMPUTED_VALUE"""),TRUE)</f>
        <v>1</v>
      </c>
      <c r="L1195" s="20" t="str">
        <f>IFERROR(__xludf.DUMMYFUNCTION("""COMPUTED_VALUE"""),"Database;")</f>
        <v>Database;</v>
      </c>
      <c r="M1195" s="20" t="b">
        <f>IFERROR(__xludf.DUMMYFUNCTION("""COMPUTED_VALUE"""),FALSE)</f>
        <v>0</v>
      </c>
      <c r="N1195" s="20" t="b">
        <f>IFERROR(__xludf.DUMMYFUNCTION("""COMPUTED_VALUE"""),FALSE)</f>
        <v>0</v>
      </c>
      <c r="O1195" s="20">
        <f>IFERROR(__xludf.DUMMYFUNCTION("""COMPUTED_VALUE"""),51.408925874755)</f>
        <v>51.40892587</v>
      </c>
      <c r="P1195" s="20">
        <f>IFERROR(__xludf.DUMMYFUNCTION("""COMPUTED_VALUE"""),16000.0)</f>
        <v>16000</v>
      </c>
      <c r="Q1195" s="20">
        <f>IFERROR(__xludf.DUMMYFUNCTION("""COMPUTED_VALUE"""),31123.0)</f>
        <v>31123</v>
      </c>
    </row>
    <row r="1196">
      <c r="A1196" s="20">
        <f>IFERROR(__xludf.DUMMYFUNCTION("""COMPUTED_VALUE"""),1316.0)</f>
        <v>1316</v>
      </c>
      <c r="B1196" s="20" t="str">
        <f>IFERROR(__xludf.DUMMYFUNCTION("""COMPUTED_VALUE"""),"Fizz Buzz Multithreaded")</f>
        <v>Fizz Buzz Multithreaded</v>
      </c>
      <c r="C1196" s="20" t="str">
        <f>IFERROR(__xludf.DUMMYFUNCTION("""COMPUTED_VALUE"""),"fizz-buzz-multithreaded")</f>
        <v>fizz-buzz-multithreaded</v>
      </c>
      <c r="D1196" s="20" t="b">
        <f>IFERROR(__xludf.DUMMYFUNCTION("""COMPUTED_VALUE"""),FALSE)</f>
        <v>0</v>
      </c>
      <c r="E1196" s="20" t="str">
        <f>IFERROR(__xludf.DUMMYFUNCTION("""COMPUTED_VALUE"""),"Medium")</f>
        <v>Medium</v>
      </c>
      <c r="F1196" s="20">
        <f>IFERROR(__xludf.DUMMYFUNCTION("""COMPUTED_VALUE"""),448.0)</f>
        <v>448</v>
      </c>
      <c r="G1196" s="20">
        <f>IFERROR(__xludf.DUMMYFUNCTION("""COMPUTED_VALUE"""),329.0)</f>
        <v>329</v>
      </c>
      <c r="H1196" s="20" t="str">
        <f>IFERROR(__xludf.DUMMYFUNCTION("""COMPUTED_VALUE"""),"Concurrency")</f>
        <v>Concurrency</v>
      </c>
      <c r="I1196" s="20">
        <f>IFERROR(__xludf.DUMMYFUNCTION("""COMPUTED_VALUE"""),0.727)</f>
        <v>0.727</v>
      </c>
      <c r="J1196" s="20">
        <f>IFERROR(__xludf.DUMMYFUNCTION("""COMPUTED_VALUE"""),1195.0)</f>
        <v>1195</v>
      </c>
      <c r="K1196" s="20" t="b">
        <f>IFERROR(__xludf.DUMMYFUNCTION("""COMPUTED_VALUE"""),FALSE)</f>
        <v>0</v>
      </c>
      <c r="L1196" s="20" t="str">
        <f>IFERROR(__xludf.DUMMYFUNCTION("""COMPUTED_VALUE"""),"Concurrency;")</f>
        <v>Concurrency;</v>
      </c>
      <c r="M1196" s="20" t="b">
        <f>IFERROR(__xludf.DUMMYFUNCTION("""COMPUTED_VALUE"""),FALSE)</f>
        <v>0</v>
      </c>
      <c r="N1196" s="20" t="b">
        <f>IFERROR(__xludf.DUMMYFUNCTION("""COMPUTED_VALUE"""),FALSE)</f>
        <v>0</v>
      </c>
      <c r="O1196" s="20">
        <f>IFERROR(__xludf.DUMMYFUNCTION("""COMPUTED_VALUE"""),72.7350893381427)</f>
        <v>72.73508934</v>
      </c>
      <c r="P1196" s="20">
        <f>IFERROR(__xludf.DUMMYFUNCTION("""COMPUTED_VALUE"""),34683.0)</f>
        <v>34683</v>
      </c>
      <c r="Q1196" s="20">
        <f>IFERROR(__xludf.DUMMYFUNCTION("""COMPUTED_VALUE"""),47684.0)</f>
        <v>47684</v>
      </c>
    </row>
    <row r="1197">
      <c r="A1197" s="20">
        <f>IFERROR(__xludf.DUMMYFUNCTION("""COMPUTED_VALUE"""),1141.0)</f>
        <v>1141</v>
      </c>
      <c r="B1197" s="20" t="str">
        <f>IFERROR(__xludf.DUMMYFUNCTION("""COMPUTED_VALUE"""),"How Many Apples Can You Put into the Basket")</f>
        <v>How Many Apples Can You Put into the Basket</v>
      </c>
      <c r="C1197" s="20" t="str">
        <f>IFERROR(__xludf.DUMMYFUNCTION("""COMPUTED_VALUE"""),"how-many-apples-can-you-put-into-the-basket")</f>
        <v>how-many-apples-can-you-put-into-the-basket</v>
      </c>
      <c r="D1197" s="20" t="b">
        <f>IFERROR(__xludf.DUMMYFUNCTION("""COMPUTED_VALUE"""),TRUE)</f>
        <v>1</v>
      </c>
      <c r="E1197" s="20" t="str">
        <f>IFERROR(__xludf.DUMMYFUNCTION("""COMPUTED_VALUE"""),"Easy")</f>
        <v>Easy</v>
      </c>
      <c r="F1197" s="20">
        <f>IFERROR(__xludf.DUMMYFUNCTION("""COMPUTED_VALUE"""),174.0)</f>
        <v>174</v>
      </c>
      <c r="G1197" s="20">
        <f>IFERROR(__xludf.DUMMYFUNCTION("""COMPUTED_VALUE"""),14.0)</f>
        <v>14</v>
      </c>
      <c r="H1197" s="20" t="str">
        <f>IFERROR(__xludf.DUMMYFUNCTION("""COMPUTED_VALUE"""),"Algorithms")</f>
        <v>Algorithms</v>
      </c>
      <c r="I1197" s="20">
        <f>IFERROR(__xludf.DUMMYFUNCTION("""COMPUTED_VALUE"""),0.669)</f>
        <v>0.669</v>
      </c>
      <c r="J1197" s="20">
        <f>IFERROR(__xludf.DUMMYFUNCTION("""COMPUTED_VALUE"""),1196.0)</f>
        <v>1196</v>
      </c>
      <c r="K1197" s="20" t="b">
        <f>IFERROR(__xludf.DUMMYFUNCTION("""COMPUTED_VALUE"""),TRUE)</f>
        <v>1</v>
      </c>
      <c r="L1197" s="20" t="str">
        <f>IFERROR(__xludf.DUMMYFUNCTION("""COMPUTED_VALUE"""),"Array;Greedy;Sorting;")</f>
        <v>Array;Greedy;Sorting;</v>
      </c>
      <c r="M1197" s="20" t="b">
        <f>IFERROR(__xludf.DUMMYFUNCTION("""COMPUTED_VALUE"""),TRUE)</f>
        <v>1</v>
      </c>
      <c r="N1197" s="20" t="b">
        <f>IFERROR(__xludf.DUMMYFUNCTION("""COMPUTED_VALUE"""),FALSE)</f>
        <v>0</v>
      </c>
      <c r="O1197" s="20">
        <f>IFERROR(__xludf.DUMMYFUNCTION("""COMPUTED_VALUE"""),66.8734599217277)</f>
        <v>66.87345992</v>
      </c>
      <c r="P1197" s="20">
        <f>IFERROR(__xludf.DUMMYFUNCTION("""COMPUTED_VALUE"""),23067.0)</f>
        <v>23067</v>
      </c>
      <c r="Q1197" s="20">
        <f>IFERROR(__xludf.DUMMYFUNCTION("""COMPUTED_VALUE"""),34494.0)</f>
        <v>34494</v>
      </c>
    </row>
    <row r="1198">
      <c r="A1198" s="20">
        <f>IFERROR(__xludf.DUMMYFUNCTION("""COMPUTED_VALUE"""),1142.0)</f>
        <v>1142</v>
      </c>
      <c r="B1198" s="20" t="str">
        <f>IFERROR(__xludf.DUMMYFUNCTION("""COMPUTED_VALUE"""),"Minimum Knight Moves")</f>
        <v>Minimum Knight Moves</v>
      </c>
      <c r="C1198" s="20" t="str">
        <f>IFERROR(__xludf.DUMMYFUNCTION("""COMPUTED_VALUE"""),"minimum-knight-moves")</f>
        <v>minimum-knight-moves</v>
      </c>
      <c r="D1198" s="20" t="b">
        <f>IFERROR(__xludf.DUMMYFUNCTION("""COMPUTED_VALUE"""),TRUE)</f>
        <v>1</v>
      </c>
      <c r="E1198" s="20" t="str">
        <f>IFERROR(__xludf.DUMMYFUNCTION("""COMPUTED_VALUE"""),"Medium")</f>
        <v>Medium</v>
      </c>
      <c r="F1198" s="20">
        <f>IFERROR(__xludf.DUMMYFUNCTION("""COMPUTED_VALUE"""),1349.0)</f>
        <v>1349</v>
      </c>
      <c r="G1198" s="20">
        <f>IFERROR(__xludf.DUMMYFUNCTION("""COMPUTED_VALUE"""),379.0)</f>
        <v>379</v>
      </c>
      <c r="H1198" s="20" t="str">
        <f>IFERROR(__xludf.DUMMYFUNCTION("""COMPUTED_VALUE"""),"Algorithms")</f>
        <v>Algorithms</v>
      </c>
      <c r="I1198" s="20">
        <f>IFERROR(__xludf.DUMMYFUNCTION("""COMPUTED_VALUE"""),0.397)</f>
        <v>0.397</v>
      </c>
      <c r="J1198" s="20">
        <f>IFERROR(__xludf.DUMMYFUNCTION("""COMPUTED_VALUE"""),1197.0)</f>
        <v>1197</v>
      </c>
      <c r="K1198" s="20" t="b">
        <f>IFERROR(__xludf.DUMMYFUNCTION("""COMPUTED_VALUE"""),TRUE)</f>
        <v>1</v>
      </c>
      <c r="L1198" s="20" t="str">
        <f>IFERROR(__xludf.DUMMYFUNCTION("""COMPUTED_VALUE"""),"Breadth-First Search;")</f>
        <v>Breadth-First Search;</v>
      </c>
      <c r="M1198" s="20" t="b">
        <f>IFERROR(__xludf.DUMMYFUNCTION("""COMPUTED_VALUE"""),TRUE)</f>
        <v>1</v>
      </c>
      <c r="N1198" s="20" t="b">
        <f>IFERROR(__xludf.DUMMYFUNCTION("""COMPUTED_VALUE"""),FALSE)</f>
        <v>0</v>
      </c>
      <c r="O1198" s="20">
        <f>IFERROR(__xludf.DUMMYFUNCTION("""COMPUTED_VALUE"""),39.650889438224)</f>
        <v>39.65088944</v>
      </c>
      <c r="P1198" s="20">
        <f>IFERROR(__xludf.DUMMYFUNCTION("""COMPUTED_VALUE"""),130886.0)</f>
        <v>130886</v>
      </c>
      <c r="Q1198" s="20">
        <f>IFERROR(__xludf.DUMMYFUNCTION("""COMPUTED_VALUE"""),330096.0)</f>
        <v>330096</v>
      </c>
    </row>
    <row r="1199">
      <c r="A1199" s="20">
        <f>IFERROR(__xludf.DUMMYFUNCTION("""COMPUTED_VALUE"""),1143.0)</f>
        <v>1143</v>
      </c>
      <c r="B1199" s="20" t="str">
        <f>IFERROR(__xludf.DUMMYFUNCTION("""COMPUTED_VALUE"""),"Find Smallest Common Element in All Rows")</f>
        <v>Find Smallest Common Element in All Rows</v>
      </c>
      <c r="C1199" s="20" t="str">
        <f>IFERROR(__xludf.DUMMYFUNCTION("""COMPUTED_VALUE"""),"find-smallest-common-element-in-all-rows")</f>
        <v>find-smallest-common-element-in-all-rows</v>
      </c>
      <c r="D1199" s="20" t="b">
        <f>IFERROR(__xludf.DUMMYFUNCTION("""COMPUTED_VALUE"""),TRUE)</f>
        <v>1</v>
      </c>
      <c r="E1199" s="20" t="str">
        <f>IFERROR(__xludf.DUMMYFUNCTION("""COMPUTED_VALUE"""),"Medium")</f>
        <v>Medium</v>
      </c>
      <c r="F1199" s="20">
        <f>IFERROR(__xludf.DUMMYFUNCTION("""COMPUTED_VALUE"""),495.0)</f>
        <v>495</v>
      </c>
      <c r="G1199" s="20">
        <f>IFERROR(__xludf.DUMMYFUNCTION("""COMPUTED_VALUE"""),26.0)</f>
        <v>26</v>
      </c>
      <c r="H1199" s="20" t="str">
        <f>IFERROR(__xludf.DUMMYFUNCTION("""COMPUTED_VALUE"""),"Algorithms")</f>
        <v>Algorithms</v>
      </c>
      <c r="I1199" s="20">
        <f>IFERROR(__xludf.DUMMYFUNCTION("""COMPUTED_VALUE"""),0.767)</f>
        <v>0.767</v>
      </c>
      <c r="J1199" s="20">
        <f>IFERROR(__xludf.DUMMYFUNCTION("""COMPUTED_VALUE"""),1198.0)</f>
        <v>1198</v>
      </c>
      <c r="K1199" s="20" t="b">
        <f>IFERROR(__xludf.DUMMYFUNCTION("""COMPUTED_VALUE"""),TRUE)</f>
        <v>1</v>
      </c>
      <c r="L1199" s="20" t="str">
        <f>IFERROR(__xludf.DUMMYFUNCTION("""COMPUTED_VALUE"""),"Array;Hash Table;Binary Search;Matrix;Counting;")</f>
        <v>Array;Hash Table;Binary Search;Matrix;Counting;</v>
      </c>
      <c r="M1199" s="20" t="b">
        <f>IFERROR(__xludf.DUMMYFUNCTION("""COMPUTED_VALUE"""),TRUE)</f>
        <v>1</v>
      </c>
      <c r="N1199" s="20" t="b">
        <f>IFERROR(__xludf.DUMMYFUNCTION("""COMPUTED_VALUE"""),TRUE)</f>
        <v>1</v>
      </c>
      <c r="O1199" s="20">
        <f>IFERROR(__xludf.DUMMYFUNCTION("""COMPUTED_VALUE"""),76.6559049127064)</f>
        <v>76.65590491</v>
      </c>
      <c r="P1199" s="20">
        <f>IFERROR(__xludf.DUMMYFUNCTION("""COMPUTED_VALUE"""),37277.0)</f>
        <v>37277</v>
      </c>
      <c r="Q1199" s="20">
        <f>IFERROR(__xludf.DUMMYFUNCTION("""COMPUTED_VALUE"""),48629.0)</f>
        <v>48629</v>
      </c>
    </row>
    <row r="1200">
      <c r="A1200" s="20">
        <f>IFERROR(__xludf.DUMMYFUNCTION("""COMPUTED_VALUE"""),1167.0)</f>
        <v>1167</v>
      </c>
      <c r="B1200" s="20" t="str">
        <f>IFERROR(__xludf.DUMMYFUNCTION("""COMPUTED_VALUE"""),"Minimum Time to Build Blocks")</f>
        <v>Minimum Time to Build Blocks</v>
      </c>
      <c r="C1200" s="20" t="str">
        <f>IFERROR(__xludf.DUMMYFUNCTION("""COMPUTED_VALUE"""),"minimum-time-to-build-blocks")</f>
        <v>minimum-time-to-build-blocks</v>
      </c>
      <c r="D1200" s="20" t="b">
        <f>IFERROR(__xludf.DUMMYFUNCTION("""COMPUTED_VALUE"""),TRUE)</f>
        <v>1</v>
      </c>
      <c r="E1200" s="20" t="str">
        <f>IFERROR(__xludf.DUMMYFUNCTION("""COMPUTED_VALUE"""),"Hard")</f>
        <v>Hard</v>
      </c>
      <c r="F1200" s="20">
        <f>IFERROR(__xludf.DUMMYFUNCTION("""COMPUTED_VALUE"""),155.0)</f>
        <v>155</v>
      </c>
      <c r="G1200" s="20">
        <f>IFERROR(__xludf.DUMMYFUNCTION("""COMPUTED_VALUE"""),22.0)</f>
        <v>22</v>
      </c>
      <c r="H1200" s="20" t="str">
        <f>IFERROR(__xludf.DUMMYFUNCTION("""COMPUTED_VALUE"""),"Algorithms")</f>
        <v>Algorithms</v>
      </c>
      <c r="I1200" s="20">
        <f>IFERROR(__xludf.DUMMYFUNCTION("""COMPUTED_VALUE"""),0.408)</f>
        <v>0.408</v>
      </c>
      <c r="J1200" s="20">
        <f>IFERROR(__xludf.DUMMYFUNCTION("""COMPUTED_VALUE"""),1199.0)</f>
        <v>1199</v>
      </c>
      <c r="K1200" s="20" t="b">
        <f>IFERROR(__xludf.DUMMYFUNCTION("""COMPUTED_VALUE"""),TRUE)</f>
        <v>1</v>
      </c>
      <c r="L1200" s="20" t="str">
        <f>IFERROR(__xludf.DUMMYFUNCTION("""COMPUTED_VALUE"""),"Math;Greedy;Heap (Priority Queue);")</f>
        <v>Math;Greedy;Heap (Priority Queue);</v>
      </c>
      <c r="M1200" s="20" t="b">
        <f>IFERROR(__xludf.DUMMYFUNCTION("""COMPUTED_VALUE"""),FALSE)</f>
        <v>0</v>
      </c>
      <c r="N1200" s="20" t="b">
        <f>IFERROR(__xludf.DUMMYFUNCTION("""COMPUTED_VALUE"""),FALSE)</f>
        <v>0</v>
      </c>
      <c r="O1200" s="20">
        <f>IFERROR(__xludf.DUMMYFUNCTION("""COMPUTED_VALUE"""),40.8329611433675)</f>
        <v>40.83296114</v>
      </c>
      <c r="P1200" s="20">
        <f>IFERROR(__xludf.DUMMYFUNCTION("""COMPUTED_VALUE"""),3657.0)</f>
        <v>3657</v>
      </c>
      <c r="Q1200" s="20">
        <f>IFERROR(__xludf.DUMMYFUNCTION("""COMPUTED_VALUE"""),8956.0)</f>
        <v>8956</v>
      </c>
    </row>
    <row r="1201">
      <c r="A1201" s="20">
        <f>IFERROR(__xludf.DUMMYFUNCTION("""COMPUTED_VALUE"""),1306.0)</f>
        <v>1306</v>
      </c>
      <c r="B1201" s="20" t="str">
        <f>IFERROR(__xludf.DUMMYFUNCTION("""COMPUTED_VALUE"""),"Minimum Absolute Difference")</f>
        <v>Minimum Absolute Difference</v>
      </c>
      <c r="C1201" s="20" t="str">
        <f>IFERROR(__xludf.DUMMYFUNCTION("""COMPUTED_VALUE"""),"minimum-absolute-difference")</f>
        <v>minimum-absolute-difference</v>
      </c>
      <c r="D1201" s="20" t="b">
        <f>IFERROR(__xludf.DUMMYFUNCTION("""COMPUTED_VALUE"""),FALSE)</f>
        <v>0</v>
      </c>
      <c r="E1201" s="20" t="str">
        <f>IFERROR(__xludf.DUMMYFUNCTION("""COMPUTED_VALUE"""),"Easy")</f>
        <v>Easy</v>
      </c>
      <c r="F1201" s="20">
        <f>IFERROR(__xludf.DUMMYFUNCTION("""COMPUTED_VALUE"""),1860.0)</f>
        <v>1860</v>
      </c>
      <c r="G1201" s="20">
        <f>IFERROR(__xludf.DUMMYFUNCTION("""COMPUTED_VALUE"""),62.0)</f>
        <v>62</v>
      </c>
      <c r="H1201" s="20" t="str">
        <f>IFERROR(__xludf.DUMMYFUNCTION("""COMPUTED_VALUE"""),"Algorithms")</f>
        <v>Algorithms</v>
      </c>
      <c r="I1201" s="20">
        <f>IFERROR(__xludf.DUMMYFUNCTION("""COMPUTED_VALUE"""),0.697)</f>
        <v>0.697</v>
      </c>
      <c r="J1201" s="20">
        <f>IFERROR(__xludf.DUMMYFUNCTION("""COMPUTED_VALUE"""),1200.0)</f>
        <v>1200</v>
      </c>
      <c r="K1201" s="20" t="b">
        <f>IFERROR(__xludf.DUMMYFUNCTION("""COMPUTED_VALUE"""),FALSE)</f>
        <v>0</v>
      </c>
      <c r="L1201" s="20" t="str">
        <f>IFERROR(__xludf.DUMMYFUNCTION("""COMPUTED_VALUE"""),"Array;Sorting;")</f>
        <v>Array;Sorting;</v>
      </c>
      <c r="M1201" s="20" t="b">
        <f>IFERROR(__xludf.DUMMYFUNCTION("""COMPUTED_VALUE"""),TRUE)</f>
        <v>1</v>
      </c>
      <c r="N1201" s="20" t="b">
        <f>IFERROR(__xludf.DUMMYFUNCTION("""COMPUTED_VALUE"""),FALSE)</f>
        <v>0</v>
      </c>
      <c r="O1201" s="20">
        <f>IFERROR(__xludf.DUMMYFUNCTION("""COMPUTED_VALUE"""),69.7371511848091)</f>
        <v>69.73715118</v>
      </c>
      <c r="P1201" s="20">
        <f>IFERROR(__xludf.DUMMYFUNCTION("""COMPUTED_VALUE"""),145471.0)</f>
        <v>145471</v>
      </c>
      <c r="Q1201" s="20">
        <f>IFERROR(__xludf.DUMMYFUNCTION("""COMPUTED_VALUE"""),208599.0)</f>
        <v>208599</v>
      </c>
    </row>
    <row r="1202">
      <c r="A1202" s="20">
        <f>IFERROR(__xludf.DUMMYFUNCTION("""COMPUTED_VALUE"""),1307.0)</f>
        <v>1307</v>
      </c>
      <c r="B1202" s="20" t="str">
        <f>IFERROR(__xludf.DUMMYFUNCTION("""COMPUTED_VALUE"""),"Ugly Number III")</f>
        <v>Ugly Number III</v>
      </c>
      <c r="C1202" s="20" t="str">
        <f>IFERROR(__xludf.DUMMYFUNCTION("""COMPUTED_VALUE"""),"ugly-number-iii")</f>
        <v>ugly-number-iii</v>
      </c>
      <c r="D1202" s="20" t="b">
        <f>IFERROR(__xludf.DUMMYFUNCTION("""COMPUTED_VALUE"""),FALSE)</f>
        <v>0</v>
      </c>
      <c r="E1202" s="20" t="str">
        <f>IFERROR(__xludf.DUMMYFUNCTION("""COMPUTED_VALUE"""),"Medium")</f>
        <v>Medium</v>
      </c>
      <c r="F1202" s="20">
        <f>IFERROR(__xludf.DUMMYFUNCTION("""COMPUTED_VALUE"""),980.0)</f>
        <v>980</v>
      </c>
      <c r="G1202" s="20">
        <f>IFERROR(__xludf.DUMMYFUNCTION("""COMPUTED_VALUE"""),449.0)</f>
        <v>449</v>
      </c>
      <c r="H1202" s="20" t="str">
        <f>IFERROR(__xludf.DUMMYFUNCTION("""COMPUTED_VALUE"""),"Algorithms")</f>
        <v>Algorithms</v>
      </c>
      <c r="I1202" s="20">
        <f>IFERROR(__xludf.DUMMYFUNCTION("""COMPUTED_VALUE"""),0.286)</f>
        <v>0.286</v>
      </c>
      <c r="J1202" s="20">
        <f>IFERROR(__xludf.DUMMYFUNCTION("""COMPUTED_VALUE"""),1201.0)</f>
        <v>1201</v>
      </c>
      <c r="K1202" s="20" t="b">
        <f>IFERROR(__xludf.DUMMYFUNCTION("""COMPUTED_VALUE"""),FALSE)</f>
        <v>0</v>
      </c>
      <c r="L1202" s="20" t="str">
        <f>IFERROR(__xludf.DUMMYFUNCTION("""COMPUTED_VALUE"""),"Math;Binary Search;Number Theory;")</f>
        <v>Math;Binary Search;Number Theory;</v>
      </c>
      <c r="M1202" s="20" t="b">
        <f>IFERROR(__xludf.DUMMYFUNCTION("""COMPUTED_VALUE"""),FALSE)</f>
        <v>0</v>
      </c>
      <c r="N1202" s="20" t="b">
        <f>IFERROR(__xludf.DUMMYFUNCTION("""COMPUTED_VALUE"""),FALSE)</f>
        <v>0</v>
      </c>
      <c r="O1202" s="20">
        <f>IFERROR(__xludf.DUMMYFUNCTION("""COMPUTED_VALUE"""),28.5752133896996)</f>
        <v>28.57521339</v>
      </c>
      <c r="P1202" s="20">
        <f>IFERROR(__xludf.DUMMYFUNCTION("""COMPUTED_VALUE"""),24807.0)</f>
        <v>24807</v>
      </c>
      <c r="Q1202" s="20">
        <f>IFERROR(__xludf.DUMMYFUNCTION("""COMPUTED_VALUE"""),86809.0)</f>
        <v>86809</v>
      </c>
    </row>
    <row r="1203">
      <c r="A1203" s="20">
        <f>IFERROR(__xludf.DUMMYFUNCTION("""COMPUTED_VALUE"""),1308.0)</f>
        <v>1308</v>
      </c>
      <c r="B1203" s="20" t="str">
        <f>IFERROR(__xludf.DUMMYFUNCTION("""COMPUTED_VALUE"""),"Smallest String With Swaps")</f>
        <v>Smallest String With Swaps</v>
      </c>
      <c r="C1203" s="20" t="str">
        <f>IFERROR(__xludf.DUMMYFUNCTION("""COMPUTED_VALUE"""),"smallest-string-with-swaps")</f>
        <v>smallest-string-with-swaps</v>
      </c>
      <c r="D1203" s="20" t="b">
        <f>IFERROR(__xludf.DUMMYFUNCTION("""COMPUTED_VALUE"""),FALSE)</f>
        <v>0</v>
      </c>
      <c r="E1203" s="20" t="str">
        <f>IFERROR(__xludf.DUMMYFUNCTION("""COMPUTED_VALUE"""),"Medium")</f>
        <v>Medium</v>
      </c>
      <c r="F1203" s="20">
        <f>IFERROR(__xludf.DUMMYFUNCTION("""COMPUTED_VALUE"""),3185.0)</f>
        <v>3185</v>
      </c>
      <c r="G1203" s="20">
        <f>IFERROR(__xludf.DUMMYFUNCTION("""COMPUTED_VALUE"""),109.0)</f>
        <v>109</v>
      </c>
      <c r="H1203" s="20" t="str">
        <f>IFERROR(__xludf.DUMMYFUNCTION("""COMPUTED_VALUE"""),"Algorithms")</f>
        <v>Algorithms</v>
      </c>
      <c r="I1203" s="20">
        <f>IFERROR(__xludf.DUMMYFUNCTION("""COMPUTED_VALUE"""),0.576)</f>
        <v>0.576</v>
      </c>
      <c r="J1203" s="20">
        <f>IFERROR(__xludf.DUMMYFUNCTION("""COMPUTED_VALUE"""),1202.0)</f>
        <v>1202</v>
      </c>
      <c r="K1203" s="20" t="b">
        <f>IFERROR(__xludf.DUMMYFUNCTION("""COMPUTED_VALUE"""),FALSE)</f>
        <v>0</v>
      </c>
      <c r="L1203" s="20" t="str">
        <f>IFERROR(__xludf.DUMMYFUNCTION("""COMPUTED_VALUE"""),"Hash Table;String;Depth-First Search;Breadth-First Search;Union Find;")</f>
        <v>Hash Table;String;Depth-First Search;Breadth-First Search;Union Find;</v>
      </c>
      <c r="M1203" s="20" t="b">
        <f>IFERROR(__xludf.DUMMYFUNCTION("""COMPUTED_VALUE"""),TRUE)</f>
        <v>1</v>
      </c>
      <c r="N1203" s="20" t="b">
        <f>IFERROR(__xludf.DUMMYFUNCTION("""COMPUTED_VALUE"""),FALSE)</f>
        <v>0</v>
      </c>
      <c r="O1203" s="20">
        <f>IFERROR(__xludf.DUMMYFUNCTION("""COMPUTED_VALUE"""),57.6038479967564)</f>
        <v>57.603848</v>
      </c>
      <c r="P1203" s="20">
        <f>IFERROR(__xludf.DUMMYFUNCTION("""COMPUTED_VALUE"""),93771.0)</f>
        <v>93771</v>
      </c>
      <c r="Q1203" s="20">
        <f>IFERROR(__xludf.DUMMYFUNCTION("""COMPUTED_VALUE"""),162786.0)</f>
        <v>162786</v>
      </c>
    </row>
    <row r="1204">
      <c r="A1204" s="20">
        <f>IFERROR(__xludf.DUMMYFUNCTION("""COMPUTED_VALUE"""),1309.0)</f>
        <v>1309</v>
      </c>
      <c r="B1204" s="20" t="str">
        <f>IFERROR(__xludf.DUMMYFUNCTION("""COMPUTED_VALUE"""),"Sort Items by Groups Respecting Dependencies")</f>
        <v>Sort Items by Groups Respecting Dependencies</v>
      </c>
      <c r="C1204" s="20" t="str">
        <f>IFERROR(__xludf.DUMMYFUNCTION("""COMPUTED_VALUE"""),"sort-items-by-groups-respecting-dependencies")</f>
        <v>sort-items-by-groups-respecting-dependencies</v>
      </c>
      <c r="D1204" s="20" t="b">
        <f>IFERROR(__xludf.DUMMYFUNCTION("""COMPUTED_VALUE"""),FALSE)</f>
        <v>0</v>
      </c>
      <c r="E1204" s="20" t="str">
        <f>IFERROR(__xludf.DUMMYFUNCTION("""COMPUTED_VALUE"""),"Hard")</f>
        <v>Hard</v>
      </c>
      <c r="F1204" s="20">
        <f>IFERROR(__xludf.DUMMYFUNCTION("""COMPUTED_VALUE"""),732.0)</f>
        <v>732</v>
      </c>
      <c r="G1204" s="20">
        <f>IFERROR(__xludf.DUMMYFUNCTION("""COMPUTED_VALUE"""),100.0)</f>
        <v>100</v>
      </c>
      <c r="H1204" s="20" t="str">
        <f>IFERROR(__xludf.DUMMYFUNCTION("""COMPUTED_VALUE"""),"Algorithms")</f>
        <v>Algorithms</v>
      </c>
      <c r="I1204" s="20">
        <f>IFERROR(__xludf.DUMMYFUNCTION("""COMPUTED_VALUE"""),0.508)</f>
        <v>0.508</v>
      </c>
      <c r="J1204" s="20">
        <f>IFERROR(__xludf.DUMMYFUNCTION("""COMPUTED_VALUE"""),1203.0)</f>
        <v>1203</v>
      </c>
      <c r="K1204" s="20" t="b">
        <f>IFERROR(__xludf.DUMMYFUNCTION("""COMPUTED_VALUE"""),FALSE)</f>
        <v>0</v>
      </c>
      <c r="L1204" s="20" t="str">
        <f>IFERROR(__xludf.DUMMYFUNCTION("""COMPUTED_VALUE"""),"Depth-First Search;Breadth-First Search;Graph;Topological Sort;")</f>
        <v>Depth-First Search;Breadth-First Search;Graph;Topological Sort;</v>
      </c>
      <c r="M1204" s="20" t="b">
        <f>IFERROR(__xludf.DUMMYFUNCTION("""COMPUTED_VALUE"""),FALSE)</f>
        <v>0</v>
      </c>
      <c r="N1204" s="20" t="b">
        <f>IFERROR(__xludf.DUMMYFUNCTION("""COMPUTED_VALUE"""),FALSE)</f>
        <v>0</v>
      </c>
      <c r="O1204" s="20">
        <f>IFERROR(__xludf.DUMMYFUNCTION("""COMPUTED_VALUE"""),50.8400680561463)</f>
        <v>50.84006806</v>
      </c>
      <c r="P1204" s="20">
        <f>IFERROR(__xludf.DUMMYFUNCTION("""COMPUTED_VALUE"""),14343.0)</f>
        <v>14343</v>
      </c>
      <c r="Q1204" s="20">
        <f>IFERROR(__xludf.DUMMYFUNCTION("""COMPUTED_VALUE"""),28212.0)</f>
        <v>28212</v>
      </c>
    </row>
    <row r="1205">
      <c r="A1205" s="20">
        <f>IFERROR(__xludf.DUMMYFUNCTION("""COMPUTED_VALUE"""),1327.0)</f>
        <v>1327</v>
      </c>
      <c r="B1205" s="20" t="str">
        <f>IFERROR(__xludf.DUMMYFUNCTION("""COMPUTED_VALUE"""),"Last Person to Fit in the Bus")</f>
        <v>Last Person to Fit in the Bus</v>
      </c>
      <c r="C1205" s="20" t="str">
        <f>IFERROR(__xludf.DUMMYFUNCTION("""COMPUTED_VALUE"""),"last-person-to-fit-in-the-bus")</f>
        <v>last-person-to-fit-in-the-bus</v>
      </c>
      <c r="D1205" s="20" t="b">
        <f>IFERROR(__xludf.DUMMYFUNCTION("""COMPUTED_VALUE"""),TRUE)</f>
        <v>1</v>
      </c>
      <c r="E1205" s="20" t="str">
        <f>IFERROR(__xludf.DUMMYFUNCTION("""COMPUTED_VALUE"""),"Medium")</f>
        <v>Medium</v>
      </c>
      <c r="F1205" s="20">
        <f>IFERROR(__xludf.DUMMYFUNCTION("""COMPUTED_VALUE"""),235.0)</f>
        <v>235</v>
      </c>
      <c r="G1205" s="20">
        <f>IFERROR(__xludf.DUMMYFUNCTION("""COMPUTED_VALUE"""),19.0)</f>
        <v>19</v>
      </c>
      <c r="H1205" s="20" t="str">
        <f>IFERROR(__xludf.DUMMYFUNCTION("""COMPUTED_VALUE"""),"Database")</f>
        <v>Database</v>
      </c>
      <c r="I1205" s="20">
        <f>IFERROR(__xludf.DUMMYFUNCTION("""COMPUTED_VALUE"""),0.741)</f>
        <v>0.741</v>
      </c>
      <c r="J1205" s="20">
        <f>IFERROR(__xludf.DUMMYFUNCTION("""COMPUTED_VALUE"""),1204.0)</f>
        <v>1204</v>
      </c>
      <c r="K1205" s="20" t="b">
        <f>IFERROR(__xludf.DUMMYFUNCTION("""COMPUTED_VALUE"""),TRUE)</f>
        <v>1</v>
      </c>
      <c r="L1205" s="20" t="str">
        <f>IFERROR(__xludf.DUMMYFUNCTION("""COMPUTED_VALUE"""),"Database;")</f>
        <v>Database;</v>
      </c>
      <c r="M1205" s="20" t="b">
        <f>IFERROR(__xludf.DUMMYFUNCTION("""COMPUTED_VALUE"""),FALSE)</f>
        <v>0</v>
      </c>
      <c r="N1205" s="20" t="b">
        <f>IFERROR(__xludf.DUMMYFUNCTION("""COMPUTED_VALUE"""),FALSE)</f>
        <v>0</v>
      </c>
      <c r="O1205" s="20">
        <f>IFERROR(__xludf.DUMMYFUNCTION("""COMPUTED_VALUE"""),74.0756803643066)</f>
        <v>74.07568036</v>
      </c>
      <c r="P1205" s="20">
        <f>IFERROR(__xludf.DUMMYFUNCTION("""COMPUTED_VALUE"""),34160.0)</f>
        <v>34160</v>
      </c>
      <c r="Q1205" s="20">
        <f>IFERROR(__xludf.DUMMYFUNCTION("""COMPUTED_VALUE"""),46115.0)</f>
        <v>46115</v>
      </c>
    </row>
    <row r="1206">
      <c r="A1206" s="20">
        <f>IFERROR(__xludf.DUMMYFUNCTION("""COMPUTED_VALUE"""),1328.0)</f>
        <v>1328</v>
      </c>
      <c r="B1206" s="20" t="str">
        <f>IFERROR(__xludf.DUMMYFUNCTION("""COMPUTED_VALUE"""),"Monthly Transactions II")</f>
        <v>Monthly Transactions II</v>
      </c>
      <c r="C1206" s="20" t="str">
        <f>IFERROR(__xludf.DUMMYFUNCTION("""COMPUTED_VALUE"""),"monthly-transactions-ii")</f>
        <v>monthly-transactions-ii</v>
      </c>
      <c r="D1206" s="20" t="b">
        <f>IFERROR(__xludf.DUMMYFUNCTION("""COMPUTED_VALUE"""),TRUE)</f>
        <v>1</v>
      </c>
      <c r="E1206" s="20" t="str">
        <f>IFERROR(__xludf.DUMMYFUNCTION("""COMPUTED_VALUE"""),"Medium")</f>
        <v>Medium</v>
      </c>
      <c r="F1206" s="20">
        <f>IFERROR(__xludf.DUMMYFUNCTION("""COMPUTED_VALUE"""),127.0)</f>
        <v>127</v>
      </c>
      <c r="G1206" s="20">
        <f>IFERROR(__xludf.DUMMYFUNCTION("""COMPUTED_VALUE"""),469.0)</f>
        <v>469</v>
      </c>
      <c r="H1206" s="20" t="str">
        <f>IFERROR(__xludf.DUMMYFUNCTION("""COMPUTED_VALUE"""),"Database")</f>
        <v>Database</v>
      </c>
      <c r="I1206" s="20">
        <f>IFERROR(__xludf.DUMMYFUNCTION("""COMPUTED_VALUE"""),0.437)</f>
        <v>0.437</v>
      </c>
      <c r="J1206" s="20">
        <f>IFERROR(__xludf.DUMMYFUNCTION("""COMPUTED_VALUE"""),1205.0)</f>
        <v>1205</v>
      </c>
      <c r="K1206" s="20" t="b">
        <f>IFERROR(__xludf.DUMMYFUNCTION("""COMPUTED_VALUE"""),TRUE)</f>
        <v>1</v>
      </c>
      <c r="L1206" s="20" t="str">
        <f>IFERROR(__xludf.DUMMYFUNCTION("""COMPUTED_VALUE"""),"Database;")</f>
        <v>Database;</v>
      </c>
      <c r="M1206" s="20" t="b">
        <f>IFERROR(__xludf.DUMMYFUNCTION("""COMPUTED_VALUE"""),FALSE)</f>
        <v>0</v>
      </c>
      <c r="N1206" s="20" t="b">
        <f>IFERROR(__xludf.DUMMYFUNCTION("""COMPUTED_VALUE"""),FALSE)</f>
        <v>0</v>
      </c>
      <c r="O1206" s="20">
        <f>IFERROR(__xludf.DUMMYFUNCTION("""COMPUTED_VALUE"""),43.7162051450106)</f>
        <v>43.71620515</v>
      </c>
      <c r="P1206" s="20">
        <f>IFERROR(__xludf.DUMMYFUNCTION("""COMPUTED_VALUE"""),18676.0)</f>
        <v>18676</v>
      </c>
      <c r="Q1206" s="20">
        <f>IFERROR(__xludf.DUMMYFUNCTION("""COMPUTED_VALUE"""),42721.0)</f>
        <v>42721</v>
      </c>
    </row>
    <row r="1207">
      <c r="A1207" s="20">
        <f>IFERROR(__xludf.DUMMYFUNCTION("""COMPUTED_VALUE"""),1337.0)</f>
        <v>1337</v>
      </c>
      <c r="B1207" s="20" t="str">
        <f>IFERROR(__xludf.DUMMYFUNCTION("""COMPUTED_VALUE"""),"Design Skiplist")</f>
        <v>Design Skiplist</v>
      </c>
      <c r="C1207" s="20" t="str">
        <f>IFERROR(__xludf.DUMMYFUNCTION("""COMPUTED_VALUE"""),"design-skiplist")</f>
        <v>design-skiplist</v>
      </c>
      <c r="D1207" s="20" t="b">
        <f>IFERROR(__xludf.DUMMYFUNCTION("""COMPUTED_VALUE"""),FALSE)</f>
        <v>0</v>
      </c>
      <c r="E1207" s="20" t="str">
        <f>IFERROR(__xludf.DUMMYFUNCTION("""COMPUTED_VALUE"""),"Hard")</f>
        <v>Hard</v>
      </c>
      <c r="F1207" s="20">
        <f>IFERROR(__xludf.DUMMYFUNCTION("""COMPUTED_VALUE"""),523.0)</f>
        <v>523</v>
      </c>
      <c r="G1207" s="20">
        <f>IFERROR(__xludf.DUMMYFUNCTION("""COMPUTED_VALUE"""),63.0)</f>
        <v>63</v>
      </c>
      <c r="H1207" s="20" t="str">
        <f>IFERROR(__xludf.DUMMYFUNCTION("""COMPUTED_VALUE"""),"Algorithms")</f>
        <v>Algorithms</v>
      </c>
      <c r="I1207" s="20">
        <f>IFERROR(__xludf.DUMMYFUNCTION("""COMPUTED_VALUE"""),0.606)</f>
        <v>0.606</v>
      </c>
      <c r="J1207" s="20">
        <f>IFERROR(__xludf.DUMMYFUNCTION("""COMPUTED_VALUE"""),1206.0)</f>
        <v>1206</v>
      </c>
      <c r="K1207" s="20" t="b">
        <f>IFERROR(__xludf.DUMMYFUNCTION("""COMPUTED_VALUE"""),FALSE)</f>
        <v>0</v>
      </c>
      <c r="L1207" s="20" t="str">
        <f>IFERROR(__xludf.DUMMYFUNCTION("""COMPUTED_VALUE"""),"Linked List;Design;")</f>
        <v>Linked List;Design;</v>
      </c>
      <c r="M1207" s="20" t="b">
        <f>IFERROR(__xludf.DUMMYFUNCTION("""COMPUTED_VALUE"""),FALSE)</f>
        <v>0</v>
      </c>
      <c r="N1207" s="20" t="b">
        <f>IFERROR(__xludf.DUMMYFUNCTION("""COMPUTED_VALUE"""),FALSE)</f>
        <v>0</v>
      </c>
      <c r="O1207" s="20">
        <f>IFERROR(__xludf.DUMMYFUNCTION("""COMPUTED_VALUE"""),60.5541099035665)</f>
        <v>60.5541099</v>
      </c>
      <c r="P1207" s="20">
        <f>IFERROR(__xludf.DUMMYFUNCTION("""COMPUTED_VALUE"""),15824.0)</f>
        <v>15824</v>
      </c>
      <c r="Q1207" s="20">
        <f>IFERROR(__xludf.DUMMYFUNCTION("""COMPUTED_VALUE"""),26132.0)</f>
        <v>26132</v>
      </c>
    </row>
    <row r="1208">
      <c r="A1208" s="20">
        <f>IFERROR(__xludf.DUMMYFUNCTION("""COMPUTED_VALUE"""),1319.0)</f>
        <v>1319</v>
      </c>
      <c r="B1208" s="20" t="str">
        <f>IFERROR(__xludf.DUMMYFUNCTION("""COMPUTED_VALUE"""),"Unique Number of Occurrences")</f>
        <v>Unique Number of Occurrences</v>
      </c>
      <c r="C1208" s="20" t="str">
        <f>IFERROR(__xludf.DUMMYFUNCTION("""COMPUTED_VALUE"""),"unique-number-of-occurrences")</f>
        <v>unique-number-of-occurrences</v>
      </c>
      <c r="D1208" s="20" t="b">
        <f>IFERROR(__xludf.DUMMYFUNCTION("""COMPUTED_VALUE"""),FALSE)</f>
        <v>0</v>
      </c>
      <c r="E1208" s="20" t="str">
        <f>IFERROR(__xludf.DUMMYFUNCTION("""COMPUTED_VALUE"""),"Easy")</f>
        <v>Easy</v>
      </c>
      <c r="F1208" s="20">
        <f>IFERROR(__xludf.DUMMYFUNCTION("""COMPUTED_VALUE"""),3038.0)</f>
        <v>3038</v>
      </c>
      <c r="G1208" s="20">
        <f>IFERROR(__xludf.DUMMYFUNCTION("""COMPUTED_VALUE"""),65.0)</f>
        <v>65</v>
      </c>
      <c r="H1208" s="20" t="str">
        <f>IFERROR(__xludf.DUMMYFUNCTION("""COMPUTED_VALUE"""),"Algorithms")</f>
        <v>Algorithms</v>
      </c>
      <c r="I1208" s="20">
        <f>IFERROR(__xludf.DUMMYFUNCTION("""COMPUTED_VALUE"""),0.737)</f>
        <v>0.737</v>
      </c>
      <c r="J1208" s="20">
        <f>IFERROR(__xludf.DUMMYFUNCTION("""COMPUTED_VALUE"""),1207.0)</f>
        <v>1207</v>
      </c>
      <c r="K1208" s="20" t="b">
        <f>IFERROR(__xludf.DUMMYFUNCTION("""COMPUTED_VALUE"""),FALSE)</f>
        <v>0</v>
      </c>
      <c r="L1208" s="20" t="str">
        <f>IFERROR(__xludf.DUMMYFUNCTION("""COMPUTED_VALUE"""),"Array;Hash Table;")</f>
        <v>Array;Hash Table;</v>
      </c>
      <c r="M1208" s="20" t="b">
        <f>IFERROR(__xludf.DUMMYFUNCTION("""COMPUTED_VALUE"""),TRUE)</f>
        <v>1</v>
      </c>
      <c r="N1208" s="20" t="b">
        <f>IFERROR(__xludf.DUMMYFUNCTION("""COMPUTED_VALUE"""),FALSE)</f>
        <v>0</v>
      </c>
      <c r="O1208" s="20">
        <f>IFERROR(__xludf.DUMMYFUNCTION("""COMPUTED_VALUE"""),73.692309590038)</f>
        <v>73.69230959</v>
      </c>
      <c r="P1208" s="20">
        <f>IFERROR(__xludf.DUMMYFUNCTION("""COMPUTED_VALUE"""),238963.0)</f>
        <v>238963</v>
      </c>
      <c r="Q1208" s="20">
        <f>IFERROR(__xludf.DUMMYFUNCTION("""COMPUTED_VALUE"""),324272.0)</f>
        <v>324272</v>
      </c>
    </row>
    <row r="1209">
      <c r="A1209" s="20">
        <f>IFERROR(__xludf.DUMMYFUNCTION("""COMPUTED_VALUE"""),1321.0)</f>
        <v>1321</v>
      </c>
      <c r="B1209" s="20" t="str">
        <f>IFERROR(__xludf.DUMMYFUNCTION("""COMPUTED_VALUE"""),"Get Equal Substrings Within Budget")</f>
        <v>Get Equal Substrings Within Budget</v>
      </c>
      <c r="C1209" s="20" t="str">
        <f>IFERROR(__xludf.DUMMYFUNCTION("""COMPUTED_VALUE"""),"get-equal-substrings-within-budget")</f>
        <v>get-equal-substrings-within-budget</v>
      </c>
      <c r="D1209" s="20" t="b">
        <f>IFERROR(__xludf.DUMMYFUNCTION("""COMPUTED_VALUE"""),FALSE)</f>
        <v>0</v>
      </c>
      <c r="E1209" s="20" t="str">
        <f>IFERROR(__xludf.DUMMYFUNCTION("""COMPUTED_VALUE"""),"Medium")</f>
        <v>Medium</v>
      </c>
      <c r="F1209" s="20">
        <f>IFERROR(__xludf.DUMMYFUNCTION("""COMPUTED_VALUE"""),835.0)</f>
        <v>835</v>
      </c>
      <c r="G1209" s="20">
        <f>IFERROR(__xludf.DUMMYFUNCTION("""COMPUTED_VALUE"""),53.0)</f>
        <v>53</v>
      </c>
      <c r="H1209" s="20" t="str">
        <f>IFERROR(__xludf.DUMMYFUNCTION("""COMPUTED_VALUE"""),"Algorithms")</f>
        <v>Algorithms</v>
      </c>
      <c r="I1209" s="20">
        <f>IFERROR(__xludf.DUMMYFUNCTION("""COMPUTED_VALUE"""),0.479)</f>
        <v>0.479</v>
      </c>
      <c r="J1209" s="20">
        <f>IFERROR(__xludf.DUMMYFUNCTION("""COMPUTED_VALUE"""),1208.0)</f>
        <v>1208</v>
      </c>
      <c r="K1209" s="20" t="b">
        <f>IFERROR(__xludf.DUMMYFUNCTION("""COMPUTED_VALUE"""),FALSE)</f>
        <v>0</v>
      </c>
      <c r="L1209" s="20" t="str">
        <f>IFERROR(__xludf.DUMMYFUNCTION("""COMPUTED_VALUE"""),"String;Binary Search;Sliding Window;Prefix Sum;")</f>
        <v>String;Binary Search;Sliding Window;Prefix Sum;</v>
      </c>
      <c r="M1209" s="20" t="b">
        <f>IFERROR(__xludf.DUMMYFUNCTION("""COMPUTED_VALUE"""),FALSE)</f>
        <v>0</v>
      </c>
      <c r="N1209" s="20" t="b">
        <f>IFERROR(__xludf.DUMMYFUNCTION("""COMPUTED_VALUE"""),FALSE)</f>
        <v>0</v>
      </c>
      <c r="O1209" s="20">
        <f>IFERROR(__xludf.DUMMYFUNCTION("""COMPUTED_VALUE"""),47.9133863753535)</f>
        <v>47.91338638</v>
      </c>
      <c r="P1209" s="20">
        <f>IFERROR(__xludf.DUMMYFUNCTION("""COMPUTED_VALUE"""),34386.0)</f>
        <v>34386</v>
      </c>
      <c r="Q1209" s="20">
        <f>IFERROR(__xludf.DUMMYFUNCTION("""COMPUTED_VALUE"""),71767.0)</f>
        <v>71767</v>
      </c>
    </row>
    <row r="1210">
      <c r="A1210" s="20">
        <f>IFERROR(__xludf.DUMMYFUNCTION("""COMPUTED_VALUE"""),1320.0)</f>
        <v>1320</v>
      </c>
      <c r="B1210" s="20" t="str">
        <f>IFERROR(__xludf.DUMMYFUNCTION("""COMPUTED_VALUE"""),"Remove All Adjacent Duplicates in String II")</f>
        <v>Remove All Adjacent Duplicates in String II</v>
      </c>
      <c r="C1210" s="20" t="str">
        <f>IFERROR(__xludf.DUMMYFUNCTION("""COMPUTED_VALUE"""),"remove-all-adjacent-duplicates-in-string-ii")</f>
        <v>remove-all-adjacent-duplicates-in-string-ii</v>
      </c>
      <c r="D1210" s="20" t="b">
        <f>IFERROR(__xludf.DUMMYFUNCTION("""COMPUTED_VALUE"""),FALSE)</f>
        <v>0</v>
      </c>
      <c r="E1210" s="20" t="str">
        <f>IFERROR(__xludf.DUMMYFUNCTION("""COMPUTED_VALUE"""),"Medium")</f>
        <v>Medium</v>
      </c>
      <c r="F1210" s="20">
        <f>IFERROR(__xludf.DUMMYFUNCTION("""COMPUTED_VALUE"""),4830.0)</f>
        <v>4830</v>
      </c>
      <c r="G1210" s="20">
        <f>IFERROR(__xludf.DUMMYFUNCTION("""COMPUTED_VALUE"""),87.0)</f>
        <v>87</v>
      </c>
      <c r="H1210" s="20" t="str">
        <f>IFERROR(__xludf.DUMMYFUNCTION("""COMPUTED_VALUE"""),"Algorithms")</f>
        <v>Algorithms</v>
      </c>
      <c r="I1210" s="20">
        <f>IFERROR(__xludf.DUMMYFUNCTION("""COMPUTED_VALUE"""),0.56)</f>
        <v>0.56</v>
      </c>
      <c r="J1210" s="20">
        <f>IFERROR(__xludf.DUMMYFUNCTION("""COMPUTED_VALUE"""),1209.0)</f>
        <v>1209</v>
      </c>
      <c r="K1210" s="20" t="b">
        <f>IFERROR(__xludf.DUMMYFUNCTION("""COMPUTED_VALUE"""),FALSE)</f>
        <v>0</v>
      </c>
      <c r="L1210" s="20" t="str">
        <f>IFERROR(__xludf.DUMMYFUNCTION("""COMPUTED_VALUE"""),"String;Stack;")</f>
        <v>String;Stack;</v>
      </c>
      <c r="M1210" s="20" t="b">
        <f>IFERROR(__xludf.DUMMYFUNCTION("""COMPUTED_VALUE"""),TRUE)</f>
        <v>1</v>
      </c>
      <c r="N1210" s="20" t="b">
        <f>IFERROR(__xludf.DUMMYFUNCTION("""COMPUTED_VALUE"""),FALSE)</f>
        <v>0</v>
      </c>
      <c r="O1210" s="20">
        <f>IFERROR(__xludf.DUMMYFUNCTION("""COMPUTED_VALUE"""),55.9807996305571)</f>
        <v>55.98079963</v>
      </c>
      <c r="P1210" s="20">
        <f>IFERROR(__xludf.DUMMYFUNCTION("""COMPUTED_VALUE"""),252142.0)</f>
        <v>252142</v>
      </c>
      <c r="Q1210" s="20">
        <f>IFERROR(__xludf.DUMMYFUNCTION("""COMPUTED_VALUE"""),450408.0)</f>
        <v>450408</v>
      </c>
    </row>
    <row r="1211">
      <c r="A1211" s="20">
        <f>IFERROR(__xludf.DUMMYFUNCTION("""COMPUTED_VALUE"""),1322.0)</f>
        <v>1322</v>
      </c>
      <c r="B1211" s="20" t="str">
        <f>IFERROR(__xludf.DUMMYFUNCTION("""COMPUTED_VALUE"""),"Minimum Moves to Reach Target with Rotations")</f>
        <v>Minimum Moves to Reach Target with Rotations</v>
      </c>
      <c r="C1211" s="20" t="str">
        <f>IFERROR(__xludf.DUMMYFUNCTION("""COMPUTED_VALUE"""),"minimum-moves-to-reach-target-with-rotations")</f>
        <v>minimum-moves-to-reach-target-with-rotations</v>
      </c>
      <c r="D1211" s="20" t="b">
        <f>IFERROR(__xludf.DUMMYFUNCTION("""COMPUTED_VALUE"""),FALSE)</f>
        <v>0</v>
      </c>
      <c r="E1211" s="20" t="str">
        <f>IFERROR(__xludf.DUMMYFUNCTION("""COMPUTED_VALUE"""),"Hard")</f>
        <v>Hard</v>
      </c>
      <c r="F1211" s="20">
        <f>IFERROR(__xludf.DUMMYFUNCTION("""COMPUTED_VALUE"""),231.0)</f>
        <v>231</v>
      </c>
      <c r="G1211" s="20">
        <f>IFERROR(__xludf.DUMMYFUNCTION("""COMPUTED_VALUE"""),65.0)</f>
        <v>65</v>
      </c>
      <c r="H1211" s="20" t="str">
        <f>IFERROR(__xludf.DUMMYFUNCTION("""COMPUTED_VALUE"""),"Algorithms")</f>
        <v>Algorithms</v>
      </c>
      <c r="I1211" s="20">
        <f>IFERROR(__xludf.DUMMYFUNCTION("""COMPUTED_VALUE"""),0.492)</f>
        <v>0.492</v>
      </c>
      <c r="J1211" s="20">
        <f>IFERROR(__xludf.DUMMYFUNCTION("""COMPUTED_VALUE"""),1210.0)</f>
        <v>1210</v>
      </c>
      <c r="K1211" s="20" t="b">
        <f>IFERROR(__xludf.DUMMYFUNCTION("""COMPUTED_VALUE"""),FALSE)</f>
        <v>0</v>
      </c>
      <c r="L1211" s="20" t="str">
        <f>IFERROR(__xludf.DUMMYFUNCTION("""COMPUTED_VALUE"""),"Array;Breadth-First Search;Matrix;")</f>
        <v>Array;Breadth-First Search;Matrix;</v>
      </c>
      <c r="M1211" s="20" t="b">
        <f>IFERROR(__xludf.DUMMYFUNCTION("""COMPUTED_VALUE"""),FALSE)</f>
        <v>0</v>
      </c>
      <c r="N1211" s="20" t="b">
        <f>IFERROR(__xludf.DUMMYFUNCTION("""COMPUTED_VALUE"""),FALSE)</f>
        <v>0</v>
      </c>
      <c r="O1211" s="20">
        <f>IFERROR(__xludf.DUMMYFUNCTION("""COMPUTED_VALUE"""),49.1836360300862)</f>
        <v>49.18363603</v>
      </c>
      <c r="P1211" s="20">
        <f>IFERROR(__xludf.DUMMYFUNCTION("""COMPUTED_VALUE"""),8043.0)</f>
        <v>8043</v>
      </c>
      <c r="Q1211" s="20">
        <f>IFERROR(__xludf.DUMMYFUNCTION("""COMPUTED_VALUE"""),16353.0)</f>
        <v>16353</v>
      </c>
    </row>
    <row r="1212">
      <c r="A1212" s="20">
        <f>IFERROR(__xludf.DUMMYFUNCTION("""COMPUTED_VALUE"""),1338.0)</f>
        <v>1338</v>
      </c>
      <c r="B1212" s="20" t="str">
        <f>IFERROR(__xludf.DUMMYFUNCTION("""COMPUTED_VALUE"""),"Queries Quality and Percentage")</f>
        <v>Queries Quality and Percentage</v>
      </c>
      <c r="C1212" s="20" t="str">
        <f>IFERROR(__xludf.DUMMYFUNCTION("""COMPUTED_VALUE"""),"queries-quality-and-percentage")</f>
        <v>queries-quality-and-percentage</v>
      </c>
      <c r="D1212" s="20" t="b">
        <f>IFERROR(__xludf.DUMMYFUNCTION("""COMPUTED_VALUE"""),TRUE)</f>
        <v>1</v>
      </c>
      <c r="E1212" s="20" t="str">
        <f>IFERROR(__xludf.DUMMYFUNCTION("""COMPUTED_VALUE"""),"Easy")</f>
        <v>Easy</v>
      </c>
      <c r="F1212" s="20">
        <f>IFERROR(__xludf.DUMMYFUNCTION("""COMPUTED_VALUE"""),118.0)</f>
        <v>118</v>
      </c>
      <c r="G1212" s="20">
        <f>IFERROR(__xludf.DUMMYFUNCTION("""COMPUTED_VALUE"""),174.0)</f>
        <v>174</v>
      </c>
      <c r="H1212" s="20" t="str">
        <f>IFERROR(__xludf.DUMMYFUNCTION("""COMPUTED_VALUE"""),"Database")</f>
        <v>Database</v>
      </c>
      <c r="I1212" s="20">
        <f>IFERROR(__xludf.DUMMYFUNCTION("""COMPUTED_VALUE"""),0.718)</f>
        <v>0.718</v>
      </c>
      <c r="J1212" s="20">
        <f>IFERROR(__xludf.DUMMYFUNCTION("""COMPUTED_VALUE"""),1211.0)</f>
        <v>1211</v>
      </c>
      <c r="K1212" s="20" t="b">
        <f>IFERROR(__xludf.DUMMYFUNCTION("""COMPUTED_VALUE"""),TRUE)</f>
        <v>1</v>
      </c>
      <c r="L1212" s="20" t="str">
        <f>IFERROR(__xludf.DUMMYFUNCTION("""COMPUTED_VALUE"""),"Database;")</f>
        <v>Database;</v>
      </c>
      <c r="M1212" s="20" t="b">
        <f>IFERROR(__xludf.DUMMYFUNCTION("""COMPUTED_VALUE"""),FALSE)</f>
        <v>0</v>
      </c>
      <c r="N1212" s="20" t="b">
        <f>IFERROR(__xludf.DUMMYFUNCTION("""COMPUTED_VALUE"""),FALSE)</f>
        <v>0</v>
      </c>
      <c r="O1212" s="20">
        <f>IFERROR(__xludf.DUMMYFUNCTION("""COMPUTED_VALUE"""),71.7642750985418)</f>
        <v>71.7642751</v>
      </c>
      <c r="P1212" s="20">
        <f>IFERROR(__xludf.DUMMYFUNCTION("""COMPUTED_VALUE"""),33318.0)</f>
        <v>33318</v>
      </c>
      <c r="Q1212" s="20">
        <f>IFERROR(__xludf.DUMMYFUNCTION("""COMPUTED_VALUE"""),46427.0)</f>
        <v>46427</v>
      </c>
    </row>
    <row r="1213">
      <c r="A1213" s="20">
        <f>IFERROR(__xludf.DUMMYFUNCTION("""COMPUTED_VALUE"""),1339.0)</f>
        <v>1339</v>
      </c>
      <c r="B1213" s="20" t="str">
        <f>IFERROR(__xludf.DUMMYFUNCTION("""COMPUTED_VALUE"""),"Team Scores in Football Tournament")</f>
        <v>Team Scores in Football Tournament</v>
      </c>
      <c r="C1213" s="20" t="str">
        <f>IFERROR(__xludf.DUMMYFUNCTION("""COMPUTED_VALUE"""),"team-scores-in-football-tournament")</f>
        <v>team-scores-in-football-tournament</v>
      </c>
      <c r="D1213" s="20" t="b">
        <f>IFERROR(__xludf.DUMMYFUNCTION("""COMPUTED_VALUE"""),TRUE)</f>
        <v>1</v>
      </c>
      <c r="E1213" s="20" t="str">
        <f>IFERROR(__xludf.DUMMYFUNCTION("""COMPUTED_VALUE"""),"Medium")</f>
        <v>Medium</v>
      </c>
      <c r="F1213" s="20">
        <f>IFERROR(__xludf.DUMMYFUNCTION("""COMPUTED_VALUE"""),262.0)</f>
        <v>262</v>
      </c>
      <c r="G1213" s="20">
        <f>IFERROR(__xludf.DUMMYFUNCTION("""COMPUTED_VALUE"""),22.0)</f>
        <v>22</v>
      </c>
      <c r="H1213" s="20" t="str">
        <f>IFERROR(__xludf.DUMMYFUNCTION("""COMPUTED_VALUE"""),"Database")</f>
        <v>Database</v>
      </c>
      <c r="I1213" s="20">
        <f>IFERROR(__xludf.DUMMYFUNCTION("""COMPUTED_VALUE"""),0.575)</f>
        <v>0.575</v>
      </c>
      <c r="J1213" s="20">
        <f>IFERROR(__xludf.DUMMYFUNCTION("""COMPUTED_VALUE"""),1212.0)</f>
        <v>1212</v>
      </c>
      <c r="K1213" s="20" t="b">
        <f>IFERROR(__xludf.DUMMYFUNCTION("""COMPUTED_VALUE"""),TRUE)</f>
        <v>1</v>
      </c>
      <c r="L1213" s="20" t="str">
        <f>IFERROR(__xludf.DUMMYFUNCTION("""COMPUTED_VALUE"""),"Database;")</f>
        <v>Database;</v>
      </c>
      <c r="M1213" s="20" t="b">
        <f>IFERROR(__xludf.DUMMYFUNCTION("""COMPUTED_VALUE"""),FALSE)</f>
        <v>0</v>
      </c>
      <c r="N1213" s="20" t="b">
        <f>IFERROR(__xludf.DUMMYFUNCTION("""COMPUTED_VALUE"""),FALSE)</f>
        <v>0</v>
      </c>
      <c r="O1213" s="20">
        <f>IFERROR(__xludf.DUMMYFUNCTION("""COMPUTED_VALUE"""),57.5138673827397)</f>
        <v>57.51386738</v>
      </c>
      <c r="P1213" s="20">
        <f>IFERROR(__xludf.DUMMYFUNCTION("""COMPUTED_VALUE"""),29343.0)</f>
        <v>29343</v>
      </c>
      <c r="Q1213" s="20">
        <f>IFERROR(__xludf.DUMMYFUNCTION("""COMPUTED_VALUE"""),51019.0)</f>
        <v>51019</v>
      </c>
    </row>
    <row r="1214">
      <c r="A1214" s="20">
        <f>IFERROR(__xludf.DUMMYFUNCTION("""COMPUTED_VALUE"""),1149.0)</f>
        <v>1149</v>
      </c>
      <c r="B1214" s="20" t="str">
        <f>IFERROR(__xludf.DUMMYFUNCTION("""COMPUTED_VALUE"""),"Intersection of Three Sorted Arrays")</f>
        <v>Intersection of Three Sorted Arrays</v>
      </c>
      <c r="C1214" s="20" t="str">
        <f>IFERROR(__xludf.DUMMYFUNCTION("""COMPUTED_VALUE"""),"intersection-of-three-sorted-arrays")</f>
        <v>intersection-of-three-sorted-arrays</v>
      </c>
      <c r="D1214" s="20" t="b">
        <f>IFERROR(__xludf.DUMMYFUNCTION("""COMPUTED_VALUE"""),TRUE)</f>
        <v>1</v>
      </c>
      <c r="E1214" s="20" t="str">
        <f>IFERROR(__xludf.DUMMYFUNCTION("""COMPUTED_VALUE"""),"Easy")</f>
        <v>Easy</v>
      </c>
      <c r="F1214" s="20">
        <f>IFERROR(__xludf.DUMMYFUNCTION("""COMPUTED_VALUE"""),513.0)</f>
        <v>513</v>
      </c>
      <c r="G1214" s="20">
        <f>IFERROR(__xludf.DUMMYFUNCTION("""COMPUTED_VALUE"""),24.0)</f>
        <v>24</v>
      </c>
      <c r="H1214" s="20" t="str">
        <f>IFERROR(__xludf.DUMMYFUNCTION("""COMPUTED_VALUE"""),"Algorithms")</f>
        <v>Algorithms</v>
      </c>
      <c r="I1214" s="20">
        <f>IFERROR(__xludf.DUMMYFUNCTION("""COMPUTED_VALUE"""),0.799)</f>
        <v>0.799</v>
      </c>
      <c r="J1214" s="20">
        <f>IFERROR(__xludf.DUMMYFUNCTION("""COMPUTED_VALUE"""),1213.0)</f>
        <v>1213</v>
      </c>
      <c r="K1214" s="20" t="b">
        <f>IFERROR(__xludf.DUMMYFUNCTION("""COMPUTED_VALUE"""),TRUE)</f>
        <v>1</v>
      </c>
      <c r="L1214" s="20" t="str">
        <f>IFERROR(__xludf.DUMMYFUNCTION("""COMPUTED_VALUE"""),"Array;Hash Table;Binary Search;Counting;")</f>
        <v>Array;Hash Table;Binary Search;Counting;</v>
      </c>
      <c r="M1214" s="20" t="b">
        <f>IFERROR(__xludf.DUMMYFUNCTION("""COMPUTED_VALUE"""),TRUE)</f>
        <v>1</v>
      </c>
      <c r="N1214" s="20" t="b">
        <f>IFERROR(__xludf.DUMMYFUNCTION("""COMPUTED_VALUE"""),FALSE)</f>
        <v>0</v>
      </c>
      <c r="O1214" s="20">
        <f>IFERROR(__xludf.DUMMYFUNCTION("""COMPUTED_VALUE"""),79.9261780048859)</f>
        <v>79.926178</v>
      </c>
      <c r="P1214" s="20">
        <f>IFERROR(__xludf.DUMMYFUNCTION("""COMPUTED_VALUE"""),74922.0)</f>
        <v>74922</v>
      </c>
      <c r="Q1214" s="20">
        <f>IFERROR(__xludf.DUMMYFUNCTION("""COMPUTED_VALUE"""),93739.0)</f>
        <v>93739</v>
      </c>
    </row>
    <row r="1215">
      <c r="A1215" s="20">
        <f>IFERROR(__xludf.DUMMYFUNCTION("""COMPUTED_VALUE"""),1150.0)</f>
        <v>1150</v>
      </c>
      <c r="B1215" s="20" t="str">
        <f>IFERROR(__xludf.DUMMYFUNCTION("""COMPUTED_VALUE"""),"Two Sum BSTs")</f>
        <v>Two Sum BSTs</v>
      </c>
      <c r="C1215" s="20" t="str">
        <f>IFERROR(__xludf.DUMMYFUNCTION("""COMPUTED_VALUE"""),"two-sum-bsts")</f>
        <v>two-sum-bsts</v>
      </c>
      <c r="D1215" s="20" t="b">
        <f>IFERROR(__xludf.DUMMYFUNCTION("""COMPUTED_VALUE"""),TRUE)</f>
        <v>1</v>
      </c>
      <c r="E1215" s="20" t="str">
        <f>IFERROR(__xludf.DUMMYFUNCTION("""COMPUTED_VALUE"""),"Medium")</f>
        <v>Medium</v>
      </c>
      <c r="F1215" s="20">
        <f>IFERROR(__xludf.DUMMYFUNCTION("""COMPUTED_VALUE"""),442.0)</f>
        <v>442</v>
      </c>
      <c r="G1215" s="20">
        <f>IFERROR(__xludf.DUMMYFUNCTION("""COMPUTED_VALUE"""),44.0)</f>
        <v>44</v>
      </c>
      <c r="H1215" s="20" t="str">
        <f>IFERROR(__xludf.DUMMYFUNCTION("""COMPUTED_VALUE"""),"Algorithms")</f>
        <v>Algorithms</v>
      </c>
      <c r="I1215" s="20">
        <f>IFERROR(__xludf.DUMMYFUNCTION("""COMPUTED_VALUE"""),0.661)</f>
        <v>0.661</v>
      </c>
      <c r="J1215" s="20">
        <f>IFERROR(__xludf.DUMMYFUNCTION("""COMPUTED_VALUE"""),1214.0)</f>
        <v>1214</v>
      </c>
      <c r="K1215" s="20" t="b">
        <f>IFERROR(__xludf.DUMMYFUNCTION("""COMPUTED_VALUE"""),TRUE)</f>
        <v>1</v>
      </c>
      <c r="L1215" s="20" t="str">
        <f>IFERROR(__xludf.DUMMYFUNCTION("""COMPUTED_VALUE"""),"Two Pointers;Binary Search;Stack;Tree;Depth-First Search;Binary Search Tree;Binary Tree;")</f>
        <v>Two Pointers;Binary Search;Stack;Tree;Depth-First Search;Binary Search Tree;Binary Tree;</v>
      </c>
      <c r="M1215" s="20" t="b">
        <f>IFERROR(__xludf.DUMMYFUNCTION("""COMPUTED_VALUE"""),TRUE)</f>
        <v>1</v>
      </c>
      <c r="N1215" s="20" t="b">
        <f>IFERROR(__xludf.DUMMYFUNCTION("""COMPUTED_VALUE"""),FALSE)</f>
        <v>0</v>
      </c>
      <c r="O1215" s="20">
        <f>IFERROR(__xludf.DUMMYFUNCTION("""COMPUTED_VALUE"""),66.0812313251337)</f>
        <v>66.08123133</v>
      </c>
      <c r="P1215" s="20">
        <f>IFERROR(__xludf.DUMMYFUNCTION("""COMPUTED_VALUE"""),38039.0)</f>
        <v>38039</v>
      </c>
      <c r="Q1215" s="20">
        <f>IFERROR(__xludf.DUMMYFUNCTION("""COMPUTED_VALUE"""),57564.0)</f>
        <v>57564</v>
      </c>
    </row>
    <row r="1216">
      <c r="A1216" s="20">
        <f>IFERROR(__xludf.DUMMYFUNCTION("""COMPUTED_VALUE"""),1151.0)</f>
        <v>1151</v>
      </c>
      <c r="B1216" s="20" t="str">
        <f>IFERROR(__xludf.DUMMYFUNCTION("""COMPUTED_VALUE"""),"Stepping Numbers")</f>
        <v>Stepping Numbers</v>
      </c>
      <c r="C1216" s="20" t="str">
        <f>IFERROR(__xludf.DUMMYFUNCTION("""COMPUTED_VALUE"""),"stepping-numbers")</f>
        <v>stepping-numbers</v>
      </c>
      <c r="D1216" s="20" t="b">
        <f>IFERROR(__xludf.DUMMYFUNCTION("""COMPUTED_VALUE"""),TRUE)</f>
        <v>1</v>
      </c>
      <c r="E1216" s="20" t="str">
        <f>IFERROR(__xludf.DUMMYFUNCTION("""COMPUTED_VALUE"""),"Medium")</f>
        <v>Medium</v>
      </c>
      <c r="F1216" s="20">
        <f>IFERROR(__xludf.DUMMYFUNCTION("""COMPUTED_VALUE"""),171.0)</f>
        <v>171</v>
      </c>
      <c r="G1216" s="20">
        <f>IFERROR(__xludf.DUMMYFUNCTION("""COMPUTED_VALUE"""),17.0)</f>
        <v>17</v>
      </c>
      <c r="H1216" s="20" t="str">
        <f>IFERROR(__xludf.DUMMYFUNCTION("""COMPUTED_VALUE"""),"Algorithms")</f>
        <v>Algorithms</v>
      </c>
      <c r="I1216" s="20">
        <f>IFERROR(__xludf.DUMMYFUNCTION("""COMPUTED_VALUE"""),0.46)</f>
        <v>0.46</v>
      </c>
      <c r="J1216" s="20">
        <f>IFERROR(__xludf.DUMMYFUNCTION("""COMPUTED_VALUE"""),1215.0)</f>
        <v>1215</v>
      </c>
      <c r="K1216" s="20" t="b">
        <f>IFERROR(__xludf.DUMMYFUNCTION("""COMPUTED_VALUE"""),TRUE)</f>
        <v>1</v>
      </c>
      <c r="L1216" s="20" t="str">
        <f>IFERROR(__xludf.DUMMYFUNCTION("""COMPUTED_VALUE"""),"Backtracking;Breadth-First Search;")</f>
        <v>Backtracking;Breadth-First Search;</v>
      </c>
      <c r="M1216" s="20" t="b">
        <f>IFERROR(__xludf.DUMMYFUNCTION("""COMPUTED_VALUE"""),FALSE)</f>
        <v>0</v>
      </c>
      <c r="N1216" s="20" t="b">
        <f>IFERROR(__xludf.DUMMYFUNCTION("""COMPUTED_VALUE"""),FALSE)</f>
        <v>0</v>
      </c>
      <c r="O1216" s="20">
        <f>IFERROR(__xludf.DUMMYFUNCTION("""COMPUTED_VALUE"""),45.9951249929142)</f>
        <v>45.99512499</v>
      </c>
      <c r="P1216" s="20">
        <f>IFERROR(__xludf.DUMMYFUNCTION("""COMPUTED_VALUE"""),8114.0)</f>
        <v>8114</v>
      </c>
      <c r="Q1216" s="20">
        <f>IFERROR(__xludf.DUMMYFUNCTION("""COMPUTED_VALUE"""),17641.0)</f>
        <v>17641</v>
      </c>
    </row>
    <row r="1217">
      <c r="A1217" s="20">
        <f>IFERROR(__xludf.DUMMYFUNCTION("""COMPUTED_VALUE"""),1178.0)</f>
        <v>1178</v>
      </c>
      <c r="B1217" s="20" t="str">
        <f>IFERROR(__xludf.DUMMYFUNCTION("""COMPUTED_VALUE"""),"Valid Palindrome III")</f>
        <v>Valid Palindrome III</v>
      </c>
      <c r="C1217" s="20" t="str">
        <f>IFERROR(__xludf.DUMMYFUNCTION("""COMPUTED_VALUE"""),"valid-palindrome-iii")</f>
        <v>valid-palindrome-iii</v>
      </c>
      <c r="D1217" s="20" t="b">
        <f>IFERROR(__xludf.DUMMYFUNCTION("""COMPUTED_VALUE"""),TRUE)</f>
        <v>1</v>
      </c>
      <c r="E1217" s="20" t="str">
        <f>IFERROR(__xludf.DUMMYFUNCTION("""COMPUTED_VALUE"""),"Hard")</f>
        <v>Hard</v>
      </c>
      <c r="F1217" s="20">
        <f>IFERROR(__xludf.DUMMYFUNCTION("""COMPUTED_VALUE"""),627.0)</f>
        <v>627</v>
      </c>
      <c r="G1217" s="20">
        <f>IFERROR(__xludf.DUMMYFUNCTION("""COMPUTED_VALUE"""),7.0)</f>
        <v>7</v>
      </c>
      <c r="H1217" s="20" t="str">
        <f>IFERROR(__xludf.DUMMYFUNCTION("""COMPUTED_VALUE"""),"Algorithms")</f>
        <v>Algorithms</v>
      </c>
      <c r="I1217" s="20">
        <f>IFERROR(__xludf.DUMMYFUNCTION("""COMPUTED_VALUE"""),0.506)</f>
        <v>0.506</v>
      </c>
      <c r="J1217" s="20">
        <f>IFERROR(__xludf.DUMMYFUNCTION("""COMPUTED_VALUE"""),1216.0)</f>
        <v>1216</v>
      </c>
      <c r="K1217" s="20" t="b">
        <f>IFERROR(__xludf.DUMMYFUNCTION("""COMPUTED_VALUE"""),TRUE)</f>
        <v>1</v>
      </c>
      <c r="L1217" s="20" t="str">
        <f>IFERROR(__xludf.DUMMYFUNCTION("""COMPUTED_VALUE"""),"String;Dynamic Programming;")</f>
        <v>String;Dynamic Programming;</v>
      </c>
      <c r="M1217" s="20" t="b">
        <f>IFERROR(__xludf.DUMMYFUNCTION("""COMPUTED_VALUE"""),TRUE)</f>
        <v>1</v>
      </c>
      <c r="N1217" s="20" t="b">
        <f>IFERROR(__xludf.DUMMYFUNCTION("""COMPUTED_VALUE"""),FALSE)</f>
        <v>0</v>
      </c>
      <c r="O1217" s="20">
        <f>IFERROR(__xludf.DUMMYFUNCTION("""COMPUTED_VALUE"""),50.5578279684628)</f>
        <v>50.55782797</v>
      </c>
      <c r="P1217" s="20">
        <f>IFERROR(__xludf.DUMMYFUNCTION("""COMPUTED_VALUE"""),42643.0)</f>
        <v>42643</v>
      </c>
      <c r="Q1217" s="20">
        <f>IFERROR(__xludf.DUMMYFUNCTION("""COMPUTED_VALUE"""),84345.0)</f>
        <v>84345</v>
      </c>
    </row>
    <row r="1218">
      <c r="A1218" s="20">
        <f>IFERROR(__xludf.DUMMYFUNCTION("""COMPUTED_VALUE"""),1329.0)</f>
        <v>1329</v>
      </c>
      <c r="B1218" s="20" t="str">
        <f>IFERROR(__xludf.DUMMYFUNCTION("""COMPUTED_VALUE"""),"Minimum Cost to Move Chips to The Same Position")</f>
        <v>Minimum Cost to Move Chips to The Same Position</v>
      </c>
      <c r="C1218" s="20" t="str">
        <f>IFERROR(__xludf.DUMMYFUNCTION("""COMPUTED_VALUE"""),"minimum-cost-to-move-chips-to-the-same-position")</f>
        <v>minimum-cost-to-move-chips-to-the-same-position</v>
      </c>
      <c r="D1218" s="20" t="b">
        <f>IFERROR(__xludf.DUMMYFUNCTION("""COMPUTED_VALUE"""),FALSE)</f>
        <v>0</v>
      </c>
      <c r="E1218" s="20" t="str">
        <f>IFERROR(__xludf.DUMMYFUNCTION("""COMPUTED_VALUE"""),"Easy")</f>
        <v>Easy</v>
      </c>
      <c r="F1218" s="20">
        <f>IFERROR(__xludf.DUMMYFUNCTION("""COMPUTED_VALUE"""),1865.0)</f>
        <v>1865</v>
      </c>
      <c r="G1218" s="20">
        <f>IFERROR(__xludf.DUMMYFUNCTION("""COMPUTED_VALUE"""),240.0)</f>
        <v>240</v>
      </c>
      <c r="H1218" s="20" t="str">
        <f>IFERROR(__xludf.DUMMYFUNCTION("""COMPUTED_VALUE"""),"Algorithms")</f>
        <v>Algorithms</v>
      </c>
      <c r="I1218" s="20">
        <f>IFERROR(__xludf.DUMMYFUNCTION("""COMPUTED_VALUE"""),0.721)</f>
        <v>0.721</v>
      </c>
      <c r="J1218" s="20">
        <f>IFERROR(__xludf.DUMMYFUNCTION("""COMPUTED_VALUE"""),1217.0)</f>
        <v>1217</v>
      </c>
      <c r="K1218" s="20" t="b">
        <f>IFERROR(__xludf.DUMMYFUNCTION("""COMPUTED_VALUE"""),FALSE)</f>
        <v>0</v>
      </c>
      <c r="L1218" s="20" t="str">
        <f>IFERROR(__xludf.DUMMYFUNCTION("""COMPUTED_VALUE"""),"Array;Math;Greedy;")</f>
        <v>Array;Math;Greedy;</v>
      </c>
      <c r="M1218" s="20" t="b">
        <f>IFERROR(__xludf.DUMMYFUNCTION("""COMPUTED_VALUE"""),TRUE)</f>
        <v>1</v>
      </c>
      <c r="N1218" s="20" t="b">
        <f>IFERROR(__xludf.DUMMYFUNCTION("""COMPUTED_VALUE"""),FALSE)</f>
        <v>0</v>
      </c>
      <c r="O1218" s="20">
        <f>IFERROR(__xludf.DUMMYFUNCTION("""COMPUTED_VALUE"""),72.1207392860025)</f>
        <v>72.12073929</v>
      </c>
      <c r="P1218" s="20">
        <f>IFERROR(__xludf.DUMMYFUNCTION("""COMPUTED_VALUE"""),107232.0)</f>
        <v>107232</v>
      </c>
      <c r="Q1218" s="20">
        <f>IFERROR(__xludf.DUMMYFUNCTION("""COMPUTED_VALUE"""),148684.0)</f>
        <v>148684</v>
      </c>
    </row>
    <row r="1219">
      <c r="A1219" s="20">
        <f>IFERROR(__xludf.DUMMYFUNCTION("""COMPUTED_VALUE"""),1330.0)</f>
        <v>1330</v>
      </c>
      <c r="B1219" s="20" t="str">
        <f>IFERROR(__xludf.DUMMYFUNCTION("""COMPUTED_VALUE"""),"Longest Arithmetic Subsequence of Given Difference")</f>
        <v>Longest Arithmetic Subsequence of Given Difference</v>
      </c>
      <c r="C1219" s="20" t="str">
        <f>IFERROR(__xludf.DUMMYFUNCTION("""COMPUTED_VALUE"""),"longest-arithmetic-subsequence-of-given-difference")</f>
        <v>longest-arithmetic-subsequence-of-given-difference</v>
      </c>
      <c r="D1219" s="20" t="b">
        <f>IFERROR(__xludf.DUMMYFUNCTION("""COMPUTED_VALUE"""),FALSE)</f>
        <v>0</v>
      </c>
      <c r="E1219" s="20" t="str">
        <f>IFERROR(__xludf.DUMMYFUNCTION("""COMPUTED_VALUE"""),"Medium")</f>
        <v>Medium</v>
      </c>
      <c r="F1219" s="20">
        <f>IFERROR(__xludf.DUMMYFUNCTION("""COMPUTED_VALUE"""),1300.0)</f>
        <v>1300</v>
      </c>
      <c r="G1219" s="20">
        <f>IFERROR(__xludf.DUMMYFUNCTION("""COMPUTED_VALUE"""),47.0)</f>
        <v>47</v>
      </c>
      <c r="H1219" s="20" t="str">
        <f>IFERROR(__xludf.DUMMYFUNCTION("""COMPUTED_VALUE"""),"Algorithms")</f>
        <v>Algorithms</v>
      </c>
      <c r="I1219" s="20">
        <f>IFERROR(__xludf.DUMMYFUNCTION("""COMPUTED_VALUE"""),0.519)</f>
        <v>0.519</v>
      </c>
      <c r="J1219" s="20">
        <f>IFERROR(__xludf.DUMMYFUNCTION("""COMPUTED_VALUE"""),1218.0)</f>
        <v>1218</v>
      </c>
      <c r="K1219" s="20" t="b">
        <f>IFERROR(__xludf.DUMMYFUNCTION("""COMPUTED_VALUE"""),FALSE)</f>
        <v>0</v>
      </c>
      <c r="L1219" s="20" t="str">
        <f>IFERROR(__xludf.DUMMYFUNCTION("""COMPUTED_VALUE"""),"Array;Hash Table;Dynamic Programming;")</f>
        <v>Array;Hash Table;Dynamic Programming;</v>
      </c>
      <c r="M1219" s="20" t="b">
        <f>IFERROR(__xludf.DUMMYFUNCTION("""COMPUTED_VALUE"""),FALSE)</f>
        <v>0</v>
      </c>
      <c r="N1219" s="20" t="b">
        <f>IFERROR(__xludf.DUMMYFUNCTION("""COMPUTED_VALUE"""),FALSE)</f>
        <v>0</v>
      </c>
      <c r="O1219" s="20">
        <f>IFERROR(__xludf.DUMMYFUNCTION("""COMPUTED_VALUE"""),51.8717729986979)</f>
        <v>51.871773</v>
      </c>
      <c r="P1219" s="20">
        <f>IFERROR(__xludf.DUMMYFUNCTION("""COMPUTED_VALUE"""),57767.0)</f>
        <v>57767</v>
      </c>
      <c r="Q1219" s="20">
        <f>IFERROR(__xludf.DUMMYFUNCTION("""COMPUTED_VALUE"""),111365.0)</f>
        <v>111365</v>
      </c>
    </row>
    <row r="1220">
      <c r="A1220" s="20">
        <f>IFERROR(__xludf.DUMMYFUNCTION("""COMPUTED_VALUE"""),1331.0)</f>
        <v>1331</v>
      </c>
      <c r="B1220" s="20" t="str">
        <f>IFERROR(__xludf.DUMMYFUNCTION("""COMPUTED_VALUE"""),"Path with Maximum Gold")</f>
        <v>Path with Maximum Gold</v>
      </c>
      <c r="C1220" s="20" t="str">
        <f>IFERROR(__xludf.DUMMYFUNCTION("""COMPUTED_VALUE"""),"path-with-maximum-gold")</f>
        <v>path-with-maximum-gold</v>
      </c>
      <c r="D1220" s="20" t="b">
        <f>IFERROR(__xludf.DUMMYFUNCTION("""COMPUTED_VALUE"""),FALSE)</f>
        <v>0</v>
      </c>
      <c r="E1220" s="20" t="str">
        <f>IFERROR(__xludf.DUMMYFUNCTION("""COMPUTED_VALUE"""),"Medium")</f>
        <v>Medium</v>
      </c>
      <c r="F1220" s="20">
        <f>IFERROR(__xludf.DUMMYFUNCTION("""COMPUTED_VALUE"""),2297.0)</f>
        <v>2297</v>
      </c>
      <c r="G1220" s="20">
        <f>IFERROR(__xludf.DUMMYFUNCTION("""COMPUTED_VALUE"""),59.0)</f>
        <v>59</v>
      </c>
      <c r="H1220" s="20" t="str">
        <f>IFERROR(__xludf.DUMMYFUNCTION("""COMPUTED_VALUE"""),"Algorithms")</f>
        <v>Algorithms</v>
      </c>
      <c r="I1220" s="20">
        <f>IFERROR(__xludf.DUMMYFUNCTION("""COMPUTED_VALUE"""),0.639)</f>
        <v>0.639</v>
      </c>
      <c r="J1220" s="20">
        <f>IFERROR(__xludf.DUMMYFUNCTION("""COMPUTED_VALUE"""),1219.0)</f>
        <v>1219</v>
      </c>
      <c r="K1220" s="20" t="b">
        <f>IFERROR(__xludf.DUMMYFUNCTION("""COMPUTED_VALUE"""),FALSE)</f>
        <v>0</v>
      </c>
      <c r="L1220" s="20" t="str">
        <f>IFERROR(__xludf.DUMMYFUNCTION("""COMPUTED_VALUE"""),"Array;Backtracking;Matrix;")</f>
        <v>Array;Backtracking;Matrix;</v>
      </c>
      <c r="M1220" s="20" t="b">
        <f>IFERROR(__xludf.DUMMYFUNCTION("""COMPUTED_VALUE"""),FALSE)</f>
        <v>0</v>
      </c>
      <c r="N1220" s="20" t="b">
        <f>IFERROR(__xludf.DUMMYFUNCTION("""COMPUTED_VALUE"""),FALSE)</f>
        <v>0</v>
      </c>
      <c r="O1220" s="20">
        <f>IFERROR(__xludf.DUMMYFUNCTION("""COMPUTED_VALUE"""),63.8893720647069)</f>
        <v>63.88937206</v>
      </c>
      <c r="P1220" s="20">
        <f>IFERROR(__xludf.DUMMYFUNCTION("""COMPUTED_VALUE"""),95498.0)</f>
        <v>95498</v>
      </c>
      <c r="Q1220" s="20">
        <f>IFERROR(__xludf.DUMMYFUNCTION("""COMPUTED_VALUE"""),149474.0)</f>
        <v>149474</v>
      </c>
    </row>
    <row r="1221">
      <c r="A1221" s="20">
        <f>IFERROR(__xludf.DUMMYFUNCTION("""COMPUTED_VALUE"""),1332.0)</f>
        <v>1332</v>
      </c>
      <c r="B1221" s="20" t="str">
        <f>IFERROR(__xludf.DUMMYFUNCTION("""COMPUTED_VALUE"""),"Count Vowels Permutation")</f>
        <v>Count Vowels Permutation</v>
      </c>
      <c r="C1221" s="20" t="str">
        <f>IFERROR(__xludf.DUMMYFUNCTION("""COMPUTED_VALUE"""),"count-vowels-permutation")</f>
        <v>count-vowels-permutation</v>
      </c>
      <c r="D1221" s="20" t="b">
        <f>IFERROR(__xludf.DUMMYFUNCTION("""COMPUTED_VALUE"""),FALSE)</f>
        <v>0</v>
      </c>
      <c r="E1221" s="20" t="str">
        <f>IFERROR(__xludf.DUMMYFUNCTION("""COMPUTED_VALUE"""),"Hard")</f>
        <v>Hard</v>
      </c>
      <c r="F1221" s="20">
        <f>IFERROR(__xludf.DUMMYFUNCTION("""COMPUTED_VALUE"""),2438.0)</f>
        <v>2438</v>
      </c>
      <c r="G1221" s="20">
        <f>IFERROR(__xludf.DUMMYFUNCTION("""COMPUTED_VALUE"""),162.0)</f>
        <v>162</v>
      </c>
      <c r="H1221" s="20" t="str">
        <f>IFERROR(__xludf.DUMMYFUNCTION("""COMPUTED_VALUE"""),"Algorithms")</f>
        <v>Algorithms</v>
      </c>
      <c r="I1221" s="20">
        <f>IFERROR(__xludf.DUMMYFUNCTION("""COMPUTED_VALUE"""),0.605)</f>
        <v>0.605</v>
      </c>
      <c r="J1221" s="20">
        <f>IFERROR(__xludf.DUMMYFUNCTION("""COMPUTED_VALUE"""),1220.0)</f>
        <v>1220</v>
      </c>
      <c r="K1221" s="20" t="b">
        <f>IFERROR(__xludf.DUMMYFUNCTION("""COMPUTED_VALUE"""),FALSE)</f>
        <v>0</v>
      </c>
      <c r="L1221" s="20" t="str">
        <f>IFERROR(__xludf.DUMMYFUNCTION("""COMPUTED_VALUE"""),"Dynamic Programming;")</f>
        <v>Dynamic Programming;</v>
      </c>
      <c r="M1221" s="20" t="b">
        <f>IFERROR(__xludf.DUMMYFUNCTION("""COMPUTED_VALUE"""),TRUE)</f>
        <v>1</v>
      </c>
      <c r="N1221" s="20" t="b">
        <f>IFERROR(__xludf.DUMMYFUNCTION("""COMPUTED_VALUE"""),FALSE)</f>
        <v>0</v>
      </c>
      <c r="O1221" s="20">
        <f>IFERROR(__xludf.DUMMYFUNCTION("""COMPUTED_VALUE"""),60.4677033348967)</f>
        <v>60.46770333</v>
      </c>
      <c r="P1221" s="20">
        <f>IFERROR(__xludf.DUMMYFUNCTION("""COMPUTED_VALUE"""),100559.0)</f>
        <v>100559</v>
      </c>
      <c r="Q1221" s="20">
        <f>IFERROR(__xludf.DUMMYFUNCTION("""COMPUTED_VALUE"""),166302.0)</f>
        <v>166302</v>
      </c>
    </row>
    <row r="1222">
      <c r="A1222" s="20">
        <f>IFERROR(__xludf.DUMMYFUNCTION("""COMPUTED_VALUE"""),1341.0)</f>
        <v>1341</v>
      </c>
      <c r="B1222" s="20" t="str">
        <f>IFERROR(__xludf.DUMMYFUNCTION("""COMPUTED_VALUE"""),"Split a String in Balanced Strings")</f>
        <v>Split a String in Balanced Strings</v>
      </c>
      <c r="C1222" s="20" t="str">
        <f>IFERROR(__xludf.DUMMYFUNCTION("""COMPUTED_VALUE"""),"split-a-string-in-balanced-strings")</f>
        <v>split-a-string-in-balanced-strings</v>
      </c>
      <c r="D1222" s="20" t="b">
        <f>IFERROR(__xludf.DUMMYFUNCTION("""COMPUTED_VALUE"""),FALSE)</f>
        <v>0</v>
      </c>
      <c r="E1222" s="20" t="str">
        <f>IFERROR(__xludf.DUMMYFUNCTION("""COMPUTED_VALUE"""),"Easy")</f>
        <v>Easy</v>
      </c>
      <c r="F1222" s="20">
        <f>IFERROR(__xludf.DUMMYFUNCTION("""COMPUTED_VALUE"""),2123.0)</f>
        <v>2123</v>
      </c>
      <c r="G1222" s="20">
        <f>IFERROR(__xludf.DUMMYFUNCTION("""COMPUTED_VALUE"""),817.0)</f>
        <v>817</v>
      </c>
      <c r="H1222" s="20" t="str">
        <f>IFERROR(__xludf.DUMMYFUNCTION("""COMPUTED_VALUE"""),"Algorithms")</f>
        <v>Algorithms</v>
      </c>
      <c r="I1222" s="20">
        <f>IFERROR(__xludf.DUMMYFUNCTION("""COMPUTED_VALUE"""),0.849)</f>
        <v>0.849</v>
      </c>
      <c r="J1222" s="20">
        <f>IFERROR(__xludf.DUMMYFUNCTION("""COMPUTED_VALUE"""),1221.0)</f>
        <v>1221</v>
      </c>
      <c r="K1222" s="20" t="b">
        <f>IFERROR(__xludf.DUMMYFUNCTION("""COMPUTED_VALUE"""),FALSE)</f>
        <v>0</v>
      </c>
      <c r="L1222" s="20" t="str">
        <f>IFERROR(__xludf.DUMMYFUNCTION("""COMPUTED_VALUE"""),"String;Greedy;Counting;")</f>
        <v>String;Greedy;Counting;</v>
      </c>
      <c r="M1222" s="20" t="b">
        <f>IFERROR(__xludf.DUMMYFUNCTION("""COMPUTED_VALUE"""),FALSE)</f>
        <v>0</v>
      </c>
      <c r="N1222" s="20" t="b">
        <f>IFERROR(__xludf.DUMMYFUNCTION("""COMPUTED_VALUE"""),FALSE)</f>
        <v>0</v>
      </c>
      <c r="O1222" s="20">
        <f>IFERROR(__xludf.DUMMYFUNCTION("""COMPUTED_VALUE"""),84.869851582856)</f>
        <v>84.86985158</v>
      </c>
      <c r="P1222" s="20">
        <f>IFERROR(__xludf.DUMMYFUNCTION("""COMPUTED_VALUE"""),228333.0)</f>
        <v>228333</v>
      </c>
      <c r="Q1222" s="20">
        <f>IFERROR(__xludf.DUMMYFUNCTION("""COMPUTED_VALUE"""),269039.0)</f>
        <v>269039</v>
      </c>
    </row>
    <row r="1223">
      <c r="A1223" s="20">
        <f>IFERROR(__xludf.DUMMYFUNCTION("""COMPUTED_VALUE"""),1342.0)</f>
        <v>1342</v>
      </c>
      <c r="B1223" s="20" t="str">
        <f>IFERROR(__xludf.DUMMYFUNCTION("""COMPUTED_VALUE"""),"Queens That Can Attack the King")</f>
        <v>Queens That Can Attack the King</v>
      </c>
      <c r="C1223" s="20" t="str">
        <f>IFERROR(__xludf.DUMMYFUNCTION("""COMPUTED_VALUE"""),"queens-that-can-attack-the-king")</f>
        <v>queens-that-can-attack-the-king</v>
      </c>
      <c r="D1223" s="20" t="b">
        <f>IFERROR(__xludf.DUMMYFUNCTION("""COMPUTED_VALUE"""),FALSE)</f>
        <v>0</v>
      </c>
      <c r="E1223" s="20" t="str">
        <f>IFERROR(__xludf.DUMMYFUNCTION("""COMPUTED_VALUE"""),"Medium")</f>
        <v>Medium</v>
      </c>
      <c r="F1223" s="20">
        <f>IFERROR(__xludf.DUMMYFUNCTION("""COMPUTED_VALUE"""),797.0)</f>
        <v>797</v>
      </c>
      <c r="G1223" s="20">
        <f>IFERROR(__xludf.DUMMYFUNCTION("""COMPUTED_VALUE"""),137.0)</f>
        <v>137</v>
      </c>
      <c r="H1223" s="20" t="str">
        <f>IFERROR(__xludf.DUMMYFUNCTION("""COMPUTED_VALUE"""),"Algorithms")</f>
        <v>Algorithms</v>
      </c>
      <c r="I1223" s="20">
        <f>IFERROR(__xludf.DUMMYFUNCTION("""COMPUTED_VALUE"""),0.718)</f>
        <v>0.718</v>
      </c>
      <c r="J1223" s="20">
        <f>IFERROR(__xludf.DUMMYFUNCTION("""COMPUTED_VALUE"""),1222.0)</f>
        <v>1222</v>
      </c>
      <c r="K1223" s="20" t="b">
        <f>IFERROR(__xludf.DUMMYFUNCTION("""COMPUTED_VALUE"""),FALSE)</f>
        <v>0</v>
      </c>
      <c r="L1223" s="20" t="str">
        <f>IFERROR(__xludf.DUMMYFUNCTION("""COMPUTED_VALUE"""),"Array;Matrix;Simulation;")</f>
        <v>Array;Matrix;Simulation;</v>
      </c>
      <c r="M1223" s="20" t="b">
        <f>IFERROR(__xludf.DUMMYFUNCTION("""COMPUTED_VALUE"""),FALSE)</f>
        <v>0</v>
      </c>
      <c r="N1223" s="20" t="b">
        <f>IFERROR(__xludf.DUMMYFUNCTION("""COMPUTED_VALUE"""),FALSE)</f>
        <v>0</v>
      </c>
      <c r="O1223" s="20">
        <f>IFERROR(__xludf.DUMMYFUNCTION("""COMPUTED_VALUE"""),71.8110613810741)</f>
        <v>71.81106138</v>
      </c>
      <c r="P1223" s="20">
        <f>IFERROR(__xludf.DUMMYFUNCTION("""COMPUTED_VALUE"""),35939.0)</f>
        <v>35939</v>
      </c>
      <c r="Q1223" s="20">
        <f>IFERROR(__xludf.DUMMYFUNCTION("""COMPUTED_VALUE"""),50046.0)</f>
        <v>50046</v>
      </c>
    </row>
    <row r="1224">
      <c r="A1224" s="20">
        <f>IFERROR(__xludf.DUMMYFUNCTION("""COMPUTED_VALUE"""),1343.0)</f>
        <v>1343</v>
      </c>
      <c r="B1224" s="20" t="str">
        <f>IFERROR(__xludf.DUMMYFUNCTION("""COMPUTED_VALUE"""),"Dice Roll Simulation")</f>
        <v>Dice Roll Simulation</v>
      </c>
      <c r="C1224" s="20" t="str">
        <f>IFERROR(__xludf.DUMMYFUNCTION("""COMPUTED_VALUE"""),"dice-roll-simulation")</f>
        <v>dice-roll-simulation</v>
      </c>
      <c r="D1224" s="20" t="b">
        <f>IFERROR(__xludf.DUMMYFUNCTION("""COMPUTED_VALUE"""),FALSE)</f>
        <v>0</v>
      </c>
      <c r="E1224" s="20" t="str">
        <f>IFERROR(__xludf.DUMMYFUNCTION("""COMPUTED_VALUE"""),"Hard")</f>
        <v>Hard</v>
      </c>
      <c r="F1224" s="20">
        <f>IFERROR(__xludf.DUMMYFUNCTION("""COMPUTED_VALUE"""),808.0)</f>
        <v>808</v>
      </c>
      <c r="G1224" s="20">
        <f>IFERROR(__xludf.DUMMYFUNCTION("""COMPUTED_VALUE"""),182.0)</f>
        <v>182</v>
      </c>
      <c r="H1224" s="20" t="str">
        <f>IFERROR(__xludf.DUMMYFUNCTION("""COMPUTED_VALUE"""),"Algorithms")</f>
        <v>Algorithms</v>
      </c>
      <c r="I1224" s="20">
        <f>IFERROR(__xludf.DUMMYFUNCTION("""COMPUTED_VALUE"""),0.485)</f>
        <v>0.485</v>
      </c>
      <c r="J1224" s="20">
        <f>IFERROR(__xludf.DUMMYFUNCTION("""COMPUTED_VALUE"""),1223.0)</f>
        <v>1223</v>
      </c>
      <c r="K1224" s="20" t="b">
        <f>IFERROR(__xludf.DUMMYFUNCTION("""COMPUTED_VALUE"""),FALSE)</f>
        <v>0</v>
      </c>
      <c r="L1224" s="20" t="str">
        <f>IFERROR(__xludf.DUMMYFUNCTION("""COMPUTED_VALUE"""),"Array;Dynamic Programming;")</f>
        <v>Array;Dynamic Programming;</v>
      </c>
      <c r="M1224" s="20" t="b">
        <f>IFERROR(__xludf.DUMMYFUNCTION("""COMPUTED_VALUE"""),FALSE)</f>
        <v>0</v>
      </c>
      <c r="N1224" s="20" t="b">
        <f>IFERROR(__xludf.DUMMYFUNCTION("""COMPUTED_VALUE"""),FALSE)</f>
        <v>0</v>
      </c>
      <c r="O1224" s="20">
        <f>IFERROR(__xludf.DUMMYFUNCTION("""COMPUTED_VALUE"""),48.5084792608532)</f>
        <v>48.50847926</v>
      </c>
      <c r="P1224" s="20">
        <f>IFERROR(__xludf.DUMMYFUNCTION("""COMPUTED_VALUE"""),24571.0)</f>
        <v>24571</v>
      </c>
      <c r="Q1224" s="20">
        <f>IFERROR(__xludf.DUMMYFUNCTION("""COMPUTED_VALUE"""),50653.0)</f>
        <v>50653</v>
      </c>
    </row>
    <row r="1225">
      <c r="A1225" s="20">
        <f>IFERROR(__xludf.DUMMYFUNCTION("""COMPUTED_VALUE"""),1344.0)</f>
        <v>1344</v>
      </c>
      <c r="B1225" s="20" t="str">
        <f>IFERROR(__xludf.DUMMYFUNCTION("""COMPUTED_VALUE"""),"Maximum Equal Frequency")</f>
        <v>Maximum Equal Frequency</v>
      </c>
      <c r="C1225" s="20" t="str">
        <f>IFERROR(__xludf.DUMMYFUNCTION("""COMPUTED_VALUE"""),"maximum-equal-frequency")</f>
        <v>maximum-equal-frequency</v>
      </c>
      <c r="D1225" s="20" t="b">
        <f>IFERROR(__xludf.DUMMYFUNCTION("""COMPUTED_VALUE"""),FALSE)</f>
        <v>0</v>
      </c>
      <c r="E1225" s="20" t="str">
        <f>IFERROR(__xludf.DUMMYFUNCTION("""COMPUTED_VALUE"""),"Hard")</f>
        <v>Hard</v>
      </c>
      <c r="F1225" s="20">
        <f>IFERROR(__xludf.DUMMYFUNCTION("""COMPUTED_VALUE"""),452.0)</f>
        <v>452</v>
      </c>
      <c r="G1225" s="20">
        <f>IFERROR(__xludf.DUMMYFUNCTION("""COMPUTED_VALUE"""),52.0)</f>
        <v>52</v>
      </c>
      <c r="H1225" s="20" t="str">
        <f>IFERROR(__xludf.DUMMYFUNCTION("""COMPUTED_VALUE"""),"Algorithms")</f>
        <v>Algorithms</v>
      </c>
      <c r="I1225" s="20">
        <f>IFERROR(__xludf.DUMMYFUNCTION("""COMPUTED_VALUE"""),0.371)</f>
        <v>0.371</v>
      </c>
      <c r="J1225" s="20">
        <f>IFERROR(__xludf.DUMMYFUNCTION("""COMPUTED_VALUE"""),1224.0)</f>
        <v>1224</v>
      </c>
      <c r="K1225" s="20" t="b">
        <f>IFERROR(__xludf.DUMMYFUNCTION("""COMPUTED_VALUE"""),FALSE)</f>
        <v>0</v>
      </c>
      <c r="L1225" s="20" t="str">
        <f>IFERROR(__xludf.DUMMYFUNCTION("""COMPUTED_VALUE"""),"Array;Hash Table;")</f>
        <v>Array;Hash Table;</v>
      </c>
      <c r="M1225" s="20" t="b">
        <f>IFERROR(__xludf.DUMMYFUNCTION("""COMPUTED_VALUE"""),FALSE)</f>
        <v>0</v>
      </c>
      <c r="N1225" s="20" t="b">
        <f>IFERROR(__xludf.DUMMYFUNCTION("""COMPUTED_VALUE"""),FALSE)</f>
        <v>0</v>
      </c>
      <c r="O1225" s="20">
        <f>IFERROR(__xludf.DUMMYFUNCTION("""COMPUTED_VALUE"""),37.0684776457272)</f>
        <v>37.06847765</v>
      </c>
      <c r="P1225" s="20">
        <f>IFERROR(__xludf.DUMMYFUNCTION("""COMPUTED_VALUE"""),12445.0)</f>
        <v>12445</v>
      </c>
      <c r="Q1225" s="20">
        <f>IFERROR(__xludf.DUMMYFUNCTION("""COMPUTED_VALUE"""),33573.0)</f>
        <v>33573</v>
      </c>
    </row>
    <row r="1226">
      <c r="A1226" s="20">
        <f>IFERROR(__xludf.DUMMYFUNCTION("""COMPUTED_VALUE"""),1357.0)</f>
        <v>1357</v>
      </c>
      <c r="B1226" s="20" t="str">
        <f>IFERROR(__xludf.DUMMYFUNCTION("""COMPUTED_VALUE"""),"Report Contiguous Dates")</f>
        <v>Report Contiguous Dates</v>
      </c>
      <c r="C1226" s="20" t="str">
        <f>IFERROR(__xludf.DUMMYFUNCTION("""COMPUTED_VALUE"""),"report-contiguous-dates")</f>
        <v>report-contiguous-dates</v>
      </c>
      <c r="D1226" s="20" t="b">
        <f>IFERROR(__xludf.DUMMYFUNCTION("""COMPUTED_VALUE"""),TRUE)</f>
        <v>1</v>
      </c>
      <c r="E1226" s="20" t="str">
        <f>IFERROR(__xludf.DUMMYFUNCTION("""COMPUTED_VALUE"""),"Hard")</f>
        <v>Hard</v>
      </c>
      <c r="F1226" s="20">
        <f>IFERROR(__xludf.DUMMYFUNCTION("""COMPUTED_VALUE"""),259.0)</f>
        <v>259</v>
      </c>
      <c r="G1226" s="20">
        <f>IFERROR(__xludf.DUMMYFUNCTION("""COMPUTED_VALUE"""),20.0)</f>
        <v>20</v>
      </c>
      <c r="H1226" s="20" t="str">
        <f>IFERROR(__xludf.DUMMYFUNCTION("""COMPUTED_VALUE"""),"Database")</f>
        <v>Database</v>
      </c>
      <c r="I1226" s="20">
        <f>IFERROR(__xludf.DUMMYFUNCTION("""COMPUTED_VALUE"""),0.632)</f>
        <v>0.632</v>
      </c>
      <c r="J1226" s="20">
        <f>IFERROR(__xludf.DUMMYFUNCTION("""COMPUTED_VALUE"""),1225.0)</f>
        <v>1225</v>
      </c>
      <c r="K1226" s="20" t="b">
        <f>IFERROR(__xludf.DUMMYFUNCTION("""COMPUTED_VALUE"""),TRUE)</f>
        <v>1</v>
      </c>
      <c r="L1226" s="20" t="str">
        <f>IFERROR(__xludf.DUMMYFUNCTION("""COMPUTED_VALUE"""),"Database;")</f>
        <v>Database;</v>
      </c>
      <c r="M1226" s="20" t="b">
        <f>IFERROR(__xludf.DUMMYFUNCTION("""COMPUTED_VALUE"""),FALSE)</f>
        <v>0</v>
      </c>
      <c r="N1226" s="20" t="b">
        <f>IFERROR(__xludf.DUMMYFUNCTION("""COMPUTED_VALUE"""),FALSE)</f>
        <v>0</v>
      </c>
      <c r="O1226" s="20">
        <f>IFERROR(__xludf.DUMMYFUNCTION("""COMPUTED_VALUE"""),63.1541326511417)</f>
        <v>63.15413265</v>
      </c>
      <c r="P1226" s="20">
        <f>IFERROR(__xludf.DUMMYFUNCTION("""COMPUTED_VALUE"""),16787.0)</f>
        <v>16787</v>
      </c>
      <c r="Q1226" s="20">
        <f>IFERROR(__xludf.DUMMYFUNCTION("""COMPUTED_VALUE"""),26581.0)</f>
        <v>26581</v>
      </c>
    </row>
    <row r="1227">
      <c r="A1227" s="20">
        <f>IFERROR(__xludf.DUMMYFUNCTION("""COMPUTED_VALUE"""),1340.0)</f>
        <v>1340</v>
      </c>
      <c r="B1227" s="20" t="str">
        <f>IFERROR(__xludf.DUMMYFUNCTION("""COMPUTED_VALUE"""),"The Dining Philosophers")</f>
        <v>The Dining Philosophers</v>
      </c>
      <c r="C1227" s="20" t="str">
        <f>IFERROR(__xludf.DUMMYFUNCTION("""COMPUTED_VALUE"""),"the-dining-philosophers")</f>
        <v>the-dining-philosophers</v>
      </c>
      <c r="D1227" s="20" t="b">
        <f>IFERROR(__xludf.DUMMYFUNCTION("""COMPUTED_VALUE"""),FALSE)</f>
        <v>0</v>
      </c>
      <c r="E1227" s="20" t="str">
        <f>IFERROR(__xludf.DUMMYFUNCTION("""COMPUTED_VALUE"""),"Medium")</f>
        <v>Medium</v>
      </c>
      <c r="F1227" s="20">
        <f>IFERROR(__xludf.DUMMYFUNCTION("""COMPUTED_VALUE"""),242.0)</f>
        <v>242</v>
      </c>
      <c r="G1227" s="20">
        <f>IFERROR(__xludf.DUMMYFUNCTION("""COMPUTED_VALUE"""),252.0)</f>
        <v>252</v>
      </c>
      <c r="H1227" s="20" t="str">
        <f>IFERROR(__xludf.DUMMYFUNCTION("""COMPUTED_VALUE"""),"Concurrency")</f>
        <v>Concurrency</v>
      </c>
      <c r="I1227" s="20">
        <f>IFERROR(__xludf.DUMMYFUNCTION("""COMPUTED_VALUE"""),0.565)</f>
        <v>0.565</v>
      </c>
      <c r="J1227" s="20">
        <f>IFERROR(__xludf.DUMMYFUNCTION("""COMPUTED_VALUE"""),1226.0)</f>
        <v>1226</v>
      </c>
      <c r="K1227" s="20" t="b">
        <f>IFERROR(__xludf.DUMMYFUNCTION("""COMPUTED_VALUE"""),FALSE)</f>
        <v>0</v>
      </c>
      <c r="L1227" s="20" t="str">
        <f>IFERROR(__xludf.DUMMYFUNCTION("""COMPUTED_VALUE"""),"Concurrency;")</f>
        <v>Concurrency;</v>
      </c>
      <c r="M1227" s="20" t="b">
        <f>IFERROR(__xludf.DUMMYFUNCTION("""COMPUTED_VALUE"""),FALSE)</f>
        <v>0</v>
      </c>
      <c r="N1227" s="20" t="b">
        <f>IFERROR(__xludf.DUMMYFUNCTION("""COMPUTED_VALUE"""),FALSE)</f>
        <v>0</v>
      </c>
      <c r="O1227" s="20">
        <f>IFERROR(__xludf.DUMMYFUNCTION("""COMPUTED_VALUE"""),56.4713410282282)</f>
        <v>56.47134103</v>
      </c>
      <c r="P1227" s="20">
        <f>IFERROR(__xludf.DUMMYFUNCTION("""COMPUTED_VALUE"""),22946.0)</f>
        <v>22946</v>
      </c>
      <c r="Q1227" s="20">
        <f>IFERROR(__xludf.DUMMYFUNCTION("""COMPUTED_VALUE"""),40633.0)</f>
        <v>40633</v>
      </c>
    </row>
    <row r="1228">
      <c r="A1228" s="20">
        <f>IFERROR(__xludf.DUMMYFUNCTION("""COMPUTED_VALUE"""),1362.0)</f>
        <v>1362</v>
      </c>
      <c r="B1228" s="20" t="str">
        <f>IFERROR(__xludf.DUMMYFUNCTION("""COMPUTED_VALUE"""),"Airplane Seat Assignment Probability")</f>
        <v>Airplane Seat Assignment Probability</v>
      </c>
      <c r="C1228" s="20" t="str">
        <f>IFERROR(__xludf.DUMMYFUNCTION("""COMPUTED_VALUE"""),"airplane-seat-assignment-probability")</f>
        <v>airplane-seat-assignment-probability</v>
      </c>
      <c r="D1228" s="20" t="b">
        <f>IFERROR(__xludf.DUMMYFUNCTION("""COMPUTED_VALUE"""),FALSE)</f>
        <v>0</v>
      </c>
      <c r="E1228" s="20" t="str">
        <f>IFERROR(__xludf.DUMMYFUNCTION("""COMPUTED_VALUE"""),"Medium")</f>
        <v>Medium</v>
      </c>
      <c r="F1228" s="20">
        <f>IFERROR(__xludf.DUMMYFUNCTION("""COMPUTED_VALUE"""),456.0)</f>
        <v>456</v>
      </c>
      <c r="G1228" s="20">
        <f>IFERROR(__xludf.DUMMYFUNCTION("""COMPUTED_VALUE"""),779.0)</f>
        <v>779</v>
      </c>
      <c r="H1228" s="20" t="str">
        <f>IFERROR(__xludf.DUMMYFUNCTION("""COMPUTED_VALUE"""),"Algorithms")</f>
        <v>Algorithms</v>
      </c>
      <c r="I1228" s="20">
        <f>IFERROR(__xludf.DUMMYFUNCTION("""COMPUTED_VALUE"""),0.649)</f>
        <v>0.649</v>
      </c>
      <c r="J1228" s="20">
        <f>IFERROR(__xludf.DUMMYFUNCTION("""COMPUTED_VALUE"""),1227.0)</f>
        <v>1227</v>
      </c>
      <c r="K1228" s="20" t="b">
        <f>IFERROR(__xludf.DUMMYFUNCTION("""COMPUTED_VALUE"""),FALSE)</f>
        <v>0</v>
      </c>
      <c r="L1228" s="20" t="str">
        <f>IFERROR(__xludf.DUMMYFUNCTION("""COMPUTED_VALUE"""),"Math;Dynamic Programming;Brainteaser;Probability and Statistics;")</f>
        <v>Math;Dynamic Programming;Brainteaser;Probability and Statistics;</v>
      </c>
      <c r="M1228" s="20" t="b">
        <f>IFERROR(__xludf.DUMMYFUNCTION("""COMPUTED_VALUE"""),FALSE)</f>
        <v>0</v>
      </c>
      <c r="N1228" s="20" t="b">
        <f>IFERROR(__xludf.DUMMYFUNCTION("""COMPUTED_VALUE"""),FALSE)</f>
        <v>0</v>
      </c>
      <c r="O1228" s="20">
        <f>IFERROR(__xludf.DUMMYFUNCTION("""COMPUTED_VALUE"""),64.9359963488579)</f>
        <v>64.93599635</v>
      </c>
      <c r="P1228" s="20">
        <f>IFERROR(__xludf.DUMMYFUNCTION("""COMPUTED_VALUE"""),29879.0)</f>
        <v>29879</v>
      </c>
      <c r="Q1228" s="20">
        <f>IFERROR(__xludf.DUMMYFUNCTION("""COMPUTED_VALUE"""),46013.0)</f>
        <v>46013</v>
      </c>
    </row>
    <row r="1229">
      <c r="A1229" s="20">
        <f>IFERROR(__xludf.DUMMYFUNCTION("""COMPUTED_VALUE"""),1164.0)</f>
        <v>1164</v>
      </c>
      <c r="B1229" s="20" t="str">
        <f>IFERROR(__xludf.DUMMYFUNCTION("""COMPUTED_VALUE"""),"Missing Number In Arithmetic Progression")</f>
        <v>Missing Number In Arithmetic Progression</v>
      </c>
      <c r="C1229" s="20" t="str">
        <f>IFERROR(__xludf.DUMMYFUNCTION("""COMPUTED_VALUE"""),"missing-number-in-arithmetic-progression")</f>
        <v>missing-number-in-arithmetic-progression</v>
      </c>
      <c r="D1229" s="20" t="b">
        <f>IFERROR(__xludf.DUMMYFUNCTION("""COMPUTED_VALUE"""),TRUE)</f>
        <v>1</v>
      </c>
      <c r="E1229" s="20" t="str">
        <f>IFERROR(__xludf.DUMMYFUNCTION("""COMPUTED_VALUE"""),"Easy")</f>
        <v>Easy</v>
      </c>
      <c r="F1229" s="20">
        <f>IFERROR(__xludf.DUMMYFUNCTION("""COMPUTED_VALUE"""),269.0)</f>
        <v>269</v>
      </c>
      <c r="G1229" s="20">
        <f>IFERROR(__xludf.DUMMYFUNCTION("""COMPUTED_VALUE"""),36.0)</f>
        <v>36</v>
      </c>
      <c r="H1229" s="20" t="str">
        <f>IFERROR(__xludf.DUMMYFUNCTION("""COMPUTED_VALUE"""),"Algorithms")</f>
        <v>Algorithms</v>
      </c>
      <c r="I1229" s="20">
        <f>IFERROR(__xludf.DUMMYFUNCTION("""COMPUTED_VALUE"""),0.514)</f>
        <v>0.514</v>
      </c>
      <c r="J1229" s="20">
        <f>IFERROR(__xludf.DUMMYFUNCTION("""COMPUTED_VALUE"""),1228.0)</f>
        <v>1228</v>
      </c>
      <c r="K1229" s="20" t="b">
        <f>IFERROR(__xludf.DUMMYFUNCTION("""COMPUTED_VALUE"""),TRUE)</f>
        <v>1</v>
      </c>
      <c r="L1229" s="20" t="str">
        <f>IFERROR(__xludf.DUMMYFUNCTION("""COMPUTED_VALUE"""),"Array;Math;")</f>
        <v>Array;Math;</v>
      </c>
      <c r="M1229" s="20" t="b">
        <f>IFERROR(__xludf.DUMMYFUNCTION("""COMPUTED_VALUE"""),TRUE)</f>
        <v>1</v>
      </c>
      <c r="N1229" s="20" t="b">
        <f>IFERROR(__xludf.DUMMYFUNCTION("""COMPUTED_VALUE"""),TRUE)</f>
        <v>1</v>
      </c>
      <c r="O1229" s="20">
        <f>IFERROR(__xludf.DUMMYFUNCTION("""COMPUTED_VALUE"""),51.4223194748358)</f>
        <v>51.42231947</v>
      </c>
      <c r="P1229" s="20">
        <f>IFERROR(__xludf.DUMMYFUNCTION("""COMPUTED_VALUE"""),22795.0)</f>
        <v>22795</v>
      </c>
      <c r="Q1229" s="20">
        <f>IFERROR(__xludf.DUMMYFUNCTION("""COMPUTED_VALUE"""),44329.0)</f>
        <v>44329</v>
      </c>
    </row>
    <row r="1230">
      <c r="A1230" s="20">
        <f>IFERROR(__xludf.DUMMYFUNCTION("""COMPUTED_VALUE"""),1165.0)</f>
        <v>1165</v>
      </c>
      <c r="B1230" s="20" t="str">
        <f>IFERROR(__xludf.DUMMYFUNCTION("""COMPUTED_VALUE"""),"Meeting Scheduler")</f>
        <v>Meeting Scheduler</v>
      </c>
      <c r="C1230" s="20" t="str">
        <f>IFERROR(__xludf.DUMMYFUNCTION("""COMPUTED_VALUE"""),"meeting-scheduler")</f>
        <v>meeting-scheduler</v>
      </c>
      <c r="D1230" s="20" t="b">
        <f>IFERROR(__xludf.DUMMYFUNCTION("""COMPUTED_VALUE"""),TRUE)</f>
        <v>1</v>
      </c>
      <c r="E1230" s="20" t="str">
        <f>IFERROR(__xludf.DUMMYFUNCTION("""COMPUTED_VALUE"""),"Medium")</f>
        <v>Medium</v>
      </c>
      <c r="F1230" s="20">
        <f>IFERROR(__xludf.DUMMYFUNCTION("""COMPUTED_VALUE"""),804.0)</f>
        <v>804</v>
      </c>
      <c r="G1230" s="20">
        <f>IFERROR(__xludf.DUMMYFUNCTION("""COMPUTED_VALUE"""),30.0)</f>
        <v>30</v>
      </c>
      <c r="H1230" s="20" t="str">
        <f>IFERROR(__xludf.DUMMYFUNCTION("""COMPUTED_VALUE"""),"Algorithms")</f>
        <v>Algorithms</v>
      </c>
      <c r="I1230" s="20">
        <f>IFERROR(__xludf.DUMMYFUNCTION("""COMPUTED_VALUE"""),0.553)</f>
        <v>0.553</v>
      </c>
      <c r="J1230" s="20">
        <f>IFERROR(__xludf.DUMMYFUNCTION("""COMPUTED_VALUE"""),1229.0)</f>
        <v>1229</v>
      </c>
      <c r="K1230" s="20" t="b">
        <f>IFERROR(__xludf.DUMMYFUNCTION("""COMPUTED_VALUE"""),TRUE)</f>
        <v>1</v>
      </c>
      <c r="L1230" s="20" t="str">
        <f>IFERROR(__xludf.DUMMYFUNCTION("""COMPUTED_VALUE"""),"Array;Two Pointers;Sorting;")</f>
        <v>Array;Two Pointers;Sorting;</v>
      </c>
      <c r="M1230" s="20" t="b">
        <f>IFERROR(__xludf.DUMMYFUNCTION("""COMPUTED_VALUE"""),TRUE)</f>
        <v>1</v>
      </c>
      <c r="N1230" s="20" t="b">
        <f>IFERROR(__xludf.DUMMYFUNCTION("""COMPUTED_VALUE"""),FALSE)</f>
        <v>0</v>
      </c>
      <c r="O1230" s="20">
        <f>IFERROR(__xludf.DUMMYFUNCTION("""COMPUTED_VALUE"""),55.3098606461911)</f>
        <v>55.30986065</v>
      </c>
      <c r="P1230" s="20">
        <f>IFERROR(__xludf.DUMMYFUNCTION("""COMPUTED_VALUE"""),67909.0)</f>
        <v>67909</v>
      </c>
      <c r="Q1230" s="20">
        <f>IFERROR(__xludf.DUMMYFUNCTION("""COMPUTED_VALUE"""),122776.0)</f>
        <v>122776</v>
      </c>
    </row>
    <row r="1231">
      <c r="A1231" s="20">
        <f>IFERROR(__xludf.DUMMYFUNCTION("""COMPUTED_VALUE"""),1166.0)</f>
        <v>1166</v>
      </c>
      <c r="B1231" s="20" t="str">
        <f>IFERROR(__xludf.DUMMYFUNCTION("""COMPUTED_VALUE"""),"Toss Strange Coins")</f>
        <v>Toss Strange Coins</v>
      </c>
      <c r="C1231" s="20" t="str">
        <f>IFERROR(__xludf.DUMMYFUNCTION("""COMPUTED_VALUE"""),"toss-strange-coins")</f>
        <v>toss-strange-coins</v>
      </c>
      <c r="D1231" s="20" t="b">
        <f>IFERROR(__xludf.DUMMYFUNCTION("""COMPUTED_VALUE"""),TRUE)</f>
        <v>1</v>
      </c>
      <c r="E1231" s="20" t="str">
        <f>IFERROR(__xludf.DUMMYFUNCTION("""COMPUTED_VALUE"""),"Medium")</f>
        <v>Medium</v>
      </c>
      <c r="F1231" s="20">
        <f>IFERROR(__xludf.DUMMYFUNCTION("""COMPUTED_VALUE"""),261.0)</f>
        <v>261</v>
      </c>
      <c r="G1231" s="20">
        <f>IFERROR(__xludf.DUMMYFUNCTION("""COMPUTED_VALUE"""),29.0)</f>
        <v>29</v>
      </c>
      <c r="H1231" s="20" t="str">
        <f>IFERROR(__xludf.DUMMYFUNCTION("""COMPUTED_VALUE"""),"Algorithms")</f>
        <v>Algorithms</v>
      </c>
      <c r="I1231" s="20">
        <f>IFERROR(__xludf.DUMMYFUNCTION("""COMPUTED_VALUE"""),0.536)</f>
        <v>0.536</v>
      </c>
      <c r="J1231" s="20">
        <f>IFERROR(__xludf.DUMMYFUNCTION("""COMPUTED_VALUE"""),1230.0)</f>
        <v>1230</v>
      </c>
      <c r="K1231" s="20" t="b">
        <f>IFERROR(__xludf.DUMMYFUNCTION("""COMPUTED_VALUE"""),TRUE)</f>
        <v>1</v>
      </c>
      <c r="L1231" s="20" t="str">
        <f>IFERROR(__xludf.DUMMYFUNCTION("""COMPUTED_VALUE"""),"Math;Dynamic Programming;Probability and Statistics;")</f>
        <v>Math;Dynamic Programming;Probability and Statistics;</v>
      </c>
      <c r="M1231" s="20" t="b">
        <f>IFERROR(__xludf.DUMMYFUNCTION("""COMPUTED_VALUE"""),FALSE)</f>
        <v>0</v>
      </c>
      <c r="N1231" s="20" t="b">
        <f>IFERROR(__xludf.DUMMYFUNCTION("""COMPUTED_VALUE"""),FALSE)</f>
        <v>0</v>
      </c>
      <c r="O1231" s="20">
        <f>IFERROR(__xludf.DUMMYFUNCTION("""COMPUTED_VALUE"""),53.6378262424025)</f>
        <v>53.63782624</v>
      </c>
      <c r="P1231" s="20">
        <f>IFERROR(__xludf.DUMMYFUNCTION("""COMPUTED_VALUE"""),12002.0)</f>
        <v>12002</v>
      </c>
      <c r="Q1231" s="20">
        <f>IFERROR(__xludf.DUMMYFUNCTION("""COMPUTED_VALUE"""),22376.0)</f>
        <v>22376</v>
      </c>
    </row>
    <row r="1232">
      <c r="A1232" s="20">
        <f>IFERROR(__xludf.DUMMYFUNCTION("""COMPUTED_VALUE"""),1192.0)</f>
        <v>1192</v>
      </c>
      <c r="B1232" s="20" t="str">
        <f>IFERROR(__xludf.DUMMYFUNCTION("""COMPUTED_VALUE"""),"Divide Chocolate")</f>
        <v>Divide Chocolate</v>
      </c>
      <c r="C1232" s="20" t="str">
        <f>IFERROR(__xludf.DUMMYFUNCTION("""COMPUTED_VALUE"""),"divide-chocolate")</f>
        <v>divide-chocolate</v>
      </c>
      <c r="D1232" s="20" t="b">
        <f>IFERROR(__xludf.DUMMYFUNCTION("""COMPUTED_VALUE"""),TRUE)</f>
        <v>1</v>
      </c>
      <c r="E1232" s="20" t="str">
        <f>IFERROR(__xludf.DUMMYFUNCTION("""COMPUTED_VALUE"""),"Hard")</f>
        <v>Hard</v>
      </c>
      <c r="F1232" s="20">
        <f>IFERROR(__xludf.DUMMYFUNCTION("""COMPUTED_VALUE"""),827.0)</f>
        <v>827</v>
      </c>
      <c r="G1232" s="20">
        <f>IFERROR(__xludf.DUMMYFUNCTION("""COMPUTED_VALUE"""),49.0)</f>
        <v>49</v>
      </c>
      <c r="H1232" s="20" t="str">
        <f>IFERROR(__xludf.DUMMYFUNCTION("""COMPUTED_VALUE"""),"Algorithms")</f>
        <v>Algorithms</v>
      </c>
      <c r="I1232" s="20">
        <f>IFERROR(__xludf.DUMMYFUNCTION("""COMPUTED_VALUE"""),0.57)</f>
        <v>0.57</v>
      </c>
      <c r="J1232" s="20">
        <f>IFERROR(__xludf.DUMMYFUNCTION("""COMPUTED_VALUE"""),1231.0)</f>
        <v>1231</v>
      </c>
      <c r="K1232" s="20" t="b">
        <f>IFERROR(__xludf.DUMMYFUNCTION("""COMPUTED_VALUE"""),TRUE)</f>
        <v>1</v>
      </c>
      <c r="L1232" s="20" t="str">
        <f>IFERROR(__xludf.DUMMYFUNCTION("""COMPUTED_VALUE"""),"Array;Binary Search;")</f>
        <v>Array;Binary Search;</v>
      </c>
      <c r="M1232" s="20" t="b">
        <f>IFERROR(__xludf.DUMMYFUNCTION("""COMPUTED_VALUE"""),TRUE)</f>
        <v>1</v>
      </c>
      <c r="N1232" s="20" t="b">
        <f>IFERROR(__xludf.DUMMYFUNCTION("""COMPUTED_VALUE"""),FALSE)</f>
        <v>0</v>
      </c>
      <c r="O1232" s="20">
        <f>IFERROR(__xludf.DUMMYFUNCTION("""COMPUTED_VALUE"""),57.0356649082538)</f>
        <v>57.03566491</v>
      </c>
      <c r="P1232" s="20">
        <f>IFERROR(__xludf.DUMMYFUNCTION("""COMPUTED_VALUE"""),42491.0)</f>
        <v>42491</v>
      </c>
      <c r="Q1232" s="20">
        <f>IFERROR(__xludf.DUMMYFUNCTION("""COMPUTED_VALUE"""),74499.0)</f>
        <v>74499</v>
      </c>
    </row>
    <row r="1233">
      <c r="A1233" s="20">
        <f>IFERROR(__xludf.DUMMYFUNCTION("""COMPUTED_VALUE"""),1349.0)</f>
        <v>1349</v>
      </c>
      <c r="B1233" s="20" t="str">
        <f>IFERROR(__xludf.DUMMYFUNCTION("""COMPUTED_VALUE"""),"Check If It Is a Straight Line")</f>
        <v>Check If It Is a Straight Line</v>
      </c>
      <c r="C1233" s="20" t="str">
        <f>IFERROR(__xludf.DUMMYFUNCTION("""COMPUTED_VALUE"""),"check-if-it-is-a-straight-line")</f>
        <v>check-if-it-is-a-straight-line</v>
      </c>
      <c r="D1233" s="20" t="b">
        <f>IFERROR(__xludf.DUMMYFUNCTION("""COMPUTED_VALUE"""),FALSE)</f>
        <v>0</v>
      </c>
      <c r="E1233" s="20" t="str">
        <f>IFERROR(__xludf.DUMMYFUNCTION("""COMPUTED_VALUE"""),"Easy")</f>
        <v>Easy</v>
      </c>
      <c r="F1233" s="20">
        <f>IFERROR(__xludf.DUMMYFUNCTION("""COMPUTED_VALUE"""),1172.0)</f>
        <v>1172</v>
      </c>
      <c r="G1233" s="20">
        <f>IFERROR(__xludf.DUMMYFUNCTION("""COMPUTED_VALUE"""),170.0)</f>
        <v>170</v>
      </c>
      <c r="H1233" s="20" t="str">
        <f>IFERROR(__xludf.DUMMYFUNCTION("""COMPUTED_VALUE"""),"Algorithms")</f>
        <v>Algorithms</v>
      </c>
      <c r="I1233" s="20">
        <f>IFERROR(__xludf.DUMMYFUNCTION("""COMPUTED_VALUE"""),0.409)</f>
        <v>0.409</v>
      </c>
      <c r="J1233" s="20">
        <f>IFERROR(__xludf.DUMMYFUNCTION("""COMPUTED_VALUE"""),1232.0)</f>
        <v>1232</v>
      </c>
      <c r="K1233" s="20" t="b">
        <f>IFERROR(__xludf.DUMMYFUNCTION("""COMPUTED_VALUE"""),FALSE)</f>
        <v>0</v>
      </c>
      <c r="L1233" s="20" t="str">
        <f>IFERROR(__xludf.DUMMYFUNCTION("""COMPUTED_VALUE"""),"Array;Math;Geometry;")</f>
        <v>Array;Math;Geometry;</v>
      </c>
      <c r="M1233" s="20" t="b">
        <f>IFERROR(__xludf.DUMMYFUNCTION("""COMPUTED_VALUE"""),FALSE)</f>
        <v>0</v>
      </c>
      <c r="N1233" s="20" t="b">
        <f>IFERROR(__xludf.DUMMYFUNCTION("""COMPUTED_VALUE"""),FALSE)</f>
        <v>0</v>
      </c>
      <c r="O1233" s="20">
        <f>IFERROR(__xludf.DUMMYFUNCTION("""COMPUTED_VALUE"""),40.8672227758343)</f>
        <v>40.86722278</v>
      </c>
      <c r="P1233" s="20">
        <f>IFERROR(__xludf.DUMMYFUNCTION("""COMPUTED_VALUE"""),138205.0)</f>
        <v>138205</v>
      </c>
      <c r="Q1233" s="20">
        <f>IFERROR(__xludf.DUMMYFUNCTION("""COMPUTED_VALUE"""),338181.0)</f>
        <v>338181</v>
      </c>
    </row>
    <row r="1234">
      <c r="A1234" s="20">
        <f>IFERROR(__xludf.DUMMYFUNCTION("""COMPUTED_VALUE"""),1350.0)</f>
        <v>1350</v>
      </c>
      <c r="B1234" s="20" t="str">
        <f>IFERROR(__xludf.DUMMYFUNCTION("""COMPUTED_VALUE"""),"Remove Sub-Folders from the Filesystem")</f>
        <v>Remove Sub-Folders from the Filesystem</v>
      </c>
      <c r="C1234" s="20" t="str">
        <f>IFERROR(__xludf.DUMMYFUNCTION("""COMPUTED_VALUE"""),"remove-sub-folders-from-the-filesystem")</f>
        <v>remove-sub-folders-from-the-filesystem</v>
      </c>
      <c r="D1234" s="20" t="b">
        <f>IFERROR(__xludf.DUMMYFUNCTION("""COMPUTED_VALUE"""),FALSE)</f>
        <v>0</v>
      </c>
      <c r="E1234" s="20" t="str">
        <f>IFERROR(__xludf.DUMMYFUNCTION("""COMPUTED_VALUE"""),"Medium")</f>
        <v>Medium</v>
      </c>
      <c r="F1234" s="20">
        <f>IFERROR(__xludf.DUMMYFUNCTION("""COMPUTED_VALUE"""),683.0)</f>
        <v>683</v>
      </c>
      <c r="G1234" s="20">
        <f>IFERROR(__xludf.DUMMYFUNCTION("""COMPUTED_VALUE"""),92.0)</f>
        <v>92</v>
      </c>
      <c r="H1234" s="20" t="str">
        <f>IFERROR(__xludf.DUMMYFUNCTION("""COMPUTED_VALUE"""),"Algorithms")</f>
        <v>Algorithms</v>
      </c>
      <c r="I1234" s="20">
        <f>IFERROR(__xludf.DUMMYFUNCTION("""COMPUTED_VALUE"""),0.654)</f>
        <v>0.654</v>
      </c>
      <c r="J1234" s="20">
        <f>IFERROR(__xludf.DUMMYFUNCTION("""COMPUTED_VALUE"""),1233.0)</f>
        <v>1233</v>
      </c>
      <c r="K1234" s="20" t="b">
        <f>IFERROR(__xludf.DUMMYFUNCTION("""COMPUTED_VALUE"""),FALSE)</f>
        <v>0</v>
      </c>
      <c r="L1234" s="20" t="str">
        <f>IFERROR(__xludf.DUMMYFUNCTION("""COMPUTED_VALUE"""),"Array;String;Trie;")</f>
        <v>Array;String;Trie;</v>
      </c>
      <c r="M1234" s="20" t="b">
        <f>IFERROR(__xludf.DUMMYFUNCTION("""COMPUTED_VALUE"""),FALSE)</f>
        <v>0</v>
      </c>
      <c r="N1234" s="20" t="b">
        <f>IFERROR(__xludf.DUMMYFUNCTION("""COMPUTED_VALUE"""),FALSE)</f>
        <v>0</v>
      </c>
      <c r="O1234" s="20">
        <f>IFERROR(__xludf.DUMMYFUNCTION("""COMPUTED_VALUE"""),65.4241952013926)</f>
        <v>65.4241952</v>
      </c>
      <c r="P1234" s="20">
        <f>IFERROR(__xludf.DUMMYFUNCTION("""COMPUTED_VALUE"""),46601.0)</f>
        <v>46601</v>
      </c>
      <c r="Q1234" s="20">
        <f>IFERROR(__xludf.DUMMYFUNCTION("""COMPUTED_VALUE"""),71229.0)</f>
        <v>71229</v>
      </c>
    </row>
    <row r="1235">
      <c r="A1235" s="20">
        <f>IFERROR(__xludf.DUMMYFUNCTION("""COMPUTED_VALUE"""),1351.0)</f>
        <v>1351</v>
      </c>
      <c r="B1235" s="20" t="str">
        <f>IFERROR(__xludf.DUMMYFUNCTION("""COMPUTED_VALUE"""),"Replace the Substring for Balanced String")</f>
        <v>Replace the Substring for Balanced String</v>
      </c>
      <c r="C1235" s="20" t="str">
        <f>IFERROR(__xludf.DUMMYFUNCTION("""COMPUTED_VALUE"""),"replace-the-substring-for-balanced-string")</f>
        <v>replace-the-substring-for-balanced-string</v>
      </c>
      <c r="D1235" s="20" t="b">
        <f>IFERROR(__xludf.DUMMYFUNCTION("""COMPUTED_VALUE"""),FALSE)</f>
        <v>0</v>
      </c>
      <c r="E1235" s="20" t="str">
        <f>IFERROR(__xludf.DUMMYFUNCTION("""COMPUTED_VALUE"""),"Medium")</f>
        <v>Medium</v>
      </c>
      <c r="F1235" s="20">
        <f>IFERROR(__xludf.DUMMYFUNCTION("""COMPUTED_VALUE"""),941.0)</f>
        <v>941</v>
      </c>
      <c r="G1235" s="20">
        <f>IFERROR(__xludf.DUMMYFUNCTION("""COMPUTED_VALUE"""),180.0)</f>
        <v>180</v>
      </c>
      <c r="H1235" s="20" t="str">
        <f>IFERROR(__xludf.DUMMYFUNCTION("""COMPUTED_VALUE"""),"Algorithms")</f>
        <v>Algorithms</v>
      </c>
      <c r="I1235" s="20">
        <f>IFERROR(__xludf.DUMMYFUNCTION("""COMPUTED_VALUE"""),0.369)</f>
        <v>0.369</v>
      </c>
      <c r="J1235" s="20">
        <f>IFERROR(__xludf.DUMMYFUNCTION("""COMPUTED_VALUE"""),1234.0)</f>
        <v>1234</v>
      </c>
      <c r="K1235" s="20" t="b">
        <f>IFERROR(__xludf.DUMMYFUNCTION("""COMPUTED_VALUE"""),FALSE)</f>
        <v>0</v>
      </c>
      <c r="L1235" s="20" t="str">
        <f>IFERROR(__xludf.DUMMYFUNCTION("""COMPUTED_VALUE"""),"String;Sliding Window;")</f>
        <v>String;Sliding Window;</v>
      </c>
      <c r="M1235" s="20" t="b">
        <f>IFERROR(__xludf.DUMMYFUNCTION("""COMPUTED_VALUE"""),FALSE)</f>
        <v>0</v>
      </c>
      <c r="N1235" s="20" t="b">
        <f>IFERROR(__xludf.DUMMYFUNCTION("""COMPUTED_VALUE"""),FALSE)</f>
        <v>0</v>
      </c>
      <c r="O1235" s="20">
        <f>IFERROR(__xludf.DUMMYFUNCTION("""COMPUTED_VALUE"""),36.8872907694666)</f>
        <v>36.88729077</v>
      </c>
      <c r="P1235" s="20">
        <f>IFERROR(__xludf.DUMMYFUNCTION("""COMPUTED_VALUE"""),26467.0)</f>
        <v>26467</v>
      </c>
      <c r="Q1235" s="20">
        <f>IFERROR(__xludf.DUMMYFUNCTION("""COMPUTED_VALUE"""),71751.0)</f>
        <v>71751</v>
      </c>
    </row>
    <row r="1236">
      <c r="A1236" s="20">
        <f>IFERROR(__xludf.DUMMYFUNCTION("""COMPUTED_VALUE"""),1352.0)</f>
        <v>1352</v>
      </c>
      <c r="B1236" s="20" t="str">
        <f>IFERROR(__xludf.DUMMYFUNCTION("""COMPUTED_VALUE"""),"Maximum Profit in Job Scheduling")</f>
        <v>Maximum Profit in Job Scheduling</v>
      </c>
      <c r="C1236" s="20" t="str">
        <f>IFERROR(__xludf.DUMMYFUNCTION("""COMPUTED_VALUE"""),"maximum-profit-in-job-scheduling")</f>
        <v>maximum-profit-in-job-scheduling</v>
      </c>
      <c r="D1236" s="20" t="b">
        <f>IFERROR(__xludf.DUMMYFUNCTION("""COMPUTED_VALUE"""),FALSE)</f>
        <v>0</v>
      </c>
      <c r="E1236" s="20" t="str">
        <f>IFERROR(__xludf.DUMMYFUNCTION("""COMPUTED_VALUE"""),"Hard")</f>
        <v>Hard</v>
      </c>
      <c r="F1236" s="20">
        <f>IFERROR(__xludf.DUMMYFUNCTION("""COMPUTED_VALUE"""),4772.0)</f>
        <v>4772</v>
      </c>
      <c r="G1236" s="20">
        <f>IFERROR(__xludf.DUMMYFUNCTION("""COMPUTED_VALUE"""),55.0)</f>
        <v>55</v>
      </c>
      <c r="H1236" s="20" t="str">
        <f>IFERROR(__xludf.DUMMYFUNCTION("""COMPUTED_VALUE"""),"Algorithms")</f>
        <v>Algorithms</v>
      </c>
      <c r="I1236" s="20">
        <f>IFERROR(__xludf.DUMMYFUNCTION("""COMPUTED_VALUE"""),0.535)</f>
        <v>0.535</v>
      </c>
      <c r="J1236" s="20">
        <f>IFERROR(__xludf.DUMMYFUNCTION("""COMPUTED_VALUE"""),1235.0)</f>
        <v>1235</v>
      </c>
      <c r="K1236" s="20" t="b">
        <f>IFERROR(__xludf.DUMMYFUNCTION("""COMPUTED_VALUE"""),FALSE)</f>
        <v>0</v>
      </c>
      <c r="L1236" s="20" t="str">
        <f>IFERROR(__xludf.DUMMYFUNCTION("""COMPUTED_VALUE"""),"Array;Binary Search;Dynamic Programming;Sorting;")</f>
        <v>Array;Binary Search;Dynamic Programming;Sorting;</v>
      </c>
      <c r="M1236" s="20" t="b">
        <f>IFERROR(__xludf.DUMMYFUNCTION("""COMPUTED_VALUE"""),TRUE)</f>
        <v>1</v>
      </c>
      <c r="N1236" s="20" t="b">
        <f>IFERROR(__xludf.DUMMYFUNCTION("""COMPUTED_VALUE"""),FALSE)</f>
        <v>0</v>
      </c>
      <c r="O1236" s="20">
        <f>IFERROR(__xludf.DUMMYFUNCTION("""COMPUTED_VALUE"""),53.5326011227779)</f>
        <v>53.53260112</v>
      </c>
      <c r="P1236" s="20">
        <f>IFERROR(__xludf.DUMMYFUNCTION("""COMPUTED_VALUE"""),172883.0)</f>
        <v>172883</v>
      </c>
      <c r="Q1236" s="20">
        <f>IFERROR(__xludf.DUMMYFUNCTION("""COMPUTED_VALUE"""),322949.0)</f>
        <v>322949</v>
      </c>
    </row>
    <row r="1237">
      <c r="A1237" s="20">
        <f>IFERROR(__xludf.DUMMYFUNCTION("""COMPUTED_VALUE"""),1271.0)</f>
        <v>1271</v>
      </c>
      <c r="B1237" s="20" t="str">
        <f>IFERROR(__xludf.DUMMYFUNCTION("""COMPUTED_VALUE"""),"Web Crawler")</f>
        <v>Web Crawler</v>
      </c>
      <c r="C1237" s="20" t="str">
        <f>IFERROR(__xludf.DUMMYFUNCTION("""COMPUTED_VALUE"""),"web-crawler")</f>
        <v>web-crawler</v>
      </c>
      <c r="D1237" s="20" t="b">
        <f>IFERROR(__xludf.DUMMYFUNCTION("""COMPUTED_VALUE"""),TRUE)</f>
        <v>1</v>
      </c>
      <c r="E1237" s="20" t="str">
        <f>IFERROR(__xludf.DUMMYFUNCTION("""COMPUTED_VALUE"""),"Medium")</f>
        <v>Medium</v>
      </c>
      <c r="F1237" s="20">
        <f>IFERROR(__xludf.DUMMYFUNCTION("""COMPUTED_VALUE"""),210.0)</f>
        <v>210</v>
      </c>
      <c r="G1237" s="20">
        <f>IFERROR(__xludf.DUMMYFUNCTION("""COMPUTED_VALUE"""),248.0)</f>
        <v>248</v>
      </c>
      <c r="H1237" s="20" t="str">
        <f>IFERROR(__xludf.DUMMYFUNCTION("""COMPUTED_VALUE"""),"Algorithms")</f>
        <v>Algorithms</v>
      </c>
      <c r="I1237" s="20">
        <f>IFERROR(__xludf.DUMMYFUNCTION("""COMPUTED_VALUE"""),0.664)</f>
        <v>0.664</v>
      </c>
      <c r="J1237" s="20">
        <f>IFERROR(__xludf.DUMMYFUNCTION("""COMPUTED_VALUE"""),1236.0)</f>
        <v>1236</v>
      </c>
      <c r="K1237" s="20" t="b">
        <f>IFERROR(__xludf.DUMMYFUNCTION("""COMPUTED_VALUE"""),TRUE)</f>
        <v>1</v>
      </c>
      <c r="L1237" s="20" t="str">
        <f>IFERROR(__xludf.DUMMYFUNCTION("""COMPUTED_VALUE"""),"String;Depth-First Search;Breadth-First Search;Interactive;")</f>
        <v>String;Depth-First Search;Breadth-First Search;Interactive;</v>
      </c>
      <c r="M1237" s="20" t="b">
        <f>IFERROR(__xludf.DUMMYFUNCTION("""COMPUTED_VALUE"""),FALSE)</f>
        <v>0</v>
      </c>
      <c r="N1237" s="20" t="b">
        <f>IFERROR(__xludf.DUMMYFUNCTION("""COMPUTED_VALUE"""),FALSE)</f>
        <v>0</v>
      </c>
      <c r="O1237" s="20">
        <f>IFERROR(__xludf.DUMMYFUNCTION("""COMPUTED_VALUE"""),66.3950738685584)</f>
        <v>66.39507387</v>
      </c>
      <c r="P1237" s="20">
        <f>IFERROR(__xludf.DUMMYFUNCTION("""COMPUTED_VALUE"""),28358.0)</f>
        <v>28358</v>
      </c>
      <c r="Q1237" s="20">
        <f>IFERROR(__xludf.DUMMYFUNCTION("""COMPUTED_VALUE"""),42711.0)</f>
        <v>42711</v>
      </c>
    </row>
    <row r="1238">
      <c r="A1238" s="20">
        <f>IFERROR(__xludf.DUMMYFUNCTION("""COMPUTED_VALUE"""),1358.0)</f>
        <v>1358</v>
      </c>
      <c r="B1238" s="20" t="str">
        <f>IFERROR(__xludf.DUMMYFUNCTION("""COMPUTED_VALUE"""),"Find Positive Integer Solution for a Given Equation")</f>
        <v>Find Positive Integer Solution for a Given Equation</v>
      </c>
      <c r="C1238" s="20" t="str">
        <f>IFERROR(__xludf.DUMMYFUNCTION("""COMPUTED_VALUE"""),"find-positive-integer-solution-for-a-given-equation")</f>
        <v>find-positive-integer-solution-for-a-given-equation</v>
      </c>
      <c r="D1238" s="20" t="b">
        <f>IFERROR(__xludf.DUMMYFUNCTION("""COMPUTED_VALUE"""),FALSE)</f>
        <v>0</v>
      </c>
      <c r="E1238" s="20" t="str">
        <f>IFERROR(__xludf.DUMMYFUNCTION("""COMPUTED_VALUE"""),"Medium")</f>
        <v>Medium</v>
      </c>
      <c r="F1238" s="20">
        <f>IFERROR(__xludf.DUMMYFUNCTION("""COMPUTED_VALUE"""),412.0)</f>
        <v>412</v>
      </c>
      <c r="G1238" s="20">
        <f>IFERROR(__xludf.DUMMYFUNCTION("""COMPUTED_VALUE"""),1282.0)</f>
        <v>1282</v>
      </c>
      <c r="H1238" s="20" t="str">
        <f>IFERROR(__xludf.DUMMYFUNCTION("""COMPUTED_VALUE"""),"Algorithms")</f>
        <v>Algorithms</v>
      </c>
      <c r="I1238" s="20">
        <f>IFERROR(__xludf.DUMMYFUNCTION("""COMPUTED_VALUE"""),0.693)</f>
        <v>0.693</v>
      </c>
      <c r="J1238" s="20">
        <f>IFERROR(__xludf.DUMMYFUNCTION("""COMPUTED_VALUE"""),1237.0)</f>
        <v>1237</v>
      </c>
      <c r="K1238" s="20" t="b">
        <f>IFERROR(__xludf.DUMMYFUNCTION("""COMPUTED_VALUE"""),FALSE)</f>
        <v>0</v>
      </c>
      <c r="L1238" s="20" t="str">
        <f>IFERROR(__xludf.DUMMYFUNCTION("""COMPUTED_VALUE"""),"Math;Two Pointers;Binary Search;Interactive;")</f>
        <v>Math;Two Pointers;Binary Search;Interactive;</v>
      </c>
      <c r="M1238" s="20" t="b">
        <f>IFERROR(__xludf.DUMMYFUNCTION("""COMPUTED_VALUE"""),FALSE)</f>
        <v>0</v>
      </c>
      <c r="N1238" s="20" t="b">
        <f>IFERROR(__xludf.DUMMYFUNCTION("""COMPUTED_VALUE"""),FALSE)</f>
        <v>0</v>
      </c>
      <c r="O1238" s="20">
        <f>IFERROR(__xludf.DUMMYFUNCTION("""COMPUTED_VALUE"""),69.2752140165223)</f>
        <v>69.27521402</v>
      </c>
      <c r="P1238" s="20">
        <f>IFERROR(__xludf.DUMMYFUNCTION("""COMPUTED_VALUE"""),55513.0)</f>
        <v>55513</v>
      </c>
      <c r="Q1238" s="20">
        <f>IFERROR(__xludf.DUMMYFUNCTION("""COMPUTED_VALUE"""),80134.0)</f>
        <v>80134</v>
      </c>
    </row>
    <row r="1239">
      <c r="A1239" s="20">
        <f>IFERROR(__xludf.DUMMYFUNCTION("""COMPUTED_VALUE"""),1359.0)</f>
        <v>1359</v>
      </c>
      <c r="B1239" s="20" t="str">
        <f>IFERROR(__xludf.DUMMYFUNCTION("""COMPUTED_VALUE"""),"Circular Permutation in Binary Representation")</f>
        <v>Circular Permutation in Binary Representation</v>
      </c>
      <c r="C1239" s="20" t="str">
        <f>IFERROR(__xludf.DUMMYFUNCTION("""COMPUTED_VALUE"""),"circular-permutation-in-binary-representation")</f>
        <v>circular-permutation-in-binary-representation</v>
      </c>
      <c r="D1239" s="20" t="b">
        <f>IFERROR(__xludf.DUMMYFUNCTION("""COMPUTED_VALUE"""),FALSE)</f>
        <v>0</v>
      </c>
      <c r="E1239" s="20" t="str">
        <f>IFERROR(__xludf.DUMMYFUNCTION("""COMPUTED_VALUE"""),"Medium")</f>
        <v>Medium</v>
      </c>
      <c r="F1239" s="20">
        <f>IFERROR(__xludf.DUMMYFUNCTION("""COMPUTED_VALUE"""),318.0)</f>
        <v>318</v>
      </c>
      <c r="G1239" s="20">
        <f>IFERROR(__xludf.DUMMYFUNCTION("""COMPUTED_VALUE"""),171.0)</f>
        <v>171</v>
      </c>
      <c r="H1239" s="20" t="str">
        <f>IFERROR(__xludf.DUMMYFUNCTION("""COMPUTED_VALUE"""),"Algorithms")</f>
        <v>Algorithms</v>
      </c>
      <c r="I1239" s="20">
        <f>IFERROR(__xludf.DUMMYFUNCTION("""COMPUTED_VALUE"""),0.689)</f>
        <v>0.689</v>
      </c>
      <c r="J1239" s="20">
        <f>IFERROR(__xludf.DUMMYFUNCTION("""COMPUTED_VALUE"""),1238.0)</f>
        <v>1238</v>
      </c>
      <c r="K1239" s="20" t="b">
        <f>IFERROR(__xludf.DUMMYFUNCTION("""COMPUTED_VALUE"""),FALSE)</f>
        <v>0</v>
      </c>
      <c r="L1239" s="20" t="str">
        <f>IFERROR(__xludf.DUMMYFUNCTION("""COMPUTED_VALUE"""),"Math;Backtracking;Bit Manipulation;")</f>
        <v>Math;Backtracking;Bit Manipulation;</v>
      </c>
      <c r="M1239" s="20" t="b">
        <f>IFERROR(__xludf.DUMMYFUNCTION("""COMPUTED_VALUE"""),FALSE)</f>
        <v>0</v>
      </c>
      <c r="N1239" s="20" t="b">
        <f>IFERROR(__xludf.DUMMYFUNCTION("""COMPUTED_VALUE"""),FALSE)</f>
        <v>0</v>
      </c>
      <c r="O1239" s="20">
        <f>IFERROR(__xludf.DUMMYFUNCTION("""COMPUTED_VALUE"""),68.9457846184204)</f>
        <v>68.94578462</v>
      </c>
      <c r="P1239" s="20">
        <f>IFERROR(__xludf.DUMMYFUNCTION("""COMPUTED_VALUE"""),13976.0)</f>
        <v>13976</v>
      </c>
      <c r="Q1239" s="20">
        <f>IFERROR(__xludf.DUMMYFUNCTION("""COMPUTED_VALUE"""),20271.0)</f>
        <v>20271</v>
      </c>
    </row>
    <row r="1240">
      <c r="A1240" s="20">
        <f>IFERROR(__xludf.DUMMYFUNCTION("""COMPUTED_VALUE"""),1360.0)</f>
        <v>1360</v>
      </c>
      <c r="B1240" s="20" t="str">
        <f>IFERROR(__xludf.DUMMYFUNCTION("""COMPUTED_VALUE"""),"Maximum Length of a Concatenated String with Unique Characters")</f>
        <v>Maximum Length of a Concatenated String with Unique Characters</v>
      </c>
      <c r="C1240" s="20" t="str">
        <f>IFERROR(__xludf.DUMMYFUNCTION("""COMPUTED_VALUE"""),"maximum-length-of-a-concatenated-string-with-unique-characters")</f>
        <v>maximum-length-of-a-concatenated-string-with-unique-characters</v>
      </c>
      <c r="D1240" s="20" t="b">
        <f>IFERROR(__xludf.DUMMYFUNCTION("""COMPUTED_VALUE"""),FALSE)</f>
        <v>0</v>
      </c>
      <c r="E1240" s="20" t="str">
        <f>IFERROR(__xludf.DUMMYFUNCTION("""COMPUTED_VALUE"""),"Medium")</f>
        <v>Medium</v>
      </c>
      <c r="F1240" s="20">
        <f>IFERROR(__xludf.DUMMYFUNCTION("""COMPUTED_VALUE"""),3249.0)</f>
        <v>3249</v>
      </c>
      <c r="G1240" s="20">
        <f>IFERROR(__xludf.DUMMYFUNCTION("""COMPUTED_VALUE"""),229.0)</f>
        <v>229</v>
      </c>
      <c r="H1240" s="20" t="str">
        <f>IFERROR(__xludf.DUMMYFUNCTION("""COMPUTED_VALUE"""),"Algorithms")</f>
        <v>Algorithms</v>
      </c>
      <c r="I1240" s="20">
        <f>IFERROR(__xludf.DUMMYFUNCTION("""COMPUTED_VALUE"""),0.522)</f>
        <v>0.522</v>
      </c>
      <c r="J1240" s="20">
        <f>IFERROR(__xludf.DUMMYFUNCTION("""COMPUTED_VALUE"""),1239.0)</f>
        <v>1239</v>
      </c>
      <c r="K1240" s="20" t="b">
        <f>IFERROR(__xludf.DUMMYFUNCTION("""COMPUTED_VALUE"""),FALSE)</f>
        <v>0</v>
      </c>
      <c r="L1240" s="20" t="str">
        <f>IFERROR(__xludf.DUMMYFUNCTION("""COMPUTED_VALUE"""),"Array;String;Backtracking;Bit Manipulation;")</f>
        <v>Array;String;Backtracking;Bit Manipulation;</v>
      </c>
      <c r="M1240" s="20" t="b">
        <f>IFERROR(__xludf.DUMMYFUNCTION("""COMPUTED_VALUE"""),TRUE)</f>
        <v>1</v>
      </c>
      <c r="N1240" s="20" t="b">
        <f>IFERROR(__xludf.DUMMYFUNCTION("""COMPUTED_VALUE"""),FALSE)</f>
        <v>0</v>
      </c>
      <c r="O1240" s="20">
        <f>IFERROR(__xludf.DUMMYFUNCTION("""COMPUTED_VALUE"""),52.2145420918167)</f>
        <v>52.21454209</v>
      </c>
      <c r="P1240" s="20">
        <f>IFERROR(__xludf.DUMMYFUNCTION("""COMPUTED_VALUE"""),166567.0)</f>
        <v>166567</v>
      </c>
      <c r="Q1240" s="20">
        <f>IFERROR(__xludf.DUMMYFUNCTION("""COMPUTED_VALUE"""),319005.0)</f>
        <v>319005</v>
      </c>
    </row>
    <row r="1241">
      <c r="A1241" s="20">
        <f>IFERROR(__xludf.DUMMYFUNCTION("""COMPUTED_VALUE"""),1361.0)</f>
        <v>1361</v>
      </c>
      <c r="B1241" s="20" t="str">
        <f>IFERROR(__xludf.DUMMYFUNCTION("""COMPUTED_VALUE"""),"Tiling a Rectangle with the Fewest Squares")</f>
        <v>Tiling a Rectangle with the Fewest Squares</v>
      </c>
      <c r="C1241" s="20" t="str">
        <f>IFERROR(__xludf.DUMMYFUNCTION("""COMPUTED_VALUE"""),"tiling-a-rectangle-with-the-fewest-squares")</f>
        <v>tiling-a-rectangle-with-the-fewest-squares</v>
      </c>
      <c r="D1241" s="20" t="b">
        <f>IFERROR(__xludf.DUMMYFUNCTION("""COMPUTED_VALUE"""),FALSE)</f>
        <v>0</v>
      </c>
      <c r="E1241" s="20" t="str">
        <f>IFERROR(__xludf.DUMMYFUNCTION("""COMPUTED_VALUE"""),"Hard")</f>
        <v>Hard</v>
      </c>
      <c r="F1241" s="20">
        <f>IFERROR(__xludf.DUMMYFUNCTION("""COMPUTED_VALUE"""),579.0)</f>
        <v>579</v>
      </c>
      <c r="G1241" s="20">
        <f>IFERROR(__xludf.DUMMYFUNCTION("""COMPUTED_VALUE"""),528.0)</f>
        <v>528</v>
      </c>
      <c r="H1241" s="20" t="str">
        <f>IFERROR(__xludf.DUMMYFUNCTION("""COMPUTED_VALUE"""),"Algorithms")</f>
        <v>Algorithms</v>
      </c>
      <c r="I1241" s="20">
        <f>IFERROR(__xludf.DUMMYFUNCTION("""COMPUTED_VALUE"""),0.54)</f>
        <v>0.54</v>
      </c>
      <c r="J1241" s="20">
        <f>IFERROR(__xludf.DUMMYFUNCTION("""COMPUTED_VALUE"""),1240.0)</f>
        <v>1240</v>
      </c>
      <c r="K1241" s="20" t="b">
        <f>IFERROR(__xludf.DUMMYFUNCTION("""COMPUTED_VALUE"""),FALSE)</f>
        <v>0</v>
      </c>
      <c r="L1241" s="20" t="str">
        <f>IFERROR(__xludf.DUMMYFUNCTION("""COMPUTED_VALUE"""),"Dynamic Programming;Backtracking;")</f>
        <v>Dynamic Programming;Backtracking;</v>
      </c>
      <c r="M1241" s="20" t="b">
        <f>IFERROR(__xludf.DUMMYFUNCTION("""COMPUTED_VALUE"""),FALSE)</f>
        <v>0</v>
      </c>
      <c r="N1241" s="20" t="b">
        <f>IFERROR(__xludf.DUMMYFUNCTION("""COMPUTED_VALUE"""),FALSE)</f>
        <v>0</v>
      </c>
      <c r="O1241" s="20">
        <f>IFERROR(__xludf.DUMMYFUNCTION("""COMPUTED_VALUE"""),53.9656645692534)</f>
        <v>53.96566457</v>
      </c>
      <c r="P1241" s="20">
        <f>IFERROR(__xludf.DUMMYFUNCTION("""COMPUTED_VALUE"""),20841.0)</f>
        <v>20841</v>
      </c>
      <c r="Q1241" s="20">
        <f>IFERROR(__xludf.DUMMYFUNCTION("""COMPUTED_VALUE"""),38619.0)</f>
        <v>38619</v>
      </c>
    </row>
    <row r="1242">
      <c r="A1242" s="20">
        <f>IFERROR(__xludf.DUMMYFUNCTION("""COMPUTED_VALUE"""),1377.0)</f>
        <v>1377</v>
      </c>
      <c r="B1242" s="20" t="str">
        <f>IFERROR(__xludf.DUMMYFUNCTION("""COMPUTED_VALUE"""),"Number of Comments per Post")</f>
        <v>Number of Comments per Post</v>
      </c>
      <c r="C1242" s="20" t="str">
        <f>IFERROR(__xludf.DUMMYFUNCTION("""COMPUTED_VALUE"""),"number-of-comments-per-post")</f>
        <v>number-of-comments-per-post</v>
      </c>
      <c r="D1242" s="20" t="b">
        <f>IFERROR(__xludf.DUMMYFUNCTION("""COMPUTED_VALUE"""),TRUE)</f>
        <v>1</v>
      </c>
      <c r="E1242" s="20" t="str">
        <f>IFERROR(__xludf.DUMMYFUNCTION("""COMPUTED_VALUE"""),"Easy")</f>
        <v>Easy</v>
      </c>
      <c r="F1242" s="20">
        <f>IFERROR(__xludf.DUMMYFUNCTION("""COMPUTED_VALUE"""),147.0)</f>
        <v>147</v>
      </c>
      <c r="G1242" s="20">
        <f>IFERROR(__xludf.DUMMYFUNCTION("""COMPUTED_VALUE"""),463.0)</f>
        <v>463</v>
      </c>
      <c r="H1242" s="20" t="str">
        <f>IFERROR(__xludf.DUMMYFUNCTION("""COMPUTED_VALUE"""),"Database")</f>
        <v>Database</v>
      </c>
      <c r="I1242" s="20">
        <f>IFERROR(__xludf.DUMMYFUNCTION("""COMPUTED_VALUE"""),0.675)</f>
        <v>0.675</v>
      </c>
      <c r="J1242" s="20">
        <f>IFERROR(__xludf.DUMMYFUNCTION("""COMPUTED_VALUE"""),1241.0)</f>
        <v>1241</v>
      </c>
      <c r="K1242" s="20" t="b">
        <f>IFERROR(__xludf.DUMMYFUNCTION("""COMPUTED_VALUE"""),TRUE)</f>
        <v>1</v>
      </c>
      <c r="L1242" s="20" t="str">
        <f>IFERROR(__xludf.DUMMYFUNCTION("""COMPUTED_VALUE"""),"Database;")</f>
        <v>Database;</v>
      </c>
      <c r="M1242" s="20" t="b">
        <f>IFERROR(__xludf.DUMMYFUNCTION("""COMPUTED_VALUE"""),FALSE)</f>
        <v>0</v>
      </c>
      <c r="N1242" s="20" t="b">
        <f>IFERROR(__xludf.DUMMYFUNCTION("""COMPUTED_VALUE"""),FALSE)</f>
        <v>0</v>
      </c>
      <c r="O1242" s="20">
        <f>IFERROR(__xludf.DUMMYFUNCTION("""COMPUTED_VALUE"""),67.4626522638473)</f>
        <v>67.46265226</v>
      </c>
      <c r="P1242" s="20">
        <f>IFERROR(__xludf.DUMMYFUNCTION("""COMPUTED_VALUE"""),29353.0)</f>
        <v>29353</v>
      </c>
      <c r="Q1242" s="20">
        <f>IFERROR(__xludf.DUMMYFUNCTION("""COMPUTED_VALUE"""),43510.0)</f>
        <v>43510</v>
      </c>
    </row>
    <row r="1243">
      <c r="A1243" s="20">
        <f>IFERROR(__xludf.DUMMYFUNCTION("""COMPUTED_VALUE"""),1368.0)</f>
        <v>1368</v>
      </c>
      <c r="B1243" s="20" t="str">
        <f>IFERROR(__xludf.DUMMYFUNCTION("""COMPUTED_VALUE"""),"Web Crawler Multithreaded")</f>
        <v>Web Crawler Multithreaded</v>
      </c>
      <c r="C1243" s="20" t="str">
        <f>IFERROR(__xludf.DUMMYFUNCTION("""COMPUTED_VALUE"""),"web-crawler-multithreaded")</f>
        <v>web-crawler-multithreaded</v>
      </c>
      <c r="D1243" s="20" t="b">
        <f>IFERROR(__xludf.DUMMYFUNCTION("""COMPUTED_VALUE"""),TRUE)</f>
        <v>1</v>
      </c>
      <c r="E1243" s="20" t="str">
        <f>IFERROR(__xludf.DUMMYFUNCTION("""COMPUTED_VALUE"""),"Medium")</f>
        <v>Medium</v>
      </c>
      <c r="F1243" s="20">
        <f>IFERROR(__xludf.DUMMYFUNCTION("""COMPUTED_VALUE"""),451.0)</f>
        <v>451</v>
      </c>
      <c r="G1243" s="20">
        <f>IFERROR(__xludf.DUMMYFUNCTION("""COMPUTED_VALUE"""),76.0)</f>
        <v>76</v>
      </c>
      <c r="H1243" s="20" t="str">
        <f>IFERROR(__xludf.DUMMYFUNCTION("""COMPUTED_VALUE"""),"Concurrency")</f>
        <v>Concurrency</v>
      </c>
      <c r="I1243" s="20">
        <f>IFERROR(__xludf.DUMMYFUNCTION("""COMPUTED_VALUE"""),0.49)</f>
        <v>0.49</v>
      </c>
      <c r="J1243" s="20">
        <f>IFERROR(__xludf.DUMMYFUNCTION("""COMPUTED_VALUE"""),1242.0)</f>
        <v>1242</v>
      </c>
      <c r="K1243" s="20" t="b">
        <f>IFERROR(__xludf.DUMMYFUNCTION("""COMPUTED_VALUE"""),TRUE)</f>
        <v>1</v>
      </c>
      <c r="L1243" s="20" t="str">
        <f>IFERROR(__xludf.DUMMYFUNCTION("""COMPUTED_VALUE"""),"Depth-First Search;Breadth-First Search;Concurrency;")</f>
        <v>Depth-First Search;Breadth-First Search;Concurrency;</v>
      </c>
      <c r="M1243" s="20" t="b">
        <f>IFERROR(__xludf.DUMMYFUNCTION("""COMPUTED_VALUE"""),FALSE)</f>
        <v>0</v>
      </c>
      <c r="N1243" s="20" t="b">
        <f>IFERROR(__xludf.DUMMYFUNCTION("""COMPUTED_VALUE"""),FALSE)</f>
        <v>0</v>
      </c>
      <c r="O1243" s="20">
        <f>IFERROR(__xludf.DUMMYFUNCTION("""COMPUTED_VALUE"""),48.9731163470953)</f>
        <v>48.97311635</v>
      </c>
      <c r="P1243" s="20">
        <f>IFERROR(__xludf.DUMMYFUNCTION("""COMPUTED_VALUE"""),39512.0)</f>
        <v>39512</v>
      </c>
      <c r="Q1243" s="20">
        <f>IFERROR(__xludf.DUMMYFUNCTION("""COMPUTED_VALUE"""),80681.0)</f>
        <v>80681</v>
      </c>
    </row>
    <row r="1244">
      <c r="A1244" s="20">
        <f>IFERROR(__xludf.DUMMYFUNCTION("""COMPUTED_VALUE"""),1175.0)</f>
        <v>1175</v>
      </c>
      <c r="B1244" s="20" t="str">
        <f>IFERROR(__xludf.DUMMYFUNCTION("""COMPUTED_VALUE"""),"Array Transformation")</f>
        <v>Array Transformation</v>
      </c>
      <c r="C1244" s="20" t="str">
        <f>IFERROR(__xludf.DUMMYFUNCTION("""COMPUTED_VALUE"""),"array-transformation")</f>
        <v>array-transformation</v>
      </c>
      <c r="D1244" s="20" t="b">
        <f>IFERROR(__xludf.DUMMYFUNCTION("""COMPUTED_VALUE"""),TRUE)</f>
        <v>1</v>
      </c>
      <c r="E1244" s="20" t="str">
        <f>IFERROR(__xludf.DUMMYFUNCTION("""COMPUTED_VALUE"""),"Easy")</f>
        <v>Easy</v>
      </c>
      <c r="F1244" s="20">
        <f>IFERROR(__xludf.DUMMYFUNCTION("""COMPUTED_VALUE"""),128.0)</f>
        <v>128</v>
      </c>
      <c r="G1244" s="20">
        <f>IFERROR(__xludf.DUMMYFUNCTION("""COMPUTED_VALUE"""),63.0)</f>
        <v>63</v>
      </c>
      <c r="H1244" s="20" t="str">
        <f>IFERROR(__xludf.DUMMYFUNCTION("""COMPUTED_VALUE"""),"Algorithms")</f>
        <v>Algorithms</v>
      </c>
      <c r="I1244" s="20">
        <f>IFERROR(__xludf.DUMMYFUNCTION("""COMPUTED_VALUE"""),0.508)</f>
        <v>0.508</v>
      </c>
      <c r="J1244" s="20">
        <f>IFERROR(__xludf.DUMMYFUNCTION("""COMPUTED_VALUE"""),1243.0)</f>
        <v>1243</v>
      </c>
      <c r="K1244" s="20" t="b">
        <f>IFERROR(__xludf.DUMMYFUNCTION("""COMPUTED_VALUE"""),TRUE)</f>
        <v>1</v>
      </c>
      <c r="L1244" s="20" t="str">
        <f>IFERROR(__xludf.DUMMYFUNCTION("""COMPUTED_VALUE"""),"Array;Simulation;")</f>
        <v>Array;Simulation;</v>
      </c>
      <c r="M1244" s="20" t="b">
        <f>IFERROR(__xludf.DUMMYFUNCTION("""COMPUTED_VALUE"""),FALSE)</f>
        <v>0</v>
      </c>
      <c r="N1244" s="20" t="b">
        <f>IFERROR(__xludf.DUMMYFUNCTION("""COMPUTED_VALUE"""),FALSE)</f>
        <v>0</v>
      </c>
      <c r="O1244" s="20">
        <f>IFERROR(__xludf.DUMMYFUNCTION("""COMPUTED_VALUE"""),50.8277324191438)</f>
        <v>50.82773242</v>
      </c>
      <c r="P1244" s="20">
        <f>IFERROR(__xludf.DUMMYFUNCTION("""COMPUTED_VALUE"""),11268.0)</f>
        <v>11268</v>
      </c>
      <c r="Q1244" s="20">
        <f>IFERROR(__xludf.DUMMYFUNCTION("""COMPUTED_VALUE"""),22169.0)</f>
        <v>22169</v>
      </c>
    </row>
    <row r="1245">
      <c r="A1245" s="20">
        <f>IFERROR(__xludf.DUMMYFUNCTION("""COMPUTED_VALUE"""),1176.0)</f>
        <v>1176</v>
      </c>
      <c r="B1245" s="20" t="str">
        <f>IFERROR(__xludf.DUMMYFUNCTION("""COMPUTED_VALUE"""),"Design A Leaderboard")</f>
        <v>Design A Leaderboard</v>
      </c>
      <c r="C1245" s="20" t="str">
        <f>IFERROR(__xludf.DUMMYFUNCTION("""COMPUTED_VALUE"""),"design-a-leaderboard")</f>
        <v>design-a-leaderboard</v>
      </c>
      <c r="D1245" s="20" t="b">
        <f>IFERROR(__xludf.DUMMYFUNCTION("""COMPUTED_VALUE"""),TRUE)</f>
        <v>1</v>
      </c>
      <c r="E1245" s="20" t="str">
        <f>IFERROR(__xludf.DUMMYFUNCTION("""COMPUTED_VALUE"""),"Medium")</f>
        <v>Medium</v>
      </c>
      <c r="F1245" s="20">
        <f>IFERROR(__xludf.DUMMYFUNCTION("""COMPUTED_VALUE"""),647.0)</f>
        <v>647</v>
      </c>
      <c r="G1245" s="20">
        <f>IFERROR(__xludf.DUMMYFUNCTION("""COMPUTED_VALUE"""),87.0)</f>
        <v>87</v>
      </c>
      <c r="H1245" s="20" t="str">
        <f>IFERROR(__xludf.DUMMYFUNCTION("""COMPUTED_VALUE"""),"Algorithms")</f>
        <v>Algorithms</v>
      </c>
      <c r="I1245" s="20">
        <f>IFERROR(__xludf.DUMMYFUNCTION("""COMPUTED_VALUE"""),0.689)</f>
        <v>0.689</v>
      </c>
      <c r="J1245" s="20">
        <f>IFERROR(__xludf.DUMMYFUNCTION("""COMPUTED_VALUE"""),1244.0)</f>
        <v>1244</v>
      </c>
      <c r="K1245" s="20" t="b">
        <f>IFERROR(__xludf.DUMMYFUNCTION("""COMPUTED_VALUE"""),TRUE)</f>
        <v>1</v>
      </c>
      <c r="L1245" s="20" t="str">
        <f>IFERROR(__xludf.DUMMYFUNCTION("""COMPUTED_VALUE"""),"Hash Table;Design;Sorting;")</f>
        <v>Hash Table;Design;Sorting;</v>
      </c>
      <c r="M1245" s="20" t="b">
        <f>IFERROR(__xludf.DUMMYFUNCTION("""COMPUTED_VALUE"""),TRUE)</f>
        <v>1</v>
      </c>
      <c r="N1245" s="20" t="b">
        <f>IFERROR(__xludf.DUMMYFUNCTION("""COMPUTED_VALUE"""),FALSE)</f>
        <v>0</v>
      </c>
      <c r="O1245" s="20">
        <f>IFERROR(__xludf.DUMMYFUNCTION("""COMPUTED_VALUE"""),68.8542758363148)</f>
        <v>68.85427584</v>
      </c>
      <c r="P1245" s="20">
        <f>IFERROR(__xludf.DUMMYFUNCTION("""COMPUTED_VALUE"""),57158.0)</f>
        <v>57158</v>
      </c>
      <c r="Q1245" s="20">
        <f>IFERROR(__xludf.DUMMYFUNCTION("""COMPUTED_VALUE"""),83013.0)</f>
        <v>83013</v>
      </c>
    </row>
    <row r="1246">
      <c r="A1246" s="20">
        <f>IFERROR(__xludf.DUMMYFUNCTION("""COMPUTED_VALUE"""),1177.0)</f>
        <v>1177</v>
      </c>
      <c r="B1246" s="20" t="str">
        <f>IFERROR(__xludf.DUMMYFUNCTION("""COMPUTED_VALUE"""),"Tree Diameter")</f>
        <v>Tree Diameter</v>
      </c>
      <c r="C1246" s="20" t="str">
        <f>IFERROR(__xludf.DUMMYFUNCTION("""COMPUTED_VALUE"""),"tree-diameter")</f>
        <v>tree-diameter</v>
      </c>
      <c r="D1246" s="20" t="b">
        <f>IFERROR(__xludf.DUMMYFUNCTION("""COMPUTED_VALUE"""),TRUE)</f>
        <v>1</v>
      </c>
      <c r="E1246" s="20" t="str">
        <f>IFERROR(__xludf.DUMMYFUNCTION("""COMPUTED_VALUE"""),"Medium")</f>
        <v>Medium</v>
      </c>
      <c r="F1246" s="20">
        <f>IFERROR(__xludf.DUMMYFUNCTION("""COMPUTED_VALUE"""),701.0)</f>
        <v>701</v>
      </c>
      <c r="G1246" s="20">
        <f>IFERROR(__xludf.DUMMYFUNCTION("""COMPUTED_VALUE"""),17.0)</f>
        <v>17</v>
      </c>
      <c r="H1246" s="20" t="str">
        <f>IFERROR(__xludf.DUMMYFUNCTION("""COMPUTED_VALUE"""),"Algorithms")</f>
        <v>Algorithms</v>
      </c>
      <c r="I1246" s="20">
        <f>IFERROR(__xludf.DUMMYFUNCTION("""COMPUTED_VALUE"""),0.615)</f>
        <v>0.615</v>
      </c>
      <c r="J1246" s="20">
        <f>IFERROR(__xludf.DUMMYFUNCTION("""COMPUTED_VALUE"""),1245.0)</f>
        <v>1245</v>
      </c>
      <c r="K1246" s="20" t="b">
        <f>IFERROR(__xludf.DUMMYFUNCTION("""COMPUTED_VALUE"""),TRUE)</f>
        <v>1</v>
      </c>
      <c r="L1246" s="20" t="str">
        <f>IFERROR(__xludf.DUMMYFUNCTION("""COMPUTED_VALUE"""),"Tree;Depth-First Search;Breadth-First Search;Graph;Topological Sort;")</f>
        <v>Tree;Depth-First Search;Breadth-First Search;Graph;Topological Sort;</v>
      </c>
      <c r="M1246" s="20" t="b">
        <f>IFERROR(__xludf.DUMMYFUNCTION("""COMPUTED_VALUE"""),TRUE)</f>
        <v>1</v>
      </c>
      <c r="N1246" s="20" t="b">
        <f>IFERROR(__xludf.DUMMYFUNCTION("""COMPUTED_VALUE"""),FALSE)</f>
        <v>0</v>
      </c>
      <c r="O1246" s="20">
        <f>IFERROR(__xludf.DUMMYFUNCTION("""COMPUTED_VALUE"""),61.5279557918181)</f>
        <v>61.52795579</v>
      </c>
      <c r="P1246" s="20">
        <f>IFERROR(__xludf.DUMMYFUNCTION("""COMPUTED_VALUE"""),29283.0)</f>
        <v>29283</v>
      </c>
      <c r="Q1246" s="20">
        <f>IFERROR(__xludf.DUMMYFUNCTION("""COMPUTED_VALUE"""),47593.0)</f>
        <v>47593</v>
      </c>
    </row>
    <row r="1247">
      <c r="A1247" s="20">
        <f>IFERROR(__xludf.DUMMYFUNCTION("""COMPUTED_VALUE"""),1202.0)</f>
        <v>1202</v>
      </c>
      <c r="B1247" s="20" t="str">
        <f>IFERROR(__xludf.DUMMYFUNCTION("""COMPUTED_VALUE"""),"Palindrome Removal")</f>
        <v>Palindrome Removal</v>
      </c>
      <c r="C1247" s="20" t="str">
        <f>IFERROR(__xludf.DUMMYFUNCTION("""COMPUTED_VALUE"""),"palindrome-removal")</f>
        <v>palindrome-removal</v>
      </c>
      <c r="D1247" s="20" t="b">
        <f>IFERROR(__xludf.DUMMYFUNCTION("""COMPUTED_VALUE"""),TRUE)</f>
        <v>1</v>
      </c>
      <c r="E1247" s="20" t="str">
        <f>IFERROR(__xludf.DUMMYFUNCTION("""COMPUTED_VALUE"""),"Hard")</f>
        <v>Hard</v>
      </c>
      <c r="F1247" s="20">
        <f>IFERROR(__xludf.DUMMYFUNCTION("""COMPUTED_VALUE"""),286.0)</f>
        <v>286</v>
      </c>
      <c r="G1247" s="20">
        <f>IFERROR(__xludf.DUMMYFUNCTION("""COMPUTED_VALUE"""),13.0)</f>
        <v>13</v>
      </c>
      <c r="H1247" s="20" t="str">
        <f>IFERROR(__xludf.DUMMYFUNCTION("""COMPUTED_VALUE"""),"Algorithms")</f>
        <v>Algorithms</v>
      </c>
      <c r="I1247" s="20">
        <f>IFERROR(__xludf.DUMMYFUNCTION("""COMPUTED_VALUE"""),0.46)</f>
        <v>0.46</v>
      </c>
      <c r="J1247" s="20">
        <f>IFERROR(__xludf.DUMMYFUNCTION("""COMPUTED_VALUE"""),1246.0)</f>
        <v>1246</v>
      </c>
      <c r="K1247" s="20" t="b">
        <f>IFERROR(__xludf.DUMMYFUNCTION("""COMPUTED_VALUE"""),TRUE)</f>
        <v>1</v>
      </c>
      <c r="L1247" s="20" t="str">
        <f>IFERROR(__xludf.DUMMYFUNCTION("""COMPUTED_VALUE"""),"Array;Dynamic Programming;")</f>
        <v>Array;Dynamic Programming;</v>
      </c>
      <c r="M1247" s="20" t="b">
        <f>IFERROR(__xludf.DUMMYFUNCTION("""COMPUTED_VALUE"""),FALSE)</f>
        <v>0</v>
      </c>
      <c r="N1247" s="20" t="b">
        <f>IFERROR(__xludf.DUMMYFUNCTION("""COMPUTED_VALUE"""),FALSE)</f>
        <v>0</v>
      </c>
      <c r="O1247" s="20">
        <f>IFERROR(__xludf.DUMMYFUNCTION("""COMPUTED_VALUE"""),46.0462896683369)</f>
        <v>46.04628967</v>
      </c>
      <c r="P1247" s="20">
        <f>IFERROR(__xludf.DUMMYFUNCTION("""COMPUTED_VALUE"""),9649.0)</f>
        <v>9649</v>
      </c>
      <c r="Q1247" s="20">
        <f>IFERROR(__xludf.DUMMYFUNCTION("""COMPUTED_VALUE"""),20955.0)</f>
        <v>20955</v>
      </c>
    </row>
    <row r="1248">
      <c r="A1248" s="20">
        <f>IFERROR(__xludf.DUMMYFUNCTION("""COMPUTED_VALUE"""),1369.0)</f>
        <v>1369</v>
      </c>
      <c r="B1248" s="20" t="str">
        <f>IFERROR(__xludf.DUMMYFUNCTION("""COMPUTED_VALUE"""),"Minimum Swaps to Make Strings Equal")</f>
        <v>Minimum Swaps to Make Strings Equal</v>
      </c>
      <c r="C1248" s="20" t="str">
        <f>IFERROR(__xludf.DUMMYFUNCTION("""COMPUTED_VALUE"""),"minimum-swaps-to-make-strings-equal")</f>
        <v>minimum-swaps-to-make-strings-equal</v>
      </c>
      <c r="D1248" s="20" t="b">
        <f>IFERROR(__xludf.DUMMYFUNCTION("""COMPUTED_VALUE"""),FALSE)</f>
        <v>0</v>
      </c>
      <c r="E1248" s="20" t="str">
        <f>IFERROR(__xludf.DUMMYFUNCTION("""COMPUTED_VALUE"""),"Medium")</f>
        <v>Medium</v>
      </c>
      <c r="F1248" s="20">
        <f>IFERROR(__xludf.DUMMYFUNCTION("""COMPUTED_VALUE"""),1083.0)</f>
        <v>1083</v>
      </c>
      <c r="G1248" s="20">
        <f>IFERROR(__xludf.DUMMYFUNCTION("""COMPUTED_VALUE"""),226.0)</f>
        <v>226</v>
      </c>
      <c r="H1248" s="20" t="str">
        <f>IFERROR(__xludf.DUMMYFUNCTION("""COMPUTED_VALUE"""),"Algorithms")</f>
        <v>Algorithms</v>
      </c>
      <c r="I1248" s="20">
        <f>IFERROR(__xludf.DUMMYFUNCTION("""COMPUTED_VALUE"""),0.638)</f>
        <v>0.638</v>
      </c>
      <c r="J1248" s="20">
        <f>IFERROR(__xludf.DUMMYFUNCTION("""COMPUTED_VALUE"""),1247.0)</f>
        <v>1247</v>
      </c>
      <c r="K1248" s="20" t="b">
        <f>IFERROR(__xludf.DUMMYFUNCTION("""COMPUTED_VALUE"""),FALSE)</f>
        <v>0</v>
      </c>
      <c r="L1248" s="20" t="str">
        <f>IFERROR(__xludf.DUMMYFUNCTION("""COMPUTED_VALUE"""),"Math;String;Greedy;")</f>
        <v>Math;String;Greedy;</v>
      </c>
      <c r="M1248" s="20" t="b">
        <f>IFERROR(__xludf.DUMMYFUNCTION("""COMPUTED_VALUE"""),FALSE)</f>
        <v>0</v>
      </c>
      <c r="N1248" s="20" t="b">
        <f>IFERROR(__xludf.DUMMYFUNCTION("""COMPUTED_VALUE"""),FALSE)</f>
        <v>0</v>
      </c>
      <c r="O1248" s="20">
        <f>IFERROR(__xludf.DUMMYFUNCTION("""COMPUTED_VALUE"""),63.8297444558377)</f>
        <v>63.82974446</v>
      </c>
      <c r="P1248" s="20">
        <f>IFERROR(__xludf.DUMMYFUNCTION("""COMPUTED_VALUE"""),31746.0)</f>
        <v>31746</v>
      </c>
      <c r="Q1248" s="20">
        <f>IFERROR(__xludf.DUMMYFUNCTION("""COMPUTED_VALUE"""),49736.0)</f>
        <v>49736</v>
      </c>
    </row>
    <row r="1249">
      <c r="A1249" s="20">
        <f>IFERROR(__xludf.DUMMYFUNCTION("""COMPUTED_VALUE"""),1370.0)</f>
        <v>1370</v>
      </c>
      <c r="B1249" s="20" t="str">
        <f>IFERROR(__xludf.DUMMYFUNCTION("""COMPUTED_VALUE"""),"Count Number of Nice Subarrays")</f>
        <v>Count Number of Nice Subarrays</v>
      </c>
      <c r="C1249" s="20" t="str">
        <f>IFERROR(__xludf.DUMMYFUNCTION("""COMPUTED_VALUE"""),"count-number-of-nice-subarrays")</f>
        <v>count-number-of-nice-subarrays</v>
      </c>
      <c r="D1249" s="20" t="b">
        <f>IFERROR(__xludf.DUMMYFUNCTION("""COMPUTED_VALUE"""),FALSE)</f>
        <v>0</v>
      </c>
      <c r="E1249" s="20" t="str">
        <f>IFERROR(__xludf.DUMMYFUNCTION("""COMPUTED_VALUE"""),"Medium")</f>
        <v>Medium</v>
      </c>
      <c r="F1249" s="20">
        <f>IFERROR(__xludf.DUMMYFUNCTION("""COMPUTED_VALUE"""),2416.0)</f>
        <v>2416</v>
      </c>
      <c r="G1249" s="20">
        <f>IFERROR(__xludf.DUMMYFUNCTION("""COMPUTED_VALUE"""),53.0)</f>
        <v>53</v>
      </c>
      <c r="H1249" s="20" t="str">
        <f>IFERROR(__xludf.DUMMYFUNCTION("""COMPUTED_VALUE"""),"Algorithms")</f>
        <v>Algorithms</v>
      </c>
      <c r="I1249" s="20">
        <f>IFERROR(__xludf.DUMMYFUNCTION("""COMPUTED_VALUE"""),0.599)</f>
        <v>0.599</v>
      </c>
      <c r="J1249" s="20">
        <f>IFERROR(__xludf.DUMMYFUNCTION("""COMPUTED_VALUE"""),1248.0)</f>
        <v>1248</v>
      </c>
      <c r="K1249" s="20" t="b">
        <f>IFERROR(__xludf.DUMMYFUNCTION("""COMPUTED_VALUE"""),FALSE)</f>
        <v>0</v>
      </c>
      <c r="L1249" s="20" t="str">
        <f>IFERROR(__xludf.DUMMYFUNCTION("""COMPUTED_VALUE"""),"Array;Hash Table;Math;Sliding Window;")</f>
        <v>Array;Hash Table;Math;Sliding Window;</v>
      </c>
      <c r="M1249" s="20" t="b">
        <f>IFERROR(__xludf.DUMMYFUNCTION("""COMPUTED_VALUE"""),FALSE)</f>
        <v>0</v>
      </c>
      <c r="N1249" s="20" t="b">
        <f>IFERROR(__xludf.DUMMYFUNCTION("""COMPUTED_VALUE"""),FALSE)</f>
        <v>0</v>
      </c>
      <c r="O1249" s="20">
        <f>IFERROR(__xludf.DUMMYFUNCTION("""COMPUTED_VALUE"""),59.8800470337441)</f>
        <v>59.88004703</v>
      </c>
      <c r="P1249" s="20">
        <f>IFERROR(__xludf.DUMMYFUNCTION("""COMPUTED_VALUE"""),70785.0)</f>
        <v>70785</v>
      </c>
      <c r="Q1249" s="20">
        <f>IFERROR(__xludf.DUMMYFUNCTION("""COMPUTED_VALUE"""),118212.0)</f>
        <v>118212</v>
      </c>
    </row>
    <row r="1250">
      <c r="A1250" s="20">
        <f>IFERROR(__xludf.DUMMYFUNCTION("""COMPUTED_VALUE"""),1371.0)</f>
        <v>1371</v>
      </c>
      <c r="B1250" s="20" t="str">
        <f>IFERROR(__xludf.DUMMYFUNCTION("""COMPUTED_VALUE"""),"Minimum Remove to Make Valid Parentheses")</f>
        <v>Minimum Remove to Make Valid Parentheses</v>
      </c>
      <c r="C1250" s="20" t="str">
        <f>IFERROR(__xludf.DUMMYFUNCTION("""COMPUTED_VALUE"""),"minimum-remove-to-make-valid-parentheses")</f>
        <v>minimum-remove-to-make-valid-parentheses</v>
      </c>
      <c r="D1250" s="20" t="b">
        <f>IFERROR(__xludf.DUMMYFUNCTION("""COMPUTED_VALUE"""),FALSE)</f>
        <v>0</v>
      </c>
      <c r="E1250" s="20" t="str">
        <f>IFERROR(__xludf.DUMMYFUNCTION("""COMPUTED_VALUE"""),"Medium")</f>
        <v>Medium</v>
      </c>
      <c r="F1250" s="20">
        <f>IFERROR(__xludf.DUMMYFUNCTION("""COMPUTED_VALUE"""),5468.0)</f>
        <v>5468</v>
      </c>
      <c r="G1250" s="20">
        <f>IFERROR(__xludf.DUMMYFUNCTION("""COMPUTED_VALUE"""),103.0)</f>
        <v>103</v>
      </c>
      <c r="H1250" s="20" t="str">
        <f>IFERROR(__xludf.DUMMYFUNCTION("""COMPUTED_VALUE"""),"Algorithms")</f>
        <v>Algorithms</v>
      </c>
      <c r="I1250" s="20">
        <f>IFERROR(__xludf.DUMMYFUNCTION("""COMPUTED_VALUE"""),0.657)</f>
        <v>0.657</v>
      </c>
      <c r="J1250" s="20">
        <f>IFERROR(__xludf.DUMMYFUNCTION("""COMPUTED_VALUE"""),1249.0)</f>
        <v>1249</v>
      </c>
      <c r="K1250" s="20" t="b">
        <f>IFERROR(__xludf.DUMMYFUNCTION("""COMPUTED_VALUE"""),FALSE)</f>
        <v>0</v>
      </c>
      <c r="L1250" s="20" t="str">
        <f>IFERROR(__xludf.DUMMYFUNCTION("""COMPUTED_VALUE"""),"String;Stack;")</f>
        <v>String;Stack;</v>
      </c>
      <c r="M1250" s="20" t="b">
        <f>IFERROR(__xludf.DUMMYFUNCTION("""COMPUTED_VALUE"""),TRUE)</f>
        <v>1</v>
      </c>
      <c r="N1250" s="20" t="b">
        <f>IFERROR(__xludf.DUMMYFUNCTION("""COMPUTED_VALUE"""),FALSE)</f>
        <v>0</v>
      </c>
      <c r="O1250" s="20">
        <f>IFERROR(__xludf.DUMMYFUNCTION("""COMPUTED_VALUE"""),65.720959279177)</f>
        <v>65.72095928</v>
      </c>
      <c r="P1250" s="20">
        <f>IFERROR(__xludf.DUMMYFUNCTION("""COMPUTED_VALUE"""),481987.0)</f>
        <v>481987</v>
      </c>
      <c r="Q1250" s="20">
        <f>IFERROR(__xludf.DUMMYFUNCTION("""COMPUTED_VALUE"""),733383.0)</f>
        <v>733383</v>
      </c>
    </row>
    <row r="1251">
      <c r="A1251" s="20">
        <f>IFERROR(__xludf.DUMMYFUNCTION("""COMPUTED_VALUE"""),1372.0)</f>
        <v>1372</v>
      </c>
      <c r="B1251" s="20" t="str">
        <f>IFERROR(__xludf.DUMMYFUNCTION("""COMPUTED_VALUE"""),"Check If It Is a Good Array")</f>
        <v>Check If It Is a Good Array</v>
      </c>
      <c r="C1251" s="20" t="str">
        <f>IFERROR(__xludf.DUMMYFUNCTION("""COMPUTED_VALUE"""),"check-if-it-is-a-good-array")</f>
        <v>check-if-it-is-a-good-array</v>
      </c>
      <c r="D1251" s="20" t="b">
        <f>IFERROR(__xludf.DUMMYFUNCTION("""COMPUTED_VALUE"""),FALSE)</f>
        <v>0</v>
      </c>
      <c r="E1251" s="20" t="str">
        <f>IFERROR(__xludf.DUMMYFUNCTION("""COMPUTED_VALUE"""),"Hard")</f>
        <v>Hard</v>
      </c>
      <c r="F1251" s="20">
        <f>IFERROR(__xludf.DUMMYFUNCTION("""COMPUTED_VALUE"""),357.0)</f>
        <v>357</v>
      </c>
      <c r="G1251" s="20">
        <f>IFERROR(__xludf.DUMMYFUNCTION("""COMPUTED_VALUE"""),323.0)</f>
        <v>323</v>
      </c>
      <c r="H1251" s="20" t="str">
        <f>IFERROR(__xludf.DUMMYFUNCTION("""COMPUTED_VALUE"""),"Algorithms")</f>
        <v>Algorithms</v>
      </c>
      <c r="I1251" s="20">
        <f>IFERROR(__xludf.DUMMYFUNCTION("""COMPUTED_VALUE"""),0.587)</f>
        <v>0.587</v>
      </c>
      <c r="J1251" s="20">
        <f>IFERROR(__xludf.DUMMYFUNCTION("""COMPUTED_VALUE"""),1250.0)</f>
        <v>1250</v>
      </c>
      <c r="K1251" s="20" t="b">
        <f>IFERROR(__xludf.DUMMYFUNCTION("""COMPUTED_VALUE"""),FALSE)</f>
        <v>0</v>
      </c>
      <c r="L1251" s="20" t="str">
        <f>IFERROR(__xludf.DUMMYFUNCTION("""COMPUTED_VALUE"""),"Array;Math;Number Theory;")</f>
        <v>Array;Math;Number Theory;</v>
      </c>
      <c r="M1251" s="20" t="b">
        <f>IFERROR(__xludf.DUMMYFUNCTION("""COMPUTED_VALUE"""),FALSE)</f>
        <v>0</v>
      </c>
      <c r="N1251" s="20" t="b">
        <f>IFERROR(__xludf.DUMMYFUNCTION("""COMPUTED_VALUE"""),FALSE)</f>
        <v>0</v>
      </c>
      <c r="O1251" s="20">
        <f>IFERROR(__xludf.DUMMYFUNCTION("""COMPUTED_VALUE"""),58.7285606414728)</f>
        <v>58.72856064</v>
      </c>
      <c r="P1251" s="20">
        <f>IFERROR(__xludf.DUMMYFUNCTION("""COMPUTED_VALUE"""),16332.0)</f>
        <v>16332</v>
      </c>
      <c r="Q1251" s="20">
        <f>IFERROR(__xludf.DUMMYFUNCTION("""COMPUTED_VALUE"""),27808.0)</f>
        <v>27808</v>
      </c>
    </row>
    <row r="1252">
      <c r="A1252" s="20">
        <f>IFERROR(__xludf.DUMMYFUNCTION("""COMPUTED_VALUE"""),1390.0)</f>
        <v>1390</v>
      </c>
      <c r="B1252" s="20" t="str">
        <f>IFERROR(__xludf.DUMMYFUNCTION("""COMPUTED_VALUE"""),"Average Selling Price")</f>
        <v>Average Selling Price</v>
      </c>
      <c r="C1252" s="20" t="str">
        <f>IFERROR(__xludf.DUMMYFUNCTION("""COMPUTED_VALUE"""),"average-selling-price")</f>
        <v>average-selling-price</v>
      </c>
      <c r="D1252" s="20" t="b">
        <f>IFERROR(__xludf.DUMMYFUNCTION("""COMPUTED_VALUE"""),TRUE)</f>
        <v>1</v>
      </c>
      <c r="E1252" s="20" t="str">
        <f>IFERROR(__xludf.DUMMYFUNCTION("""COMPUTED_VALUE"""),"Easy")</f>
        <v>Easy</v>
      </c>
      <c r="F1252" s="20">
        <f>IFERROR(__xludf.DUMMYFUNCTION("""COMPUTED_VALUE"""),278.0)</f>
        <v>278</v>
      </c>
      <c r="G1252" s="20">
        <f>IFERROR(__xludf.DUMMYFUNCTION("""COMPUTED_VALUE"""),30.0)</f>
        <v>30</v>
      </c>
      <c r="H1252" s="20" t="str">
        <f>IFERROR(__xludf.DUMMYFUNCTION("""COMPUTED_VALUE"""),"Database")</f>
        <v>Database</v>
      </c>
      <c r="I1252" s="20">
        <f>IFERROR(__xludf.DUMMYFUNCTION("""COMPUTED_VALUE"""),0.828)</f>
        <v>0.828</v>
      </c>
      <c r="J1252" s="20">
        <f>IFERROR(__xludf.DUMMYFUNCTION("""COMPUTED_VALUE"""),1251.0)</f>
        <v>1251</v>
      </c>
      <c r="K1252" s="20" t="b">
        <f>IFERROR(__xludf.DUMMYFUNCTION("""COMPUTED_VALUE"""),TRUE)</f>
        <v>1</v>
      </c>
      <c r="L1252" s="20" t="str">
        <f>IFERROR(__xludf.DUMMYFUNCTION("""COMPUTED_VALUE"""),"Database;")</f>
        <v>Database;</v>
      </c>
      <c r="M1252" s="20" t="b">
        <f>IFERROR(__xludf.DUMMYFUNCTION("""COMPUTED_VALUE"""),FALSE)</f>
        <v>0</v>
      </c>
      <c r="N1252" s="20" t="b">
        <f>IFERROR(__xludf.DUMMYFUNCTION("""COMPUTED_VALUE"""),FALSE)</f>
        <v>0</v>
      </c>
      <c r="O1252" s="20">
        <f>IFERROR(__xludf.DUMMYFUNCTION("""COMPUTED_VALUE"""),82.7751946084321)</f>
        <v>82.77519461</v>
      </c>
      <c r="P1252" s="20">
        <f>IFERROR(__xludf.DUMMYFUNCTION("""COMPUTED_VALUE"""),47532.0)</f>
        <v>47532</v>
      </c>
      <c r="Q1252" s="20">
        <f>IFERROR(__xludf.DUMMYFUNCTION("""COMPUTED_VALUE"""),57423.0)</f>
        <v>57423</v>
      </c>
    </row>
    <row r="1253">
      <c r="A1253" s="20">
        <f>IFERROR(__xludf.DUMMYFUNCTION("""COMPUTED_VALUE"""),1378.0)</f>
        <v>1378</v>
      </c>
      <c r="B1253" s="20" t="str">
        <f>IFERROR(__xludf.DUMMYFUNCTION("""COMPUTED_VALUE"""),"Cells with Odd Values in a Matrix")</f>
        <v>Cells with Odd Values in a Matrix</v>
      </c>
      <c r="C1253" s="20" t="str">
        <f>IFERROR(__xludf.DUMMYFUNCTION("""COMPUTED_VALUE"""),"cells-with-odd-values-in-a-matrix")</f>
        <v>cells-with-odd-values-in-a-matrix</v>
      </c>
      <c r="D1253" s="20" t="b">
        <f>IFERROR(__xludf.DUMMYFUNCTION("""COMPUTED_VALUE"""),FALSE)</f>
        <v>0</v>
      </c>
      <c r="E1253" s="20" t="str">
        <f>IFERROR(__xludf.DUMMYFUNCTION("""COMPUTED_VALUE"""),"Easy")</f>
        <v>Easy</v>
      </c>
      <c r="F1253" s="20">
        <f>IFERROR(__xludf.DUMMYFUNCTION("""COMPUTED_VALUE"""),926.0)</f>
        <v>926</v>
      </c>
      <c r="G1253" s="20">
        <f>IFERROR(__xludf.DUMMYFUNCTION("""COMPUTED_VALUE"""),1281.0)</f>
        <v>1281</v>
      </c>
      <c r="H1253" s="20" t="str">
        <f>IFERROR(__xludf.DUMMYFUNCTION("""COMPUTED_VALUE"""),"Algorithms")</f>
        <v>Algorithms</v>
      </c>
      <c r="I1253" s="20">
        <f>IFERROR(__xludf.DUMMYFUNCTION("""COMPUTED_VALUE"""),0.786)</f>
        <v>0.786</v>
      </c>
      <c r="J1253" s="20">
        <f>IFERROR(__xludf.DUMMYFUNCTION("""COMPUTED_VALUE"""),1252.0)</f>
        <v>1252</v>
      </c>
      <c r="K1253" s="20" t="b">
        <f>IFERROR(__xludf.DUMMYFUNCTION("""COMPUTED_VALUE"""),FALSE)</f>
        <v>0</v>
      </c>
      <c r="L1253" s="20" t="str">
        <f>IFERROR(__xludf.DUMMYFUNCTION("""COMPUTED_VALUE"""),"Array;Math;Simulation;")</f>
        <v>Array;Math;Simulation;</v>
      </c>
      <c r="M1253" s="20" t="b">
        <f>IFERROR(__xludf.DUMMYFUNCTION("""COMPUTED_VALUE"""),FALSE)</f>
        <v>0</v>
      </c>
      <c r="N1253" s="20" t="b">
        <f>IFERROR(__xludf.DUMMYFUNCTION("""COMPUTED_VALUE"""),FALSE)</f>
        <v>0</v>
      </c>
      <c r="O1253" s="20">
        <f>IFERROR(__xludf.DUMMYFUNCTION("""COMPUTED_VALUE"""),78.5811230878348)</f>
        <v>78.58112309</v>
      </c>
      <c r="P1253" s="20">
        <f>IFERROR(__xludf.DUMMYFUNCTION("""COMPUTED_VALUE"""),89742.0)</f>
        <v>89742</v>
      </c>
      <c r="Q1253" s="20">
        <f>IFERROR(__xludf.DUMMYFUNCTION("""COMPUTED_VALUE"""),114203.0)</f>
        <v>114203</v>
      </c>
    </row>
    <row r="1254">
      <c r="A1254" s="20">
        <f>IFERROR(__xludf.DUMMYFUNCTION("""COMPUTED_VALUE"""),1379.0)</f>
        <v>1379</v>
      </c>
      <c r="B1254" s="20" t="str">
        <f>IFERROR(__xludf.DUMMYFUNCTION("""COMPUTED_VALUE"""),"Reconstruct a 2-Row Binary Matrix")</f>
        <v>Reconstruct a 2-Row Binary Matrix</v>
      </c>
      <c r="C1254" s="20" t="str">
        <f>IFERROR(__xludf.DUMMYFUNCTION("""COMPUTED_VALUE"""),"reconstruct-a-2-row-binary-matrix")</f>
        <v>reconstruct-a-2-row-binary-matrix</v>
      </c>
      <c r="D1254" s="20" t="b">
        <f>IFERROR(__xludf.DUMMYFUNCTION("""COMPUTED_VALUE"""),FALSE)</f>
        <v>0</v>
      </c>
      <c r="E1254" s="20" t="str">
        <f>IFERROR(__xludf.DUMMYFUNCTION("""COMPUTED_VALUE"""),"Medium")</f>
        <v>Medium</v>
      </c>
      <c r="F1254" s="20">
        <f>IFERROR(__xludf.DUMMYFUNCTION("""COMPUTED_VALUE"""),374.0)</f>
        <v>374</v>
      </c>
      <c r="G1254" s="20">
        <f>IFERROR(__xludf.DUMMYFUNCTION("""COMPUTED_VALUE"""),27.0)</f>
        <v>27</v>
      </c>
      <c r="H1254" s="20" t="str">
        <f>IFERROR(__xludf.DUMMYFUNCTION("""COMPUTED_VALUE"""),"Algorithms")</f>
        <v>Algorithms</v>
      </c>
      <c r="I1254" s="20">
        <f>IFERROR(__xludf.DUMMYFUNCTION("""COMPUTED_VALUE"""),0.439)</f>
        <v>0.439</v>
      </c>
      <c r="J1254" s="20">
        <f>IFERROR(__xludf.DUMMYFUNCTION("""COMPUTED_VALUE"""),1253.0)</f>
        <v>1253</v>
      </c>
      <c r="K1254" s="20" t="b">
        <f>IFERROR(__xludf.DUMMYFUNCTION("""COMPUTED_VALUE"""),FALSE)</f>
        <v>0</v>
      </c>
      <c r="L1254" s="20" t="str">
        <f>IFERROR(__xludf.DUMMYFUNCTION("""COMPUTED_VALUE"""),"Array;Greedy;Matrix;")</f>
        <v>Array;Greedy;Matrix;</v>
      </c>
      <c r="M1254" s="20" t="b">
        <f>IFERROR(__xludf.DUMMYFUNCTION("""COMPUTED_VALUE"""),FALSE)</f>
        <v>0</v>
      </c>
      <c r="N1254" s="20" t="b">
        <f>IFERROR(__xludf.DUMMYFUNCTION("""COMPUTED_VALUE"""),FALSE)</f>
        <v>0</v>
      </c>
      <c r="O1254" s="20">
        <f>IFERROR(__xludf.DUMMYFUNCTION("""COMPUTED_VALUE"""),43.9111849435789)</f>
        <v>43.91118494</v>
      </c>
      <c r="P1254" s="20">
        <f>IFERROR(__xludf.DUMMYFUNCTION("""COMPUTED_VALUE"""),21675.0)</f>
        <v>21675</v>
      </c>
      <c r="Q1254" s="20">
        <f>IFERROR(__xludf.DUMMYFUNCTION("""COMPUTED_VALUE"""),49361.0)</f>
        <v>49361</v>
      </c>
    </row>
    <row r="1255">
      <c r="A1255" s="20">
        <f>IFERROR(__xludf.DUMMYFUNCTION("""COMPUTED_VALUE"""),1380.0)</f>
        <v>1380</v>
      </c>
      <c r="B1255" s="20" t="str">
        <f>IFERROR(__xludf.DUMMYFUNCTION("""COMPUTED_VALUE"""),"Number of Closed Islands")</f>
        <v>Number of Closed Islands</v>
      </c>
      <c r="C1255" s="20" t="str">
        <f>IFERROR(__xludf.DUMMYFUNCTION("""COMPUTED_VALUE"""),"number-of-closed-islands")</f>
        <v>number-of-closed-islands</v>
      </c>
      <c r="D1255" s="20" t="b">
        <f>IFERROR(__xludf.DUMMYFUNCTION("""COMPUTED_VALUE"""),FALSE)</f>
        <v>0</v>
      </c>
      <c r="E1255" s="20" t="str">
        <f>IFERROR(__xludf.DUMMYFUNCTION("""COMPUTED_VALUE"""),"Medium")</f>
        <v>Medium</v>
      </c>
      <c r="F1255" s="20">
        <f>IFERROR(__xludf.DUMMYFUNCTION("""COMPUTED_VALUE"""),2607.0)</f>
        <v>2607</v>
      </c>
      <c r="G1255" s="20">
        <f>IFERROR(__xludf.DUMMYFUNCTION("""COMPUTED_VALUE"""),63.0)</f>
        <v>63</v>
      </c>
      <c r="H1255" s="20" t="str">
        <f>IFERROR(__xludf.DUMMYFUNCTION("""COMPUTED_VALUE"""),"Algorithms")</f>
        <v>Algorithms</v>
      </c>
      <c r="I1255" s="20">
        <f>IFERROR(__xludf.DUMMYFUNCTION("""COMPUTED_VALUE"""),0.642)</f>
        <v>0.642</v>
      </c>
      <c r="J1255" s="20">
        <f>IFERROR(__xludf.DUMMYFUNCTION("""COMPUTED_VALUE"""),1254.0)</f>
        <v>1254</v>
      </c>
      <c r="K1255" s="20" t="b">
        <f>IFERROR(__xludf.DUMMYFUNCTION("""COMPUTED_VALUE"""),FALSE)</f>
        <v>0</v>
      </c>
      <c r="L1255" s="20" t="str">
        <f>IFERROR(__xludf.DUMMYFUNCTION("""COMPUTED_VALUE"""),"Array;Depth-First Search;Breadth-First Search;Union Find;Matrix;")</f>
        <v>Array;Depth-First Search;Breadth-First Search;Union Find;Matrix;</v>
      </c>
      <c r="M1255" s="20" t="b">
        <f>IFERROR(__xludf.DUMMYFUNCTION("""COMPUTED_VALUE"""),FALSE)</f>
        <v>0</v>
      </c>
      <c r="N1255" s="20" t="b">
        <f>IFERROR(__xludf.DUMMYFUNCTION("""COMPUTED_VALUE"""),FALSE)</f>
        <v>0</v>
      </c>
      <c r="O1255" s="20">
        <f>IFERROR(__xludf.DUMMYFUNCTION("""COMPUTED_VALUE"""),64.2116021596862)</f>
        <v>64.21160216</v>
      </c>
      <c r="P1255" s="20">
        <f>IFERROR(__xludf.DUMMYFUNCTION("""COMPUTED_VALUE"""),119996.0)</f>
        <v>119996</v>
      </c>
      <c r="Q1255" s="20">
        <f>IFERROR(__xludf.DUMMYFUNCTION("""COMPUTED_VALUE"""),186877.0)</f>
        <v>186877</v>
      </c>
    </row>
    <row r="1256">
      <c r="A1256" s="20">
        <f>IFERROR(__xludf.DUMMYFUNCTION("""COMPUTED_VALUE"""),1381.0)</f>
        <v>1381</v>
      </c>
      <c r="B1256" s="20" t="str">
        <f>IFERROR(__xludf.DUMMYFUNCTION("""COMPUTED_VALUE"""),"Maximum Score Words Formed by Letters")</f>
        <v>Maximum Score Words Formed by Letters</v>
      </c>
      <c r="C1256" s="20" t="str">
        <f>IFERROR(__xludf.DUMMYFUNCTION("""COMPUTED_VALUE"""),"maximum-score-words-formed-by-letters")</f>
        <v>maximum-score-words-formed-by-letters</v>
      </c>
      <c r="D1256" s="20" t="b">
        <f>IFERROR(__xludf.DUMMYFUNCTION("""COMPUTED_VALUE"""),FALSE)</f>
        <v>0</v>
      </c>
      <c r="E1256" s="20" t="str">
        <f>IFERROR(__xludf.DUMMYFUNCTION("""COMPUTED_VALUE"""),"Hard")</f>
        <v>Hard</v>
      </c>
      <c r="F1256" s="20">
        <f>IFERROR(__xludf.DUMMYFUNCTION("""COMPUTED_VALUE"""),905.0)</f>
        <v>905</v>
      </c>
      <c r="G1256" s="20">
        <f>IFERROR(__xludf.DUMMYFUNCTION("""COMPUTED_VALUE"""),47.0)</f>
        <v>47</v>
      </c>
      <c r="H1256" s="20" t="str">
        <f>IFERROR(__xludf.DUMMYFUNCTION("""COMPUTED_VALUE"""),"Algorithms")</f>
        <v>Algorithms</v>
      </c>
      <c r="I1256" s="20">
        <f>IFERROR(__xludf.DUMMYFUNCTION("""COMPUTED_VALUE"""),0.728)</f>
        <v>0.728</v>
      </c>
      <c r="J1256" s="20">
        <f>IFERROR(__xludf.DUMMYFUNCTION("""COMPUTED_VALUE"""),1255.0)</f>
        <v>1255</v>
      </c>
      <c r="K1256" s="20" t="b">
        <f>IFERROR(__xludf.DUMMYFUNCTION("""COMPUTED_VALUE"""),FALSE)</f>
        <v>0</v>
      </c>
      <c r="L1256" s="20" t="str">
        <f>IFERROR(__xludf.DUMMYFUNCTION("""COMPUTED_VALUE"""),"Array;String;Dynamic Programming;Backtracking;Bit Manipulation;Bitmask;")</f>
        <v>Array;String;Dynamic Programming;Backtracking;Bit Manipulation;Bitmask;</v>
      </c>
      <c r="M1256" s="20" t="b">
        <f>IFERROR(__xludf.DUMMYFUNCTION("""COMPUTED_VALUE"""),FALSE)</f>
        <v>0</v>
      </c>
      <c r="N1256" s="20" t="b">
        <f>IFERROR(__xludf.DUMMYFUNCTION("""COMPUTED_VALUE"""),FALSE)</f>
        <v>0</v>
      </c>
      <c r="O1256" s="20">
        <f>IFERROR(__xludf.DUMMYFUNCTION("""COMPUTED_VALUE"""),72.7578239865574)</f>
        <v>72.75782399</v>
      </c>
      <c r="P1256" s="20">
        <f>IFERROR(__xludf.DUMMYFUNCTION("""COMPUTED_VALUE"""),27712.0)</f>
        <v>27712</v>
      </c>
      <c r="Q1256" s="20">
        <f>IFERROR(__xludf.DUMMYFUNCTION("""COMPUTED_VALUE"""),38088.0)</f>
        <v>38088</v>
      </c>
    </row>
    <row r="1257">
      <c r="A1257" s="20">
        <f>IFERROR(__xludf.DUMMYFUNCTION("""COMPUTED_VALUE"""),1189.0)</f>
        <v>1189</v>
      </c>
      <c r="B1257" s="20" t="str">
        <f>IFERROR(__xludf.DUMMYFUNCTION("""COMPUTED_VALUE"""),"Encode Number")</f>
        <v>Encode Number</v>
      </c>
      <c r="C1257" s="20" t="str">
        <f>IFERROR(__xludf.DUMMYFUNCTION("""COMPUTED_VALUE"""),"encode-number")</f>
        <v>encode-number</v>
      </c>
      <c r="D1257" s="20" t="b">
        <f>IFERROR(__xludf.DUMMYFUNCTION("""COMPUTED_VALUE"""),TRUE)</f>
        <v>1</v>
      </c>
      <c r="E1257" s="20" t="str">
        <f>IFERROR(__xludf.DUMMYFUNCTION("""COMPUTED_VALUE"""),"Medium")</f>
        <v>Medium</v>
      </c>
      <c r="F1257" s="20">
        <f>IFERROR(__xludf.DUMMYFUNCTION("""COMPUTED_VALUE"""),67.0)</f>
        <v>67</v>
      </c>
      <c r="G1257" s="20">
        <f>IFERROR(__xludf.DUMMYFUNCTION("""COMPUTED_VALUE"""),229.0)</f>
        <v>229</v>
      </c>
      <c r="H1257" s="20" t="str">
        <f>IFERROR(__xludf.DUMMYFUNCTION("""COMPUTED_VALUE"""),"Algorithms")</f>
        <v>Algorithms</v>
      </c>
      <c r="I1257" s="20">
        <f>IFERROR(__xludf.DUMMYFUNCTION("""COMPUTED_VALUE"""),0.699)</f>
        <v>0.699</v>
      </c>
      <c r="J1257" s="20">
        <f>IFERROR(__xludf.DUMMYFUNCTION("""COMPUTED_VALUE"""),1256.0)</f>
        <v>1256</v>
      </c>
      <c r="K1257" s="20" t="b">
        <f>IFERROR(__xludf.DUMMYFUNCTION("""COMPUTED_VALUE"""),TRUE)</f>
        <v>1</v>
      </c>
      <c r="L1257" s="20" t="str">
        <f>IFERROR(__xludf.DUMMYFUNCTION("""COMPUTED_VALUE"""),"Math;String;Bit Manipulation;")</f>
        <v>Math;String;Bit Manipulation;</v>
      </c>
      <c r="M1257" s="20" t="b">
        <f>IFERROR(__xludf.DUMMYFUNCTION("""COMPUTED_VALUE"""),FALSE)</f>
        <v>0</v>
      </c>
      <c r="N1257" s="20" t="b">
        <f>IFERROR(__xludf.DUMMYFUNCTION("""COMPUTED_VALUE"""),FALSE)</f>
        <v>0</v>
      </c>
      <c r="O1257" s="20">
        <f>IFERROR(__xludf.DUMMYFUNCTION("""COMPUTED_VALUE"""),69.8614902436558)</f>
        <v>69.86149024</v>
      </c>
      <c r="P1257" s="20">
        <f>IFERROR(__xludf.DUMMYFUNCTION("""COMPUTED_VALUE"""),6910.0)</f>
        <v>6910</v>
      </c>
      <c r="Q1257" s="20">
        <f>IFERROR(__xludf.DUMMYFUNCTION("""COMPUTED_VALUE"""),9891.0)</f>
        <v>9891</v>
      </c>
    </row>
    <row r="1258">
      <c r="A1258" s="20">
        <f>IFERROR(__xludf.DUMMYFUNCTION("""COMPUTED_VALUE"""),1190.0)</f>
        <v>1190</v>
      </c>
      <c r="B1258" s="20" t="str">
        <f>IFERROR(__xludf.DUMMYFUNCTION("""COMPUTED_VALUE"""),"Smallest Common Region")</f>
        <v>Smallest Common Region</v>
      </c>
      <c r="C1258" s="20" t="str">
        <f>IFERROR(__xludf.DUMMYFUNCTION("""COMPUTED_VALUE"""),"smallest-common-region")</f>
        <v>smallest-common-region</v>
      </c>
      <c r="D1258" s="20" t="b">
        <f>IFERROR(__xludf.DUMMYFUNCTION("""COMPUTED_VALUE"""),TRUE)</f>
        <v>1</v>
      </c>
      <c r="E1258" s="20" t="str">
        <f>IFERROR(__xludf.DUMMYFUNCTION("""COMPUTED_VALUE"""),"Medium")</f>
        <v>Medium</v>
      </c>
      <c r="F1258" s="20">
        <f>IFERROR(__xludf.DUMMYFUNCTION("""COMPUTED_VALUE"""),379.0)</f>
        <v>379</v>
      </c>
      <c r="G1258" s="20">
        <f>IFERROR(__xludf.DUMMYFUNCTION("""COMPUTED_VALUE"""),29.0)</f>
        <v>29</v>
      </c>
      <c r="H1258" s="20" t="str">
        <f>IFERROR(__xludf.DUMMYFUNCTION("""COMPUTED_VALUE"""),"Algorithms")</f>
        <v>Algorithms</v>
      </c>
      <c r="I1258" s="20">
        <f>IFERROR(__xludf.DUMMYFUNCTION("""COMPUTED_VALUE"""),0.641)</f>
        <v>0.641</v>
      </c>
      <c r="J1258" s="20">
        <f>IFERROR(__xludf.DUMMYFUNCTION("""COMPUTED_VALUE"""),1257.0)</f>
        <v>1257</v>
      </c>
      <c r="K1258" s="20" t="b">
        <f>IFERROR(__xludf.DUMMYFUNCTION("""COMPUTED_VALUE"""),TRUE)</f>
        <v>1</v>
      </c>
      <c r="L1258" s="20" t="str">
        <f>IFERROR(__xludf.DUMMYFUNCTION("""COMPUTED_VALUE"""),"Array;Hash Table;String;Tree;Depth-First Search;Breadth-First Search;")</f>
        <v>Array;Hash Table;String;Tree;Depth-First Search;Breadth-First Search;</v>
      </c>
      <c r="M1258" s="20" t="b">
        <f>IFERROR(__xludf.DUMMYFUNCTION("""COMPUTED_VALUE"""),FALSE)</f>
        <v>0</v>
      </c>
      <c r="N1258" s="20" t="b">
        <f>IFERROR(__xludf.DUMMYFUNCTION("""COMPUTED_VALUE"""),FALSE)</f>
        <v>0</v>
      </c>
      <c r="O1258" s="20">
        <f>IFERROR(__xludf.DUMMYFUNCTION("""COMPUTED_VALUE"""),64.0770343829669)</f>
        <v>64.07703438</v>
      </c>
      <c r="P1258" s="20">
        <f>IFERROR(__xludf.DUMMYFUNCTION("""COMPUTED_VALUE"""),18599.0)</f>
        <v>18599</v>
      </c>
      <c r="Q1258" s="20">
        <f>IFERROR(__xludf.DUMMYFUNCTION("""COMPUTED_VALUE"""),29026.0)</f>
        <v>29026</v>
      </c>
    </row>
    <row r="1259">
      <c r="A1259" s="20">
        <f>IFERROR(__xludf.DUMMYFUNCTION("""COMPUTED_VALUE"""),1191.0)</f>
        <v>1191</v>
      </c>
      <c r="B1259" s="20" t="str">
        <f>IFERROR(__xludf.DUMMYFUNCTION("""COMPUTED_VALUE"""),"Synonymous Sentences")</f>
        <v>Synonymous Sentences</v>
      </c>
      <c r="C1259" s="20" t="str">
        <f>IFERROR(__xludf.DUMMYFUNCTION("""COMPUTED_VALUE"""),"synonymous-sentences")</f>
        <v>synonymous-sentences</v>
      </c>
      <c r="D1259" s="20" t="b">
        <f>IFERROR(__xludf.DUMMYFUNCTION("""COMPUTED_VALUE"""),TRUE)</f>
        <v>1</v>
      </c>
      <c r="E1259" s="20" t="str">
        <f>IFERROR(__xludf.DUMMYFUNCTION("""COMPUTED_VALUE"""),"Medium")</f>
        <v>Medium</v>
      </c>
      <c r="F1259" s="20">
        <f>IFERROR(__xludf.DUMMYFUNCTION("""COMPUTED_VALUE"""),302.0)</f>
        <v>302</v>
      </c>
      <c r="G1259" s="20">
        <f>IFERROR(__xludf.DUMMYFUNCTION("""COMPUTED_VALUE"""),130.0)</f>
        <v>130</v>
      </c>
      <c r="H1259" s="20" t="str">
        <f>IFERROR(__xludf.DUMMYFUNCTION("""COMPUTED_VALUE"""),"Algorithms")</f>
        <v>Algorithms</v>
      </c>
      <c r="I1259" s="20">
        <f>IFERROR(__xludf.DUMMYFUNCTION("""COMPUTED_VALUE"""),0.564)</f>
        <v>0.564</v>
      </c>
      <c r="J1259" s="20">
        <f>IFERROR(__xludf.DUMMYFUNCTION("""COMPUTED_VALUE"""),1258.0)</f>
        <v>1258</v>
      </c>
      <c r="K1259" s="20" t="b">
        <f>IFERROR(__xludf.DUMMYFUNCTION("""COMPUTED_VALUE"""),TRUE)</f>
        <v>1</v>
      </c>
      <c r="L1259" s="20" t="str">
        <f>IFERROR(__xludf.DUMMYFUNCTION("""COMPUTED_VALUE"""),"Array;Hash Table;String;Backtracking;Union Find;")</f>
        <v>Array;Hash Table;String;Backtracking;Union Find;</v>
      </c>
      <c r="M1259" s="20" t="b">
        <f>IFERROR(__xludf.DUMMYFUNCTION("""COMPUTED_VALUE"""),FALSE)</f>
        <v>0</v>
      </c>
      <c r="N1259" s="20" t="b">
        <f>IFERROR(__xludf.DUMMYFUNCTION("""COMPUTED_VALUE"""),FALSE)</f>
        <v>0</v>
      </c>
      <c r="O1259" s="20">
        <f>IFERROR(__xludf.DUMMYFUNCTION("""COMPUTED_VALUE"""),56.4405822562429)</f>
        <v>56.44058226</v>
      </c>
      <c r="P1259" s="20">
        <f>IFERROR(__xludf.DUMMYFUNCTION("""COMPUTED_VALUE"""),17991.0)</f>
        <v>17991</v>
      </c>
      <c r="Q1259" s="20">
        <f>IFERROR(__xludf.DUMMYFUNCTION("""COMPUTED_VALUE"""),31876.0)</f>
        <v>31876</v>
      </c>
    </row>
    <row r="1260">
      <c r="A1260" s="20">
        <f>IFERROR(__xludf.DUMMYFUNCTION("""COMPUTED_VALUE"""),1213.0)</f>
        <v>1213</v>
      </c>
      <c r="B1260" s="20" t="str">
        <f>IFERROR(__xludf.DUMMYFUNCTION("""COMPUTED_VALUE"""),"Handshakes That Don't Cross")</f>
        <v>Handshakes That Don't Cross</v>
      </c>
      <c r="C1260" s="20" t="str">
        <f>IFERROR(__xludf.DUMMYFUNCTION("""COMPUTED_VALUE"""),"handshakes-that-dont-cross")</f>
        <v>handshakes-that-dont-cross</v>
      </c>
      <c r="D1260" s="20" t="b">
        <f>IFERROR(__xludf.DUMMYFUNCTION("""COMPUTED_VALUE"""),TRUE)</f>
        <v>1</v>
      </c>
      <c r="E1260" s="20" t="str">
        <f>IFERROR(__xludf.DUMMYFUNCTION("""COMPUTED_VALUE"""),"Hard")</f>
        <v>Hard</v>
      </c>
      <c r="F1260" s="20">
        <f>IFERROR(__xludf.DUMMYFUNCTION("""COMPUTED_VALUE"""),131.0)</f>
        <v>131</v>
      </c>
      <c r="G1260" s="20">
        <f>IFERROR(__xludf.DUMMYFUNCTION("""COMPUTED_VALUE"""),10.0)</f>
        <v>10</v>
      </c>
      <c r="H1260" s="20" t="str">
        <f>IFERROR(__xludf.DUMMYFUNCTION("""COMPUTED_VALUE"""),"Algorithms")</f>
        <v>Algorithms</v>
      </c>
      <c r="I1260" s="20">
        <f>IFERROR(__xludf.DUMMYFUNCTION("""COMPUTED_VALUE"""),0.564)</f>
        <v>0.564</v>
      </c>
      <c r="J1260" s="20">
        <f>IFERROR(__xludf.DUMMYFUNCTION("""COMPUTED_VALUE"""),1259.0)</f>
        <v>1259</v>
      </c>
      <c r="K1260" s="20" t="b">
        <f>IFERROR(__xludf.DUMMYFUNCTION("""COMPUTED_VALUE"""),TRUE)</f>
        <v>1</v>
      </c>
      <c r="L1260" s="20" t="str">
        <f>IFERROR(__xludf.DUMMYFUNCTION("""COMPUTED_VALUE"""),"Math;Dynamic Programming;")</f>
        <v>Math;Dynamic Programming;</v>
      </c>
      <c r="M1260" s="20" t="b">
        <f>IFERROR(__xludf.DUMMYFUNCTION("""COMPUTED_VALUE"""),FALSE)</f>
        <v>0</v>
      </c>
      <c r="N1260" s="20" t="b">
        <f>IFERROR(__xludf.DUMMYFUNCTION("""COMPUTED_VALUE"""),FALSE)</f>
        <v>0</v>
      </c>
      <c r="O1260" s="20">
        <f>IFERROR(__xludf.DUMMYFUNCTION("""COMPUTED_VALUE"""),56.351401179941)</f>
        <v>56.35140118</v>
      </c>
      <c r="P1260" s="20">
        <f>IFERROR(__xludf.DUMMYFUNCTION("""COMPUTED_VALUE"""),6113.0)</f>
        <v>6113</v>
      </c>
      <c r="Q1260" s="20">
        <f>IFERROR(__xludf.DUMMYFUNCTION("""COMPUTED_VALUE"""),10848.0)</f>
        <v>10848</v>
      </c>
    </row>
    <row r="1261">
      <c r="A1261" s="20">
        <f>IFERROR(__xludf.DUMMYFUNCTION("""COMPUTED_VALUE"""),1386.0)</f>
        <v>1386</v>
      </c>
      <c r="B1261" s="20" t="str">
        <f>IFERROR(__xludf.DUMMYFUNCTION("""COMPUTED_VALUE"""),"Shift 2D Grid")</f>
        <v>Shift 2D Grid</v>
      </c>
      <c r="C1261" s="20" t="str">
        <f>IFERROR(__xludf.DUMMYFUNCTION("""COMPUTED_VALUE"""),"shift-2d-grid")</f>
        <v>shift-2d-grid</v>
      </c>
      <c r="D1261" s="20" t="b">
        <f>IFERROR(__xludf.DUMMYFUNCTION("""COMPUTED_VALUE"""),FALSE)</f>
        <v>0</v>
      </c>
      <c r="E1261" s="20" t="str">
        <f>IFERROR(__xludf.DUMMYFUNCTION("""COMPUTED_VALUE"""),"Easy")</f>
        <v>Easy</v>
      </c>
      <c r="F1261" s="20">
        <f>IFERROR(__xludf.DUMMYFUNCTION("""COMPUTED_VALUE"""),1536.0)</f>
        <v>1536</v>
      </c>
      <c r="G1261" s="20">
        <f>IFERROR(__xludf.DUMMYFUNCTION("""COMPUTED_VALUE"""),319.0)</f>
        <v>319</v>
      </c>
      <c r="H1261" s="20" t="str">
        <f>IFERROR(__xludf.DUMMYFUNCTION("""COMPUTED_VALUE"""),"Algorithms")</f>
        <v>Algorithms</v>
      </c>
      <c r="I1261" s="20">
        <f>IFERROR(__xludf.DUMMYFUNCTION("""COMPUTED_VALUE"""),0.679)</f>
        <v>0.679</v>
      </c>
      <c r="J1261" s="20">
        <f>IFERROR(__xludf.DUMMYFUNCTION("""COMPUTED_VALUE"""),1260.0)</f>
        <v>1260</v>
      </c>
      <c r="K1261" s="20" t="b">
        <f>IFERROR(__xludf.DUMMYFUNCTION("""COMPUTED_VALUE"""),FALSE)</f>
        <v>0</v>
      </c>
      <c r="L1261" s="20" t="str">
        <f>IFERROR(__xludf.DUMMYFUNCTION("""COMPUTED_VALUE"""),"Array;Matrix;Simulation;")</f>
        <v>Array;Matrix;Simulation;</v>
      </c>
      <c r="M1261" s="20" t="b">
        <f>IFERROR(__xludf.DUMMYFUNCTION("""COMPUTED_VALUE"""),TRUE)</f>
        <v>1</v>
      </c>
      <c r="N1261" s="20" t="b">
        <f>IFERROR(__xludf.DUMMYFUNCTION("""COMPUTED_VALUE"""),FALSE)</f>
        <v>0</v>
      </c>
      <c r="O1261" s="20">
        <f>IFERROR(__xludf.DUMMYFUNCTION("""COMPUTED_VALUE"""),67.9340282904645)</f>
        <v>67.93402829</v>
      </c>
      <c r="P1261" s="20">
        <f>IFERROR(__xludf.DUMMYFUNCTION("""COMPUTED_VALUE"""),92018.0)</f>
        <v>92018</v>
      </c>
      <c r="Q1261" s="20">
        <f>IFERROR(__xludf.DUMMYFUNCTION("""COMPUTED_VALUE"""),135452.0)</f>
        <v>135452</v>
      </c>
    </row>
    <row r="1262">
      <c r="A1262" s="20">
        <f>IFERROR(__xludf.DUMMYFUNCTION("""COMPUTED_VALUE"""),1387.0)</f>
        <v>1387</v>
      </c>
      <c r="B1262" s="20" t="str">
        <f>IFERROR(__xludf.DUMMYFUNCTION("""COMPUTED_VALUE"""),"Find Elements in a Contaminated Binary Tree")</f>
        <v>Find Elements in a Contaminated Binary Tree</v>
      </c>
      <c r="C1262" s="20" t="str">
        <f>IFERROR(__xludf.DUMMYFUNCTION("""COMPUTED_VALUE"""),"find-elements-in-a-contaminated-binary-tree")</f>
        <v>find-elements-in-a-contaminated-binary-tree</v>
      </c>
      <c r="D1262" s="20" t="b">
        <f>IFERROR(__xludf.DUMMYFUNCTION("""COMPUTED_VALUE"""),FALSE)</f>
        <v>0</v>
      </c>
      <c r="E1262" s="20" t="str">
        <f>IFERROR(__xludf.DUMMYFUNCTION("""COMPUTED_VALUE"""),"Medium")</f>
        <v>Medium</v>
      </c>
      <c r="F1262" s="20">
        <f>IFERROR(__xludf.DUMMYFUNCTION("""COMPUTED_VALUE"""),799.0)</f>
        <v>799</v>
      </c>
      <c r="G1262" s="20">
        <f>IFERROR(__xludf.DUMMYFUNCTION("""COMPUTED_VALUE"""),90.0)</f>
        <v>90</v>
      </c>
      <c r="H1262" s="20" t="str">
        <f>IFERROR(__xludf.DUMMYFUNCTION("""COMPUTED_VALUE"""),"Algorithms")</f>
        <v>Algorithms</v>
      </c>
      <c r="I1262" s="20">
        <f>IFERROR(__xludf.DUMMYFUNCTION("""COMPUTED_VALUE"""),0.761)</f>
        <v>0.761</v>
      </c>
      <c r="J1262" s="20">
        <f>IFERROR(__xludf.DUMMYFUNCTION("""COMPUTED_VALUE"""),1261.0)</f>
        <v>1261</v>
      </c>
      <c r="K1262" s="20" t="b">
        <f>IFERROR(__xludf.DUMMYFUNCTION("""COMPUTED_VALUE"""),FALSE)</f>
        <v>0</v>
      </c>
      <c r="L1262" s="20" t="str">
        <f>IFERROR(__xludf.DUMMYFUNCTION("""COMPUTED_VALUE"""),"Hash Table;Tree;Depth-First Search;Breadth-First Search;Design;Binary Tree;")</f>
        <v>Hash Table;Tree;Depth-First Search;Breadth-First Search;Design;Binary Tree;</v>
      </c>
      <c r="M1262" s="20" t="b">
        <f>IFERROR(__xludf.DUMMYFUNCTION("""COMPUTED_VALUE"""),FALSE)</f>
        <v>0</v>
      </c>
      <c r="N1262" s="20" t="b">
        <f>IFERROR(__xludf.DUMMYFUNCTION("""COMPUTED_VALUE"""),FALSE)</f>
        <v>0</v>
      </c>
      <c r="O1262" s="20">
        <f>IFERROR(__xludf.DUMMYFUNCTION("""COMPUTED_VALUE"""),76.1299537961492)</f>
        <v>76.1299538</v>
      </c>
      <c r="P1262" s="20">
        <f>IFERROR(__xludf.DUMMYFUNCTION("""COMPUTED_VALUE"""),52232.0)</f>
        <v>52232</v>
      </c>
      <c r="Q1262" s="20">
        <f>IFERROR(__xludf.DUMMYFUNCTION("""COMPUTED_VALUE"""),68609.0)</f>
        <v>68609</v>
      </c>
    </row>
    <row r="1263">
      <c r="A1263" s="20">
        <f>IFERROR(__xludf.DUMMYFUNCTION("""COMPUTED_VALUE"""),1388.0)</f>
        <v>1388</v>
      </c>
      <c r="B1263" s="20" t="str">
        <f>IFERROR(__xludf.DUMMYFUNCTION("""COMPUTED_VALUE"""),"Greatest Sum Divisible by Three")</f>
        <v>Greatest Sum Divisible by Three</v>
      </c>
      <c r="C1263" s="20" t="str">
        <f>IFERROR(__xludf.DUMMYFUNCTION("""COMPUTED_VALUE"""),"greatest-sum-divisible-by-three")</f>
        <v>greatest-sum-divisible-by-three</v>
      </c>
      <c r="D1263" s="20" t="b">
        <f>IFERROR(__xludf.DUMMYFUNCTION("""COMPUTED_VALUE"""),FALSE)</f>
        <v>0</v>
      </c>
      <c r="E1263" s="20" t="str">
        <f>IFERROR(__xludf.DUMMYFUNCTION("""COMPUTED_VALUE"""),"Medium")</f>
        <v>Medium</v>
      </c>
      <c r="F1263" s="20">
        <f>IFERROR(__xludf.DUMMYFUNCTION("""COMPUTED_VALUE"""),1463.0)</f>
        <v>1463</v>
      </c>
      <c r="G1263" s="20">
        <f>IFERROR(__xludf.DUMMYFUNCTION("""COMPUTED_VALUE"""),36.0)</f>
        <v>36</v>
      </c>
      <c r="H1263" s="20" t="str">
        <f>IFERROR(__xludf.DUMMYFUNCTION("""COMPUTED_VALUE"""),"Algorithms")</f>
        <v>Algorithms</v>
      </c>
      <c r="I1263" s="20">
        <f>IFERROR(__xludf.DUMMYFUNCTION("""COMPUTED_VALUE"""),0.509)</f>
        <v>0.509</v>
      </c>
      <c r="J1263" s="20">
        <f>IFERROR(__xludf.DUMMYFUNCTION("""COMPUTED_VALUE"""),1262.0)</f>
        <v>1262</v>
      </c>
      <c r="K1263" s="20" t="b">
        <f>IFERROR(__xludf.DUMMYFUNCTION("""COMPUTED_VALUE"""),FALSE)</f>
        <v>0</v>
      </c>
      <c r="L1263" s="20" t="str">
        <f>IFERROR(__xludf.DUMMYFUNCTION("""COMPUTED_VALUE"""),"Array;Dynamic Programming;Greedy;")</f>
        <v>Array;Dynamic Programming;Greedy;</v>
      </c>
      <c r="M1263" s="20" t="b">
        <f>IFERROR(__xludf.DUMMYFUNCTION("""COMPUTED_VALUE"""),FALSE)</f>
        <v>0</v>
      </c>
      <c r="N1263" s="20" t="b">
        <f>IFERROR(__xludf.DUMMYFUNCTION("""COMPUTED_VALUE"""),FALSE)</f>
        <v>0</v>
      </c>
      <c r="O1263" s="20">
        <f>IFERROR(__xludf.DUMMYFUNCTION("""COMPUTED_VALUE"""),50.8629889110564)</f>
        <v>50.86298891</v>
      </c>
      <c r="P1263" s="20">
        <f>IFERROR(__xludf.DUMMYFUNCTION("""COMPUTED_VALUE"""),43850.0)</f>
        <v>43850</v>
      </c>
      <c r="Q1263" s="20">
        <f>IFERROR(__xludf.DUMMYFUNCTION("""COMPUTED_VALUE"""),86212.0)</f>
        <v>86212</v>
      </c>
    </row>
    <row r="1264">
      <c r="A1264" s="20">
        <f>IFERROR(__xludf.DUMMYFUNCTION("""COMPUTED_VALUE"""),1389.0)</f>
        <v>1389</v>
      </c>
      <c r="B1264" s="20" t="str">
        <f>IFERROR(__xludf.DUMMYFUNCTION("""COMPUTED_VALUE"""),"Minimum Moves to Move a Box to Their Target Location")</f>
        <v>Minimum Moves to Move a Box to Their Target Location</v>
      </c>
      <c r="C1264" s="20" t="str">
        <f>IFERROR(__xludf.DUMMYFUNCTION("""COMPUTED_VALUE"""),"minimum-moves-to-move-a-box-to-their-target-location")</f>
        <v>minimum-moves-to-move-a-box-to-their-target-location</v>
      </c>
      <c r="D1264" s="20" t="b">
        <f>IFERROR(__xludf.DUMMYFUNCTION("""COMPUTED_VALUE"""),FALSE)</f>
        <v>0</v>
      </c>
      <c r="E1264" s="20" t="str">
        <f>IFERROR(__xludf.DUMMYFUNCTION("""COMPUTED_VALUE"""),"Hard")</f>
        <v>Hard</v>
      </c>
      <c r="F1264" s="20">
        <f>IFERROR(__xludf.DUMMYFUNCTION("""COMPUTED_VALUE"""),735.0)</f>
        <v>735</v>
      </c>
      <c r="G1264" s="20">
        <f>IFERROR(__xludf.DUMMYFUNCTION("""COMPUTED_VALUE"""),52.0)</f>
        <v>52</v>
      </c>
      <c r="H1264" s="20" t="str">
        <f>IFERROR(__xludf.DUMMYFUNCTION("""COMPUTED_VALUE"""),"Algorithms")</f>
        <v>Algorithms</v>
      </c>
      <c r="I1264" s="20">
        <f>IFERROR(__xludf.DUMMYFUNCTION("""COMPUTED_VALUE"""),0.49)</f>
        <v>0.49</v>
      </c>
      <c r="J1264" s="20">
        <f>IFERROR(__xludf.DUMMYFUNCTION("""COMPUTED_VALUE"""),1263.0)</f>
        <v>1263</v>
      </c>
      <c r="K1264" s="20" t="b">
        <f>IFERROR(__xludf.DUMMYFUNCTION("""COMPUTED_VALUE"""),FALSE)</f>
        <v>0</v>
      </c>
      <c r="L1264" s="20" t="str">
        <f>IFERROR(__xludf.DUMMYFUNCTION("""COMPUTED_VALUE"""),"Array;Breadth-First Search;Heap (Priority Queue);Matrix;")</f>
        <v>Array;Breadth-First Search;Heap (Priority Queue);Matrix;</v>
      </c>
      <c r="M1264" s="20" t="b">
        <f>IFERROR(__xludf.DUMMYFUNCTION("""COMPUTED_VALUE"""),FALSE)</f>
        <v>0</v>
      </c>
      <c r="N1264" s="20" t="b">
        <f>IFERROR(__xludf.DUMMYFUNCTION("""COMPUTED_VALUE"""),FALSE)</f>
        <v>0</v>
      </c>
      <c r="O1264" s="20">
        <f>IFERROR(__xludf.DUMMYFUNCTION("""COMPUTED_VALUE"""),49.0187204278954)</f>
        <v>49.01872043</v>
      </c>
      <c r="P1264" s="20">
        <f>IFERROR(__xludf.DUMMYFUNCTION("""COMPUTED_VALUE"""),23826.0)</f>
        <v>23826</v>
      </c>
      <c r="Q1264" s="20">
        <f>IFERROR(__xludf.DUMMYFUNCTION("""COMPUTED_VALUE"""),48608.0)</f>
        <v>48608</v>
      </c>
    </row>
    <row r="1265">
      <c r="A1265" s="20">
        <f>IFERROR(__xludf.DUMMYFUNCTION("""COMPUTED_VALUE"""),1399.0)</f>
        <v>1399</v>
      </c>
      <c r="B1265" s="20" t="str">
        <f>IFERROR(__xludf.DUMMYFUNCTION("""COMPUTED_VALUE"""),"Page Recommendations")</f>
        <v>Page Recommendations</v>
      </c>
      <c r="C1265" s="20" t="str">
        <f>IFERROR(__xludf.DUMMYFUNCTION("""COMPUTED_VALUE"""),"page-recommendations")</f>
        <v>page-recommendations</v>
      </c>
      <c r="D1265" s="20" t="b">
        <f>IFERROR(__xludf.DUMMYFUNCTION("""COMPUTED_VALUE"""),TRUE)</f>
        <v>1</v>
      </c>
      <c r="E1265" s="20" t="str">
        <f>IFERROR(__xludf.DUMMYFUNCTION("""COMPUTED_VALUE"""),"Medium")</f>
        <v>Medium</v>
      </c>
      <c r="F1265" s="20">
        <f>IFERROR(__xludf.DUMMYFUNCTION("""COMPUTED_VALUE"""),193.0)</f>
        <v>193</v>
      </c>
      <c r="G1265" s="20">
        <f>IFERROR(__xludf.DUMMYFUNCTION("""COMPUTED_VALUE"""),17.0)</f>
        <v>17</v>
      </c>
      <c r="H1265" s="20" t="str">
        <f>IFERROR(__xludf.DUMMYFUNCTION("""COMPUTED_VALUE"""),"Database")</f>
        <v>Database</v>
      </c>
      <c r="I1265" s="20">
        <f>IFERROR(__xludf.DUMMYFUNCTION("""COMPUTED_VALUE"""),0.676)</f>
        <v>0.676</v>
      </c>
      <c r="J1265" s="20">
        <f>IFERROR(__xludf.DUMMYFUNCTION("""COMPUTED_VALUE"""),1264.0)</f>
        <v>1264</v>
      </c>
      <c r="K1265" s="20" t="b">
        <f>IFERROR(__xludf.DUMMYFUNCTION("""COMPUTED_VALUE"""),TRUE)</f>
        <v>1</v>
      </c>
      <c r="L1265" s="20" t="str">
        <f>IFERROR(__xludf.DUMMYFUNCTION("""COMPUTED_VALUE"""),"Database;")</f>
        <v>Database;</v>
      </c>
      <c r="M1265" s="20" t="b">
        <f>IFERROR(__xludf.DUMMYFUNCTION("""COMPUTED_VALUE"""),FALSE)</f>
        <v>0</v>
      </c>
      <c r="N1265" s="20" t="b">
        <f>IFERROR(__xludf.DUMMYFUNCTION("""COMPUTED_VALUE"""),FALSE)</f>
        <v>0</v>
      </c>
      <c r="O1265" s="20">
        <f>IFERROR(__xludf.DUMMYFUNCTION("""COMPUTED_VALUE"""),67.6260573437328)</f>
        <v>67.62605734</v>
      </c>
      <c r="P1265" s="20">
        <f>IFERROR(__xludf.DUMMYFUNCTION("""COMPUTED_VALUE"""),30780.0)</f>
        <v>30780</v>
      </c>
      <c r="Q1265" s="20">
        <f>IFERROR(__xludf.DUMMYFUNCTION("""COMPUTED_VALUE"""),45515.0)</f>
        <v>45515</v>
      </c>
    </row>
    <row r="1266">
      <c r="A1266" s="20">
        <f>IFERROR(__xludf.DUMMYFUNCTION("""COMPUTED_VALUE"""),1404.0)</f>
        <v>1404</v>
      </c>
      <c r="B1266" s="20" t="str">
        <f>IFERROR(__xludf.DUMMYFUNCTION("""COMPUTED_VALUE"""),"Print Immutable Linked List in Reverse")</f>
        <v>Print Immutable Linked List in Reverse</v>
      </c>
      <c r="C1266" s="20" t="str">
        <f>IFERROR(__xludf.DUMMYFUNCTION("""COMPUTED_VALUE"""),"print-immutable-linked-list-in-reverse")</f>
        <v>print-immutable-linked-list-in-reverse</v>
      </c>
      <c r="D1266" s="20" t="b">
        <f>IFERROR(__xludf.DUMMYFUNCTION("""COMPUTED_VALUE"""),TRUE)</f>
        <v>1</v>
      </c>
      <c r="E1266" s="20" t="str">
        <f>IFERROR(__xludf.DUMMYFUNCTION("""COMPUTED_VALUE"""),"Medium")</f>
        <v>Medium</v>
      </c>
      <c r="F1266" s="20">
        <f>IFERROR(__xludf.DUMMYFUNCTION("""COMPUTED_VALUE"""),505.0)</f>
        <v>505</v>
      </c>
      <c r="G1266" s="20">
        <f>IFERROR(__xludf.DUMMYFUNCTION("""COMPUTED_VALUE"""),91.0)</f>
        <v>91</v>
      </c>
      <c r="H1266" s="20" t="str">
        <f>IFERROR(__xludf.DUMMYFUNCTION("""COMPUTED_VALUE"""),"Algorithms")</f>
        <v>Algorithms</v>
      </c>
      <c r="I1266" s="20">
        <f>IFERROR(__xludf.DUMMYFUNCTION("""COMPUTED_VALUE"""),0.943)</f>
        <v>0.943</v>
      </c>
      <c r="J1266" s="20">
        <f>IFERROR(__xludf.DUMMYFUNCTION("""COMPUTED_VALUE"""),1265.0)</f>
        <v>1265</v>
      </c>
      <c r="K1266" s="20" t="b">
        <f>IFERROR(__xludf.DUMMYFUNCTION("""COMPUTED_VALUE"""),TRUE)</f>
        <v>1</v>
      </c>
      <c r="L1266" s="20" t="str">
        <f>IFERROR(__xludf.DUMMYFUNCTION("""COMPUTED_VALUE"""),"Linked List;Two Pointers;Stack;Recursion;")</f>
        <v>Linked List;Two Pointers;Stack;Recursion;</v>
      </c>
      <c r="M1266" s="20" t="b">
        <f>IFERROR(__xludf.DUMMYFUNCTION("""COMPUTED_VALUE"""),FALSE)</f>
        <v>0</v>
      </c>
      <c r="N1266" s="20" t="b">
        <f>IFERROR(__xludf.DUMMYFUNCTION("""COMPUTED_VALUE"""),FALSE)</f>
        <v>0</v>
      </c>
      <c r="O1266" s="20">
        <f>IFERROR(__xludf.DUMMYFUNCTION("""COMPUTED_VALUE"""),94.2715019255455)</f>
        <v>94.27150193</v>
      </c>
      <c r="P1266" s="20">
        <f>IFERROR(__xludf.DUMMYFUNCTION("""COMPUTED_VALUE"""),47000.0)</f>
        <v>47000</v>
      </c>
      <c r="Q1266" s="20">
        <f>IFERROR(__xludf.DUMMYFUNCTION("""COMPUTED_VALUE"""),49856.0)</f>
        <v>49856</v>
      </c>
    </row>
    <row r="1267">
      <c r="A1267" s="20">
        <f>IFERROR(__xludf.DUMMYFUNCTION("""COMPUTED_VALUE"""),1395.0)</f>
        <v>1395</v>
      </c>
      <c r="B1267" s="20" t="str">
        <f>IFERROR(__xludf.DUMMYFUNCTION("""COMPUTED_VALUE"""),"Minimum Time Visiting All Points")</f>
        <v>Minimum Time Visiting All Points</v>
      </c>
      <c r="C1267" s="20" t="str">
        <f>IFERROR(__xludf.DUMMYFUNCTION("""COMPUTED_VALUE"""),"minimum-time-visiting-all-points")</f>
        <v>minimum-time-visiting-all-points</v>
      </c>
      <c r="D1267" s="20" t="b">
        <f>IFERROR(__xludf.DUMMYFUNCTION("""COMPUTED_VALUE"""),FALSE)</f>
        <v>0</v>
      </c>
      <c r="E1267" s="20" t="str">
        <f>IFERROR(__xludf.DUMMYFUNCTION("""COMPUTED_VALUE"""),"Easy")</f>
        <v>Easy</v>
      </c>
      <c r="F1267" s="20">
        <f>IFERROR(__xludf.DUMMYFUNCTION("""COMPUTED_VALUE"""),1358.0)</f>
        <v>1358</v>
      </c>
      <c r="G1267" s="20">
        <f>IFERROR(__xludf.DUMMYFUNCTION("""COMPUTED_VALUE"""),173.0)</f>
        <v>173</v>
      </c>
      <c r="H1267" s="20" t="str">
        <f>IFERROR(__xludf.DUMMYFUNCTION("""COMPUTED_VALUE"""),"Algorithms")</f>
        <v>Algorithms</v>
      </c>
      <c r="I1267" s="20">
        <f>IFERROR(__xludf.DUMMYFUNCTION("""COMPUTED_VALUE"""),0.791)</f>
        <v>0.791</v>
      </c>
      <c r="J1267" s="20">
        <f>IFERROR(__xludf.DUMMYFUNCTION("""COMPUTED_VALUE"""),1266.0)</f>
        <v>1266</v>
      </c>
      <c r="K1267" s="20" t="b">
        <f>IFERROR(__xludf.DUMMYFUNCTION("""COMPUTED_VALUE"""),FALSE)</f>
        <v>0</v>
      </c>
      <c r="L1267" s="20" t="str">
        <f>IFERROR(__xludf.DUMMYFUNCTION("""COMPUTED_VALUE"""),"Array;Math;Geometry;")</f>
        <v>Array;Math;Geometry;</v>
      </c>
      <c r="M1267" s="20" t="b">
        <f>IFERROR(__xludf.DUMMYFUNCTION("""COMPUTED_VALUE"""),FALSE)</f>
        <v>0</v>
      </c>
      <c r="N1267" s="20" t="b">
        <f>IFERROR(__xludf.DUMMYFUNCTION("""COMPUTED_VALUE"""),FALSE)</f>
        <v>0</v>
      </c>
      <c r="O1267" s="20">
        <f>IFERROR(__xludf.DUMMYFUNCTION("""COMPUTED_VALUE"""),79.1229036601787)</f>
        <v>79.12290366</v>
      </c>
      <c r="P1267" s="20">
        <f>IFERROR(__xludf.DUMMYFUNCTION("""COMPUTED_VALUE"""),129270.0)</f>
        <v>129270</v>
      </c>
      <c r="Q1267" s="20">
        <f>IFERROR(__xludf.DUMMYFUNCTION("""COMPUTED_VALUE"""),163378.0)</f>
        <v>163378</v>
      </c>
    </row>
    <row r="1268">
      <c r="A1268" s="20">
        <f>IFERROR(__xludf.DUMMYFUNCTION("""COMPUTED_VALUE"""),1396.0)</f>
        <v>1396</v>
      </c>
      <c r="B1268" s="20" t="str">
        <f>IFERROR(__xludf.DUMMYFUNCTION("""COMPUTED_VALUE"""),"Count Servers that Communicate")</f>
        <v>Count Servers that Communicate</v>
      </c>
      <c r="C1268" s="20" t="str">
        <f>IFERROR(__xludf.DUMMYFUNCTION("""COMPUTED_VALUE"""),"count-servers-that-communicate")</f>
        <v>count-servers-that-communicate</v>
      </c>
      <c r="D1268" s="20" t="b">
        <f>IFERROR(__xludf.DUMMYFUNCTION("""COMPUTED_VALUE"""),FALSE)</f>
        <v>0</v>
      </c>
      <c r="E1268" s="20" t="str">
        <f>IFERROR(__xludf.DUMMYFUNCTION("""COMPUTED_VALUE"""),"Medium")</f>
        <v>Medium</v>
      </c>
      <c r="F1268" s="20">
        <f>IFERROR(__xludf.DUMMYFUNCTION("""COMPUTED_VALUE"""),1065.0)</f>
        <v>1065</v>
      </c>
      <c r="G1268" s="20">
        <f>IFERROR(__xludf.DUMMYFUNCTION("""COMPUTED_VALUE"""),76.0)</f>
        <v>76</v>
      </c>
      <c r="H1268" s="20" t="str">
        <f>IFERROR(__xludf.DUMMYFUNCTION("""COMPUTED_VALUE"""),"Algorithms")</f>
        <v>Algorithms</v>
      </c>
      <c r="I1268" s="20">
        <f>IFERROR(__xludf.DUMMYFUNCTION("""COMPUTED_VALUE"""),0.593)</f>
        <v>0.593</v>
      </c>
      <c r="J1268" s="20">
        <f>IFERROR(__xludf.DUMMYFUNCTION("""COMPUTED_VALUE"""),1267.0)</f>
        <v>1267</v>
      </c>
      <c r="K1268" s="20" t="b">
        <f>IFERROR(__xludf.DUMMYFUNCTION("""COMPUTED_VALUE"""),FALSE)</f>
        <v>0</v>
      </c>
      <c r="L1268" s="20" t="str">
        <f>IFERROR(__xludf.DUMMYFUNCTION("""COMPUTED_VALUE"""),"Array;Depth-First Search;Breadth-First Search;Union Find;Matrix;Counting;")</f>
        <v>Array;Depth-First Search;Breadth-First Search;Union Find;Matrix;Counting;</v>
      </c>
      <c r="M1268" s="20" t="b">
        <f>IFERROR(__xludf.DUMMYFUNCTION("""COMPUTED_VALUE"""),FALSE)</f>
        <v>0</v>
      </c>
      <c r="N1268" s="20" t="b">
        <f>IFERROR(__xludf.DUMMYFUNCTION("""COMPUTED_VALUE"""),FALSE)</f>
        <v>0</v>
      </c>
      <c r="O1268" s="20">
        <f>IFERROR(__xludf.DUMMYFUNCTION("""COMPUTED_VALUE"""),59.3080249879865)</f>
        <v>59.30802499</v>
      </c>
      <c r="P1268" s="20">
        <f>IFERROR(__xludf.DUMMYFUNCTION("""COMPUTED_VALUE"""),49368.0)</f>
        <v>49368</v>
      </c>
      <c r="Q1268" s="20">
        <f>IFERROR(__xludf.DUMMYFUNCTION("""COMPUTED_VALUE"""),83240.0)</f>
        <v>83240</v>
      </c>
    </row>
    <row r="1269">
      <c r="A1269" s="20">
        <f>IFERROR(__xludf.DUMMYFUNCTION("""COMPUTED_VALUE"""),1397.0)</f>
        <v>1397</v>
      </c>
      <c r="B1269" s="20" t="str">
        <f>IFERROR(__xludf.DUMMYFUNCTION("""COMPUTED_VALUE"""),"Search Suggestions System")</f>
        <v>Search Suggestions System</v>
      </c>
      <c r="C1269" s="20" t="str">
        <f>IFERROR(__xludf.DUMMYFUNCTION("""COMPUTED_VALUE"""),"search-suggestions-system")</f>
        <v>search-suggestions-system</v>
      </c>
      <c r="D1269" s="20" t="b">
        <f>IFERROR(__xludf.DUMMYFUNCTION("""COMPUTED_VALUE"""),FALSE)</f>
        <v>0</v>
      </c>
      <c r="E1269" s="20" t="str">
        <f>IFERROR(__xludf.DUMMYFUNCTION("""COMPUTED_VALUE"""),"Medium")</f>
        <v>Medium</v>
      </c>
      <c r="F1269" s="20">
        <f>IFERROR(__xludf.DUMMYFUNCTION("""COMPUTED_VALUE"""),3924.0)</f>
        <v>3924</v>
      </c>
      <c r="G1269" s="20">
        <f>IFERROR(__xludf.DUMMYFUNCTION("""COMPUTED_VALUE"""),190.0)</f>
        <v>190</v>
      </c>
      <c r="H1269" s="20" t="str">
        <f>IFERROR(__xludf.DUMMYFUNCTION("""COMPUTED_VALUE"""),"Algorithms")</f>
        <v>Algorithms</v>
      </c>
      <c r="I1269" s="20">
        <f>IFERROR(__xludf.DUMMYFUNCTION("""COMPUTED_VALUE"""),0.664)</f>
        <v>0.664</v>
      </c>
      <c r="J1269" s="20">
        <f>IFERROR(__xludf.DUMMYFUNCTION("""COMPUTED_VALUE"""),1268.0)</f>
        <v>1268</v>
      </c>
      <c r="K1269" s="20" t="b">
        <f>IFERROR(__xludf.DUMMYFUNCTION("""COMPUTED_VALUE"""),FALSE)</f>
        <v>0</v>
      </c>
      <c r="L1269" s="20" t="str">
        <f>IFERROR(__xludf.DUMMYFUNCTION("""COMPUTED_VALUE"""),"Array;String;Trie;")</f>
        <v>Array;String;Trie;</v>
      </c>
      <c r="M1269" s="20" t="b">
        <f>IFERROR(__xludf.DUMMYFUNCTION("""COMPUTED_VALUE"""),TRUE)</f>
        <v>1</v>
      </c>
      <c r="N1269" s="20" t="b">
        <f>IFERROR(__xludf.DUMMYFUNCTION("""COMPUTED_VALUE"""),FALSE)</f>
        <v>0</v>
      </c>
      <c r="O1269" s="20">
        <f>IFERROR(__xludf.DUMMYFUNCTION("""COMPUTED_VALUE"""),66.4451225963814)</f>
        <v>66.4451226</v>
      </c>
      <c r="P1269" s="20">
        <f>IFERROR(__xludf.DUMMYFUNCTION("""COMPUTED_VALUE"""),238632.0)</f>
        <v>238632</v>
      </c>
      <c r="Q1269" s="20">
        <f>IFERROR(__xludf.DUMMYFUNCTION("""COMPUTED_VALUE"""),359142.0)</f>
        <v>359142</v>
      </c>
    </row>
    <row r="1270">
      <c r="A1270" s="20">
        <f>IFERROR(__xludf.DUMMYFUNCTION("""COMPUTED_VALUE"""),1398.0)</f>
        <v>1398</v>
      </c>
      <c r="B1270" s="20" t="str">
        <f>IFERROR(__xludf.DUMMYFUNCTION("""COMPUTED_VALUE"""),"Number of Ways to Stay in the Same Place After Some Steps")</f>
        <v>Number of Ways to Stay in the Same Place After Some Steps</v>
      </c>
      <c r="C1270" s="20" t="str">
        <f>IFERROR(__xludf.DUMMYFUNCTION("""COMPUTED_VALUE"""),"number-of-ways-to-stay-in-the-same-place-after-some-steps")</f>
        <v>number-of-ways-to-stay-in-the-same-place-after-some-steps</v>
      </c>
      <c r="D1270" s="20" t="b">
        <f>IFERROR(__xludf.DUMMYFUNCTION("""COMPUTED_VALUE"""),FALSE)</f>
        <v>0</v>
      </c>
      <c r="E1270" s="20" t="str">
        <f>IFERROR(__xludf.DUMMYFUNCTION("""COMPUTED_VALUE"""),"Hard")</f>
        <v>Hard</v>
      </c>
      <c r="F1270" s="20">
        <f>IFERROR(__xludf.DUMMYFUNCTION("""COMPUTED_VALUE"""),651.0)</f>
        <v>651</v>
      </c>
      <c r="G1270" s="20">
        <f>IFERROR(__xludf.DUMMYFUNCTION("""COMPUTED_VALUE"""),35.0)</f>
        <v>35</v>
      </c>
      <c r="H1270" s="20" t="str">
        <f>IFERROR(__xludf.DUMMYFUNCTION("""COMPUTED_VALUE"""),"Algorithms")</f>
        <v>Algorithms</v>
      </c>
      <c r="I1270" s="20">
        <f>IFERROR(__xludf.DUMMYFUNCTION("""COMPUTED_VALUE"""),0.436)</f>
        <v>0.436</v>
      </c>
      <c r="J1270" s="20">
        <f>IFERROR(__xludf.DUMMYFUNCTION("""COMPUTED_VALUE"""),1269.0)</f>
        <v>1269</v>
      </c>
      <c r="K1270" s="20" t="b">
        <f>IFERROR(__xludf.DUMMYFUNCTION("""COMPUTED_VALUE"""),FALSE)</f>
        <v>0</v>
      </c>
      <c r="L1270" s="20" t="str">
        <f>IFERROR(__xludf.DUMMYFUNCTION("""COMPUTED_VALUE"""),"Dynamic Programming;")</f>
        <v>Dynamic Programming;</v>
      </c>
      <c r="M1270" s="20" t="b">
        <f>IFERROR(__xludf.DUMMYFUNCTION("""COMPUTED_VALUE"""),FALSE)</f>
        <v>0</v>
      </c>
      <c r="N1270" s="20" t="b">
        <f>IFERROR(__xludf.DUMMYFUNCTION("""COMPUTED_VALUE"""),FALSE)</f>
        <v>0</v>
      </c>
      <c r="O1270" s="20">
        <f>IFERROR(__xludf.DUMMYFUNCTION("""COMPUTED_VALUE"""),43.6013606018263)</f>
        <v>43.6013606</v>
      </c>
      <c r="P1270" s="20">
        <f>IFERROR(__xludf.DUMMYFUNCTION("""COMPUTED_VALUE"""),30892.0)</f>
        <v>30892</v>
      </c>
      <c r="Q1270" s="20">
        <f>IFERROR(__xludf.DUMMYFUNCTION("""COMPUTED_VALUE"""),70851.0)</f>
        <v>70851</v>
      </c>
    </row>
    <row r="1271">
      <c r="A1271" s="20">
        <f>IFERROR(__xludf.DUMMYFUNCTION("""COMPUTED_VALUE"""),1405.0)</f>
        <v>1405</v>
      </c>
      <c r="B1271" s="20" t="str">
        <f>IFERROR(__xludf.DUMMYFUNCTION("""COMPUTED_VALUE"""),"All People Report to the Given Manager")</f>
        <v>All People Report to the Given Manager</v>
      </c>
      <c r="C1271" s="20" t="str">
        <f>IFERROR(__xludf.DUMMYFUNCTION("""COMPUTED_VALUE"""),"all-people-report-to-the-given-manager")</f>
        <v>all-people-report-to-the-given-manager</v>
      </c>
      <c r="D1271" s="20" t="b">
        <f>IFERROR(__xludf.DUMMYFUNCTION("""COMPUTED_VALUE"""),TRUE)</f>
        <v>1</v>
      </c>
      <c r="E1271" s="20" t="str">
        <f>IFERROR(__xludf.DUMMYFUNCTION("""COMPUTED_VALUE"""),"Medium")</f>
        <v>Medium</v>
      </c>
      <c r="F1271" s="20">
        <f>IFERROR(__xludf.DUMMYFUNCTION("""COMPUTED_VALUE"""),342.0)</f>
        <v>342</v>
      </c>
      <c r="G1271" s="20">
        <f>IFERROR(__xludf.DUMMYFUNCTION("""COMPUTED_VALUE"""),24.0)</f>
        <v>24</v>
      </c>
      <c r="H1271" s="20" t="str">
        <f>IFERROR(__xludf.DUMMYFUNCTION("""COMPUTED_VALUE"""),"Database")</f>
        <v>Database</v>
      </c>
      <c r="I1271" s="20">
        <f>IFERROR(__xludf.DUMMYFUNCTION("""COMPUTED_VALUE"""),0.878)</f>
        <v>0.878</v>
      </c>
      <c r="J1271" s="20">
        <f>IFERROR(__xludf.DUMMYFUNCTION("""COMPUTED_VALUE"""),1270.0)</f>
        <v>1270</v>
      </c>
      <c r="K1271" s="20" t="b">
        <f>IFERROR(__xludf.DUMMYFUNCTION("""COMPUTED_VALUE"""),TRUE)</f>
        <v>1</v>
      </c>
      <c r="L1271" s="20" t="str">
        <f>IFERROR(__xludf.DUMMYFUNCTION("""COMPUTED_VALUE"""),"Database;")</f>
        <v>Database;</v>
      </c>
      <c r="M1271" s="20" t="b">
        <f>IFERROR(__xludf.DUMMYFUNCTION("""COMPUTED_VALUE"""),FALSE)</f>
        <v>0</v>
      </c>
      <c r="N1271" s="20" t="b">
        <f>IFERROR(__xludf.DUMMYFUNCTION("""COMPUTED_VALUE"""),FALSE)</f>
        <v>0</v>
      </c>
      <c r="O1271" s="20">
        <f>IFERROR(__xludf.DUMMYFUNCTION("""COMPUTED_VALUE"""),87.8253716434573)</f>
        <v>87.82537164</v>
      </c>
      <c r="P1271" s="20">
        <f>IFERROR(__xludf.DUMMYFUNCTION("""COMPUTED_VALUE"""),44841.0)</f>
        <v>44841</v>
      </c>
      <c r="Q1271" s="20">
        <f>IFERROR(__xludf.DUMMYFUNCTION("""COMPUTED_VALUE"""),51057.0)</f>
        <v>51057</v>
      </c>
    </row>
    <row r="1272">
      <c r="A1272" s="20">
        <f>IFERROR(__xludf.DUMMYFUNCTION("""COMPUTED_VALUE"""),1199.0)</f>
        <v>1199</v>
      </c>
      <c r="B1272" s="20" t="str">
        <f>IFERROR(__xludf.DUMMYFUNCTION("""COMPUTED_VALUE"""),"Hexspeak")</f>
        <v>Hexspeak</v>
      </c>
      <c r="C1272" s="20" t="str">
        <f>IFERROR(__xludf.DUMMYFUNCTION("""COMPUTED_VALUE"""),"hexspeak")</f>
        <v>hexspeak</v>
      </c>
      <c r="D1272" s="20" t="b">
        <f>IFERROR(__xludf.DUMMYFUNCTION("""COMPUTED_VALUE"""),TRUE)</f>
        <v>1</v>
      </c>
      <c r="E1272" s="20" t="str">
        <f>IFERROR(__xludf.DUMMYFUNCTION("""COMPUTED_VALUE"""),"Easy")</f>
        <v>Easy</v>
      </c>
      <c r="F1272" s="20">
        <f>IFERROR(__xludf.DUMMYFUNCTION("""COMPUTED_VALUE"""),62.0)</f>
        <v>62</v>
      </c>
      <c r="G1272" s="20">
        <f>IFERROR(__xludf.DUMMYFUNCTION("""COMPUTED_VALUE"""),110.0)</f>
        <v>110</v>
      </c>
      <c r="H1272" s="20" t="str">
        <f>IFERROR(__xludf.DUMMYFUNCTION("""COMPUTED_VALUE"""),"Algorithms")</f>
        <v>Algorithms</v>
      </c>
      <c r="I1272" s="20">
        <f>IFERROR(__xludf.DUMMYFUNCTION("""COMPUTED_VALUE"""),0.57)</f>
        <v>0.57</v>
      </c>
      <c r="J1272" s="20">
        <f>IFERROR(__xludf.DUMMYFUNCTION("""COMPUTED_VALUE"""),1271.0)</f>
        <v>1271</v>
      </c>
      <c r="K1272" s="20" t="b">
        <f>IFERROR(__xludf.DUMMYFUNCTION("""COMPUTED_VALUE"""),TRUE)</f>
        <v>1</v>
      </c>
      <c r="L1272" s="20" t="str">
        <f>IFERROR(__xludf.DUMMYFUNCTION("""COMPUTED_VALUE"""),"Math;String;")</f>
        <v>Math;String;</v>
      </c>
      <c r="M1272" s="20" t="b">
        <f>IFERROR(__xludf.DUMMYFUNCTION("""COMPUTED_VALUE"""),FALSE)</f>
        <v>0</v>
      </c>
      <c r="N1272" s="20" t="b">
        <f>IFERROR(__xludf.DUMMYFUNCTION("""COMPUTED_VALUE"""),FALSE)</f>
        <v>0</v>
      </c>
      <c r="O1272" s="20">
        <f>IFERROR(__xludf.DUMMYFUNCTION("""COMPUTED_VALUE"""),57.0413600608982)</f>
        <v>57.04136006</v>
      </c>
      <c r="P1272" s="20">
        <f>IFERROR(__xludf.DUMMYFUNCTION("""COMPUTED_VALUE"""),8992.0)</f>
        <v>8992</v>
      </c>
      <c r="Q1272" s="20">
        <f>IFERROR(__xludf.DUMMYFUNCTION("""COMPUTED_VALUE"""),15764.0)</f>
        <v>15764</v>
      </c>
    </row>
    <row r="1273">
      <c r="A1273" s="20">
        <f>IFERROR(__xludf.DUMMYFUNCTION("""COMPUTED_VALUE"""),1200.0)</f>
        <v>1200</v>
      </c>
      <c r="B1273" s="20" t="str">
        <f>IFERROR(__xludf.DUMMYFUNCTION("""COMPUTED_VALUE"""),"Remove Interval")</f>
        <v>Remove Interval</v>
      </c>
      <c r="C1273" s="20" t="str">
        <f>IFERROR(__xludf.DUMMYFUNCTION("""COMPUTED_VALUE"""),"remove-interval")</f>
        <v>remove-interval</v>
      </c>
      <c r="D1273" s="20" t="b">
        <f>IFERROR(__xludf.DUMMYFUNCTION("""COMPUTED_VALUE"""),TRUE)</f>
        <v>1</v>
      </c>
      <c r="E1273" s="20" t="str">
        <f>IFERROR(__xludf.DUMMYFUNCTION("""COMPUTED_VALUE"""),"Medium")</f>
        <v>Medium</v>
      </c>
      <c r="F1273" s="20">
        <f>IFERROR(__xludf.DUMMYFUNCTION("""COMPUTED_VALUE"""),373.0)</f>
        <v>373</v>
      </c>
      <c r="G1273" s="20">
        <f>IFERROR(__xludf.DUMMYFUNCTION("""COMPUTED_VALUE"""),26.0)</f>
        <v>26</v>
      </c>
      <c r="H1273" s="20" t="str">
        <f>IFERROR(__xludf.DUMMYFUNCTION("""COMPUTED_VALUE"""),"Algorithms")</f>
        <v>Algorithms</v>
      </c>
      <c r="I1273" s="20">
        <f>IFERROR(__xludf.DUMMYFUNCTION("""COMPUTED_VALUE"""),0.633)</f>
        <v>0.633</v>
      </c>
      <c r="J1273" s="20">
        <f>IFERROR(__xludf.DUMMYFUNCTION("""COMPUTED_VALUE"""),1272.0)</f>
        <v>1272</v>
      </c>
      <c r="K1273" s="20" t="b">
        <f>IFERROR(__xludf.DUMMYFUNCTION("""COMPUTED_VALUE"""),TRUE)</f>
        <v>1</v>
      </c>
      <c r="L1273" s="20" t="str">
        <f>IFERROR(__xludf.DUMMYFUNCTION("""COMPUTED_VALUE"""),"Array;")</f>
        <v>Array;</v>
      </c>
      <c r="M1273" s="20" t="b">
        <f>IFERROR(__xludf.DUMMYFUNCTION("""COMPUTED_VALUE"""),TRUE)</f>
        <v>1</v>
      </c>
      <c r="N1273" s="20" t="b">
        <f>IFERROR(__xludf.DUMMYFUNCTION("""COMPUTED_VALUE"""),TRUE)</f>
        <v>1</v>
      </c>
      <c r="O1273" s="20">
        <f>IFERROR(__xludf.DUMMYFUNCTION("""COMPUTED_VALUE"""),63.3386273943594)</f>
        <v>63.33862739</v>
      </c>
      <c r="P1273" s="20">
        <f>IFERROR(__xludf.DUMMYFUNCTION("""COMPUTED_VALUE"""),26321.0)</f>
        <v>26321</v>
      </c>
      <c r="Q1273" s="20">
        <f>IFERROR(__xludf.DUMMYFUNCTION("""COMPUTED_VALUE"""),41556.0)</f>
        <v>41556</v>
      </c>
    </row>
    <row r="1274">
      <c r="A1274" s="20">
        <f>IFERROR(__xludf.DUMMYFUNCTION("""COMPUTED_VALUE"""),1201.0)</f>
        <v>1201</v>
      </c>
      <c r="B1274" s="20" t="str">
        <f>IFERROR(__xludf.DUMMYFUNCTION("""COMPUTED_VALUE"""),"Delete Tree Nodes")</f>
        <v>Delete Tree Nodes</v>
      </c>
      <c r="C1274" s="20" t="str">
        <f>IFERROR(__xludf.DUMMYFUNCTION("""COMPUTED_VALUE"""),"delete-tree-nodes")</f>
        <v>delete-tree-nodes</v>
      </c>
      <c r="D1274" s="20" t="b">
        <f>IFERROR(__xludf.DUMMYFUNCTION("""COMPUTED_VALUE"""),TRUE)</f>
        <v>1</v>
      </c>
      <c r="E1274" s="20" t="str">
        <f>IFERROR(__xludf.DUMMYFUNCTION("""COMPUTED_VALUE"""),"Medium")</f>
        <v>Medium</v>
      </c>
      <c r="F1274" s="20">
        <f>IFERROR(__xludf.DUMMYFUNCTION("""COMPUTED_VALUE"""),205.0)</f>
        <v>205</v>
      </c>
      <c r="G1274" s="20">
        <f>IFERROR(__xludf.DUMMYFUNCTION("""COMPUTED_VALUE"""),60.0)</f>
        <v>60</v>
      </c>
      <c r="H1274" s="20" t="str">
        <f>IFERROR(__xludf.DUMMYFUNCTION("""COMPUTED_VALUE"""),"Algorithms")</f>
        <v>Algorithms</v>
      </c>
      <c r="I1274" s="20">
        <f>IFERROR(__xludf.DUMMYFUNCTION("""COMPUTED_VALUE"""),0.609)</f>
        <v>0.609</v>
      </c>
      <c r="J1274" s="20">
        <f>IFERROR(__xludf.DUMMYFUNCTION("""COMPUTED_VALUE"""),1273.0)</f>
        <v>1273</v>
      </c>
      <c r="K1274" s="20" t="b">
        <f>IFERROR(__xludf.DUMMYFUNCTION("""COMPUTED_VALUE"""),TRUE)</f>
        <v>1</v>
      </c>
      <c r="L1274" s="20" t="str">
        <f>IFERROR(__xludf.DUMMYFUNCTION("""COMPUTED_VALUE"""),"Tree;Depth-First Search;Breadth-First Search;")</f>
        <v>Tree;Depth-First Search;Breadth-First Search;</v>
      </c>
      <c r="M1274" s="20" t="b">
        <f>IFERROR(__xludf.DUMMYFUNCTION("""COMPUTED_VALUE"""),FALSE)</f>
        <v>0</v>
      </c>
      <c r="N1274" s="20" t="b">
        <f>IFERROR(__xludf.DUMMYFUNCTION("""COMPUTED_VALUE"""),FALSE)</f>
        <v>0</v>
      </c>
      <c r="O1274" s="20">
        <f>IFERROR(__xludf.DUMMYFUNCTION("""COMPUTED_VALUE"""),60.9199250133904)</f>
        <v>60.91992501</v>
      </c>
      <c r="P1274" s="20">
        <f>IFERROR(__xludf.DUMMYFUNCTION("""COMPUTED_VALUE"""),9099.0)</f>
        <v>9099</v>
      </c>
      <c r="Q1274" s="20">
        <f>IFERROR(__xludf.DUMMYFUNCTION("""COMPUTED_VALUE"""),14936.0)</f>
        <v>14936</v>
      </c>
    </row>
    <row r="1275">
      <c r="A1275" s="20">
        <f>IFERROR(__xludf.DUMMYFUNCTION("""COMPUTED_VALUE"""),1233.0)</f>
        <v>1233</v>
      </c>
      <c r="B1275" s="20" t="str">
        <f>IFERROR(__xludf.DUMMYFUNCTION("""COMPUTED_VALUE"""),"Number of Ships in a Rectangle")</f>
        <v>Number of Ships in a Rectangle</v>
      </c>
      <c r="C1275" s="20" t="str">
        <f>IFERROR(__xludf.DUMMYFUNCTION("""COMPUTED_VALUE"""),"number-of-ships-in-a-rectangle")</f>
        <v>number-of-ships-in-a-rectangle</v>
      </c>
      <c r="D1275" s="20" t="b">
        <f>IFERROR(__xludf.DUMMYFUNCTION("""COMPUTED_VALUE"""),TRUE)</f>
        <v>1</v>
      </c>
      <c r="E1275" s="20" t="str">
        <f>IFERROR(__xludf.DUMMYFUNCTION("""COMPUTED_VALUE"""),"Hard")</f>
        <v>Hard</v>
      </c>
      <c r="F1275" s="20">
        <f>IFERROR(__xludf.DUMMYFUNCTION("""COMPUTED_VALUE"""),459.0)</f>
        <v>459</v>
      </c>
      <c r="G1275" s="20">
        <f>IFERROR(__xludf.DUMMYFUNCTION("""COMPUTED_VALUE"""),53.0)</f>
        <v>53</v>
      </c>
      <c r="H1275" s="20" t="str">
        <f>IFERROR(__xludf.DUMMYFUNCTION("""COMPUTED_VALUE"""),"Algorithms")</f>
        <v>Algorithms</v>
      </c>
      <c r="I1275" s="20">
        <f>IFERROR(__xludf.DUMMYFUNCTION("""COMPUTED_VALUE"""),0.694)</f>
        <v>0.694</v>
      </c>
      <c r="J1275" s="20">
        <f>IFERROR(__xludf.DUMMYFUNCTION("""COMPUTED_VALUE"""),1274.0)</f>
        <v>1274</v>
      </c>
      <c r="K1275" s="20" t="b">
        <f>IFERROR(__xludf.DUMMYFUNCTION("""COMPUTED_VALUE"""),TRUE)</f>
        <v>1</v>
      </c>
      <c r="L1275" s="20" t="str">
        <f>IFERROR(__xludf.DUMMYFUNCTION("""COMPUTED_VALUE"""),"Array;Divide and Conquer;Interactive;")</f>
        <v>Array;Divide and Conquer;Interactive;</v>
      </c>
      <c r="M1275" s="20" t="b">
        <f>IFERROR(__xludf.DUMMYFUNCTION("""COMPUTED_VALUE"""),TRUE)</f>
        <v>1</v>
      </c>
      <c r="N1275" s="20" t="b">
        <f>IFERROR(__xludf.DUMMYFUNCTION("""COMPUTED_VALUE"""),FALSE)</f>
        <v>0</v>
      </c>
      <c r="O1275" s="20">
        <f>IFERROR(__xludf.DUMMYFUNCTION("""COMPUTED_VALUE"""),69.3776205061107)</f>
        <v>69.37762051</v>
      </c>
      <c r="P1275" s="20">
        <f>IFERROR(__xludf.DUMMYFUNCTION("""COMPUTED_VALUE"""),23331.0)</f>
        <v>23331</v>
      </c>
      <c r="Q1275" s="20">
        <f>IFERROR(__xludf.DUMMYFUNCTION("""COMPUTED_VALUE"""),33629.0)</f>
        <v>33629</v>
      </c>
    </row>
    <row r="1276">
      <c r="A1276" s="20">
        <f>IFERROR(__xludf.DUMMYFUNCTION("""COMPUTED_VALUE"""),1400.0)</f>
        <v>1400</v>
      </c>
      <c r="B1276" s="20" t="str">
        <f>IFERROR(__xludf.DUMMYFUNCTION("""COMPUTED_VALUE"""),"Find Winner on a Tic Tac Toe Game")</f>
        <v>Find Winner on a Tic Tac Toe Game</v>
      </c>
      <c r="C1276" s="20" t="str">
        <f>IFERROR(__xludf.DUMMYFUNCTION("""COMPUTED_VALUE"""),"find-winner-on-a-tic-tac-toe-game")</f>
        <v>find-winner-on-a-tic-tac-toe-game</v>
      </c>
      <c r="D1276" s="20" t="b">
        <f>IFERROR(__xludf.DUMMYFUNCTION("""COMPUTED_VALUE"""),FALSE)</f>
        <v>0</v>
      </c>
      <c r="E1276" s="20" t="str">
        <f>IFERROR(__xludf.DUMMYFUNCTION("""COMPUTED_VALUE"""),"Easy")</f>
        <v>Easy</v>
      </c>
      <c r="F1276" s="20">
        <f>IFERROR(__xludf.DUMMYFUNCTION("""COMPUTED_VALUE"""),1139.0)</f>
        <v>1139</v>
      </c>
      <c r="G1276" s="20">
        <f>IFERROR(__xludf.DUMMYFUNCTION("""COMPUTED_VALUE"""),281.0)</f>
        <v>281</v>
      </c>
      <c r="H1276" s="20" t="str">
        <f>IFERROR(__xludf.DUMMYFUNCTION("""COMPUTED_VALUE"""),"Algorithms")</f>
        <v>Algorithms</v>
      </c>
      <c r="I1276" s="20">
        <f>IFERROR(__xludf.DUMMYFUNCTION("""COMPUTED_VALUE"""),0.543)</f>
        <v>0.543</v>
      </c>
      <c r="J1276" s="20">
        <f>IFERROR(__xludf.DUMMYFUNCTION("""COMPUTED_VALUE"""),1275.0)</f>
        <v>1275</v>
      </c>
      <c r="K1276" s="20" t="b">
        <f>IFERROR(__xludf.DUMMYFUNCTION("""COMPUTED_VALUE"""),FALSE)</f>
        <v>0</v>
      </c>
      <c r="L1276" s="20" t="str">
        <f>IFERROR(__xludf.DUMMYFUNCTION("""COMPUTED_VALUE"""),"Array;Hash Table;Matrix;Simulation;")</f>
        <v>Array;Hash Table;Matrix;Simulation;</v>
      </c>
      <c r="M1276" s="20" t="b">
        <f>IFERROR(__xludf.DUMMYFUNCTION("""COMPUTED_VALUE"""),TRUE)</f>
        <v>1</v>
      </c>
      <c r="N1276" s="20" t="b">
        <f>IFERROR(__xludf.DUMMYFUNCTION("""COMPUTED_VALUE"""),FALSE)</f>
        <v>0</v>
      </c>
      <c r="O1276" s="20">
        <f>IFERROR(__xludf.DUMMYFUNCTION("""COMPUTED_VALUE"""),54.2791953282956)</f>
        <v>54.27919533</v>
      </c>
      <c r="P1276" s="20">
        <f>IFERROR(__xludf.DUMMYFUNCTION("""COMPUTED_VALUE"""),96109.0)</f>
        <v>96109</v>
      </c>
      <c r="Q1276" s="20">
        <f>IFERROR(__xludf.DUMMYFUNCTION("""COMPUTED_VALUE"""),177064.0)</f>
        <v>177064</v>
      </c>
    </row>
    <row r="1277">
      <c r="A1277" s="20">
        <f>IFERROR(__xludf.DUMMYFUNCTION("""COMPUTED_VALUE"""),1401.0)</f>
        <v>1401</v>
      </c>
      <c r="B1277" s="20" t="str">
        <f>IFERROR(__xludf.DUMMYFUNCTION("""COMPUTED_VALUE"""),"Number of Burgers with No Waste of Ingredients")</f>
        <v>Number of Burgers with No Waste of Ingredients</v>
      </c>
      <c r="C1277" s="20" t="str">
        <f>IFERROR(__xludf.DUMMYFUNCTION("""COMPUTED_VALUE"""),"number-of-burgers-with-no-waste-of-ingredients")</f>
        <v>number-of-burgers-with-no-waste-of-ingredients</v>
      </c>
      <c r="D1277" s="20" t="b">
        <f>IFERROR(__xludf.DUMMYFUNCTION("""COMPUTED_VALUE"""),FALSE)</f>
        <v>0</v>
      </c>
      <c r="E1277" s="20" t="str">
        <f>IFERROR(__xludf.DUMMYFUNCTION("""COMPUTED_VALUE"""),"Medium")</f>
        <v>Medium</v>
      </c>
      <c r="F1277" s="20">
        <f>IFERROR(__xludf.DUMMYFUNCTION("""COMPUTED_VALUE"""),261.0)</f>
        <v>261</v>
      </c>
      <c r="G1277" s="20">
        <f>IFERROR(__xludf.DUMMYFUNCTION("""COMPUTED_VALUE"""),210.0)</f>
        <v>210</v>
      </c>
      <c r="H1277" s="20" t="str">
        <f>IFERROR(__xludf.DUMMYFUNCTION("""COMPUTED_VALUE"""),"Algorithms")</f>
        <v>Algorithms</v>
      </c>
      <c r="I1277" s="20">
        <f>IFERROR(__xludf.DUMMYFUNCTION("""COMPUTED_VALUE"""),0.506)</f>
        <v>0.506</v>
      </c>
      <c r="J1277" s="20">
        <f>IFERROR(__xludf.DUMMYFUNCTION("""COMPUTED_VALUE"""),1276.0)</f>
        <v>1276</v>
      </c>
      <c r="K1277" s="20" t="b">
        <f>IFERROR(__xludf.DUMMYFUNCTION("""COMPUTED_VALUE"""),FALSE)</f>
        <v>0</v>
      </c>
      <c r="L1277" s="20" t="str">
        <f>IFERROR(__xludf.DUMMYFUNCTION("""COMPUTED_VALUE"""),"Math;")</f>
        <v>Math;</v>
      </c>
      <c r="M1277" s="20" t="b">
        <f>IFERROR(__xludf.DUMMYFUNCTION("""COMPUTED_VALUE"""),FALSE)</f>
        <v>0</v>
      </c>
      <c r="N1277" s="20" t="b">
        <f>IFERROR(__xludf.DUMMYFUNCTION("""COMPUTED_VALUE"""),FALSE)</f>
        <v>0</v>
      </c>
      <c r="O1277" s="20">
        <f>IFERROR(__xludf.DUMMYFUNCTION("""COMPUTED_VALUE"""),50.6177720668182)</f>
        <v>50.61777207</v>
      </c>
      <c r="P1277" s="20">
        <f>IFERROR(__xludf.DUMMYFUNCTION("""COMPUTED_VALUE"""),20484.0)</f>
        <v>20484</v>
      </c>
      <c r="Q1277" s="20">
        <f>IFERROR(__xludf.DUMMYFUNCTION("""COMPUTED_VALUE"""),40468.0)</f>
        <v>40468</v>
      </c>
    </row>
    <row r="1278">
      <c r="A1278" s="20">
        <f>IFERROR(__xludf.DUMMYFUNCTION("""COMPUTED_VALUE"""),1402.0)</f>
        <v>1402</v>
      </c>
      <c r="B1278" s="20" t="str">
        <f>IFERROR(__xludf.DUMMYFUNCTION("""COMPUTED_VALUE"""),"Count Square Submatrices with All Ones")</f>
        <v>Count Square Submatrices with All Ones</v>
      </c>
      <c r="C1278" s="20" t="str">
        <f>IFERROR(__xludf.DUMMYFUNCTION("""COMPUTED_VALUE"""),"count-square-submatrices-with-all-ones")</f>
        <v>count-square-submatrices-with-all-ones</v>
      </c>
      <c r="D1278" s="20" t="b">
        <f>IFERROR(__xludf.DUMMYFUNCTION("""COMPUTED_VALUE"""),FALSE)</f>
        <v>0</v>
      </c>
      <c r="E1278" s="20" t="str">
        <f>IFERROR(__xludf.DUMMYFUNCTION("""COMPUTED_VALUE"""),"Medium")</f>
        <v>Medium</v>
      </c>
      <c r="F1278" s="20">
        <f>IFERROR(__xludf.DUMMYFUNCTION("""COMPUTED_VALUE"""),4011.0)</f>
        <v>4011</v>
      </c>
      <c r="G1278" s="20">
        <f>IFERROR(__xludf.DUMMYFUNCTION("""COMPUTED_VALUE"""),68.0)</f>
        <v>68</v>
      </c>
      <c r="H1278" s="20" t="str">
        <f>IFERROR(__xludf.DUMMYFUNCTION("""COMPUTED_VALUE"""),"Algorithms")</f>
        <v>Algorithms</v>
      </c>
      <c r="I1278" s="20">
        <f>IFERROR(__xludf.DUMMYFUNCTION("""COMPUTED_VALUE"""),0.744)</f>
        <v>0.744</v>
      </c>
      <c r="J1278" s="20">
        <f>IFERROR(__xludf.DUMMYFUNCTION("""COMPUTED_VALUE"""),1277.0)</f>
        <v>1277</v>
      </c>
      <c r="K1278" s="20" t="b">
        <f>IFERROR(__xludf.DUMMYFUNCTION("""COMPUTED_VALUE"""),FALSE)</f>
        <v>0</v>
      </c>
      <c r="L1278" s="20" t="str">
        <f>IFERROR(__xludf.DUMMYFUNCTION("""COMPUTED_VALUE"""),"Array;Dynamic Programming;Matrix;")</f>
        <v>Array;Dynamic Programming;Matrix;</v>
      </c>
      <c r="M1278" s="20" t="b">
        <f>IFERROR(__xludf.DUMMYFUNCTION("""COMPUTED_VALUE"""),FALSE)</f>
        <v>0</v>
      </c>
      <c r="N1278" s="20" t="b">
        <f>IFERROR(__xludf.DUMMYFUNCTION("""COMPUTED_VALUE"""),FALSE)</f>
        <v>0</v>
      </c>
      <c r="O1278" s="20">
        <f>IFERROR(__xludf.DUMMYFUNCTION("""COMPUTED_VALUE"""),74.4110502005785)</f>
        <v>74.4110502</v>
      </c>
      <c r="P1278" s="20">
        <f>IFERROR(__xludf.DUMMYFUNCTION("""COMPUTED_VALUE"""),186232.0)</f>
        <v>186232</v>
      </c>
      <c r="Q1278" s="20">
        <f>IFERROR(__xludf.DUMMYFUNCTION("""COMPUTED_VALUE"""),250275.0)</f>
        <v>250275</v>
      </c>
    </row>
    <row r="1279">
      <c r="A1279" s="20">
        <f>IFERROR(__xludf.DUMMYFUNCTION("""COMPUTED_VALUE"""),1403.0)</f>
        <v>1403</v>
      </c>
      <c r="B1279" s="20" t="str">
        <f>IFERROR(__xludf.DUMMYFUNCTION("""COMPUTED_VALUE"""),"Palindrome Partitioning III")</f>
        <v>Palindrome Partitioning III</v>
      </c>
      <c r="C1279" s="20" t="str">
        <f>IFERROR(__xludf.DUMMYFUNCTION("""COMPUTED_VALUE"""),"palindrome-partitioning-iii")</f>
        <v>palindrome-partitioning-iii</v>
      </c>
      <c r="D1279" s="20" t="b">
        <f>IFERROR(__xludf.DUMMYFUNCTION("""COMPUTED_VALUE"""),FALSE)</f>
        <v>0</v>
      </c>
      <c r="E1279" s="20" t="str">
        <f>IFERROR(__xludf.DUMMYFUNCTION("""COMPUTED_VALUE"""),"Hard")</f>
        <v>Hard</v>
      </c>
      <c r="F1279" s="20">
        <f>IFERROR(__xludf.DUMMYFUNCTION("""COMPUTED_VALUE"""),925.0)</f>
        <v>925</v>
      </c>
      <c r="G1279" s="20">
        <f>IFERROR(__xludf.DUMMYFUNCTION("""COMPUTED_VALUE"""),15.0)</f>
        <v>15</v>
      </c>
      <c r="H1279" s="20" t="str">
        <f>IFERROR(__xludf.DUMMYFUNCTION("""COMPUTED_VALUE"""),"Algorithms")</f>
        <v>Algorithms</v>
      </c>
      <c r="I1279" s="20">
        <f>IFERROR(__xludf.DUMMYFUNCTION("""COMPUTED_VALUE"""),0.608)</f>
        <v>0.608</v>
      </c>
      <c r="J1279" s="20">
        <f>IFERROR(__xludf.DUMMYFUNCTION("""COMPUTED_VALUE"""),1278.0)</f>
        <v>1278</v>
      </c>
      <c r="K1279" s="20" t="b">
        <f>IFERROR(__xludf.DUMMYFUNCTION("""COMPUTED_VALUE"""),FALSE)</f>
        <v>0</v>
      </c>
      <c r="L1279" s="20" t="str">
        <f>IFERROR(__xludf.DUMMYFUNCTION("""COMPUTED_VALUE"""),"String;Dynamic Programming;")</f>
        <v>String;Dynamic Programming;</v>
      </c>
      <c r="M1279" s="20" t="b">
        <f>IFERROR(__xludf.DUMMYFUNCTION("""COMPUTED_VALUE"""),FALSE)</f>
        <v>0</v>
      </c>
      <c r="N1279" s="20" t="b">
        <f>IFERROR(__xludf.DUMMYFUNCTION("""COMPUTED_VALUE"""),FALSE)</f>
        <v>0</v>
      </c>
      <c r="O1279" s="20">
        <f>IFERROR(__xludf.DUMMYFUNCTION("""COMPUTED_VALUE"""),60.7955801104972)</f>
        <v>60.79558011</v>
      </c>
      <c r="P1279" s="20">
        <f>IFERROR(__xludf.DUMMYFUNCTION("""COMPUTED_VALUE"""),22007.0)</f>
        <v>22007</v>
      </c>
      <c r="Q1279" s="20">
        <f>IFERROR(__xludf.DUMMYFUNCTION("""COMPUTED_VALUE"""),36196.0)</f>
        <v>36196</v>
      </c>
    </row>
    <row r="1280">
      <c r="A1280" s="20">
        <f>IFERROR(__xludf.DUMMYFUNCTION("""COMPUTED_VALUE"""),1410.0)</f>
        <v>1410</v>
      </c>
      <c r="B1280" s="20" t="str">
        <f>IFERROR(__xludf.DUMMYFUNCTION("""COMPUTED_VALUE"""),"Traffic Light Controlled Intersection")</f>
        <v>Traffic Light Controlled Intersection</v>
      </c>
      <c r="C1280" s="20" t="str">
        <f>IFERROR(__xludf.DUMMYFUNCTION("""COMPUTED_VALUE"""),"traffic-light-controlled-intersection")</f>
        <v>traffic-light-controlled-intersection</v>
      </c>
      <c r="D1280" s="20" t="b">
        <f>IFERROR(__xludf.DUMMYFUNCTION("""COMPUTED_VALUE"""),TRUE)</f>
        <v>1</v>
      </c>
      <c r="E1280" s="20" t="str">
        <f>IFERROR(__xludf.DUMMYFUNCTION("""COMPUTED_VALUE"""),"Easy")</f>
        <v>Easy</v>
      </c>
      <c r="F1280" s="20">
        <f>IFERROR(__xludf.DUMMYFUNCTION("""COMPUTED_VALUE"""),60.0)</f>
        <v>60</v>
      </c>
      <c r="G1280" s="20">
        <f>IFERROR(__xludf.DUMMYFUNCTION("""COMPUTED_VALUE"""),288.0)</f>
        <v>288</v>
      </c>
      <c r="H1280" s="20" t="str">
        <f>IFERROR(__xludf.DUMMYFUNCTION("""COMPUTED_VALUE"""),"Concurrency")</f>
        <v>Concurrency</v>
      </c>
      <c r="I1280" s="20">
        <f>IFERROR(__xludf.DUMMYFUNCTION("""COMPUTED_VALUE"""),0.743)</f>
        <v>0.743</v>
      </c>
      <c r="J1280" s="20">
        <f>IFERROR(__xludf.DUMMYFUNCTION("""COMPUTED_VALUE"""),1279.0)</f>
        <v>1279</v>
      </c>
      <c r="K1280" s="20" t="b">
        <f>IFERROR(__xludf.DUMMYFUNCTION("""COMPUTED_VALUE"""),TRUE)</f>
        <v>1</v>
      </c>
      <c r="L1280" s="20" t="str">
        <f>IFERROR(__xludf.DUMMYFUNCTION("""COMPUTED_VALUE"""),"Concurrency;")</f>
        <v>Concurrency;</v>
      </c>
      <c r="M1280" s="20" t="b">
        <f>IFERROR(__xludf.DUMMYFUNCTION("""COMPUTED_VALUE"""),FALSE)</f>
        <v>0</v>
      </c>
      <c r="N1280" s="20" t="b">
        <f>IFERROR(__xludf.DUMMYFUNCTION("""COMPUTED_VALUE"""),FALSE)</f>
        <v>0</v>
      </c>
      <c r="O1280" s="20">
        <f>IFERROR(__xludf.DUMMYFUNCTION("""COMPUTED_VALUE"""),74.277290378254)</f>
        <v>74.27729038</v>
      </c>
      <c r="P1280" s="20">
        <f>IFERROR(__xludf.DUMMYFUNCTION("""COMPUTED_VALUE"""),10329.0)</f>
        <v>10329</v>
      </c>
      <c r="Q1280" s="20">
        <f>IFERROR(__xludf.DUMMYFUNCTION("""COMPUTED_VALUE"""),13906.0)</f>
        <v>13906</v>
      </c>
    </row>
    <row r="1281">
      <c r="A1281" s="20">
        <f>IFERROR(__xludf.DUMMYFUNCTION("""COMPUTED_VALUE"""),1415.0)</f>
        <v>1415</v>
      </c>
      <c r="B1281" s="20" t="str">
        <f>IFERROR(__xludf.DUMMYFUNCTION("""COMPUTED_VALUE"""),"Students and Examinations")</f>
        <v>Students and Examinations</v>
      </c>
      <c r="C1281" s="20" t="str">
        <f>IFERROR(__xludf.DUMMYFUNCTION("""COMPUTED_VALUE"""),"students-and-examinations")</f>
        <v>students-and-examinations</v>
      </c>
      <c r="D1281" s="20" t="b">
        <f>IFERROR(__xludf.DUMMYFUNCTION("""COMPUTED_VALUE"""),TRUE)</f>
        <v>1</v>
      </c>
      <c r="E1281" s="20" t="str">
        <f>IFERROR(__xludf.DUMMYFUNCTION("""COMPUTED_VALUE"""),"Easy")</f>
        <v>Easy</v>
      </c>
      <c r="F1281" s="20">
        <f>IFERROR(__xludf.DUMMYFUNCTION("""COMPUTED_VALUE"""),313.0)</f>
        <v>313</v>
      </c>
      <c r="G1281" s="20">
        <f>IFERROR(__xludf.DUMMYFUNCTION("""COMPUTED_VALUE"""),48.0)</f>
        <v>48</v>
      </c>
      <c r="H1281" s="20" t="str">
        <f>IFERROR(__xludf.DUMMYFUNCTION("""COMPUTED_VALUE"""),"Database")</f>
        <v>Database</v>
      </c>
      <c r="I1281" s="20">
        <f>IFERROR(__xludf.DUMMYFUNCTION("""COMPUTED_VALUE"""),0.742)</f>
        <v>0.742</v>
      </c>
      <c r="J1281" s="20">
        <f>IFERROR(__xludf.DUMMYFUNCTION("""COMPUTED_VALUE"""),1280.0)</f>
        <v>1280</v>
      </c>
      <c r="K1281" s="20" t="b">
        <f>IFERROR(__xludf.DUMMYFUNCTION("""COMPUTED_VALUE"""),TRUE)</f>
        <v>1</v>
      </c>
      <c r="L1281" s="20" t="str">
        <f>IFERROR(__xludf.DUMMYFUNCTION("""COMPUTED_VALUE"""),"Database;")</f>
        <v>Database;</v>
      </c>
      <c r="M1281" s="20" t="b">
        <f>IFERROR(__xludf.DUMMYFUNCTION("""COMPUTED_VALUE"""),FALSE)</f>
        <v>0</v>
      </c>
      <c r="N1281" s="20" t="b">
        <f>IFERROR(__xludf.DUMMYFUNCTION("""COMPUTED_VALUE"""),FALSE)</f>
        <v>0</v>
      </c>
      <c r="O1281" s="20">
        <f>IFERROR(__xludf.DUMMYFUNCTION("""COMPUTED_VALUE"""),74.2089524560142)</f>
        <v>74.20895246</v>
      </c>
      <c r="P1281" s="20">
        <f>IFERROR(__xludf.DUMMYFUNCTION("""COMPUTED_VALUE"""),32013.0)</f>
        <v>32013</v>
      </c>
      <c r="Q1281" s="20">
        <f>IFERROR(__xludf.DUMMYFUNCTION("""COMPUTED_VALUE"""),43139.0)</f>
        <v>43139</v>
      </c>
    </row>
    <row r="1282">
      <c r="A1282" s="20">
        <f>IFERROR(__xludf.DUMMYFUNCTION("""COMPUTED_VALUE"""),1406.0)</f>
        <v>1406</v>
      </c>
      <c r="B1282" s="20" t="str">
        <f>IFERROR(__xludf.DUMMYFUNCTION("""COMPUTED_VALUE"""),"Subtract the Product and Sum of Digits of an Integer")</f>
        <v>Subtract the Product and Sum of Digits of an Integer</v>
      </c>
      <c r="C1282" s="20" t="str">
        <f>IFERROR(__xludf.DUMMYFUNCTION("""COMPUTED_VALUE"""),"subtract-the-product-and-sum-of-digits-of-an-integer")</f>
        <v>subtract-the-product-and-sum-of-digits-of-an-integer</v>
      </c>
      <c r="D1282" s="20" t="b">
        <f>IFERROR(__xludf.DUMMYFUNCTION("""COMPUTED_VALUE"""),FALSE)</f>
        <v>0</v>
      </c>
      <c r="E1282" s="20" t="str">
        <f>IFERROR(__xludf.DUMMYFUNCTION("""COMPUTED_VALUE"""),"Easy")</f>
        <v>Easy</v>
      </c>
      <c r="F1282" s="20">
        <f>IFERROR(__xludf.DUMMYFUNCTION("""COMPUTED_VALUE"""),1802.0)</f>
        <v>1802</v>
      </c>
      <c r="G1282" s="20">
        <f>IFERROR(__xludf.DUMMYFUNCTION("""COMPUTED_VALUE"""),203.0)</f>
        <v>203</v>
      </c>
      <c r="H1282" s="20" t="str">
        <f>IFERROR(__xludf.DUMMYFUNCTION("""COMPUTED_VALUE"""),"Algorithms")</f>
        <v>Algorithms</v>
      </c>
      <c r="I1282" s="20">
        <f>IFERROR(__xludf.DUMMYFUNCTION("""COMPUTED_VALUE"""),0.867)</f>
        <v>0.867</v>
      </c>
      <c r="J1282" s="20">
        <f>IFERROR(__xludf.DUMMYFUNCTION("""COMPUTED_VALUE"""),1281.0)</f>
        <v>1281</v>
      </c>
      <c r="K1282" s="20" t="b">
        <f>IFERROR(__xludf.DUMMYFUNCTION("""COMPUTED_VALUE"""),FALSE)</f>
        <v>0</v>
      </c>
      <c r="L1282" s="20" t="str">
        <f>IFERROR(__xludf.DUMMYFUNCTION("""COMPUTED_VALUE"""),"Math;")</f>
        <v>Math;</v>
      </c>
      <c r="M1282" s="20" t="b">
        <f>IFERROR(__xludf.DUMMYFUNCTION("""COMPUTED_VALUE"""),FALSE)</f>
        <v>0</v>
      </c>
      <c r="N1282" s="20" t="b">
        <f>IFERROR(__xludf.DUMMYFUNCTION("""COMPUTED_VALUE"""),FALSE)</f>
        <v>0</v>
      </c>
      <c r="O1282" s="20">
        <f>IFERROR(__xludf.DUMMYFUNCTION("""COMPUTED_VALUE"""),86.7084511989942)</f>
        <v>86.7084512</v>
      </c>
      <c r="P1282" s="20">
        <f>IFERROR(__xludf.DUMMYFUNCTION("""COMPUTED_VALUE"""),328281.0)</f>
        <v>328281</v>
      </c>
      <c r="Q1282" s="20">
        <f>IFERROR(__xludf.DUMMYFUNCTION("""COMPUTED_VALUE"""),378600.0)</f>
        <v>378600</v>
      </c>
    </row>
    <row r="1283">
      <c r="A1283" s="20">
        <f>IFERROR(__xludf.DUMMYFUNCTION("""COMPUTED_VALUE"""),1407.0)</f>
        <v>1407</v>
      </c>
      <c r="B1283" s="20" t="str">
        <f>IFERROR(__xludf.DUMMYFUNCTION("""COMPUTED_VALUE"""),"Group the People Given the Group Size They Belong To")</f>
        <v>Group the People Given the Group Size They Belong To</v>
      </c>
      <c r="C1283" s="20" t="str">
        <f>IFERROR(__xludf.DUMMYFUNCTION("""COMPUTED_VALUE"""),"group-the-people-given-the-group-size-they-belong-to")</f>
        <v>group-the-people-given-the-group-size-they-belong-to</v>
      </c>
      <c r="D1283" s="20" t="b">
        <f>IFERROR(__xludf.DUMMYFUNCTION("""COMPUTED_VALUE"""),FALSE)</f>
        <v>0</v>
      </c>
      <c r="E1283" s="20" t="str">
        <f>IFERROR(__xludf.DUMMYFUNCTION("""COMPUTED_VALUE"""),"Medium")</f>
        <v>Medium</v>
      </c>
      <c r="F1283" s="20">
        <f>IFERROR(__xludf.DUMMYFUNCTION("""COMPUTED_VALUE"""),1376.0)</f>
        <v>1376</v>
      </c>
      <c r="G1283" s="20">
        <f>IFERROR(__xludf.DUMMYFUNCTION("""COMPUTED_VALUE"""),511.0)</f>
        <v>511</v>
      </c>
      <c r="H1283" s="20" t="str">
        <f>IFERROR(__xludf.DUMMYFUNCTION("""COMPUTED_VALUE"""),"Algorithms")</f>
        <v>Algorithms</v>
      </c>
      <c r="I1283" s="20">
        <f>IFERROR(__xludf.DUMMYFUNCTION("""COMPUTED_VALUE"""),0.857)</f>
        <v>0.857</v>
      </c>
      <c r="J1283" s="20">
        <f>IFERROR(__xludf.DUMMYFUNCTION("""COMPUTED_VALUE"""),1282.0)</f>
        <v>1282</v>
      </c>
      <c r="K1283" s="20" t="b">
        <f>IFERROR(__xludf.DUMMYFUNCTION("""COMPUTED_VALUE"""),FALSE)</f>
        <v>0</v>
      </c>
      <c r="L1283" s="20" t="str">
        <f>IFERROR(__xludf.DUMMYFUNCTION("""COMPUTED_VALUE"""),"Array;Hash Table;")</f>
        <v>Array;Hash Table;</v>
      </c>
      <c r="M1283" s="20" t="b">
        <f>IFERROR(__xludf.DUMMYFUNCTION("""COMPUTED_VALUE"""),FALSE)</f>
        <v>0</v>
      </c>
      <c r="N1283" s="20" t="b">
        <f>IFERROR(__xludf.DUMMYFUNCTION("""COMPUTED_VALUE"""),FALSE)</f>
        <v>0</v>
      </c>
      <c r="O1283" s="20">
        <f>IFERROR(__xludf.DUMMYFUNCTION("""COMPUTED_VALUE"""),85.661464105965)</f>
        <v>85.66146411</v>
      </c>
      <c r="P1283" s="20">
        <f>IFERROR(__xludf.DUMMYFUNCTION("""COMPUTED_VALUE"""),94291.0)</f>
        <v>94291</v>
      </c>
      <c r="Q1283" s="20">
        <f>IFERROR(__xludf.DUMMYFUNCTION("""COMPUTED_VALUE"""),110074.0)</f>
        <v>110074</v>
      </c>
    </row>
    <row r="1284">
      <c r="A1284" s="20">
        <f>IFERROR(__xludf.DUMMYFUNCTION("""COMPUTED_VALUE"""),1408.0)</f>
        <v>1408</v>
      </c>
      <c r="B1284" s="20" t="str">
        <f>IFERROR(__xludf.DUMMYFUNCTION("""COMPUTED_VALUE"""),"Find the Smallest Divisor Given a Threshold")</f>
        <v>Find the Smallest Divisor Given a Threshold</v>
      </c>
      <c r="C1284" s="20" t="str">
        <f>IFERROR(__xludf.DUMMYFUNCTION("""COMPUTED_VALUE"""),"find-the-smallest-divisor-given-a-threshold")</f>
        <v>find-the-smallest-divisor-given-a-threshold</v>
      </c>
      <c r="D1284" s="20" t="b">
        <f>IFERROR(__xludf.DUMMYFUNCTION("""COMPUTED_VALUE"""),FALSE)</f>
        <v>0</v>
      </c>
      <c r="E1284" s="20" t="str">
        <f>IFERROR(__xludf.DUMMYFUNCTION("""COMPUTED_VALUE"""),"Medium")</f>
        <v>Medium</v>
      </c>
      <c r="F1284" s="20">
        <f>IFERROR(__xludf.DUMMYFUNCTION("""COMPUTED_VALUE"""),1815.0)</f>
        <v>1815</v>
      </c>
      <c r="G1284" s="20">
        <f>IFERROR(__xludf.DUMMYFUNCTION("""COMPUTED_VALUE"""),164.0)</f>
        <v>164</v>
      </c>
      <c r="H1284" s="20" t="str">
        <f>IFERROR(__xludf.DUMMYFUNCTION("""COMPUTED_VALUE"""),"Algorithms")</f>
        <v>Algorithms</v>
      </c>
      <c r="I1284" s="20">
        <f>IFERROR(__xludf.DUMMYFUNCTION("""COMPUTED_VALUE"""),0.555)</f>
        <v>0.555</v>
      </c>
      <c r="J1284" s="20">
        <f>IFERROR(__xludf.DUMMYFUNCTION("""COMPUTED_VALUE"""),1283.0)</f>
        <v>1283</v>
      </c>
      <c r="K1284" s="20" t="b">
        <f>IFERROR(__xludf.DUMMYFUNCTION("""COMPUTED_VALUE"""),FALSE)</f>
        <v>0</v>
      </c>
      <c r="L1284" s="20" t="str">
        <f>IFERROR(__xludf.DUMMYFUNCTION("""COMPUTED_VALUE"""),"Array;Binary Search;")</f>
        <v>Array;Binary Search;</v>
      </c>
      <c r="M1284" s="20" t="b">
        <f>IFERROR(__xludf.DUMMYFUNCTION("""COMPUTED_VALUE"""),TRUE)</f>
        <v>1</v>
      </c>
      <c r="N1284" s="20" t="b">
        <f>IFERROR(__xludf.DUMMYFUNCTION("""COMPUTED_VALUE"""),FALSE)</f>
        <v>0</v>
      </c>
      <c r="O1284" s="20">
        <f>IFERROR(__xludf.DUMMYFUNCTION("""COMPUTED_VALUE"""),55.5174443043295)</f>
        <v>55.5174443</v>
      </c>
      <c r="P1284" s="20">
        <f>IFERROR(__xludf.DUMMYFUNCTION("""COMPUTED_VALUE"""),99057.0)</f>
        <v>99057</v>
      </c>
      <c r="Q1284" s="20">
        <f>IFERROR(__xludf.DUMMYFUNCTION("""COMPUTED_VALUE"""),178425.0)</f>
        <v>178425</v>
      </c>
    </row>
    <row r="1285">
      <c r="A1285" s="20">
        <f>IFERROR(__xludf.DUMMYFUNCTION("""COMPUTED_VALUE"""),1409.0)</f>
        <v>1409</v>
      </c>
      <c r="B1285" s="20" t="str">
        <f>IFERROR(__xludf.DUMMYFUNCTION("""COMPUTED_VALUE"""),"Minimum Number of Flips to Convert Binary Matrix to Zero Matrix")</f>
        <v>Minimum Number of Flips to Convert Binary Matrix to Zero Matrix</v>
      </c>
      <c r="C1285" s="20" t="str">
        <f>IFERROR(__xludf.DUMMYFUNCTION("""COMPUTED_VALUE"""),"minimum-number-of-flips-to-convert-binary-matrix-to-zero-matrix")</f>
        <v>minimum-number-of-flips-to-convert-binary-matrix-to-zero-matrix</v>
      </c>
      <c r="D1285" s="20" t="b">
        <f>IFERROR(__xludf.DUMMYFUNCTION("""COMPUTED_VALUE"""),FALSE)</f>
        <v>0</v>
      </c>
      <c r="E1285" s="20" t="str">
        <f>IFERROR(__xludf.DUMMYFUNCTION("""COMPUTED_VALUE"""),"Hard")</f>
        <v>Hard</v>
      </c>
      <c r="F1285" s="20">
        <f>IFERROR(__xludf.DUMMYFUNCTION("""COMPUTED_VALUE"""),797.0)</f>
        <v>797</v>
      </c>
      <c r="G1285" s="20">
        <f>IFERROR(__xludf.DUMMYFUNCTION("""COMPUTED_VALUE"""),80.0)</f>
        <v>80</v>
      </c>
      <c r="H1285" s="20" t="str">
        <f>IFERROR(__xludf.DUMMYFUNCTION("""COMPUTED_VALUE"""),"Algorithms")</f>
        <v>Algorithms</v>
      </c>
      <c r="I1285" s="20">
        <f>IFERROR(__xludf.DUMMYFUNCTION("""COMPUTED_VALUE"""),0.72)</f>
        <v>0.72</v>
      </c>
      <c r="J1285" s="20">
        <f>IFERROR(__xludf.DUMMYFUNCTION("""COMPUTED_VALUE"""),1284.0)</f>
        <v>1284</v>
      </c>
      <c r="K1285" s="20" t="b">
        <f>IFERROR(__xludf.DUMMYFUNCTION("""COMPUTED_VALUE"""),FALSE)</f>
        <v>0</v>
      </c>
      <c r="L1285" s="20" t="str">
        <f>IFERROR(__xludf.DUMMYFUNCTION("""COMPUTED_VALUE"""),"Array;Bit Manipulation;Breadth-First Search;Matrix;")</f>
        <v>Array;Bit Manipulation;Breadth-First Search;Matrix;</v>
      </c>
      <c r="M1285" s="20" t="b">
        <f>IFERROR(__xludf.DUMMYFUNCTION("""COMPUTED_VALUE"""),TRUE)</f>
        <v>1</v>
      </c>
      <c r="N1285" s="20" t="b">
        <f>IFERROR(__xludf.DUMMYFUNCTION("""COMPUTED_VALUE"""),FALSE)</f>
        <v>0</v>
      </c>
      <c r="O1285" s="20">
        <f>IFERROR(__xludf.DUMMYFUNCTION("""COMPUTED_VALUE"""),72.0266170359228)</f>
        <v>72.02661704</v>
      </c>
      <c r="P1285" s="20">
        <f>IFERROR(__xludf.DUMMYFUNCTION("""COMPUTED_VALUE"""),28251.0)</f>
        <v>28251</v>
      </c>
      <c r="Q1285" s="20">
        <f>IFERROR(__xludf.DUMMYFUNCTION("""COMPUTED_VALUE"""),39223.0)</f>
        <v>39223</v>
      </c>
    </row>
    <row r="1286">
      <c r="A1286" s="20">
        <f>IFERROR(__xludf.DUMMYFUNCTION("""COMPUTED_VALUE"""),1420.0)</f>
        <v>1420</v>
      </c>
      <c r="B1286" s="20" t="str">
        <f>IFERROR(__xludf.DUMMYFUNCTION("""COMPUTED_VALUE"""),"Find the Start and End Number of Continuous Ranges")</f>
        <v>Find the Start and End Number of Continuous Ranges</v>
      </c>
      <c r="C1286" s="20" t="str">
        <f>IFERROR(__xludf.DUMMYFUNCTION("""COMPUTED_VALUE"""),"find-the-start-and-end-number-of-continuous-ranges")</f>
        <v>find-the-start-and-end-number-of-continuous-ranges</v>
      </c>
      <c r="D1286" s="20" t="b">
        <f>IFERROR(__xludf.DUMMYFUNCTION("""COMPUTED_VALUE"""),TRUE)</f>
        <v>1</v>
      </c>
      <c r="E1286" s="20" t="str">
        <f>IFERROR(__xludf.DUMMYFUNCTION("""COMPUTED_VALUE"""),"Medium")</f>
        <v>Medium</v>
      </c>
      <c r="F1286" s="20">
        <f>IFERROR(__xludf.DUMMYFUNCTION("""COMPUTED_VALUE"""),448.0)</f>
        <v>448</v>
      </c>
      <c r="G1286" s="20">
        <f>IFERROR(__xludf.DUMMYFUNCTION("""COMPUTED_VALUE"""),27.0)</f>
        <v>27</v>
      </c>
      <c r="H1286" s="20" t="str">
        <f>IFERROR(__xludf.DUMMYFUNCTION("""COMPUTED_VALUE"""),"Database")</f>
        <v>Database</v>
      </c>
      <c r="I1286" s="20">
        <f>IFERROR(__xludf.DUMMYFUNCTION("""COMPUTED_VALUE"""),0.878)</f>
        <v>0.878</v>
      </c>
      <c r="J1286" s="20">
        <f>IFERROR(__xludf.DUMMYFUNCTION("""COMPUTED_VALUE"""),1285.0)</f>
        <v>1285</v>
      </c>
      <c r="K1286" s="20" t="b">
        <f>IFERROR(__xludf.DUMMYFUNCTION("""COMPUTED_VALUE"""),TRUE)</f>
        <v>1</v>
      </c>
      <c r="L1286" s="20" t="str">
        <f>IFERROR(__xludf.DUMMYFUNCTION("""COMPUTED_VALUE"""),"Database;")</f>
        <v>Database;</v>
      </c>
      <c r="M1286" s="20" t="b">
        <f>IFERROR(__xludf.DUMMYFUNCTION("""COMPUTED_VALUE"""),FALSE)</f>
        <v>0</v>
      </c>
      <c r="N1286" s="20" t="b">
        <f>IFERROR(__xludf.DUMMYFUNCTION("""COMPUTED_VALUE"""),FALSE)</f>
        <v>0</v>
      </c>
      <c r="O1286" s="20">
        <f>IFERROR(__xludf.DUMMYFUNCTION("""COMPUTED_VALUE"""),87.75447254781)</f>
        <v>87.75447255</v>
      </c>
      <c r="P1286" s="20">
        <f>IFERROR(__xludf.DUMMYFUNCTION("""COMPUTED_VALUE"""),28450.0)</f>
        <v>28450</v>
      </c>
      <c r="Q1286" s="20">
        <f>IFERROR(__xludf.DUMMYFUNCTION("""COMPUTED_VALUE"""),32420.0)</f>
        <v>32420</v>
      </c>
    </row>
    <row r="1287">
      <c r="A1287" s="20">
        <f>IFERROR(__xludf.DUMMYFUNCTION("""COMPUTED_VALUE"""),1211.0)</f>
        <v>1211</v>
      </c>
      <c r="B1287" s="20" t="str">
        <f>IFERROR(__xludf.DUMMYFUNCTION("""COMPUTED_VALUE"""),"Iterator for Combination")</f>
        <v>Iterator for Combination</v>
      </c>
      <c r="C1287" s="20" t="str">
        <f>IFERROR(__xludf.DUMMYFUNCTION("""COMPUTED_VALUE"""),"iterator-for-combination")</f>
        <v>iterator-for-combination</v>
      </c>
      <c r="D1287" s="20" t="b">
        <f>IFERROR(__xludf.DUMMYFUNCTION("""COMPUTED_VALUE"""),FALSE)</f>
        <v>0</v>
      </c>
      <c r="E1287" s="20" t="str">
        <f>IFERROR(__xludf.DUMMYFUNCTION("""COMPUTED_VALUE"""),"Medium")</f>
        <v>Medium</v>
      </c>
      <c r="F1287" s="20">
        <f>IFERROR(__xludf.DUMMYFUNCTION("""COMPUTED_VALUE"""),1244.0)</f>
        <v>1244</v>
      </c>
      <c r="G1287" s="20">
        <f>IFERROR(__xludf.DUMMYFUNCTION("""COMPUTED_VALUE"""),99.0)</f>
        <v>99</v>
      </c>
      <c r="H1287" s="20" t="str">
        <f>IFERROR(__xludf.DUMMYFUNCTION("""COMPUTED_VALUE"""),"Algorithms")</f>
        <v>Algorithms</v>
      </c>
      <c r="I1287" s="20">
        <f>IFERROR(__xludf.DUMMYFUNCTION("""COMPUTED_VALUE"""),0.735)</f>
        <v>0.735</v>
      </c>
      <c r="J1287" s="20">
        <f>IFERROR(__xludf.DUMMYFUNCTION("""COMPUTED_VALUE"""),1286.0)</f>
        <v>1286</v>
      </c>
      <c r="K1287" s="20" t="b">
        <f>IFERROR(__xludf.DUMMYFUNCTION("""COMPUTED_VALUE"""),FALSE)</f>
        <v>0</v>
      </c>
      <c r="L1287" s="20" t="str">
        <f>IFERROR(__xludf.DUMMYFUNCTION("""COMPUTED_VALUE"""),"String;Backtracking;Design;Iterator;")</f>
        <v>String;Backtracking;Design;Iterator;</v>
      </c>
      <c r="M1287" s="20" t="b">
        <f>IFERROR(__xludf.DUMMYFUNCTION("""COMPUTED_VALUE"""),TRUE)</f>
        <v>1</v>
      </c>
      <c r="N1287" s="20" t="b">
        <f>IFERROR(__xludf.DUMMYFUNCTION("""COMPUTED_VALUE"""),FALSE)</f>
        <v>0</v>
      </c>
      <c r="O1287" s="20">
        <f>IFERROR(__xludf.DUMMYFUNCTION("""COMPUTED_VALUE"""),73.4615681900997)</f>
        <v>73.46156819</v>
      </c>
      <c r="P1287" s="20">
        <f>IFERROR(__xludf.DUMMYFUNCTION("""COMPUTED_VALUE"""),66529.0)</f>
        <v>66529</v>
      </c>
      <c r="Q1287" s="20">
        <f>IFERROR(__xludf.DUMMYFUNCTION("""COMPUTED_VALUE"""),90563.0)</f>
        <v>90563</v>
      </c>
    </row>
    <row r="1288">
      <c r="A1288" s="20">
        <f>IFERROR(__xludf.DUMMYFUNCTION("""COMPUTED_VALUE"""),1221.0)</f>
        <v>1221</v>
      </c>
      <c r="B1288" s="20" t="str">
        <f>IFERROR(__xludf.DUMMYFUNCTION("""COMPUTED_VALUE"""),"Element Appearing More Than 25% In Sorted Array")</f>
        <v>Element Appearing More Than 25% In Sorted Array</v>
      </c>
      <c r="C1288" s="20" t="str">
        <f>IFERROR(__xludf.DUMMYFUNCTION("""COMPUTED_VALUE"""),"element-appearing-more-than-25-in-sorted-array")</f>
        <v>element-appearing-more-than-25-in-sorted-array</v>
      </c>
      <c r="D1288" s="20" t="b">
        <f>IFERROR(__xludf.DUMMYFUNCTION("""COMPUTED_VALUE"""),FALSE)</f>
        <v>0</v>
      </c>
      <c r="E1288" s="20" t="str">
        <f>IFERROR(__xludf.DUMMYFUNCTION("""COMPUTED_VALUE"""),"Easy")</f>
        <v>Easy</v>
      </c>
      <c r="F1288" s="20">
        <f>IFERROR(__xludf.DUMMYFUNCTION("""COMPUTED_VALUE"""),764.0)</f>
        <v>764</v>
      </c>
      <c r="G1288" s="20">
        <f>IFERROR(__xludf.DUMMYFUNCTION("""COMPUTED_VALUE"""),40.0)</f>
        <v>40</v>
      </c>
      <c r="H1288" s="20" t="str">
        <f>IFERROR(__xludf.DUMMYFUNCTION("""COMPUTED_VALUE"""),"Algorithms")</f>
        <v>Algorithms</v>
      </c>
      <c r="I1288" s="20">
        <f>IFERROR(__xludf.DUMMYFUNCTION("""COMPUTED_VALUE"""),0.595)</f>
        <v>0.595</v>
      </c>
      <c r="J1288" s="20">
        <f>IFERROR(__xludf.DUMMYFUNCTION("""COMPUTED_VALUE"""),1287.0)</f>
        <v>1287</v>
      </c>
      <c r="K1288" s="20" t="b">
        <f>IFERROR(__xludf.DUMMYFUNCTION("""COMPUTED_VALUE"""),FALSE)</f>
        <v>0</v>
      </c>
      <c r="L1288" s="20" t="str">
        <f>IFERROR(__xludf.DUMMYFUNCTION("""COMPUTED_VALUE"""),"Array;")</f>
        <v>Array;</v>
      </c>
      <c r="M1288" s="20" t="b">
        <f>IFERROR(__xludf.DUMMYFUNCTION("""COMPUTED_VALUE"""),FALSE)</f>
        <v>0</v>
      </c>
      <c r="N1288" s="20" t="b">
        <f>IFERROR(__xludf.DUMMYFUNCTION("""COMPUTED_VALUE"""),FALSE)</f>
        <v>0</v>
      </c>
      <c r="O1288" s="20">
        <f>IFERROR(__xludf.DUMMYFUNCTION("""COMPUTED_VALUE"""),59.5311885084612)</f>
        <v>59.53118851</v>
      </c>
      <c r="P1288" s="20">
        <f>IFERROR(__xludf.DUMMYFUNCTION("""COMPUTED_VALUE"""),72608.0)</f>
        <v>72608</v>
      </c>
      <c r="Q1288" s="20">
        <f>IFERROR(__xludf.DUMMYFUNCTION("""COMPUTED_VALUE"""),121967.0)</f>
        <v>121967</v>
      </c>
    </row>
    <row r="1289">
      <c r="A1289" s="20">
        <f>IFERROR(__xludf.DUMMYFUNCTION("""COMPUTED_VALUE"""),1222.0)</f>
        <v>1222</v>
      </c>
      <c r="B1289" s="20" t="str">
        <f>IFERROR(__xludf.DUMMYFUNCTION("""COMPUTED_VALUE"""),"Remove Covered Intervals")</f>
        <v>Remove Covered Intervals</v>
      </c>
      <c r="C1289" s="20" t="str">
        <f>IFERROR(__xludf.DUMMYFUNCTION("""COMPUTED_VALUE"""),"remove-covered-intervals")</f>
        <v>remove-covered-intervals</v>
      </c>
      <c r="D1289" s="20" t="b">
        <f>IFERROR(__xludf.DUMMYFUNCTION("""COMPUTED_VALUE"""),FALSE)</f>
        <v>0</v>
      </c>
      <c r="E1289" s="20" t="str">
        <f>IFERROR(__xludf.DUMMYFUNCTION("""COMPUTED_VALUE"""),"Medium")</f>
        <v>Medium</v>
      </c>
      <c r="F1289" s="20">
        <f>IFERROR(__xludf.DUMMYFUNCTION("""COMPUTED_VALUE"""),2021.0)</f>
        <v>2021</v>
      </c>
      <c r="G1289" s="20">
        <f>IFERROR(__xludf.DUMMYFUNCTION("""COMPUTED_VALUE"""),51.0)</f>
        <v>51</v>
      </c>
      <c r="H1289" s="20" t="str">
        <f>IFERROR(__xludf.DUMMYFUNCTION("""COMPUTED_VALUE"""),"Algorithms")</f>
        <v>Algorithms</v>
      </c>
      <c r="I1289" s="20">
        <f>IFERROR(__xludf.DUMMYFUNCTION("""COMPUTED_VALUE"""),0.572)</f>
        <v>0.572</v>
      </c>
      <c r="J1289" s="20">
        <f>IFERROR(__xludf.DUMMYFUNCTION("""COMPUTED_VALUE"""),1288.0)</f>
        <v>1288</v>
      </c>
      <c r="K1289" s="20" t="b">
        <f>IFERROR(__xludf.DUMMYFUNCTION("""COMPUTED_VALUE"""),FALSE)</f>
        <v>0</v>
      </c>
      <c r="L1289" s="20" t="str">
        <f>IFERROR(__xludf.DUMMYFUNCTION("""COMPUTED_VALUE"""),"Array;Sorting;")</f>
        <v>Array;Sorting;</v>
      </c>
      <c r="M1289" s="20" t="b">
        <f>IFERROR(__xludf.DUMMYFUNCTION("""COMPUTED_VALUE"""),TRUE)</f>
        <v>1</v>
      </c>
      <c r="N1289" s="20" t="b">
        <f>IFERROR(__xludf.DUMMYFUNCTION("""COMPUTED_VALUE"""),FALSE)</f>
        <v>0</v>
      </c>
      <c r="O1289" s="20">
        <f>IFERROR(__xludf.DUMMYFUNCTION("""COMPUTED_VALUE"""),57.1727840569457)</f>
        <v>57.17278406</v>
      </c>
      <c r="P1289" s="20">
        <f>IFERROR(__xludf.DUMMYFUNCTION("""COMPUTED_VALUE"""),104254.0)</f>
        <v>104254</v>
      </c>
      <c r="Q1289" s="20">
        <f>IFERROR(__xludf.DUMMYFUNCTION("""COMPUTED_VALUE"""),182349.0)</f>
        <v>182349</v>
      </c>
    </row>
    <row r="1290">
      <c r="A1290" s="20">
        <f>IFERROR(__xludf.DUMMYFUNCTION("""COMPUTED_VALUE"""),1224.0)</f>
        <v>1224</v>
      </c>
      <c r="B1290" s="20" t="str">
        <f>IFERROR(__xludf.DUMMYFUNCTION("""COMPUTED_VALUE"""),"Minimum Falling Path Sum II")</f>
        <v>Minimum Falling Path Sum II</v>
      </c>
      <c r="C1290" s="20" t="str">
        <f>IFERROR(__xludf.DUMMYFUNCTION("""COMPUTED_VALUE"""),"minimum-falling-path-sum-ii")</f>
        <v>minimum-falling-path-sum-ii</v>
      </c>
      <c r="D1290" s="20" t="b">
        <f>IFERROR(__xludf.DUMMYFUNCTION("""COMPUTED_VALUE"""),FALSE)</f>
        <v>0</v>
      </c>
      <c r="E1290" s="20" t="str">
        <f>IFERROR(__xludf.DUMMYFUNCTION("""COMPUTED_VALUE"""),"Hard")</f>
        <v>Hard</v>
      </c>
      <c r="F1290" s="20">
        <f>IFERROR(__xludf.DUMMYFUNCTION("""COMPUTED_VALUE"""),1261.0)</f>
        <v>1261</v>
      </c>
      <c r="G1290" s="20">
        <f>IFERROR(__xludf.DUMMYFUNCTION("""COMPUTED_VALUE"""),76.0)</f>
        <v>76</v>
      </c>
      <c r="H1290" s="20" t="str">
        <f>IFERROR(__xludf.DUMMYFUNCTION("""COMPUTED_VALUE"""),"Algorithms")</f>
        <v>Algorithms</v>
      </c>
      <c r="I1290" s="20">
        <f>IFERROR(__xludf.DUMMYFUNCTION("""COMPUTED_VALUE"""),0.588)</f>
        <v>0.588</v>
      </c>
      <c r="J1290" s="20">
        <f>IFERROR(__xludf.DUMMYFUNCTION("""COMPUTED_VALUE"""),1289.0)</f>
        <v>1289</v>
      </c>
      <c r="K1290" s="20" t="b">
        <f>IFERROR(__xludf.DUMMYFUNCTION("""COMPUTED_VALUE"""),FALSE)</f>
        <v>0</v>
      </c>
      <c r="L1290" s="20" t="str">
        <f>IFERROR(__xludf.DUMMYFUNCTION("""COMPUTED_VALUE"""),"Array;Dynamic Programming;Matrix;")</f>
        <v>Array;Dynamic Programming;Matrix;</v>
      </c>
      <c r="M1290" s="20" t="b">
        <f>IFERROR(__xludf.DUMMYFUNCTION("""COMPUTED_VALUE"""),FALSE)</f>
        <v>0</v>
      </c>
      <c r="N1290" s="20" t="b">
        <f>IFERROR(__xludf.DUMMYFUNCTION("""COMPUTED_VALUE"""),FALSE)</f>
        <v>0</v>
      </c>
      <c r="O1290" s="20">
        <f>IFERROR(__xludf.DUMMYFUNCTION("""COMPUTED_VALUE"""),58.8228948341758)</f>
        <v>58.82289483</v>
      </c>
      <c r="P1290" s="20">
        <f>IFERROR(__xludf.DUMMYFUNCTION("""COMPUTED_VALUE"""),38169.0)</f>
        <v>38169</v>
      </c>
      <c r="Q1290" s="20">
        <f>IFERROR(__xludf.DUMMYFUNCTION("""COMPUTED_VALUE"""),64886.0)</f>
        <v>64886</v>
      </c>
    </row>
    <row r="1291">
      <c r="A1291" s="20">
        <f>IFERROR(__xludf.DUMMYFUNCTION("""COMPUTED_VALUE"""),1411.0)</f>
        <v>1411</v>
      </c>
      <c r="B1291" s="20" t="str">
        <f>IFERROR(__xludf.DUMMYFUNCTION("""COMPUTED_VALUE"""),"Convert Binary Number in a Linked List to Integer")</f>
        <v>Convert Binary Number in a Linked List to Integer</v>
      </c>
      <c r="C1291" s="20" t="str">
        <f>IFERROR(__xludf.DUMMYFUNCTION("""COMPUTED_VALUE"""),"convert-binary-number-in-a-linked-list-to-integer")</f>
        <v>convert-binary-number-in-a-linked-list-to-integer</v>
      </c>
      <c r="D1291" s="20" t="b">
        <f>IFERROR(__xludf.DUMMYFUNCTION("""COMPUTED_VALUE"""),FALSE)</f>
        <v>0</v>
      </c>
      <c r="E1291" s="20" t="str">
        <f>IFERROR(__xludf.DUMMYFUNCTION("""COMPUTED_VALUE"""),"Easy")</f>
        <v>Easy</v>
      </c>
      <c r="F1291" s="20">
        <f>IFERROR(__xludf.DUMMYFUNCTION("""COMPUTED_VALUE"""),3313.0)</f>
        <v>3313</v>
      </c>
      <c r="G1291" s="20">
        <f>IFERROR(__xludf.DUMMYFUNCTION("""COMPUTED_VALUE"""),144.0)</f>
        <v>144</v>
      </c>
      <c r="H1291" s="20" t="str">
        <f>IFERROR(__xludf.DUMMYFUNCTION("""COMPUTED_VALUE"""),"Algorithms")</f>
        <v>Algorithms</v>
      </c>
      <c r="I1291" s="20">
        <f>IFERROR(__xludf.DUMMYFUNCTION("""COMPUTED_VALUE"""),0.825)</f>
        <v>0.825</v>
      </c>
      <c r="J1291" s="20">
        <f>IFERROR(__xludf.DUMMYFUNCTION("""COMPUTED_VALUE"""),1290.0)</f>
        <v>1290</v>
      </c>
      <c r="K1291" s="20" t="b">
        <f>IFERROR(__xludf.DUMMYFUNCTION("""COMPUTED_VALUE"""),FALSE)</f>
        <v>0</v>
      </c>
      <c r="L1291" s="20" t="str">
        <f>IFERROR(__xludf.DUMMYFUNCTION("""COMPUTED_VALUE"""),"Linked List;Math;")</f>
        <v>Linked List;Math;</v>
      </c>
      <c r="M1291" s="20" t="b">
        <f>IFERROR(__xludf.DUMMYFUNCTION("""COMPUTED_VALUE"""),TRUE)</f>
        <v>1</v>
      </c>
      <c r="N1291" s="20" t="b">
        <f>IFERROR(__xludf.DUMMYFUNCTION("""COMPUTED_VALUE"""),FALSE)</f>
        <v>0</v>
      </c>
      <c r="O1291" s="20">
        <f>IFERROR(__xludf.DUMMYFUNCTION("""COMPUTED_VALUE"""),82.4784163948382)</f>
        <v>82.47841639</v>
      </c>
      <c r="P1291" s="20">
        <f>IFERROR(__xludf.DUMMYFUNCTION("""COMPUTED_VALUE"""),350698.0)</f>
        <v>350698</v>
      </c>
      <c r="Q1291" s="20">
        <f>IFERROR(__xludf.DUMMYFUNCTION("""COMPUTED_VALUE"""),425199.0)</f>
        <v>425199</v>
      </c>
    </row>
    <row r="1292">
      <c r="A1292" s="20">
        <f>IFERROR(__xludf.DUMMYFUNCTION("""COMPUTED_VALUE"""),1212.0)</f>
        <v>1212</v>
      </c>
      <c r="B1292" s="20" t="str">
        <f>IFERROR(__xludf.DUMMYFUNCTION("""COMPUTED_VALUE"""),"Sequential Digits")</f>
        <v>Sequential Digits</v>
      </c>
      <c r="C1292" s="20" t="str">
        <f>IFERROR(__xludf.DUMMYFUNCTION("""COMPUTED_VALUE"""),"sequential-digits")</f>
        <v>sequential-digits</v>
      </c>
      <c r="D1292" s="20" t="b">
        <f>IFERROR(__xludf.DUMMYFUNCTION("""COMPUTED_VALUE"""),FALSE)</f>
        <v>0</v>
      </c>
      <c r="E1292" s="20" t="str">
        <f>IFERROR(__xludf.DUMMYFUNCTION("""COMPUTED_VALUE"""),"Medium")</f>
        <v>Medium</v>
      </c>
      <c r="F1292" s="20">
        <f>IFERROR(__xludf.DUMMYFUNCTION("""COMPUTED_VALUE"""),1829.0)</f>
        <v>1829</v>
      </c>
      <c r="G1292" s="20">
        <f>IFERROR(__xludf.DUMMYFUNCTION("""COMPUTED_VALUE"""),108.0)</f>
        <v>108</v>
      </c>
      <c r="H1292" s="20" t="str">
        <f>IFERROR(__xludf.DUMMYFUNCTION("""COMPUTED_VALUE"""),"Algorithms")</f>
        <v>Algorithms</v>
      </c>
      <c r="I1292" s="20">
        <f>IFERROR(__xludf.DUMMYFUNCTION("""COMPUTED_VALUE"""),0.614)</f>
        <v>0.614</v>
      </c>
      <c r="J1292" s="20">
        <f>IFERROR(__xludf.DUMMYFUNCTION("""COMPUTED_VALUE"""),1291.0)</f>
        <v>1291</v>
      </c>
      <c r="K1292" s="20" t="b">
        <f>IFERROR(__xludf.DUMMYFUNCTION("""COMPUTED_VALUE"""),FALSE)</f>
        <v>0</v>
      </c>
      <c r="L1292" s="20" t="str">
        <f>IFERROR(__xludf.DUMMYFUNCTION("""COMPUTED_VALUE"""),"Enumeration;")</f>
        <v>Enumeration;</v>
      </c>
      <c r="M1292" s="20" t="b">
        <f>IFERROR(__xludf.DUMMYFUNCTION("""COMPUTED_VALUE"""),TRUE)</f>
        <v>1</v>
      </c>
      <c r="N1292" s="20" t="b">
        <f>IFERROR(__xludf.DUMMYFUNCTION("""COMPUTED_VALUE"""),FALSE)</f>
        <v>0</v>
      </c>
      <c r="O1292" s="20">
        <f>IFERROR(__xludf.DUMMYFUNCTION("""COMPUTED_VALUE"""),61.3516426601716)</f>
        <v>61.35164266</v>
      </c>
      <c r="P1292" s="20">
        <f>IFERROR(__xludf.DUMMYFUNCTION("""COMPUTED_VALUE"""),87658.0)</f>
        <v>87658</v>
      </c>
      <c r="Q1292" s="20">
        <f>IFERROR(__xludf.DUMMYFUNCTION("""COMPUTED_VALUE"""),142878.0)</f>
        <v>142878</v>
      </c>
    </row>
    <row r="1293">
      <c r="A1293" s="20">
        <f>IFERROR(__xludf.DUMMYFUNCTION("""COMPUTED_VALUE"""),1413.0)</f>
        <v>1413</v>
      </c>
      <c r="B1293" s="20" t="str">
        <f>IFERROR(__xludf.DUMMYFUNCTION("""COMPUTED_VALUE"""),"Maximum Side Length of a Square with Sum Less than or Equal to Threshold")</f>
        <v>Maximum Side Length of a Square with Sum Less than or Equal to Threshold</v>
      </c>
      <c r="C1293" s="20" t="str">
        <f>IFERROR(__xludf.DUMMYFUNCTION("""COMPUTED_VALUE"""),"maximum-side-length-of-a-square-with-sum-less-than-or-equal-to-threshold")</f>
        <v>maximum-side-length-of-a-square-with-sum-less-than-or-equal-to-threshold</v>
      </c>
      <c r="D1293" s="20" t="b">
        <f>IFERROR(__xludf.DUMMYFUNCTION("""COMPUTED_VALUE"""),FALSE)</f>
        <v>0</v>
      </c>
      <c r="E1293" s="20" t="str">
        <f>IFERROR(__xludf.DUMMYFUNCTION("""COMPUTED_VALUE"""),"Medium")</f>
        <v>Medium</v>
      </c>
      <c r="F1293" s="20">
        <f>IFERROR(__xludf.DUMMYFUNCTION("""COMPUTED_VALUE"""),938.0)</f>
        <v>938</v>
      </c>
      <c r="G1293" s="20">
        <f>IFERROR(__xludf.DUMMYFUNCTION("""COMPUTED_VALUE"""),79.0)</f>
        <v>79</v>
      </c>
      <c r="H1293" s="20" t="str">
        <f>IFERROR(__xludf.DUMMYFUNCTION("""COMPUTED_VALUE"""),"Algorithms")</f>
        <v>Algorithms</v>
      </c>
      <c r="I1293" s="20">
        <f>IFERROR(__xludf.DUMMYFUNCTION("""COMPUTED_VALUE"""),0.532)</f>
        <v>0.532</v>
      </c>
      <c r="J1293" s="20">
        <f>IFERROR(__xludf.DUMMYFUNCTION("""COMPUTED_VALUE"""),1292.0)</f>
        <v>1292</v>
      </c>
      <c r="K1293" s="20" t="b">
        <f>IFERROR(__xludf.DUMMYFUNCTION("""COMPUTED_VALUE"""),FALSE)</f>
        <v>0</v>
      </c>
      <c r="L1293" s="20" t="str">
        <f>IFERROR(__xludf.DUMMYFUNCTION("""COMPUTED_VALUE"""),"Array;Binary Search;Matrix;Prefix Sum;")</f>
        <v>Array;Binary Search;Matrix;Prefix Sum;</v>
      </c>
      <c r="M1293" s="20" t="b">
        <f>IFERROR(__xludf.DUMMYFUNCTION("""COMPUTED_VALUE"""),FALSE)</f>
        <v>0</v>
      </c>
      <c r="N1293" s="20" t="b">
        <f>IFERROR(__xludf.DUMMYFUNCTION("""COMPUTED_VALUE"""),FALSE)</f>
        <v>0</v>
      </c>
      <c r="O1293" s="20">
        <f>IFERROR(__xludf.DUMMYFUNCTION("""COMPUTED_VALUE"""),53.2125819916517)</f>
        <v>53.21258199</v>
      </c>
      <c r="P1293" s="20">
        <f>IFERROR(__xludf.DUMMYFUNCTION("""COMPUTED_VALUE"""),28556.0)</f>
        <v>28556</v>
      </c>
      <c r="Q1293" s="20">
        <f>IFERROR(__xludf.DUMMYFUNCTION("""COMPUTED_VALUE"""),53664.0)</f>
        <v>53664</v>
      </c>
    </row>
    <row r="1294">
      <c r="A1294" s="20">
        <f>IFERROR(__xludf.DUMMYFUNCTION("""COMPUTED_VALUE"""),1414.0)</f>
        <v>1414</v>
      </c>
      <c r="B1294" s="20" t="str">
        <f>IFERROR(__xludf.DUMMYFUNCTION("""COMPUTED_VALUE"""),"Shortest Path in a Grid with Obstacles Elimination")</f>
        <v>Shortest Path in a Grid with Obstacles Elimination</v>
      </c>
      <c r="C1294" s="20" t="str">
        <f>IFERROR(__xludf.DUMMYFUNCTION("""COMPUTED_VALUE"""),"shortest-path-in-a-grid-with-obstacles-elimination")</f>
        <v>shortest-path-in-a-grid-with-obstacles-elimination</v>
      </c>
      <c r="D1294" s="20" t="b">
        <f>IFERROR(__xludf.DUMMYFUNCTION("""COMPUTED_VALUE"""),FALSE)</f>
        <v>0</v>
      </c>
      <c r="E1294" s="20" t="str">
        <f>IFERROR(__xludf.DUMMYFUNCTION("""COMPUTED_VALUE"""),"Hard")</f>
        <v>Hard</v>
      </c>
      <c r="F1294" s="20">
        <f>IFERROR(__xludf.DUMMYFUNCTION("""COMPUTED_VALUE"""),3912.0)</f>
        <v>3912</v>
      </c>
      <c r="G1294" s="20">
        <f>IFERROR(__xludf.DUMMYFUNCTION("""COMPUTED_VALUE"""),71.0)</f>
        <v>71</v>
      </c>
      <c r="H1294" s="20" t="str">
        <f>IFERROR(__xludf.DUMMYFUNCTION("""COMPUTED_VALUE"""),"Algorithms")</f>
        <v>Algorithms</v>
      </c>
      <c r="I1294" s="20">
        <f>IFERROR(__xludf.DUMMYFUNCTION("""COMPUTED_VALUE"""),0.456)</f>
        <v>0.456</v>
      </c>
      <c r="J1294" s="20">
        <f>IFERROR(__xludf.DUMMYFUNCTION("""COMPUTED_VALUE"""),1293.0)</f>
        <v>1293</v>
      </c>
      <c r="K1294" s="20" t="b">
        <f>IFERROR(__xludf.DUMMYFUNCTION("""COMPUTED_VALUE"""),FALSE)</f>
        <v>0</v>
      </c>
      <c r="L1294" s="20" t="str">
        <f>IFERROR(__xludf.DUMMYFUNCTION("""COMPUTED_VALUE"""),"Array;Breadth-First Search;Matrix;")</f>
        <v>Array;Breadth-First Search;Matrix;</v>
      </c>
      <c r="M1294" s="20" t="b">
        <f>IFERROR(__xludf.DUMMYFUNCTION("""COMPUTED_VALUE"""),TRUE)</f>
        <v>1</v>
      </c>
      <c r="N1294" s="20" t="b">
        <f>IFERROR(__xludf.DUMMYFUNCTION("""COMPUTED_VALUE"""),FALSE)</f>
        <v>0</v>
      </c>
      <c r="O1294" s="20">
        <f>IFERROR(__xludf.DUMMYFUNCTION("""COMPUTED_VALUE"""),45.5524108226549)</f>
        <v>45.55241082</v>
      </c>
      <c r="P1294" s="20">
        <f>IFERROR(__xludf.DUMMYFUNCTION("""COMPUTED_VALUE"""),169638.0)</f>
        <v>169638</v>
      </c>
      <c r="Q1294" s="20">
        <f>IFERROR(__xludf.DUMMYFUNCTION("""COMPUTED_VALUE"""),372402.0)</f>
        <v>372402</v>
      </c>
    </row>
    <row r="1295">
      <c r="A1295" s="20">
        <f>IFERROR(__xludf.DUMMYFUNCTION("""COMPUTED_VALUE"""),1425.0)</f>
        <v>1425</v>
      </c>
      <c r="B1295" s="20" t="str">
        <f>IFERROR(__xludf.DUMMYFUNCTION("""COMPUTED_VALUE"""),"Weather Type in Each Country")</f>
        <v>Weather Type in Each Country</v>
      </c>
      <c r="C1295" s="20" t="str">
        <f>IFERROR(__xludf.DUMMYFUNCTION("""COMPUTED_VALUE"""),"weather-type-in-each-country")</f>
        <v>weather-type-in-each-country</v>
      </c>
      <c r="D1295" s="20" t="b">
        <f>IFERROR(__xludf.DUMMYFUNCTION("""COMPUTED_VALUE"""),TRUE)</f>
        <v>1</v>
      </c>
      <c r="E1295" s="20" t="str">
        <f>IFERROR(__xludf.DUMMYFUNCTION("""COMPUTED_VALUE"""),"Easy")</f>
        <v>Easy</v>
      </c>
      <c r="F1295" s="20">
        <f>IFERROR(__xludf.DUMMYFUNCTION("""COMPUTED_VALUE"""),115.0)</f>
        <v>115</v>
      </c>
      <c r="G1295" s="20">
        <f>IFERROR(__xludf.DUMMYFUNCTION("""COMPUTED_VALUE"""),24.0)</f>
        <v>24</v>
      </c>
      <c r="H1295" s="20" t="str">
        <f>IFERROR(__xludf.DUMMYFUNCTION("""COMPUTED_VALUE"""),"Database")</f>
        <v>Database</v>
      </c>
      <c r="I1295" s="20">
        <f>IFERROR(__xludf.DUMMYFUNCTION("""COMPUTED_VALUE"""),0.678)</f>
        <v>0.678</v>
      </c>
      <c r="J1295" s="20">
        <f>IFERROR(__xludf.DUMMYFUNCTION("""COMPUTED_VALUE"""),1294.0)</f>
        <v>1294</v>
      </c>
      <c r="K1295" s="20" t="b">
        <f>IFERROR(__xludf.DUMMYFUNCTION("""COMPUTED_VALUE"""),TRUE)</f>
        <v>1</v>
      </c>
      <c r="L1295" s="20" t="str">
        <f>IFERROR(__xludf.DUMMYFUNCTION("""COMPUTED_VALUE"""),"Database;")</f>
        <v>Database;</v>
      </c>
      <c r="M1295" s="20" t="b">
        <f>IFERROR(__xludf.DUMMYFUNCTION("""COMPUTED_VALUE"""),FALSE)</f>
        <v>0</v>
      </c>
      <c r="N1295" s="20" t="b">
        <f>IFERROR(__xludf.DUMMYFUNCTION("""COMPUTED_VALUE"""),FALSE)</f>
        <v>0</v>
      </c>
      <c r="O1295" s="20">
        <f>IFERROR(__xludf.DUMMYFUNCTION("""COMPUTED_VALUE"""),67.7757384326447)</f>
        <v>67.77573843</v>
      </c>
      <c r="P1295" s="20">
        <f>IFERROR(__xludf.DUMMYFUNCTION("""COMPUTED_VALUE"""),31757.0)</f>
        <v>31757</v>
      </c>
      <c r="Q1295" s="20">
        <f>IFERROR(__xludf.DUMMYFUNCTION("""COMPUTED_VALUE"""),46856.0)</f>
        <v>46856</v>
      </c>
    </row>
    <row r="1296">
      <c r="A1296" s="20">
        <f>IFERROR(__xludf.DUMMYFUNCTION("""COMPUTED_VALUE"""),1421.0)</f>
        <v>1421</v>
      </c>
      <c r="B1296" s="20" t="str">
        <f>IFERROR(__xludf.DUMMYFUNCTION("""COMPUTED_VALUE"""),"Find Numbers with Even Number of Digits")</f>
        <v>Find Numbers with Even Number of Digits</v>
      </c>
      <c r="C1296" s="20" t="str">
        <f>IFERROR(__xludf.DUMMYFUNCTION("""COMPUTED_VALUE"""),"find-numbers-with-even-number-of-digits")</f>
        <v>find-numbers-with-even-number-of-digits</v>
      </c>
      <c r="D1296" s="20" t="b">
        <f>IFERROR(__xludf.DUMMYFUNCTION("""COMPUTED_VALUE"""),FALSE)</f>
        <v>0</v>
      </c>
      <c r="E1296" s="20" t="str">
        <f>IFERROR(__xludf.DUMMYFUNCTION("""COMPUTED_VALUE"""),"Easy")</f>
        <v>Easy</v>
      </c>
      <c r="F1296" s="20">
        <f>IFERROR(__xludf.DUMMYFUNCTION("""COMPUTED_VALUE"""),1722.0)</f>
        <v>1722</v>
      </c>
      <c r="G1296" s="20">
        <f>IFERROR(__xludf.DUMMYFUNCTION("""COMPUTED_VALUE"""),106.0)</f>
        <v>106</v>
      </c>
      <c r="H1296" s="20" t="str">
        <f>IFERROR(__xludf.DUMMYFUNCTION("""COMPUTED_VALUE"""),"Algorithms")</f>
        <v>Algorithms</v>
      </c>
      <c r="I1296" s="20">
        <f>IFERROR(__xludf.DUMMYFUNCTION("""COMPUTED_VALUE"""),0.77)</f>
        <v>0.77</v>
      </c>
      <c r="J1296" s="20">
        <f>IFERROR(__xludf.DUMMYFUNCTION("""COMPUTED_VALUE"""),1295.0)</f>
        <v>1295</v>
      </c>
      <c r="K1296" s="20" t="b">
        <f>IFERROR(__xludf.DUMMYFUNCTION("""COMPUTED_VALUE"""),FALSE)</f>
        <v>0</v>
      </c>
      <c r="L1296" s="20" t="str">
        <f>IFERROR(__xludf.DUMMYFUNCTION("""COMPUTED_VALUE"""),"Array;")</f>
        <v>Array;</v>
      </c>
      <c r="M1296" s="20" t="b">
        <f>IFERROR(__xludf.DUMMYFUNCTION("""COMPUTED_VALUE"""),FALSE)</f>
        <v>0</v>
      </c>
      <c r="N1296" s="20" t="b">
        <f>IFERROR(__xludf.DUMMYFUNCTION("""COMPUTED_VALUE"""),FALSE)</f>
        <v>0</v>
      </c>
      <c r="O1296" s="20">
        <f>IFERROR(__xludf.DUMMYFUNCTION("""COMPUTED_VALUE"""),76.9950008289632)</f>
        <v>76.99500083</v>
      </c>
      <c r="P1296" s="20">
        <f>IFERROR(__xludf.DUMMYFUNCTION("""COMPUTED_VALUE"""),515486.0)</f>
        <v>515486</v>
      </c>
      <c r="Q1296" s="20">
        <f>IFERROR(__xludf.DUMMYFUNCTION("""COMPUTED_VALUE"""),669505.0)</f>
        <v>669505</v>
      </c>
    </row>
    <row r="1297">
      <c r="A1297" s="20">
        <f>IFERROR(__xludf.DUMMYFUNCTION("""COMPUTED_VALUE"""),1422.0)</f>
        <v>1422</v>
      </c>
      <c r="B1297" s="20" t="str">
        <f>IFERROR(__xludf.DUMMYFUNCTION("""COMPUTED_VALUE"""),"Divide Array in Sets of K Consecutive Numbers")</f>
        <v>Divide Array in Sets of K Consecutive Numbers</v>
      </c>
      <c r="C1297" s="20" t="str">
        <f>IFERROR(__xludf.DUMMYFUNCTION("""COMPUTED_VALUE"""),"divide-array-in-sets-of-k-consecutive-numbers")</f>
        <v>divide-array-in-sets-of-k-consecutive-numbers</v>
      </c>
      <c r="D1297" s="20" t="b">
        <f>IFERROR(__xludf.DUMMYFUNCTION("""COMPUTED_VALUE"""),FALSE)</f>
        <v>0</v>
      </c>
      <c r="E1297" s="20" t="str">
        <f>IFERROR(__xludf.DUMMYFUNCTION("""COMPUTED_VALUE"""),"Medium")</f>
        <v>Medium</v>
      </c>
      <c r="F1297" s="20">
        <f>IFERROR(__xludf.DUMMYFUNCTION("""COMPUTED_VALUE"""),1382.0)</f>
        <v>1382</v>
      </c>
      <c r="G1297" s="20">
        <f>IFERROR(__xludf.DUMMYFUNCTION("""COMPUTED_VALUE"""),94.0)</f>
        <v>94</v>
      </c>
      <c r="H1297" s="20" t="str">
        <f>IFERROR(__xludf.DUMMYFUNCTION("""COMPUTED_VALUE"""),"Algorithms")</f>
        <v>Algorithms</v>
      </c>
      <c r="I1297" s="20">
        <f>IFERROR(__xludf.DUMMYFUNCTION("""COMPUTED_VALUE"""),0.566)</f>
        <v>0.566</v>
      </c>
      <c r="J1297" s="20">
        <f>IFERROR(__xludf.DUMMYFUNCTION("""COMPUTED_VALUE"""),1296.0)</f>
        <v>1296</v>
      </c>
      <c r="K1297" s="20" t="b">
        <f>IFERROR(__xludf.DUMMYFUNCTION("""COMPUTED_VALUE"""),FALSE)</f>
        <v>0</v>
      </c>
      <c r="L1297" s="20" t="str">
        <f>IFERROR(__xludf.DUMMYFUNCTION("""COMPUTED_VALUE"""),"Array;Hash Table;Greedy;Sorting;")</f>
        <v>Array;Hash Table;Greedy;Sorting;</v>
      </c>
      <c r="M1297" s="20" t="b">
        <f>IFERROR(__xludf.DUMMYFUNCTION("""COMPUTED_VALUE"""),FALSE)</f>
        <v>0</v>
      </c>
      <c r="N1297" s="20" t="b">
        <f>IFERROR(__xludf.DUMMYFUNCTION("""COMPUTED_VALUE"""),FALSE)</f>
        <v>0</v>
      </c>
      <c r="O1297" s="20">
        <f>IFERROR(__xludf.DUMMYFUNCTION("""COMPUTED_VALUE"""),56.6313956163123)</f>
        <v>56.63139562</v>
      </c>
      <c r="P1297" s="20">
        <f>IFERROR(__xludf.DUMMYFUNCTION("""COMPUTED_VALUE"""),68934.0)</f>
        <v>68934</v>
      </c>
      <c r="Q1297" s="20">
        <f>IFERROR(__xludf.DUMMYFUNCTION("""COMPUTED_VALUE"""),121724.0)</f>
        <v>121724</v>
      </c>
    </row>
    <row r="1298">
      <c r="A1298" s="20">
        <f>IFERROR(__xludf.DUMMYFUNCTION("""COMPUTED_VALUE"""),1423.0)</f>
        <v>1423</v>
      </c>
      <c r="B1298" s="20" t="str">
        <f>IFERROR(__xludf.DUMMYFUNCTION("""COMPUTED_VALUE"""),"Maximum Number of Occurrences of a Substring")</f>
        <v>Maximum Number of Occurrences of a Substring</v>
      </c>
      <c r="C1298" s="20" t="str">
        <f>IFERROR(__xludf.DUMMYFUNCTION("""COMPUTED_VALUE"""),"maximum-number-of-occurrences-of-a-substring")</f>
        <v>maximum-number-of-occurrences-of-a-substring</v>
      </c>
      <c r="D1298" s="20" t="b">
        <f>IFERROR(__xludf.DUMMYFUNCTION("""COMPUTED_VALUE"""),FALSE)</f>
        <v>0</v>
      </c>
      <c r="E1298" s="20" t="str">
        <f>IFERROR(__xludf.DUMMYFUNCTION("""COMPUTED_VALUE"""),"Medium")</f>
        <v>Medium</v>
      </c>
      <c r="F1298" s="20">
        <f>IFERROR(__xludf.DUMMYFUNCTION("""COMPUTED_VALUE"""),784.0)</f>
        <v>784</v>
      </c>
      <c r="G1298" s="20">
        <f>IFERROR(__xludf.DUMMYFUNCTION("""COMPUTED_VALUE"""),339.0)</f>
        <v>339</v>
      </c>
      <c r="H1298" s="20" t="str">
        <f>IFERROR(__xludf.DUMMYFUNCTION("""COMPUTED_VALUE"""),"Algorithms")</f>
        <v>Algorithms</v>
      </c>
      <c r="I1298" s="20">
        <f>IFERROR(__xludf.DUMMYFUNCTION("""COMPUTED_VALUE"""),0.52)</f>
        <v>0.52</v>
      </c>
      <c r="J1298" s="20">
        <f>IFERROR(__xludf.DUMMYFUNCTION("""COMPUTED_VALUE"""),1297.0)</f>
        <v>1297</v>
      </c>
      <c r="K1298" s="20" t="b">
        <f>IFERROR(__xludf.DUMMYFUNCTION("""COMPUTED_VALUE"""),FALSE)</f>
        <v>0</v>
      </c>
      <c r="L1298" s="20" t="str">
        <f>IFERROR(__xludf.DUMMYFUNCTION("""COMPUTED_VALUE"""),"Hash Table;String;Sliding Window;")</f>
        <v>Hash Table;String;Sliding Window;</v>
      </c>
      <c r="M1298" s="20" t="b">
        <f>IFERROR(__xludf.DUMMYFUNCTION("""COMPUTED_VALUE"""),FALSE)</f>
        <v>0</v>
      </c>
      <c r="N1298" s="20" t="b">
        <f>IFERROR(__xludf.DUMMYFUNCTION("""COMPUTED_VALUE"""),FALSE)</f>
        <v>0</v>
      </c>
      <c r="O1298" s="20">
        <f>IFERROR(__xludf.DUMMYFUNCTION("""COMPUTED_VALUE"""),52.0330215229569)</f>
        <v>52.03302152</v>
      </c>
      <c r="P1298" s="20">
        <f>IFERROR(__xludf.DUMMYFUNCTION("""COMPUTED_VALUE"""),38826.0)</f>
        <v>38826</v>
      </c>
      <c r="Q1298" s="20">
        <f>IFERROR(__xludf.DUMMYFUNCTION("""COMPUTED_VALUE"""),74618.0)</f>
        <v>74618</v>
      </c>
    </row>
    <row r="1299">
      <c r="A1299" s="20">
        <f>IFERROR(__xludf.DUMMYFUNCTION("""COMPUTED_VALUE"""),1424.0)</f>
        <v>1424</v>
      </c>
      <c r="B1299" s="20" t="str">
        <f>IFERROR(__xludf.DUMMYFUNCTION("""COMPUTED_VALUE"""),"Maximum Candies You Can Get from Boxes")</f>
        <v>Maximum Candies You Can Get from Boxes</v>
      </c>
      <c r="C1299" s="20" t="str">
        <f>IFERROR(__xludf.DUMMYFUNCTION("""COMPUTED_VALUE"""),"maximum-candies-you-can-get-from-boxes")</f>
        <v>maximum-candies-you-can-get-from-boxes</v>
      </c>
      <c r="D1299" s="20" t="b">
        <f>IFERROR(__xludf.DUMMYFUNCTION("""COMPUTED_VALUE"""),FALSE)</f>
        <v>0</v>
      </c>
      <c r="E1299" s="20" t="str">
        <f>IFERROR(__xludf.DUMMYFUNCTION("""COMPUTED_VALUE"""),"Hard")</f>
        <v>Hard</v>
      </c>
      <c r="F1299" s="20">
        <f>IFERROR(__xludf.DUMMYFUNCTION("""COMPUTED_VALUE"""),234.0)</f>
        <v>234</v>
      </c>
      <c r="G1299" s="20">
        <f>IFERROR(__xludf.DUMMYFUNCTION("""COMPUTED_VALUE"""),125.0)</f>
        <v>125</v>
      </c>
      <c r="H1299" s="20" t="str">
        <f>IFERROR(__xludf.DUMMYFUNCTION("""COMPUTED_VALUE"""),"Algorithms")</f>
        <v>Algorithms</v>
      </c>
      <c r="I1299" s="20">
        <f>IFERROR(__xludf.DUMMYFUNCTION("""COMPUTED_VALUE"""),0.606)</f>
        <v>0.606</v>
      </c>
      <c r="J1299" s="20">
        <f>IFERROR(__xludf.DUMMYFUNCTION("""COMPUTED_VALUE"""),1298.0)</f>
        <v>1298</v>
      </c>
      <c r="K1299" s="20" t="b">
        <f>IFERROR(__xludf.DUMMYFUNCTION("""COMPUTED_VALUE"""),FALSE)</f>
        <v>0</v>
      </c>
      <c r="L1299" s="20" t="str">
        <f>IFERROR(__xludf.DUMMYFUNCTION("""COMPUTED_VALUE"""),"Array;Breadth-First Search;Graph;")</f>
        <v>Array;Breadth-First Search;Graph;</v>
      </c>
      <c r="M1299" s="20" t="b">
        <f>IFERROR(__xludf.DUMMYFUNCTION("""COMPUTED_VALUE"""),FALSE)</f>
        <v>0</v>
      </c>
      <c r="N1299" s="20" t="b">
        <f>IFERROR(__xludf.DUMMYFUNCTION("""COMPUTED_VALUE"""),FALSE)</f>
        <v>0</v>
      </c>
      <c r="O1299" s="20">
        <f>IFERROR(__xludf.DUMMYFUNCTION("""COMPUTED_VALUE"""),60.6186495820611)</f>
        <v>60.61864958</v>
      </c>
      <c r="P1299" s="20">
        <f>IFERROR(__xludf.DUMMYFUNCTION("""COMPUTED_VALUE"""),12111.0)</f>
        <v>12111</v>
      </c>
      <c r="Q1299" s="20">
        <f>IFERROR(__xludf.DUMMYFUNCTION("""COMPUTED_VALUE"""),19979.0)</f>
        <v>19979</v>
      </c>
    </row>
    <row r="1300">
      <c r="A1300" s="20">
        <f>IFERROR(__xludf.DUMMYFUNCTION("""COMPUTED_VALUE"""),1231.0)</f>
        <v>1231</v>
      </c>
      <c r="B1300" s="20" t="str">
        <f>IFERROR(__xludf.DUMMYFUNCTION("""COMPUTED_VALUE"""),"Replace Elements with Greatest Element on Right Side")</f>
        <v>Replace Elements with Greatest Element on Right Side</v>
      </c>
      <c r="C1300" s="20" t="str">
        <f>IFERROR(__xludf.DUMMYFUNCTION("""COMPUTED_VALUE"""),"replace-elements-with-greatest-element-on-right-side")</f>
        <v>replace-elements-with-greatest-element-on-right-side</v>
      </c>
      <c r="D1300" s="20" t="b">
        <f>IFERROR(__xludf.DUMMYFUNCTION("""COMPUTED_VALUE"""),FALSE)</f>
        <v>0</v>
      </c>
      <c r="E1300" s="20" t="str">
        <f>IFERROR(__xludf.DUMMYFUNCTION("""COMPUTED_VALUE"""),"Easy")</f>
        <v>Easy</v>
      </c>
      <c r="F1300" s="20">
        <f>IFERROR(__xludf.DUMMYFUNCTION("""COMPUTED_VALUE"""),1734.0)</f>
        <v>1734</v>
      </c>
      <c r="G1300" s="20">
        <f>IFERROR(__xludf.DUMMYFUNCTION("""COMPUTED_VALUE"""),180.0)</f>
        <v>180</v>
      </c>
      <c r="H1300" s="20" t="str">
        <f>IFERROR(__xludf.DUMMYFUNCTION("""COMPUTED_VALUE"""),"Algorithms")</f>
        <v>Algorithms</v>
      </c>
      <c r="I1300" s="20">
        <f>IFERROR(__xludf.DUMMYFUNCTION("""COMPUTED_VALUE"""),0.744)</f>
        <v>0.744</v>
      </c>
      <c r="J1300" s="20">
        <f>IFERROR(__xludf.DUMMYFUNCTION("""COMPUTED_VALUE"""),1299.0)</f>
        <v>1299</v>
      </c>
      <c r="K1300" s="20" t="b">
        <f>IFERROR(__xludf.DUMMYFUNCTION("""COMPUTED_VALUE"""),FALSE)</f>
        <v>0</v>
      </c>
      <c r="L1300" s="20" t="str">
        <f>IFERROR(__xludf.DUMMYFUNCTION("""COMPUTED_VALUE"""),"Array;")</f>
        <v>Array;</v>
      </c>
      <c r="M1300" s="20" t="b">
        <f>IFERROR(__xludf.DUMMYFUNCTION("""COMPUTED_VALUE"""),FALSE)</f>
        <v>0</v>
      </c>
      <c r="N1300" s="20" t="b">
        <f>IFERROR(__xludf.DUMMYFUNCTION("""COMPUTED_VALUE"""),FALSE)</f>
        <v>0</v>
      </c>
      <c r="O1300" s="20">
        <f>IFERROR(__xludf.DUMMYFUNCTION("""COMPUTED_VALUE"""),74.4345655458416)</f>
        <v>74.43456555</v>
      </c>
      <c r="P1300" s="20">
        <f>IFERROR(__xludf.DUMMYFUNCTION("""COMPUTED_VALUE"""),260613.0)</f>
        <v>260613</v>
      </c>
      <c r="Q1300" s="20">
        <f>IFERROR(__xludf.DUMMYFUNCTION("""COMPUTED_VALUE"""),350123.0)</f>
        <v>350123</v>
      </c>
    </row>
    <row r="1301">
      <c r="A1301" s="20">
        <f>IFERROR(__xludf.DUMMYFUNCTION("""COMPUTED_VALUE"""),1232.0)</f>
        <v>1232</v>
      </c>
      <c r="B1301" s="20" t="str">
        <f>IFERROR(__xludf.DUMMYFUNCTION("""COMPUTED_VALUE"""),"Sum of Mutated Array Closest to Target")</f>
        <v>Sum of Mutated Array Closest to Target</v>
      </c>
      <c r="C1301" s="20" t="str">
        <f>IFERROR(__xludf.DUMMYFUNCTION("""COMPUTED_VALUE"""),"sum-of-mutated-array-closest-to-target")</f>
        <v>sum-of-mutated-array-closest-to-target</v>
      </c>
      <c r="D1301" s="20" t="b">
        <f>IFERROR(__xludf.DUMMYFUNCTION("""COMPUTED_VALUE"""),FALSE)</f>
        <v>0</v>
      </c>
      <c r="E1301" s="20" t="str">
        <f>IFERROR(__xludf.DUMMYFUNCTION("""COMPUTED_VALUE"""),"Medium")</f>
        <v>Medium</v>
      </c>
      <c r="F1301" s="20">
        <f>IFERROR(__xludf.DUMMYFUNCTION("""COMPUTED_VALUE"""),925.0)</f>
        <v>925</v>
      </c>
      <c r="G1301" s="20">
        <f>IFERROR(__xludf.DUMMYFUNCTION("""COMPUTED_VALUE"""),124.0)</f>
        <v>124</v>
      </c>
      <c r="H1301" s="20" t="str">
        <f>IFERROR(__xludf.DUMMYFUNCTION("""COMPUTED_VALUE"""),"Algorithms")</f>
        <v>Algorithms</v>
      </c>
      <c r="I1301" s="20">
        <f>IFERROR(__xludf.DUMMYFUNCTION("""COMPUTED_VALUE"""),0.432)</f>
        <v>0.432</v>
      </c>
      <c r="J1301" s="20">
        <f>IFERROR(__xludf.DUMMYFUNCTION("""COMPUTED_VALUE"""),1300.0)</f>
        <v>1300</v>
      </c>
      <c r="K1301" s="20" t="b">
        <f>IFERROR(__xludf.DUMMYFUNCTION("""COMPUTED_VALUE"""),FALSE)</f>
        <v>0</v>
      </c>
      <c r="L1301" s="20" t="str">
        <f>IFERROR(__xludf.DUMMYFUNCTION("""COMPUTED_VALUE"""),"Array;Binary Search;Sorting;")</f>
        <v>Array;Binary Search;Sorting;</v>
      </c>
      <c r="M1301" s="20" t="b">
        <f>IFERROR(__xludf.DUMMYFUNCTION("""COMPUTED_VALUE"""),FALSE)</f>
        <v>0</v>
      </c>
      <c r="N1301" s="20" t="b">
        <f>IFERROR(__xludf.DUMMYFUNCTION("""COMPUTED_VALUE"""),FALSE)</f>
        <v>0</v>
      </c>
      <c r="O1301" s="20">
        <f>IFERROR(__xludf.DUMMYFUNCTION("""COMPUTED_VALUE"""),43.1779732701742)</f>
        <v>43.17797327</v>
      </c>
      <c r="P1301" s="20">
        <f>IFERROR(__xludf.DUMMYFUNCTION("""COMPUTED_VALUE"""),30627.0)</f>
        <v>30627</v>
      </c>
      <c r="Q1301" s="20">
        <f>IFERROR(__xludf.DUMMYFUNCTION("""COMPUTED_VALUE"""),70932.0)</f>
        <v>70932</v>
      </c>
    </row>
    <row r="1302">
      <c r="A1302" s="20">
        <f>IFERROR(__xludf.DUMMYFUNCTION("""COMPUTED_VALUE"""),1234.0)</f>
        <v>1234</v>
      </c>
      <c r="B1302" s="20" t="str">
        <f>IFERROR(__xludf.DUMMYFUNCTION("""COMPUTED_VALUE"""),"Number of Paths with Max Score")</f>
        <v>Number of Paths with Max Score</v>
      </c>
      <c r="C1302" s="20" t="str">
        <f>IFERROR(__xludf.DUMMYFUNCTION("""COMPUTED_VALUE"""),"number-of-paths-with-max-score")</f>
        <v>number-of-paths-with-max-score</v>
      </c>
      <c r="D1302" s="20" t="b">
        <f>IFERROR(__xludf.DUMMYFUNCTION("""COMPUTED_VALUE"""),FALSE)</f>
        <v>0</v>
      </c>
      <c r="E1302" s="20" t="str">
        <f>IFERROR(__xludf.DUMMYFUNCTION("""COMPUTED_VALUE"""),"Hard")</f>
        <v>Hard</v>
      </c>
      <c r="F1302" s="20">
        <f>IFERROR(__xludf.DUMMYFUNCTION("""COMPUTED_VALUE"""),411.0)</f>
        <v>411</v>
      </c>
      <c r="G1302" s="20">
        <f>IFERROR(__xludf.DUMMYFUNCTION("""COMPUTED_VALUE"""),22.0)</f>
        <v>22</v>
      </c>
      <c r="H1302" s="20" t="str">
        <f>IFERROR(__xludf.DUMMYFUNCTION("""COMPUTED_VALUE"""),"Algorithms")</f>
        <v>Algorithms</v>
      </c>
      <c r="I1302" s="20">
        <f>IFERROR(__xludf.DUMMYFUNCTION("""COMPUTED_VALUE"""),0.387)</f>
        <v>0.387</v>
      </c>
      <c r="J1302" s="20">
        <f>IFERROR(__xludf.DUMMYFUNCTION("""COMPUTED_VALUE"""),1301.0)</f>
        <v>1301</v>
      </c>
      <c r="K1302" s="20" t="b">
        <f>IFERROR(__xludf.DUMMYFUNCTION("""COMPUTED_VALUE"""),FALSE)</f>
        <v>0</v>
      </c>
      <c r="L1302" s="20" t="str">
        <f>IFERROR(__xludf.DUMMYFUNCTION("""COMPUTED_VALUE"""),"Array;Dynamic Programming;Matrix;")</f>
        <v>Array;Dynamic Programming;Matrix;</v>
      </c>
      <c r="M1302" s="20" t="b">
        <f>IFERROR(__xludf.DUMMYFUNCTION("""COMPUTED_VALUE"""),FALSE)</f>
        <v>0</v>
      </c>
      <c r="N1302" s="20" t="b">
        <f>IFERROR(__xludf.DUMMYFUNCTION("""COMPUTED_VALUE"""),FALSE)</f>
        <v>0</v>
      </c>
      <c r="O1302" s="20">
        <f>IFERROR(__xludf.DUMMYFUNCTION("""COMPUTED_VALUE"""),38.7245233399079)</f>
        <v>38.72452334</v>
      </c>
      <c r="P1302" s="20">
        <f>IFERROR(__xludf.DUMMYFUNCTION("""COMPUTED_VALUE"""),10602.0)</f>
        <v>10602</v>
      </c>
      <c r="Q1302" s="20">
        <f>IFERROR(__xludf.DUMMYFUNCTION("""COMPUTED_VALUE"""),27378.0)</f>
        <v>27378</v>
      </c>
    </row>
    <row r="1303">
      <c r="A1303" s="20">
        <f>IFERROR(__xludf.DUMMYFUNCTION("""COMPUTED_VALUE"""),1254.0)</f>
        <v>1254</v>
      </c>
      <c r="B1303" s="20" t="str">
        <f>IFERROR(__xludf.DUMMYFUNCTION("""COMPUTED_VALUE"""),"Deepest Leaves Sum")</f>
        <v>Deepest Leaves Sum</v>
      </c>
      <c r="C1303" s="20" t="str">
        <f>IFERROR(__xludf.DUMMYFUNCTION("""COMPUTED_VALUE"""),"deepest-leaves-sum")</f>
        <v>deepest-leaves-sum</v>
      </c>
      <c r="D1303" s="20" t="b">
        <f>IFERROR(__xludf.DUMMYFUNCTION("""COMPUTED_VALUE"""),FALSE)</f>
        <v>0</v>
      </c>
      <c r="E1303" s="20" t="str">
        <f>IFERROR(__xludf.DUMMYFUNCTION("""COMPUTED_VALUE"""),"Medium")</f>
        <v>Medium</v>
      </c>
      <c r="F1303" s="20">
        <f>IFERROR(__xludf.DUMMYFUNCTION("""COMPUTED_VALUE"""),3928.0)</f>
        <v>3928</v>
      </c>
      <c r="G1303" s="20">
        <f>IFERROR(__xludf.DUMMYFUNCTION("""COMPUTED_VALUE"""),104.0)</f>
        <v>104</v>
      </c>
      <c r="H1303" s="20" t="str">
        <f>IFERROR(__xludf.DUMMYFUNCTION("""COMPUTED_VALUE"""),"Algorithms")</f>
        <v>Algorithms</v>
      </c>
      <c r="I1303" s="20">
        <f>IFERROR(__xludf.DUMMYFUNCTION("""COMPUTED_VALUE"""),0.868)</f>
        <v>0.868</v>
      </c>
      <c r="J1303" s="20">
        <f>IFERROR(__xludf.DUMMYFUNCTION("""COMPUTED_VALUE"""),1302.0)</f>
        <v>1302</v>
      </c>
      <c r="K1303" s="20" t="b">
        <f>IFERROR(__xludf.DUMMYFUNCTION("""COMPUTED_VALUE"""),FALSE)</f>
        <v>0</v>
      </c>
      <c r="L1303" s="20" t="str">
        <f>IFERROR(__xludf.DUMMYFUNCTION("""COMPUTED_VALUE"""),"Tree;Depth-First Search;Breadth-First Search;Binary Tree;")</f>
        <v>Tree;Depth-First Search;Breadth-First Search;Binary Tree;</v>
      </c>
      <c r="M1303" s="20" t="b">
        <f>IFERROR(__xludf.DUMMYFUNCTION("""COMPUTED_VALUE"""),TRUE)</f>
        <v>1</v>
      </c>
      <c r="N1303" s="20" t="b">
        <f>IFERROR(__xludf.DUMMYFUNCTION("""COMPUTED_VALUE"""),FALSE)</f>
        <v>0</v>
      </c>
      <c r="O1303" s="20">
        <f>IFERROR(__xludf.DUMMYFUNCTION("""COMPUTED_VALUE"""),86.8115362185181)</f>
        <v>86.81153622</v>
      </c>
      <c r="P1303" s="20">
        <f>IFERROR(__xludf.DUMMYFUNCTION("""COMPUTED_VALUE"""),256034.0)</f>
        <v>256034</v>
      </c>
      <c r="Q1303" s="20">
        <f>IFERROR(__xludf.DUMMYFUNCTION("""COMPUTED_VALUE"""),294930.0)</f>
        <v>294930</v>
      </c>
    </row>
    <row r="1304">
      <c r="A1304" s="20">
        <f>IFERROR(__xludf.DUMMYFUNCTION("""COMPUTED_VALUE"""),1438.0)</f>
        <v>1438</v>
      </c>
      <c r="B1304" s="20" t="str">
        <f>IFERROR(__xludf.DUMMYFUNCTION("""COMPUTED_VALUE"""),"Find the Team Size")</f>
        <v>Find the Team Size</v>
      </c>
      <c r="C1304" s="20" t="str">
        <f>IFERROR(__xludf.DUMMYFUNCTION("""COMPUTED_VALUE"""),"find-the-team-size")</f>
        <v>find-the-team-size</v>
      </c>
      <c r="D1304" s="20" t="b">
        <f>IFERROR(__xludf.DUMMYFUNCTION("""COMPUTED_VALUE"""),TRUE)</f>
        <v>1</v>
      </c>
      <c r="E1304" s="20" t="str">
        <f>IFERROR(__xludf.DUMMYFUNCTION("""COMPUTED_VALUE"""),"Easy")</f>
        <v>Easy</v>
      </c>
      <c r="F1304" s="20">
        <f>IFERROR(__xludf.DUMMYFUNCTION("""COMPUTED_VALUE"""),278.0)</f>
        <v>278</v>
      </c>
      <c r="G1304" s="20">
        <f>IFERROR(__xludf.DUMMYFUNCTION("""COMPUTED_VALUE"""),15.0)</f>
        <v>15</v>
      </c>
      <c r="H1304" s="20" t="str">
        <f>IFERROR(__xludf.DUMMYFUNCTION("""COMPUTED_VALUE"""),"Database")</f>
        <v>Database</v>
      </c>
      <c r="I1304" s="20">
        <f>IFERROR(__xludf.DUMMYFUNCTION("""COMPUTED_VALUE"""),0.907)</f>
        <v>0.907</v>
      </c>
      <c r="J1304" s="20">
        <f>IFERROR(__xludf.DUMMYFUNCTION("""COMPUTED_VALUE"""),1303.0)</f>
        <v>1303</v>
      </c>
      <c r="K1304" s="20" t="b">
        <f>IFERROR(__xludf.DUMMYFUNCTION("""COMPUTED_VALUE"""),TRUE)</f>
        <v>1</v>
      </c>
      <c r="L1304" s="20" t="str">
        <f>IFERROR(__xludf.DUMMYFUNCTION("""COMPUTED_VALUE"""),"Database;")</f>
        <v>Database;</v>
      </c>
      <c r="M1304" s="20" t="b">
        <f>IFERROR(__xludf.DUMMYFUNCTION("""COMPUTED_VALUE"""),FALSE)</f>
        <v>0</v>
      </c>
      <c r="N1304" s="20" t="b">
        <f>IFERROR(__xludf.DUMMYFUNCTION("""COMPUTED_VALUE"""),FALSE)</f>
        <v>0</v>
      </c>
      <c r="O1304" s="20">
        <f>IFERROR(__xludf.DUMMYFUNCTION("""COMPUTED_VALUE"""),90.7175154295521)</f>
        <v>90.71751543</v>
      </c>
      <c r="P1304" s="20">
        <f>IFERROR(__xludf.DUMMYFUNCTION("""COMPUTED_VALUE"""),54973.0)</f>
        <v>54973</v>
      </c>
      <c r="Q1304" s="20">
        <f>IFERROR(__xludf.DUMMYFUNCTION("""COMPUTED_VALUE"""),60598.0)</f>
        <v>60598</v>
      </c>
    </row>
    <row r="1305">
      <c r="A1305" s="20">
        <f>IFERROR(__xludf.DUMMYFUNCTION("""COMPUTED_VALUE"""),1426.0)</f>
        <v>1426</v>
      </c>
      <c r="B1305" s="20" t="str">
        <f>IFERROR(__xludf.DUMMYFUNCTION("""COMPUTED_VALUE"""),"Find N Unique Integers Sum up to Zero")</f>
        <v>Find N Unique Integers Sum up to Zero</v>
      </c>
      <c r="C1305" s="20" t="str">
        <f>IFERROR(__xludf.DUMMYFUNCTION("""COMPUTED_VALUE"""),"find-n-unique-integers-sum-up-to-zero")</f>
        <v>find-n-unique-integers-sum-up-to-zero</v>
      </c>
      <c r="D1305" s="20" t="b">
        <f>IFERROR(__xludf.DUMMYFUNCTION("""COMPUTED_VALUE"""),FALSE)</f>
        <v>0</v>
      </c>
      <c r="E1305" s="20" t="str">
        <f>IFERROR(__xludf.DUMMYFUNCTION("""COMPUTED_VALUE"""),"Easy")</f>
        <v>Easy</v>
      </c>
      <c r="F1305" s="20">
        <f>IFERROR(__xludf.DUMMYFUNCTION("""COMPUTED_VALUE"""),1506.0)</f>
        <v>1506</v>
      </c>
      <c r="G1305" s="20">
        <f>IFERROR(__xludf.DUMMYFUNCTION("""COMPUTED_VALUE"""),532.0)</f>
        <v>532</v>
      </c>
      <c r="H1305" s="20" t="str">
        <f>IFERROR(__xludf.DUMMYFUNCTION("""COMPUTED_VALUE"""),"Algorithms")</f>
        <v>Algorithms</v>
      </c>
      <c r="I1305" s="20">
        <f>IFERROR(__xludf.DUMMYFUNCTION("""COMPUTED_VALUE"""),0.771)</f>
        <v>0.771</v>
      </c>
      <c r="J1305" s="20">
        <f>IFERROR(__xludf.DUMMYFUNCTION("""COMPUTED_VALUE"""),1304.0)</f>
        <v>1304</v>
      </c>
      <c r="K1305" s="20" t="b">
        <f>IFERROR(__xludf.DUMMYFUNCTION("""COMPUTED_VALUE"""),FALSE)</f>
        <v>0</v>
      </c>
      <c r="L1305" s="20" t="str">
        <f>IFERROR(__xludf.DUMMYFUNCTION("""COMPUTED_VALUE"""),"Array;Math;")</f>
        <v>Array;Math;</v>
      </c>
      <c r="M1305" s="20" t="b">
        <f>IFERROR(__xludf.DUMMYFUNCTION("""COMPUTED_VALUE"""),FALSE)</f>
        <v>0</v>
      </c>
      <c r="N1305" s="20" t="b">
        <f>IFERROR(__xludf.DUMMYFUNCTION("""COMPUTED_VALUE"""),FALSE)</f>
        <v>0</v>
      </c>
      <c r="O1305" s="20">
        <f>IFERROR(__xludf.DUMMYFUNCTION("""COMPUTED_VALUE"""),77.1394304995547)</f>
        <v>77.1394305</v>
      </c>
      <c r="P1305" s="20">
        <f>IFERROR(__xludf.DUMMYFUNCTION("""COMPUTED_VALUE"""),172371.0)</f>
        <v>172371</v>
      </c>
      <c r="Q1305" s="20">
        <f>IFERROR(__xludf.DUMMYFUNCTION("""COMPUTED_VALUE"""),223455.0)</f>
        <v>223455</v>
      </c>
    </row>
    <row r="1306">
      <c r="A1306" s="20">
        <f>IFERROR(__xludf.DUMMYFUNCTION("""COMPUTED_VALUE"""),1427.0)</f>
        <v>1427</v>
      </c>
      <c r="B1306" s="20" t="str">
        <f>IFERROR(__xludf.DUMMYFUNCTION("""COMPUTED_VALUE"""),"All Elements in Two Binary Search Trees")</f>
        <v>All Elements in Two Binary Search Trees</v>
      </c>
      <c r="C1306" s="20" t="str">
        <f>IFERROR(__xludf.DUMMYFUNCTION("""COMPUTED_VALUE"""),"all-elements-in-two-binary-search-trees")</f>
        <v>all-elements-in-two-binary-search-trees</v>
      </c>
      <c r="D1306" s="20" t="b">
        <f>IFERROR(__xludf.DUMMYFUNCTION("""COMPUTED_VALUE"""),FALSE)</f>
        <v>0</v>
      </c>
      <c r="E1306" s="20" t="str">
        <f>IFERROR(__xludf.DUMMYFUNCTION("""COMPUTED_VALUE"""),"Medium")</f>
        <v>Medium</v>
      </c>
      <c r="F1306" s="20">
        <f>IFERROR(__xludf.DUMMYFUNCTION("""COMPUTED_VALUE"""),2597.0)</f>
        <v>2597</v>
      </c>
      <c r="G1306" s="20">
        <f>IFERROR(__xludf.DUMMYFUNCTION("""COMPUTED_VALUE"""),76.0)</f>
        <v>76</v>
      </c>
      <c r="H1306" s="20" t="str">
        <f>IFERROR(__xludf.DUMMYFUNCTION("""COMPUTED_VALUE"""),"Algorithms")</f>
        <v>Algorithms</v>
      </c>
      <c r="I1306" s="20">
        <f>IFERROR(__xludf.DUMMYFUNCTION("""COMPUTED_VALUE"""),0.798)</f>
        <v>0.798</v>
      </c>
      <c r="J1306" s="20">
        <f>IFERROR(__xludf.DUMMYFUNCTION("""COMPUTED_VALUE"""),1305.0)</f>
        <v>1305</v>
      </c>
      <c r="K1306" s="20" t="b">
        <f>IFERROR(__xludf.DUMMYFUNCTION("""COMPUTED_VALUE"""),FALSE)</f>
        <v>0</v>
      </c>
      <c r="L1306" s="20" t="str">
        <f>IFERROR(__xludf.DUMMYFUNCTION("""COMPUTED_VALUE"""),"Tree;Depth-First Search;Binary Search Tree;Sorting;Binary Tree;")</f>
        <v>Tree;Depth-First Search;Binary Search Tree;Sorting;Binary Tree;</v>
      </c>
      <c r="M1306" s="20" t="b">
        <f>IFERROR(__xludf.DUMMYFUNCTION("""COMPUTED_VALUE"""),TRUE)</f>
        <v>1</v>
      </c>
      <c r="N1306" s="20" t="b">
        <f>IFERROR(__xludf.DUMMYFUNCTION("""COMPUTED_VALUE"""),FALSE)</f>
        <v>0</v>
      </c>
      <c r="O1306" s="20">
        <f>IFERROR(__xludf.DUMMYFUNCTION("""COMPUTED_VALUE"""),79.8017183817319)</f>
        <v>79.80171838</v>
      </c>
      <c r="P1306" s="20">
        <f>IFERROR(__xludf.DUMMYFUNCTION("""COMPUTED_VALUE"""),180463.0)</f>
        <v>180463</v>
      </c>
      <c r="Q1306" s="20">
        <f>IFERROR(__xludf.DUMMYFUNCTION("""COMPUTED_VALUE"""),226139.0)</f>
        <v>226139</v>
      </c>
    </row>
    <row r="1307">
      <c r="A1307" s="20">
        <f>IFERROR(__xludf.DUMMYFUNCTION("""COMPUTED_VALUE"""),1428.0)</f>
        <v>1428</v>
      </c>
      <c r="B1307" s="20" t="str">
        <f>IFERROR(__xludf.DUMMYFUNCTION("""COMPUTED_VALUE"""),"Jump Game III")</f>
        <v>Jump Game III</v>
      </c>
      <c r="C1307" s="20" t="str">
        <f>IFERROR(__xludf.DUMMYFUNCTION("""COMPUTED_VALUE"""),"jump-game-iii")</f>
        <v>jump-game-iii</v>
      </c>
      <c r="D1307" s="20" t="b">
        <f>IFERROR(__xludf.DUMMYFUNCTION("""COMPUTED_VALUE"""),FALSE)</f>
        <v>0</v>
      </c>
      <c r="E1307" s="20" t="str">
        <f>IFERROR(__xludf.DUMMYFUNCTION("""COMPUTED_VALUE"""),"Medium")</f>
        <v>Medium</v>
      </c>
      <c r="F1307" s="20">
        <f>IFERROR(__xludf.DUMMYFUNCTION("""COMPUTED_VALUE"""),3336.0)</f>
        <v>3336</v>
      </c>
      <c r="G1307" s="20">
        <f>IFERROR(__xludf.DUMMYFUNCTION("""COMPUTED_VALUE"""),81.0)</f>
        <v>81</v>
      </c>
      <c r="H1307" s="20" t="str">
        <f>IFERROR(__xludf.DUMMYFUNCTION("""COMPUTED_VALUE"""),"Algorithms")</f>
        <v>Algorithms</v>
      </c>
      <c r="I1307" s="20">
        <f>IFERROR(__xludf.DUMMYFUNCTION("""COMPUTED_VALUE"""),0.632)</f>
        <v>0.632</v>
      </c>
      <c r="J1307" s="20">
        <f>IFERROR(__xludf.DUMMYFUNCTION("""COMPUTED_VALUE"""),1306.0)</f>
        <v>1306</v>
      </c>
      <c r="K1307" s="20" t="b">
        <f>IFERROR(__xludf.DUMMYFUNCTION("""COMPUTED_VALUE"""),FALSE)</f>
        <v>0</v>
      </c>
      <c r="L1307" s="20" t="str">
        <f>IFERROR(__xludf.DUMMYFUNCTION("""COMPUTED_VALUE"""),"Array;Depth-First Search;Breadth-First Search;")</f>
        <v>Array;Depth-First Search;Breadth-First Search;</v>
      </c>
      <c r="M1307" s="20" t="b">
        <f>IFERROR(__xludf.DUMMYFUNCTION("""COMPUTED_VALUE"""),TRUE)</f>
        <v>1</v>
      </c>
      <c r="N1307" s="20" t="b">
        <f>IFERROR(__xludf.DUMMYFUNCTION("""COMPUTED_VALUE"""),TRUE)</f>
        <v>1</v>
      </c>
      <c r="O1307" s="20">
        <f>IFERROR(__xludf.DUMMYFUNCTION("""COMPUTED_VALUE"""),63.1634332001374)</f>
        <v>63.1634332</v>
      </c>
      <c r="P1307" s="20">
        <f>IFERROR(__xludf.DUMMYFUNCTION("""COMPUTED_VALUE"""),174667.0)</f>
        <v>174667</v>
      </c>
      <c r="Q1307" s="20">
        <f>IFERROR(__xludf.DUMMYFUNCTION("""COMPUTED_VALUE"""),276533.0)</f>
        <v>276533</v>
      </c>
    </row>
    <row r="1308">
      <c r="A1308" s="20">
        <f>IFERROR(__xludf.DUMMYFUNCTION("""COMPUTED_VALUE"""),1429.0)</f>
        <v>1429</v>
      </c>
      <c r="B1308" s="20" t="str">
        <f>IFERROR(__xludf.DUMMYFUNCTION("""COMPUTED_VALUE"""),"Verbal Arithmetic Puzzle")</f>
        <v>Verbal Arithmetic Puzzle</v>
      </c>
      <c r="C1308" s="20" t="str">
        <f>IFERROR(__xludf.DUMMYFUNCTION("""COMPUTED_VALUE"""),"verbal-arithmetic-puzzle")</f>
        <v>verbal-arithmetic-puzzle</v>
      </c>
      <c r="D1308" s="20" t="b">
        <f>IFERROR(__xludf.DUMMYFUNCTION("""COMPUTED_VALUE"""),FALSE)</f>
        <v>0</v>
      </c>
      <c r="E1308" s="20" t="str">
        <f>IFERROR(__xludf.DUMMYFUNCTION("""COMPUTED_VALUE"""),"Hard")</f>
        <v>Hard</v>
      </c>
      <c r="F1308" s="20">
        <f>IFERROR(__xludf.DUMMYFUNCTION("""COMPUTED_VALUE"""),401.0)</f>
        <v>401</v>
      </c>
      <c r="G1308" s="20">
        <f>IFERROR(__xludf.DUMMYFUNCTION("""COMPUTED_VALUE"""),101.0)</f>
        <v>101</v>
      </c>
      <c r="H1308" s="20" t="str">
        <f>IFERROR(__xludf.DUMMYFUNCTION("""COMPUTED_VALUE"""),"Algorithms")</f>
        <v>Algorithms</v>
      </c>
      <c r="I1308" s="20">
        <f>IFERROR(__xludf.DUMMYFUNCTION("""COMPUTED_VALUE"""),0.346)</f>
        <v>0.346</v>
      </c>
      <c r="J1308" s="20">
        <f>IFERROR(__xludf.DUMMYFUNCTION("""COMPUTED_VALUE"""),1307.0)</f>
        <v>1307</v>
      </c>
      <c r="K1308" s="20" t="b">
        <f>IFERROR(__xludf.DUMMYFUNCTION("""COMPUTED_VALUE"""),FALSE)</f>
        <v>0</v>
      </c>
      <c r="L1308" s="20" t="str">
        <f>IFERROR(__xludf.DUMMYFUNCTION("""COMPUTED_VALUE"""),"Array;Math;String;Backtracking;")</f>
        <v>Array;Math;String;Backtracking;</v>
      </c>
      <c r="M1308" s="20" t="b">
        <f>IFERROR(__xludf.DUMMYFUNCTION("""COMPUTED_VALUE"""),FALSE)</f>
        <v>0</v>
      </c>
      <c r="N1308" s="20" t="b">
        <f>IFERROR(__xludf.DUMMYFUNCTION("""COMPUTED_VALUE"""),FALSE)</f>
        <v>0</v>
      </c>
      <c r="O1308" s="20">
        <f>IFERROR(__xludf.DUMMYFUNCTION("""COMPUTED_VALUE"""),34.6061804182707)</f>
        <v>34.60618042</v>
      </c>
      <c r="P1308" s="20">
        <f>IFERROR(__xludf.DUMMYFUNCTION("""COMPUTED_VALUE"""),9978.0)</f>
        <v>9978</v>
      </c>
      <c r="Q1308" s="20">
        <f>IFERROR(__xludf.DUMMYFUNCTION("""COMPUTED_VALUE"""),28833.0)</f>
        <v>28833</v>
      </c>
    </row>
    <row r="1309">
      <c r="A1309" s="20">
        <f>IFERROR(__xludf.DUMMYFUNCTION("""COMPUTED_VALUE"""),1439.0)</f>
        <v>1439</v>
      </c>
      <c r="B1309" s="20" t="str">
        <f>IFERROR(__xludf.DUMMYFUNCTION("""COMPUTED_VALUE"""),"Running Total for Different Genders")</f>
        <v>Running Total for Different Genders</v>
      </c>
      <c r="C1309" s="20" t="str">
        <f>IFERROR(__xludf.DUMMYFUNCTION("""COMPUTED_VALUE"""),"running-total-for-different-genders")</f>
        <v>running-total-for-different-genders</v>
      </c>
      <c r="D1309" s="20" t="b">
        <f>IFERROR(__xludf.DUMMYFUNCTION("""COMPUTED_VALUE"""),TRUE)</f>
        <v>1</v>
      </c>
      <c r="E1309" s="20" t="str">
        <f>IFERROR(__xludf.DUMMYFUNCTION("""COMPUTED_VALUE"""),"Medium")</f>
        <v>Medium</v>
      </c>
      <c r="F1309" s="20">
        <f>IFERROR(__xludf.DUMMYFUNCTION("""COMPUTED_VALUE"""),176.0)</f>
        <v>176</v>
      </c>
      <c r="G1309" s="20">
        <f>IFERROR(__xludf.DUMMYFUNCTION("""COMPUTED_VALUE"""),50.0)</f>
        <v>50</v>
      </c>
      <c r="H1309" s="20" t="str">
        <f>IFERROR(__xludf.DUMMYFUNCTION("""COMPUTED_VALUE"""),"Database")</f>
        <v>Database</v>
      </c>
      <c r="I1309" s="20">
        <f>IFERROR(__xludf.DUMMYFUNCTION("""COMPUTED_VALUE"""),0.881)</f>
        <v>0.881</v>
      </c>
      <c r="J1309" s="20">
        <f>IFERROR(__xludf.DUMMYFUNCTION("""COMPUTED_VALUE"""),1308.0)</f>
        <v>1308</v>
      </c>
      <c r="K1309" s="20" t="b">
        <f>IFERROR(__xludf.DUMMYFUNCTION("""COMPUTED_VALUE"""),TRUE)</f>
        <v>1</v>
      </c>
      <c r="L1309" s="20" t="str">
        <f>IFERROR(__xludf.DUMMYFUNCTION("""COMPUTED_VALUE"""),"Database;")</f>
        <v>Database;</v>
      </c>
      <c r="M1309" s="20" t="b">
        <f>IFERROR(__xludf.DUMMYFUNCTION("""COMPUTED_VALUE"""),FALSE)</f>
        <v>0</v>
      </c>
      <c r="N1309" s="20" t="b">
        <f>IFERROR(__xludf.DUMMYFUNCTION("""COMPUTED_VALUE"""),FALSE)</f>
        <v>0</v>
      </c>
      <c r="O1309" s="20">
        <f>IFERROR(__xludf.DUMMYFUNCTION("""COMPUTED_VALUE"""),88.0660888407367)</f>
        <v>88.06608884</v>
      </c>
      <c r="P1309" s="20">
        <f>IFERROR(__xludf.DUMMYFUNCTION("""COMPUTED_VALUE"""),32514.0)</f>
        <v>32514</v>
      </c>
      <c r="Q1309" s="20">
        <f>IFERROR(__xludf.DUMMYFUNCTION("""COMPUTED_VALUE"""),36920.0)</f>
        <v>36920</v>
      </c>
    </row>
    <row r="1310">
      <c r="A1310" s="20">
        <f>IFERROR(__xludf.DUMMYFUNCTION("""COMPUTED_VALUE"""),1434.0)</f>
        <v>1434</v>
      </c>
      <c r="B1310" s="20" t="str">
        <f>IFERROR(__xludf.DUMMYFUNCTION("""COMPUTED_VALUE"""),"Decrypt String from Alphabet to Integer Mapping")</f>
        <v>Decrypt String from Alphabet to Integer Mapping</v>
      </c>
      <c r="C1310" s="20" t="str">
        <f>IFERROR(__xludf.DUMMYFUNCTION("""COMPUTED_VALUE"""),"decrypt-string-from-alphabet-to-integer-mapping")</f>
        <v>decrypt-string-from-alphabet-to-integer-mapping</v>
      </c>
      <c r="D1310" s="20" t="b">
        <f>IFERROR(__xludf.DUMMYFUNCTION("""COMPUTED_VALUE"""),FALSE)</f>
        <v>0</v>
      </c>
      <c r="E1310" s="20" t="str">
        <f>IFERROR(__xludf.DUMMYFUNCTION("""COMPUTED_VALUE"""),"Easy")</f>
        <v>Easy</v>
      </c>
      <c r="F1310" s="20">
        <f>IFERROR(__xludf.DUMMYFUNCTION("""COMPUTED_VALUE"""),1240.0)</f>
        <v>1240</v>
      </c>
      <c r="G1310" s="20">
        <f>IFERROR(__xludf.DUMMYFUNCTION("""COMPUTED_VALUE"""),84.0)</f>
        <v>84</v>
      </c>
      <c r="H1310" s="20" t="str">
        <f>IFERROR(__xludf.DUMMYFUNCTION("""COMPUTED_VALUE"""),"Algorithms")</f>
        <v>Algorithms</v>
      </c>
      <c r="I1310" s="20">
        <f>IFERROR(__xludf.DUMMYFUNCTION("""COMPUTED_VALUE"""),0.795)</f>
        <v>0.795</v>
      </c>
      <c r="J1310" s="20">
        <f>IFERROR(__xludf.DUMMYFUNCTION("""COMPUTED_VALUE"""),1309.0)</f>
        <v>1309</v>
      </c>
      <c r="K1310" s="20" t="b">
        <f>IFERROR(__xludf.DUMMYFUNCTION("""COMPUTED_VALUE"""),FALSE)</f>
        <v>0</v>
      </c>
      <c r="L1310" s="20" t="str">
        <f>IFERROR(__xludf.DUMMYFUNCTION("""COMPUTED_VALUE"""),"String;")</f>
        <v>String;</v>
      </c>
      <c r="M1310" s="20" t="b">
        <f>IFERROR(__xludf.DUMMYFUNCTION("""COMPUTED_VALUE"""),FALSE)</f>
        <v>0</v>
      </c>
      <c r="N1310" s="20" t="b">
        <f>IFERROR(__xludf.DUMMYFUNCTION("""COMPUTED_VALUE"""),FALSE)</f>
        <v>0</v>
      </c>
      <c r="O1310" s="20">
        <f>IFERROR(__xludf.DUMMYFUNCTION("""COMPUTED_VALUE"""),79.5270473358841)</f>
        <v>79.52704734</v>
      </c>
      <c r="P1310" s="20">
        <f>IFERROR(__xludf.DUMMYFUNCTION("""COMPUTED_VALUE"""),97897.0)</f>
        <v>97897</v>
      </c>
      <c r="Q1310" s="20">
        <f>IFERROR(__xludf.DUMMYFUNCTION("""COMPUTED_VALUE"""),123099.0)</f>
        <v>123099</v>
      </c>
    </row>
    <row r="1311">
      <c r="A1311" s="20">
        <f>IFERROR(__xludf.DUMMYFUNCTION("""COMPUTED_VALUE"""),1435.0)</f>
        <v>1435</v>
      </c>
      <c r="B1311" s="20" t="str">
        <f>IFERROR(__xludf.DUMMYFUNCTION("""COMPUTED_VALUE"""),"XOR Queries of a Subarray")</f>
        <v>XOR Queries of a Subarray</v>
      </c>
      <c r="C1311" s="20" t="str">
        <f>IFERROR(__xludf.DUMMYFUNCTION("""COMPUTED_VALUE"""),"xor-queries-of-a-subarray")</f>
        <v>xor-queries-of-a-subarray</v>
      </c>
      <c r="D1311" s="20" t="b">
        <f>IFERROR(__xludf.DUMMYFUNCTION("""COMPUTED_VALUE"""),FALSE)</f>
        <v>0</v>
      </c>
      <c r="E1311" s="20" t="str">
        <f>IFERROR(__xludf.DUMMYFUNCTION("""COMPUTED_VALUE"""),"Medium")</f>
        <v>Medium</v>
      </c>
      <c r="F1311" s="20">
        <f>IFERROR(__xludf.DUMMYFUNCTION("""COMPUTED_VALUE"""),1168.0)</f>
        <v>1168</v>
      </c>
      <c r="G1311" s="20">
        <f>IFERROR(__xludf.DUMMYFUNCTION("""COMPUTED_VALUE"""),36.0)</f>
        <v>36</v>
      </c>
      <c r="H1311" s="20" t="str">
        <f>IFERROR(__xludf.DUMMYFUNCTION("""COMPUTED_VALUE"""),"Algorithms")</f>
        <v>Algorithms</v>
      </c>
      <c r="I1311" s="20">
        <f>IFERROR(__xludf.DUMMYFUNCTION("""COMPUTED_VALUE"""),0.722)</f>
        <v>0.722</v>
      </c>
      <c r="J1311" s="20">
        <f>IFERROR(__xludf.DUMMYFUNCTION("""COMPUTED_VALUE"""),1310.0)</f>
        <v>1310</v>
      </c>
      <c r="K1311" s="20" t="b">
        <f>IFERROR(__xludf.DUMMYFUNCTION("""COMPUTED_VALUE"""),FALSE)</f>
        <v>0</v>
      </c>
      <c r="L1311" s="20" t="str">
        <f>IFERROR(__xludf.DUMMYFUNCTION("""COMPUTED_VALUE"""),"Array;Bit Manipulation;Prefix Sum;")</f>
        <v>Array;Bit Manipulation;Prefix Sum;</v>
      </c>
      <c r="M1311" s="20" t="b">
        <f>IFERROR(__xludf.DUMMYFUNCTION("""COMPUTED_VALUE"""),FALSE)</f>
        <v>0</v>
      </c>
      <c r="N1311" s="20" t="b">
        <f>IFERROR(__xludf.DUMMYFUNCTION("""COMPUTED_VALUE"""),FALSE)</f>
        <v>0</v>
      </c>
      <c r="O1311" s="20">
        <f>IFERROR(__xludf.DUMMYFUNCTION("""COMPUTED_VALUE"""),72.2018228312897)</f>
        <v>72.20182283</v>
      </c>
      <c r="P1311" s="20">
        <f>IFERROR(__xludf.DUMMYFUNCTION("""COMPUTED_VALUE"""),44045.0)</f>
        <v>44045</v>
      </c>
      <c r="Q1311" s="20">
        <f>IFERROR(__xludf.DUMMYFUNCTION("""COMPUTED_VALUE"""),61001.0)</f>
        <v>61001</v>
      </c>
    </row>
    <row r="1312">
      <c r="A1312" s="20">
        <f>IFERROR(__xludf.DUMMYFUNCTION("""COMPUTED_VALUE"""),1436.0)</f>
        <v>1436</v>
      </c>
      <c r="B1312" s="20" t="str">
        <f>IFERROR(__xludf.DUMMYFUNCTION("""COMPUTED_VALUE"""),"Get Watched Videos by Your Friends")</f>
        <v>Get Watched Videos by Your Friends</v>
      </c>
      <c r="C1312" s="20" t="str">
        <f>IFERROR(__xludf.DUMMYFUNCTION("""COMPUTED_VALUE"""),"get-watched-videos-by-your-friends")</f>
        <v>get-watched-videos-by-your-friends</v>
      </c>
      <c r="D1312" s="20" t="b">
        <f>IFERROR(__xludf.DUMMYFUNCTION("""COMPUTED_VALUE"""),FALSE)</f>
        <v>0</v>
      </c>
      <c r="E1312" s="20" t="str">
        <f>IFERROR(__xludf.DUMMYFUNCTION("""COMPUTED_VALUE"""),"Medium")</f>
        <v>Medium</v>
      </c>
      <c r="F1312" s="20">
        <f>IFERROR(__xludf.DUMMYFUNCTION("""COMPUTED_VALUE"""),269.0)</f>
        <v>269</v>
      </c>
      <c r="G1312" s="20">
        <f>IFERROR(__xludf.DUMMYFUNCTION("""COMPUTED_VALUE"""),345.0)</f>
        <v>345</v>
      </c>
      <c r="H1312" s="20" t="str">
        <f>IFERROR(__xludf.DUMMYFUNCTION("""COMPUTED_VALUE"""),"Algorithms")</f>
        <v>Algorithms</v>
      </c>
      <c r="I1312" s="20">
        <f>IFERROR(__xludf.DUMMYFUNCTION("""COMPUTED_VALUE"""),0.459)</f>
        <v>0.459</v>
      </c>
      <c r="J1312" s="20">
        <f>IFERROR(__xludf.DUMMYFUNCTION("""COMPUTED_VALUE"""),1311.0)</f>
        <v>1311</v>
      </c>
      <c r="K1312" s="20" t="b">
        <f>IFERROR(__xludf.DUMMYFUNCTION("""COMPUTED_VALUE"""),FALSE)</f>
        <v>0</v>
      </c>
      <c r="L1312" s="20" t="str">
        <f>IFERROR(__xludf.DUMMYFUNCTION("""COMPUTED_VALUE"""),"Array;Hash Table;Breadth-First Search;Graph;Sorting;")</f>
        <v>Array;Hash Table;Breadth-First Search;Graph;Sorting;</v>
      </c>
      <c r="M1312" s="20" t="b">
        <f>IFERROR(__xludf.DUMMYFUNCTION("""COMPUTED_VALUE"""),FALSE)</f>
        <v>0</v>
      </c>
      <c r="N1312" s="20" t="b">
        <f>IFERROR(__xludf.DUMMYFUNCTION("""COMPUTED_VALUE"""),FALSE)</f>
        <v>0</v>
      </c>
      <c r="O1312" s="20">
        <f>IFERROR(__xludf.DUMMYFUNCTION("""COMPUTED_VALUE"""),45.9254529491579)</f>
        <v>45.92545295</v>
      </c>
      <c r="P1312" s="20">
        <f>IFERROR(__xludf.DUMMYFUNCTION("""COMPUTED_VALUE"""),17262.0)</f>
        <v>17262</v>
      </c>
      <c r="Q1312" s="20">
        <f>IFERROR(__xludf.DUMMYFUNCTION("""COMPUTED_VALUE"""),37587.0)</f>
        <v>37587</v>
      </c>
    </row>
    <row r="1313">
      <c r="A1313" s="20">
        <f>IFERROR(__xludf.DUMMYFUNCTION("""COMPUTED_VALUE"""),1437.0)</f>
        <v>1437</v>
      </c>
      <c r="B1313" s="20" t="str">
        <f>IFERROR(__xludf.DUMMYFUNCTION("""COMPUTED_VALUE"""),"Minimum Insertion Steps to Make a String Palindrome")</f>
        <v>Minimum Insertion Steps to Make a String Palindrome</v>
      </c>
      <c r="C1313" s="20" t="str">
        <f>IFERROR(__xludf.DUMMYFUNCTION("""COMPUTED_VALUE"""),"minimum-insertion-steps-to-make-a-string-palindrome")</f>
        <v>minimum-insertion-steps-to-make-a-string-palindrome</v>
      </c>
      <c r="D1313" s="20" t="b">
        <f>IFERROR(__xludf.DUMMYFUNCTION("""COMPUTED_VALUE"""),FALSE)</f>
        <v>0</v>
      </c>
      <c r="E1313" s="20" t="str">
        <f>IFERROR(__xludf.DUMMYFUNCTION("""COMPUTED_VALUE"""),"Hard")</f>
        <v>Hard</v>
      </c>
      <c r="F1313" s="20">
        <f>IFERROR(__xludf.DUMMYFUNCTION("""COMPUTED_VALUE"""),2799.0)</f>
        <v>2799</v>
      </c>
      <c r="G1313" s="20">
        <f>IFERROR(__xludf.DUMMYFUNCTION("""COMPUTED_VALUE"""),34.0)</f>
        <v>34</v>
      </c>
      <c r="H1313" s="20" t="str">
        <f>IFERROR(__xludf.DUMMYFUNCTION("""COMPUTED_VALUE"""),"Algorithms")</f>
        <v>Algorithms</v>
      </c>
      <c r="I1313" s="20">
        <f>IFERROR(__xludf.DUMMYFUNCTION("""COMPUTED_VALUE"""),0.658)</f>
        <v>0.658</v>
      </c>
      <c r="J1313" s="20">
        <f>IFERROR(__xludf.DUMMYFUNCTION("""COMPUTED_VALUE"""),1312.0)</f>
        <v>1312</v>
      </c>
      <c r="K1313" s="20" t="b">
        <f>IFERROR(__xludf.DUMMYFUNCTION("""COMPUTED_VALUE"""),FALSE)</f>
        <v>0</v>
      </c>
      <c r="L1313" s="20" t="str">
        <f>IFERROR(__xludf.DUMMYFUNCTION("""COMPUTED_VALUE"""),"String;Dynamic Programming;")</f>
        <v>String;Dynamic Programming;</v>
      </c>
      <c r="M1313" s="20" t="b">
        <f>IFERROR(__xludf.DUMMYFUNCTION("""COMPUTED_VALUE"""),FALSE)</f>
        <v>0</v>
      </c>
      <c r="N1313" s="20" t="b">
        <f>IFERROR(__xludf.DUMMYFUNCTION("""COMPUTED_VALUE"""),FALSE)</f>
        <v>0</v>
      </c>
      <c r="O1313" s="20">
        <f>IFERROR(__xludf.DUMMYFUNCTION("""COMPUTED_VALUE"""),65.7693841508574)</f>
        <v>65.76938415</v>
      </c>
      <c r="P1313" s="20">
        <f>IFERROR(__xludf.DUMMYFUNCTION("""COMPUTED_VALUE"""),69265.0)</f>
        <v>69265</v>
      </c>
      <c r="Q1313" s="20">
        <f>IFERROR(__xludf.DUMMYFUNCTION("""COMPUTED_VALUE"""),105316.0)</f>
        <v>105316</v>
      </c>
    </row>
    <row r="1314">
      <c r="A1314" s="20">
        <f>IFERROR(__xludf.DUMMYFUNCTION("""COMPUTED_VALUE"""),1241.0)</f>
        <v>1241</v>
      </c>
      <c r="B1314" s="20" t="str">
        <f>IFERROR(__xludf.DUMMYFUNCTION("""COMPUTED_VALUE"""),"Decompress Run-Length Encoded List")</f>
        <v>Decompress Run-Length Encoded List</v>
      </c>
      <c r="C1314" s="20" t="str">
        <f>IFERROR(__xludf.DUMMYFUNCTION("""COMPUTED_VALUE"""),"decompress-run-length-encoded-list")</f>
        <v>decompress-run-length-encoded-list</v>
      </c>
      <c r="D1314" s="20" t="b">
        <f>IFERROR(__xludf.DUMMYFUNCTION("""COMPUTED_VALUE"""),FALSE)</f>
        <v>0</v>
      </c>
      <c r="E1314" s="20" t="str">
        <f>IFERROR(__xludf.DUMMYFUNCTION("""COMPUTED_VALUE"""),"Easy")</f>
        <v>Easy</v>
      </c>
      <c r="F1314" s="20">
        <f>IFERROR(__xludf.DUMMYFUNCTION("""COMPUTED_VALUE"""),960.0)</f>
        <v>960</v>
      </c>
      <c r="G1314" s="20">
        <f>IFERROR(__xludf.DUMMYFUNCTION("""COMPUTED_VALUE"""),1194.0)</f>
        <v>1194</v>
      </c>
      <c r="H1314" s="20" t="str">
        <f>IFERROR(__xludf.DUMMYFUNCTION("""COMPUTED_VALUE"""),"Algorithms")</f>
        <v>Algorithms</v>
      </c>
      <c r="I1314" s="20">
        <f>IFERROR(__xludf.DUMMYFUNCTION("""COMPUTED_VALUE"""),0.859)</f>
        <v>0.859</v>
      </c>
      <c r="J1314" s="20">
        <f>IFERROR(__xludf.DUMMYFUNCTION("""COMPUTED_VALUE"""),1313.0)</f>
        <v>1313</v>
      </c>
      <c r="K1314" s="20" t="b">
        <f>IFERROR(__xludf.DUMMYFUNCTION("""COMPUTED_VALUE"""),FALSE)</f>
        <v>0</v>
      </c>
      <c r="L1314" s="20" t="str">
        <f>IFERROR(__xludf.DUMMYFUNCTION("""COMPUTED_VALUE"""),"Array;")</f>
        <v>Array;</v>
      </c>
      <c r="M1314" s="20" t="b">
        <f>IFERROR(__xludf.DUMMYFUNCTION("""COMPUTED_VALUE"""),FALSE)</f>
        <v>0</v>
      </c>
      <c r="N1314" s="20" t="b">
        <f>IFERROR(__xludf.DUMMYFUNCTION("""COMPUTED_VALUE"""),FALSE)</f>
        <v>0</v>
      </c>
      <c r="O1314" s="20">
        <f>IFERROR(__xludf.DUMMYFUNCTION("""COMPUTED_VALUE"""),85.8522207541416)</f>
        <v>85.85222075</v>
      </c>
      <c r="P1314" s="20">
        <f>IFERROR(__xludf.DUMMYFUNCTION("""COMPUTED_VALUE"""),211174.0)</f>
        <v>211174</v>
      </c>
      <c r="Q1314" s="20">
        <f>IFERROR(__xludf.DUMMYFUNCTION("""COMPUTED_VALUE"""),245974.0)</f>
        <v>245974</v>
      </c>
    </row>
    <row r="1315">
      <c r="A1315" s="20">
        <f>IFERROR(__xludf.DUMMYFUNCTION("""COMPUTED_VALUE"""),1242.0)</f>
        <v>1242</v>
      </c>
      <c r="B1315" s="20" t="str">
        <f>IFERROR(__xludf.DUMMYFUNCTION("""COMPUTED_VALUE"""),"Matrix Block Sum")</f>
        <v>Matrix Block Sum</v>
      </c>
      <c r="C1315" s="20" t="str">
        <f>IFERROR(__xludf.DUMMYFUNCTION("""COMPUTED_VALUE"""),"matrix-block-sum")</f>
        <v>matrix-block-sum</v>
      </c>
      <c r="D1315" s="20" t="b">
        <f>IFERROR(__xludf.DUMMYFUNCTION("""COMPUTED_VALUE"""),FALSE)</f>
        <v>0</v>
      </c>
      <c r="E1315" s="20" t="str">
        <f>IFERROR(__xludf.DUMMYFUNCTION("""COMPUTED_VALUE"""),"Medium")</f>
        <v>Medium</v>
      </c>
      <c r="F1315" s="20">
        <f>IFERROR(__xludf.DUMMYFUNCTION("""COMPUTED_VALUE"""),2005.0)</f>
        <v>2005</v>
      </c>
      <c r="G1315" s="20">
        <f>IFERROR(__xludf.DUMMYFUNCTION("""COMPUTED_VALUE"""),315.0)</f>
        <v>315</v>
      </c>
      <c r="H1315" s="20" t="str">
        <f>IFERROR(__xludf.DUMMYFUNCTION("""COMPUTED_VALUE"""),"Algorithms")</f>
        <v>Algorithms</v>
      </c>
      <c r="I1315" s="20">
        <f>IFERROR(__xludf.DUMMYFUNCTION("""COMPUTED_VALUE"""),0.754)</f>
        <v>0.754</v>
      </c>
      <c r="J1315" s="20">
        <f>IFERROR(__xludf.DUMMYFUNCTION("""COMPUTED_VALUE"""),1314.0)</f>
        <v>1314</v>
      </c>
      <c r="K1315" s="20" t="b">
        <f>IFERROR(__xludf.DUMMYFUNCTION("""COMPUTED_VALUE"""),FALSE)</f>
        <v>0</v>
      </c>
      <c r="L1315" s="20" t="str">
        <f>IFERROR(__xludf.DUMMYFUNCTION("""COMPUTED_VALUE"""),"Array;Matrix;Prefix Sum;")</f>
        <v>Array;Matrix;Prefix Sum;</v>
      </c>
      <c r="M1315" s="20" t="b">
        <f>IFERROR(__xludf.DUMMYFUNCTION("""COMPUTED_VALUE"""),FALSE)</f>
        <v>0</v>
      </c>
      <c r="N1315" s="20" t="b">
        <f>IFERROR(__xludf.DUMMYFUNCTION("""COMPUTED_VALUE"""),FALSE)</f>
        <v>0</v>
      </c>
      <c r="O1315" s="20">
        <f>IFERROR(__xludf.DUMMYFUNCTION("""COMPUTED_VALUE"""),75.374598272048)</f>
        <v>75.37459827</v>
      </c>
      <c r="P1315" s="20">
        <f>IFERROR(__xludf.DUMMYFUNCTION("""COMPUTED_VALUE"""),72234.0)</f>
        <v>72234</v>
      </c>
      <c r="Q1315" s="20">
        <f>IFERROR(__xludf.DUMMYFUNCTION("""COMPUTED_VALUE"""),95834.0)</f>
        <v>95834</v>
      </c>
    </row>
    <row r="1316">
      <c r="A1316" s="20">
        <f>IFERROR(__xludf.DUMMYFUNCTION("""COMPUTED_VALUE"""),1243.0)</f>
        <v>1243</v>
      </c>
      <c r="B1316" s="20" t="str">
        <f>IFERROR(__xludf.DUMMYFUNCTION("""COMPUTED_VALUE"""),"Sum of Nodes with Even-Valued Grandparent")</f>
        <v>Sum of Nodes with Even-Valued Grandparent</v>
      </c>
      <c r="C1316" s="20" t="str">
        <f>IFERROR(__xludf.DUMMYFUNCTION("""COMPUTED_VALUE"""),"sum-of-nodes-with-even-valued-grandparent")</f>
        <v>sum-of-nodes-with-even-valued-grandparent</v>
      </c>
      <c r="D1316" s="20" t="b">
        <f>IFERROR(__xludf.DUMMYFUNCTION("""COMPUTED_VALUE"""),FALSE)</f>
        <v>0</v>
      </c>
      <c r="E1316" s="20" t="str">
        <f>IFERROR(__xludf.DUMMYFUNCTION("""COMPUTED_VALUE"""),"Medium")</f>
        <v>Medium</v>
      </c>
      <c r="F1316" s="20">
        <f>IFERROR(__xludf.DUMMYFUNCTION("""COMPUTED_VALUE"""),2218.0)</f>
        <v>2218</v>
      </c>
      <c r="G1316" s="20">
        <f>IFERROR(__xludf.DUMMYFUNCTION("""COMPUTED_VALUE"""),66.0)</f>
        <v>66</v>
      </c>
      <c r="H1316" s="20" t="str">
        <f>IFERROR(__xludf.DUMMYFUNCTION("""COMPUTED_VALUE"""),"Algorithms")</f>
        <v>Algorithms</v>
      </c>
      <c r="I1316" s="20">
        <f>IFERROR(__xludf.DUMMYFUNCTION("""COMPUTED_VALUE"""),0.856)</f>
        <v>0.856</v>
      </c>
      <c r="J1316" s="20">
        <f>IFERROR(__xludf.DUMMYFUNCTION("""COMPUTED_VALUE"""),1315.0)</f>
        <v>1315</v>
      </c>
      <c r="K1316" s="20" t="b">
        <f>IFERROR(__xludf.DUMMYFUNCTION("""COMPUTED_VALUE"""),FALSE)</f>
        <v>0</v>
      </c>
      <c r="L1316" s="20" t="str">
        <f>IFERROR(__xludf.DUMMYFUNCTION("""COMPUTED_VALUE"""),"Tree;Depth-First Search;Breadth-First Search;Binary Tree;")</f>
        <v>Tree;Depth-First Search;Breadth-First Search;Binary Tree;</v>
      </c>
      <c r="M1316" s="20" t="b">
        <f>IFERROR(__xludf.DUMMYFUNCTION("""COMPUTED_VALUE"""),FALSE)</f>
        <v>0</v>
      </c>
      <c r="N1316" s="20" t="b">
        <f>IFERROR(__xludf.DUMMYFUNCTION("""COMPUTED_VALUE"""),FALSE)</f>
        <v>0</v>
      </c>
      <c r="O1316" s="20">
        <f>IFERROR(__xludf.DUMMYFUNCTION("""COMPUTED_VALUE"""),85.6011544668055)</f>
        <v>85.60115447</v>
      </c>
      <c r="P1316" s="20">
        <f>IFERROR(__xludf.DUMMYFUNCTION("""COMPUTED_VALUE"""),120416.0)</f>
        <v>120416</v>
      </c>
      <c r="Q1316" s="20">
        <f>IFERROR(__xludf.DUMMYFUNCTION("""COMPUTED_VALUE"""),140671.0)</f>
        <v>140671</v>
      </c>
    </row>
    <row r="1317">
      <c r="A1317" s="20">
        <f>IFERROR(__xludf.DUMMYFUNCTION("""COMPUTED_VALUE"""),1244.0)</f>
        <v>1244</v>
      </c>
      <c r="B1317" s="20" t="str">
        <f>IFERROR(__xludf.DUMMYFUNCTION("""COMPUTED_VALUE"""),"Distinct Echo Substrings")</f>
        <v>Distinct Echo Substrings</v>
      </c>
      <c r="C1317" s="20" t="str">
        <f>IFERROR(__xludf.DUMMYFUNCTION("""COMPUTED_VALUE"""),"distinct-echo-substrings")</f>
        <v>distinct-echo-substrings</v>
      </c>
      <c r="D1317" s="20" t="b">
        <f>IFERROR(__xludf.DUMMYFUNCTION("""COMPUTED_VALUE"""),FALSE)</f>
        <v>0</v>
      </c>
      <c r="E1317" s="20" t="str">
        <f>IFERROR(__xludf.DUMMYFUNCTION("""COMPUTED_VALUE"""),"Hard")</f>
        <v>Hard</v>
      </c>
      <c r="F1317" s="20">
        <f>IFERROR(__xludf.DUMMYFUNCTION("""COMPUTED_VALUE"""),253.0)</f>
        <v>253</v>
      </c>
      <c r="G1317" s="20">
        <f>IFERROR(__xludf.DUMMYFUNCTION("""COMPUTED_VALUE"""),184.0)</f>
        <v>184</v>
      </c>
      <c r="H1317" s="20" t="str">
        <f>IFERROR(__xludf.DUMMYFUNCTION("""COMPUTED_VALUE"""),"Algorithms")</f>
        <v>Algorithms</v>
      </c>
      <c r="I1317" s="20">
        <f>IFERROR(__xludf.DUMMYFUNCTION("""COMPUTED_VALUE"""),0.497)</f>
        <v>0.497</v>
      </c>
      <c r="J1317" s="20">
        <f>IFERROR(__xludf.DUMMYFUNCTION("""COMPUTED_VALUE"""),1316.0)</f>
        <v>1316</v>
      </c>
      <c r="K1317" s="20" t="b">
        <f>IFERROR(__xludf.DUMMYFUNCTION("""COMPUTED_VALUE"""),FALSE)</f>
        <v>0</v>
      </c>
      <c r="L1317" s="20" t="str">
        <f>IFERROR(__xludf.DUMMYFUNCTION("""COMPUTED_VALUE"""),"String;Trie;Rolling Hash;Hash Function;")</f>
        <v>String;Trie;Rolling Hash;Hash Function;</v>
      </c>
      <c r="M1317" s="20" t="b">
        <f>IFERROR(__xludf.DUMMYFUNCTION("""COMPUTED_VALUE"""),FALSE)</f>
        <v>0</v>
      </c>
      <c r="N1317" s="20" t="b">
        <f>IFERROR(__xludf.DUMMYFUNCTION("""COMPUTED_VALUE"""),FALSE)</f>
        <v>0</v>
      </c>
      <c r="O1317" s="20">
        <f>IFERROR(__xludf.DUMMYFUNCTION("""COMPUTED_VALUE"""),49.7144789240363)</f>
        <v>49.71447892</v>
      </c>
      <c r="P1317" s="20">
        <f>IFERROR(__xludf.DUMMYFUNCTION("""COMPUTED_VALUE"""),13233.0)</f>
        <v>13233</v>
      </c>
      <c r="Q1317" s="20">
        <f>IFERROR(__xludf.DUMMYFUNCTION("""COMPUTED_VALUE"""),26618.0)</f>
        <v>26618</v>
      </c>
    </row>
    <row r="1318">
      <c r="A1318" s="20">
        <f>IFERROR(__xludf.DUMMYFUNCTION("""COMPUTED_VALUE"""),1440.0)</f>
        <v>1440</v>
      </c>
      <c r="B1318" s="20" t="str">
        <f>IFERROR(__xludf.DUMMYFUNCTION("""COMPUTED_VALUE"""),"Convert Integer to the Sum of Two No-Zero Integers")</f>
        <v>Convert Integer to the Sum of Two No-Zero Integers</v>
      </c>
      <c r="C1318" s="20" t="str">
        <f>IFERROR(__xludf.DUMMYFUNCTION("""COMPUTED_VALUE"""),"convert-integer-to-the-sum-of-two-no-zero-integers")</f>
        <v>convert-integer-to-the-sum-of-two-no-zero-integers</v>
      </c>
      <c r="D1318" s="20" t="b">
        <f>IFERROR(__xludf.DUMMYFUNCTION("""COMPUTED_VALUE"""),FALSE)</f>
        <v>0</v>
      </c>
      <c r="E1318" s="20" t="str">
        <f>IFERROR(__xludf.DUMMYFUNCTION("""COMPUTED_VALUE"""),"Easy")</f>
        <v>Easy</v>
      </c>
      <c r="F1318" s="20">
        <f>IFERROR(__xludf.DUMMYFUNCTION("""COMPUTED_VALUE"""),309.0)</f>
        <v>309</v>
      </c>
      <c r="G1318" s="20">
        <f>IFERROR(__xludf.DUMMYFUNCTION("""COMPUTED_VALUE"""),251.0)</f>
        <v>251</v>
      </c>
      <c r="H1318" s="20" t="str">
        <f>IFERROR(__xludf.DUMMYFUNCTION("""COMPUTED_VALUE"""),"Algorithms")</f>
        <v>Algorithms</v>
      </c>
      <c r="I1318" s="20">
        <f>IFERROR(__xludf.DUMMYFUNCTION("""COMPUTED_VALUE"""),0.56)</f>
        <v>0.56</v>
      </c>
      <c r="J1318" s="20">
        <f>IFERROR(__xludf.DUMMYFUNCTION("""COMPUTED_VALUE"""),1317.0)</f>
        <v>1317</v>
      </c>
      <c r="K1318" s="20" t="b">
        <f>IFERROR(__xludf.DUMMYFUNCTION("""COMPUTED_VALUE"""),FALSE)</f>
        <v>0</v>
      </c>
      <c r="L1318" s="20" t="str">
        <f>IFERROR(__xludf.DUMMYFUNCTION("""COMPUTED_VALUE"""),"Math;")</f>
        <v>Math;</v>
      </c>
      <c r="M1318" s="20" t="b">
        <f>IFERROR(__xludf.DUMMYFUNCTION("""COMPUTED_VALUE"""),FALSE)</f>
        <v>0</v>
      </c>
      <c r="N1318" s="20" t="b">
        <f>IFERROR(__xludf.DUMMYFUNCTION("""COMPUTED_VALUE"""),FALSE)</f>
        <v>0</v>
      </c>
      <c r="O1318" s="20">
        <f>IFERROR(__xludf.DUMMYFUNCTION("""COMPUTED_VALUE"""),55.9571641241536)</f>
        <v>55.95716412</v>
      </c>
      <c r="P1318" s="20">
        <f>IFERROR(__xludf.DUMMYFUNCTION("""COMPUTED_VALUE"""),34957.0)</f>
        <v>34957</v>
      </c>
      <c r="Q1318" s="20">
        <f>IFERROR(__xludf.DUMMYFUNCTION("""COMPUTED_VALUE"""),62471.0)</f>
        <v>62471</v>
      </c>
    </row>
    <row r="1319">
      <c r="A1319" s="20">
        <f>IFERROR(__xludf.DUMMYFUNCTION("""COMPUTED_VALUE"""),1441.0)</f>
        <v>1441</v>
      </c>
      <c r="B1319" s="20" t="str">
        <f>IFERROR(__xludf.DUMMYFUNCTION("""COMPUTED_VALUE"""),"Minimum Flips to Make a OR b Equal to c")</f>
        <v>Minimum Flips to Make a OR b Equal to c</v>
      </c>
      <c r="C1319" s="20" t="str">
        <f>IFERROR(__xludf.DUMMYFUNCTION("""COMPUTED_VALUE"""),"minimum-flips-to-make-a-or-b-equal-to-c")</f>
        <v>minimum-flips-to-make-a-or-b-equal-to-c</v>
      </c>
      <c r="D1319" s="20" t="b">
        <f>IFERROR(__xludf.DUMMYFUNCTION("""COMPUTED_VALUE"""),FALSE)</f>
        <v>0</v>
      </c>
      <c r="E1319" s="20" t="str">
        <f>IFERROR(__xludf.DUMMYFUNCTION("""COMPUTED_VALUE"""),"Medium")</f>
        <v>Medium</v>
      </c>
      <c r="F1319" s="20">
        <f>IFERROR(__xludf.DUMMYFUNCTION("""COMPUTED_VALUE"""),564.0)</f>
        <v>564</v>
      </c>
      <c r="G1319" s="20">
        <f>IFERROR(__xludf.DUMMYFUNCTION("""COMPUTED_VALUE"""),43.0)</f>
        <v>43</v>
      </c>
      <c r="H1319" s="20" t="str">
        <f>IFERROR(__xludf.DUMMYFUNCTION("""COMPUTED_VALUE"""),"Algorithms")</f>
        <v>Algorithms</v>
      </c>
      <c r="I1319" s="20">
        <f>IFERROR(__xludf.DUMMYFUNCTION("""COMPUTED_VALUE"""),0.661)</f>
        <v>0.661</v>
      </c>
      <c r="J1319" s="20">
        <f>IFERROR(__xludf.DUMMYFUNCTION("""COMPUTED_VALUE"""),1318.0)</f>
        <v>1318</v>
      </c>
      <c r="K1319" s="20" t="b">
        <f>IFERROR(__xludf.DUMMYFUNCTION("""COMPUTED_VALUE"""),FALSE)</f>
        <v>0</v>
      </c>
      <c r="L1319" s="20" t="str">
        <f>IFERROR(__xludf.DUMMYFUNCTION("""COMPUTED_VALUE"""),"Bit Manipulation;")</f>
        <v>Bit Manipulation;</v>
      </c>
      <c r="M1319" s="20" t="b">
        <f>IFERROR(__xludf.DUMMYFUNCTION("""COMPUTED_VALUE"""),FALSE)</f>
        <v>0</v>
      </c>
      <c r="N1319" s="20" t="b">
        <f>IFERROR(__xludf.DUMMYFUNCTION("""COMPUTED_VALUE"""),FALSE)</f>
        <v>0</v>
      </c>
      <c r="O1319" s="20">
        <f>IFERROR(__xludf.DUMMYFUNCTION("""COMPUTED_VALUE"""),66.0852758307524)</f>
        <v>66.08527583</v>
      </c>
      <c r="P1319" s="20">
        <f>IFERROR(__xludf.DUMMYFUNCTION("""COMPUTED_VALUE"""),28379.0)</f>
        <v>28379</v>
      </c>
      <c r="Q1319" s="20">
        <f>IFERROR(__xludf.DUMMYFUNCTION("""COMPUTED_VALUE"""),42943.0)</f>
        <v>42943</v>
      </c>
    </row>
    <row r="1320">
      <c r="A1320" s="20">
        <f>IFERROR(__xludf.DUMMYFUNCTION("""COMPUTED_VALUE"""),1442.0)</f>
        <v>1442</v>
      </c>
      <c r="B1320" s="20" t="str">
        <f>IFERROR(__xludf.DUMMYFUNCTION("""COMPUTED_VALUE"""),"Number of Operations to Make Network Connected")</f>
        <v>Number of Operations to Make Network Connected</v>
      </c>
      <c r="C1320" s="20" t="str">
        <f>IFERROR(__xludf.DUMMYFUNCTION("""COMPUTED_VALUE"""),"number-of-operations-to-make-network-connected")</f>
        <v>number-of-operations-to-make-network-connected</v>
      </c>
      <c r="D1320" s="20" t="b">
        <f>IFERROR(__xludf.DUMMYFUNCTION("""COMPUTED_VALUE"""),FALSE)</f>
        <v>0</v>
      </c>
      <c r="E1320" s="20" t="str">
        <f>IFERROR(__xludf.DUMMYFUNCTION("""COMPUTED_VALUE"""),"Medium")</f>
        <v>Medium</v>
      </c>
      <c r="F1320" s="20">
        <f>IFERROR(__xludf.DUMMYFUNCTION("""COMPUTED_VALUE"""),2949.0)</f>
        <v>2949</v>
      </c>
      <c r="G1320" s="20">
        <f>IFERROR(__xludf.DUMMYFUNCTION("""COMPUTED_VALUE"""),36.0)</f>
        <v>36</v>
      </c>
      <c r="H1320" s="20" t="str">
        <f>IFERROR(__xludf.DUMMYFUNCTION("""COMPUTED_VALUE"""),"Algorithms")</f>
        <v>Algorithms</v>
      </c>
      <c r="I1320" s="20">
        <f>IFERROR(__xludf.DUMMYFUNCTION("""COMPUTED_VALUE"""),0.586)</f>
        <v>0.586</v>
      </c>
      <c r="J1320" s="20">
        <f>IFERROR(__xludf.DUMMYFUNCTION("""COMPUTED_VALUE"""),1319.0)</f>
        <v>1319</v>
      </c>
      <c r="K1320" s="20" t="b">
        <f>IFERROR(__xludf.DUMMYFUNCTION("""COMPUTED_VALUE"""),FALSE)</f>
        <v>0</v>
      </c>
      <c r="L1320" s="20" t="str">
        <f>IFERROR(__xludf.DUMMYFUNCTION("""COMPUTED_VALUE"""),"Depth-First Search;Breadth-First Search;Union Find;Graph;")</f>
        <v>Depth-First Search;Breadth-First Search;Union Find;Graph;</v>
      </c>
      <c r="M1320" s="20" t="b">
        <f>IFERROR(__xludf.DUMMYFUNCTION("""COMPUTED_VALUE"""),FALSE)</f>
        <v>0</v>
      </c>
      <c r="N1320" s="20" t="b">
        <f>IFERROR(__xludf.DUMMYFUNCTION("""COMPUTED_VALUE"""),FALSE)</f>
        <v>0</v>
      </c>
      <c r="O1320" s="20">
        <f>IFERROR(__xludf.DUMMYFUNCTION("""COMPUTED_VALUE"""),58.5663438635909)</f>
        <v>58.56634386</v>
      </c>
      <c r="P1320" s="20">
        <f>IFERROR(__xludf.DUMMYFUNCTION("""COMPUTED_VALUE"""),108435.0)</f>
        <v>108435</v>
      </c>
      <c r="Q1320" s="20">
        <f>IFERROR(__xludf.DUMMYFUNCTION("""COMPUTED_VALUE"""),185149.0)</f>
        <v>185149</v>
      </c>
    </row>
    <row r="1321">
      <c r="A1321" s="20">
        <f>IFERROR(__xludf.DUMMYFUNCTION("""COMPUTED_VALUE"""),1443.0)</f>
        <v>1443</v>
      </c>
      <c r="B1321" s="20" t="str">
        <f>IFERROR(__xludf.DUMMYFUNCTION("""COMPUTED_VALUE"""),"Minimum Distance to Type a Word Using Two Fingers")</f>
        <v>Minimum Distance to Type a Word Using Two Fingers</v>
      </c>
      <c r="C1321" s="20" t="str">
        <f>IFERROR(__xludf.DUMMYFUNCTION("""COMPUTED_VALUE"""),"minimum-distance-to-type-a-word-using-two-fingers")</f>
        <v>minimum-distance-to-type-a-word-using-two-fingers</v>
      </c>
      <c r="D1321" s="20" t="b">
        <f>IFERROR(__xludf.DUMMYFUNCTION("""COMPUTED_VALUE"""),FALSE)</f>
        <v>0</v>
      </c>
      <c r="E1321" s="20" t="str">
        <f>IFERROR(__xludf.DUMMYFUNCTION("""COMPUTED_VALUE"""),"Hard")</f>
        <v>Hard</v>
      </c>
      <c r="F1321" s="20">
        <f>IFERROR(__xludf.DUMMYFUNCTION("""COMPUTED_VALUE"""),881.0)</f>
        <v>881</v>
      </c>
      <c r="G1321" s="20">
        <f>IFERROR(__xludf.DUMMYFUNCTION("""COMPUTED_VALUE"""),31.0)</f>
        <v>31</v>
      </c>
      <c r="H1321" s="20" t="str">
        <f>IFERROR(__xludf.DUMMYFUNCTION("""COMPUTED_VALUE"""),"Algorithms")</f>
        <v>Algorithms</v>
      </c>
      <c r="I1321" s="20">
        <f>IFERROR(__xludf.DUMMYFUNCTION("""COMPUTED_VALUE"""),0.596)</f>
        <v>0.596</v>
      </c>
      <c r="J1321" s="20">
        <f>IFERROR(__xludf.DUMMYFUNCTION("""COMPUTED_VALUE"""),1320.0)</f>
        <v>1320</v>
      </c>
      <c r="K1321" s="20" t="b">
        <f>IFERROR(__xludf.DUMMYFUNCTION("""COMPUTED_VALUE"""),FALSE)</f>
        <v>0</v>
      </c>
      <c r="L1321" s="20" t="str">
        <f>IFERROR(__xludf.DUMMYFUNCTION("""COMPUTED_VALUE"""),"String;Dynamic Programming;")</f>
        <v>String;Dynamic Programming;</v>
      </c>
      <c r="M1321" s="20" t="b">
        <f>IFERROR(__xludf.DUMMYFUNCTION("""COMPUTED_VALUE"""),FALSE)</f>
        <v>0</v>
      </c>
      <c r="N1321" s="20" t="b">
        <f>IFERROR(__xludf.DUMMYFUNCTION("""COMPUTED_VALUE"""),FALSE)</f>
        <v>0</v>
      </c>
      <c r="O1321" s="20">
        <f>IFERROR(__xludf.DUMMYFUNCTION("""COMPUTED_VALUE"""),59.5654290392529)</f>
        <v>59.56542904</v>
      </c>
      <c r="P1321" s="20">
        <f>IFERROR(__xludf.DUMMYFUNCTION("""COMPUTED_VALUE"""),26920.0)</f>
        <v>26920</v>
      </c>
      <c r="Q1321" s="20">
        <f>IFERROR(__xludf.DUMMYFUNCTION("""COMPUTED_VALUE"""),45194.0)</f>
        <v>45194</v>
      </c>
    </row>
    <row r="1322">
      <c r="A1322" s="20">
        <f>IFERROR(__xludf.DUMMYFUNCTION("""COMPUTED_VALUE"""),1452.0)</f>
        <v>1452</v>
      </c>
      <c r="B1322" s="20" t="str">
        <f>IFERROR(__xludf.DUMMYFUNCTION("""COMPUTED_VALUE"""),"Restaurant Growth")</f>
        <v>Restaurant Growth</v>
      </c>
      <c r="C1322" s="20" t="str">
        <f>IFERROR(__xludf.DUMMYFUNCTION("""COMPUTED_VALUE"""),"restaurant-growth")</f>
        <v>restaurant-growth</v>
      </c>
      <c r="D1322" s="20" t="b">
        <f>IFERROR(__xludf.DUMMYFUNCTION("""COMPUTED_VALUE"""),TRUE)</f>
        <v>1</v>
      </c>
      <c r="E1322" s="20" t="str">
        <f>IFERROR(__xludf.DUMMYFUNCTION("""COMPUTED_VALUE"""),"Medium")</f>
        <v>Medium</v>
      </c>
      <c r="F1322" s="20">
        <f>IFERROR(__xludf.DUMMYFUNCTION("""COMPUTED_VALUE"""),330.0)</f>
        <v>330</v>
      </c>
      <c r="G1322" s="20">
        <f>IFERROR(__xludf.DUMMYFUNCTION("""COMPUTED_VALUE"""),53.0)</f>
        <v>53</v>
      </c>
      <c r="H1322" s="20" t="str">
        <f>IFERROR(__xludf.DUMMYFUNCTION("""COMPUTED_VALUE"""),"Database")</f>
        <v>Database</v>
      </c>
      <c r="I1322" s="20">
        <f>IFERROR(__xludf.DUMMYFUNCTION("""COMPUTED_VALUE"""),0.716)</f>
        <v>0.716</v>
      </c>
      <c r="J1322" s="20">
        <f>IFERROR(__xludf.DUMMYFUNCTION("""COMPUTED_VALUE"""),1321.0)</f>
        <v>1321</v>
      </c>
      <c r="K1322" s="20" t="b">
        <f>IFERROR(__xludf.DUMMYFUNCTION("""COMPUTED_VALUE"""),TRUE)</f>
        <v>1</v>
      </c>
      <c r="L1322" s="20" t="str">
        <f>IFERROR(__xludf.DUMMYFUNCTION("""COMPUTED_VALUE"""),"Database;")</f>
        <v>Database;</v>
      </c>
      <c r="M1322" s="20" t="b">
        <f>IFERROR(__xludf.DUMMYFUNCTION("""COMPUTED_VALUE"""),FALSE)</f>
        <v>0</v>
      </c>
      <c r="N1322" s="20" t="b">
        <f>IFERROR(__xludf.DUMMYFUNCTION("""COMPUTED_VALUE"""),FALSE)</f>
        <v>0</v>
      </c>
      <c r="O1322" s="20">
        <f>IFERROR(__xludf.DUMMYFUNCTION("""COMPUTED_VALUE"""),71.5783537132456)</f>
        <v>71.57835371</v>
      </c>
      <c r="P1322" s="20">
        <f>IFERROR(__xludf.DUMMYFUNCTION("""COMPUTED_VALUE"""),27922.0)</f>
        <v>27922</v>
      </c>
      <c r="Q1322" s="20">
        <f>IFERROR(__xludf.DUMMYFUNCTION("""COMPUTED_VALUE"""),39009.0)</f>
        <v>39009</v>
      </c>
    </row>
    <row r="1323">
      <c r="A1323" s="20">
        <f>IFERROR(__xludf.DUMMYFUNCTION("""COMPUTED_VALUE"""),1453.0)</f>
        <v>1453</v>
      </c>
      <c r="B1323" s="20" t="str">
        <f>IFERROR(__xludf.DUMMYFUNCTION("""COMPUTED_VALUE"""),"Ads Performance")</f>
        <v>Ads Performance</v>
      </c>
      <c r="C1323" s="20" t="str">
        <f>IFERROR(__xludf.DUMMYFUNCTION("""COMPUTED_VALUE"""),"ads-performance")</f>
        <v>ads-performance</v>
      </c>
      <c r="D1323" s="20" t="b">
        <f>IFERROR(__xludf.DUMMYFUNCTION("""COMPUTED_VALUE"""),TRUE)</f>
        <v>1</v>
      </c>
      <c r="E1323" s="20" t="str">
        <f>IFERROR(__xludf.DUMMYFUNCTION("""COMPUTED_VALUE"""),"Easy")</f>
        <v>Easy</v>
      </c>
      <c r="F1323" s="20">
        <f>IFERROR(__xludf.DUMMYFUNCTION("""COMPUTED_VALUE"""),218.0)</f>
        <v>218</v>
      </c>
      <c r="G1323" s="20">
        <f>IFERROR(__xludf.DUMMYFUNCTION("""COMPUTED_VALUE"""),54.0)</f>
        <v>54</v>
      </c>
      <c r="H1323" s="20" t="str">
        <f>IFERROR(__xludf.DUMMYFUNCTION("""COMPUTED_VALUE"""),"Database")</f>
        <v>Database</v>
      </c>
      <c r="I1323" s="20">
        <f>IFERROR(__xludf.DUMMYFUNCTION("""COMPUTED_VALUE"""),0.608)</f>
        <v>0.608</v>
      </c>
      <c r="J1323" s="20">
        <f>IFERROR(__xludf.DUMMYFUNCTION("""COMPUTED_VALUE"""),1322.0)</f>
        <v>1322</v>
      </c>
      <c r="K1323" s="20" t="b">
        <f>IFERROR(__xludf.DUMMYFUNCTION("""COMPUTED_VALUE"""),TRUE)</f>
        <v>1</v>
      </c>
      <c r="L1323" s="20" t="str">
        <f>IFERROR(__xludf.DUMMYFUNCTION("""COMPUTED_VALUE"""),"Database;")</f>
        <v>Database;</v>
      </c>
      <c r="M1323" s="20" t="b">
        <f>IFERROR(__xludf.DUMMYFUNCTION("""COMPUTED_VALUE"""),FALSE)</f>
        <v>0</v>
      </c>
      <c r="N1323" s="20" t="b">
        <f>IFERROR(__xludf.DUMMYFUNCTION("""COMPUTED_VALUE"""),FALSE)</f>
        <v>0</v>
      </c>
      <c r="O1323" s="20">
        <f>IFERROR(__xludf.DUMMYFUNCTION("""COMPUTED_VALUE"""),60.7971817889202)</f>
        <v>60.79718179</v>
      </c>
      <c r="P1323" s="20">
        <f>IFERROR(__xludf.DUMMYFUNCTION("""COMPUTED_VALUE"""),33999.0)</f>
        <v>33999</v>
      </c>
      <c r="Q1323" s="20">
        <f>IFERROR(__xludf.DUMMYFUNCTION("""COMPUTED_VALUE"""),55922.0)</f>
        <v>55922</v>
      </c>
    </row>
    <row r="1324">
      <c r="A1324" s="20">
        <f>IFERROR(__xludf.DUMMYFUNCTION("""COMPUTED_VALUE"""),1448.0)</f>
        <v>1448</v>
      </c>
      <c r="B1324" s="20" t="str">
        <f>IFERROR(__xludf.DUMMYFUNCTION("""COMPUTED_VALUE"""),"Maximum 69 Number")</f>
        <v>Maximum 69 Number</v>
      </c>
      <c r="C1324" s="20" t="str">
        <f>IFERROR(__xludf.DUMMYFUNCTION("""COMPUTED_VALUE"""),"maximum-69-number")</f>
        <v>maximum-69-number</v>
      </c>
      <c r="D1324" s="20" t="b">
        <f>IFERROR(__xludf.DUMMYFUNCTION("""COMPUTED_VALUE"""),FALSE)</f>
        <v>0</v>
      </c>
      <c r="E1324" s="20" t="str">
        <f>IFERROR(__xludf.DUMMYFUNCTION("""COMPUTED_VALUE"""),"Easy")</f>
        <v>Easy</v>
      </c>
      <c r="F1324" s="20">
        <f>IFERROR(__xludf.DUMMYFUNCTION("""COMPUTED_VALUE"""),2286.0)</f>
        <v>2286</v>
      </c>
      <c r="G1324" s="20">
        <f>IFERROR(__xludf.DUMMYFUNCTION("""COMPUTED_VALUE"""),189.0)</f>
        <v>189</v>
      </c>
      <c r="H1324" s="20" t="str">
        <f>IFERROR(__xludf.DUMMYFUNCTION("""COMPUTED_VALUE"""),"Algorithms")</f>
        <v>Algorithms</v>
      </c>
      <c r="I1324" s="20">
        <f>IFERROR(__xludf.DUMMYFUNCTION("""COMPUTED_VALUE"""),0.821)</f>
        <v>0.821</v>
      </c>
      <c r="J1324" s="20">
        <f>IFERROR(__xludf.DUMMYFUNCTION("""COMPUTED_VALUE"""),1323.0)</f>
        <v>1323</v>
      </c>
      <c r="K1324" s="20" t="b">
        <f>IFERROR(__xludf.DUMMYFUNCTION("""COMPUTED_VALUE"""),FALSE)</f>
        <v>0</v>
      </c>
      <c r="L1324" s="20" t="str">
        <f>IFERROR(__xludf.DUMMYFUNCTION("""COMPUTED_VALUE"""),"Math;Greedy;")</f>
        <v>Math;Greedy;</v>
      </c>
      <c r="M1324" s="20" t="b">
        <f>IFERROR(__xludf.DUMMYFUNCTION("""COMPUTED_VALUE"""),TRUE)</f>
        <v>1</v>
      </c>
      <c r="N1324" s="20" t="b">
        <f>IFERROR(__xludf.DUMMYFUNCTION("""COMPUTED_VALUE"""),FALSE)</f>
        <v>0</v>
      </c>
      <c r="O1324" s="20">
        <f>IFERROR(__xludf.DUMMYFUNCTION("""COMPUTED_VALUE"""),82.0748281257021)</f>
        <v>82.07482813</v>
      </c>
      <c r="P1324" s="20">
        <f>IFERROR(__xludf.DUMMYFUNCTION("""COMPUTED_VALUE"""),200920.0)</f>
        <v>200920</v>
      </c>
      <c r="Q1324" s="20">
        <f>IFERROR(__xludf.DUMMYFUNCTION("""COMPUTED_VALUE"""),244800.0)</f>
        <v>244800</v>
      </c>
    </row>
    <row r="1325">
      <c r="A1325" s="20">
        <f>IFERROR(__xludf.DUMMYFUNCTION("""COMPUTED_VALUE"""),1449.0)</f>
        <v>1449</v>
      </c>
      <c r="B1325" s="20" t="str">
        <f>IFERROR(__xludf.DUMMYFUNCTION("""COMPUTED_VALUE"""),"Print Words Vertically")</f>
        <v>Print Words Vertically</v>
      </c>
      <c r="C1325" s="20" t="str">
        <f>IFERROR(__xludf.DUMMYFUNCTION("""COMPUTED_VALUE"""),"print-words-vertically")</f>
        <v>print-words-vertically</v>
      </c>
      <c r="D1325" s="20" t="b">
        <f>IFERROR(__xludf.DUMMYFUNCTION("""COMPUTED_VALUE"""),FALSE)</f>
        <v>0</v>
      </c>
      <c r="E1325" s="20" t="str">
        <f>IFERROR(__xludf.DUMMYFUNCTION("""COMPUTED_VALUE"""),"Medium")</f>
        <v>Medium</v>
      </c>
      <c r="F1325" s="20">
        <f>IFERROR(__xludf.DUMMYFUNCTION("""COMPUTED_VALUE"""),595.0)</f>
        <v>595</v>
      </c>
      <c r="G1325" s="20">
        <f>IFERROR(__xludf.DUMMYFUNCTION("""COMPUTED_VALUE"""),100.0)</f>
        <v>100</v>
      </c>
      <c r="H1325" s="20" t="str">
        <f>IFERROR(__xludf.DUMMYFUNCTION("""COMPUTED_VALUE"""),"Algorithms")</f>
        <v>Algorithms</v>
      </c>
      <c r="I1325" s="20">
        <f>IFERROR(__xludf.DUMMYFUNCTION("""COMPUTED_VALUE"""),0.606)</f>
        <v>0.606</v>
      </c>
      <c r="J1325" s="20">
        <f>IFERROR(__xludf.DUMMYFUNCTION("""COMPUTED_VALUE"""),1324.0)</f>
        <v>1324</v>
      </c>
      <c r="K1325" s="20" t="b">
        <f>IFERROR(__xludf.DUMMYFUNCTION("""COMPUTED_VALUE"""),FALSE)</f>
        <v>0</v>
      </c>
      <c r="L1325" s="20" t="str">
        <f>IFERROR(__xludf.DUMMYFUNCTION("""COMPUTED_VALUE"""),"Array;String;Simulation;")</f>
        <v>Array;String;Simulation;</v>
      </c>
      <c r="M1325" s="20" t="b">
        <f>IFERROR(__xludf.DUMMYFUNCTION("""COMPUTED_VALUE"""),FALSE)</f>
        <v>0</v>
      </c>
      <c r="N1325" s="20" t="b">
        <f>IFERROR(__xludf.DUMMYFUNCTION("""COMPUTED_VALUE"""),FALSE)</f>
        <v>0</v>
      </c>
      <c r="O1325" s="20">
        <f>IFERROR(__xludf.DUMMYFUNCTION("""COMPUTED_VALUE"""),60.6095312045035)</f>
        <v>60.6095312</v>
      </c>
      <c r="P1325" s="20">
        <f>IFERROR(__xludf.DUMMYFUNCTION("""COMPUTED_VALUE"""),31223.0)</f>
        <v>31223</v>
      </c>
      <c r="Q1325" s="20">
        <f>IFERROR(__xludf.DUMMYFUNCTION("""COMPUTED_VALUE"""),51515.0)</f>
        <v>51515</v>
      </c>
    </row>
    <row r="1326">
      <c r="A1326" s="20">
        <f>IFERROR(__xludf.DUMMYFUNCTION("""COMPUTED_VALUE"""),1450.0)</f>
        <v>1450</v>
      </c>
      <c r="B1326" s="20" t="str">
        <f>IFERROR(__xludf.DUMMYFUNCTION("""COMPUTED_VALUE"""),"Delete Leaves With a Given Value")</f>
        <v>Delete Leaves With a Given Value</v>
      </c>
      <c r="C1326" s="20" t="str">
        <f>IFERROR(__xludf.DUMMYFUNCTION("""COMPUTED_VALUE"""),"delete-leaves-with-a-given-value")</f>
        <v>delete-leaves-with-a-given-value</v>
      </c>
      <c r="D1326" s="20" t="b">
        <f>IFERROR(__xludf.DUMMYFUNCTION("""COMPUTED_VALUE"""),FALSE)</f>
        <v>0</v>
      </c>
      <c r="E1326" s="20" t="str">
        <f>IFERROR(__xludf.DUMMYFUNCTION("""COMPUTED_VALUE"""),"Medium")</f>
        <v>Medium</v>
      </c>
      <c r="F1326" s="20">
        <f>IFERROR(__xludf.DUMMYFUNCTION("""COMPUTED_VALUE"""),1834.0)</f>
        <v>1834</v>
      </c>
      <c r="G1326" s="20">
        <f>IFERROR(__xludf.DUMMYFUNCTION("""COMPUTED_VALUE"""),32.0)</f>
        <v>32</v>
      </c>
      <c r="H1326" s="20" t="str">
        <f>IFERROR(__xludf.DUMMYFUNCTION("""COMPUTED_VALUE"""),"Algorithms")</f>
        <v>Algorithms</v>
      </c>
      <c r="I1326" s="20">
        <f>IFERROR(__xludf.DUMMYFUNCTION("""COMPUTED_VALUE"""),0.747)</f>
        <v>0.747</v>
      </c>
      <c r="J1326" s="20">
        <f>IFERROR(__xludf.DUMMYFUNCTION("""COMPUTED_VALUE"""),1325.0)</f>
        <v>1325</v>
      </c>
      <c r="K1326" s="20" t="b">
        <f>IFERROR(__xludf.DUMMYFUNCTION("""COMPUTED_VALUE"""),FALSE)</f>
        <v>0</v>
      </c>
      <c r="L1326" s="20" t="str">
        <f>IFERROR(__xludf.DUMMYFUNCTION("""COMPUTED_VALUE"""),"Tree;Depth-First Search;Binary Tree;")</f>
        <v>Tree;Depth-First Search;Binary Tree;</v>
      </c>
      <c r="M1326" s="20" t="b">
        <f>IFERROR(__xludf.DUMMYFUNCTION("""COMPUTED_VALUE"""),FALSE)</f>
        <v>0</v>
      </c>
      <c r="N1326" s="20" t="b">
        <f>IFERROR(__xludf.DUMMYFUNCTION("""COMPUTED_VALUE"""),FALSE)</f>
        <v>0</v>
      </c>
      <c r="O1326" s="20">
        <f>IFERROR(__xludf.DUMMYFUNCTION("""COMPUTED_VALUE"""),74.7092014681445)</f>
        <v>74.70920147</v>
      </c>
      <c r="P1326" s="20">
        <f>IFERROR(__xludf.DUMMYFUNCTION("""COMPUTED_VALUE"""),81825.0)</f>
        <v>81825</v>
      </c>
      <c r="Q1326" s="20">
        <f>IFERROR(__xludf.DUMMYFUNCTION("""COMPUTED_VALUE"""),109525.0)</f>
        <v>109525</v>
      </c>
    </row>
    <row r="1327">
      <c r="A1327" s="20">
        <f>IFERROR(__xludf.DUMMYFUNCTION("""COMPUTED_VALUE"""),1451.0)</f>
        <v>1451</v>
      </c>
      <c r="B1327" s="20" t="str">
        <f>IFERROR(__xludf.DUMMYFUNCTION("""COMPUTED_VALUE"""),"Minimum Number of Taps to Open to Water a Garden")</f>
        <v>Minimum Number of Taps to Open to Water a Garden</v>
      </c>
      <c r="C1327" s="20" t="str">
        <f>IFERROR(__xludf.DUMMYFUNCTION("""COMPUTED_VALUE"""),"minimum-number-of-taps-to-open-to-water-a-garden")</f>
        <v>minimum-number-of-taps-to-open-to-water-a-garden</v>
      </c>
      <c r="D1327" s="20" t="b">
        <f>IFERROR(__xludf.DUMMYFUNCTION("""COMPUTED_VALUE"""),FALSE)</f>
        <v>0</v>
      </c>
      <c r="E1327" s="20" t="str">
        <f>IFERROR(__xludf.DUMMYFUNCTION("""COMPUTED_VALUE"""),"Hard")</f>
        <v>Hard</v>
      </c>
      <c r="F1327" s="20">
        <f>IFERROR(__xludf.DUMMYFUNCTION("""COMPUTED_VALUE"""),1845.0)</f>
        <v>1845</v>
      </c>
      <c r="G1327" s="20">
        <f>IFERROR(__xludf.DUMMYFUNCTION("""COMPUTED_VALUE"""),120.0)</f>
        <v>120</v>
      </c>
      <c r="H1327" s="20" t="str">
        <f>IFERROR(__xludf.DUMMYFUNCTION("""COMPUTED_VALUE"""),"Algorithms")</f>
        <v>Algorithms</v>
      </c>
      <c r="I1327" s="20">
        <f>IFERROR(__xludf.DUMMYFUNCTION("""COMPUTED_VALUE"""),0.477)</f>
        <v>0.477</v>
      </c>
      <c r="J1327" s="20">
        <f>IFERROR(__xludf.DUMMYFUNCTION("""COMPUTED_VALUE"""),1326.0)</f>
        <v>1326</v>
      </c>
      <c r="K1327" s="20" t="b">
        <f>IFERROR(__xludf.DUMMYFUNCTION("""COMPUTED_VALUE"""),FALSE)</f>
        <v>0</v>
      </c>
      <c r="L1327" s="20" t="str">
        <f>IFERROR(__xludf.DUMMYFUNCTION("""COMPUTED_VALUE"""),"Array;Dynamic Programming;Greedy;")</f>
        <v>Array;Dynamic Programming;Greedy;</v>
      </c>
      <c r="M1327" s="20" t="b">
        <f>IFERROR(__xludf.DUMMYFUNCTION("""COMPUTED_VALUE"""),FALSE)</f>
        <v>0</v>
      </c>
      <c r="N1327" s="20" t="b">
        <f>IFERROR(__xludf.DUMMYFUNCTION("""COMPUTED_VALUE"""),FALSE)</f>
        <v>0</v>
      </c>
      <c r="O1327" s="20">
        <f>IFERROR(__xludf.DUMMYFUNCTION("""COMPUTED_VALUE"""),47.7220542928559)</f>
        <v>47.72205429</v>
      </c>
      <c r="P1327" s="20">
        <f>IFERROR(__xludf.DUMMYFUNCTION("""COMPUTED_VALUE"""),65676.0)</f>
        <v>65676</v>
      </c>
      <c r="Q1327" s="20">
        <f>IFERROR(__xludf.DUMMYFUNCTION("""COMPUTED_VALUE"""),137622.0)</f>
        <v>137622</v>
      </c>
    </row>
    <row r="1328">
      <c r="A1328" s="20">
        <f>IFERROR(__xludf.DUMMYFUNCTION("""COMPUTED_VALUE"""),1462.0)</f>
        <v>1462</v>
      </c>
      <c r="B1328" s="20" t="str">
        <f>IFERROR(__xludf.DUMMYFUNCTION("""COMPUTED_VALUE"""),"List the Products Ordered in a Period")</f>
        <v>List the Products Ordered in a Period</v>
      </c>
      <c r="C1328" s="20" t="str">
        <f>IFERROR(__xludf.DUMMYFUNCTION("""COMPUTED_VALUE"""),"list-the-products-ordered-in-a-period")</f>
        <v>list-the-products-ordered-in-a-period</v>
      </c>
      <c r="D1328" s="20" t="b">
        <f>IFERROR(__xludf.DUMMYFUNCTION("""COMPUTED_VALUE"""),TRUE)</f>
        <v>1</v>
      </c>
      <c r="E1328" s="20" t="str">
        <f>IFERROR(__xludf.DUMMYFUNCTION("""COMPUTED_VALUE"""),"Easy")</f>
        <v>Easy</v>
      </c>
      <c r="F1328" s="20">
        <f>IFERROR(__xludf.DUMMYFUNCTION("""COMPUTED_VALUE"""),98.0)</f>
        <v>98</v>
      </c>
      <c r="G1328" s="20">
        <f>IFERROR(__xludf.DUMMYFUNCTION("""COMPUTED_VALUE"""),22.0)</f>
        <v>22</v>
      </c>
      <c r="H1328" s="20" t="str">
        <f>IFERROR(__xludf.DUMMYFUNCTION("""COMPUTED_VALUE"""),"Database")</f>
        <v>Database</v>
      </c>
      <c r="I1328" s="20">
        <f>IFERROR(__xludf.DUMMYFUNCTION("""COMPUTED_VALUE"""),0.77)</f>
        <v>0.77</v>
      </c>
      <c r="J1328" s="20">
        <f>IFERROR(__xludf.DUMMYFUNCTION("""COMPUTED_VALUE"""),1327.0)</f>
        <v>1327</v>
      </c>
      <c r="K1328" s="20" t="b">
        <f>IFERROR(__xludf.DUMMYFUNCTION("""COMPUTED_VALUE"""),TRUE)</f>
        <v>1</v>
      </c>
      <c r="L1328" s="20" t="str">
        <f>IFERROR(__xludf.DUMMYFUNCTION("""COMPUTED_VALUE"""),"Database;")</f>
        <v>Database;</v>
      </c>
      <c r="M1328" s="20" t="b">
        <f>IFERROR(__xludf.DUMMYFUNCTION("""COMPUTED_VALUE"""),FALSE)</f>
        <v>0</v>
      </c>
      <c r="N1328" s="20" t="b">
        <f>IFERROR(__xludf.DUMMYFUNCTION("""COMPUTED_VALUE"""),FALSE)</f>
        <v>0</v>
      </c>
      <c r="O1328" s="20">
        <f>IFERROR(__xludf.DUMMYFUNCTION("""COMPUTED_VALUE"""),77.013829566181)</f>
        <v>77.01382957</v>
      </c>
      <c r="P1328" s="20">
        <f>IFERROR(__xludf.DUMMYFUNCTION("""COMPUTED_VALUE"""),33357.0)</f>
        <v>33357</v>
      </c>
      <c r="Q1328" s="20">
        <f>IFERROR(__xludf.DUMMYFUNCTION("""COMPUTED_VALUE"""),43313.0)</f>
        <v>43313</v>
      </c>
    </row>
    <row r="1329">
      <c r="A1329" s="20">
        <f>IFERROR(__xludf.DUMMYFUNCTION("""COMPUTED_VALUE"""),1252.0)</f>
        <v>1252</v>
      </c>
      <c r="B1329" s="20" t="str">
        <f>IFERROR(__xludf.DUMMYFUNCTION("""COMPUTED_VALUE"""),"Break a Palindrome")</f>
        <v>Break a Palindrome</v>
      </c>
      <c r="C1329" s="20" t="str">
        <f>IFERROR(__xludf.DUMMYFUNCTION("""COMPUTED_VALUE"""),"break-a-palindrome")</f>
        <v>break-a-palindrome</v>
      </c>
      <c r="D1329" s="20" t="b">
        <f>IFERROR(__xludf.DUMMYFUNCTION("""COMPUTED_VALUE"""),FALSE)</f>
        <v>0</v>
      </c>
      <c r="E1329" s="20" t="str">
        <f>IFERROR(__xludf.DUMMYFUNCTION("""COMPUTED_VALUE"""),"Medium")</f>
        <v>Medium</v>
      </c>
      <c r="F1329" s="20">
        <f>IFERROR(__xludf.DUMMYFUNCTION("""COMPUTED_VALUE"""),1987.0)</f>
        <v>1987</v>
      </c>
      <c r="G1329" s="20">
        <f>IFERROR(__xludf.DUMMYFUNCTION("""COMPUTED_VALUE"""),679.0)</f>
        <v>679</v>
      </c>
      <c r="H1329" s="20" t="str">
        <f>IFERROR(__xludf.DUMMYFUNCTION("""COMPUTED_VALUE"""),"Algorithms")</f>
        <v>Algorithms</v>
      </c>
      <c r="I1329" s="20">
        <f>IFERROR(__xludf.DUMMYFUNCTION("""COMPUTED_VALUE"""),0.53)</f>
        <v>0.53</v>
      </c>
      <c r="J1329" s="20">
        <f>IFERROR(__xludf.DUMMYFUNCTION("""COMPUTED_VALUE"""),1328.0)</f>
        <v>1328</v>
      </c>
      <c r="K1329" s="20" t="b">
        <f>IFERROR(__xludf.DUMMYFUNCTION("""COMPUTED_VALUE"""),FALSE)</f>
        <v>0</v>
      </c>
      <c r="L1329" s="20" t="str">
        <f>IFERROR(__xludf.DUMMYFUNCTION("""COMPUTED_VALUE"""),"String;Greedy;")</f>
        <v>String;Greedy;</v>
      </c>
      <c r="M1329" s="20" t="b">
        <f>IFERROR(__xludf.DUMMYFUNCTION("""COMPUTED_VALUE"""),TRUE)</f>
        <v>1</v>
      </c>
      <c r="N1329" s="20" t="b">
        <f>IFERROR(__xludf.DUMMYFUNCTION("""COMPUTED_VALUE"""),FALSE)</f>
        <v>0</v>
      </c>
      <c r="O1329" s="20">
        <f>IFERROR(__xludf.DUMMYFUNCTION("""COMPUTED_VALUE"""),53.0434581990725)</f>
        <v>53.0434582</v>
      </c>
      <c r="P1329" s="20">
        <f>IFERROR(__xludf.DUMMYFUNCTION("""COMPUTED_VALUE"""),137945.0)</f>
        <v>137945</v>
      </c>
      <c r="Q1329" s="20">
        <f>IFERROR(__xludf.DUMMYFUNCTION("""COMPUTED_VALUE"""),260063.0)</f>
        <v>260063</v>
      </c>
    </row>
    <row r="1330">
      <c r="A1330" s="20">
        <f>IFERROR(__xludf.DUMMYFUNCTION("""COMPUTED_VALUE"""),1253.0)</f>
        <v>1253</v>
      </c>
      <c r="B1330" s="20" t="str">
        <f>IFERROR(__xludf.DUMMYFUNCTION("""COMPUTED_VALUE"""),"Sort the Matrix Diagonally")</f>
        <v>Sort the Matrix Diagonally</v>
      </c>
      <c r="C1330" s="20" t="str">
        <f>IFERROR(__xludf.DUMMYFUNCTION("""COMPUTED_VALUE"""),"sort-the-matrix-diagonally")</f>
        <v>sort-the-matrix-diagonally</v>
      </c>
      <c r="D1330" s="20" t="b">
        <f>IFERROR(__xludf.DUMMYFUNCTION("""COMPUTED_VALUE"""),FALSE)</f>
        <v>0</v>
      </c>
      <c r="E1330" s="20" t="str">
        <f>IFERROR(__xludf.DUMMYFUNCTION("""COMPUTED_VALUE"""),"Medium")</f>
        <v>Medium</v>
      </c>
      <c r="F1330" s="20">
        <f>IFERROR(__xludf.DUMMYFUNCTION("""COMPUTED_VALUE"""),2965.0)</f>
        <v>2965</v>
      </c>
      <c r="G1330" s="20">
        <f>IFERROR(__xludf.DUMMYFUNCTION("""COMPUTED_VALUE"""),213.0)</f>
        <v>213</v>
      </c>
      <c r="H1330" s="20" t="str">
        <f>IFERROR(__xludf.DUMMYFUNCTION("""COMPUTED_VALUE"""),"Algorithms")</f>
        <v>Algorithms</v>
      </c>
      <c r="I1330" s="20">
        <f>IFERROR(__xludf.DUMMYFUNCTION("""COMPUTED_VALUE"""),0.835)</f>
        <v>0.835</v>
      </c>
      <c r="J1330" s="20">
        <f>IFERROR(__xludf.DUMMYFUNCTION("""COMPUTED_VALUE"""),1329.0)</f>
        <v>1329</v>
      </c>
      <c r="K1330" s="20" t="b">
        <f>IFERROR(__xludf.DUMMYFUNCTION("""COMPUTED_VALUE"""),FALSE)</f>
        <v>0</v>
      </c>
      <c r="L1330" s="20" t="str">
        <f>IFERROR(__xludf.DUMMYFUNCTION("""COMPUTED_VALUE"""),"Array;Sorting;Matrix;")</f>
        <v>Array;Sorting;Matrix;</v>
      </c>
      <c r="M1330" s="20" t="b">
        <f>IFERROR(__xludf.DUMMYFUNCTION("""COMPUTED_VALUE"""),TRUE)</f>
        <v>1</v>
      </c>
      <c r="N1330" s="20" t="b">
        <f>IFERROR(__xludf.DUMMYFUNCTION("""COMPUTED_VALUE"""),TRUE)</f>
        <v>1</v>
      </c>
      <c r="O1330" s="20">
        <f>IFERROR(__xludf.DUMMYFUNCTION("""COMPUTED_VALUE"""),83.5390848991777)</f>
        <v>83.5390849</v>
      </c>
      <c r="P1330" s="20">
        <f>IFERROR(__xludf.DUMMYFUNCTION("""COMPUTED_VALUE"""),141024.0)</f>
        <v>141024</v>
      </c>
      <c r="Q1330" s="20">
        <f>IFERROR(__xludf.DUMMYFUNCTION("""COMPUTED_VALUE"""),168812.0)</f>
        <v>168812</v>
      </c>
    </row>
    <row r="1331">
      <c r="A1331" s="20">
        <f>IFERROR(__xludf.DUMMYFUNCTION("""COMPUTED_VALUE"""),1255.0)</f>
        <v>1255</v>
      </c>
      <c r="B1331" s="20" t="str">
        <f>IFERROR(__xludf.DUMMYFUNCTION("""COMPUTED_VALUE"""),"Reverse Subarray To Maximize Array Value")</f>
        <v>Reverse Subarray To Maximize Array Value</v>
      </c>
      <c r="C1331" s="20" t="str">
        <f>IFERROR(__xludf.DUMMYFUNCTION("""COMPUTED_VALUE"""),"reverse-subarray-to-maximize-array-value")</f>
        <v>reverse-subarray-to-maximize-array-value</v>
      </c>
      <c r="D1331" s="20" t="b">
        <f>IFERROR(__xludf.DUMMYFUNCTION("""COMPUTED_VALUE"""),FALSE)</f>
        <v>0</v>
      </c>
      <c r="E1331" s="20" t="str">
        <f>IFERROR(__xludf.DUMMYFUNCTION("""COMPUTED_VALUE"""),"Hard")</f>
        <v>Hard</v>
      </c>
      <c r="F1331" s="20">
        <f>IFERROR(__xludf.DUMMYFUNCTION("""COMPUTED_VALUE"""),391.0)</f>
        <v>391</v>
      </c>
      <c r="G1331" s="20">
        <f>IFERROR(__xludf.DUMMYFUNCTION("""COMPUTED_VALUE"""),36.0)</f>
        <v>36</v>
      </c>
      <c r="H1331" s="20" t="str">
        <f>IFERROR(__xludf.DUMMYFUNCTION("""COMPUTED_VALUE"""),"Algorithms")</f>
        <v>Algorithms</v>
      </c>
      <c r="I1331" s="20">
        <f>IFERROR(__xludf.DUMMYFUNCTION("""COMPUTED_VALUE"""),0.403)</f>
        <v>0.403</v>
      </c>
      <c r="J1331" s="20">
        <f>IFERROR(__xludf.DUMMYFUNCTION("""COMPUTED_VALUE"""),1330.0)</f>
        <v>1330</v>
      </c>
      <c r="K1331" s="20" t="b">
        <f>IFERROR(__xludf.DUMMYFUNCTION("""COMPUTED_VALUE"""),FALSE)</f>
        <v>0</v>
      </c>
      <c r="L1331" s="20" t="str">
        <f>IFERROR(__xludf.DUMMYFUNCTION("""COMPUTED_VALUE"""),"Array;Math;Greedy;")</f>
        <v>Array;Math;Greedy;</v>
      </c>
      <c r="M1331" s="20" t="b">
        <f>IFERROR(__xludf.DUMMYFUNCTION("""COMPUTED_VALUE"""),FALSE)</f>
        <v>0</v>
      </c>
      <c r="N1331" s="20" t="b">
        <f>IFERROR(__xludf.DUMMYFUNCTION("""COMPUTED_VALUE"""),FALSE)</f>
        <v>0</v>
      </c>
      <c r="O1331" s="20">
        <f>IFERROR(__xludf.DUMMYFUNCTION("""COMPUTED_VALUE"""),40.3020164571841)</f>
        <v>40.30201646</v>
      </c>
      <c r="P1331" s="20">
        <f>IFERROR(__xludf.DUMMYFUNCTION("""COMPUTED_VALUE"""),4457.0)</f>
        <v>4457</v>
      </c>
      <c r="Q1331" s="20">
        <f>IFERROR(__xludf.DUMMYFUNCTION("""COMPUTED_VALUE"""),11059.0)</f>
        <v>11059</v>
      </c>
    </row>
    <row r="1332">
      <c r="A1332" s="20">
        <f>IFERROR(__xludf.DUMMYFUNCTION("""COMPUTED_VALUE"""),1256.0)</f>
        <v>1256</v>
      </c>
      <c r="B1332" s="20" t="str">
        <f>IFERROR(__xludf.DUMMYFUNCTION("""COMPUTED_VALUE"""),"Rank Transform of an Array")</f>
        <v>Rank Transform of an Array</v>
      </c>
      <c r="C1332" s="20" t="str">
        <f>IFERROR(__xludf.DUMMYFUNCTION("""COMPUTED_VALUE"""),"rank-transform-of-an-array")</f>
        <v>rank-transform-of-an-array</v>
      </c>
      <c r="D1332" s="20" t="b">
        <f>IFERROR(__xludf.DUMMYFUNCTION("""COMPUTED_VALUE"""),FALSE)</f>
        <v>0</v>
      </c>
      <c r="E1332" s="20" t="str">
        <f>IFERROR(__xludf.DUMMYFUNCTION("""COMPUTED_VALUE"""),"Easy")</f>
        <v>Easy</v>
      </c>
      <c r="F1332" s="20">
        <f>IFERROR(__xludf.DUMMYFUNCTION("""COMPUTED_VALUE"""),1260.0)</f>
        <v>1260</v>
      </c>
      <c r="G1332" s="20">
        <f>IFERROR(__xludf.DUMMYFUNCTION("""COMPUTED_VALUE"""),62.0)</f>
        <v>62</v>
      </c>
      <c r="H1332" s="20" t="str">
        <f>IFERROR(__xludf.DUMMYFUNCTION("""COMPUTED_VALUE"""),"Algorithms")</f>
        <v>Algorithms</v>
      </c>
      <c r="I1332" s="20">
        <f>IFERROR(__xludf.DUMMYFUNCTION("""COMPUTED_VALUE"""),0.591)</f>
        <v>0.591</v>
      </c>
      <c r="J1332" s="20">
        <f>IFERROR(__xludf.DUMMYFUNCTION("""COMPUTED_VALUE"""),1331.0)</f>
        <v>1331</v>
      </c>
      <c r="K1332" s="20" t="b">
        <f>IFERROR(__xludf.DUMMYFUNCTION("""COMPUTED_VALUE"""),FALSE)</f>
        <v>0</v>
      </c>
      <c r="L1332" s="20" t="str">
        <f>IFERROR(__xludf.DUMMYFUNCTION("""COMPUTED_VALUE"""),"Array;Hash Table;Sorting;")</f>
        <v>Array;Hash Table;Sorting;</v>
      </c>
      <c r="M1332" s="20" t="b">
        <f>IFERROR(__xludf.DUMMYFUNCTION("""COMPUTED_VALUE"""),FALSE)</f>
        <v>0</v>
      </c>
      <c r="N1332" s="20" t="b">
        <f>IFERROR(__xludf.DUMMYFUNCTION("""COMPUTED_VALUE"""),FALSE)</f>
        <v>0</v>
      </c>
      <c r="O1332" s="20">
        <f>IFERROR(__xludf.DUMMYFUNCTION("""COMPUTED_VALUE"""),59.1294387170675)</f>
        <v>59.12943872</v>
      </c>
      <c r="P1332" s="20">
        <f>IFERROR(__xludf.DUMMYFUNCTION("""COMPUTED_VALUE"""),77430.0)</f>
        <v>77430</v>
      </c>
      <c r="Q1332" s="20">
        <f>IFERROR(__xludf.DUMMYFUNCTION("""COMPUTED_VALUE"""),130950.0)</f>
        <v>130950</v>
      </c>
    </row>
    <row r="1333">
      <c r="A1333" s="20">
        <f>IFERROR(__xludf.DUMMYFUNCTION("""COMPUTED_VALUE"""),1454.0)</f>
        <v>1454</v>
      </c>
      <c r="B1333" s="20" t="str">
        <f>IFERROR(__xludf.DUMMYFUNCTION("""COMPUTED_VALUE"""),"Remove Palindromic Subsequences")</f>
        <v>Remove Palindromic Subsequences</v>
      </c>
      <c r="C1333" s="20" t="str">
        <f>IFERROR(__xludf.DUMMYFUNCTION("""COMPUTED_VALUE"""),"remove-palindromic-subsequences")</f>
        <v>remove-palindromic-subsequences</v>
      </c>
      <c r="D1333" s="20" t="b">
        <f>IFERROR(__xludf.DUMMYFUNCTION("""COMPUTED_VALUE"""),FALSE)</f>
        <v>0</v>
      </c>
      <c r="E1333" s="20" t="str">
        <f>IFERROR(__xludf.DUMMYFUNCTION("""COMPUTED_VALUE"""),"Easy")</f>
        <v>Easy</v>
      </c>
      <c r="F1333" s="20">
        <f>IFERROR(__xludf.DUMMYFUNCTION("""COMPUTED_VALUE"""),1445.0)</f>
        <v>1445</v>
      </c>
      <c r="G1333" s="20">
        <f>IFERROR(__xludf.DUMMYFUNCTION("""COMPUTED_VALUE"""),1589.0)</f>
        <v>1589</v>
      </c>
      <c r="H1333" s="20" t="str">
        <f>IFERROR(__xludf.DUMMYFUNCTION("""COMPUTED_VALUE"""),"Algorithms")</f>
        <v>Algorithms</v>
      </c>
      <c r="I1333" s="20">
        <f>IFERROR(__xludf.DUMMYFUNCTION("""COMPUTED_VALUE"""),0.762)</f>
        <v>0.762</v>
      </c>
      <c r="J1333" s="20">
        <f>IFERROR(__xludf.DUMMYFUNCTION("""COMPUTED_VALUE"""),1332.0)</f>
        <v>1332</v>
      </c>
      <c r="K1333" s="20" t="b">
        <f>IFERROR(__xludf.DUMMYFUNCTION("""COMPUTED_VALUE"""),FALSE)</f>
        <v>0</v>
      </c>
      <c r="L1333" s="20" t="str">
        <f>IFERROR(__xludf.DUMMYFUNCTION("""COMPUTED_VALUE"""),"Two Pointers;String;")</f>
        <v>Two Pointers;String;</v>
      </c>
      <c r="M1333" s="20" t="b">
        <f>IFERROR(__xludf.DUMMYFUNCTION("""COMPUTED_VALUE"""),TRUE)</f>
        <v>1</v>
      </c>
      <c r="N1333" s="20" t="b">
        <f>IFERROR(__xludf.DUMMYFUNCTION("""COMPUTED_VALUE"""),FALSE)</f>
        <v>0</v>
      </c>
      <c r="O1333" s="20">
        <f>IFERROR(__xludf.DUMMYFUNCTION("""COMPUTED_VALUE"""),76.1641087109466)</f>
        <v>76.16410871</v>
      </c>
      <c r="P1333" s="20">
        <f>IFERROR(__xludf.DUMMYFUNCTION("""COMPUTED_VALUE"""),116918.0)</f>
        <v>116918</v>
      </c>
      <c r="Q1333" s="20">
        <f>IFERROR(__xludf.DUMMYFUNCTION("""COMPUTED_VALUE"""),153508.0)</f>
        <v>153508</v>
      </c>
    </row>
    <row r="1334">
      <c r="A1334" s="20">
        <f>IFERROR(__xludf.DUMMYFUNCTION("""COMPUTED_VALUE"""),1455.0)</f>
        <v>1455</v>
      </c>
      <c r="B1334" s="20" t="str">
        <f>IFERROR(__xludf.DUMMYFUNCTION("""COMPUTED_VALUE"""),"Filter Restaurants by Vegan-Friendly, Price and Distance")</f>
        <v>Filter Restaurants by Vegan-Friendly, Price and Distance</v>
      </c>
      <c r="C1334" s="20" t="str">
        <f>IFERROR(__xludf.DUMMYFUNCTION("""COMPUTED_VALUE"""),"filter-restaurants-by-vegan-friendly-price-and-distance")</f>
        <v>filter-restaurants-by-vegan-friendly-price-and-distance</v>
      </c>
      <c r="D1334" s="20" t="b">
        <f>IFERROR(__xludf.DUMMYFUNCTION("""COMPUTED_VALUE"""),FALSE)</f>
        <v>0</v>
      </c>
      <c r="E1334" s="20" t="str">
        <f>IFERROR(__xludf.DUMMYFUNCTION("""COMPUTED_VALUE"""),"Medium")</f>
        <v>Medium</v>
      </c>
      <c r="F1334" s="20">
        <f>IFERROR(__xludf.DUMMYFUNCTION("""COMPUTED_VALUE"""),255.0)</f>
        <v>255</v>
      </c>
      <c r="G1334" s="20">
        <f>IFERROR(__xludf.DUMMYFUNCTION("""COMPUTED_VALUE"""),195.0)</f>
        <v>195</v>
      </c>
      <c r="H1334" s="20" t="str">
        <f>IFERROR(__xludf.DUMMYFUNCTION("""COMPUTED_VALUE"""),"Algorithms")</f>
        <v>Algorithms</v>
      </c>
      <c r="I1334" s="20">
        <f>IFERROR(__xludf.DUMMYFUNCTION("""COMPUTED_VALUE"""),0.597)</f>
        <v>0.597</v>
      </c>
      <c r="J1334" s="20">
        <f>IFERROR(__xludf.DUMMYFUNCTION("""COMPUTED_VALUE"""),1333.0)</f>
        <v>1333</v>
      </c>
      <c r="K1334" s="20" t="b">
        <f>IFERROR(__xludf.DUMMYFUNCTION("""COMPUTED_VALUE"""),FALSE)</f>
        <v>0</v>
      </c>
      <c r="L1334" s="20" t="str">
        <f>IFERROR(__xludf.DUMMYFUNCTION("""COMPUTED_VALUE"""),"Array;Sorting;")</f>
        <v>Array;Sorting;</v>
      </c>
      <c r="M1334" s="20" t="b">
        <f>IFERROR(__xludf.DUMMYFUNCTION("""COMPUTED_VALUE"""),FALSE)</f>
        <v>0</v>
      </c>
      <c r="N1334" s="20" t="b">
        <f>IFERROR(__xludf.DUMMYFUNCTION("""COMPUTED_VALUE"""),FALSE)</f>
        <v>0</v>
      </c>
      <c r="O1334" s="20">
        <f>IFERROR(__xludf.DUMMYFUNCTION("""COMPUTED_VALUE"""),59.6922424356678)</f>
        <v>59.69224244</v>
      </c>
      <c r="P1334" s="20">
        <f>IFERROR(__xludf.DUMMYFUNCTION("""COMPUTED_VALUE"""),25331.0)</f>
        <v>25331</v>
      </c>
      <c r="Q1334" s="20">
        <f>IFERROR(__xludf.DUMMYFUNCTION("""COMPUTED_VALUE"""),42436.0)</f>
        <v>42436</v>
      </c>
    </row>
    <row r="1335">
      <c r="A1335" s="20">
        <f>IFERROR(__xludf.DUMMYFUNCTION("""COMPUTED_VALUE"""),1456.0)</f>
        <v>1456</v>
      </c>
      <c r="B1335" s="20" t="str">
        <f>IFERROR(__xludf.DUMMYFUNCTION("""COMPUTED_VALUE"""),"Find the City With the Smallest Number of Neighbors at a Threshold Distance")</f>
        <v>Find the City With the Smallest Number of Neighbors at a Threshold Distance</v>
      </c>
      <c r="C1335" s="20" t="str">
        <f>IFERROR(__xludf.DUMMYFUNCTION("""COMPUTED_VALUE"""),"find-the-city-with-the-smallest-number-of-neighbors-at-a-threshold-distance")</f>
        <v>find-the-city-with-the-smallest-number-of-neighbors-at-a-threshold-distance</v>
      </c>
      <c r="D1335" s="20" t="b">
        <f>IFERROR(__xludf.DUMMYFUNCTION("""COMPUTED_VALUE"""),FALSE)</f>
        <v>0</v>
      </c>
      <c r="E1335" s="20" t="str">
        <f>IFERROR(__xludf.DUMMYFUNCTION("""COMPUTED_VALUE"""),"Medium")</f>
        <v>Medium</v>
      </c>
      <c r="F1335" s="20">
        <f>IFERROR(__xludf.DUMMYFUNCTION("""COMPUTED_VALUE"""),1704.0)</f>
        <v>1704</v>
      </c>
      <c r="G1335" s="20">
        <f>IFERROR(__xludf.DUMMYFUNCTION("""COMPUTED_VALUE"""),68.0)</f>
        <v>68</v>
      </c>
      <c r="H1335" s="20" t="str">
        <f>IFERROR(__xludf.DUMMYFUNCTION("""COMPUTED_VALUE"""),"Algorithms")</f>
        <v>Algorithms</v>
      </c>
      <c r="I1335" s="20">
        <f>IFERROR(__xludf.DUMMYFUNCTION("""COMPUTED_VALUE"""),0.534)</f>
        <v>0.534</v>
      </c>
      <c r="J1335" s="20">
        <f>IFERROR(__xludf.DUMMYFUNCTION("""COMPUTED_VALUE"""),1334.0)</f>
        <v>1334</v>
      </c>
      <c r="K1335" s="20" t="b">
        <f>IFERROR(__xludf.DUMMYFUNCTION("""COMPUTED_VALUE"""),FALSE)</f>
        <v>0</v>
      </c>
      <c r="L1335" s="20" t="str">
        <f>IFERROR(__xludf.DUMMYFUNCTION("""COMPUTED_VALUE"""),"Dynamic Programming;Graph;Shortest Path;")</f>
        <v>Dynamic Programming;Graph;Shortest Path;</v>
      </c>
      <c r="M1335" s="20" t="b">
        <f>IFERROR(__xludf.DUMMYFUNCTION("""COMPUTED_VALUE"""),FALSE)</f>
        <v>0</v>
      </c>
      <c r="N1335" s="20" t="b">
        <f>IFERROR(__xludf.DUMMYFUNCTION("""COMPUTED_VALUE"""),FALSE)</f>
        <v>0</v>
      </c>
      <c r="O1335" s="20">
        <f>IFERROR(__xludf.DUMMYFUNCTION("""COMPUTED_VALUE"""),53.4112907956745)</f>
        <v>53.4112908</v>
      </c>
      <c r="P1335" s="20">
        <f>IFERROR(__xludf.DUMMYFUNCTION("""COMPUTED_VALUE"""),54628.0)</f>
        <v>54628</v>
      </c>
      <c r="Q1335" s="20">
        <f>IFERROR(__xludf.DUMMYFUNCTION("""COMPUTED_VALUE"""),102278.0)</f>
        <v>102278</v>
      </c>
    </row>
    <row r="1336">
      <c r="A1336" s="20">
        <f>IFERROR(__xludf.DUMMYFUNCTION("""COMPUTED_VALUE"""),1457.0)</f>
        <v>1457</v>
      </c>
      <c r="B1336" s="20" t="str">
        <f>IFERROR(__xludf.DUMMYFUNCTION("""COMPUTED_VALUE"""),"Minimum Difficulty of a Job Schedule")</f>
        <v>Minimum Difficulty of a Job Schedule</v>
      </c>
      <c r="C1336" s="20" t="str">
        <f>IFERROR(__xludf.DUMMYFUNCTION("""COMPUTED_VALUE"""),"minimum-difficulty-of-a-job-schedule")</f>
        <v>minimum-difficulty-of-a-job-schedule</v>
      </c>
      <c r="D1336" s="20" t="b">
        <f>IFERROR(__xludf.DUMMYFUNCTION("""COMPUTED_VALUE"""),FALSE)</f>
        <v>0</v>
      </c>
      <c r="E1336" s="20" t="str">
        <f>IFERROR(__xludf.DUMMYFUNCTION("""COMPUTED_VALUE"""),"Hard")</f>
        <v>Hard</v>
      </c>
      <c r="F1336" s="20">
        <f>IFERROR(__xludf.DUMMYFUNCTION("""COMPUTED_VALUE"""),2434.0)</f>
        <v>2434</v>
      </c>
      <c r="G1336" s="20">
        <f>IFERROR(__xludf.DUMMYFUNCTION("""COMPUTED_VALUE"""),225.0)</f>
        <v>225</v>
      </c>
      <c r="H1336" s="20" t="str">
        <f>IFERROR(__xludf.DUMMYFUNCTION("""COMPUTED_VALUE"""),"Algorithms")</f>
        <v>Algorithms</v>
      </c>
      <c r="I1336" s="20">
        <f>IFERROR(__xludf.DUMMYFUNCTION("""COMPUTED_VALUE"""),0.587)</f>
        <v>0.587</v>
      </c>
      <c r="J1336" s="20">
        <f>IFERROR(__xludf.DUMMYFUNCTION("""COMPUTED_VALUE"""),1335.0)</f>
        <v>1335</v>
      </c>
      <c r="K1336" s="20" t="b">
        <f>IFERROR(__xludf.DUMMYFUNCTION("""COMPUTED_VALUE"""),FALSE)</f>
        <v>0</v>
      </c>
      <c r="L1336" s="20" t="str">
        <f>IFERROR(__xludf.DUMMYFUNCTION("""COMPUTED_VALUE"""),"Array;Dynamic Programming;")</f>
        <v>Array;Dynamic Programming;</v>
      </c>
      <c r="M1336" s="20" t="b">
        <f>IFERROR(__xludf.DUMMYFUNCTION("""COMPUTED_VALUE"""),TRUE)</f>
        <v>1</v>
      </c>
      <c r="N1336" s="20" t="b">
        <f>IFERROR(__xludf.DUMMYFUNCTION("""COMPUTED_VALUE"""),FALSE)</f>
        <v>0</v>
      </c>
      <c r="O1336" s="20">
        <f>IFERROR(__xludf.DUMMYFUNCTION("""COMPUTED_VALUE"""),58.6537005823635)</f>
        <v>58.65370058</v>
      </c>
      <c r="P1336" s="20">
        <f>IFERROR(__xludf.DUMMYFUNCTION("""COMPUTED_VALUE"""),116227.0)</f>
        <v>116227</v>
      </c>
      <c r="Q1336" s="20">
        <f>IFERROR(__xludf.DUMMYFUNCTION("""COMPUTED_VALUE"""),198158.0)</f>
        <v>198158</v>
      </c>
    </row>
    <row r="1337">
      <c r="A1337" s="20">
        <f>IFERROR(__xludf.DUMMYFUNCTION("""COMPUTED_VALUE"""),1467.0)</f>
        <v>1467</v>
      </c>
      <c r="B1337" s="20" t="str">
        <f>IFERROR(__xludf.DUMMYFUNCTION("""COMPUTED_VALUE"""),"Number of Transactions per Visit")</f>
        <v>Number of Transactions per Visit</v>
      </c>
      <c r="C1337" s="20" t="str">
        <f>IFERROR(__xludf.DUMMYFUNCTION("""COMPUTED_VALUE"""),"number-of-transactions-per-visit")</f>
        <v>number-of-transactions-per-visit</v>
      </c>
      <c r="D1337" s="20" t="b">
        <f>IFERROR(__xludf.DUMMYFUNCTION("""COMPUTED_VALUE"""),TRUE)</f>
        <v>1</v>
      </c>
      <c r="E1337" s="20" t="str">
        <f>IFERROR(__xludf.DUMMYFUNCTION("""COMPUTED_VALUE"""),"Hard")</f>
        <v>Hard</v>
      </c>
      <c r="F1337" s="20">
        <f>IFERROR(__xludf.DUMMYFUNCTION("""COMPUTED_VALUE"""),77.0)</f>
        <v>77</v>
      </c>
      <c r="G1337" s="20">
        <f>IFERROR(__xludf.DUMMYFUNCTION("""COMPUTED_VALUE"""),274.0)</f>
        <v>274</v>
      </c>
      <c r="H1337" s="20" t="str">
        <f>IFERROR(__xludf.DUMMYFUNCTION("""COMPUTED_VALUE"""),"Database")</f>
        <v>Database</v>
      </c>
      <c r="I1337" s="20">
        <f>IFERROR(__xludf.DUMMYFUNCTION("""COMPUTED_VALUE"""),0.513)</f>
        <v>0.513</v>
      </c>
      <c r="J1337" s="20">
        <f>IFERROR(__xludf.DUMMYFUNCTION("""COMPUTED_VALUE"""),1336.0)</f>
        <v>1336</v>
      </c>
      <c r="K1337" s="20" t="b">
        <f>IFERROR(__xludf.DUMMYFUNCTION("""COMPUTED_VALUE"""),TRUE)</f>
        <v>1</v>
      </c>
      <c r="L1337" s="20" t="str">
        <f>IFERROR(__xludf.DUMMYFUNCTION("""COMPUTED_VALUE"""),"Database;")</f>
        <v>Database;</v>
      </c>
      <c r="M1337" s="20" t="b">
        <f>IFERROR(__xludf.DUMMYFUNCTION("""COMPUTED_VALUE"""),FALSE)</f>
        <v>0</v>
      </c>
      <c r="N1337" s="20" t="b">
        <f>IFERROR(__xludf.DUMMYFUNCTION("""COMPUTED_VALUE"""),FALSE)</f>
        <v>0</v>
      </c>
      <c r="O1337" s="20">
        <f>IFERROR(__xludf.DUMMYFUNCTION("""COMPUTED_VALUE"""),51.2913841244515)</f>
        <v>51.29138412</v>
      </c>
      <c r="P1337" s="20">
        <f>IFERROR(__xludf.DUMMYFUNCTION("""COMPUTED_VALUE"""),10287.0)</f>
        <v>10287</v>
      </c>
      <c r="Q1337" s="20">
        <f>IFERROR(__xludf.DUMMYFUNCTION("""COMPUTED_VALUE"""),20055.0)</f>
        <v>20055</v>
      </c>
    </row>
    <row r="1338">
      <c r="A1338" s="20">
        <f>IFERROR(__xludf.DUMMYFUNCTION("""COMPUTED_VALUE"""),1463.0)</f>
        <v>1463</v>
      </c>
      <c r="B1338" s="20" t="str">
        <f>IFERROR(__xludf.DUMMYFUNCTION("""COMPUTED_VALUE"""),"The K Weakest Rows in a Matrix")</f>
        <v>The K Weakest Rows in a Matrix</v>
      </c>
      <c r="C1338" s="20" t="str">
        <f>IFERROR(__xludf.DUMMYFUNCTION("""COMPUTED_VALUE"""),"the-k-weakest-rows-in-a-matrix")</f>
        <v>the-k-weakest-rows-in-a-matrix</v>
      </c>
      <c r="D1338" s="20" t="b">
        <f>IFERROR(__xludf.DUMMYFUNCTION("""COMPUTED_VALUE"""),FALSE)</f>
        <v>0</v>
      </c>
      <c r="E1338" s="20" t="str">
        <f>IFERROR(__xludf.DUMMYFUNCTION("""COMPUTED_VALUE"""),"Easy")</f>
        <v>Easy</v>
      </c>
      <c r="F1338" s="20">
        <f>IFERROR(__xludf.DUMMYFUNCTION("""COMPUTED_VALUE"""),2973.0)</f>
        <v>2973</v>
      </c>
      <c r="G1338" s="20">
        <f>IFERROR(__xludf.DUMMYFUNCTION("""COMPUTED_VALUE"""),175.0)</f>
        <v>175</v>
      </c>
      <c r="H1338" s="20" t="str">
        <f>IFERROR(__xludf.DUMMYFUNCTION("""COMPUTED_VALUE"""),"Algorithms")</f>
        <v>Algorithms</v>
      </c>
      <c r="I1338" s="20">
        <f>IFERROR(__xludf.DUMMYFUNCTION("""COMPUTED_VALUE"""),0.726)</f>
        <v>0.726</v>
      </c>
      <c r="J1338" s="20">
        <f>IFERROR(__xludf.DUMMYFUNCTION("""COMPUTED_VALUE"""),1337.0)</f>
        <v>1337</v>
      </c>
      <c r="K1338" s="20" t="b">
        <f>IFERROR(__xludf.DUMMYFUNCTION("""COMPUTED_VALUE"""),FALSE)</f>
        <v>0</v>
      </c>
      <c r="L1338" s="20" t="str">
        <f>IFERROR(__xludf.DUMMYFUNCTION("""COMPUTED_VALUE"""),"Array;Binary Search;Sorting;Heap (Priority Queue);Matrix;")</f>
        <v>Array;Binary Search;Sorting;Heap (Priority Queue);Matrix;</v>
      </c>
      <c r="M1338" s="20" t="b">
        <f>IFERROR(__xludf.DUMMYFUNCTION("""COMPUTED_VALUE"""),TRUE)</f>
        <v>1</v>
      </c>
      <c r="N1338" s="20" t="b">
        <f>IFERROR(__xludf.DUMMYFUNCTION("""COMPUTED_VALUE"""),FALSE)</f>
        <v>0</v>
      </c>
      <c r="O1338" s="20">
        <f>IFERROR(__xludf.DUMMYFUNCTION("""COMPUTED_VALUE"""),72.6269337273358)</f>
        <v>72.62693373</v>
      </c>
      <c r="P1338" s="20">
        <f>IFERROR(__xludf.DUMMYFUNCTION("""COMPUTED_VALUE"""),222668.0)</f>
        <v>222668</v>
      </c>
      <c r="Q1338" s="20">
        <f>IFERROR(__xludf.DUMMYFUNCTION("""COMPUTED_VALUE"""),306588.0)</f>
        <v>306588</v>
      </c>
    </row>
    <row r="1339">
      <c r="A1339" s="20">
        <f>IFERROR(__xludf.DUMMYFUNCTION("""COMPUTED_VALUE"""),1464.0)</f>
        <v>1464</v>
      </c>
      <c r="B1339" s="20" t="str">
        <f>IFERROR(__xludf.DUMMYFUNCTION("""COMPUTED_VALUE"""),"Reduce Array Size to The Half")</f>
        <v>Reduce Array Size to The Half</v>
      </c>
      <c r="C1339" s="20" t="str">
        <f>IFERROR(__xludf.DUMMYFUNCTION("""COMPUTED_VALUE"""),"reduce-array-size-to-the-half")</f>
        <v>reduce-array-size-to-the-half</v>
      </c>
      <c r="D1339" s="20" t="b">
        <f>IFERROR(__xludf.DUMMYFUNCTION("""COMPUTED_VALUE"""),FALSE)</f>
        <v>0</v>
      </c>
      <c r="E1339" s="20" t="str">
        <f>IFERROR(__xludf.DUMMYFUNCTION("""COMPUTED_VALUE"""),"Medium")</f>
        <v>Medium</v>
      </c>
      <c r="F1339" s="20">
        <f>IFERROR(__xludf.DUMMYFUNCTION("""COMPUTED_VALUE"""),2877.0)</f>
        <v>2877</v>
      </c>
      <c r="G1339" s="20">
        <f>IFERROR(__xludf.DUMMYFUNCTION("""COMPUTED_VALUE"""),140.0)</f>
        <v>140</v>
      </c>
      <c r="H1339" s="20" t="str">
        <f>IFERROR(__xludf.DUMMYFUNCTION("""COMPUTED_VALUE"""),"Algorithms")</f>
        <v>Algorithms</v>
      </c>
      <c r="I1339" s="20">
        <f>IFERROR(__xludf.DUMMYFUNCTION("""COMPUTED_VALUE"""),0.697)</f>
        <v>0.697</v>
      </c>
      <c r="J1339" s="20">
        <f>IFERROR(__xludf.DUMMYFUNCTION("""COMPUTED_VALUE"""),1338.0)</f>
        <v>1338</v>
      </c>
      <c r="K1339" s="20" t="b">
        <f>IFERROR(__xludf.DUMMYFUNCTION("""COMPUTED_VALUE"""),FALSE)</f>
        <v>0</v>
      </c>
      <c r="L1339" s="20" t="str">
        <f>IFERROR(__xludf.DUMMYFUNCTION("""COMPUTED_VALUE"""),"Array;Hash Table;Greedy;Sorting;Heap (Priority Queue);")</f>
        <v>Array;Hash Table;Greedy;Sorting;Heap (Priority Queue);</v>
      </c>
      <c r="M1339" s="20" t="b">
        <f>IFERROR(__xludf.DUMMYFUNCTION("""COMPUTED_VALUE"""),TRUE)</f>
        <v>1</v>
      </c>
      <c r="N1339" s="20" t="b">
        <f>IFERROR(__xludf.DUMMYFUNCTION("""COMPUTED_VALUE"""),FALSE)</f>
        <v>0</v>
      </c>
      <c r="O1339" s="20">
        <f>IFERROR(__xludf.DUMMYFUNCTION("""COMPUTED_VALUE"""),69.6567247693977)</f>
        <v>69.65672477</v>
      </c>
      <c r="P1339" s="20">
        <f>IFERROR(__xludf.DUMMYFUNCTION("""COMPUTED_VALUE"""),164323.0)</f>
        <v>164323</v>
      </c>
      <c r="Q1339" s="20">
        <f>IFERROR(__xludf.DUMMYFUNCTION("""COMPUTED_VALUE"""),235904.0)</f>
        <v>235904</v>
      </c>
    </row>
    <row r="1340">
      <c r="A1340" s="20">
        <f>IFERROR(__xludf.DUMMYFUNCTION("""COMPUTED_VALUE"""),1465.0)</f>
        <v>1465</v>
      </c>
      <c r="B1340" s="20" t="str">
        <f>IFERROR(__xludf.DUMMYFUNCTION("""COMPUTED_VALUE"""),"Maximum Product of Splitted Binary Tree")</f>
        <v>Maximum Product of Splitted Binary Tree</v>
      </c>
      <c r="C1340" s="20" t="str">
        <f>IFERROR(__xludf.DUMMYFUNCTION("""COMPUTED_VALUE"""),"maximum-product-of-splitted-binary-tree")</f>
        <v>maximum-product-of-splitted-binary-tree</v>
      </c>
      <c r="D1340" s="20" t="b">
        <f>IFERROR(__xludf.DUMMYFUNCTION("""COMPUTED_VALUE"""),FALSE)</f>
        <v>0</v>
      </c>
      <c r="E1340" s="20" t="str">
        <f>IFERROR(__xludf.DUMMYFUNCTION("""COMPUTED_VALUE"""),"Medium")</f>
        <v>Medium</v>
      </c>
      <c r="F1340" s="20">
        <f>IFERROR(__xludf.DUMMYFUNCTION("""COMPUTED_VALUE"""),2713.0)</f>
        <v>2713</v>
      </c>
      <c r="G1340" s="20">
        <f>IFERROR(__xludf.DUMMYFUNCTION("""COMPUTED_VALUE"""),100.0)</f>
        <v>100</v>
      </c>
      <c r="H1340" s="20" t="str">
        <f>IFERROR(__xludf.DUMMYFUNCTION("""COMPUTED_VALUE"""),"Algorithms")</f>
        <v>Algorithms</v>
      </c>
      <c r="I1340" s="20">
        <f>IFERROR(__xludf.DUMMYFUNCTION("""COMPUTED_VALUE"""),0.479)</f>
        <v>0.479</v>
      </c>
      <c r="J1340" s="20">
        <f>IFERROR(__xludf.DUMMYFUNCTION("""COMPUTED_VALUE"""),1339.0)</f>
        <v>1339</v>
      </c>
      <c r="K1340" s="20" t="b">
        <f>IFERROR(__xludf.DUMMYFUNCTION("""COMPUTED_VALUE"""),FALSE)</f>
        <v>0</v>
      </c>
      <c r="L1340" s="20" t="str">
        <f>IFERROR(__xludf.DUMMYFUNCTION("""COMPUTED_VALUE"""),"Tree;Depth-First Search;Binary Tree;")</f>
        <v>Tree;Depth-First Search;Binary Tree;</v>
      </c>
      <c r="M1340" s="20" t="b">
        <f>IFERROR(__xludf.DUMMYFUNCTION("""COMPUTED_VALUE"""),TRUE)</f>
        <v>1</v>
      </c>
      <c r="N1340" s="20" t="b">
        <f>IFERROR(__xludf.DUMMYFUNCTION("""COMPUTED_VALUE"""),FALSE)</f>
        <v>0</v>
      </c>
      <c r="O1340" s="20">
        <f>IFERROR(__xludf.DUMMYFUNCTION("""COMPUTED_VALUE"""),47.934144295302)</f>
        <v>47.9341443</v>
      </c>
      <c r="P1340" s="20">
        <f>IFERROR(__xludf.DUMMYFUNCTION("""COMPUTED_VALUE"""),109704.0)</f>
        <v>109704</v>
      </c>
      <c r="Q1340" s="20">
        <f>IFERROR(__xludf.DUMMYFUNCTION("""COMPUTED_VALUE"""),228861.0)</f>
        <v>228861</v>
      </c>
    </row>
    <row r="1341">
      <c r="A1341" s="20">
        <f>IFERROR(__xludf.DUMMYFUNCTION("""COMPUTED_VALUE"""),1466.0)</f>
        <v>1466</v>
      </c>
      <c r="B1341" s="20" t="str">
        <f>IFERROR(__xludf.DUMMYFUNCTION("""COMPUTED_VALUE"""),"Jump Game V")</f>
        <v>Jump Game V</v>
      </c>
      <c r="C1341" s="20" t="str">
        <f>IFERROR(__xludf.DUMMYFUNCTION("""COMPUTED_VALUE"""),"jump-game-v")</f>
        <v>jump-game-v</v>
      </c>
      <c r="D1341" s="20" t="b">
        <f>IFERROR(__xludf.DUMMYFUNCTION("""COMPUTED_VALUE"""),FALSE)</f>
        <v>0</v>
      </c>
      <c r="E1341" s="20" t="str">
        <f>IFERROR(__xludf.DUMMYFUNCTION("""COMPUTED_VALUE"""),"Hard")</f>
        <v>Hard</v>
      </c>
      <c r="F1341" s="20">
        <f>IFERROR(__xludf.DUMMYFUNCTION("""COMPUTED_VALUE"""),873.0)</f>
        <v>873</v>
      </c>
      <c r="G1341" s="20">
        <f>IFERROR(__xludf.DUMMYFUNCTION("""COMPUTED_VALUE"""),31.0)</f>
        <v>31</v>
      </c>
      <c r="H1341" s="20" t="str">
        <f>IFERROR(__xludf.DUMMYFUNCTION("""COMPUTED_VALUE"""),"Algorithms")</f>
        <v>Algorithms</v>
      </c>
      <c r="I1341" s="20">
        <f>IFERROR(__xludf.DUMMYFUNCTION("""COMPUTED_VALUE"""),0.624)</f>
        <v>0.624</v>
      </c>
      <c r="J1341" s="20">
        <f>IFERROR(__xludf.DUMMYFUNCTION("""COMPUTED_VALUE"""),1340.0)</f>
        <v>1340</v>
      </c>
      <c r="K1341" s="20" t="b">
        <f>IFERROR(__xludf.DUMMYFUNCTION("""COMPUTED_VALUE"""),FALSE)</f>
        <v>0</v>
      </c>
      <c r="L1341" s="20" t="str">
        <f>IFERROR(__xludf.DUMMYFUNCTION("""COMPUTED_VALUE"""),"Array;Dynamic Programming;Sorting;")</f>
        <v>Array;Dynamic Programming;Sorting;</v>
      </c>
      <c r="M1341" s="20" t="b">
        <f>IFERROR(__xludf.DUMMYFUNCTION("""COMPUTED_VALUE"""),FALSE)</f>
        <v>0</v>
      </c>
      <c r="N1341" s="20" t="b">
        <f>IFERROR(__xludf.DUMMYFUNCTION("""COMPUTED_VALUE"""),FALSE)</f>
        <v>0</v>
      </c>
      <c r="O1341" s="20">
        <f>IFERROR(__xludf.DUMMYFUNCTION("""COMPUTED_VALUE"""),62.4373105908225)</f>
        <v>62.43731059</v>
      </c>
      <c r="P1341" s="20">
        <f>IFERROR(__xludf.DUMMYFUNCTION("""COMPUTED_VALUE"""),23280.0)</f>
        <v>23280</v>
      </c>
      <c r="Q1341" s="20">
        <f>IFERROR(__xludf.DUMMYFUNCTION("""COMPUTED_VALUE"""),37286.0)</f>
        <v>37286</v>
      </c>
    </row>
    <row r="1342">
      <c r="A1342" s="20">
        <f>IFERROR(__xludf.DUMMYFUNCTION("""COMPUTED_VALUE"""),1480.0)</f>
        <v>1480</v>
      </c>
      <c r="B1342" s="20" t="str">
        <f>IFERROR(__xludf.DUMMYFUNCTION("""COMPUTED_VALUE"""),"Movie Rating")</f>
        <v>Movie Rating</v>
      </c>
      <c r="C1342" s="20" t="str">
        <f>IFERROR(__xludf.DUMMYFUNCTION("""COMPUTED_VALUE"""),"movie-rating")</f>
        <v>movie-rating</v>
      </c>
      <c r="D1342" s="20" t="b">
        <f>IFERROR(__xludf.DUMMYFUNCTION("""COMPUTED_VALUE"""),TRUE)</f>
        <v>1</v>
      </c>
      <c r="E1342" s="20" t="str">
        <f>IFERROR(__xludf.DUMMYFUNCTION("""COMPUTED_VALUE"""),"Medium")</f>
        <v>Medium</v>
      </c>
      <c r="F1342" s="20">
        <f>IFERROR(__xludf.DUMMYFUNCTION("""COMPUTED_VALUE"""),131.0)</f>
        <v>131</v>
      </c>
      <c r="G1342" s="20">
        <f>IFERROR(__xludf.DUMMYFUNCTION("""COMPUTED_VALUE"""),74.0)</f>
        <v>74</v>
      </c>
      <c r="H1342" s="20" t="str">
        <f>IFERROR(__xludf.DUMMYFUNCTION("""COMPUTED_VALUE"""),"Database")</f>
        <v>Database</v>
      </c>
      <c r="I1342" s="20">
        <f>IFERROR(__xludf.DUMMYFUNCTION("""COMPUTED_VALUE"""),0.58)</f>
        <v>0.58</v>
      </c>
      <c r="J1342" s="20">
        <f>IFERROR(__xludf.DUMMYFUNCTION("""COMPUTED_VALUE"""),1341.0)</f>
        <v>1341</v>
      </c>
      <c r="K1342" s="20" t="b">
        <f>IFERROR(__xludf.DUMMYFUNCTION("""COMPUTED_VALUE"""),TRUE)</f>
        <v>1</v>
      </c>
      <c r="L1342" s="20" t="str">
        <f>IFERROR(__xludf.DUMMYFUNCTION("""COMPUTED_VALUE"""),"Database;")</f>
        <v>Database;</v>
      </c>
      <c r="M1342" s="20" t="b">
        <f>IFERROR(__xludf.DUMMYFUNCTION("""COMPUTED_VALUE"""),FALSE)</f>
        <v>0</v>
      </c>
      <c r="N1342" s="20" t="b">
        <f>IFERROR(__xludf.DUMMYFUNCTION("""COMPUTED_VALUE"""),FALSE)</f>
        <v>0</v>
      </c>
      <c r="O1342" s="20">
        <f>IFERROR(__xludf.DUMMYFUNCTION("""COMPUTED_VALUE"""),57.9953457446808)</f>
        <v>57.99534574</v>
      </c>
      <c r="P1342" s="20">
        <f>IFERROR(__xludf.DUMMYFUNCTION("""COMPUTED_VALUE"""),24423.0)</f>
        <v>24423</v>
      </c>
      <c r="Q1342" s="20">
        <f>IFERROR(__xludf.DUMMYFUNCTION("""COMPUTED_VALUE"""),42112.0)</f>
        <v>42112</v>
      </c>
    </row>
    <row r="1343">
      <c r="A1343" s="20">
        <f>IFERROR(__xludf.DUMMYFUNCTION("""COMPUTED_VALUE"""),1444.0)</f>
        <v>1444</v>
      </c>
      <c r="B1343" s="20" t="str">
        <f>IFERROR(__xludf.DUMMYFUNCTION("""COMPUTED_VALUE"""),"Number of Steps to Reduce a Number to Zero")</f>
        <v>Number of Steps to Reduce a Number to Zero</v>
      </c>
      <c r="C1343" s="20" t="str">
        <f>IFERROR(__xludf.DUMMYFUNCTION("""COMPUTED_VALUE"""),"number-of-steps-to-reduce-a-number-to-zero")</f>
        <v>number-of-steps-to-reduce-a-number-to-zero</v>
      </c>
      <c r="D1343" s="20" t="b">
        <f>IFERROR(__xludf.DUMMYFUNCTION("""COMPUTED_VALUE"""),FALSE)</f>
        <v>0</v>
      </c>
      <c r="E1343" s="20" t="str">
        <f>IFERROR(__xludf.DUMMYFUNCTION("""COMPUTED_VALUE"""),"Easy")</f>
        <v>Easy</v>
      </c>
      <c r="F1343" s="20">
        <f>IFERROR(__xludf.DUMMYFUNCTION("""COMPUTED_VALUE"""),3013.0)</f>
        <v>3013</v>
      </c>
      <c r="G1343" s="20">
        <f>IFERROR(__xludf.DUMMYFUNCTION("""COMPUTED_VALUE"""),142.0)</f>
        <v>142</v>
      </c>
      <c r="H1343" s="20" t="str">
        <f>IFERROR(__xludf.DUMMYFUNCTION("""COMPUTED_VALUE"""),"Algorithms")</f>
        <v>Algorithms</v>
      </c>
      <c r="I1343" s="20">
        <f>IFERROR(__xludf.DUMMYFUNCTION("""COMPUTED_VALUE"""),0.853)</f>
        <v>0.853</v>
      </c>
      <c r="J1343" s="20">
        <f>IFERROR(__xludf.DUMMYFUNCTION("""COMPUTED_VALUE"""),1342.0)</f>
        <v>1342</v>
      </c>
      <c r="K1343" s="20" t="b">
        <f>IFERROR(__xludf.DUMMYFUNCTION("""COMPUTED_VALUE"""),FALSE)</f>
        <v>0</v>
      </c>
      <c r="L1343" s="20" t="str">
        <f>IFERROR(__xludf.DUMMYFUNCTION("""COMPUTED_VALUE"""),"Math;Bit Manipulation;")</f>
        <v>Math;Bit Manipulation;</v>
      </c>
      <c r="M1343" s="20" t="b">
        <f>IFERROR(__xludf.DUMMYFUNCTION("""COMPUTED_VALUE"""),TRUE)</f>
        <v>1</v>
      </c>
      <c r="N1343" s="20" t="b">
        <f>IFERROR(__xludf.DUMMYFUNCTION("""COMPUTED_VALUE"""),TRUE)</f>
        <v>1</v>
      </c>
      <c r="O1343" s="20">
        <f>IFERROR(__xludf.DUMMYFUNCTION("""COMPUTED_VALUE"""),85.3283971990787)</f>
        <v>85.3283972</v>
      </c>
      <c r="P1343" s="20">
        <f>IFERROR(__xludf.DUMMYFUNCTION("""COMPUTED_VALUE"""),441606.0)</f>
        <v>441606</v>
      </c>
      <c r="Q1343" s="20">
        <f>IFERROR(__xludf.DUMMYFUNCTION("""COMPUTED_VALUE"""),517534.0)</f>
        <v>517534</v>
      </c>
    </row>
    <row r="1344">
      <c r="A1344" s="20">
        <f>IFERROR(__xludf.DUMMYFUNCTION("""COMPUTED_VALUE"""),1445.0)</f>
        <v>1445</v>
      </c>
      <c r="B1344" s="20" t="str">
        <f>IFERROR(__xludf.DUMMYFUNCTION("""COMPUTED_VALUE"""),"Number of Sub-arrays of Size K and Average Greater than or Equal to Threshold")</f>
        <v>Number of Sub-arrays of Size K and Average Greater than or Equal to Threshold</v>
      </c>
      <c r="C1344" s="20" t="str">
        <f>IFERROR(__xludf.DUMMYFUNCTION("""COMPUTED_VALUE"""),"number-of-sub-arrays-of-size-k-and-average-greater-than-or-equal-to-threshold")</f>
        <v>number-of-sub-arrays-of-size-k-and-average-greater-than-or-equal-to-threshold</v>
      </c>
      <c r="D1344" s="20" t="b">
        <f>IFERROR(__xludf.DUMMYFUNCTION("""COMPUTED_VALUE"""),FALSE)</f>
        <v>0</v>
      </c>
      <c r="E1344" s="20" t="str">
        <f>IFERROR(__xludf.DUMMYFUNCTION("""COMPUTED_VALUE"""),"Medium")</f>
        <v>Medium</v>
      </c>
      <c r="F1344" s="20">
        <f>IFERROR(__xludf.DUMMYFUNCTION("""COMPUTED_VALUE"""),929.0)</f>
        <v>929</v>
      </c>
      <c r="G1344" s="20">
        <f>IFERROR(__xludf.DUMMYFUNCTION("""COMPUTED_VALUE"""),72.0)</f>
        <v>72</v>
      </c>
      <c r="H1344" s="20" t="str">
        <f>IFERROR(__xludf.DUMMYFUNCTION("""COMPUTED_VALUE"""),"Algorithms")</f>
        <v>Algorithms</v>
      </c>
      <c r="I1344" s="20">
        <f>IFERROR(__xludf.DUMMYFUNCTION("""COMPUTED_VALUE"""),0.675)</f>
        <v>0.675</v>
      </c>
      <c r="J1344" s="20">
        <f>IFERROR(__xludf.DUMMYFUNCTION("""COMPUTED_VALUE"""),1343.0)</f>
        <v>1343</v>
      </c>
      <c r="K1344" s="20" t="b">
        <f>IFERROR(__xludf.DUMMYFUNCTION("""COMPUTED_VALUE"""),FALSE)</f>
        <v>0</v>
      </c>
      <c r="L1344" s="20" t="str">
        <f>IFERROR(__xludf.DUMMYFUNCTION("""COMPUTED_VALUE"""),"Array;Sliding Window;")</f>
        <v>Array;Sliding Window;</v>
      </c>
      <c r="M1344" s="20" t="b">
        <f>IFERROR(__xludf.DUMMYFUNCTION("""COMPUTED_VALUE"""),FALSE)</f>
        <v>0</v>
      </c>
      <c r="N1344" s="20" t="b">
        <f>IFERROR(__xludf.DUMMYFUNCTION("""COMPUTED_VALUE"""),FALSE)</f>
        <v>0</v>
      </c>
      <c r="O1344" s="20">
        <f>IFERROR(__xludf.DUMMYFUNCTION("""COMPUTED_VALUE"""),67.5505104590561)</f>
        <v>67.55051046</v>
      </c>
      <c r="P1344" s="20">
        <f>IFERROR(__xludf.DUMMYFUNCTION("""COMPUTED_VALUE"""),47307.0)</f>
        <v>47307</v>
      </c>
      <c r="Q1344" s="20">
        <f>IFERROR(__xludf.DUMMYFUNCTION("""COMPUTED_VALUE"""),70033.0)</f>
        <v>70033</v>
      </c>
    </row>
    <row r="1345">
      <c r="A1345" s="20">
        <f>IFERROR(__xludf.DUMMYFUNCTION("""COMPUTED_VALUE"""),1446.0)</f>
        <v>1446</v>
      </c>
      <c r="B1345" s="20" t="str">
        <f>IFERROR(__xludf.DUMMYFUNCTION("""COMPUTED_VALUE"""),"Angle Between Hands of a Clock")</f>
        <v>Angle Between Hands of a Clock</v>
      </c>
      <c r="C1345" s="20" t="str">
        <f>IFERROR(__xludf.DUMMYFUNCTION("""COMPUTED_VALUE"""),"angle-between-hands-of-a-clock")</f>
        <v>angle-between-hands-of-a-clock</v>
      </c>
      <c r="D1345" s="20" t="b">
        <f>IFERROR(__xludf.DUMMYFUNCTION("""COMPUTED_VALUE"""),FALSE)</f>
        <v>0</v>
      </c>
      <c r="E1345" s="20" t="str">
        <f>IFERROR(__xludf.DUMMYFUNCTION("""COMPUTED_VALUE"""),"Medium")</f>
        <v>Medium</v>
      </c>
      <c r="F1345" s="20">
        <f>IFERROR(__xludf.DUMMYFUNCTION("""COMPUTED_VALUE"""),1111.0)</f>
        <v>1111</v>
      </c>
      <c r="G1345" s="20">
        <f>IFERROR(__xludf.DUMMYFUNCTION("""COMPUTED_VALUE"""),221.0)</f>
        <v>221</v>
      </c>
      <c r="H1345" s="20" t="str">
        <f>IFERROR(__xludf.DUMMYFUNCTION("""COMPUTED_VALUE"""),"Algorithms")</f>
        <v>Algorithms</v>
      </c>
      <c r="I1345" s="20">
        <f>IFERROR(__xludf.DUMMYFUNCTION("""COMPUTED_VALUE"""),0.633)</f>
        <v>0.633</v>
      </c>
      <c r="J1345" s="20">
        <f>IFERROR(__xludf.DUMMYFUNCTION("""COMPUTED_VALUE"""),1344.0)</f>
        <v>1344</v>
      </c>
      <c r="K1345" s="20" t="b">
        <f>IFERROR(__xludf.DUMMYFUNCTION("""COMPUTED_VALUE"""),FALSE)</f>
        <v>0</v>
      </c>
      <c r="L1345" s="20" t="str">
        <f>IFERROR(__xludf.DUMMYFUNCTION("""COMPUTED_VALUE"""),"Math;")</f>
        <v>Math;</v>
      </c>
      <c r="M1345" s="20" t="b">
        <f>IFERROR(__xludf.DUMMYFUNCTION("""COMPUTED_VALUE"""),TRUE)</f>
        <v>1</v>
      </c>
      <c r="N1345" s="20" t="b">
        <f>IFERROR(__xludf.DUMMYFUNCTION("""COMPUTED_VALUE"""),FALSE)</f>
        <v>0</v>
      </c>
      <c r="O1345" s="20">
        <f>IFERROR(__xludf.DUMMYFUNCTION("""COMPUTED_VALUE"""),63.3202788001415)</f>
        <v>63.3202788</v>
      </c>
      <c r="P1345" s="20">
        <f>IFERROR(__xludf.DUMMYFUNCTION("""COMPUTED_VALUE"""),102021.0)</f>
        <v>102021</v>
      </c>
      <c r="Q1345" s="20">
        <f>IFERROR(__xludf.DUMMYFUNCTION("""COMPUTED_VALUE"""),161119.0)</f>
        <v>161119</v>
      </c>
    </row>
    <row r="1346">
      <c r="A1346" s="20">
        <f>IFERROR(__xludf.DUMMYFUNCTION("""COMPUTED_VALUE"""),1447.0)</f>
        <v>1447</v>
      </c>
      <c r="B1346" s="20" t="str">
        <f>IFERROR(__xludf.DUMMYFUNCTION("""COMPUTED_VALUE"""),"Jump Game IV")</f>
        <v>Jump Game IV</v>
      </c>
      <c r="C1346" s="20" t="str">
        <f>IFERROR(__xludf.DUMMYFUNCTION("""COMPUTED_VALUE"""),"jump-game-iv")</f>
        <v>jump-game-iv</v>
      </c>
      <c r="D1346" s="20" t="b">
        <f>IFERROR(__xludf.DUMMYFUNCTION("""COMPUTED_VALUE"""),FALSE)</f>
        <v>0</v>
      </c>
      <c r="E1346" s="20" t="str">
        <f>IFERROR(__xludf.DUMMYFUNCTION("""COMPUTED_VALUE"""),"Hard")</f>
        <v>Hard</v>
      </c>
      <c r="F1346" s="20">
        <f>IFERROR(__xludf.DUMMYFUNCTION("""COMPUTED_VALUE"""),2152.0)</f>
        <v>2152</v>
      </c>
      <c r="G1346" s="20">
        <f>IFERROR(__xludf.DUMMYFUNCTION("""COMPUTED_VALUE"""),83.0)</f>
        <v>83</v>
      </c>
      <c r="H1346" s="20" t="str">
        <f>IFERROR(__xludf.DUMMYFUNCTION("""COMPUTED_VALUE"""),"Algorithms")</f>
        <v>Algorithms</v>
      </c>
      <c r="I1346" s="20">
        <f>IFERROR(__xludf.DUMMYFUNCTION("""COMPUTED_VALUE"""),0.439)</f>
        <v>0.439</v>
      </c>
      <c r="J1346" s="20">
        <f>IFERROR(__xludf.DUMMYFUNCTION("""COMPUTED_VALUE"""),1345.0)</f>
        <v>1345</v>
      </c>
      <c r="K1346" s="20" t="b">
        <f>IFERROR(__xludf.DUMMYFUNCTION("""COMPUTED_VALUE"""),FALSE)</f>
        <v>0</v>
      </c>
      <c r="L1346" s="20" t="str">
        <f>IFERROR(__xludf.DUMMYFUNCTION("""COMPUTED_VALUE"""),"Array;Hash Table;Breadth-First Search;")</f>
        <v>Array;Hash Table;Breadth-First Search;</v>
      </c>
      <c r="M1346" s="20" t="b">
        <f>IFERROR(__xludf.DUMMYFUNCTION("""COMPUTED_VALUE"""),TRUE)</f>
        <v>1</v>
      </c>
      <c r="N1346" s="20" t="b">
        <f>IFERROR(__xludf.DUMMYFUNCTION("""COMPUTED_VALUE"""),FALSE)</f>
        <v>0</v>
      </c>
      <c r="O1346" s="20">
        <f>IFERROR(__xludf.DUMMYFUNCTION("""COMPUTED_VALUE"""),43.9418486132718)</f>
        <v>43.94184861</v>
      </c>
      <c r="P1346" s="20">
        <f>IFERROR(__xludf.DUMMYFUNCTION("""COMPUTED_VALUE"""),81912.0)</f>
        <v>81912</v>
      </c>
      <c r="Q1346" s="20">
        <f>IFERROR(__xludf.DUMMYFUNCTION("""COMPUTED_VALUE"""),186410.0)</f>
        <v>186410</v>
      </c>
    </row>
    <row r="1347">
      <c r="A1347" s="20">
        <f>IFERROR(__xludf.DUMMYFUNCTION("""COMPUTED_VALUE"""),1468.0)</f>
        <v>1468</v>
      </c>
      <c r="B1347" s="20" t="str">
        <f>IFERROR(__xludf.DUMMYFUNCTION("""COMPUTED_VALUE"""),"Check If N and Its Double Exist")</f>
        <v>Check If N and Its Double Exist</v>
      </c>
      <c r="C1347" s="20" t="str">
        <f>IFERROR(__xludf.DUMMYFUNCTION("""COMPUTED_VALUE"""),"check-if-n-and-its-double-exist")</f>
        <v>check-if-n-and-its-double-exist</v>
      </c>
      <c r="D1347" s="20" t="b">
        <f>IFERROR(__xludf.DUMMYFUNCTION("""COMPUTED_VALUE"""),FALSE)</f>
        <v>0</v>
      </c>
      <c r="E1347" s="20" t="str">
        <f>IFERROR(__xludf.DUMMYFUNCTION("""COMPUTED_VALUE"""),"Easy")</f>
        <v>Easy</v>
      </c>
      <c r="F1347" s="20">
        <f>IFERROR(__xludf.DUMMYFUNCTION("""COMPUTED_VALUE"""),1382.0)</f>
        <v>1382</v>
      </c>
      <c r="G1347" s="20">
        <f>IFERROR(__xludf.DUMMYFUNCTION("""COMPUTED_VALUE"""),151.0)</f>
        <v>151</v>
      </c>
      <c r="H1347" s="20" t="str">
        <f>IFERROR(__xludf.DUMMYFUNCTION("""COMPUTED_VALUE"""),"Algorithms")</f>
        <v>Algorithms</v>
      </c>
      <c r="I1347" s="20">
        <f>IFERROR(__xludf.DUMMYFUNCTION("""COMPUTED_VALUE"""),0.363)</f>
        <v>0.363</v>
      </c>
      <c r="J1347" s="20">
        <f>IFERROR(__xludf.DUMMYFUNCTION("""COMPUTED_VALUE"""),1346.0)</f>
        <v>1346</v>
      </c>
      <c r="K1347" s="20" t="b">
        <f>IFERROR(__xludf.DUMMYFUNCTION("""COMPUTED_VALUE"""),FALSE)</f>
        <v>0</v>
      </c>
      <c r="L1347" s="20" t="str">
        <f>IFERROR(__xludf.DUMMYFUNCTION("""COMPUTED_VALUE"""),"Array;Hash Table;Two Pointers;Binary Search;Sorting;")</f>
        <v>Array;Hash Table;Two Pointers;Binary Search;Sorting;</v>
      </c>
      <c r="M1347" s="20" t="b">
        <f>IFERROR(__xludf.DUMMYFUNCTION("""COMPUTED_VALUE"""),FALSE)</f>
        <v>0</v>
      </c>
      <c r="N1347" s="20" t="b">
        <f>IFERROR(__xludf.DUMMYFUNCTION("""COMPUTED_VALUE"""),FALSE)</f>
        <v>0</v>
      </c>
      <c r="O1347" s="20">
        <f>IFERROR(__xludf.DUMMYFUNCTION("""COMPUTED_VALUE"""),36.3162039631918)</f>
        <v>36.31620396</v>
      </c>
      <c r="P1347" s="20">
        <f>IFERROR(__xludf.DUMMYFUNCTION("""COMPUTED_VALUE"""),255930.0)</f>
        <v>255930</v>
      </c>
      <c r="Q1347" s="20">
        <f>IFERROR(__xludf.DUMMYFUNCTION("""COMPUTED_VALUE"""),704728.0)</f>
        <v>704728</v>
      </c>
    </row>
    <row r="1348">
      <c r="A1348" s="20">
        <f>IFERROR(__xludf.DUMMYFUNCTION("""COMPUTED_VALUE"""),1469.0)</f>
        <v>1469</v>
      </c>
      <c r="B1348" s="20" t="str">
        <f>IFERROR(__xludf.DUMMYFUNCTION("""COMPUTED_VALUE"""),"Minimum Number of Steps to Make Two Strings Anagram")</f>
        <v>Minimum Number of Steps to Make Two Strings Anagram</v>
      </c>
      <c r="C1348" s="20" t="str">
        <f>IFERROR(__xludf.DUMMYFUNCTION("""COMPUTED_VALUE"""),"minimum-number-of-steps-to-make-two-strings-anagram")</f>
        <v>minimum-number-of-steps-to-make-two-strings-anagram</v>
      </c>
      <c r="D1348" s="20" t="b">
        <f>IFERROR(__xludf.DUMMYFUNCTION("""COMPUTED_VALUE"""),FALSE)</f>
        <v>0</v>
      </c>
      <c r="E1348" s="20" t="str">
        <f>IFERROR(__xludf.DUMMYFUNCTION("""COMPUTED_VALUE"""),"Medium")</f>
        <v>Medium</v>
      </c>
      <c r="F1348" s="20">
        <f>IFERROR(__xludf.DUMMYFUNCTION("""COMPUTED_VALUE"""),1623.0)</f>
        <v>1623</v>
      </c>
      <c r="G1348" s="20">
        <f>IFERROR(__xludf.DUMMYFUNCTION("""COMPUTED_VALUE"""),75.0)</f>
        <v>75</v>
      </c>
      <c r="H1348" s="20" t="str">
        <f>IFERROR(__xludf.DUMMYFUNCTION("""COMPUTED_VALUE"""),"Algorithms")</f>
        <v>Algorithms</v>
      </c>
      <c r="I1348" s="20">
        <f>IFERROR(__xludf.DUMMYFUNCTION("""COMPUTED_VALUE"""),0.776)</f>
        <v>0.776</v>
      </c>
      <c r="J1348" s="20">
        <f>IFERROR(__xludf.DUMMYFUNCTION("""COMPUTED_VALUE"""),1347.0)</f>
        <v>1347</v>
      </c>
      <c r="K1348" s="20" t="b">
        <f>IFERROR(__xludf.DUMMYFUNCTION("""COMPUTED_VALUE"""),FALSE)</f>
        <v>0</v>
      </c>
      <c r="L1348" s="20" t="str">
        <f>IFERROR(__xludf.DUMMYFUNCTION("""COMPUTED_VALUE"""),"Hash Table;String;Counting;")</f>
        <v>Hash Table;String;Counting;</v>
      </c>
      <c r="M1348" s="20" t="b">
        <f>IFERROR(__xludf.DUMMYFUNCTION("""COMPUTED_VALUE"""),FALSE)</f>
        <v>0</v>
      </c>
      <c r="N1348" s="20" t="b">
        <f>IFERROR(__xludf.DUMMYFUNCTION("""COMPUTED_VALUE"""),FALSE)</f>
        <v>0</v>
      </c>
      <c r="O1348" s="20">
        <f>IFERROR(__xludf.DUMMYFUNCTION("""COMPUTED_VALUE"""),77.5727563020846)</f>
        <v>77.5727563</v>
      </c>
      <c r="P1348" s="20">
        <f>IFERROR(__xludf.DUMMYFUNCTION("""COMPUTED_VALUE"""),119520.0)</f>
        <v>119520</v>
      </c>
      <c r="Q1348" s="20">
        <f>IFERROR(__xludf.DUMMYFUNCTION("""COMPUTED_VALUE"""),154075.0)</f>
        <v>154075</v>
      </c>
    </row>
    <row r="1349">
      <c r="A1349" s="20">
        <f>IFERROR(__xludf.DUMMYFUNCTION("""COMPUTED_VALUE"""),1470.0)</f>
        <v>1470</v>
      </c>
      <c r="B1349" s="20" t="str">
        <f>IFERROR(__xludf.DUMMYFUNCTION("""COMPUTED_VALUE"""),"Tweet Counts Per Frequency")</f>
        <v>Tweet Counts Per Frequency</v>
      </c>
      <c r="C1349" s="20" t="str">
        <f>IFERROR(__xludf.DUMMYFUNCTION("""COMPUTED_VALUE"""),"tweet-counts-per-frequency")</f>
        <v>tweet-counts-per-frequency</v>
      </c>
      <c r="D1349" s="20" t="b">
        <f>IFERROR(__xludf.DUMMYFUNCTION("""COMPUTED_VALUE"""),FALSE)</f>
        <v>0</v>
      </c>
      <c r="E1349" s="20" t="str">
        <f>IFERROR(__xludf.DUMMYFUNCTION("""COMPUTED_VALUE"""),"Medium")</f>
        <v>Medium</v>
      </c>
      <c r="F1349" s="20">
        <f>IFERROR(__xludf.DUMMYFUNCTION("""COMPUTED_VALUE"""),140.0)</f>
        <v>140</v>
      </c>
      <c r="G1349" s="20">
        <f>IFERROR(__xludf.DUMMYFUNCTION("""COMPUTED_VALUE"""),239.0)</f>
        <v>239</v>
      </c>
      <c r="H1349" s="20" t="str">
        <f>IFERROR(__xludf.DUMMYFUNCTION("""COMPUTED_VALUE"""),"Algorithms")</f>
        <v>Algorithms</v>
      </c>
      <c r="I1349" s="20">
        <f>IFERROR(__xludf.DUMMYFUNCTION("""COMPUTED_VALUE"""),0.436)</f>
        <v>0.436</v>
      </c>
      <c r="J1349" s="20">
        <f>IFERROR(__xludf.DUMMYFUNCTION("""COMPUTED_VALUE"""),1348.0)</f>
        <v>1348</v>
      </c>
      <c r="K1349" s="20" t="b">
        <f>IFERROR(__xludf.DUMMYFUNCTION("""COMPUTED_VALUE"""),FALSE)</f>
        <v>0</v>
      </c>
      <c r="L1349" s="20" t="str">
        <f>IFERROR(__xludf.DUMMYFUNCTION("""COMPUTED_VALUE"""),"Hash Table;Binary Search;Design;Sorting;Ordered Set;")</f>
        <v>Hash Table;Binary Search;Design;Sorting;Ordered Set;</v>
      </c>
      <c r="M1349" s="20" t="b">
        <f>IFERROR(__xludf.DUMMYFUNCTION("""COMPUTED_VALUE"""),FALSE)</f>
        <v>0</v>
      </c>
      <c r="N1349" s="20" t="b">
        <f>IFERROR(__xludf.DUMMYFUNCTION("""COMPUTED_VALUE"""),FALSE)</f>
        <v>0</v>
      </c>
      <c r="O1349" s="20">
        <f>IFERROR(__xludf.DUMMYFUNCTION("""COMPUTED_VALUE"""),43.6129996264475)</f>
        <v>43.61299963</v>
      </c>
      <c r="P1349" s="20">
        <f>IFERROR(__xludf.DUMMYFUNCTION("""COMPUTED_VALUE"""),29188.0)</f>
        <v>29188</v>
      </c>
      <c r="Q1349" s="20">
        <f>IFERROR(__xludf.DUMMYFUNCTION("""COMPUTED_VALUE"""),66924.0)</f>
        <v>66924</v>
      </c>
    </row>
    <row r="1350">
      <c r="A1350" s="20">
        <f>IFERROR(__xludf.DUMMYFUNCTION("""COMPUTED_VALUE"""),1471.0)</f>
        <v>1471</v>
      </c>
      <c r="B1350" s="20" t="str">
        <f>IFERROR(__xludf.DUMMYFUNCTION("""COMPUTED_VALUE"""),"Maximum Students Taking Exam")</f>
        <v>Maximum Students Taking Exam</v>
      </c>
      <c r="C1350" s="20" t="str">
        <f>IFERROR(__xludf.DUMMYFUNCTION("""COMPUTED_VALUE"""),"maximum-students-taking-exam")</f>
        <v>maximum-students-taking-exam</v>
      </c>
      <c r="D1350" s="20" t="b">
        <f>IFERROR(__xludf.DUMMYFUNCTION("""COMPUTED_VALUE"""),FALSE)</f>
        <v>0</v>
      </c>
      <c r="E1350" s="20" t="str">
        <f>IFERROR(__xludf.DUMMYFUNCTION("""COMPUTED_VALUE"""),"Hard")</f>
        <v>Hard</v>
      </c>
      <c r="F1350" s="20">
        <f>IFERROR(__xludf.DUMMYFUNCTION("""COMPUTED_VALUE"""),673.0)</f>
        <v>673</v>
      </c>
      <c r="G1350" s="20">
        <f>IFERROR(__xludf.DUMMYFUNCTION("""COMPUTED_VALUE"""),12.0)</f>
        <v>12</v>
      </c>
      <c r="H1350" s="20" t="str">
        <f>IFERROR(__xludf.DUMMYFUNCTION("""COMPUTED_VALUE"""),"Algorithms")</f>
        <v>Algorithms</v>
      </c>
      <c r="I1350" s="20">
        <f>IFERROR(__xludf.DUMMYFUNCTION("""COMPUTED_VALUE"""),0.485)</f>
        <v>0.485</v>
      </c>
      <c r="J1350" s="20">
        <f>IFERROR(__xludf.DUMMYFUNCTION("""COMPUTED_VALUE"""),1349.0)</f>
        <v>1349</v>
      </c>
      <c r="K1350" s="20" t="b">
        <f>IFERROR(__xludf.DUMMYFUNCTION("""COMPUTED_VALUE"""),FALSE)</f>
        <v>0</v>
      </c>
      <c r="L1350" s="20" t="str">
        <f>IFERROR(__xludf.DUMMYFUNCTION("""COMPUTED_VALUE"""),"Array;Dynamic Programming;Bit Manipulation;Matrix;Bitmask;")</f>
        <v>Array;Dynamic Programming;Bit Manipulation;Matrix;Bitmask;</v>
      </c>
      <c r="M1350" s="20" t="b">
        <f>IFERROR(__xludf.DUMMYFUNCTION("""COMPUTED_VALUE"""),FALSE)</f>
        <v>0</v>
      </c>
      <c r="N1350" s="20" t="b">
        <f>IFERROR(__xludf.DUMMYFUNCTION("""COMPUTED_VALUE"""),FALSE)</f>
        <v>0</v>
      </c>
      <c r="O1350" s="20">
        <f>IFERROR(__xludf.DUMMYFUNCTION("""COMPUTED_VALUE"""),48.4705506017833)</f>
        <v>48.4705506</v>
      </c>
      <c r="P1350" s="20">
        <f>IFERROR(__xludf.DUMMYFUNCTION("""COMPUTED_VALUE"""),12122.0)</f>
        <v>12122</v>
      </c>
      <c r="Q1350" s="20">
        <f>IFERROR(__xludf.DUMMYFUNCTION("""COMPUTED_VALUE"""),25009.0)</f>
        <v>25009</v>
      </c>
    </row>
    <row r="1351">
      <c r="A1351" s="20">
        <f>IFERROR(__xludf.DUMMYFUNCTION("""COMPUTED_VALUE"""),1481.0)</f>
        <v>1481</v>
      </c>
      <c r="B1351" s="20" t="str">
        <f>IFERROR(__xludf.DUMMYFUNCTION("""COMPUTED_VALUE"""),"Students With Invalid Departments")</f>
        <v>Students With Invalid Departments</v>
      </c>
      <c r="C1351" s="20" t="str">
        <f>IFERROR(__xludf.DUMMYFUNCTION("""COMPUTED_VALUE"""),"students-with-invalid-departments")</f>
        <v>students-with-invalid-departments</v>
      </c>
      <c r="D1351" s="20" t="b">
        <f>IFERROR(__xludf.DUMMYFUNCTION("""COMPUTED_VALUE"""),TRUE)</f>
        <v>1</v>
      </c>
      <c r="E1351" s="20" t="str">
        <f>IFERROR(__xludf.DUMMYFUNCTION("""COMPUTED_VALUE"""),"Easy")</f>
        <v>Easy</v>
      </c>
      <c r="F1351" s="20">
        <f>IFERROR(__xludf.DUMMYFUNCTION("""COMPUTED_VALUE"""),154.0)</f>
        <v>154</v>
      </c>
      <c r="G1351" s="20">
        <f>IFERROR(__xludf.DUMMYFUNCTION("""COMPUTED_VALUE"""),9.0)</f>
        <v>9</v>
      </c>
      <c r="H1351" s="20" t="str">
        <f>IFERROR(__xludf.DUMMYFUNCTION("""COMPUTED_VALUE"""),"Database")</f>
        <v>Database</v>
      </c>
      <c r="I1351" s="20">
        <f>IFERROR(__xludf.DUMMYFUNCTION("""COMPUTED_VALUE"""),0.905)</f>
        <v>0.905</v>
      </c>
      <c r="J1351" s="20">
        <f>IFERROR(__xludf.DUMMYFUNCTION("""COMPUTED_VALUE"""),1350.0)</f>
        <v>1350</v>
      </c>
      <c r="K1351" s="20" t="b">
        <f>IFERROR(__xludf.DUMMYFUNCTION("""COMPUTED_VALUE"""),TRUE)</f>
        <v>1</v>
      </c>
      <c r="L1351" s="20" t="str">
        <f>IFERROR(__xludf.DUMMYFUNCTION("""COMPUTED_VALUE"""),"Database;")</f>
        <v>Database;</v>
      </c>
      <c r="M1351" s="20" t="b">
        <f>IFERROR(__xludf.DUMMYFUNCTION("""COMPUTED_VALUE"""),FALSE)</f>
        <v>0</v>
      </c>
      <c r="N1351" s="20" t="b">
        <f>IFERROR(__xludf.DUMMYFUNCTION("""COMPUTED_VALUE"""),FALSE)</f>
        <v>0</v>
      </c>
      <c r="O1351" s="20">
        <f>IFERROR(__xludf.DUMMYFUNCTION("""COMPUTED_VALUE"""),90.5111235148712)</f>
        <v>90.51112351</v>
      </c>
      <c r="P1351" s="20">
        <f>IFERROR(__xludf.DUMMYFUNCTION("""COMPUTED_VALUE"""),45404.0)</f>
        <v>45404</v>
      </c>
      <c r="Q1351" s="20">
        <f>IFERROR(__xludf.DUMMYFUNCTION("""COMPUTED_VALUE"""),50164.0)</f>
        <v>50164</v>
      </c>
    </row>
    <row r="1352">
      <c r="A1352" s="20">
        <f>IFERROR(__xludf.DUMMYFUNCTION("""COMPUTED_VALUE"""),1476.0)</f>
        <v>1476</v>
      </c>
      <c r="B1352" s="20" t="str">
        <f>IFERROR(__xludf.DUMMYFUNCTION("""COMPUTED_VALUE"""),"Count Negative Numbers in a Sorted Matrix")</f>
        <v>Count Negative Numbers in a Sorted Matrix</v>
      </c>
      <c r="C1352" s="20" t="str">
        <f>IFERROR(__xludf.DUMMYFUNCTION("""COMPUTED_VALUE"""),"count-negative-numbers-in-a-sorted-matrix")</f>
        <v>count-negative-numbers-in-a-sorted-matrix</v>
      </c>
      <c r="D1352" s="20" t="b">
        <f>IFERROR(__xludf.DUMMYFUNCTION("""COMPUTED_VALUE"""),FALSE)</f>
        <v>0</v>
      </c>
      <c r="E1352" s="20" t="str">
        <f>IFERROR(__xludf.DUMMYFUNCTION("""COMPUTED_VALUE"""),"Easy")</f>
        <v>Easy</v>
      </c>
      <c r="F1352" s="20">
        <f>IFERROR(__xludf.DUMMYFUNCTION("""COMPUTED_VALUE"""),2917.0)</f>
        <v>2917</v>
      </c>
      <c r="G1352" s="20">
        <f>IFERROR(__xludf.DUMMYFUNCTION("""COMPUTED_VALUE"""),88.0)</f>
        <v>88</v>
      </c>
      <c r="H1352" s="20" t="str">
        <f>IFERROR(__xludf.DUMMYFUNCTION("""COMPUTED_VALUE"""),"Algorithms")</f>
        <v>Algorithms</v>
      </c>
      <c r="I1352" s="20">
        <f>IFERROR(__xludf.DUMMYFUNCTION("""COMPUTED_VALUE"""),0.753)</f>
        <v>0.753</v>
      </c>
      <c r="J1352" s="20">
        <f>IFERROR(__xludf.DUMMYFUNCTION("""COMPUTED_VALUE"""),1351.0)</f>
        <v>1351</v>
      </c>
      <c r="K1352" s="20" t="b">
        <f>IFERROR(__xludf.DUMMYFUNCTION("""COMPUTED_VALUE"""),FALSE)</f>
        <v>0</v>
      </c>
      <c r="L1352" s="20" t="str">
        <f>IFERROR(__xludf.DUMMYFUNCTION("""COMPUTED_VALUE"""),"Array;Binary Search;Matrix;")</f>
        <v>Array;Binary Search;Matrix;</v>
      </c>
      <c r="M1352" s="20" t="b">
        <f>IFERROR(__xludf.DUMMYFUNCTION("""COMPUTED_VALUE"""),FALSE)</f>
        <v>0</v>
      </c>
      <c r="N1352" s="20" t="b">
        <f>IFERROR(__xludf.DUMMYFUNCTION("""COMPUTED_VALUE"""),FALSE)</f>
        <v>0</v>
      </c>
      <c r="O1352" s="20">
        <f>IFERROR(__xludf.DUMMYFUNCTION("""COMPUTED_VALUE"""),75.2772013450857)</f>
        <v>75.27720135</v>
      </c>
      <c r="P1352" s="20">
        <f>IFERROR(__xludf.DUMMYFUNCTION("""COMPUTED_VALUE"""),219826.0)</f>
        <v>219826</v>
      </c>
      <c r="Q1352" s="20">
        <f>IFERROR(__xludf.DUMMYFUNCTION("""COMPUTED_VALUE"""),292023.0)</f>
        <v>292023</v>
      </c>
    </row>
    <row r="1353">
      <c r="A1353" s="20">
        <f>IFERROR(__xludf.DUMMYFUNCTION("""COMPUTED_VALUE"""),1477.0)</f>
        <v>1477</v>
      </c>
      <c r="B1353" s="20" t="str">
        <f>IFERROR(__xludf.DUMMYFUNCTION("""COMPUTED_VALUE"""),"Product of the Last K Numbers")</f>
        <v>Product of the Last K Numbers</v>
      </c>
      <c r="C1353" s="20" t="str">
        <f>IFERROR(__xludf.DUMMYFUNCTION("""COMPUTED_VALUE"""),"product-of-the-last-k-numbers")</f>
        <v>product-of-the-last-k-numbers</v>
      </c>
      <c r="D1353" s="20" t="b">
        <f>IFERROR(__xludf.DUMMYFUNCTION("""COMPUTED_VALUE"""),FALSE)</f>
        <v>0</v>
      </c>
      <c r="E1353" s="20" t="str">
        <f>IFERROR(__xludf.DUMMYFUNCTION("""COMPUTED_VALUE"""),"Medium")</f>
        <v>Medium</v>
      </c>
      <c r="F1353" s="20">
        <f>IFERROR(__xludf.DUMMYFUNCTION("""COMPUTED_VALUE"""),1184.0)</f>
        <v>1184</v>
      </c>
      <c r="G1353" s="20">
        <f>IFERROR(__xludf.DUMMYFUNCTION("""COMPUTED_VALUE"""),59.0)</f>
        <v>59</v>
      </c>
      <c r="H1353" s="20" t="str">
        <f>IFERROR(__xludf.DUMMYFUNCTION("""COMPUTED_VALUE"""),"Algorithms")</f>
        <v>Algorithms</v>
      </c>
      <c r="I1353" s="20">
        <f>IFERROR(__xludf.DUMMYFUNCTION("""COMPUTED_VALUE"""),0.499)</f>
        <v>0.499</v>
      </c>
      <c r="J1353" s="20">
        <f>IFERROR(__xludf.DUMMYFUNCTION("""COMPUTED_VALUE"""),1352.0)</f>
        <v>1352</v>
      </c>
      <c r="K1353" s="20" t="b">
        <f>IFERROR(__xludf.DUMMYFUNCTION("""COMPUTED_VALUE"""),FALSE)</f>
        <v>0</v>
      </c>
      <c r="L1353" s="20" t="str">
        <f>IFERROR(__xludf.DUMMYFUNCTION("""COMPUTED_VALUE"""),"Array;Math;Design;Queue;Data Stream;")</f>
        <v>Array;Math;Design;Queue;Data Stream;</v>
      </c>
      <c r="M1353" s="20" t="b">
        <f>IFERROR(__xludf.DUMMYFUNCTION("""COMPUTED_VALUE"""),FALSE)</f>
        <v>0</v>
      </c>
      <c r="N1353" s="20" t="b">
        <f>IFERROR(__xludf.DUMMYFUNCTION("""COMPUTED_VALUE"""),FALSE)</f>
        <v>0</v>
      </c>
      <c r="O1353" s="20">
        <f>IFERROR(__xludf.DUMMYFUNCTION("""COMPUTED_VALUE"""),49.9005886710069)</f>
        <v>49.90058867</v>
      </c>
      <c r="P1353" s="20">
        <f>IFERROR(__xludf.DUMMYFUNCTION("""COMPUTED_VALUE"""),64000.0)</f>
        <v>64000</v>
      </c>
      <c r="Q1353" s="20">
        <f>IFERROR(__xludf.DUMMYFUNCTION("""COMPUTED_VALUE"""),128255.0)</f>
        <v>128255</v>
      </c>
    </row>
    <row r="1354">
      <c r="A1354" s="20">
        <f>IFERROR(__xludf.DUMMYFUNCTION("""COMPUTED_VALUE"""),1478.0)</f>
        <v>1478</v>
      </c>
      <c r="B1354" s="20" t="str">
        <f>IFERROR(__xludf.DUMMYFUNCTION("""COMPUTED_VALUE"""),"Maximum Number of Events That Can Be Attended")</f>
        <v>Maximum Number of Events That Can Be Attended</v>
      </c>
      <c r="C1354" s="20" t="str">
        <f>IFERROR(__xludf.DUMMYFUNCTION("""COMPUTED_VALUE"""),"maximum-number-of-events-that-can-be-attended")</f>
        <v>maximum-number-of-events-that-can-be-attended</v>
      </c>
      <c r="D1354" s="20" t="b">
        <f>IFERROR(__xludf.DUMMYFUNCTION("""COMPUTED_VALUE"""),FALSE)</f>
        <v>0</v>
      </c>
      <c r="E1354" s="20" t="str">
        <f>IFERROR(__xludf.DUMMYFUNCTION("""COMPUTED_VALUE"""),"Medium")</f>
        <v>Medium</v>
      </c>
      <c r="F1354" s="20">
        <f>IFERROR(__xludf.DUMMYFUNCTION("""COMPUTED_VALUE"""),2237.0)</f>
        <v>2237</v>
      </c>
      <c r="G1354" s="20">
        <f>IFERROR(__xludf.DUMMYFUNCTION("""COMPUTED_VALUE"""),299.0)</f>
        <v>299</v>
      </c>
      <c r="H1354" s="20" t="str">
        <f>IFERROR(__xludf.DUMMYFUNCTION("""COMPUTED_VALUE"""),"Algorithms")</f>
        <v>Algorithms</v>
      </c>
      <c r="I1354" s="20">
        <f>IFERROR(__xludf.DUMMYFUNCTION("""COMPUTED_VALUE"""),0.327)</f>
        <v>0.327</v>
      </c>
      <c r="J1354" s="20">
        <f>IFERROR(__xludf.DUMMYFUNCTION("""COMPUTED_VALUE"""),1353.0)</f>
        <v>1353</v>
      </c>
      <c r="K1354" s="20" t="b">
        <f>IFERROR(__xludf.DUMMYFUNCTION("""COMPUTED_VALUE"""),FALSE)</f>
        <v>0</v>
      </c>
      <c r="L1354" s="20" t="str">
        <f>IFERROR(__xludf.DUMMYFUNCTION("""COMPUTED_VALUE"""),"Array;Greedy;Sorting;Heap (Priority Queue);")</f>
        <v>Array;Greedy;Sorting;Heap (Priority Queue);</v>
      </c>
      <c r="M1354" s="20" t="b">
        <f>IFERROR(__xludf.DUMMYFUNCTION("""COMPUTED_VALUE"""),FALSE)</f>
        <v>0</v>
      </c>
      <c r="N1354" s="20" t="b">
        <f>IFERROR(__xludf.DUMMYFUNCTION("""COMPUTED_VALUE"""),FALSE)</f>
        <v>0</v>
      </c>
      <c r="O1354" s="20">
        <f>IFERROR(__xludf.DUMMYFUNCTION("""COMPUTED_VALUE"""),32.6640000401499)</f>
        <v>32.66400004</v>
      </c>
      <c r="P1354" s="20">
        <f>IFERROR(__xludf.DUMMYFUNCTION("""COMPUTED_VALUE"""),65084.0)</f>
        <v>65084</v>
      </c>
      <c r="Q1354" s="20">
        <f>IFERROR(__xludf.DUMMYFUNCTION("""COMPUTED_VALUE"""),199253.0)</f>
        <v>199253</v>
      </c>
    </row>
    <row r="1355">
      <c r="A1355" s="20">
        <f>IFERROR(__xludf.DUMMYFUNCTION("""COMPUTED_VALUE"""),1479.0)</f>
        <v>1479</v>
      </c>
      <c r="B1355" s="20" t="str">
        <f>IFERROR(__xludf.DUMMYFUNCTION("""COMPUTED_VALUE"""),"Construct Target Array With Multiple Sums")</f>
        <v>Construct Target Array With Multiple Sums</v>
      </c>
      <c r="C1355" s="20" t="str">
        <f>IFERROR(__xludf.DUMMYFUNCTION("""COMPUTED_VALUE"""),"construct-target-array-with-multiple-sums")</f>
        <v>construct-target-array-with-multiple-sums</v>
      </c>
      <c r="D1355" s="20" t="b">
        <f>IFERROR(__xludf.DUMMYFUNCTION("""COMPUTED_VALUE"""),FALSE)</f>
        <v>0</v>
      </c>
      <c r="E1355" s="20" t="str">
        <f>IFERROR(__xludf.DUMMYFUNCTION("""COMPUTED_VALUE"""),"Hard")</f>
        <v>Hard</v>
      </c>
      <c r="F1355" s="20">
        <f>IFERROR(__xludf.DUMMYFUNCTION("""COMPUTED_VALUE"""),1955.0)</f>
        <v>1955</v>
      </c>
      <c r="G1355" s="20">
        <f>IFERROR(__xludf.DUMMYFUNCTION("""COMPUTED_VALUE"""),156.0)</f>
        <v>156</v>
      </c>
      <c r="H1355" s="20" t="str">
        <f>IFERROR(__xludf.DUMMYFUNCTION("""COMPUTED_VALUE"""),"Algorithms")</f>
        <v>Algorithms</v>
      </c>
      <c r="I1355" s="20">
        <f>IFERROR(__xludf.DUMMYFUNCTION("""COMPUTED_VALUE"""),0.363)</f>
        <v>0.363</v>
      </c>
      <c r="J1355" s="20">
        <f>IFERROR(__xludf.DUMMYFUNCTION("""COMPUTED_VALUE"""),1354.0)</f>
        <v>1354</v>
      </c>
      <c r="K1355" s="20" t="b">
        <f>IFERROR(__xludf.DUMMYFUNCTION("""COMPUTED_VALUE"""),FALSE)</f>
        <v>0</v>
      </c>
      <c r="L1355" s="20" t="str">
        <f>IFERROR(__xludf.DUMMYFUNCTION("""COMPUTED_VALUE"""),"Array;Heap (Priority Queue);")</f>
        <v>Array;Heap (Priority Queue);</v>
      </c>
      <c r="M1355" s="20" t="b">
        <f>IFERROR(__xludf.DUMMYFUNCTION("""COMPUTED_VALUE"""),TRUE)</f>
        <v>1</v>
      </c>
      <c r="N1355" s="20" t="b">
        <f>IFERROR(__xludf.DUMMYFUNCTION("""COMPUTED_VALUE"""),FALSE)</f>
        <v>0</v>
      </c>
      <c r="O1355" s="20">
        <f>IFERROR(__xludf.DUMMYFUNCTION("""COMPUTED_VALUE"""),36.3212319722874)</f>
        <v>36.32123197</v>
      </c>
      <c r="P1355" s="20">
        <f>IFERROR(__xludf.DUMMYFUNCTION("""COMPUTED_VALUE"""),63540.0)</f>
        <v>63540</v>
      </c>
      <c r="Q1355" s="20">
        <f>IFERROR(__xludf.DUMMYFUNCTION("""COMPUTED_VALUE"""),174939.0)</f>
        <v>174939</v>
      </c>
    </row>
    <row r="1356">
      <c r="A1356" s="20">
        <f>IFERROR(__xludf.DUMMYFUNCTION("""COMPUTED_VALUE"""),1494.0)</f>
        <v>1494</v>
      </c>
      <c r="B1356" s="20" t="str">
        <f>IFERROR(__xludf.DUMMYFUNCTION("""COMPUTED_VALUE"""),"Activity Participants")</f>
        <v>Activity Participants</v>
      </c>
      <c r="C1356" s="20" t="str">
        <f>IFERROR(__xludf.DUMMYFUNCTION("""COMPUTED_VALUE"""),"activity-participants")</f>
        <v>activity-participants</v>
      </c>
      <c r="D1356" s="20" t="b">
        <f>IFERROR(__xludf.DUMMYFUNCTION("""COMPUTED_VALUE"""),TRUE)</f>
        <v>1</v>
      </c>
      <c r="E1356" s="20" t="str">
        <f>IFERROR(__xludf.DUMMYFUNCTION("""COMPUTED_VALUE"""),"Medium")</f>
        <v>Medium</v>
      </c>
      <c r="F1356" s="20">
        <f>IFERROR(__xludf.DUMMYFUNCTION("""COMPUTED_VALUE"""),113.0)</f>
        <v>113</v>
      </c>
      <c r="G1356" s="20">
        <f>IFERROR(__xludf.DUMMYFUNCTION("""COMPUTED_VALUE"""),47.0)</f>
        <v>47</v>
      </c>
      <c r="H1356" s="20" t="str">
        <f>IFERROR(__xludf.DUMMYFUNCTION("""COMPUTED_VALUE"""),"Database")</f>
        <v>Database</v>
      </c>
      <c r="I1356" s="20">
        <f>IFERROR(__xludf.DUMMYFUNCTION("""COMPUTED_VALUE"""),0.743)</f>
        <v>0.743</v>
      </c>
      <c r="J1356" s="20">
        <f>IFERROR(__xludf.DUMMYFUNCTION("""COMPUTED_VALUE"""),1355.0)</f>
        <v>1355</v>
      </c>
      <c r="K1356" s="20" t="b">
        <f>IFERROR(__xludf.DUMMYFUNCTION("""COMPUTED_VALUE"""),TRUE)</f>
        <v>1</v>
      </c>
      <c r="L1356" s="20" t="str">
        <f>IFERROR(__xludf.DUMMYFUNCTION("""COMPUTED_VALUE"""),"Database;")</f>
        <v>Database;</v>
      </c>
      <c r="M1356" s="20" t="b">
        <f>IFERROR(__xludf.DUMMYFUNCTION("""COMPUTED_VALUE"""),FALSE)</f>
        <v>0</v>
      </c>
      <c r="N1356" s="20" t="b">
        <f>IFERROR(__xludf.DUMMYFUNCTION("""COMPUTED_VALUE"""),FALSE)</f>
        <v>0</v>
      </c>
      <c r="O1356" s="20">
        <f>IFERROR(__xludf.DUMMYFUNCTION("""COMPUTED_VALUE"""),74.3298809707837)</f>
        <v>74.32988097</v>
      </c>
      <c r="P1356" s="20">
        <f>IFERROR(__xludf.DUMMYFUNCTION("""COMPUTED_VALUE"""),24042.0)</f>
        <v>24042</v>
      </c>
      <c r="Q1356" s="20">
        <f>IFERROR(__xludf.DUMMYFUNCTION("""COMPUTED_VALUE"""),32345.0)</f>
        <v>32345</v>
      </c>
    </row>
    <row r="1357">
      <c r="A1357" s="20">
        <f>IFERROR(__xludf.DUMMYFUNCTION("""COMPUTED_VALUE"""),1458.0)</f>
        <v>1458</v>
      </c>
      <c r="B1357" s="20" t="str">
        <f>IFERROR(__xludf.DUMMYFUNCTION("""COMPUTED_VALUE"""),"Sort Integers by The Number of 1 Bits")</f>
        <v>Sort Integers by The Number of 1 Bits</v>
      </c>
      <c r="C1357" s="20" t="str">
        <f>IFERROR(__xludf.DUMMYFUNCTION("""COMPUTED_VALUE"""),"sort-integers-by-the-number-of-1-bits")</f>
        <v>sort-integers-by-the-number-of-1-bits</v>
      </c>
      <c r="D1357" s="20" t="b">
        <f>IFERROR(__xludf.DUMMYFUNCTION("""COMPUTED_VALUE"""),FALSE)</f>
        <v>0</v>
      </c>
      <c r="E1357" s="20" t="str">
        <f>IFERROR(__xludf.DUMMYFUNCTION("""COMPUTED_VALUE"""),"Easy")</f>
        <v>Easy</v>
      </c>
      <c r="F1357" s="20">
        <f>IFERROR(__xludf.DUMMYFUNCTION("""COMPUTED_VALUE"""),1416.0)</f>
        <v>1416</v>
      </c>
      <c r="G1357" s="20">
        <f>IFERROR(__xludf.DUMMYFUNCTION("""COMPUTED_VALUE"""),62.0)</f>
        <v>62</v>
      </c>
      <c r="H1357" s="20" t="str">
        <f>IFERROR(__xludf.DUMMYFUNCTION("""COMPUTED_VALUE"""),"Algorithms")</f>
        <v>Algorithms</v>
      </c>
      <c r="I1357" s="20">
        <f>IFERROR(__xludf.DUMMYFUNCTION("""COMPUTED_VALUE"""),0.722)</f>
        <v>0.722</v>
      </c>
      <c r="J1357" s="20">
        <f>IFERROR(__xludf.DUMMYFUNCTION("""COMPUTED_VALUE"""),1356.0)</f>
        <v>1356</v>
      </c>
      <c r="K1357" s="20" t="b">
        <f>IFERROR(__xludf.DUMMYFUNCTION("""COMPUTED_VALUE"""),FALSE)</f>
        <v>0</v>
      </c>
      <c r="L1357" s="20" t="str">
        <f>IFERROR(__xludf.DUMMYFUNCTION("""COMPUTED_VALUE"""),"Array;Bit Manipulation;Sorting;Counting;")</f>
        <v>Array;Bit Manipulation;Sorting;Counting;</v>
      </c>
      <c r="M1357" s="20" t="b">
        <f>IFERROR(__xludf.DUMMYFUNCTION("""COMPUTED_VALUE"""),FALSE)</f>
        <v>0</v>
      </c>
      <c r="N1357" s="20" t="b">
        <f>IFERROR(__xludf.DUMMYFUNCTION("""COMPUTED_VALUE"""),FALSE)</f>
        <v>0</v>
      </c>
      <c r="O1357" s="20">
        <f>IFERROR(__xludf.DUMMYFUNCTION("""COMPUTED_VALUE"""),72.1849639948146)</f>
        <v>72.18496399</v>
      </c>
      <c r="P1357" s="20">
        <f>IFERROR(__xludf.DUMMYFUNCTION("""COMPUTED_VALUE"""),96331.0)</f>
        <v>96331</v>
      </c>
      <c r="Q1357" s="20">
        <f>IFERROR(__xludf.DUMMYFUNCTION("""COMPUTED_VALUE"""),133451.0)</f>
        <v>133451</v>
      </c>
    </row>
    <row r="1358">
      <c r="A1358" s="20">
        <f>IFERROR(__xludf.DUMMYFUNCTION("""COMPUTED_VALUE"""),1459.0)</f>
        <v>1459</v>
      </c>
      <c r="B1358" s="20" t="str">
        <f>IFERROR(__xludf.DUMMYFUNCTION("""COMPUTED_VALUE"""),"Apply Discount Every n Orders")</f>
        <v>Apply Discount Every n Orders</v>
      </c>
      <c r="C1358" s="20" t="str">
        <f>IFERROR(__xludf.DUMMYFUNCTION("""COMPUTED_VALUE"""),"apply-discount-every-n-orders")</f>
        <v>apply-discount-every-n-orders</v>
      </c>
      <c r="D1358" s="20" t="b">
        <f>IFERROR(__xludf.DUMMYFUNCTION("""COMPUTED_VALUE"""),FALSE)</f>
        <v>0</v>
      </c>
      <c r="E1358" s="20" t="str">
        <f>IFERROR(__xludf.DUMMYFUNCTION("""COMPUTED_VALUE"""),"Medium")</f>
        <v>Medium</v>
      </c>
      <c r="F1358" s="20">
        <f>IFERROR(__xludf.DUMMYFUNCTION("""COMPUTED_VALUE"""),139.0)</f>
        <v>139</v>
      </c>
      <c r="G1358" s="20">
        <f>IFERROR(__xludf.DUMMYFUNCTION("""COMPUTED_VALUE"""),188.0)</f>
        <v>188</v>
      </c>
      <c r="H1358" s="20" t="str">
        <f>IFERROR(__xludf.DUMMYFUNCTION("""COMPUTED_VALUE"""),"Algorithms")</f>
        <v>Algorithms</v>
      </c>
      <c r="I1358" s="20">
        <f>IFERROR(__xludf.DUMMYFUNCTION("""COMPUTED_VALUE"""),0.7)</f>
        <v>0.7</v>
      </c>
      <c r="J1358" s="20">
        <f>IFERROR(__xludf.DUMMYFUNCTION("""COMPUTED_VALUE"""),1357.0)</f>
        <v>1357</v>
      </c>
      <c r="K1358" s="20" t="b">
        <f>IFERROR(__xludf.DUMMYFUNCTION("""COMPUTED_VALUE"""),FALSE)</f>
        <v>0</v>
      </c>
      <c r="L1358" s="20" t="str">
        <f>IFERROR(__xludf.DUMMYFUNCTION("""COMPUTED_VALUE"""),"Array;Hash Table;Design;")</f>
        <v>Array;Hash Table;Design;</v>
      </c>
      <c r="M1358" s="20" t="b">
        <f>IFERROR(__xludf.DUMMYFUNCTION("""COMPUTED_VALUE"""),FALSE)</f>
        <v>0</v>
      </c>
      <c r="N1358" s="20" t="b">
        <f>IFERROR(__xludf.DUMMYFUNCTION("""COMPUTED_VALUE"""),FALSE)</f>
        <v>0</v>
      </c>
      <c r="O1358" s="20">
        <f>IFERROR(__xludf.DUMMYFUNCTION("""COMPUTED_VALUE"""),69.9516349055433)</f>
        <v>69.95163491</v>
      </c>
      <c r="P1358" s="20">
        <f>IFERROR(__xludf.DUMMYFUNCTION("""COMPUTED_VALUE"""),16922.0)</f>
        <v>16922</v>
      </c>
      <c r="Q1358" s="20">
        <f>IFERROR(__xludf.DUMMYFUNCTION("""COMPUTED_VALUE"""),24191.0)</f>
        <v>24191</v>
      </c>
    </row>
    <row r="1359">
      <c r="A1359" s="20">
        <f>IFERROR(__xludf.DUMMYFUNCTION("""COMPUTED_VALUE"""),1460.0)</f>
        <v>1460</v>
      </c>
      <c r="B1359" s="20" t="str">
        <f>IFERROR(__xludf.DUMMYFUNCTION("""COMPUTED_VALUE"""),"Number of Substrings Containing All Three Characters")</f>
        <v>Number of Substrings Containing All Three Characters</v>
      </c>
      <c r="C1359" s="20" t="str">
        <f>IFERROR(__xludf.DUMMYFUNCTION("""COMPUTED_VALUE"""),"number-of-substrings-containing-all-three-characters")</f>
        <v>number-of-substrings-containing-all-three-characters</v>
      </c>
      <c r="D1359" s="20" t="b">
        <f>IFERROR(__xludf.DUMMYFUNCTION("""COMPUTED_VALUE"""),FALSE)</f>
        <v>0</v>
      </c>
      <c r="E1359" s="20" t="str">
        <f>IFERROR(__xludf.DUMMYFUNCTION("""COMPUTED_VALUE"""),"Medium")</f>
        <v>Medium</v>
      </c>
      <c r="F1359" s="20">
        <f>IFERROR(__xludf.DUMMYFUNCTION("""COMPUTED_VALUE"""),1971.0)</f>
        <v>1971</v>
      </c>
      <c r="G1359" s="20">
        <f>IFERROR(__xludf.DUMMYFUNCTION("""COMPUTED_VALUE"""),34.0)</f>
        <v>34</v>
      </c>
      <c r="H1359" s="20" t="str">
        <f>IFERROR(__xludf.DUMMYFUNCTION("""COMPUTED_VALUE"""),"Algorithms")</f>
        <v>Algorithms</v>
      </c>
      <c r="I1359" s="20">
        <f>IFERROR(__xludf.DUMMYFUNCTION("""COMPUTED_VALUE"""),0.632)</f>
        <v>0.632</v>
      </c>
      <c r="J1359" s="20">
        <f>IFERROR(__xludf.DUMMYFUNCTION("""COMPUTED_VALUE"""),1358.0)</f>
        <v>1358</v>
      </c>
      <c r="K1359" s="20" t="b">
        <f>IFERROR(__xludf.DUMMYFUNCTION("""COMPUTED_VALUE"""),FALSE)</f>
        <v>0</v>
      </c>
      <c r="L1359" s="20" t="str">
        <f>IFERROR(__xludf.DUMMYFUNCTION("""COMPUTED_VALUE"""),"Hash Table;String;Sliding Window;")</f>
        <v>Hash Table;String;Sliding Window;</v>
      </c>
      <c r="M1359" s="20" t="b">
        <f>IFERROR(__xludf.DUMMYFUNCTION("""COMPUTED_VALUE"""),FALSE)</f>
        <v>0</v>
      </c>
      <c r="N1359" s="20" t="b">
        <f>IFERROR(__xludf.DUMMYFUNCTION("""COMPUTED_VALUE"""),FALSE)</f>
        <v>0</v>
      </c>
      <c r="O1359" s="20">
        <f>IFERROR(__xludf.DUMMYFUNCTION("""COMPUTED_VALUE"""),63.1539553490772)</f>
        <v>63.15395535</v>
      </c>
      <c r="P1359" s="20">
        <f>IFERROR(__xludf.DUMMYFUNCTION("""COMPUTED_VALUE"""),48938.0)</f>
        <v>48938</v>
      </c>
      <c r="Q1359" s="20">
        <f>IFERROR(__xludf.DUMMYFUNCTION("""COMPUTED_VALUE"""),77490.0)</f>
        <v>77490</v>
      </c>
    </row>
    <row r="1360">
      <c r="A1360" s="20">
        <f>IFERROR(__xludf.DUMMYFUNCTION("""COMPUTED_VALUE"""),1461.0)</f>
        <v>1461</v>
      </c>
      <c r="B1360" s="20" t="str">
        <f>IFERROR(__xludf.DUMMYFUNCTION("""COMPUTED_VALUE"""),"Count All Valid Pickup and Delivery Options")</f>
        <v>Count All Valid Pickup and Delivery Options</v>
      </c>
      <c r="C1360" s="20" t="str">
        <f>IFERROR(__xludf.DUMMYFUNCTION("""COMPUTED_VALUE"""),"count-all-valid-pickup-and-delivery-options")</f>
        <v>count-all-valid-pickup-and-delivery-options</v>
      </c>
      <c r="D1360" s="20" t="b">
        <f>IFERROR(__xludf.DUMMYFUNCTION("""COMPUTED_VALUE"""),FALSE)</f>
        <v>0</v>
      </c>
      <c r="E1360" s="20" t="str">
        <f>IFERROR(__xludf.DUMMYFUNCTION("""COMPUTED_VALUE"""),"Hard")</f>
        <v>Hard</v>
      </c>
      <c r="F1360" s="20">
        <f>IFERROR(__xludf.DUMMYFUNCTION("""COMPUTED_VALUE"""),1679.0)</f>
        <v>1679</v>
      </c>
      <c r="G1360" s="20">
        <f>IFERROR(__xludf.DUMMYFUNCTION("""COMPUTED_VALUE"""),150.0)</f>
        <v>150</v>
      </c>
      <c r="H1360" s="20" t="str">
        <f>IFERROR(__xludf.DUMMYFUNCTION("""COMPUTED_VALUE"""),"Algorithms")</f>
        <v>Algorithms</v>
      </c>
      <c r="I1360" s="20">
        <f>IFERROR(__xludf.DUMMYFUNCTION("""COMPUTED_VALUE"""),0.629)</f>
        <v>0.629</v>
      </c>
      <c r="J1360" s="20">
        <f>IFERROR(__xludf.DUMMYFUNCTION("""COMPUTED_VALUE"""),1359.0)</f>
        <v>1359</v>
      </c>
      <c r="K1360" s="20" t="b">
        <f>IFERROR(__xludf.DUMMYFUNCTION("""COMPUTED_VALUE"""),FALSE)</f>
        <v>0</v>
      </c>
      <c r="L1360" s="20" t="str">
        <f>IFERROR(__xludf.DUMMYFUNCTION("""COMPUTED_VALUE"""),"Math;Dynamic Programming;Combinatorics;")</f>
        <v>Math;Dynamic Programming;Combinatorics;</v>
      </c>
      <c r="M1360" s="20" t="b">
        <f>IFERROR(__xludf.DUMMYFUNCTION("""COMPUTED_VALUE"""),TRUE)</f>
        <v>1</v>
      </c>
      <c r="N1360" s="20" t="b">
        <f>IFERROR(__xludf.DUMMYFUNCTION("""COMPUTED_VALUE"""),FALSE)</f>
        <v>0</v>
      </c>
      <c r="O1360" s="20">
        <f>IFERROR(__xludf.DUMMYFUNCTION("""COMPUTED_VALUE"""),62.86378356943)</f>
        <v>62.86378357</v>
      </c>
      <c r="P1360" s="20">
        <f>IFERROR(__xludf.DUMMYFUNCTION("""COMPUTED_VALUE"""),57069.0)</f>
        <v>57069</v>
      </c>
      <c r="Q1360" s="20">
        <f>IFERROR(__xludf.DUMMYFUNCTION("""COMPUTED_VALUE"""),90782.0)</f>
        <v>90782</v>
      </c>
    </row>
    <row r="1361">
      <c r="A1361" s="20">
        <f>IFERROR(__xludf.DUMMYFUNCTION("""COMPUTED_VALUE"""),1274.0)</f>
        <v>1274</v>
      </c>
      <c r="B1361" s="20" t="str">
        <f>IFERROR(__xludf.DUMMYFUNCTION("""COMPUTED_VALUE"""),"Number of Days Between Two Dates")</f>
        <v>Number of Days Between Two Dates</v>
      </c>
      <c r="C1361" s="20" t="str">
        <f>IFERROR(__xludf.DUMMYFUNCTION("""COMPUTED_VALUE"""),"number-of-days-between-two-dates")</f>
        <v>number-of-days-between-two-dates</v>
      </c>
      <c r="D1361" s="20" t="b">
        <f>IFERROR(__xludf.DUMMYFUNCTION("""COMPUTED_VALUE"""),FALSE)</f>
        <v>0</v>
      </c>
      <c r="E1361" s="20" t="str">
        <f>IFERROR(__xludf.DUMMYFUNCTION("""COMPUTED_VALUE"""),"Easy")</f>
        <v>Easy</v>
      </c>
      <c r="F1361" s="20">
        <f>IFERROR(__xludf.DUMMYFUNCTION("""COMPUTED_VALUE"""),257.0)</f>
        <v>257</v>
      </c>
      <c r="G1361" s="20">
        <f>IFERROR(__xludf.DUMMYFUNCTION("""COMPUTED_VALUE"""),1010.0)</f>
        <v>1010</v>
      </c>
      <c r="H1361" s="20" t="str">
        <f>IFERROR(__xludf.DUMMYFUNCTION("""COMPUTED_VALUE"""),"Algorithms")</f>
        <v>Algorithms</v>
      </c>
      <c r="I1361" s="20">
        <f>IFERROR(__xludf.DUMMYFUNCTION("""COMPUTED_VALUE"""),0.477)</f>
        <v>0.477</v>
      </c>
      <c r="J1361" s="20">
        <f>IFERROR(__xludf.DUMMYFUNCTION("""COMPUTED_VALUE"""),1360.0)</f>
        <v>1360</v>
      </c>
      <c r="K1361" s="20" t="b">
        <f>IFERROR(__xludf.DUMMYFUNCTION("""COMPUTED_VALUE"""),FALSE)</f>
        <v>0</v>
      </c>
      <c r="L1361" s="20" t="str">
        <f>IFERROR(__xludf.DUMMYFUNCTION("""COMPUTED_VALUE"""),"Math;String;")</f>
        <v>Math;String;</v>
      </c>
      <c r="M1361" s="20" t="b">
        <f>IFERROR(__xludf.DUMMYFUNCTION("""COMPUTED_VALUE"""),FALSE)</f>
        <v>0</v>
      </c>
      <c r="N1361" s="20" t="b">
        <f>IFERROR(__xludf.DUMMYFUNCTION("""COMPUTED_VALUE"""),FALSE)</f>
        <v>0</v>
      </c>
      <c r="O1361" s="20">
        <f>IFERROR(__xludf.DUMMYFUNCTION("""COMPUTED_VALUE"""),47.6765440362484)</f>
        <v>47.67654404</v>
      </c>
      <c r="P1361" s="20">
        <f>IFERROR(__xludf.DUMMYFUNCTION("""COMPUTED_VALUE"""),37037.0)</f>
        <v>37037</v>
      </c>
      <c r="Q1361" s="20">
        <f>IFERROR(__xludf.DUMMYFUNCTION("""COMPUTED_VALUE"""),77685.0)</f>
        <v>77685</v>
      </c>
    </row>
    <row r="1362">
      <c r="A1362" s="20">
        <f>IFERROR(__xludf.DUMMYFUNCTION("""COMPUTED_VALUE"""),1275.0)</f>
        <v>1275</v>
      </c>
      <c r="B1362" s="20" t="str">
        <f>IFERROR(__xludf.DUMMYFUNCTION("""COMPUTED_VALUE"""),"Validate Binary Tree Nodes")</f>
        <v>Validate Binary Tree Nodes</v>
      </c>
      <c r="C1362" s="20" t="str">
        <f>IFERROR(__xludf.DUMMYFUNCTION("""COMPUTED_VALUE"""),"validate-binary-tree-nodes")</f>
        <v>validate-binary-tree-nodes</v>
      </c>
      <c r="D1362" s="20" t="b">
        <f>IFERROR(__xludf.DUMMYFUNCTION("""COMPUTED_VALUE"""),FALSE)</f>
        <v>0</v>
      </c>
      <c r="E1362" s="20" t="str">
        <f>IFERROR(__xludf.DUMMYFUNCTION("""COMPUTED_VALUE"""),"Medium")</f>
        <v>Medium</v>
      </c>
      <c r="F1362" s="20">
        <f>IFERROR(__xludf.DUMMYFUNCTION("""COMPUTED_VALUE"""),1003.0)</f>
        <v>1003</v>
      </c>
      <c r="G1362" s="20">
        <f>IFERROR(__xludf.DUMMYFUNCTION("""COMPUTED_VALUE"""),293.0)</f>
        <v>293</v>
      </c>
      <c r="H1362" s="20" t="str">
        <f>IFERROR(__xludf.DUMMYFUNCTION("""COMPUTED_VALUE"""),"Algorithms")</f>
        <v>Algorithms</v>
      </c>
      <c r="I1362" s="20">
        <f>IFERROR(__xludf.DUMMYFUNCTION("""COMPUTED_VALUE"""),0.401)</f>
        <v>0.401</v>
      </c>
      <c r="J1362" s="20">
        <f>IFERROR(__xludf.DUMMYFUNCTION("""COMPUTED_VALUE"""),1361.0)</f>
        <v>1361</v>
      </c>
      <c r="K1362" s="20" t="b">
        <f>IFERROR(__xludf.DUMMYFUNCTION("""COMPUTED_VALUE"""),FALSE)</f>
        <v>0</v>
      </c>
      <c r="L1362" s="20" t="str">
        <f>IFERROR(__xludf.DUMMYFUNCTION("""COMPUTED_VALUE"""),"Tree;Depth-First Search;Breadth-First Search;Union Find;Graph;Binary Tree;")</f>
        <v>Tree;Depth-First Search;Breadth-First Search;Union Find;Graph;Binary Tree;</v>
      </c>
      <c r="M1362" s="20" t="b">
        <f>IFERROR(__xludf.DUMMYFUNCTION("""COMPUTED_VALUE"""),FALSE)</f>
        <v>0</v>
      </c>
      <c r="N1362" s="20" t="b">
        <f>IFERROR(__xludf.DUMMYFUNCTION("""COMPUTED_VALUE"""),FALSE)</f>
        <v>0</v>
      </c>
      <c r="O1362" s="20">
        <f>IFERROR(__xludf.DUMMYFUNCTION("""COMPUTED_VALUE"""),40.1195788320025)</f>
        <v>40.11957883</v>
      </c>
      <c r="P1362" s="20">
        <f>IFERROR(__xludf.DUMMYFUNCTION("""COMPUTED_VALUE"""),40998.0)</f>
        <v>40998</v>
      </c>
      <c r="Q1362" s="20">
        <f>IFERROR(__xludf.DUMMYFUNCTION("""COMPUTED_VALUE"""),102186.0)</f>
        <v>102186</v>
      </c>
    </row>
    <row r="1363">
      <c r="A1363" s="20">
        <f>IFERROR(__xludf.DUMMYFUNCTION("""COMPUTED_VALUE"""),1276.0)</f>
        <v>1276</v>
      </c>
      <c r="B1363" s="20" t="str">
        <f>IFERROR(__xludf.DUMMYFUNCTION("""COMPUTED_VALUE"""),"Closest Divisors")</f>
        <v>Closest Divisors</v>
      </c>
      <c r="C1363" s="20" t="str">
        <f>IFERROR(__xludf.DUMMYFUNCTION("""COMPUTED_VALUE"""),"closest-divisors")</f>
        <v>closest-divisors</v>
      </c>
      <c r="D1363" s="20" t="b">
        <f>IFERROR(__xludf.DUMMYFUNCTION("""COMPUTED_VALUE"""),FALSE)</f>
        <v>0</v>
      </c>
      <c r="E1363" s="20" t="str">
        <f>IFERROR(__xludf.DUMMYFUNCTION("""COMPUTED_VALUE"""),"Medium")</f>
        <v>Medium</v>
      </c>
      <c r="F1363" s="20">
        <f>IFERROR(__xludf.DUMMYFUNCTION("""COMPUTED_VALUE"""),235.0)</f>
        <v>235</v>
      </c>
      <c r="G1363" s="20">
        <f>IFERROR(__xludf.DUMMYFUNCTION("""COMPUTED_VALUE"""),91.0)</f>
        <v>91</v>
      </c>
      <c r="H1363" s="20" t="str">
        <f>IFERROR(__xludf.DUMMYFUNCTION("""COMPUTED_VALUE"""),"Algorithms")</f>
        <v>Algorithms</v>
      </c>
      <c r="I1363" s="20">
        <f>IFERROR(__xludf.DUMMYFUNCTION("""COMPUTED_VALUE"""),0.599)</f>
        <v>0.599</v>
      </c>
      <c r="J1363" s="20">
        <f>IFERROR(__xludf.DUMMYFUNCTION("""COMPUTED_VALUE"""),1362.0)</f>
        <v>1362</v>
      </c>
      <c r="K1363" s="20" t="b">
        <f>IFERROR(__xludf.DUMMYFUNCTION("""COMPUTED_VALUE"""),FALSE)</f>
        <v>0</v>
      </c>
      <c r="L1363" s="20" t="str">
        <f>IFERROR(__xludf.DUMMYFUNCTION("""COMPUTED_VALUE"""),"Math;")</f>
        <v>Math;</v>
      </c>
      <c r="M1363" s="20" t="b">
        <f>IFERROR(__xludf.DUMMYFUNCTION("""COMPUTED_VALUE"""),FALSE)</f>
        <v>0</v>
      </c>
      <c r="N1363" s="20" t="b">
        <f>IFERROR(__xludf.DUMMYFUNCTION("""COMPUTED_VALUE"""),FALSE)</f>
        <v>0</v>
      </c>
      <c r="O1363" s="20">
        <f>IFERROR(__xludf.DUMMYFUNCTION("""COMPUTED_VALUE"""),59.8964462226406)</f>
        <v>59.89644622</v>
      </c>
      <c r="P1363" s="20">
        <f>IFERROR(__xludf.DUMMYFUNCTION("""COMPUTED_VALUE"""),17815.0)</f>
        <v>17815</v>
      </c>
      <c r="Q1363" s="20">
        <f>IFERROR(__xludf.DUMMYFUNCTION("""COMPUTED_VALUE"""),29743.0)</f>
        <v>29743</v>
      </c>
    </row>
    <row r="1364">
      <c r="A1364" s="20">
        <f>IFERROR(__xludf.DUMMYFUNCTION("""COMPUTED_VALUE"""),1277.0)</f>
        <v>1277</v>
      </c>
      <c r="B1364" s="20" t="str">
        <f>IFERROR(__xludf.DUMMYFUNCTION("""COMPUTED_VALUE"""),"Largest Multiple of Three")</f>
        <v>Largest Multiple of Three</v>
      </c>
      <c r="C1364" s="20" t="str">
        <f>IFERROR(__xludf.DUMMYFUNCTION("""COMPUTED_VALUE"""),"largest-multiple-of-three")</f>
        <v>largest-multiple-of-three</v>
      </c>
      <c r="D1364" s="20" t="b">
        <f>IFERROR(__xludf.DUMMYFUNCTION("""COMPUTED_VALUE"""),FALSE)</f>
        <v>0</v>
      </c>
      <c r="E1364" s="20" t="str">
        <f>IFERROR(__xludf.DUMMYFUNCTION("""COMPUTED_VALUE"""),"Hard")</f>
        <v>Hard</v>
      </c>
      <c r="F1364" s="20">
        <f>IFERROR(__xludf.DUMMYFUNCTION("""COMPUTED_VALUE"""),497.0)</f>
        <v>497</v>
      </c>
      <c r="G1364" s="20">
        <f>IFERROR(__xludf.DUMMYFUNCTION("""COMPUTED_VALUE"""),66.0)</f>
        <v>66</v>
      </c>
      <c r="H1364" s="20" t="str">
        <f>IFERROR(__xludf.DUMMYFUNCTION("""COMPUTED_VALUE"""),"Algorithms")</f>
        <v>Algorithms</v>
      </c>
      <c r="I1364" s="20">
        <f>IFERROR(__xludf.DUMMYFUNCTION("""COMPUTED_VALUE"""),0.333)</f>
        <v>0.333</v>
      </c>
      <c r="J1364" s="20">
        <f>IFERROR(__xludf.DUMMYFUNCTION("""COMPUTED_VALUE"""),1363.0)</f>
        <v>1363</v>
      </c>
      <c r="K1364" s="20" t="b">
        <f>IFERROR(__xludf.DUMMYFUNCTION("""COMPUTED_VALUE"""),FALSE)</f>
        <v>0</v>
      </c>
      <c r="L1364" s="20" t="str">
        <f>IFERROR(__xludf.DUMMYFUNCTION("""COMPUTED_VALUE"""),"Array;Dynamic Programming;Greedy;")</f>
        <v>Array;Dynamic Programming;Greedy;</v>
      </c>
      <c r="M1364" s="20" t="b">
        <f>IFERROR(__xludf.DUMMYFUNCTION("""COMPUTED_VALUE"""),FALSE)</f>
        <v>0</v>
      </c>
      <c r="N1364" s="20" t="b">
        <f>IFERROR(__xludf.DUMMYFUNCTION("""COMPUTED_VALUE"""),FALSE)</f>
        <v>0</v>
      </c>
      <c r="O1364" s="20">
        <f>IFERROR(__xludf.DUMMYFUNCTION("""COMPUTED_VALUE"""),33.2707465027029)</f>
        <v>33.2707465</v>
      </c>
      <c r="P1364" s="20">
        <f>IFERROR(__xludf.DUMMYFUNCTION("""COMPUTED_VALUE"""),16120.0)</f>
        <v>16120</v>
      </c>
      <c r="Q1364" s="20">
        <f>IFERROR(__xludf.DUMMYFUNCTION("""COMPUTED_VALUE"""),48455.0)</f>
        <v>48455</v>
      </c>
    </row>
    <row r="1365">
      <c r="A1365" s="20">
        <f>IFERROR(__xludf.DUMMYFUNCTION("""COMPUTED_VALUE"""),1495.0)</f>
        <v>1495</v>
      </c>
      <c r="B1365" s="20" t="str">
        <f>IFERROR(__xludf.DUMMYFUNCTION("""COMPUTED_VALUE"""),"Number of Trusted Contacts of a Customer")</f>
        <v>Number of Trusted Contacts of a Customer</v>
      </c>
      <c r="C1365" s="20" t="str">
        <f>IFERROR(__xludf.DUMMYFUNCTION("""COMPUTED_VALUE"""),"number-of-trusted-contacts-of-a-customer")</f>
        <v>number-of-trusted-contacts-of-a-customer</v>
      </c>
      <c r="D1365" s="20" t="b">
        <f>IFERROR(__xludf.DUMMYFUNCTION("""COMPUTED_VALUE"""),TRUE)</f>
        <v>1</v>
      </c>
      <c r="E1365" s="20" t="str">
        <f>IFERROR(__xludf.DUMMYFUNCTION("""COMPUTED_VALUE"""),"Medium")</f>
        <v>Medium</v>
      </c>
      <c r="F1365" s="20">
        <f>IFERROR(__xludf.DUMMYFUNCTION("""COMPUTED_VALUE"""),69.0)</f>
        <v>69</v>
      </c>
      <c r="G1365" s="20">
        <f>IFERROR(__xludf.DUMMYFUNCTION("""COMPUTED_VALUE"""),323.0)</f>
        <v>323</v>
      </c>
      <c r="H1365" s="20" t="str">
        <f>IFERROR(__xludf.DUMMYFUNCTION("""COMPUTED_VALUE"""),"Database")</f>
        <v>Database</v>
      </c>
      <c r="I1365" s="20">
        <f>IFERROR(__xludf.DUMMYFUNCTION("""COMPUTED_VALUE"""),0.788)</f>
        <v>0.788</v>
      </c>
      <c r="J1365" s="20">
        <f>IFERROR(__xludf.DUMMYFUNCTION("""COMPUTED_VALUE"""),1364.0)</f>
        <v>1364</v>
      </c>
      <c r="K1365" s="20" t="b">
        <f>IFERROR(__xludf.DUMMYFUNCTION("""COMPUTED_VALUE"""),TRUE)</f>
        <v>1</v>
      </c>
      <c r="L1365" s="20" t="str">
        <f>IFERROR(__xludf.DUMMYFUNCTION("""COMPUTED_VALUE"""),"Database;")</f>
        <v>Database;</v>
      </c>
      <c r="M1365" s="20" t="b">
        <f>IFERROR(__xludf.DUMMYFUNCTION("""COMPUTED_VALUE"""),FALSE)</f>
        <v>0</v>
      </c>
      <c r="N1365" s="20" t="b">
        <f>IFERROR(__xludf.DUMMYFUNCTION("""COMPUTED_VALUE"""),FALSE)</f>
        <v>0</v>
      </c>
      <c r="O1365" s="20">
        <f>IFERROR(__xludf.DUMMYFUNCTION("""COMPUTED_VALUE"""),78.764033680834)</f>
        <v>78.76403368</v>
      </c>
      <c r="P1365" s="20">
        <f>IFERROR(__xludf.DUMMYFUNCTION("""COMPUTED_VALUE"""),15715.0)</f>
        <v>15715</v>
      </c>
      <c r="Q1365" s="20">
        <f>IFERROR(__xludf.DUMMYFUNCTION("""COMPUTED_VALUE"""),19952.0)</f>
        <v>19952</v>
      </c>
    </row>
    <row r="1366">
      <c r="A1366" s="20">
        <f>IFERROR(__xludf.DUMMYFUNCTION("""COMPUTED_VALUE"""),1482.0)</f>
        <v>1482</v>
      </c>
      <c r="B1366" s="20" t="str">
        <f>IFERROR(__xludf.DUMMYFUNCTION("""COMPUTED_VALUE"""),"How Many Numbers Are Smaller Than the Current Number")</f>
        <v>How Many Numbers Are Smaller Than the Current Number</v>
      </c>
      <c r="C1366" s="20" t="str">
        <f>IFERROR(__xludf.DUMMYFUNCTION("""COMPUTED_VALUE"""),"how-many-numbers-are-smaller-than-the-current-number")</f>
        <v>how-many-numbers-are-smaller-than-the-current-number</v>
      </c>
      <c r="D1366" s="20" t="b">
        <f>IFERROR(__xludf.DUMMYFUNCTION("""COMPUTED_VALUE"""),FALSE)</f>
        <v>0</v>
      </c>
      <c r="E1366" s="20" t="str">
        <f>IFERROR(__xludf.DUMMYFUNCTION("""COMPUTED_VALUE"""),"Easy")</f>
        <v>Easy</v>
      </c>
      <c r="F1366" s="20">
        <f>IFERROR(__xludf.DUMMYFUNCTION("""COMPUTED_VALUE"""),4191.0)</f>
        <v>4191</v>
      </c>
      <c r="G1366" s="20">
        <f>IFERROR(__xludf.DUMMYFUNCTION("""COMPUTED_VALUE"""),85.0)</f>
        <v>85</v>
      </c>
      <c r="H1366" s="20" t="str">
        <f>IFERROR(__xludf.DUMMYFUNCTION("""COMPUTED_VALUE"""),"Algorithms")</f>
        <v>Algorithms</v>
      </c>
      <c r="I1366" s="20">
        <f>IFERROR(__xludf.DUMMYFUNCTION("""COMPUTED_VALUE"""),0.867)</f>
        <v>0.867</v>
      </c>
      <c r="J1366" s="20">
        <f>IFERROR(__xludf.DUMMYFUNCTION("""COMPUTED_VALUE"""),1365.0)</f>
        <v>1365</v>
      </c>
      <c r="K1366" s="20" t="b">
        <f>IFERROR(__xludf.DUMMYFUNCTION("""COMPUTED_VALUE"""),FALSE)</f>
        <v>0</v>
      </c>
      <c r="L1366" s="20" t="str">
        <f>IFERROR(__xludf.DUMMYFUNCTION("""COMPUTED_VALUE"""),"Array;Hash Table;Sorting;Counting;")</f>
        <v>Array;Hash Table;Sorting;Counting;</v>
      </c>
      <c r="M1366" s="20" t="b">
        <f>IFERROR(__xludf.DUMMYFUNCTION("""COMPUTED_VALUE"""),FALSE)</f>
        <v>0</v>
      </c>
      <c r="N1366" s="20" t="b">
        <f>IFERROR(__xludf.DUMMYFUNCTION("""COMPUTED_VALUE"""),FALSE)</f>
        <v>0</v>
      </c>
      <c r="O1366" s="20">
        <f>IFERROR(__xludf.DUMMYFUNCTION("""COMPUTED_VALUE"""),86.6734993924394)</f>
        <v>86.67349939</v>
      </c>
      <c r="P1366" s="20">
        <f>IFERROR(__xludf.DUMMYFUNCTION("""COMPUTED_VALUE"""),387313.0)</f>
        <v>387313</v>
      </c>
      <c r="Q1366" s="20">
        <f>IFERROR(__xludf.DUMMYFUNCTION("""COMPUTED_VALUE"""),446865.0)</f>
        <v>446865</v>
      </c>
    </row>
    <row r="1367">
      <c r="A1367" s="20">
        <f>IFERROR(__xludf.DUMMYFUNCTION("""COMPUTED_VALUE"""),1483.0)</f>
        <v>1483</v>
      </c>
      <c r="B1367" s="20" t="str">
        <f>IFERROR(__xludf.DUMMYFUNCTION("""COMPUTED_VALUE"""),"Rank Teams by Votes")</f>
        <v>Rank Teams by Votes</v>
      </c>
      <c r="C1367" s="20" t="str">
        <f>IFERROR(__xludf.DUMMYFUNCTION("""COMPUTED_VALUE"""),"rank-teams-by-votes")</f>
        <v>rank-teams-by-votes</v>
      </c>
      <c r="D1367" s="20" t="b">
        <f>IFERROR(__xludf.DUMMYFUNCTION("""COMPUTED_VALUE"""),FALSE)</f>
        <v>0</v>
      </c>
      <c r="E1367" s="20" t="str">
        <f>IFERROR(__xludf.DUMMYFUNCTION("""COMPUTED_VALUE"""),"Medium")</f>
        <v>Medium</v>
      </c>
      <c r="F1367" s="20">
        <f>IFERROR(__xludf.DUMMYFUNCTION("""COMPUTED_VALUE"""),1057.0)</f>
        <v>1057</v>
      </c>
      <c r="G1367" s="20">
        <f>IFERROR(__xludf.DUMMYFUNCTION("""COMPUTED_VALUE"""),120.0)</f>
        <v>120</v>
      </c>
      <c r="H1367" s="20" t="str">
        <f>IFERROR(__xludf.DUMMYFUNCTION("""COMPUTED_VALUE"""),"Algorithms")</f>
        <v>Algorithms</v>
      </c>
      <c r="I1367" s="20">
        <f>IFERROR(__xludf.DUMMYFUNCTION("""COMPUTED_VALUE"""),0.581)</f>
        <v>0.581</v>
      </c>
      <c r="J1367" s="20">
        <f>IFERROR(__xludf.DUMMYFUNCTION("""COMPUTED_VALUE"""),1366.0)</f>
        <v>1366</v>
      </c>
      <c r="K1367" s="20" t="b">
        <f>IFERROR(__xludf.DUMMYFUNCTION("""COMPUTED_VALUE"""),FALSE)</f>
        <v>0</v>
      </c>
      <c r="L1367" s="20" t="str">
        <f>IFERROR(__xludf.DUMMYFUNCTION("""COMPUTED_VALUE"""),"Array;Hash Table;String;Sorting;Counting;")</f>
        <v>Array;Hash Table;String;Sorting;Counting;</v>
      </c>
      <c r="M1367" s="20" t="b">
        <f>IFERROR(__xludf.DUMMYFUNCTION("""COMPUTED_VALUE"""),FALSE)</f>
        <v>0</v>
      </c>
      <c r="N1367" s="20" t="b">
        <f>IFERROR(__xludf.DUMMYFUNCTION("""COMPUTED_VALUE"""),FALSE)</f>
        <v>0</v>
      </c>
      <c r="O1367" s="20">
        <f>IFERROR(__xludf.DUMMYFUNCTION("""COMPUTED_VALUE"""),58.1486870036014)</f>
        <v>58.148687</v>
      </c>
      <c r="P1367" s="20">
        <f>IFERROR(__xludf.DUMMYFUNCTION("""COMPUTED_VALUE"""),48760.0)</f>
        <v>48760</v>
      </c>
      <c r="Q1367" s="20">
        <f>IFERROR(__xludf.DUMMYFUNCTION("""COMPUTED_VALUE"""),83854.0)</f>
        <v>83854</v>
      </c>
    </row>
    <row r="1368">
      <c r="A1368" s="20">
        <f>IFERROR(__xludf.DUMMYFUNCTION("""COMPUTED_VALUE"""),1484.0)</f>
        <v>1484</v>
      </c>
      <c r="B1368" s="20" t="str">
        <f>IFERROR(__xludf.DUMMYFUNCTION("""COMPUTED_VALUE"""),"Linked List in Binary Tree")</f>
        <v>Linked List in Binary Tree</v>
      </c>
      <c r="C1368" s="20" t="str">
        <f>IFERROR(__xludf.DUMMYFUNCTION("""COMPUTED_VALUE"""),"linked-list-in-binary-tree")</f>
        <v>linked-list-in-binary-tree</v>
      </c>
      <c r="D1368" s="20" t="b">
        <f>IFERROR(__xludf.DUMMYFUNCTION("""COMPUTED_VALUE"""),FALSE)</f>
        <v>0</v>
      </c>
      <c r="E1368" s="20" t="str">
        <f>IFERROR(__xludf.DUMMYFUNCTION("""COMPUTED_VALUE"""),"Medium")</f>
        <v>Medium</v>
      </c>
      <c r="F1368" s="20">
        <f>IFERROR(__xludf.DUMMYFUNCTION("""COMPUTED_VALUE"""),1824.0)</f>
        <v>1824</v>
      </c>
      <c r="G1368" s="20">
        <f>IFERROR(__xludf.DUMMYFUNCTION("""COMPUTED_VALUE"""),58.0)</f>
        <v>58</v>
      </c>
      <c r="H1368" s="20" t="str">
        <f>IFERROR(__xludf.DUMMYFUNCTION("""COMPUTED_VALUE"""),"Algorithms")</f>
        <v>Algorithms</v>
      </c>
      <c r="I1368" s="20">
        <f>IFERROR(__xludf.DUMMYFUNCTION("""COMPUTED_VALUE"""),0.436)</f>
        <v>0.436</v>
      </c>
      <c r="J1368" s="20">
        <f>IFERROR(__xludf.DUMMYFUNCTION("""COMPUTED_VALUE"""),1367.0)</f>
        <v>1367</v>
      </c>
      <c r="K1368" s="20" t="b">
        <f>IFERROR(__xludf.DUMMYFUNCTION("""COMPUTED_VALUE"""),FALSE)</f>
        <v>0</v>
      </c>
      <c r="L1368" s="20" t="str">
        <f>IFERROR(__xludf.DUMMYFUNCTION("""COMPUTED_VALUE"""),"Linked List;Tree;Depth-First Search;Breadth-First Search;Binary Tree;")</f>
        <v>Linked List;Tree;Depth-First Search;Breadth-First Search;Binary Tree;</v>
      </c>
      <c r="M1368" s="20" t="b">
        <f>IFERROR(__xludf.DUMMYFUNCTION("""COMPUTED_VALUE"""),FALSE)</f>
        <v>0</v>
      </c>
      <c r="N1368" s="20" t="b">
        <f>IFERROR(__xludf.DUMMYFUNCTION("""COMPUTED_VALUE"""),FALSE)</f>
        <v>0</v>
      </c>
      <c r="O1368" s="20">
        <f>IFERROR(__xludf.DUMMYFUNCTION("""COMPUTED_VALUE"""),43.5555459949376)</f>
        <v>43.55554599</v>
      </c>
      <c r="P1368" s="20">
        <f>IFERROR(__xludf.DUMMYFUNCTION("""COMPUTED_VALUE"""),60743.0)</f>
        <v>60743</v>
      </c>
      <c r="Q1368" s="20">
        <f>IFERROR(__xludf.DUMMYFUNCTION("""COMPUTED_VALUE"""),139461.0)</f>
        <v>139461</v>
      </c>
    </row>
    <row r="1369">
      <c r="A1369" s="20">
        <f>IFERROR(__xludf.DUMMYFUNCTION("""COMPUTED_VALUE"""),1485.0)</f>
        <v>1485</v>
      </c>
      <c r="B1369" s="20" t="str">
        <f>IFERROR(__xludf.DUMMYFUNCTION("""COMPUTED_VALUE"""),"Minimum Cost to Make at Least One Valid Path in a Grid")</f>
        <v>Minimum Cost to Make at Least One Valid Path in a Grid</v>
      </c>
      <c r="C1369" s="20" t="str">
        <f>IFERROR(__xludf.DUMMYFUNCTION("""COMPUTED_VALUE"""),"minimum-cost-to-make-at-least-one-valid-path-in-a-grid")</f>
        <v>minimum-cost-to-make-at-least-one-valid-path-in-a-grid</v>
      </c>
      <c r="D1369" s="20" t="b">
        <f>IFERROR(__xludf.DUMMYFUNCTION("""COMPUTED_VALUE"""),FALSE)</f>
        <v>0</v>
      </c>
      <c r="E1369" s="20" t="str">
        <f>IFERROR(__xludf.DUMMYFUNCTION("""COMPUTED_VALUE"""),"Hard")</f>
        <v>Hard</v>
      </c>
      <c r="F1369" s="20">
        <f>IFERROR(__xludf.DUMMYFUNCTION("""COMPUTED_VALUE"""),1398.0)</f>
        <v>1398</v>
      </c>
      <c r="G1369" s="20">
        <f>IFERROR(__xludf.DUMMYFUNCTION("""COMPUTED_VALUE"""),14.0)</f>
        <v>14</v>
      </c>
      <c r="H1369" s="20" t="str">
        <f>IFERROR(__xludf.DUMMYFUNCTION("""COMPUTED_VALUE"""),"Algorithms")</f>
        <v>Algorithms</v>
      </c>
      <c r="I1369" s="20">
        <f>IFERROR(__xludf.DUMMYFUNCTION("""COMPUTED_VALUE"""),0.613)</f>
        <v>0.613</v>
      </c>
      <c r="J1369" s="20">
        <f>IFERROR(__xludf.DUMMYFUNCTION("""COMPUTED_VALUE"""),1368.0)</f>
        <v>1368</v>
      </c>
      <c r="K1369" s="20" t="b">
        <f>IFERROR(__xludf.DUMMYFUNCTION("""COMPUTED_VALUE"""),FALSE)</f>
        <v>0</v>
      </c>
      <c r="L1369" s="20" t="str">
        <f>IFERROR(__xludf.DUMMYFUNCTION("""COMPUTED_VALUE"""),"Array;Breadth-First Search;Graph;Heap (Priority Queue);Matrix;Shortest Path;")</f>
        <v>Array;Breadth-First Search;Graph;Heap (Priority Queue);Matrix;Shortest Path;</v>
      </c>
      <c r="M1369" s="20" t="b">
        <f>IFERROR(__xludf.DUMMYFUNCTION("""COMPUTED_VALUE"""),FALSE)</f>
        <v>0</v>
      </c>
      <c r="N1369" s="20" t="b">
        <f>IFERROR(__xludf.DUMMYFUNCTION("""COMPUTED_VALUE"""),FALSE)</f>
        <v>0</v>
      </c>
      <c r="O1369" s="20">
        <f>IFERROR(__xludf.DUMMYFUNCTION("""COMPUTED_VALUE"""),61.3424527839898)</f>
        <v>61.34245278</v>
      </c>
      <c r="P1369" s="20">
        <f>IFERROR(__xludf.DUMMYFUNCTION("""COMPUTED_VALUE"""),37579.0)</f>
        <v>37579</v>
      </c>
      <c r="Q1369" s="20">
        <f>IFERROR(__xludf.DUMMYFUNCTION("""COMPUTED_VALUE"""),61261.0)</f>
        <v>61261</v>
      </c>
    </row>
    <row r="1370">
      <c r="A1370" s="20">
        <f>IFERROR(__xludf.DUMMYFUNCTION("""COMPUTED_VALUE"""),1504.0)</f>
        <v>1504</v>
      </c>
      <c r="B1370" s="20" t="str">
        <f>IFERROR(__xludf.DUMMYFUNCTION("""COMPUTED_VALUE"""),"Get the Second Most Recent Activity")</f>
        <v>Get the Second Most Recent Activity</v>
      </c>
      <c r="C1370" s="20" t="str">
        <f>IFERROR(__xludf.DUMMYFUNCTION("""COMPUTED_VALUE"""),"get-the-second-most-recent-activity")</f>
        <v>get-the-second-most-recent-activity</v>
      </c>
      <c r="D1370" s="20" t="b">
        <f>IFERROR(__xludf.DUMMYFUNCTION("""COMPUTED_VALUE"""),TRUE)</f>
        <v>1</v>
      </c>
      <c r="E1370" s="20" t="str">
        <f>IFERROR(__xludf.DUMMYFUNCTION("""COMPUTED_VALUE"""),"Hard")</f>
        <v>Hard</v>
      </c>
      <c r="F1370" s="20">
        <f>IFERROR(__xludf.DUMMYFUNCTION("""COMPUTED_VALUE"""),135.0)</f>
        <v>135</v>
      </c>
      <c r="G1370" s="20">
        <f>IFERROR(__xludf.DUMMYFUNCTION("""COMPUTED_VALUE"""),12.0)</f>
        <v>12</v>
      </c>
      <c r="H1370" s="20" t="str">
        <f>IFERROR(__xludf.DUMMYFUNCTION("""COMPUTED_VALUE"""),"Database")</f>
        <v>Database</v>
      </c>
      <c r="I1370" s="20">
        <f>IFERROR(__xludf.DUMMYFUNCTION("""COMPUTED_VALUE"""),0.698)</f>
        <v>0.698</v>
      </c>
      <c r="J1370" s="20">
        <f>IFERROR(__xludf.DUMMYFUNCTION("""COMPUTED_VALUE"""),1369.0)</f>
        <v>1369</v>
      </c>
      <c r="K1370" s="20" t="b">
        <f>IFERROR(__xludf.DUMMYFUNCTION("""COMPUTED_VALUE"""),TRUE)</f>
        <v>1</v>
      </c>
      <c r="L1370" s="20" t="str">
        <f>IFERROR(__xludf.DUMMYFUNCTION("""COMPUTED_VALUE"""),"Database;")</f>
        <v>Database;</v>
      </c>
      <c r="M1370" s="20" t="b">
        <f>IFERROR(__xludf.DUMMYFUNCTION("""COMPUTED_VALUE"""),FALSE)</f>
        <v>0</v>
      </c>
      <c r="N1370" s="20" t="b">
        <f>IFERROR(__xludf.DUMMYFUNCTION("""COMPUTED_VALUE"""),FALSE)</f>
        <v>0</v>
      </c>
      <c r="O1370" s="20">
        <f>IFERROR(__xludf.DUMMYFUNCTION("""COMPUTED_VALUE"""),69.7642106983776)</f>
        <v>69.7642107</v>
      </c>
      <c r="P1370" s="20">
        <f>IFERROR(__xludf.DUMMYFUNCTION("""COMPUTED_VALUE"""),17072.0)</f>
        <v>17072</v>
      </c>
      <c r="Q1370" s="20">
        <f>IFERROR(__xludf.DUMMYFUNCTION("""COMPUTED_VALUE"""),24471.0)</f>
        <v>24471</v>
      </c>
    </row>
    <row r="1371">
      <c r="A1371" s="20">
        <f>IFERROR(__xludf.DUMMYFUNCTION("""COMPUTED_VALUE"""),1472.0)</f>
        <v>1472</v>
      </c>
      <c r="B1371" s="20" t="str">
        <f>IFERROR(__xludf.DUMMYFUNCTION("""COMPUTED_VALUE"""),"Increasing Decreasing String")</f>
        <v>Increasing Decreasing String</v>
      </c>
      <c r="C1371" s="20" t="str">
        <f>IFERROR(__xludf.DUMMYFUNCTION("""COMPUTED_VALUE"""),"increasing-decreasing-string")</f>
        <v>increasing-decreasing-string</v>
      </c>
      <c r="D1371" s="20" t="b">
        <f>IFERROR(__xludf.DUMMYFUNCTION("""COMPUTED_VALUE"""),FALSE)</f>
        <v>0</v>
      </c>
      <c r="E1371" s="20" t="str">
        <f>IFERROR(__xludf.DUMMYFUNCTION("""COMPUTED_VALUE"""),"Easy")</f>
        <v>Easy</v>
      </c>
      <c r="F1371" s="20">
        <f>IFERROR(__xludf.DUMMYFUNCTION("""COMPUTED_VALUE"""),610.0)</f>
        <v>610</v>
      </c>
      <c r="G1371" s="20">
        <f>IFERROR(__xludf.DUMMYFUNCTION("""COMPUTED_VALUE"""),719.0)</f>
        <v>719</v>
      </c>
      <c r="H1371" s="20" t="str">
        <f>IFERROR(__xludf.DUMMYFUNCTION("""COMPUTED_VALUE"""),"Algorithms")</f>
        <v>Algorithms</v>
      </c>
      <c r="I1371" s="20">
        <f>IFERROR(__xludf.DUMMYFUNCTION("""COMPUTED_VALUE"""),0.774)</f>
        <v>0.774</v>
      </c>
      <c r="J1371" s="20">
        <f>IFERROR(__xludf.DUMMYFUNCTION("""COMPUTED_VALUE"""),1370.0)</f>
        <v>1370</v>
      </c>
      <c r="K1371" s="20" t="b">
        <f>IFERROR(__xludf.DUMMYFUNCTION("""COMPUTED_VALUE"""),FALSE)</f>
        <v>0</v>
      </c>
      <c r="L1371" s="20" t="str">
        <f>IFERROR(__xludf.DUMMYFUNCTION("""COMPUTED_VALUE"""),"Hash Table;String;Counting;")</f>
        <v>Hash Table;String;Counting;</v>
      </c>
      <c r="M1371" s="20" t="b">
        <f>IFERROR(__xludf.DUMMYFUNCTION("""COMPUTED_VALUE"""),FALSE)</f>
        <v>0</v>
      </c>
      <c r="N1371" s="20" t="b">
        <f>IFERROR(__xludf.DUMMYFUNCTION("""COMPUTED_VALUE"""),FALSE)</f>
        <v>0</v>
      </c>
      <c r="O1371" s="20">
        <f>IFERROR(__xludf.DUMMYFUNCTION("""COMPUTED_VALUE"""),77.3581376790813)</f>
        <v>77.35813768</v>
      </c>
      <c r="P1371" s="20">
        <f>IFERROR(__xludf.DUMMYFUNCTION("""COMPUTED_VALUE"""),62042.0)</f>
        <v>62042</v>
      </c>
      <c r="Q1371" s="20">
        <f>IFERROR(__xludf.DUMMYFUNCTION("""COMPUTED_VALUE"""),80201.0)</f>
        <v>80201</v>
      </c>
    </row>
    <row r="1372">
      <c r="A1372" s="20">
        <f>IFERROR(__xludf.DUMMYFUNCTION("""COMPUTED_VALUE"""),1473.0)</f>
        <v>1473</v>
      </c>
      <c r="B1372" s="20" t="str">
        <f>IFERROR(__xludf.DUMMYFUNCTION("""COMPUTED_VALUE"""),"Find the Longest Substring Containing Vowels in Even Counts")</f>
        <v>Find the Longest Substring Containing Vowels in Even Counts</v>
      </c>
      <c r="C1372" s="20" t="str">
        <f>IFERROR(__xludf.DUMMYFUNCTION("""COMPUTED_VALUE"""),"find-the-longest-substring-containing-vowels-in-even-counts")</f>
        <v>find-the-longest-substring-containing-vowels-in-even-counts</v>
      </c>
      <c r="D1372" s="20" t="b">
        <f>IFERROR(__xludf.DUMMYFUNCTION("""COMPUTED_VALUE"""),FALSE)</f>
        <v>0</v>
      </c>
      <c r="E1372" s="20" t="str">
        <f>IFERROR(__xludf.DUMMYFUNCTION("""COMPUTED_VALUE"""),"Medium")</f>
        <v>Medium</v>
      </c>
      <c r="F1372" s="20">
        <f>IFERROR(__xludf.DUMMYFUNCTION("""COMPUTED_VALUE"""),1331.0)</f>
        <v>1331</v>
      </c>
      <c r="G1372" s="20">
        <f>IFERROR(__xludf.DUMMYFUNCTION("""COMPUTED_VALUE"""),47.0)</f>
        <v>47</v>
      </c>
      <c r="H1372" s="20" t="str">
        <f>IFERROR(__xludf.DUMMYFUNCTION("""COMPUTED_VALUE"""),"Algorithms")</f>
        <v>Algorithms</v>
      </c>
      <c r="I1372" s="20">
        <f>IFERROR(__xludf.DUMMYFUNCTION("""COMPUTED_VALUE"""),0.631)</f>
        <v>0.631</v>
      </c>
      <c r="J1372" s="20">
        <f>IFERROR(__xludf.DUMMYFUNCTION("""COMPUTED_VALUE"""),1371.0)</f>
        <v>1371</v>
      </c>
      <c r="K1372" s="20" t="b">
        <f>IFERROR(__xludf.DUMMYFUNCTION("""COMPUTED_VALUE"""),FALSE)</f>
        <v>0</v>
      </c>
      <c r="L1372" s="20" t="str">
        <f>IFERROR(__xludf.DUMMYFUNCTION("""COMPUTED_VALUE"""),"Hash Table;String;Bit Manipulation;Prefix Sum;")</f>
        <v>Hash Table;String;Bit Manipulation;Prefix Sum;</v>
      </c>
      <c r="M1372" s="20" t="b">
        <f>IFERROR(__xludf.DUMMYFUNCTION("""COMPUTED_VALUE"""),FALSE)</f>
        <v>0</v>
      </c>
      <c r="N1372" s="20" t="b">
        <f>IFERROR(__xludf.DUMMYFUNCTION("""COMPUTED_VALUE"""),FALSE)</f>
        <v>0</v>
      </c>
      <c r="O1372" s="20">
        <f>IFERROR(__xludf.DUMMYFUNCTION("""COMPUTED_VALUE"""),63.1316263548034)</f>
        <v>63.13162635</v>
      </c>
      <c r="P1372" s="20">
        <f>IFERROR(__xludf.DUMMYFUNCTION("""COMPUTED_VALUE"""),21377.0)</f>
        <v>21377</v>
      </c>
      <c r="Q1372" s="20">
        <f>IFERROR(__xludf.DUMMYFUNCTION("""COMPUTED_VALUE"""),33861.0)</f>
        <v>33861</v>
      </c>
    </row>
    <row r="1373">
      <c r="A1373" s="20">
        <f>IFERROR(__xludf.DUMMYFUNCTION("""COMPUTED_VALUE"""),1474.0)</f>
        <v>1474</v>
      </c>
      <c r="B1373" s="20" t="str">
        <f>IFERROR(__xludf.DUMMYFUNCTION("""COMPUTED_VALUE"""),"Longest ZigZag Path in a Binary Tree")</f>
        <v>Longest ZigZag Path in a Binary Tree</v>
      </c>
      <c r="C1373" s="20" t="str">
        <f>IFERROR(__xludf.DUMMYFUNCTION("""COMPUTED_VALUE"""),"longest-zigzag-path-in-a-binary-tree")</f>
        <v>longest-zigzag-path-in-a-binary-tree</v>
      </c>
      <c r="D1373" s="20" t="b">
        <f>IFERROR(__xludf.DUMMYFUNCTION("""COMPUTED_VALUE"""),FALSE)</f>
        <v>0</v>
      </c>
      <c r="E1373" s="20" t="str">
        <f>IFERROR(__xludf.DUMMYFUNCTION("""COMPUTED_VALUE"""),"Medium")</f>
        <v>Medium</v>
      </c>
      <c r="F1373" s="20">
        <f>IFERROR(__xludf.DUMMYFUNCTION("""COMPUTED_VALUE"""),1408.0)</f>
        <v>1408</v>
      </c>
      <c r="G1373" s="20">
        <f>IFERROR(__xludf.DUMMYFUNCTION("""COMPUTED_VALUE"""),25.0)</f>
        <v>25</v>
      </c>
      <c r="H1373" s="20" t="str">
        <f>IFERROR(__xludf.DUMMYFUNCTION("""COMPUTED_VALUE"""),"Algorithms")</f>
        <v>Algorithms</v>
      </c>
      <c r="I1373" s="20">
        <f>IFERROR(__xludf.DUMMYFUNCTION("""COMPUTED_VALUE"""),0.599)</f>
        <v>0.599</v>
      </c>
      <c r="J1373" s="20">
        <f>IFERROR(__xludf.DUMMYFUNCTION("""COMPUTED_VALUE"""),1372.0)</f>
        <v>1372</v>
      </c>
      <c r="K1373" s="20" t="b">
        <f>IFERROR(__xludf.DUMMYFUNCTION("""COMPUTED_VALUE"""),FALSE)</f>
        <v>0</v>
      </c>
      <c r="L1373" s="20" t="str">
        <f>IFERROR(__xludf.DUMMYFUNCTION("""COMPUTED_VALUE"""),"Dynamic Programming;Tree;Depth-First Search;Binary Tree;")</f>
        <v>Dynamic Programming;Tree;Depth-First Search;Binary Tree;</v>
      </c>
      <c r="M1373" s="20" t="b">
        <f>IFERROR(__xludf.DUMMYFUNCTION("""COMPUTED_VALUE"""),FALSE)</f>
        <v>0</v>
      </c>
      <c r="N1373" s="20" t="b">
        <f>IFERROR(__xludf.DUMMYFUNCTION("""COMPUTED_VALUE"""),FALSE)</f>
        <v>0</v>
      </c>
      <c r="O1373" s="20">
        <f>IFERROR(__xludf.DUMMYFUNCTION("""COMPUTED_VALUE"""),59.9193713700034)</f>
        <v>59.91937137</v>
      </c>
      <c r="P1373" s="20">
        <f>IFERROR(__xludf.DUMMYFUNCTION("""COMPUTED_VALUE"""),43846.0)</f>
        <v>43846</v>
      </c>
      <c r="Q1373" s="20">
        <f>IFERROR(__xludf.DUMMYFUNCTION("""COMPUTED_VALUE"""),73175.0)</f>
        <v>73175</v>
      </c>
    </row>
    <row r="1374">
      <c r="A1374" s="20">
        <f>IFERROR(__xludf.DUMMYFUNCTION("""COMPUTED_VALUE"""),1475.0)</f>
        <v>1475</v>
      </c>
      <c r="B1374" s="20" t="str">
        <f>IFERROR(__xludf.DUMMYFUNCTION("""COMPUTED_VALUE"""),"Maximum Sum BST in Binary Tree")</f>
        <v>Maximum Sum BST in Binary Tree</v>
      </c>
      <c r="C1374" s="20" t="str">
        <f>IFERROR(__xludf.DUMMYFUNCTION("""COMPUTED_VALUE"""),"maximum-sum-bst-in-binary-tree")</f>
        <v>maximum-sum-bst-in-binary-tree</v>
      </c>
      <c r="D1374" s="20" t="b">
        <f>IFERROR(__xludf.DUMMYFUNCTION("""COMPUTED_VALUE"""),FALSE)</f>
        <v>0</v>
      </c>
      <c r="E1374" s="20" t="str">
        <f>IFERROR(__xludf.DUMMYFUNCTION("""COMPUTED_VALUE"""),"Hard")</f>
        <v>Hard</v>
      </c>
      <c r="F1374" s="20">
        <f>IFERROR(__xludf.DUMMYFUNCTION("""COMPUTED_VALUE"""),1829.0)</f>
        <v>1829</v>
      </c>
      <c r="G1374" s="20">
        <f>IFERROR(__xludf.DUMMYFUNCTION("""COMPUTED_VALUE"""),152.0)</f>
        <v>152</v>
      </c>
      <c r="H1374" s="20" t="str">
        <f>IFERROR(__xludf.DUMMYFUNCTION("""COMPUTED_VALUE"""),"Algorithms")</f>
        <v>Algorithms</v>
      </c>
      <c r="I1374" s="20">
        <f>IFERROR(__xludf.DUMMYFUNCTION("""COMPUTED_VALUE"""),0.393)</f>
        <v>0.393</v>
      </c>
      <c r="J1374" s="20">
        <f>IFERROR(__xludf.DUMMYFUNCTION("""COMPUTED_VALUE"""),1373.0)</f>
        <v>1373</v>
      </c>
      <c r="K1374" s="20" t="b">
        <f>IFERROR(__xludf.DUMMYFUNCTION("""COMPUTED_VALUE"""),FALSE)</f>
        <v>0</v>
      </c>
      <c r="L1374" s="20" t="str">
        <f>IFERROR(__xludf.DUMMYFUNCTION("""COMPUTED_VALUE"""),"Dynamic Programming;Tree;Depth-First Search;Binary Search Tree;Binary Tree;")</f>
        <v>Dynamic Programming;Tree;Depth-First Search;Binary Search Tree;Binary Tree;</v>
      </c>
      <c r="M1374" s="20" t="b">
        <f>IFERROR(__xludf.DUMMYFUNCTION("""COMPUTED_VALUE"""),FALSE)</f>
        <v>0</v>
      </c>
      <c r="N1374" s="20" t="b">
        <f>IFERROR(__xludf.DUMMYFUNCTION("""COMPUTED_VALUE"""),FALSE)</f>
        <v>0</v>
      </c>
      <c r="O1374" s="20">
        <f>IFERROR(__xludf.DUMMYFUNCTION("""COMPUTED_VALUE"""),39.2810070969922)</f>
        <v>39.2810071</v>
      </c>
      <c r="P1374" s="20">
        <f>IFERROR(__xludf.DUMMYFUNCTION("""COMPUTED_VALUE"""),46493.0)</f>
        <v>46493</v>
      </c>
      <c r="Q1374" s="20">
        <f>IFERROR(__xludf.DUMMYFUNCTION("""COMPUTED_VALUE"""),118360.0)</f>
        <v>118360</v>
      </c>
    </row>
    <row r="1375">
      <c r="A1375" s="20">
        <f>IFERROR(__xludf.DUMMYFUNCTION("""COMPUTED_VALUE"""),1490.0)</f>
        <v>1490</v>
      </c>
      <c r="B1375" s="20" t="str">
        <f>IFERROR(__xludf.DUMMYFUNCTION("""COMPUTED_VALUE"""),"Generate a String With Characters That Have Odd Counts")</f>
        <v>Generate a String With Characters That Have Odd Counts</v>
      </c>
      <c r="C1375" s="20" t="str">
        <f>IFERROR(__xludf.DUMMYFUNCTION("""COMPUTED_VALUE"""),"generate-a-string-with-characters-that-have-odd-counts")</f>
        <v>generate-a-string-with-characters-that-have-odd-counts</v>
      </c>
      <c r="D1375" s="20" t="b">
        <f>IFERROR(__xludf.DUMMYFUNCTION("""COMPUTED_VALUE"""),FALSE)</f>
        <v>0</v>
      </c>
      <c r="E1375" s="20" t="str">
        <f>IFERROR(__xludf.DUMMYFUNCTION("""COMPUTED_VALUE"""),"Easy")</f>
        <v>Easy</v>
      </c>
      <c r="F1375" s="20">
        <f>IFERROR(__xludf.DUMMYFUNCTION("""COMPUTED_VALUE"""),362.0)</f>
        <v>362</v>
      </c>
      <c r="G1375" s="20">
        <f>IFERROR(__xludf.DUMMYFUNCTION("""COMPUTED_VALUE"""),1125.0)</f>
        <v>1125</v>
      </c>
      <c r="H1375" s="20" t="str">
        <f>IFERROR(__xludf.DUMMYFUNCTION("""COMPUTED_VALUE"""),"Algorithms")</f>
        <v>Algorithms</v>
      </c>
      <c r="I1375" s="20">
        <f>IFERROR(__xludf.DUMMYFUNCTION("""COMPUTED_VALUE"""),0.776)</f>
        <v>0.776</v>
      </c>
      <c r="J1375" s="20">
        <f>IFERROR(__xludf.DUMMYFUNCTION("""COMPUTED_VALUE"""),1374.0)</f>
        <v>1374</v>
      </c>
      <c r="K1375" s="20" t="b">
        <f>IFERROR(__xludf.DUMMYFUNCTION("""COMPUTED_VALUE"""),FALSE)</f>
        <v>0</v>
      </c>
      <c r="L1375" s="20" t="str">
        <f>IFERROR(__xludf.DUMMYFUNCTION("""COMPUTED_VALUE"""),"String;")</f>
        <v>String;</v>
      </c>
      <c r="M1375" s="20" t="b">
        <f>IFERROR(__xludf.DUMMYFUNCTION("""COMPUTED_VALUE"""),FALSE)</f>
        <v>0</v>
      </c>
      <c r="N1375" s="20" t="b">
        <f>IFERROR(__xludf.DUMMYFUNCTION("""COMPUTED_VALUE"""),FALSE)</f>
        <v>0</v>
      </c>
      <c r="O1375" s="20">
        <f>IFERROR(__xludf.DUMMYFUNCTION("""COMPUTED_VALUE"""),77.6093610110558)</f>
        <v>77.60936101</v>
      </c>
      <c r="P1375" s="20">
        <f>IFERROR(__xludf.DUMMYFUNCTION("""COMPUTED_VALUE"""),74550.0)</f>
        <v>74550</v>
      </c>
      <c r="Q1375" s="20">
        <f>IFERROR(__xludf.DUMMYFUNCTION("""COMPUTED_VALUE"""),96058.0)</f>
        <v>96058</v>
      </c>
    </row>
    <row r="1376">
      <c r="A1376" s="20">
        <f>IFERROR(__xludf.DUMMYFUNCTION("""COMPUTED_VALUE"""),1491.0)</f>
        <v>1491</v>
      </c>
      <c r="B1376" s="20" t="str">
        <f>IFERROR(__xludf.DUMMYFUNCTION("""COMPUTED_VALUE"""),"Number of Times Binary String Is Prefix-Aligned")</f>
        <v>Number of Times Binary String Is Prefix-Aligned</v>
      </c>
      <c r="C1376" s="20" t="str">
        <f>IFERROR(__xludf.DUMMYFUNCTION("""COMPUTED_VALUE"""),"number-of-times-binary-string-is-prefix-aligned")</f>
        <v>number-of-times-binary-string-is-prefix-aligned</v>
      </c>
      <c r="D1376" s="20" t="b">
        <f>IFERROR(__xludf.DUMMYFUNCTION("""COMPUTED_VALUE"""),FALSE)</f>
        <v>0</v>
      </c>
      <c r="E1376" s="20" t="str">
        <f>IFERROR(__xludf.DUMMYFUNCTION("""COMPUTED_VALUE"""),"Medium")</f>
        <v>Medium</v>
      </c>
      <c r="F1376" s="20">
        <f>IFERROR(__xludf.DUMMYFUNCTION("""COMPUTED_VALUE"""),801.0)</f>
        <v>801</v>
      </c>
      <c r="G1376" s="20">
        <f>IFERROR(__xludf.DUMMYFUNCTION("""COMPUTED_VALUE"""),122.0)</f>
        <v>122</v>
      </c>
      <c r="H1376" s="20" t="str">
        <f>IFERROR(__xludf.DUMMYFUNCTION("""COMPUTED_VALUE"""),"Algorithms")</f>
        <v>Algorithms</v>
      </c>
      <c r="I1376" s="20">
        <f>IFERROR(__xludf.DUMMYFUNCTION("""COMPUTED_VALUE"""),0.659)</f>
        <v>0.659</v>
      </c>
      <c r="J1376" s="20">
        <f>IFERROR(__xludf.DUMMYFUNCTION("""COMPUTED_VALUE"""),1375.0)</f>
        <v>1375</v>
      </c>
      <c r="K1376" s="20" t="b">
        <f>IFERROR(__xludf.DUMMYFUNCTION("""COMPUTED_VALUE"""),FALSE)</f>
        <v>0</v>
      </c>
      <c r="L1376" s="20" t="str">
        <f>IFERROR(__xludf.DUMMYFUNCTION("""COMPUTED_VALUE"""),"Array;")</f>
        <v>Array;</v>
      </c>
      <c r="M1376" s="20" t="b">
        <f>IFERROR(__xludf.DUMMYFUNCTION("""COMPUTED_VALUE"""),FALSE)</f>
        <v>0</v>
      </c>
      <c r="N1376" s="20" t="b">
        <f>IFERROR(__xludf.DUMMYFUNCTION("""COMPUTED_VALUE"""),FALSE)</f>
        <v>0</v>
      </c>
      <c r="O1376" s="20">
        <f>IFERROR(__xludf.DUMMYFUNCTION("""COMPUTED_VALUE"""),65.8900307110796)</f>
        <v>65.89003071</v>
      </c>
      <c r="P1376" s="20">
        <f>IFERROR(__xludf.DUMMYFUNCTION("""COMPUTED_VALUE"""),44626.0)</f>
        <v>44626</v>
      </c>
      <c r="Q1376" s="20">
        <f>IFERROR(__xludf.DUMMYFUNCTION("""COMPUTED_VALUE"""),67728.0)</f>
        <v>67728</v>
      </c>
    </row>
    <row r="1377">
      <c r="A1377" s="20">
        <f>IFERROR(__xludf.DUMMYFUNCTION("""COMPUTED_VALUE"""),1492.0)</f>
        <v>1492</v>
      </c>
      <c r="B1377" s="20" t="str">
        <f>IFERROR(__xludf.DUMMYFUNCTION("""COMPUTED_VALUE"""),"Time Needed to Inform All Employees")</f>
        <v>Time Needed to Inform All Employees</v>
      </c>
      <c r="C1377" s="20" t="str">
        <f>IFERROR(__xludf.DUMMYFUNCTION("""COMPUTED_VALUE"""),"time-needed-to-inform-all-employees")</f>
        <v>time-needed-to-inform-all-employees</v>
      </c>
      <c r="D1377" s="20" t="b">
        <f>IFERROR(__xludf.DUMMYFUNCTION("""COMPUTED_VALUE"""),FALSE)</f>
        <v>0</v>
      </c>
      <c r="E1377" s="20" t="str">
        <f>IFERROR(__xludf.DUMMYFUNCTION("""COMPUTED_VALUE"""),"Medium")</f>
        <v>Medium</v>
      </c>
      <c r="F1377" s="20">
        <f>IFERROR(__xludf.DUMMYFUNCTION("""COMPUTED_VALUE"""),2463.0)</f>
        <v>2463</v>
      </c>
      <c r="G1377" s="20">
        <f>IFERROR(__xludf.DUMMYFUNCTION("""COMPUTED_VALUE"""),158.0)</f>
        <v>158</v>
      </c>
      <c r="H1377" s="20" t="str">
        <f>IFERROR(__xludf.DUMMYFUNCTION("""COMPUTED_VALUE"""),"Algorithms")</f>
        <v>Algorithms</v>
      </c>
      <c r="I1377" s="20">
        <f>IFERROR(__xludf.DUMMYFUNCTION("""COMPUTED_VALUE"""),0.584)</f>
        <v>0.584</v>
      </c>
      <c r="J1377" s="20">
        <f>IFERROR(__xludf.DUMMYFUNCTION("""COMPUTED_VALUE"""),1376.0)</f>
        <v>1376</v>
      </c>
      <c r="K1377" s="20" t="b">
        <f>IFERROR(__xludf.DUMMYFUNCTION("""COMPUTED_VALUE"""),FALSE)</f>
        <v>0</v>
      </c>
      <c r="L1377" s="20" t="str">
        <f>IFERROR(__xludf.DUMMYFUNCTION("""COMPUTED_VALUE"""),"Tree;Depth-First Search;Breadth-First Search;")</f>
        <v>Tree;Depth-First Search;Breadth-First Search;</v>
      </c>
      <c r="M1377" s="20" t="b">
        <f>IFERROR(__xludf.DUMMYFUNCTION("""COMPUTED_VALUE"""),FALSE)</f>
        <v>0</v>
      </c>
      <c r="N1377" s="20" t="b">
        <f>IFERROR(__xludf.DUMMYFUNCTION("""COMPUTED_VALUE"""),FALSE)</f>
        <v>0</v>
      </c>
      <c r="O1377" s="20">
        <f>IFERROR(__xludf.DUMMYFUNCTION("""COMPUTED_VALUE"""),58.4246810786036)</f>
        <v>58.42468108</v>
      </c>
      <c r="P1377" s="20">
        <f>IFERROR(__xludf.DUMMYFUNCTION("""COMPUTED_VALUE"""),122373.0)</f>
        <v>122373</v>
      </c>
      <c r="Q1377" s="20">
        <f>IFERROR(__xludf.DUMMYFUNCTION("""COMPUTED_VALUE"""),209455.0)</f>
        <v>209455</v>
      </c>
    </row>
    <row r="1378">
      <c r="A1378" s="20">
        <f>IFERROR(__xludf.DUMMYFUNCTION("""COMPUTED_VALUE"""),1493.0)</f>
        <v>1493</v>
      </c>
      <c r="B1378" s="20" t="str">
        <f>IFERROR(__xludf.DUMMYFUNCTION("""COMPUTED_VALUE"""),"Frog Position After T Seconds")</f>
        <v>Frog Position After T Seconds</v>
      </c>
      <c r="C1378" s="20" t="str">
        <f>IFERROR(__xludf.DUMMYFUNCTION("""COMPUTED_VALUE"""),"frog-position-after-t-seconds")</f>
        <v>frog-position-after-t-seconds</v>
      </c>
      <c r="D1378" s="20" t="b">
        <f>IFERROR(__xludf.DUMMYFUNCTION("""COMPUTED_VALUE"""),FALSE)</f>
        <v>0</v>
      </c>
      <c r="E1378" s="20" t="str">
        <f>IFERROR(__xludf.DUMMYFUNCTION("""COMPUTED_VALUE"""),"Hard")</f>
        <v>Hard</v>
      </c>
      <c r="F1378" s="20">
        <f>IFERROR(__xludf.DUMMYFUNCTION("""COMPUTED_VALUE"""),582.0)</f>
        <v>582</v>
      </c>
      <c r="G1378" s="20">
        <f>IFERROR(__xludf.DUMMYFUNCTION("""COMPUTED_VALUE"""),120.0)</f>
        <v>120</v>
      </c>
      <c r="H1378" s="20" t="str">
        <f>IFERROR(__xludf.DUMMYFUNCTION("""COMPUTED_VALUE"""),"Algorithms")</f>
        <v>Algorithms</v>
      </c>
      <c r="I1378" s="20">
        <f>IFERROR(__xludf.DUMMYFUNCTION("""COMPUTED_VALUE"""),0.361)</f>
        <v>0.361</v>
      </c>
      <c r="J1378" s="20">
        <f>IFERROR(__xludf.DUMMYFUNCTION("""COMPUTED_VALUE"""),1377.0)</f>
        <v>1377</v>
      </c>
      <c r="K1378" s="20" t="b">
        <f>IFERROR(__xludf.DUMMYFUNCTION("""COMPUTED_VALUE"""),FALSE)</f>
        <v>0</v>
      </c>
      <c r="L1378" s="20" t="str">
        <f>IFERROR(__xludf.DUMMYFUNCTION("""COMPUTED_VALUE"""),"Tree;Depth-First Search;Breadth-First Search;Graph;")</f>
        <v>Tree;Depth-First Search;Breadth-First Search;Graph;</v>
      </c>
      <c r="M1378" s="20" t="b">
        <f>IFERROR(__xludf.DUMMYFUNCTION("""COMPUTED_VALUE"""),FALSE)</f>
        <v>0</v>
      </c>
      <c r="N1378" s="20" t="b">
        <f>IFERROR(__xludf.DUMMYFUNCTION("""COMPUTED_VALUE"""),FALSE)</f>
        <v>0</v>
      </c>
      <c r="O1378" s="20">
        <f>IFERROR(__xludf.DUMMYFUNCTION("""COMPUTED_VALUE"""),36.0590062111801)</f>
        <v>36.05900621</v>
      </c>
      <c r="P1378" s="20">
        <f>IFERROR(__xludf.DUMMYFUNCTION("""COMPUTED_VALUE"""),23222.0)</f>
        <v>23222</v>
      </c>
      <c r="Q1378" s="20">
        <f>IFERROR(__xludf.DUMMYFUNCTION("""COMPUTED_VALUE"""),64400.0)</f>
        <v>64400</v>
      </c>
    </row>
    <row r="1379">
      <c r="A1379" s="20">
        <f>IFERROR(__xludf.DUMMYFUNCTION("""COMPUTED_VALUE"""),1509.0)</f>
        <v>1509</v>
      </c>
      <c r="B1379" s="20" t="str">
        <f>IFERROR(__xludf.DUMMYFUNCTION("""COMPUTED_VALUE"""),"Replace Employee ID With The Unique Identifier")</f>
        <v>Replace Employee ID With The Unique Identifier</v>
      </c>
      <c r="C1379" s="20" t="str">
        <f>IFERROR(__xludf.DUMMYFUNCTION("""COMPUTED_VALUE"""),"replace-employee-id-with-the-unique-identifier")</f>
        <v>replace-employee-id-with-the-unique-identifier</v>
      </c>
      <c r="D1379" s="20" t="b">
        <f>IFERROR(__xludf.DUMMYFUNCTION("""COMPUTED_VALUE"""),TRUE)</f>
        <v>1</v>
      </c>
      <c r="E1379" s="20" t="str">
        <f>IFERROR(__xludf.DUMMYFUNCTION("""COMPUTED_VALUE"""),"Easy")</f>
        <v>Easy</v>
      </c>
      <c r="F1379" s="20">
        <f>IFERROR(__xludf.DUMMYFUNCTION("""COMPUTED_VALUE"""),84.0)</f>
        <v>84</v>
      </c>
      <c r="G1379" s="20">
        <f>IFERROR(__xludf.DUMMYFUNCTION("""COMPUTED_VALUE"""),33.0)</f>
        <v>33</v>
      </c>
      <c r="H1379" s="20" t="str">
        <f>IFERROR(__xludf.DUMMYFUNCTION("""COMPUTED_VALUE"""),"Database")</f>
        <v>Database</v>
      </c>
      <c r="I1379" s="20">
        <f>IFERROR(__xludf.DUMMYFUNCTION("""COMPUTED_VALUE"""),0.914)</f>
        <v>0.914</v>
      </c>
      <c r="J1379" s="20">
        <f>IFERROR(__xludf.DUMMYFUNCTION("""COMPUTED_VALUE"""),1378.0)</f>
        <v>1378</v>
      </c>
      <c r="K1379" s="20" t="b">
        <f>IFERROR(__xludf.DUMMYFUNCTION("""COMPUTED_VALUE"""),TRUE)</f>
        <v>1</v>
      </c>
      <c r="L1379" s="20" t="str">
        <f>IFERROR(__xludf.DUMMYFUNCTION("""COMPUTED_VALUE"""),"Database;")</f>
        <v>Database;</v>
      </c>
      <c r="M1379" s="20" t="b">
        <f>IFERROR(__xludf.DUMMYFUNCTION("""COMPUTED_VALUE"""),FALSE)</f>
        <v>0</v>
      </c>
      <c r="N1379" s="20" t="b">
        <f>IFERROR(__xludf.DUMMYFUNCTION("""COMPUTED_VALUE"""),FALSE)</f>
        <v>0</v>
      </c>
      <c r="O1379" s="20">
        <f>IFERROR(__xludf.DUMMYFUNCTION("""COMPUTED_VALUE"""),91.4462989053863)</f>
        <v>91.44629891</v>
      </c>
      <c r="P1379" s="20">
        <f>IFERROR(__xludf.DUMMYFUNCTION("""COMPUTED_VALUE"""),33751.0)</f>
        <v>33751</v>
      </c>
      <c r="Q1379" s="20">
        <f>IFERROR(__xludf.DUMMYFUNCTION("""COMPUTED_VALUE"""),36908.0)</f>
        <v>36908</v>
      </c>
    </row>
    <row r="1380">
      <c r="A1380" s="20">
        <f>IFERROR(__xludf.DUMMYFUNCTION("""COMPUTED_VALUE"""),1498.0)</f>
        <v>1498</v>
      </c>
      <c r="B1380" s="20" t="str">
        <f>IFERROR(__xludf.DUMMYFUNCTION("""COMPUTED_VALUE"""),"Find a Corresponding Node of a Binary Tree in a Clone of That Tree")</f>
        <v>Find a Corresponding Node of a Binary Tree in a Clone of That Tree</v>
      </c>
      <c r="C1380" s="20" t="str">
        <f>IFERROR(__xludf.DUMMYFUNCTION("""COMPUTED_VALUE"""),"find-a-corresponding-node-of-a-binary-tree-in-a-clone-of-that-tree")</f>
        <v>find-a-corresponding-node-of-a-binary-tree-in-a-clone-of-that-tree</v>
      </c>
      <c r="D1380" s="20" t="b">
        <f>IFERROR(__xludf.DUMMYFUNCTION("""COMPUTED_VALUE"""),FALSE)</f>
        <v>0</v>
      </c>
      <c r="E1380" s="20" t="str">
        <f>IFERROR(__xludf.DUMMYFUNCTION("""COMPUTED_VALUE"""),"Easy")</f>
        <v>Easy</v>
      </c>
      <c r="F1380" s="20">
        <f>IFERROR(__xludf.DUMMYFUNCTION("""COMPUTED_VALUE"""),1407.0)</f>
        <v>1407</v>
      </c>
      <c r="G1380" s="20">
        <f>IFERROR(__xludf.DUMMYFUNCTION("""COMPUTED_VALUE"""),1739.0)</f>
        <v>1739</v>
      </c>
      <c r="H1380" s="20" t="str">
        <f>IFERROR(__xludf.DUMMYFUNCTION("""COMPUTED_VALUE"""),"Algorithms")</f>
        <v>Algorithms</v>
      </c>
      <c r="I1380" s="20">
        <f>IFERROR(__xludf.DUMMYFUNCTION("""COMPUTED_VALUE"""),0.869)</f>
        <v>0.869</v>
      </c>
      <c r="J1380" s="20">
        <f>IFERROR(__xludf.DUMMYFUNCTION("""COMPUTED_VALUE"""),1379.0)</f>
        <v>1379</v>
      </c>
      <c r="K1380" s="20" t="b">
        <f>IFERROR(__xludf.DUMMYFUNCTION("""COMPUTED_VALUE"""),FALSE)</f>
        <v>0</v>
      </c>
      <c r="L1380" s="20" t="str">
        <f>IFERROR(__xludf.DUMMYFUNCTION("""COMPUTED_VALUE"""),"Tree;Depth-First Search;Breadth-First Search;Binary Tree;")</f>
        <v>Tree;Depth-First Search;Breadth-First Search;Binary Tree;</v>
      </c>
      <c r="M1380" s="20" t="b">
        <f>IFERROR(__xludf.DUMMYFUNCTION("""COMPUTED_VALUE"""),TRUE)</f>
        <v>1</v>
      </c>
      <c r="N1380" s="20" t="b">
        <f>IFERROR(__xludf.DUMMYFUNCTION("""COMPUTED_VALUE"""),FALSE)</f>
        <v>0</v>
      </c>
      <c r="O1380" s="20">
        <f>IFERROR(__xludf.DUMMYFUNCTION("""COMPUTED_VALUE"""),86.9092868481221)</f>
        <v>86.90928685</v>
      </c>
      <c r="P1380" s="20">
        <f>IFERROR(__xludf.DUMMYFUNCTION("""COMPUTED_VALUE"""),179034.0)</f>
        <v>179034</v>
      </c>
      <c r="Q1380" s="20">
        <f>IFERROR(__xludf.DUMMYFUNCTION("""COMPUTED_VALUE"""),206001.0)</f>
        <v>206001</v>
      </c>
    </row>
    <row r="1381">
      <c r="A1381" s="20">
        <f>IFERROR(__xludf.DUMMYFUNCTION("""COMPUTED_VALUE"""),1496.0)</f>
        <v>1496</v>
      </c>
      <c r="B1381" s="20" t="str">
        <f>IFERROR(__xludf.DUMMYFUNCTION("""COMPUTED_VALUE"""),"Lucky Numbers in a Matrix")</f>
        <v>Lucky Numbers in a Matrix</v>
      </c>
      <c r="C1381" s="20" t="str">
        <f>IFERROR(__xludf.DUMMYFUNCTION("""COMPUTED_VALUE"""),"lucky-numbers-in-a-matrix")</f>
        <v>lucky-numbers-in-a-matrix</v>
      </c>
      <c r="D1381" s="20" t="b">
        <f>IFERROR(__xludf.DUMMYFUNCTION("""COMPUTED_VALUE"""),FALSE)</f>
        <v>0</v>
      </c>
      <c r="E1381" s="20" t="str">
        <f>IFERROR(__xludf.DUMMYFUNCTION("""COMPUTED_VALUE"""),"Easy")</f>
        <v>Easy</v>
      </c>
      <c r="F1381" s="20">
        <f>IFERROR(__xludf.DUMMYFUNCTION("""COMPUTED_VALUE"""),1274.0)</f>
        <v>1274</v>
      </c>
      <c r="G1381" s="20">
        <f>IFERROR(__xludf.DUMMYFUNCTION("""COMPUTED_VALUE"""),72.0)</f>
        <v>72</v>
      </c>
      <c r="H1381" s="20" t="str">
        <f>IFERROR(__xludf.DUMMYFUNCTION("""COMPUTED_VALUE"""),"Algorithms")</f>
        <v>Algorithms</v>
      </c>
      <c r="I1381" s="20">
        <f>IFERROR(__xludf.DUMMYFUNCTION("""COMPUTED_VALUE"""),0.705)</f>
        <v>0.705</v>
      </c>
      <c r="J1381" s="20">
        <f>IFERROR(__xludf.DUMMYFUNCTION("""COMPUTED_VALUE"""),1380.0)</f>
        <v>1380</v>
      </c>
      <c r="K1381" s="20" t="b">
        <f>IFERROR(__xludf.DUMMYFUNCTION("""COMPUTED_VALUE"""),FALSE)</f>
        <v>0</v>
      </c>
      <c r="L1381" s="20" t="str">
        <f>IFERROR(__xludf.DUMMYFUNCTION("""COMPUTED_VALUE"""),"Array;Matrix;")</f>
        <v>Array;Matrix;</v>
      </c>
      <c r="M1381" s="20" t="b">
        <f>IFERROR(__xludf.DUMMYFUNCTION("""COMPUTED_VALUE"""),FALSE)</f>
        <v>0</v>
      </c>
      <c r="N1381" s="20" t="b">
        <f>IFERROR(__xludf.DUMMYFUNCTION("""COMPUTED_VALUE"""),FALSE)</f>
        <v>0</v>
      </c>
      <c r="O1381" s="20">
        <f>IFERROR(__xludf.DUMMYFUNCTION("""COMPUTED_VALUE"""),70.4838135570016)</f>
        <v>70.48381356</v>
      </c>
      <c r="P1381" s="20">
        <f>IFERROR(__xludf.DUMMYFUNCTION("""COMPUTED_VALUE"""),77227.0)</f>
        <v>77227</v>
      </c>
      <c r="Q1381" s="20">
        <f>IFERROR(__xludf.DUMMYFUNCTION("""COMPUTED_VALUE"""),109567.0)</f>
        <v>109567</v>
      </c>
    </row>
    <row r="1382">
      <c r="A1382" s="20">
        <f>IFERROR(__xludf.DUMMYFUNCTION("""COMPUTED_VALUE"""),1497.0)</f>
        <v>1497</v>
      </c>
      <c r="B1382" s="20" t="str">
        <f>IFERROR(__xludf.DUMMYFUNCTION("""COMPUTED_VALUE"""),"Design a Stack With Increment Operation")</f>
        <v>Design a Stack With Increment Operation</v>
      </c>
      <c r="C1382" s="20" t="str">
        <f>IFERROR(__xludf.DUMMYFUNCTION("""COMPUTED_VALUE"""),"design-a-stack-with-increment-operation")</f>
        <v>design-a-stack-with-increment-operation</v>
      </c>
      <c r="D1382" s="20" t="b">
        <f>IFERROR(__xludf.DUMMYFUNCTION("""COMPUTED_VALUE"""),FALSE)</f>
        <v>0</v>
      </c>
      <c r="E1382" s="20" t="str">
        <f>IFERROR(__xludf.DUMMYFUNCTION("""COMPUTED_VALUE"""),"Medium")</f>
        <v>Medium</v>
      </c>
      <c r="F1382" s="20">
        <f>IFERROR(__xludf.DUMMYFUNCTION("""COMPUTED_VALUE"""),1475.0)</f>
        <v>1475</v>
      </c>
      <c r="G1382" s="20">
        <f>IFERROR(__xludf.DUMMYFUNCTION("""COMPUTED_VALUE"""),81.0)</f>
        <v>81</v>
      </c>
      <c r="H1382" s="20" t="str">
        <f>IFERROR(__xludf.DUMMYFUNCTION("""COMPUTED_VALUE"""),"Algorithms")</f>
        <v>Algorithms</v>
      </c>
      <c r="I1382" s="20">
        <f>IFERROR(__xludf.DUMMYFUNCTION("""COMPUTED_VALUE"""),0.773)</f>
        <v>0.773</v>
      </c>
      <c r="J1382" s="20">
        <f>IFERROR(__xludf.DUMMYFUNCTION("""COMPUTED_VALUE"""),1381.0)</f>
        <v>1381</v>
      </c>
      <c r="K1382" s="20" t="b">
        <f>IFERROR(__xludf.DUMMYFUNCTION("""COMPUTED_VALUE"""),FALSE)</f>
        <v>0</v>
      </c>
      <c r="L1382" s="20" t="str">
        <f>IFERROR(__xludf.DUMMYFUNCTION("""COMPUTED_VALUE"""),"Array;Stack;Design;")</f>
        <v>Array;Stack;Design;</v>
      </c>
      <c r="M1382" s="20" t="b">
        <f>IFERROR(__xludf.DUMMYFUNCTION("""COMPUTED_VALUE"""),FALSE)</f>
        <v>0</v>
      </c>
      <c r="N1382" s="20" t="b">
        <f>IFERROR(__xludf.DUMMYFUNCTION("""COMPUTED_VALUE"""),FALSE)</f>
        <v>0</v>
      </c>
      <c r="O1382" s="20">
        <f>IFERROR(__xludf.DUMMYFUNCTION("""COMPUTED_VALUE"""),77.2627963640613)</f>
        <v>77.26279636</v>
      </c>
      <c r="P1382" s="20">
        <f>IFERROR(__xludf.DUMMYFUNCTION("""COMPUTED_VALUE"""),85933.0)</f>
        <v>85933</v>
      </c>
      <c r="Q1382" s="20">
        <f>IFERROR(__xludf.DUMMYFUNCTION("""COMPUTED_VALUE"""),111222.0)</f>
        <v>111222</v>
      </c>
    </row>
    <row r="1383">
      <c r="A1383" s="20">
        <f>IFERROR(__xludf.DUMMYFUNCTION("""COMPUTED_VALUE"""),1285.0)</f>
        <v>1285</v>
      </c>
      <c r="B1383" s="20" t="str">
        <f>IFERROR(__xludf.DUMMYFUNCTION("""COMPUTED_VALUE"""),"Balance a Binary Search Tree")</f>
        <v>Balance a Binary Search Tree</v>
      </c>
      <c r="C1383" s="20" t="str">
        <f>IFERROR(__xludf.DUMMYFUNCTION("""COMPUTED_VALUE"""),"balance-a-binary-search-tree")</f>
        <v>balance-a-binary-search-tree</v>
      </c>
      <c r="D1383" s="20" t="b">
        <f>IFERROR(__xludf.DUMMYFUNCTION("""COMPUTED_VALUE"""),FALSE)</f>
        <v>0</v>
      </c>
      <c r="E1383" s="20" t="str">
        <f>IFERROR(__xludf.DUMMYFUNCTION("""COMPUTED_VALUE"""),"Medium")</f>
        <v>Medium</v>
      </c>
      <c r="F1383" s="20">
        <f>IFERROR(__xludf.DUMMYFUNCTION("""COMPUTED_VALUE"""),2368.0)</f>
        <v>2368</v>
      </c>
      <c r="G1383" s="20">
        <f>IFERROR(__xludf.DUMMYFUNCTION("""COMPUTED_VALUE"""),61.0)</f>
        <v>61</v>
      </c>
      <c r="H1383" s="20" t="str">
        <f>IFERROR(__xludf.DUMMYFUNCTION("""COMPUTED_VALUE"""),"Algorithms")</f>
        <v>Algorithms</v>
      </c>
      <c r="I1383" s="20">
        <f>IFERROR(__xludf.DUMMYFUNCTION("""COMPUTED_VALUE"""),0.807)</f>
        <v>0.807</v>
      </c>
      <c r="J1383" s="20">
        <f>IFERROR(__xludf.DUMMYFUNCTION("""COMPUTED_VALUE"""),1382.0)</f>
        <v>1382</v>
      </c>
      <c r="K1383" s="20" t="b">
        <f>IFERROR(__xludf.DUMMYFUNCTION("""COMPUTED_VALUE"""),FALSE)</f>
        <v>0</v>
      </c>
      <c r="L1383" s="20" t="str">
        <f>IFERROR(__xludf.DUMMYFUNCTION("""COMPUTED_VALUE"""),"Divide and Conquer;Greedy;Tree;Depth-First Search;Binary Search Tree;Binary Tree;")</f>
        <v>Divide and Conquer;Greedy;Tree;Depth-First Search;Binary Search Tree;Binary Tree;</v>
      </c>
      <c r="M1383" s="20" t="b">
        <f>IFERROR(__xludf.DUMMYFUNCTION("""COMPUTED_VALUE"""),FALSE)</f>
        <v>0</v>
      </c>
      <c r="N1383" s="20" t="b">
        <f>IFERROR(__xludf.DUMMYFUNCTION("""COMPUTED_VALUE"""),FALSE)</f>
        <v>0</v>
      </c>
      <c r="O1383" s="20">
        <f>IFERROR(__xludf.DUMMYFUNCTION("""COMPUTED_VALUE"""),80.6664580042654)</f>
        <v>80.666458</v>
      </c>
      <c r="P1383" s="20">
        <f>IFERROR(__xludf.DUMMYFUNCTION("""COMPUTED_VALUE"""),110821.0)</f>
        <v>110821</v>
      </c>
      <c r="Q1383" s="20">
        <f>IFERROR(__xludf.DUMMYFUNCTION("""COMPUTED_VALUE"""),137382.0)</f>
        <v>137382</v>
      </c>
    </row>
    <row r="1384">
      <c r="A1384" s="20">
        <f>IFERROR(__xludf.DUMMYFUNCTION("""COMPUTED_VALUE"""),1499.0)</f>
        <v>1499</v>
      </c>
      <c r="B1384" s="20" t="str">
        <f>IFERROR(__xludf.DUMMYFUNCTION("""COMPUTED_VALUE"""),"Maximum Performance of a Team")</f>
        <v>Maximum Performance of a Team</v>
      </c>
      <c r="C1384" s="20" t="str">
        <f>IFERROR(__xludf.DUMMYFUNCTION("""COMPUTED_VALUE"""),"maximum-performance-of-a-team")</f>
        <v>maximum-performance-of-a-team</v>
      </c>
      <c r="D1384" s="20" t="b">
        <f>IFERROR(__xludf.DUMMYFUNCTION("""COMPUTED_VALUE"""),FALSE)</f>
        <v>0</v>
      </c>
      <c r="E1384" s="20" t="str">
        <f>IFERROR(__xludf.DUMMYFUNCTION("""COMPUTED_VALUE"""),"Hard")</f>
        <v>Hard</v>
      </c>
      <c r="F1384" s="20">
        <f>IFERROR(__xludf.DUMMYFUNCTION("""COMPUTED_VALUE"""),2687.0)</f>
        <v>2687</v>
      </c>
      <c r="G1384" s="20">
        <f>IFERROR(__xludf.DUMMYFUNCTION("""COMPUTED_VALUE"""),73.0)</f>
        <v>73</v>
      </c>
      <c r="H1384" s="20" t="str">
        <f>IFERROR(__xludf.DUMMYFUNCTION("""COMPUTED_VALUE"""),"Algorithms")</f>
        <v>Algorithms</v>
      </c>
      <c r="I1384" s="20">
        <f>IFERROR(__xludf.DUMMYFUNCTION("""COMPUTED_VALUE"""),0.487)</f>
        <v>0.487</v>
      </c>
      <c r="J1384" s="20">
        <f>IFERROR(__xludf.DUMMYFUNCTION("""COMPUTED_VALUE"""),1383.0)</f>
        <v>1383</v>
      </c>
      <c r="K1384" s="20" t="b">
        <f>IFERROR(__xludf.DUMMYFUNCTION("""COMPUTED_VALUE"""),FALSE)</f>
        <v>0</v>
      </c>
      <c r="L1384" s="20" t="str">
        <f>IFERROR(__xludf.DUMMYFUNCTION("""COMPUTED_VALUE"""),"Array;Greedy;Sorting;Heap (Priority Queue);")</f>
        <v>Array;Greedy;Sorting;Heap (Priority Queue);</v>
      </c>
      <c r="M1384" s="20" t="b">
        <f>IFERROR(__xludf.DUMMYFUNCTION("""COMPUTED_VALUE"""),TRUE)</f>
        <v>1</v>
      </c>
      <c r="N1384" s="20" t="b">
        <f>IFERROR(__xludf.DUMMYFUNCTION("""COMPUTED_VALUE"""),FALSE)</f>
        <v>0</v>
      </c>
      <c r="O1384" s="20">
        <f>IFERROR(__xludf.DUMMYFUNCTION("""COMPUTED_VALUE"""),48.7385227206269)</f>
        <v>48.73852272</v>
      </c>
      <c r="P1384" s="20">
        <f>IFERROR(__xludf.DUMMYFUNCTION("""COMPUTED_VALUE"""),83337.0)</f>
        <v>83337</v>
      </c>
      <c r="Q1384" s="20">
        <f>IFERROR(__xludf.DUMMYFUNCTION("""COMPUTED_VALUE"""),170989.0)</f>
        <v>170989</v>
      </c>
    </row>
    <row r="1385">
      <c r="A1385" s="20">
        <f>IFERROR(__xludf.DUMMYFUNCTION("""COMPUTED_VALUE"""),1518.0)</f>
        <v>1518</v>
      </c>
      <c r="B1385" s="20" t="str">
        <f>IFERROR(__xludf.DUMMYFUNCTION("""COMPUTED_VALUE"""),"Total Sales Amount by Year")</f>
        <v>Total Sales Amount by Year</v>
      </c>
      <c r="C1385" s="20" t="str">
        <f>IFERROR(__xludf.DUMMYFUNCTION("""COMPUTED_VALUE"""),"total-sales-amount-by-year")</f>
        <v>total-sales-amount-by-year</v>
      </c>
      <c r="D1385" s="20" t="b">
        <f>IFERROR(__xludf.DUMMYFUNCTION("""COMPUTED_VALUE"""),TRUE)</f>
        <v>1</v>
      </c>
      <c r="E1385" s="20" t="str">
        <f>IFERROR(__xludf.DUMMYFUNCTION("""COMPUTED_VALUE"""),"Hard")</f>
        <v>Hard</v>
      </c>
      <c r="F1385" s="20">
        <f>IFERROR(__xludf.DUMMYFUNCTION("""COMPUTED_VALUE"""),190.0)</f>
        <v>190</v>
      </c>
      <c r="G1385" s="20">
        <f>IFERROR(__xludf.DUMMYFUNCTION("""COMPUTED_VALUE"""),97.0)</f>
        <v>97</v>
      </c>
      <c r="H1385" s="20" t="str">
        <f>IFERROR(__xludf.DUMMYFUNCTION("""COMPUTED_VALUE"""),"Database")</f>
        <v>Database</v>
      </c>
      <c r="I1385" s="20">
        <f>IFERROR(__xludf.DUMMYFUNCTION("""COMPUTED_VALUE"""),0.674)</f>
        <v>0.674</v>
      </c>
      <c r="J1385" s="20">
        <f>IFERROR(__xludf.DUMMYFUNCTION("""COMPUTED_VALUE"""),1384.0)</f>
        <v>1384</v>
      </c>
      <c r="K1385" s="20" t="b">
        <f>IFERROR(__xludf.DUMMYFUNCTION("""COMPUTED_VALUE"""),TRUE)</f>
        <v>1</v>
      </c>
      <c r="L1385" s="20" t="str">
        <f>IFERROR(__xludf.DUMMYFUNCTION("""COMPUTED_VALUE"""),"Database;")</f>
        <v>Database;</v>
      </c>
      <c r="M1385" s="20" t="b">
        <f>IFERROR(__xludf.DUMMYFUNCTION("""COMPUTED_VALUE"""),FALSE)</f>
        <v>0</v>
      </c>
      <c r="N1385" s="20" t="b">
        <f>IFERROR(__xludf.DUMMYFUNCTION("""COMPUTED_VALUE"""),FALSE)</f>
        <v>0</v>
      </c>
      <c r="O1385" s="20">
        <f>IFERROR(__xludf.DUMMYFUNCTION("""COMPUTED_VALUE"""),67.4011927625593)</f>
        <v>67.40119276</v>
      </c>
      <c r="P1385" s="20">
        <f>IFERROR(__xludf.DUMMYFUNCTION("""COMPUTED_VALUE"""),13336.0)</f>
        <v>13336</v>
      </c>
      <c r="Q1385" s="20">
        <f>IFERROR(__xludf.DUMMYFUNCTION("""COMPUTED_VALUE"""),19786.0)</f>
        <v>19786</v>
      </c>
    </row>
    <row r="1386">
      <c r="A1386" s="20">
        <f>IFERROR(__xludf.DUMMYFUNCTION("""COMPUTED_VALUE"""),1486.0)</f>
        <v>1486</v>
      </c>
      <c r="B1386" s="20" t="str">
        <f>IFERROR(__xludf.DUMMYFUNCTION("""COMPUTED_VALUE"""),"Find the Distance Value Between Two Arrays")</f>
        <v>Find the Distance Value Between Two Arrays</v>
      </c>
      <c r="C1386" s="20" t="str">
        <f>IFERROR(__xludf.DUMMYFUNCTION("""COMPUTED_VALUE"""),"find-the-distance-value-between-two-arrays")</f>
        <v>find-the-distance-value-between-two-arrays</v>
      </c>
      <c r="D1386" s="20" t="b">
        <f>IFERROR(__xludf.DUMMYFUNCTION("""COMPUTED_VALUE"""),FALSE)</f>
        <v>0</v>
      </c>
      <c r="E1386" s="20" t="str">
        <f>IFERROR(__xludf.DUMMYFUNCTION("""COMPUTED_VALUE"""),"Easy")</f>
        <v>Easy</v>
      </c>
      <c r="F1386" s="20">
        <f>IFERROR(__xludf.DUMMYFUNCTION("""COMPUTED_VALUE"""),634.0)</f>
        <v>634</v>
      </c>
      <c r="G1386" s="20">
        <f>IFERROR(__xludf.DUMMYFUNCTION("""COMPUTED_VALUE"""),2375.0)</f>
        <v>2375</v>
      </c>
      <c r="H1386" s="20" t="str">
        <f>IFERROR(__xludf.DUMMYFUNCTION("""COMPUTED_VALUE"""),"Algorithms")</f>
        <v>Algorithms</v>
      </c>
      <c r="I1386" s="20">
        <f>IFERROR(__xludf.DUMMYFUNCTION("""COMPUTED_VALUE"""),0.657)</f>
        <v>0.657</v>
      </c>
      <c r="J1386" s="20">
        <f>IFERROR(__xludf.DUMMYFUNCTION("""COMPUTED_VALUE"""),1385.0)</f>
        <v>1385</v>
      </c>
      <c r="K1386" s="20" t="b">
        <f>IFERROR(__xludf.DUMMYFUNCTION("""COMPUTED_VALUE"""),FALSE)</f>
        <v>0</v>
      </c>
      <c r="L1386" s="20" t="str">
        <f>IFERROR(__xludf.DUMMYFUNCTION("""COMPUTED_VALUE"""),"Array;Two Pointers;Binary Search;Sorting;")</f>
        <v>Array;Two Pointers;Binary Search;Sorting;</v>
      </c>
      <c r="M1386" s="20" t="b">
        <f>IFERROR(__xludf.DUMMYFUNCTION("""COMPUTED_VALUE"""),FALSE)</f>
        <v>0</v>
      </c>
      <c r="N1386" s="20" t="b">
        <f>IFERROR(__xludf.DUMMYFUNCTION("""COMPUTED_VALUE"""),FALSE)</f>
        <v>0</v>
      </c>
      <c r="O1386" s="20">
        <f>IFERROR(__xludf.DUMMYFUNCTION("""COMPUTED_VALUE"""),65.7271463681802)</f>
        <v>65.72714637</v>
      </c>
      <c r="P1386" s="20">
        <f>IFERROR(__xludf.DUMMYFUNCTION("""COMPUTED_VALUE"""),71404.0)</f>
        <v>71404</v>
      </c>
      <c r="Q1386" s="20">
        <f>IFERROR(__xludf.DUMMYFUNCTION("""COMPUTED_VALUE"""),108637.0)</f>
        <v>108637</v>
      </c>
    </row>
    <row r="1387">
      <c r="A1387" s="20">
        <f>IFERROR(__xludf.DUMMYFUNCTION("""COMPUTED_VALUE"""),1487.0)</f>
        <v>1487</v>
      </c>
      <c r="B1387" s="20" t="str">
        <f>IFERROR(__xludf.DUMMYFUNCTION("""COMPUTED_VALUE"""),"Cinema Seat Allocation")</f>
        <v>Cinema Seat Allocation</v>
      </c>
      <c r="C1387" s="20" t="str">
        <f>IFERROR(__xludf.DUMMYFUNCTION("""COMPUTED_VALUE"""),"cinema-seat-allocation")</f>
        <v>cinema-seat-allocation</v>
      </c>
      <c r="D1387" s="20" t="b">
        <f>IFERROR(__xludf.DUMMYFUNCTION("""COMPUTED_VALUE"""),FALSE)</f>
        <v>0</v>
      </c>
      <c r="E1387" s="20" t="str">
        <f>IFERROR(__xludf.DUMMYFUNCTION("""COMPUTED_VALUE"""),"Medium")</f>
        <v>Medium</v>
      </c>
      <c r="F1387" s="20">
        <f>IFERROR(__xludf.DUMMYFUNCTION("""COMPUTED_VALUE"""),669.0)</f>
        <v>669</v>
      </c>
      <c r="G1387" s="20">
        <f>IFERROR(__xludf.DUMMYFUNCTION("""COMPUTED_VALUE"""),335.0)</f>
        <v>335</v>
      </c>
      <c r="H1387" s="20" t="str">
        <f>IFERROR(__xludf.DUMMYFUNCTION("""COMPUTED_VALUE"""),"Algorithms")</f>
        <v>Algorithms</v>
      </c>
      <c r="I1387" s="20">
        <f>IFERROR(__xludf.DUMMYFUNCTION("""COMPUTED_VALUE"""),0.408)</f>
        <v>0.408</v>
      </c>
      <c r="J1387" s="20">
        <f>IFERROR(__xludf.DUMMYFUNCTION("""COMPUTED_VALUE"""),1386.0)</f>
        <v>1386</v>
      </c>
      <c r="K1387" s="20" t="b">
        <f>IFERROR(__xludf.DUMMYFUNCTION("""COMPUTED_VALUE"""),FALSE)</f>
        <v>0</v>
      </c>
      <c r="L1387" s="20" t="str">
        <f>IFERROR(__xludf.DUMMYFUNCTION("""COMPUTED_VALUE"""),"Array;Hash Table;Greedy;Bit Manipulation;")</f>
        <v>Array;Hash Table;Greedy;Bit Manipulation;</v>
      </c>
      <c r="M1387" s="20" t="b">
        <f>IFERROR(__xludf.DUMMYFUNCTION("""COMPUTED_VALUE"""),FALSE)</f>
        <v>0</v>
      </c>
      <c r="N1387" s="20" t="b">
        <f>IFERROR(__xludf.DUMMYFUNCTION("""COMPUTED_VALUE"""),FALSE)</f>
        <v>0</v>
      </c>
      <c r="O1387" s="20">
        <f>IFERROR(__xludf.DUMMYFUNCTION("""COMPUTED_VALUE"""),40.832366817931)</f>
        <v>40.83236682</v>
      </c>
      <c r="P1387" s="20">
        <f>IFERROR(__xludf.DUMMYFUNCTION("""COMPUTED_VALUE"""),36262.0)</f>
        <v>36262</v>
      </c>
      <c r="Q1387" s="20">
        <f>IFERROR(__xludf.DUMMYFUNCTION("""COMPUTED_VALUE"""),88807.0)</f>
        <v>88807</v>
      </c>
    </row>
    <row r="1388">
      <c r="A1388" s="20">
        <f>IFERROR(__xludf.DUMMYFUNCTION("""COMPUTED_VALUE"""),1488.0)</f>
        <v>1488</v>
      </c>
      <c r="B1388" s="20" t="str">
        <f>IFERROR(__xludf.DUMMYFUNCTION("""COMPUTED_VALUE"""),"Sort Integers by The Power Value")</f>
        <v>Sort Integers by The Power Value</v>
      </c>
      <c r="C1388" s="20" t="str">
        <f>IFERROR(__xludf.DUMMYFUNCTION("""COMPUTED_VALUE"""),"sort-integers-by-the-power-value")</f>
        <v>sort-integers-by-the-power-value</v>
      </c>
      <c r="D1388" s="20" t="b">
        <f>IFERROR(__xludf.DUMMYFUNCTION("""COMPUTED_VALUE"""),FALSE)</f>
        <v>0</v>
      </c>
      <c r="E1388" s="20" t="str">
        <f>IFERROR(__xludf.DUMMYFUNCTION("""COMPUTED_VALUE"""),"Medium")</f>
        <v>Medium</v>
      </c>
      <c r="F1388" s="20">
        <f>IFERROR(__xludf.DUMMYFUNCTION("""COMPUTED_VALUE"""),1150.0)</f>
        <v>1150</v>
      </c>
      <c r="G1388" s="20">
        <f>IFERROR(__xludf.DUMMYFUNCTION("""COMPUTED_VALUE"""),103.0)</f>
        <v>103</v>
      </c>
      <c r="H1388" s="20" t="str">
        <f>IFERROR(__xludf.DUMMYFUNCTION("""COMPUTED_VALUE"""),"Algorithms")</f>
        <v>Algorithms</v>
      </c>
      <c r="I1388" s="20">
        <f>IFERROR(__xludf.DUMMYFUNCTION("""COMPUTED_VALUE"""),0.701)</f>
        <v>0.701</v>
      </c>
      <c r="J1388" s="20">
        <f>IFERROR(__xludf.DUMMYFUNCTION("""COMPUTED_VALUE"""),1387.0)</f>
        <v>1387</v>
      </c>
      <c r="K1388" s="20" t="b">
        <f>IFERROR(__xludf.DUMMYFUNCTION("""COMPUTED_VALUE"""),FALSE)</f>
        <v>0</v>
      </c>
      <c r="L1388" s="20" t="str">
        <f>IFERROR(__xludf.DUMMYFUNCTION("""COMPUTED_VALUE"""),"Dynamic Programming;Memoization;Sorting;")</f>
        <v>Dynamic Programming;Memoization;Sorting;</v>
      </c>
      <c r="M1388" s="20" t="b">
        <f>IFERROR(__xludf.DUMMYFUNCTION("""COMPUTED_VALUE"""),FALSE)</f>
        <v>0</v>
      </c>
      <c r="N1388" s="20" t="b">
        <f>IFERROR(__xludf.DUMMYFUNCTION("""COMPUTED_VALUE"""),FALSE)</f>
        <v>0</v>
      </c>
      <c r="O1388" s="20">
        <f>IFERROR(__xludf.DUMMYFUNCTION("""COMPUTED_VALUE"""),70.0682079900788)</f>
        <v>70.06820799</v>
      </c>
      <c r="P1388" s="20">
        <f>IFERROR(__xludf.DUMMYFUNCTION("""COMPUTED_VALUE"""),71190.0)</f>
        <v>71190</v>
      </c>
      <c r="Q1388" s="20">
        <f>IFERROR(__xludf.DUMMYFUNCTION("""COMPUTED_VALUE"""),101601.0)</f>
        <v>101601</v>
      </c>
    </row>
    <row r="1389">
      <c r="A1389" s="20">
        <f>IFERROR(__xludf.DUMMYFUNCTION("""COMPUTED_VALUE"""),1489.0)</f>
        <v>1489</v>
      </c>
      <c r="B1389" s="20" t="str">
        <f>IFERROR(__xludf.DUMMYFUNCTION("""COMPUTED_VALUE"""),"Pizza With 3n Slices")</f>
        <v>Pizza With 3n Slices</v>
      </c>
      <c r="C1389" s="20" t="str">
        <f>IFERROR(__xludf.DUMMYFUNCTION("""COMPUTED_VALUE"""),"pizza-with-3n-slices")</f>
        <v>pizza-with-3n-slices</v>
      </c>
      <c r="D1389" s="20" t="b">
        <f>IFERROR(__xludf.DUMMYFUNCTION("""COMPUTED_VALUE"""),FALSE)</f>
        <v>0</v>
      </c>
      <c r="E1389" s="20" t="str">
        <f>IFERROR(__xludf.DUMMYFUNCTION("""COMPUTED_VALUE"""),"Hard")</f>
        <v>Hard</v>
      </c>
      <c r="F1389" s="20">
        <f>IFERROR(__xludf.DUMMYFUNCTION("""COMPUTED_VALUE"""),748.0)</f>
        <v>748</v>
      </c>
      <c r="G1389" s="20">
        <f>IFERROR(__xludf.DUMMYFUNCTION("""COMPUTED_VALUE"""),13.0)</f>
        <v>13</v>
      </c>
      <c r="H1389" s="20" t="str">
        <f>IFERROR(__xludf.DUMMYFUNCTION("""COMPUTED_VALUE"""),"Algorithms")</f>
        <v>Algorithms</v>
      </c>
      <c r="I1389" s="20">
        <f>IFERROR(__xludf.DUMMYFUNCTION("""COMPUTED_VALUE"""),0.501)</f>
        <v>0.501</v>
      </c>
      <c r="J1389" s="20">
        <f>IFERROR(__xludf.DUMMYFUNCTION("""COMPUTED_VALUE"""),1388.0)</f>
        <v>1388</v>
      </c>
      <c r="K1389" s="20" t="b">
        <f>IFERROR(__xludf.DUMMYFUNCTION("""COMPUTED_VALUE"""),FALSE)</f>
        <v>0</v>
      </c>
      <c r="L1389" s="20" t="str">
        <f>IFERROR(__xludf.DUMMYFUNCTION("""COMPUTED_VALUE"""),"Array;Dynamic Programming;Greedy;Heap (Priority Queue);")</f>
        <v>Array;Dynamic Programming;Greedy;Heap (Priority Queue);</v>
      </c>
      <c r="M1389" s="20" t="b">
        <f>IFERROR(__xludf.DUMMYFUNCTION("""COMPUTED_VALUE"""),FALSE)</f>
        <v>0</v>
      </c>
      <c r="N1389" s="20" t="b">
        <f>IFERROR(__xludf.DUMMYFUNCTION("""COMPUTED_VALUE"""),FALSE)</f>
        <v>0</v>
      </c>
      <c r="O1389" s="20">
        <f>IFERROR(__xludf.DUMMYFUNCTION("""COMPUTED_VALUE"""),50.0847868217054)</f>
        <v>50.08478682</v>
      </c>
      <c r="P1389" s="20">
        <f>IFERROR(__xludf.DUMMYFUNCTION("""COMPUTED_VALUE"""),12405.0)</f>
        <v>12405</v>
      </c>
      <c r="Q1389" s="20">
        <f>IFERROR(__xludf.DUMMYFUNCTION("""COMPUTED_VALUE"""),24768.0)</f>
        <v>24768</v>
      </c>
    </row>
    <row r="1390">
      <c r="A1390" s="20">
        <f>IFERROR(__xludf.DUMMYFUNCTION("""COMPUTED_VALUE"""),1505.0)</f>
        <v>1505</v>
      </c>
      <c r="B1390" s="20" t="str">
        <f>IFERROR(__xludf.DUMMYFUNCTION("""COMPUTED_VALUE"""),"Create Target Array in the Given Order")</f>
        <v>Create Target Array in the Given Order</v>
      </c>
      <c r="C1390" s="20" t="str">
        <f>IFERROR(__xludf.DUMMYFUNCTION("""COMPUTED_VALUE"""),"create-target-array-in-the-given-order")</f>
        <v>create-target-array-in-the-given-order</v>
      </c>
      <c r="D1390" s="20" t="b">
        <f>IFERROR(__xludf.DUMMYFUNCTION("""COMPUTED_VALUE"""),FALSE)</f>
        <v>0</v>
      </c>
      <c r="E1390" s="20" t="str">
        <f>IFERROR(__xludf.DUMMYFUNCTION("""COMPUTED_VALUE"""),"Easy")</f>
        <v>Easy</v>
      </c>
      <c r="F1390" s="20">
        <f>IFERROR(__xludf.DUMMYFUNCTION("""COMPUTED_VALUE"""),1441.0)</f>
        <v>1441</v>
      </c>
      <c r="G1390" s="20">
        <f>IFERROR(__xludf.DUMMYFUNCTION("""COMPUTED_VALUE"""),1448.0)</f>
        <v>1448</v>
      </c>
      <c r="H1390" s="20" t="str">
        <f>IFERROR(__xludf.DUMMYFUNCTION("""COMPUTED_VALUE"""),"Algorithms")</f>
        <v>Algorithms</v>
      </c>
      <c r="I1390" s="20">
        <f>IFERROR(__xludf.DUMMYFUNCTION("""COMPUTED_VALUE"""),0.859)</f>
        <v>0.859</v>
      </c>
      <c r="J1390" s="20">
        <f>IFERROR(__xludf.DUMMYFUNCTION("""COMPUTED_VALUE"""),1389.0)</f>
        <v>1389</v>
      </c>
      <c r="K1390" s="20" t="b">
        <f>IFERROR(__xludf.DUMMYFUNCTION("""COMPUTED_VALUE"""),FALSE)</f>
        <v>0</v>
      </c>
      <c r="L1390" s="20" t="str">
        <f>IFERROR(__xludf.DUMMYFUNCTION("""COMPUTED_VALUE"""),"Array;Simulation;")</f>
        <v>Array;Simulation;</v>
      </c>
      <c r="M1390" s="20" t="b">
        <f>IFERROR(__xludf.DUMMYFUNCTION("""COMPUTED_VALUE"""),FALSE)</f>
        <v>0</v>
      </c>
      <c r="N1390" s="20" t="b">
        <f>IFERROR(__xludf.DUMMYFUNCTION("""COMPUTED_VALUE"""),FALSE)</f>
        <v>0</v>
      </c>
      <c r="O1390" s="20">
        <f>IFERROR(__xludf.DUMMYFUNCTION("""COMPUTED_VALUE"""),85.8656861152541)</f>
        <v>85.86568612</v>
      </c>
      <c r="P1390" s="20">
        <f>IFERROR(__xludf.DUMMYFUNCTION("""COMPUTED_VALUE"""),174434.0)</f>
        <v>174434</v>
      </c>
      <c r="Q1390" s="20">
        <f>IFERROR(__xludf.DUMMYFUNCTION("""COMPUTED_VALUE"""),203148.0)</f>
        <v>203148</v>
      </c>
    </row>
    <row r="1391">
      <c r="A1391" s="20">
        <f>IFERROR(__xludf.DUMMYFUNCTION("""COMPUTED_VALUE"""),1284.0)</f>
        <v>1284</v>
      </c>
      <c r="B1391" s="20" t="str">
        <f>IFERROR(__xludf.DUMMYFUNCTION("""COMPUTED_VALUE"""),"Four Divisors")</f>
        <v>Four Divisors</v>
      </c>
      <c r="C1391" s="20" t="str">
        <f>IFERROR(__xludf.DUMMYFUNCTION("""COMPUTED_VALUE"""),"four-divisors")</f>
        <v>four-divisors</v>
      </c>
      <c r="D1391" s="20" t="b">
        <f>IFERROR(__xludf.DUMMYFUNCTION("""COMPUTED_VALUE"""),FALSE)</f>
        <v>0</v>
      </c>
      <c r="E1391" s="20" t="str">
        <f>IFERROR(__xludf.DUMMYFUNCTION("""COMPUTED_VALUE"""),"Medium")</f>
        <v>Medium</v>
      </c>
      <c r="F1391" s="20">
        <f>IFERROR(__xludf.DUMMYFUNCTION("""COMPUTED_VALUE"""),285.0)</f>
        <v>285</v>
      </c>
      <c r="G1391" s="20">
        <f>IFERROR(__xludf.DUMMYFUNCTION("""COMPUTED_VALUE"""),161.0)</f>
        <v>161</v>
      </c>
      <c r="H1391" s="20" t="str">
        <f>IFERROR(__xludf.DUMMYFUNCTION("""COMPUTED_VALUE"""),"Algorithms")</f>
        <v>Algorithms</v>
      </c>
      <c r="I1391" s="20">
        <f>IFERROR(__xludf.DUMMYFUNCTION("""COMPUTED_VALUE"""),0.412)</f>
        <v>0.412</v>
      </c>
      <c r="J1391" s="20">
        <f>IFERROR(__xludf.DUMMYFUNCTION("""COMPUTED_VALUE"""),1390.0)</f>
        <v>1390</v>
      </c>
      <c r="K1391" s="20" t="b">
        <f>IFERROR(__xludf.DUMMYFUNCTION("""COMPUTED_VALUE"""),FALSE)</f>
        <v>0</v>
      </c>
      <c r="L1391" s="20" t="str">
        <f>IFERROR(__xludf.DUMMYFUNCTION("""COMPUTED_VALUE"""),"Array;Math;")</f>
        <v>Array;Math;</v>
      </c>
      <c r="M1391" s="20" t="b">
        <f>IFERROR(__xludf.DUMMYFUNCTION("""COMPUTED_VALUE"""),FALSE)</f>
        <v>0</v>
      </c>
      <c r="N1391" s="20" t="b">
        <f>IFERROR(__xludf.DUMMYFUNCTION("""COMPUTED_VALUE"""),FALSE)</f>
        <v>0</v>
      </c>
      <c r="O1391" s="20">
        <f>IFERROR(__xludf.DUMMYFUNCTION("""COMPUTED_VALUE"""),41.2355952809027)</f>
        <v>41.23559528</v>
      </c>
      <c r="P1391" s="20">
        <f>IFERROR(__xludf.DUMMYFUNCTION("""COMPUTED_VALUE"""),24082.0)</f>
        <v>24082</v>
      </c>
      <c r="Q1391" s="20">
        <f>IFERROR(__xludf.DUMMYFUNCTION("""COMPUTED_VALUE"""),58401.0)</f>
        <v>58401</v>
      </c>
    </row>
    <row r="1392">
      <c r="A1392" s="20">
        <f>IFERROR(__xludf.DUMMYFUNCTION("""COMPUTED_VALUE"""),1507.0)</f>
        <v>1507</v>
      </c>
      <c r="B1392" s="20" t="str">
        <f>IFERROR(__xludf.DUMMYFUNCTION("""COMPUTED_VALUE"""),"Check if There is a Valid Path in a Grid")</f>
        <v>Check if There is a Valid Path in a Grid</v>
      </c>
      <c r="C1392" s="20" t="str">
        <f>IFERROR(__xludf.DUMMYFUNCTION("""COMPUTED_VALUE"""),"check-if-there-is-a-valid-path-in-a-grid")</f>
        <v>check-if-there-is-a-valid-path-in-a-grid</v>
      </c>
      <c r="D1392" s="20" t="b">
        <f>IFERROR(__xludf.DUMMYFUNCTION("""COMPUTED_VALUE"""),FALSE)</f>
        <v>0</v>
      </c>
      <c r="E1392" s="20" t="str">
        <f>IFERROR(__xludf.DUMMYFUNCTION("""COMPUTED_VALUE"""),"Medium")</f>
        <v>Medium</v>
      </c>
      <c r="F1392" s="20">
        <f>IFERROR(__xludf.DUMMYFUNCTION("""COMPUTED_VALUE"""),665.0)</f>
        <v>665</v>
      </c>
      <c r="G1392" s="20">
        <f>IFERROR(__xludf.DUMMYFUNCTION("""COMPUTED_VALUE"""),280.0)</f>
        <v>280</v>
      </c>
      <c r="H1392" s="20" t="str">
        <f>IFERROR(__xludf.DUMMYFUNCTION("""COMPUTED_VALUE"""),"Algorithms")</f>
        <v>Algorithms</v>
      </c>
      <c r="I1392" s="20">
        <f>IFERROR(__xludf.DUMMYFUNCTION("""COMPUTED_VALUE"""),0.472)</f>
        <v>0.472</v>
      </c>
      <c r="J1392" s="20">
        <f>IFERROR(__xludf.DUMMYFUNCTION("""COMPUTED_VALUE"""),1391.0)</f>
        <v>1391</v>
      </c>
      <c r="K1392" s="20" t="b">
        <f>IFERROR(__xludf.DUMMYFUNCTION("""COMPUTED_VALUE"""),FALSE)</f>
        <v>0</v>
      </c>
      <c r="L1392" s="20" t="str">
        <f>IFERROR(__xludf.DUMMYFUNCTION("""COMPUTED_VALUE"""),"Array;Depth-First Search;Breadth-First Search;Union Find;Matrix;")</f>
        <v>Array;Depth-First Search;Breadth-First Search;Union Find;Matrix;</v>
      </c>
      <c r="M1392" s="20" t="b">
        <f>IFERROR(__xludf.DUMMYFUNCTION("""COMPUTED_VALUE"""),FALSE)</f>
        <v>0</v>
      </c>
      <c r="N1392" s="20" t="b">
        <f>IFERROR(__xludf.DUMMYFUNCTION("""COMPUTED_VALUE"""),FALSE)</f>
        <v>0</v>
      </c>
      <c r="O1392" s="20">
        <f>IFERROR(__xludf.DUMMYFUNCTION("""COMPUTED_VALUE"""),47.208305667894)</f>
        <v>47.20830567</v>
      </c>
      <c r="P1392" s="20">
        <f>IFERROR(__xludf.DUMMYFUNCTION("""COMPUTED_VALUE"""),23463.0)</f>
        <v>23463</v>
      </c>
      <c r="Q1392" s="20">
        <f>IFERROR(__xludf.DUMMYFUNCTION("""COMPUTED_VALUE"""),49701.0)</f>
        <v>49701</v>
      </c>
    </row>
    <row r="1393">
      <c r="A1393" s="20">
        <f>IFERROR(__xludf.DUMMYFUNCTION("""COMPUTED_VALUE"""),1508.0)</f>
        <v>1508</v>
      </c>
      <c r="B1393" s="20" t="str">
        <f>IFERROR(__xludf.DUMMYFUNCTION("""COMPUTED_VALUE"""),"Longest Happy Prefix")</f>
        <v>Longest Happy Prefix</v>
      </c>
      <c r="C1393" s="20" t="str">
        <f>IFERROR(__xludf.DUMMYFUNCTION("""COMPUTED_VALUE"""),"longest-happy-prefix")</f>
        <v>longest-happy-prefix</v>
      </c>
      <c r="D1393" s="20" t="b">
        <f>IFERROR(__xludf.DUMMYFUNCTION("""COMPUTED_VALUE"""),FALSE)</f>
        <v>0</v>
      </c>
      <c r="E1393" s="20" t="str">
        <f>IFERROR(__xludf.DUMMYFUNCTION("""COMPUTED_VALUE"""),"Hard")</f>
        <v>Hard</v>
      </c>
      <c r="F1393" s="20">
        <f>IFERROR(__xludf.DUMMYFUNCTION("""COMPUTED_VALUE"""),891.0)</f>
        <v>891</v>
      </c>
      <c r="G1393" s="20">
        <f>IFERROR(__xludf.DUMMYFUNCTION("""COMPUTED_VALUE"""),29.0)</f>
        <v>29</v>
      </c>
      <c r="H1393" s="20" t="str">
        <f>IFERROR(__xludf.DUMMYFUNCTION("""COMPUTED_VALUE"""),"Algorithms")</f>
        <v>Algorithms</v>
      </c>
      <c r="I1393" s="20">
        <f>IFERROR(__xludf.DUMMYFUNCTION("""COMPUTED_VALUE"""),0.449)</f>
        <v>0.449</v>
      </c>
      <c r="J1393" s="20">
        <f>IFERROR(__xludf.DUMMYFUNCTION("""COMPUTED_VALUE"""),1392.0)</f>
        <v>1392</v>
      </c>
      <c r="K1393" s="20" t="b">
        <f>IFERROR(__xludf.DUMMYFUNCTION("""COMPUTED_VALUE"""),FALSE)</f>
        <v>0</v>
      </c>
      <c r="L1393" s="20" t="str">
        <f>IFERROR(__xludf.DUMMYFUNCTION("""COMPUTED_VALUE"""),"String;Rolling Hash;String Matching;Hash Function;")</f>
        <v>String;Rolling Hash;String Matching;Hash Function;</v>
      </c>
      <c r="M1393" s="20" t="b">
        <f>IFERROR(__xludf.DUMMYFUNCTION("""COMPUTED_VALUE"""),FALSE)</f>
        <v>0</v>
      </c>
      <c r="N1393" s="20" t="b">
        <f>IFERROR(__xludf.DUMMYFUNCTION("""COMPUTED_VALUE"""),FALSE)</f>
        <v>0</v>
      </c>
      <c r="O1393" s="20">
        <f>IFERROR(__xludf.DUMMYFUNCTION("""COMPUTED_VALUE"""),44.902949717255)</f>
        <v>44.90294972</v>
      </c>
      <c r="P1393" s="20">
        <f>IFERROR(__xludf.DUMMYFUNCTION("""COMPUTED_VALUE"""),26442.0)</f>
        <v>26442</v>
      </c>
      <c r="Q1393" s="20">
        <f>IFERROR(__xludf.DUMMYFUNCTION("""COMPUTED_VALUE"""),58885.0)</f>
        <v>58885</v>
      </c>
    </row>
    <row r="1394">
      <c r="A1394" s="20">
        <f>IFERROR(__xludf.DUMMYFUNCTION("""COMPUTED_VALUE"""),1523.0)</f>
        <v>1523</v>
      </c>
      <c r="B1394" s="20" t="str">
        <f>IFERROR(__xludf.DUMMYFUNCTION("""COMPUTED_VALUE"""),"Capital Gain/Loss")</f>
        <v>Capital Gain/Loss</v>
      </c>
      <c r="C1394" s="20" t="str">
        <f>IFERROR(__xludf.DUMMYFUNCTION("""COMPUTED_VALUE"""),"capital-gainloss")</f>
        <v>capital-gainloss</v>
      </c>
      <c r="D1394" s="20" t="b">
        <f>IFERROR(__xludf.DUMMYFUNCTION("""COMPUTED_VALUE"""),FALSE)</f>
        <v>0</v>
      </c>
      <c r="E1394" s="20" t="str">
        <f>IFERROR(__xludf.DUMMYFUNCTION("""COMPUTED_VALUE"""),"Medium")</f>
        <v>Medium</v>
      </c>
      <c r="F1394" s="20">
        <f>IFERROR(__xludf.DUMMYFUNCTION("""COMPUTED_VALUE"""),518.0)</f>
        <v>518</v>
      </c>
      <c r="G1394" s="20">
        <f>IFERROR(__xludf.DUMMYFUNCTION("""COMPUTED_VALUE"""),34.0)</f>
        <v>34</v>
      </c>
      <c r="H1394" s="20" t="str">
        <f>IFERROR(__xludf.DUMMYFUNCTION("""COMPUTED_VALUE"""),"Database")</f>
        <v>Database</v>
      </c>
      <c r="I1394" s="20">
        <f>IFERROR(__xludf.DUMMYFUNCTION("""COMPUTED_VALUE"""),0.901)</f>
        <v>0.901</v>
      </c>
      <c r="J1394" s="20">
        <f>IFERROR(__xludf.DUMMYFUNCTION("""COMPUTED_VALUE"""),1393.0)</f>
        <v>1393</v>
      </c>
      <c r="K1394" s="20" t="b">
        <f>IFERROR(__xludf.DUMMYFUNCTION("""COMPUTED_VALUE"""),FALSE)</f>
        <v>0</v>
      </c>
      <c r="L1394" s="20" t="str">
        <f>IFERROR(__xludf.DUMMYFUNCTION("""COMPUTED_VALUE"""),"Database;")</f>
        <v>Database;</v>
      </c>
      <c r="M1394" s="20" t="b">
        <f>IFERROR(__xludf.DUMMYFUNCTION("""COMPUTED_VALUE"""),FALSE)</f>
        <v>0</v>
      </c>
      <c r="N1394" s="20" t="b">
        <f>IFERROR(__xludf.DUMMYFUNCTION("""COMPUTED_VALUE"""),FALSE)</f>
        <v>0</v>
      </c>
      <c r="O1394" s="20">
        <f>IFERROR(__xludf.DUMMYFUNCTION("""COMPUTED_VALUE"""),90.1415806784015)</f>
        <v>90.14158068</v>
      </c>
      <c r="P1394" s="20">
        <f>IFERROR(__xludf.DUMMYFUNCTION("""COMPUTED_VALUE"""),63857.0)</f>
        <v>63857</v>
      </c>
      <c r="Q1394" s="20">
        <f>IFERROR(__xludf.DUMMYFUNCTION("""COMPUTED_VALUE"""),70841.0)</f>
        <v>70841</v>
      </c>
    </row>
    <row r="1395">
      <c r="A1395" s="20">
        <f>IFERROR(__xludf.DUMMYFUNCTION("""COMPUTED_VALUE"""),1510.0)</f>
        <v>1510</v>
      </c>
      <c r="B1395" s="20" t="str">
        <f>IFERROR(__xludf.DUMMYFUNCTION("""COMPUTED_VALUE"""),"Find Lucky Integer in an Array")</f>
        <v>Find Lucky Integer in an Array</v>
      </c>
      <c r="C1395" s="20" t="str">
        <f>IFERROR(__xludf.DUMMYFUNCTION("""COMPUTED_VALUE"""),"find-lucky-integer-in-an-array")</f>
        <v>find-lucky-integer-in-an-array</v>
      </c>
      <c r="D1395" s="20" t="b">
        <f>IFERROR(__xludf.DUMMYFUNCTION("""COMPUTED_VALUE"""),FALSE)</f>
        <v>0</v>
      </c>
      <c r="E1395" s="20" t="str">
        <f>IFERROR(__xludf.DUMMYFUNCTION("""COMPUTED_VALUE"""),"Easy")</f>
        <v>Easy</v>
      </c>
      <c r="F1395" s="20">
        <f>IFERROR(__xludf.DUMMYFUNCTION("""COMPUTED_VALUE"""),833.0)</f>
        <v>833</v>
      </c>
      <c r="G1395" s="20">
        <f>IFERROR(__xludf.DUMMYFUNCTION("""COMPUTED_VALUE"""),24.0)</f>
        <v>24</v>
      </c>
      <c r="H1395" s="20" t="str">
        <f>IFERROR(__xludf.DUMMYFUNCTION("""COMPUTED_VALUE"""),"Algorithms")</f>
        <v>Algorithms</v>
      </c>
      <c r="I1395" s="20">
        <f>IFERROR(__xludf.DUMMYFUNCTION("""COMPUTED_VALUE"""),0.637)</f>
        <v>0.637</v>
      </c>
      <c r="J1395" s="20">
        <f>IFERROR(__xludf.DUMMYFUNCTION("""COMPUTED_VALUE"""),1394.0)</f>
        <v>1394</v>
      </c>
      <c r="K1395" s="20" t="b">
        <f>IFERROR(__xludf.DUMMYFUNCTION("""COMPUTED_VALUE"""),FALSE)</f>
        <v>0</v>
      </c>
      <c r="L1395" s="20" t="str">
        <f>IFERROR(__xludf.DUMMYFUNCTION("""COMPUTED_VALUE"""),"Array;Hash Table;Counting;")</f>
        <v>Array;Hash Table;Counting;</v>
      </c>
      <c r="M1395" s="20" t="b">
        <f>IFERROR(__xludf.DUMMYFUNCTION("""COMPUTED_VALUE"""),TRUE)</f>
        <v>1</v>
      </c>
      <c r="N1395" s="20" t="b">
        <f>IFERROR(__xludf.DUMMYFUNCTION("""COMPUTED_VALUE"""),FALSE)</f>
        <v>0</v>
      </c>
      <c r="O1395" s="20">
        <f>IFERROR(__xludf.DUMMYFUNCTION("""COMPUTED_VALUE"""),63.6982566681308)</f>
        <v>63.69825667</v>
      </c>
      <c r="P1395" s="20">
        <f>IFERROR(__xludf.DUMMYFUNCTION("""COMPUTED_VALUE"""),84110.0)</f>
        <v>84110</v>
      </c>
      <c r="Q1395" s="20">
        <f>IFERROR(__xludf.DUMMYFUNCTION("""COMPUTED_VALUE"""),132043.0)</f>
        <v>132043</v>
      </c>
    </row>
    <row r="1396">
      <c r="A1396" s="20">
        <f>IFERROR(__xludf.DUMMYFUNCTION("""COMPUTED_VALUE"""),1511.0)</f>
        <v>1511</v>
      </c>
      <c r="B1396" s="20" t="str">
        <f>IFERROR(__xludf.DUMMYFUNCTION("""COMPUTED_VALUE"""),"Count Number of Teams")</f>
        <v>Count Number of Teams</v>
      </c>
      <c r="C1396" s="20" t="str">
        <f>IFERROR(__xludf.DUMMYFUNCTION("""COMPUTED_VALUE"""),"count-number-of-teams")</f>
        <v>count-number-of-teams</v>
      </c>
      <c r="D1396" s="20" t="b">
        <f>IFERROR(__xludf.DUMMYFUNCTION("""COMPUTED_VALUE"""),FALSE)</f>
        <v>0</v>
      </c>
      <c r="E1396" s="20" t="str">
        <f>IFERROR(__xludf.DUMMYFUNCTION("""COMPUTED_VALUE"""),"Medium")</f>
        <v>Medium</v>
      </c>
      <c r="F1396" s="20">
        <f>IFERROR(__xludf.DUMMYFUNCTION("""COMPUTED_VALUE"""),2316.0)</f>
        <v>2316</v>
      </c>
      <c r="G1396" s="20">
        <f>IFERROR(__xludf.DUMMYFUNCTION("""COMPUTED_VALUE"""),175.0)</f>
        <v>175</v>
      </c>
      <c r="H1396" s="20" t="str">
        <f>IFERROR(__xludf.DUMMYFUNCTION("""COMPUTED_VALUE"""),"Algorithms")</f>
        <v>Algorithms</v>
      </c>
      <c r="I1396" s="20">
        <f>IFERROR(__xludf.DUMMYFUNCTION("""COMPUTED_VALUE"""),0.679)</f>
        <v>0.679</v>
      </c>
      <c r="J1396" s="20">
        <f>IFERROR(__xludf.DUMMYFUNCTION("""COMPUTED_VALUE"""),1395.0)</f>
        <v>1395</v>
      </c>
      <c r="K1396" s="20" t="b">
        <f>IFERROR(__xludf.DUMMYFUNCTION("""COMPUTED_VALUE"""),FALSE)</f>
        <v>0</v>
      </c>
      <c r="L1396" s="20" t="str">
        <f>IFERROR(__xludf.DUMMYFUNCTION("""COMPUTED_VALUE"""),"Array;Dynamic Programming;Binary Indexed Tree;")</f>
        <v>Array;Dynamic Programming;Binary Indexed Tree;</v>
      </c>
      <c r="M1396" s="20" t="b">
        <f>IFERROR(__xludf.DUMMYFUNCTION("""COMPUTED_VALUE"""),FALSE)</f>
        <v>0</v>
      </c>
      <c r="N1396" s="20" t="b">
        <f>IFERROR(__xludf.DUMMYFUNCTION("""COMPUTED_VALUE"""),FALSE)</f>
        <v>0</v>
      </c>
      <c r="O1396" s="20">
        <f>IFERROR(__xludf.DUMMYFUNCTION("""COMPUTED_VALUE"""),67.853559284241)</f>
        <v>67.85355928</v>
      </c>
      <c r="P1396" s="20">
        <f>IFERROR(__xludf.DUMMYFUNCTION("""COMPUTED_VALUE"""),97378.0)</f>
        <v>97378</v>
      </c>
      <c r="Q1396" s="20">
        <f>IFERROR(__xludf.DUMMYFUNCTION("""COMPUTED_VALUE"""),143512.0)</f>
        <v>143512</v>
      </c>
    </row>
    <row r="1397">
      <c r="A1397" s="20">
        <f>IFERROR(__xludf.DUMMYFUNCTION("""COMPUTED_VALUE"""),1512.0)</f>
        <v>1512</v>
      </c>
      <c r="B1397" s="20" t="str">
        <f>IFERROR(__xludf.DUMMYFUNCTION("""COMPUTED_VALUE"""),"Design Underground System")</f>
        <v>Design Underground System</v>
      </c>
      <c r="C1397" s="20" t="str">
        <f>IFERROR(__xludf.DUMMYFUNCTION("""COMPUTED_VALUE"""),"design-underground-system")</f>
        <v>design-underground-system</v>
      </c>
      <c r="D1397" s="20" t="b">
        <f>IFERROR(__xludf.DUMMYFUNCTION("""COMPUTED_VALUE"""),FALSE)</f>
        <v>0</v>
      </c>
      <c r="E1397" s="20" t="str">
        <f>IFERROR(__xludf.DUMMYFUNCTION("""COMPUTED_VALUE"""),"Medium")</f>
        <v>Medium</v>
      </c>
      <c r="F1397" s="20">
        <f>IFERROR(__xludf.DUMMYFUNCTION("""COMPUTED_VALUE"""),2344.0)</f>
        <v>2344</v>
      </c>
      <c r="G1397" s="20">
        <f>IFERROR(__xludf.DUMMYFUNCTION("""COMPUTED_VALUE"""),113.0)</f>
        <v>113</v>
      </c>
      <c r="H1397" s="20" t="str">
        <f>IFERROR(__xludf.DUMMYFUNCTION("""COMPUTED_VALUE"""),"Algorithms")</f>
        <v>Algorithms</v>
      </c>
      <c r="I1397" s="20">
        <f>IFERROR(__xludf.DUMMYFUNCTION("""COMPUTED_VALUE"""),0.736)</f>
        <v>0.736</v>
      </c>
      <c r="J1397" s="20">
        <f>IFERROR(__xludf.DUMMYFUNCTION("""COMPUTED_VALUE"""),1396.0)</f>
        <v>1396</v>
      </c>
      <c r="K1397" s="20" t="b">
        <f>IFERROR(__xludf.DUMMYFUNCTION("""COMPUTED_VALUE"""),FALSE)</f>
        <v>0</v>
      </c>
      <c r="L1397" s="20" t="str">
        <f>IFERROR(__xludf.DUMMYFUNCTION("""COMPUTED_VALUE"""),"Hash Table;String;Design;")</f>
        <v>Hash Table;String;Design;</v>
      </c>
      <c r="M1397" s="20" t="b">
        <f>IFERROR(__xludf.DUMMYFUNCTION("""COMPUTED_VALUE"""),TRUE)</f>
        <v>1</v>
      </c>
      <c r="N1397" s="20" t="b">
        <f>IFERROR(__xludf.DUMMYFUNCTION("""COMPUTED_VALUE"""),FALSE)</f>
        <v>0</v>
      </c>
      <c r="O1397" s="20">
        <f>IFERROR(__xludf.DUMMYFUNCTION("""COMPUTED_VALUE"""),73.5864061958155)</f>
        <v>73.5864062</v>
      </c>
      <c r="P1397" s="20">
        <f>IFERROR(__xludf.DUMMYFUNCTION("""COMPUTED_VALUE"""),159149.0)</f>
        <v>159149</v>
      </c>
      <c r="Q1397" s="20">
        <f>IFERROR(__xludf.DUMMYFUNCTION("""COMPUTED_VALUE"""),216275.0)</f>
        <v>216275</v>
      </c>
    </row>
    <row r="1398">
      <c r="A1398" s="20">
        <f>IFERROR(__xludf.DUMMYFUNCTION("""COMPUTED_VALUE"""),1513.0)</f>
        <v>1513</v>
      </c>
      <c r="B1398" s="20" t="str">
        <f>IFERROR(__xludf.DUMMYFUNCTION("""COMPUTED_VALUE"""),"Find All Good Strings")</f>
        <v>Find All Good Strings</v>
      </c>
      <c r="C1398" s="20" t="str">
        <f>IFERROR(__xludf.DUMMYFUNCTION("""COMPUTED_VALUE"""),"find-all-good-strings")</f>
        <v>find-all-good-strings</v>
      </c>
      <c r="D1398" s="20" t="b">
        <f>IFERROR(__xludf.DUMMYFUNCTION("""COMPUTED_VALUE"""),FALSE)</f>
        <v>0</v>
      </c>
      <c r="E1398" s="20" t="str">
        <f>IFERROR(__xludf.DUMMYFUNCTION("""COMPUTED_VALUE"""),"Hard")</f>
        <v>Hard</v>
      </c>
      <c r="F1398" s="20">
        <f>IFERROR(__xludf.DUMMYFUNCTION("""COMPUTED_VALUE"""),376.0)</f>
        <v>376</v>
      </c>
      <c r="G1398" s="20">
        <f>IFERROR(__xludf.DUMMYFUNCTION("""COMPUTED_VALUE"""),115.0)</f>
        <v>115</v>
      </c>
      <c r="H1398" s="20" t="str">
        <f>IFERROR(__xludf.DUMMYFUNCTION("""COMPUTED_VALUE"""),"Algorithms")</f>
        <v>Algorithms</v>
      </c>
      <c r="I1398" s="20">
        <f>IFERROR(__xludf.DUMMYFUNCTION("""COMPUTED_VALUE"""),0.422)</f>
        <v>0.422</v>
      </c>
      <c r="J1398" s="20">
        <f>IFERROR(__xludf.DUMMYFUNCTION("""COMPUTED_VALUE"""),1397.0)</f>
        <v>1397</v>
      </c>
      <c r="K1398" s="20" t="b">
        <f>IFERROR(__xludf.DUMMYFUNCTION("""COMPUTED_VALUE"""),FALSE)</f>
        <v>0</v>
      </c>
      <c r="L1398" s="20" t="str">
        <f>IFERROR(__xludf.DUMMYFUNCTION("""COMPUTED_VALUE"""),"String;Dynamic Programming;String Matching;")</f>
        <v>String;Dynamic Programming;String Matching;</v>
      </c>
      <c r="M1398" s="20" t="b">
        <f>IFERROR(__xludf.DUMMYFUNCTION("""COMPUTED_VALUE"""),FALSE)</f>
        <v>0</v>
      </c>
      <c r="N1398" s="20" t="b">
        <f>IFERROR(__xludf.DUMMYFUNCTION("""COMPUTED_VALUE"""),FALSE)</f>
        <v>0</v>
      </c>
      <c r="O1398" s="20">
        <f>IFERROR(__xludf.DUMMYFUNCTION("""COMPUTED_VALUE"""),42.2256097560975)</f>
        <v>42.22560976</v>
      </c>
      <c r="P1398" s="20">
        <f>IFERROR(__xludf.DUMMYFUNCTION("""COMPUTED_VALUE"""),4986.0)</f>
        <v>4986</v>
      </c>
      <c r="Q1398" s="20">
        <f>IFERROR(__xludf.DUMMYFUNCTION("""COMPUTED_VALUE"""),11808.0)</f>
        <v>11808</v>
      </c>
    </row>
    <row r="1399">
      <c r="A1399" s="20">
        <f>IFERROR(__xludf.DUMMYFUNCTION("""COMPUTED_VALUE"""),1536.0)</f>
        <v>1536</v>
      </c>
      <c r="B1399" s="20" t="str">
        <f>IFERROR(__xludf.DUMMYFUNCTION("""COMPUTED_VALUE"""),"Customers Who Bought Products A and B but Not C")</f>
        <v>Customers Who Bought Products A and B but Not C</v>
      </c>
      <c r="C1399" s="20" t="str">
        <f>IFERROR(__xludf.DUMMYFUNCTION("""COMPUTED_VALUE"""),"customers-who-bought-products-a-and-b-but-not-c")</f>
        <v>customers-who-bought-products-a-and-b-but-not-c</v>
      </c>
      <c r="D1399" s="20" t="b">
        <f>IFERROR(__xludf.DUMMYFUNCTION("""COMPUTED_VALUE"""),TRUE)</f>
        <v>1</v>
      </c>
      <c r="E1399" s="20" t="str">
        <f>IFERROR(__xludf.DUMMYFUNCTION("""COMPUTED_VALUE"""),"Medium")</f>
        <v>Medium</v>
      </c>
      <c r="F1399" s="20">
        <f>IFERROR(__xludf.DUMMYFUNCTION("""COMPUTED_VALUE"""),233.0)</f>
        <v>233</v>
      </c>
      <c r="G1399" s="20">
        <f>IFERROR(__xludf.DUMMYFUNCTION("""COMPUTED_VALUE"""),13.0)</f>
        <v>13</v>
      </c>
      <c r="H1399" s="20" t="str">
        <f>IFERROR(__xludf.DUMMYFUNCTION("""COMPUTED_VALUE"""),"Database")</f>
        <v>Database</v>
      </c>
      <c r="I1399" s="20">
        <f>IFERROR(__xludf.DUMMYFUNCTION("""COMPUTED_VALUE"""),0.774)</f>
        <v>0.774</v>
      </c>
      <c r="J1399" s="20">
        <f>IFERROR(__xludf.DUMMYFUNCTION("""COMPUTED_VALUE"""),1398.0)</f>
        <v>1398</v>
      </c>
      <c r="K1399" s="20" t="b">
        <f>IFERROR(__xludf.DUMMYFUNCTION("""COMPUTED_VALUE"""),TRUE)</f>
        <v>1</v>
      </c>
      <c r="L1399" s="20" t="str">
        <f>IFERROR(__xludf.DUMMYFUNCTION("""COMPUTED_VALUE"""),"Database;")</f>
        <v>Database;</v>
      </c>
      <c r="M1399" s="20" t="b">
        <f>IFERROR(__xludf.DUMMYFUNCTION("""COMPUTED_VALUE"""),FALSE)</f>
        <v>0</v>
      </c>
      <c r="N1399" s="20" t="b">
        <f>IFERROR(__xludf.DUMMYFUNCTION("""COMPUTED_VALUE"""),FALSE)</f>
        <v>0</v>
      </c>
      <c r="O1399" s="20">
        <f>IFERROR(__xludf.DUMMYFUNCTION("""COMPUTED_VALUE"""),77.362605408549)</f>
        <v>77.36260541</v>
      </c>
      <c r="P1399" s="20">
        <f>IFERROR(__xludf.DUMMYFUNCTION("""COMPUTED_VALUE"""),37245.0)</f>
        <v>37245</v>
      </c>
      <c r="Q1399" s="20">
        <f>IFERROR(__xludf.DUMMYFUNCTION("""COMPUTED_VALUE"""),48144.0)</f>
        <v>48144</v>
      </c>
    </row>
    <row r="1400">
      <c r="A1400" s="20">
        <f>IFERROR(__xludf.DUMMYFUNCTION("""COMPUTED_VALUE"""),1500.0)</f>
        <v>1500</v>
      </c>
      <c r="B1400" s="20" t="str">
        <f>IFERROR(__xludf.DUMMYFUNCTION("""COMPUTED_VALUE"""),"Count Largest Group")</f>
        <v>Count Largest Group</v>
      </c>
      <c r="C1400" s="20" t="str">
        <f>IFERROR(__xludf.DUMMYFUNCTION("""COMPUTED_VALUE"""),"count-largest-group")</f>
        <v>count-largest-group</v>
      </c>
      <c r="D1400" s="20" t="b">
        <f>IFERROR(__xludf.DUMMYFUNCTION("""COMPUTED_VALUE"""),FALSE)</f>
        <v>0</v>
      </c>
      <c r="E1400" s="20" t="str">
        <f>IFERROR(__xludf.DUMMYFUNCTION("""COMPUTED_VALUE"""),"Easy")</f>
        <v>Easy</v>
      </c>
      <c r="F1400" s="20">
        <f>IFERROR(__xludf.DUMMYFUNCTION("""COMPUTED_VALUE"""),336.0)</f>
        <v>336</v>
      </c>
      <c r="G1400" s="20">
        <f>IFERROR(__xludf.DUMMYFUNCTION("""COMPUTED_VALUE"""),765.0)</f>
        <v>765</v>
      </c>
      <c r="H1400" s="20" t="str">
        <f>IFERROR(__xludf.DUMMYFUNCTION("""COMPUTED_VALUE"""),"Algorithms")</f>
        <v>Algorithms</v>
      </c>
      <c r="I1400" s="20">
        <f>IFERROR(__xludf.DUMMYFUNCTION("""COMPUTED_VALUE"""),0.672)</f>
        <v>0.672</v>
      </c>
      <c r="J1400" s="20">
        <f>IFERROR(__xludf.DUMMYFUNCTION("""COMPUTED_VALUE"""),1399.0)</f>
        <v>1399</v>
      </c>
      <c r="K1400" s="20" t="b">
        <f>IFERROR(__xludf.DUMMYFUNCTION("""COMPUTED_VALUE"""),FALSE)</f>
        <v>0</v>
      </c>
      <c r="L1400" s="20" t="str">
        <f>IFERROR(__xludf.DUMMYFUNCTION("""COMPUTED_VALUE"""),"Hash Table;Math;")</f>
        <v>Hash Table;Math;</v>
      </c>
      <c r="M1400" s="20" t="b">
        <f>IFERROR(__xludf.DUMMYFUNCTION("""COMPUTED_VALUE"""),FALSE)</f>
        <v>0</v>
      </c>
      <c r="N1400" s="20" t="b">
        <f>IFERROR(__xludf.DUMMYFUNCTION("""COMPUTED_VALUE"""),FALSE)</f>
        <v>0</v>
      </c>
      <c r="O1400" s="20">
        <f>IFERROR(__xludf.DUMMYFUNCTION("""COMPUTED_VALUE"""),67.1734584298875)</f>
        <v>67.17345843</v>
      </c>
      <c r="P1400" s="20">
        <f>IFERROR(__xludf.DUMMYFUNCTION("""COMPUTED_VALUE"""),35655.0)</f>
        <v>35655</v>
      </c>
      <c r="Q1400" s="20">
        <f>IFERROR(__xludf.DUMMYFUNCTION("""COMPUTED_VALUE"""),53079.0)</f>
        <v>53079</v>
      </c>
    </row>
    <row r="1401">
      <c r="A1401" s="20">
        <f>IFERROR(__xludf.DUMMYFUNCTION("""COMPUTED_VALUE"""),1502.0)</f>
        <v>1502</v>
      </c>
      <c r="B1401" s="20" t="str">
        <f>IFERROR(__xludf.DUMMYFUNCTION("""COMPUTED_VALUE"""),"Construct K Palindrome Strings")</f>
        <v>Construct K Palindrome Strings</v>
      </c>
      <c r="C1401" s="20" t="str">
        <f>IFERROR(__xludf.DUMMYFUNCTION("""COMPUTED_VALUE"""),"construct-k-palindrome-strings")</f>
        <v>construct-k-palindrome-strings</v>
      </c>
      <c r="D1401" s="20" t="b">
        <f>IFERROR(__xludf.DUMMYFUNCTION("""COMPUTED_VALUE"""),FALSE)</f>
        <v>0</v>
      </c>
      <c r="E1401" s="20" t="str">
        <f>IFERROR(__xludf.DUMMYFUNCTION("""COMPUTED_VALUE"""),"Medium")</f>
        <v>Medium</v>
      </c>
      <c r="F1401" s="20">
        <f>IFERROR(__xludf.DUMMYFUNCTION("""COMPUTED_VALUE"""),862.0)</f>
        <v>862</v>
      </c>
      <c r="G1401" s="20">
        <f>IFERROR(__xludf.DUMMYFUNCTION("""COMPUTED_VALUE"""),81.0)</f>
        <v>81</v>
      </c>
      <c r="H1401" s="20" t="str">
        <f>IFERROR(__xludf.DUMMYFUNCTION("""COMPUTED_VALUE"""),"Algorithms")</f>
        <v>Algorithms</v>
      </c>
      <c r="I1401" s="20">
        <f>IFERROR(__xludf.DUMMYFUNCTION("""COMPUTED_VALUE"""),0.631)</f>
        <v>0.631</v>
      </c>
      <c r="J1401" s="20">
        <f>IFERROR(__xludf.DUMMYFUNCTION("""COMPUTED_VALUE"""),1400.0)</f>
        <v>1400</v>
      </c>
      <c r="K1401" s="20" t="b">
        <f>IFERROR(__xludf.DUMMYFUNCTION("""COMPUTED_VALUE"""),FALSE)</f>
        <v>0</v>
      </c>
      <c r="L1401" s="20" t="str">
        <f>IFERROR(__xludf.DUMMYFUNCTION("""COMPUTED_VALUE"""),"Hash Table;String;Greedy;Counting;")</f>
        <v>Hash Table;String;Greedy;Counting;</v>
      </c>
      <c r="M1401" s="20" t="b">
        <f>IFERROR(__xludf.DUMMYFUNCTION("""COMPUTED_VALUE"""),FALSE)</f>
        <v>0</v>
      </c>
      <c r="N1401" s="20" t="b">
        <f>IFERROR(__xludf.DUMMYFUNCTION("""COMPUTED_VALUE"""),FALSE)</f>
        <v>0</v>
      </c>
      <c r="O1401" s="20">
        <f>IFERROR(__xludf.DUMMYFUNCTION("""COMPUTED_VALUE"""),63.1053712943939)</f>
        <v>63.10537129</v>
      </c>
      <c r="P1401" s="20">
        <f>IFERROR(__xludf.DUMMYFUNCTION("""COMPUTED_VALUE"""),43000.0)</f>
        <v>43000</v>
      </c>
      <c r="Q1401" s="20">
        <f>IFERROR(__xludf.DUMMYFUNCTION("""COMPUTED_VALUE"""),68140.0)</f>
        <v>68140</v>
      </c>
    </row>
    <row r="1402">
      <c r="A1402" s="20">
        <f>IFERROR(__xludf.DUMMYFUNCTION("""COMPUTED_VALUE"""),1501.0)</f>
        <v>1501</v>
      </c>
      <c r="B1402" s="20" t="str">
        <f>IFERROR(__xludf.DUMMYFUNCTION("""COMPUTED_VALUE"""),"Circle and Rectangle Overlapping")</f>
        <v>Circle and Rectangle Overlapping</v>
      </c>
      <c r="C1402" s="20" t="str">
        <f>IFERROR(__xludf.DUMMYFUNCTION("""COMPUTED_VALUE"""),"circle-and-rectangle-overlapping")</f>
        <v>circle-and-rectangle-overlapping</v>
      </c>
      <c r="D1402" s="20" t="b">
        <f>IFERROR(__xludf.DUMMYFUNCTION("""COMPUTED_VALUE"""),FALSE)</f>
        <v>0</v>
      </c>
      <c r="E1402" s="20" t="str">
        <f>IFERROR(__xludf.DUMMYFUNCTION("""COMPUTED_VALUE"""),"Medium")</f>
        <v>Medium</v>
      </c>
      <c r="F1402" s="20">
        <f>IFERROR(__xludf.DUMMYFUNCTION("""COMPUTED_VALUE"""),263.0)</f>
        <v>263</v>
      </c>
      <c r="G1402" s="20">
        <f>IFERROR(__xludf.DUMMYFUNCTION("""COMPUTED_VALUE"""),60.0)</f>
        <v>60</v>
      </c>
      <c r="H1402" s="20" t="str">
        <f>IFERROR(__xludf.DUMMYFUNCTION("""COMPUTED_VALUE"""),"Algorithms")</f>
        <v>Algorithms</v>
      </c>
      <c r="I1402" s="20">
        <f>IFERROR(__xludf.DUMMYFUNCTION("""COMPUTED_VALUE"""),0.443)</f>
        <v>0.443</v>
      </c>
      <c r="J1402" s="20">
        <f>IFERROR(__xludf.DUMMYFUNCTION("""COMPUTED_VALUE"""),1401.0)</f>
        <v>1401</v>
      </c>
      <c r="K1402" s="20" t="b">
        <f>IFERROR(__xludf.DUMMYFUNCTION("""COMPUTED_VALUE"""),FALSE)</f>
        <v>0</v>
      </c>
      <c r="L1402" s="20" t="str">
        <f>IFERROR(__xludf.DUMMYFUNCTION("""COMPUTED_VALUE"""),"Math;Geometry;")</f>
        <v>Math;Geometry;</v>
      </c>
      <c r="M1402" s="20" t="b">
        <f>IFERROR(__xludf.DUMMYFUNCTION("""COMPUTED_VALUE"""),FALSE)</f>
        <v>0</v>
      </c>
      <c r="N1402" s="20" t="b">
        <f>IFERROR(__xludf.DUMMYFUNCTION("""COMPUTED_VALUE"""),FALSE)</f>
        <v>0</v>
      </c>
      <c r="O1402" s="20">
        <f>IFERROR(__xludf.DUMMYFUNCTION("""COMPUTED_VALUE"""),44.2741136858783)</f>
        <v>44.27411369</v>
      </c>
      <c r="P1402" s="20">
        <f>IFERROR(__xludf.DUMMYFUNCTION("""COMPUTED_VALUE"""),11177.0)</f>
        <v>11177</v>
      </c>
      <c r="Q1402" s="20">
        <f>IFERROR(__xludf.DUMMYFUNCTION("""COMPUTED_VALUE"""),25245.0)</f>
        <v>25245</v>
      </c>
    </row>
    <row r="1403">
      <c r="A1403" s="20">
        <f>IFERROR(__xludf.DUMMYFUNCTION("""COMPUTED_VALUE"""),1503.0)</f>
        <v>1503</v>
      </c>
      <c r="B1403" s="20" t="str">
        <f>IFERROR(__xludf.DUMMYFUNCTION("""COMPUTED_VALUE"""),"Reducing Dishes")</f>
        <v>Reducing Dishes</v>
      </c>
      <c r="C1403" s="20" t="str">
        <f>IFERROR(__xludf.DUMMYFUNCTION("""COMPUTED_VALUE"""),"reducing-dishes")</f>
        <v>reducing-dishes</v>
      </c>
      <c r="D1403" s="20" t="b">
        <f>IFERROR(__xludf.DUMMYFUNCTION("""COMPUTED_VALUE"""),FALSE)</f>
        <v>0</v>
      </c>
      <c r="E1403" s="20" t="str">
        <f>IFERROR(__xludf.DUMMYFUNCTION("""COMPUTED_VALUE"""),"Hard")</f>
        <v>Hard</v>
      </c>
      <c r="F1403" s="20">
        <f>IFERROR(__xludf.DUMMYFUNCTION("""COMPUTED_VALUE"""),1323.0)</f>
        <v>1323</v>
      </c>
      <c r="G1403" s="20">
        <f>IFERROR(__xludf.DUMMYFUNCTION("""COMPUTED_VALUE"""),162.0)</f>
        <v>162</v>
      </c>
      <c r="H1403" s="20" t="str">
        <f>IFERROR(__xludf.DUMMYFUNCTION("""COMPUTED_VALUE"""),"Algorithms")</f>
        <v>Algorithms</v>
      </c>
      <c r="I1403" s="20">
        <f>IFERROR(__xludf.DUMMYFUNCTION("""COMPUTED_VALUE"""),0.721)</f>
        <v>0.721</v>
      </c>
      <c r="J1403" s="20">
        <f>IFERROR(__xludf.DUMMYFUNCTION("""COMPUTED_VALUE"""),1402.0)</f>
        <v>1402</v>
      </c>
      <c r="K1403" s="20" t="b">
        <f>IFERROR(__xludf.DUMMYFUNCTION("""COMPUTED_VALUE"""),FALSE)</f>
        <v>0</v>
      </c>
      <c r="L1403" s="20" t="str">
        <f>IFERROR(__xludf.DUMMYFUNCTION("""COMPUTED_VALUE"""),"Array;Dynamic Programming;Greedy;Sorting;")</f>
        <v>Array;Dynamic Programming;Greedy;Sorting;</v>
      </c>
      <c r="M1403" s="20" t="b">
        <f>IFERROR(__xludf.DUMMYFUNCTION("""COMPUTED_VALUE"""),FALSE)</f>
        <v>0</v>
      </c>
      <c r="N1403" s="20" t="b">
        <f>IFERROR(__xludf.DUMMYFUNCTION("""COMPUTED_VALUE"""),FALSE)</f>
        <v>0</v>
      </c>
      <c r="O1403" s="20">
        <f>IFERROR(__xludf.DUMMYFUNCTION("""COMPUTED_VALUE"""),72.0520002872944)</f>
        <v>72.05200029</v>
      </c>
      <c r="P1403" s="20">
        <f>IFERROR(__xludf.DUMMYFUNCTION("""COMPUTED_VALUE"""),50159.0)</f>
        <v>50159</v>
      </c>
      <c r="Q1403" s="20">
        <f>IFERROR(__xludf.DUMMYFUNCTION("""COMPUTED_VALUE"""),69615.0)</f>
        <v>69615</v>
      </c>
    </row>
    <row r="1404">
      <c r="A1404" s="20">
        <f>IFERROR(__xludf.DUMMYFUNCTION("""COMPUTED_VALUE"""),1519.0)</f>
        <v>1519</v>
      </c>
      <c r="B1404" s="20" t="str">
        <f>IFERROR(__xludf.DUMMYFUNCTION("""COMPUTED_VALUE"""),"Minimum Subsequence in Non-Increasing Order")</f>
        <v>Minimum Subsequence in Non-Increasing Order</v>
      </c>
      <c r="C1404" s="20" t="str">
        <f>IFERROR(__xludf.DUMMYFUNCTION("""COMPUTED_VALUE"""),"minimum-subsequence-in-non-increasing-order")</f>
        <v>minimum-subsequence-in-non-increasing-order</v>
      </c>
      <c r="D1404" s="20" t="b">
        <f>IFERROR(__xludf.DUMMYFUNCTION("""COMPUTED_VALUE"""),FALSE)</f>
        <v>0</v>
      </c>
      <c r="E1404" s="20" t="str">
        <f>IFERROR(__xludf.DUMMYFUNCTION("""COMPUTED_VALUE"""),"Easy")</f>
        <v>Easy</v>
      </c>
      <c r="F1404" s="20">
        <f>IFERROR(__xludf.DUMMYFUNCTION("""COMPUTED_VALUE"""),448.0)</f>
        <v>448</v>
      </c>
      <c r="G1404" s="20">
        <f>IFERROR(__xludf.DUMMYFUNCTION("""COMPUTED_VALUE"""),433.0)</f>
        <v>433</v>
      </c>
      <c r="H1404" s="20" t="str">
        <f>IFERROR(__xludf.DUMMYFUNCTION("""COMPUTED_VALUE"""),"Algorithms")</f>
        <v>Algorithms</v>
      </c>
      <c r="I1404" s="20">
        <f>IFERROR(__xludf.DUMMYFUNCTION("""COMPUTED_VALUE"""),0.722)</f>
        <v>0.722</v>
      </c>
      <c r="J1404" s="20">
        <f>IFERROR(__xludf.DUMMYFUNCTION("""COMPUTED_VALUE"""),1403.0)</f>
        <v>1403</v>
      </c>
      <c r="K1404" s="20" t="b">
        <f>IFERROR(__xludf.DUMMYFUNCTION("""COMPUTED_VALUE"""),FALSE)</f>
        <v>0</v>
      </c>
      <c r="L1404" s="20" t="str">
        <f>IFERROR(__xludf.DUMMYFUNCTION("""COMPUTED_VALUE"""),"Array;Greedy;Sorting;")</f>
        <v>Array;Greedy;Sorting;</v>
      </c>
      <c r="M1404" s="20" t="b">
        <f>IFERROR(__xludf.DUMMYFUNCTION("""COMPUTED_VALUE"""),FALSE)</f>
        <v>0</v>
      </c>
      <c r="N1404" s="20" t="b">
        <f>IFERROR(__xludf.DUMMYFUNCTION("""COMPUTED_VALUE"""),FALSE)</f>
        <v>0</v>
      </c>
      <c r="O1404" s="20">
        <f>IFERROR(__xludf.DUMMYFUNCTION("""COMPUTED_VALUE"""),72.2041896581858)</f>
        <v>72.20418966</v>
      </c>
      <c r="P1404" s="20">
        <f>IFERROR(__xludf.DUMMYFUNCTION("""COMPUTED_VALUE"""),57837.0)</f>
        <v>57837</v>
      </c>
      <c r="Q1404" s="20">
        <f>IFERROR(__xludf.DUMMYFUNCTION("""COMPUTED_VALUE"""),80102.0)</f>
        <v>80102</v>
      </c>
    </row>
    <row r="1405">
      <c r="A1405" s="20">
        <f>IFERROR(__xludf.DUMMYFUNCTION("""COMPUTED_VALUE"""),1520.0)</f>
        <v>1520</v>
      </c>
      <c r="B1405" s="20" t="str">
        <f>IFERROR(__xludf.DUMMYFUNCTION("""COMPUTED_VALUE"""),"Number of Steps to Reduce a Number in Binary Representation to One")</f>
        <v>Number of Steps to Reduce a Number in Binary Representation to One</v>
      </c>
      <c r="C1405" s="20" t="str">
        <f>IFERROR(__xludf.DUMMYFUNCTION("""COMPUTED_VALUE"""),"number-of-steps-to-reduce-a-number-in-binary-representation-to-one")</f>
        <v>number-of-steps-to-reduce-a-number-in-binary-representation-to-one</v>
      </c>
      <c r="D1405" s="20" t="b">
        <f>IFERROR(__xludf.DUMMYFUNCTION("""COMPUTED_VALUE"""),FALSE)</f>
        <v>0</v>
      </c>
      <c r="E1405" s="20" t="str">
        <f>IFERROR(__xludf.DUMMYFUNCTION("""COMPUTED_VALUE"""),"Medium")</f>
        <v>Medium</v>
      </c>
      <c r="F1405" s="20">
        <f>IFERROR(__xludf.DUMMYFUNCTION("""COMPUTED_VALUE"""),622.0)</f>
        <v>622</v>
      </c>
      <c r="G1405" s="20">
        <f>IFERROR(__xludf.DUMMYFUNCTION("""COMPUTED_VALUE"""),53.0)</f>
        <v>53</v>
      </c>
      <c r="H1405" s="20" t="str">
        <f>IFERROR(__xludf.DUMMYFUNCTION("""COMPUTED_VALUE"""),"Algorithms")</f>
        <v>Algorithms</v>
      </c>
      <c r="I1405" s="20">
        <f>IFERROR(__xludf.DUMMYFUNCTION("""COMPUTED_VALUE"""),0.523)</f>
        <v>0.523</v>
      </c>
      <c r="J1405" s="20">
        <f>IFERROR(__xludf.DUMMYFUNCTION("""COMPUTED_VALUE"""),1404.0)</f>
        <v>1404</v>
      </c>
      <c r="K1405" s="20" t="b">
        <f>IFERROR(__xludf.DUMMYFUNCTION("""COMPUTED_VALUE"""),FALSE)</f>
        <v>0</v>
      </c>
      <c r="L1405" s="20" t="str">
        <f>IFERROR(__xludf.DUMMYFUNCTION("""COMPUTED_VALUE"""),"String;Bit Manipulation;")</f>
        <v>String;Bit Manipulation;</v>
      </c>
      <c r="M1405" s="20" t="b">
        <f>IFERROR(__xludf.DUMMYFUNCTION("""COMPUTED_VALUE"""),FALSE)</f>
        <v>0</v>
      </c>
      <c r="N1405" s="20" t="b">
        <f>IFERROR(__xludf.DUMMYFUNCTION("""COMPUTED_VALUE"""),FALSE)</f>
        <v>0</v>
      </c>
      <c r="O1405" s="20">
        <f>IFERROR(__xludf.DUMMYFUNCTION("""COMPUTED_VALUE"""),52.34913616638)</f>
        <v>52.34913617</v>
      </c>
      <c r="P1405" s="20">
        <f>IFERROR(__xludf.DUMMYFUNCTION("""COMPUTED_VALUE"""),31967.0)</f>
        <v>31967</v>
      </c>
      <c r="Q1405" s="20">
        <f>IFERROR(__xludf.DUMMYFUNCTION("""COMPUTED_VALUE"""),61065.0)</f>
        <v>61065</v>
      </c>
    </row>
    <row r="1406">
      <c r="A1406" s="20">
        <f>IFERROR(__xludf.DUMMYFUNCTION("""COMPUTED_VALUE"""),1304.0)</f>
        <v>1304</v>
      </c>
      <c r="B1406" s="20" t="str">
        <f>IFERROR(__xludf.DUMMYFUNCTION("""COMPUTED_VALUE"""),"Longest Happy String")</f>
        <v>Longest Happy String</v>
      </c>
      <c r="C1406" s="20" t="str">
        <f>IFERROR(__xludf.DUMMYFUNCTION("""COMPUTED_VALUE"""),"longest-happy-string")</f>
        <v>longest-happy-string</v>
      </c>
      <c r="D1406" s="20" t="b">
        <f>IFERROR(__xludf.DUMMYFUNCTION("""COMPUTED_VALUE"""),FALSE)</f>
        <v>0</v>
      </c>
      <c r="E1406" s="20" t="str">
        <f>IFERROR(__xludf.DUMMYFUNCTION("""COMPUTED_VALUE"""),"Medium")</f>
        <v>Medium</v>
      </c>
      <c r="F1406" s="20">
        <f>IFERROR(__xludf.DUMMYFUNCTION("""COMPUTED_VALUE"""),1561.0)</f>
        <v>1561</v>
      </c>
      <c r="G1406" s="20">
        <f>IFERROR(__xludf.DUMMYFUNCTION("""COMPUTED_VALUE"""),219.0)</f>
        <v>219</v>
      </c>
      <c r="H1406" s="20" t="str">
        <f>IFERROR(__xludf.DUMMYFUNCTION("""COMPUTED_VALUE"""),"Algorithms")</f>
        <v>Algorithms</v>
      </c>
      <c r="I1406" s="20">
        <f>IFERROR(__xludf.DUMMYFUNCTION("""COMPUTED_VALUE"""),0.575)</f>
        <v>0.575</v>
      </c>
      <c r="J1406" s="20">
        <f>IFERROR(__xludf.DUMMYFUNCTION("""COMPUTED_VALUE"""),1405.0)</f>
        <v>1405</v>
      </c>
      <c r="K1406" s="20" t="b">
        <f>IFERROR(__xludf.DUMMYFUNCTION("""COMPUTED_VALUE"""),FALSE)</f>
        <v>0</v>
      </c>
      <c r="L1406" s="20" t="str">
        <f>IFERROR(__xludf.DUMMYFUNCTION("""COMPUTED_VALUE"""),"String;Greedy;Heap (Priority Queue);")</f>
        <v>String;Greedy;Heap (Priority Queue);</v>
      </c>
      <c r="M1406" s="20" t="b">
        <f>IFERROR(__xludf.DUMMYFUNCTION("""COMPUTED_VALUE"""),FALSE)</f>
        <v>0</v>
      </c>
      <c r="N1406" s="20" t="b">
        <f>IFERROR(__xludf.DUMMYFUNCTION("""COMPUTED_VALUE"""),FALSE)</f>
        <v>0</v>
      </c>
      <c r="O1406" s="20">
        <f>IFERROR(__xludf.DUMMYFUNCTION("""COMPUTED_VALUE"""),57.4584233768674)</f>
        <v>57.45842338</v>
      </c>
      <c r="P1406" s="20">
        <f>IFERROR(__xludf.DUMMYFUNCTION("""COMPUTED_VALUE"""),61153.0)</f>
        <v>61153</v>
      </c>
      <c r="Q1406" s="20">
        <f>IFERROR(__xludf.DUMMYFUNCTION("""COMPUTED_VALUE"""),106430.0)</f>
        <v>106430</v>
      </c>
    </row>
    <row r="1407">
      <c r="A1407" s="20">
        <f>IFERROR(__xludf.DUMMYFUNCTION("""COMPUTED_VALUE"""),1522.0)</f>
        <v>1522</v>
      </c>
      <c r="B1407" s="20" t="str">
        <f>IFERROR(__xludf.DUMMYFUNCTION("""COMPUTED_VALUE"""),"Stone Game III")</f>
        <v>Stone Game III</v>
      </c>
      <c r="C1407" s="20" t="str">
        <f>IFERROR(__xludf.DUMMYFUNCTION("""COMPUTED_VALUE"""),"stone-game-iii")</f>
        <v>stone-game-iii</v>
      </c>
      <c r="D1407" s="20" t="b">
        <f>IFERROR(__xludf.DUMMYFUNCTION("""COMPUTED_VALUE"""),FALSE)</f>
        <v>0</v>
      </c>
      <c r="E1407" s="20" t="str">
        <f>IFERROR(__xludf.DUMMYFUNCTION("""COMPUTED_VALUE"""),"Hard")</f>
        <v>Hard</v>
      </c>
      <c r="F1407" s="20">
        <f>IFERROR(__xludf.DUMMYFUNCTION("""COMPUTED_VALUE"""),1160.0)</f>
        <v>1160</v>
      </c>
      <c r="G1407" s="20">
        <f>IFERROR(__xludf.DUMMYFUNCTION("""COMPUTED_VALUE"""),26.0)</f>
        <v>26</v>
      </c>
      <c r="H1407" s="20" t="str">
        <f>IFERROR(__xludf.DUMMYFUNCTION("""COMPUTED_VALUE"""),"Algorithms")</f>
        <v>Algorithms</v>
      </c>
      <c r="I1407" s="20">
        <f>IFERROR(__xludf.DUMMYFUNCTION("""COMPUTED_VALUE"""),0.595)</f>
        <v>0.595</v>
      </c>
      <c r="J1407" s="20">
        <f>IFERROR(__xludf.DUMMYFUNCTION("""COMPUTED_VALUE"""),1406.0)</f>
        <v>1406</v>
      </c>
      <c r="K1407" s="20" t="b">
        <f>IFERROR(__xludf.DUMMYFUNCTION("""COMPUTED_VALUE"""),FALSE)</f>
        <v>0</v>
      </c>
      <c r="L1407" s="20" t="str">
        <f>IFERROR(__xludf.DUMMYFUNCTION("""COMPUTED_VALUE"""),"Array;Math;Dynamic Programming;Game Theory;")</f>
        <v>Array;Math;Dynamic Programming;Game Theory;</v>
      </c>
      <c r="M1407" s="20" t="b">
        <f>IFERROR(__xludf.DUMMYFUNCTION("""COMPUTED_VALUE"""),FALSE)</f>
        <v>0</v>
      </c>
      <c r="N1407" s="20" t="b">
        <f>IFERROR(__xludf.DUMMYFUNCTION("""COMPUTED_VALUE"""),FALSE)</f>
        <v>0</v>
      </c>
      <c r="O1407" s="20">
        <f>IFERROR(__xludf.DUMMYFUNCTION("""COMPUTED_VALUE"""),59.5230860499775)</f>
        <v>59.52308605</v>
      </c>
      <c r="P1407" s="20">
        <f>IFERROR(__xludf.DUMMYFUNCTION("""COMPUTED_VALUE"""),41137.0)</f>
        <v>41137</v>
      </c>
      <c r="Q1407" s="20">
        <f>IFERROR(__xludf.DUMMYFUNCTION("""COMPUTED_VALUE"""),69111.0)</f>
        <v>69111</v>
      </c>
    </row>
    <row r="1408">
      <c r="A1408" s="20">
        <f>IFERROR(__xludf.DUMMYFUNCTION("""COMPUTED_VALUE"""),1541.0)</f>
        <v>1541</v>
      </c>
      <c r="B1408" s="20" t="str">
        <f>IFERROR(__xludf.DUMMYFUNCTION("""COMPUTED_VALUE"""),"Top Travellers")</f>
        <v>Top Travellers</v>
      </c>
      <c r="C1408" s="20" t="str">
        <f>IFERROR(__xludf.DUMMYFUNCTION("""COMPUTED_VALUE"""),"top-travellers")</f>
        <v>top-travellers</v>
      </c>
      <c r="D1408" s="20" t="b">
        <f>IFERROR(__xludf.DUMMYFUNCTION("""COMPUTED_VALUE"""),FALSE)</f>
        <v>0</v>
      </c>
      <c r="E1408" s="20" t="str">
        <f>IFERROR(__xludf.DUMMYFUNCTION("""COMPUTED_VALUE"""),"Easy")</f>
        <v>Easy</v>
      </c>
      <c r="F1408" s="20">
        <f>IFERROR(__xludf.DUMMYFUNCTION("""COMPUTED_VALUE"""),382.0)</f>
        <v>382</v>
      </c>
      <c r="G1408" s="20">
        <f>IFERROR(__xludf.DUMMYFUNCTION("""COMPUTED_VALUE"""),40.0)</f>
        <v>40</v>
      </c>
      <c r="H1408" s="20" t="str">
        <f>IFERROR(__xludf.DUMMYFUNCTION("""COMPUTED_VALUE"""),"Database")</f>
        <v>Database</v>
      </c>
      <c r="I1408" s="20">
        <f>IFERROR(__xludf.DUMMYFUNCTION("""COMPUTED_VALUE"""),0.659)</f>
        <v>0.659</v>
      </c>
      <c r="J1408" s="20">
        <f>IFERROR(__xludf.DUMMYFUNCTION("""COMPUTED_VALUE"""),1407.0)</f>
        <v>1407</v>
      </c>
      <c r="K1408" s="20" t="b">
        <f>IFERROR(__xludf.DUMMYFUNCTION("""COMPUTED_VALUE"""),FALSE)</f>
        <v>0</v>
      </c>
      <c r="L1408" s="20" t="str">
        <f>IFERROR(__xludf.DUMMYFUNCTION("""COMPUTED_VALUE"""),"Database;")</f>
        <v>Database;</v>
      </c>
      <c r="M1408" s="20" t="b">
        <f>IFERROR(__xludf.DUMMYFUNCTION("""COMPUTED_VALUE"""),FALSE)</f>
        <v>0</v>
      </c>
      <c r="N1408" s="20" t="b">
        <f>IFERROR(__xludf.DUMMYFUNCTION("""COMPUTED_VALUE"""),FALSE)</f>
        <v>0</v>
      </c>
      <c r="O1408" s="20">
        <f>IFERROR(__xludf.DUMMYFUNCTION("""COMPUTED_VALUE"""),65.8749710907098)</f>
        <v>65.87497109</v>
      </c>
      <c r="P1408" s="20">
        <f>IFERROR(__xludf.DUMMYFUNCTION("""COMPUTED_VALUE"""),65512.0)</f>
        <v>65512</v>
      </c>
      <c r="Q1408" s="20">
        <f>IFERROR(__xludf.DUMMYFUNCTION("""COMPUTED_VALUE"""),99449.0)</f>
        <v>99449</v>
      </c>
    </row>
    <row r="1409">
      <c r="A1409" s="20">
        <f>IFERROR(__xludf.DUMMYFUNCTION("""COMPUTED_VALUE"""),1524.0)</f>
        <v>1524</v>
      </c>
      <c r="B1409" s="20" t="str">
        <f>IFERROR(__xludf.DUMMYFUNCTION("""COMPUTED_VALUE"""),"String Matching in an Array")</f>
        <v>String Matching in an Array</v>
      </c>
      <c r="C1409" s="20" t="str">
        <f>IFERROR(__xludf.DUMMYFUNCTION("""COMPUTED_VALUE"""),"string-matching-in-an-array")</f>
        <v>string-matching-in-an-array</v>
      </c>
      <c r="D1409" s="20" t="b">
        <f>IFERROR(__xludf.DUMMYFUNCTION("""COMPUTED_VALUE"""),FALSE)</f>
        <v>0</v>
      </c>
      <c r="E1409" s="20" t="str">
        <f>IFERROR(__xludf.DUMMYFUNCTION("""COMPUTED_VALUE"""),"Easy")</f>
        <v>Easy</v>
      </c>
      <c r="F1409" s="20">
        <f>IFERROR(__xludf.DUMMYFUNCTION("""COMPUTED_VALUE"""),672.0)</f>
        <v>672</v>
      </c>
      <c r="G1409" s="20">
        <f>IFERROR(__xludf.DUMMYFUNCTION("""COMPUTED_VALUE"""),78.0)</f>
        <v>78</v>
      </c>
      <c r="H1409" s="20" t="str">
        <f>IFERROR(__xludf.DUMMYFUNCTION("""COMPUTED_VALUE"""),"Algorithms")</f>
        <v>Algorithms</v>
      </c>
      <c r="I1409" s="20">
        <f>IFERROR(__xludf.DUMMYFUNCTION("""COMPUTED_VALUE"""),0.638)</f>
        <v>0.638</v>
      </c>
      <c r="J1409" s="20">
        <f>IFERROR(__xludf.DUMMYFUNCTION("""COMPUTED_VALUE"""),1408.0)</f>
        <v>1408</v>
      </c>
      <c r="K1409" s="20" t="b">
        <f>IFERROR(__xludf.DUMMYFUNCTION("""COMPUTED_VALUE"""),FALSE)</f>
        <v>0</v>
      </c>
      <c r="L1409" s="20" t="str">
        <f>IFERROR(__xludf.DUMMYFUNCTION("""COMPUTED_VALUE"""),"Array;String;String Matching;")</f>
        <v>Array;String;String Matching;</v>
      </c>
      <c r="M1409" s="20" t="b">
        <f>IFERROR(__xludf.DUMMYFUNCTION("""COMPUTED_VALUE"""),FALSE)</f>
        <v>0</v>
      </c>
      <c r="N1409" s="20" t="b">
        <f>IFERROR(__xludf.DUMMYFUNCTION("""COMPUTED_VALUE"""),FALSE)</f>
        <v>0</v>
      </c>
      <c r="O1409" s="20">
        <f>IFERROR(__xludf.DUMMYFUNCTION("""COMPUTED_VALUE"""),63.8464729470793)</f>
        <v>63.84647295</v>
      </c>
      <c r="P1409" s="20">
        <f>IFERROR(__xludf.DUMMYFUNCTION("""COMPUTED_VALUE"""),64642.0)</f>
        <v>64642</v>
      </c>
      <c r="Q1409" s="20">
        <f>IFERROR(__xludf.DUMMYFUNCTION("""COMPUTED_VALUE"""),101246.0)</f>
        <v>101246</v>
      </c>
    </row>
    <row r="1410">
      <c r="A1410" s="20">
        <f>IFERROR(__xludf.DUMMYFUNCTION("""COMPUTED_VALUE"""),1525.0)</f>
        <v>1525</v>
      </c>
      <c r="B1410" s="20" t="str">
        <f>IFERROR(__xludf.DUMMYFUNCTION("""COMPUTED_VALUE"""),"Queries on a Permutation With Key")</f>
        <v>Queries on a Permutation With Key</v>
      </c>
      <c r="C1410" s="20" t="str">
        <f>IFERROR(__xludf.DUMMYFUNCTION("""COMPUTED_VALUE"""),"queries-on-a-permutation-with-key")</f>
        <v>queries-on-a-permutation-with-key</v>
      </c>
      <c r="D1410" s="20" t="b">
        <f>IFERROR(__xludf.DUMMYFUNCTION("""COMPUTED_VALUE"""),FALSE)</f>
        <v>0</v>
      </c>
      <c r="E1410" s="20" t="str">
        <f>IFERROR(__xludf.DUMMYFUNCTION("""COMPUTED_VALUE"""),"Medium")</f>
        <v>Medium</v>
      </c>
      <c r="F1410" s="20">
        <f>IFERROR(__xludf.DUMMYFUNCTION("""COMPUTED_VALUE"""),387.0)</f>
        <v>387</v>
      </c>
      <c r="G1410" s="20">
        <f>IFERROR(__xludf.DUMMYFUNCTION("""COMPUTED_VALUE"""),569.0)</f>
        <v>569</v>
      </c>
      <c r="H1410" s="20" t="str">
        <f>IFERROR(__xludf.DUMMYFUNCTION("""COMPUTED_VALUE"""),"Algorithms")</f>
        <v>Algorithms</v>
      </c>
      <c r="I1410" s="20">
        <f>IFERROR(__xludf.DUMMYFUNCTION("""COMPUTED_VALUE"""),0.833)</f>
        <v>0.833</v>
      </c>
      <c r="J1410" s="20">
        <f>IFERROR(__xludf.DUMMYFUNCTION("""COMPUTED_VALUE"""),1409.0)</f>
        <v>1409</v>
      </c>
      <c r="K1410" s="20" t="b">
        <f>IFERROR(__xludf.DUMMYFUNCTION("""COMPUTED_VALUE"""),FALSE)</f>
        <v>0</v>
      </c>
      <c r="L1410" s="20" t="str">
        <f>IFERROR(__xludf.DUMMYFUNCTION("""COMPUTED_VALUE"""),"Array;Binary Indexed Tree;Simulation;")</f>
        <v>Array;Binary Indexed Tree;Simulation;</v>
      </c>
      <c r="M1410" s="20" t="b">
        <f>IFERROR(__xludf.DUMMYFUNCTION("""COMPUTED_VALUE"""),FALSE)</f>
        <v>0</v>
      </c>
      <c r="N1410" s="20" t="b">
        <f>IFERROR(__xludf.DUMMYFUNCTION("""COMPUTED_VALUE"""),FALSE)</f>
        <v>0</v>
      </c>
      <c r="O1410" s="20">
        <f>IFERROR(__xludf.DUMMYFUNCTION("""COMPUTED_VALUE"""),83.3497200874852)</f>
        <v>83.34972009</v>
      </c>
      <c r="P1410" s="20">
        <f>IFERROR(__xludf.DUMMYFUNCTION("""COMPUTED_VALUE"""),41539.0)</f>
        <v>41539</v>
      </c>
      <c r="Q1410" s="20">
        <f>IFERROR(__xludf.DUMMYFUNCTION("""COMPUTED_VALUE"""),49837.0)</f>
        <v>49837</v>
      </c>
    </row>
    <row r="1411">
      <c r="A1411" s="20">
        <f>IFERROR(__xludf.DUMMYFUNCTION("""COMPUTED_VALUE"""),1526.0)</f>
        <v>1526</v>
      </c>
      <c r="B1411" s="20" t="str">
        <f>IFERROR(__xludf.DUMMYFUNCTION("""COMPUTED_VALUE"""),"HTML Entity Parser")</f>
        <v>HTML Entity Parser</v>
      </c>
      <c r="C1411" s="20" t="str">
        <f>IFERROR(__xludf.DUMMYFUNCTION("""COMPUTED_VALUE"""),"html-entity-parser")</f>
        <v>html-entity-parser</v>
      </c>
      <c r="D1411" s="20" t="b">
        <f>IFERROR(__xludf.DUMMYFUNCTION("""COMPUTED_VALUE"""),FALSE)</f>
        <v>0</v>
      </c>
      <c r="E1411" s="20" t="str">
        <f>IFERROR(__xludf.DUMMYFUNCTION("""COMPUTED_VALUE"""),"Medium")</f>
        <v>Medium</v>
      </c>
      <c r="F1411" s="20">
        <f>IFERROR(__xludf.DUMMYFUNCTION("""COMPUTED_VALUE"""),152.0)</f>
        <v>152</v>
      </c>
      <c r="G1411" s="20">
        <f>IFERROR(__xludf.DUMMYFUNCTION("""COMPUTED_VALUE"""),285.0)</f>
        <v>285</v>
      </c>
      <c r="H1411" s="20" t="str">
        <f>IFERROR(__xludf.DUMMYFUNCTION("""COMPUTED_VALUE"""),"Algorithms")</f>
        <v>Algorithms</v>
      </c>
      <c r="I1411" s="20">
        <f>IFERROR(__xludf.DUMMYFUNCTION("""COMPUTED_VALUE"""),0.519)</f>
        <v>0.519</v>
      </c>
      <c r="J1411" s="20">
        <f>IFERROR(__xludf.DUMMYFUNCTION("""COMPUTED_VALUE"""),1410.0)</f>
        <v>1410</v>
      </c>
      <c r="K1411" s="20" t="b">
        <f>IFERROR(__xludf.DUMMYFUNCTION("""COMPUTED_VALUE"""),FALSE)</f>
        <v>0</v>
      </c>
      <c r="L1411" s="20" t="str">
        <f>IFERROR(__xludf.DUMMYFUNCTION("""COMPUTED_VALUE"""),"Hash Table;String;")</f>
        <v>Hash Table;String;</v>
      </c>
      <c r="M1411" s="20" t="b">
        <f>IFERROR(__xludf.DUMMYFUNCTION("""COMPUTED_VALUE"""),FALSE)</f>
        <v>0</v>
      </c>
      <c r="N1411" s="20" t="b">
        <f>IFERROR(__xludf.DUMMYFUNCTION("""COMPUTED_VALUE"""),FALSE)</f>
        <v>0</v>
      </c>
      <c r="O1411" s="20">
        <f>IFERROR(__xludf.DUMMYFUNCTION("""COMPUTED_VALUE"""),51.8521322230633)</f>
        <v>51.85213222</v>
      </c>
      <c r="P1411" s="20">
        <f>IFERROR(__xludf.DUMMYFUNCTION("""COMPUTED_VALUE"""),20549.0)</f>
        <v>20549</v>
      </c>
      <c r="Q1411" s="20">
        <f>IFERROR(__xludf.DUMMYFUNCTION("""COMPUTED_VALUE"""),39630.0)</f>
        <v>39630</v>
      </c>
    </row>
    <row r="1412">
      <c r="A1412" s="20">
        <f>IFERROR(__xludf.DUMMYFUNCTION("""COMPUTED_VALUE"""),1527.0)</f>
        <v>1527</v>
      </c>
      <c r="B1412" s="20" t="str">
        <f>IFERROR(__xludf.DUMMYFUNCTION("""COMPUTED_VALUE"""),"Number of Ways to Paint N × 3 Grid")</f>
        <v>Number of Ways to Paint N × 3 Grid</v>
      </c>
      <c r="C1412" s="20" t="str">
        <f>IFERROR(__xludf.DUMMYFUNCTION("""COMPUTED_VALUE"""),"number-of-ways-to-paint-n-3-grid")</f>
        <v>number-of-ways-to-paint-n-3-grid</v>
      </c>
      <c r="D1412" s="20" t="b">
        <f>IFERROR(__xludf.DUMMYFUNCTION("""COMPUTED_VALUE"""),FALSE)</f>
        <v>0</v>
      </c>
      <c r="E1412" s="20" t="str">
        <f>IFERROR(__xludf.DUMMYFUNCTION("""COMPUTED_VALUE"""),"Hard")</f>
        <v>Hard</v>
      </c>
      <c r="F1412" s="20">
        <f>IFERROR(__xludf.DUMMYFUNCTION("""COMPUTED_VALUE"""),911.0)</f>
        <v>911</v>
      </c>
      <c r="G1412" s="20">
        <f>IFERROR(__xludf.DUMMYFUNCTION("""COMPUTED_VALUE"""),45.0)</f>
        <v>45</v>
      </c>
      <c r="H1412" s="20" t="str">
        <f>IFERROR(__xludf.DUMMYFUNCTION("""COMPUTED_VALUE"""),"Algorithms")</f>
        <v>Algorithms</v>
      </c>
      <c r="I1412" s="20">
        <f>IFERROR(__xludf.DUMMYFUNCTION("""COMPUTED_VALUE"""),0.623)</f>
        <v>0.623</v>
      </c>
      <c r="J1412" s="20">
        <f>IFERROR(__xludf.DUMMYFUNCTION("""COMPUTED_VALUE"""),1411.0)</f>
        <v>1411</v>
      </c>
      <c r="K1412" s="20" t="b">
        <f>IFERROR(__xludf.DUMMYFUNCTION("""COMPUTED_VALUE"""),FALSE)</f>
        <v>0</v>
      </c>
      <c r="L1412" s="20" t="str">
        <f>IFERROR(__xludf.DUMMYFUNCTION("""COMPUTED_VALUE"""),"Dynamic Programming;")</f>
        <v>Dynamic Programming;</v>
      </c>
      <c r="M1412" s="20" t="b">
        <f>IFERROR(__xludf.DUMMYFUNCTION("""COMPUTED_VALUE"""),FALSE)</f>
        <v>0</v>
      </c>
      <c r="N1412" s="20" t="b">
        <f>IFERROR(__xludf.DUMMYFUNCTION("""COMPUTED_VALUE"""),FALSE)</f>
        <v>0</v>
      </c>
      <c r="O1412" s="20">
        <f>IFERROR(__xludf.DUMMYFUNCTION("""COMPUTED_VALUE"""),62.3459137788317)</f>
        <v>62.34591378</v>
      </c>
      <c r="P1412" s="20">
        <f>IFERROR(__xludf.DUMMYFUNCTION("""COMPUTED_VALUE"""),27868.0)</f>
        <v>27868</v>
      </c>
      <c r="Q1412" s="20">
        <f>IFERROR(__xludf.DUMMYFUNCTION("""COMPUTED_VALUE"""),44699.0)</f>
        <v>44699</v>
      </c>
    </row>
    <row r="1413">
      <c r="A1413" s="20">
        <f>IFERROR(__xludf.DUMMYFUNCTION("""COMPUTED_VALUE"""),1546.0)</f>
        <v>1546</v>
      </c>
      <c r="B1413" s="20" t="str">
        <f>IFERROR(__xludf.DUMMYFUNCTION("""COMPUTED_VALUE"""),"Find the Quiet Students in All Exams")</f>
        <v>Find the Quiet Students in All Exams</v>
      </c>
      <c r="C1413" s="20" t="str">
        <f>IFERROR(__xludf.DUMMYFUNCTION("""COMPUTED_VALUE"""),"find-the-quiet-students-in-all-exams")</f>
        <v>find-the-quiet-students-in-all-exams</v>
      </c>
      <c r="D1413" s="20" t="b">
        <f>IFERROR(__xludf.DUMMYFUNCTION("""COMPUTED_VALUE"""),TRUE)</f>
        <v>1</v>
      </c>
      <c r="E1413" s="20" t="str">
        <f>IFERROR(__xludf.DUMMYFUNCTION("""COMPUTED_VALUE"""),"Hard")</f>
        <v>Hard</v>
      </c>
      <c r="F1413" s="20">
        <f>IFERROR(__xludf.DUMMYFUNCTION("""COMPUTED_VALUE"""),175.0)</f>
        <v>175</v>
      </c>
      <c r="G1413" s="20">
        <f>IFERROR(__xludf.DUMMYFUNCTION("""COMPUTED_VALUE"""),13.0)</f>
        <v>13</v>
      </c>
      <c r="H1413" s="20" t="str">
        <f>IFERROR(__xludf.DUMMYFUNCTION("""COMPUTED_VALUE"""),"Database")</f>
        <v>Database</v>
      </c>
      <c r="I1413" s="20">
        <f>IFERROR(__xludf.DUMMYFUNCTION("""COMPUTED_VALUE"""),0.63)</f>
        <v>0.63</v>
      </c>
      <c r="J1413" s="20">
        <f>IFERROR(__xludf.DUMMYFUNCTION("""COMPUTED_VALUE"""),1412.0)</f>
        <v>1412</v>
      </c>
      <c r="K1413" s="20" t="b">
        <f>IFERROR(__xludf.DUMMYFUNCTION("""COMPUTED_VALUE"""),TRUE)</f>
        <v>1</v>
      </c>
      <c r="L1413" s="20" t="str">
        <f>IFERROR(__xludf.DUMMYFUNCTION("""COMPUTED_VALUE"""),"Database;")</f>
        <v>Database;</v>
      </c>
      <c r="M1413" s="20" t="b">
        <f>IFERROR(__xludf.DUMMYFUNCTION("""COMPUTED_VALUE"""),FALSE)</f>
        <v>0</v>
      </c>
      <c r="N1413" s="20" t="b">
        <f>IFERROR(__xludf.DUMMYFUNCTION("""COMPUTED_VALUE"""),FALSE)</f>
        <v>0</v>
      </c>
      <c r="O1413" s="20">
        <f>IFERROR(__xludf.DUMMYFUNCTION("""COMPUTED_VALUE"""),62.9742471376799)</f>
        <v>62.97424714</v>
      </c>
      <c r="P1413" s="20">
        <f>IFERROR(__xludf.DUMMYFUNCTION("""COMPUTED_VALUE"""),19636.0)</f>
        <v>19636</v>
      </c>
      <c r="Q1413" s="20">
        <f>IFERROR(__xludf.DUMMYFUNCTION("""COMPUTED_VALUE"""),31181.0)</f>
        <v>31181</v>
      </c>
    </row>
    <row r="1414">
      <c r="A1414" s="20">
        <f>IFERROR(__xludf.DUMMYFUNCTION("""COMPUTED_VALUE"""),1514.0)</f>
        <v>1514</v>
      </c>
      <c r="B1414" s="20" t="str">
        <f>IFERROR(__xludf.DUMMYFUNCTION("""COMPUTED_VALUE"""),"Minimum Value to Get Positive Step by Step Sum")</f>
        <v>Minimum Value to Get Positive Step by Step Sum</v>
      </c>
      <c r="C1414" s="20" t="str">
        <f>IFERROR(__xludf.DUMMYFUNCTION("""COMPUTED_VALUE"""),"minimum-value-to-get-positive-step-by-step-sum")</f>
        <v>minimum-value-to-get-positive-step-by-step-sum</v>
      </c>
      <c r="D1414" s="20" t="b">
        <f>IFERROR(__xludf.DUMMYFUNCTION("""COMPUTED_VALUE"""),FALSE)</f>
        <v>0</v>
      </c>
      <c r="E1414" s="20" t="str">
        <f>IFERROR(__xludf.DUMMYFUNCTION("""COMPUTED_VALUE"""),"Easy")</f>
        <v>Easy</v>
      </c>
      <c r="F1414" s="20">
        <f>IFERROR(__xludf.DUMMYFUNCTION("""COMPUTED_VALUE"""),1241.0)</f>
        <v>1241</v>
      </c>
      <c r="G1414" s="20">
        <f>IFERROR(__xludf.DUMMYFUNCTION("""COMPUTED_VALUE"""),258.0)</f>
        <v>258</v>
      </c>
      <c r="H1414" s="20" t="str">
        <f>IFERROR(__xludf.DUMMYFUNCTION("""COMPUTED_VALUE"""),"Algorithms")</f>
        <v>Algorithms</v>
      </c>
      <c r="I1414" s="20">
        <f>IFERROR(__xludf.DUMMYFUNCTION("""COMPUTED_VALUE"""),0.678)</f>
        <v>0.678</v>
      </c>
      <c r="J1414" s="20">
        <f>IFERROR(__xludf.DUMMYFUNCTION("""COMPUTED_VALUE"""),1413.0)</f>
        <v>1413</v>
      </c>
      <c r="K1414" s="20" t="b">
        <f>IFERROR(__xludf.DUMMYFUNCTION("""COMPUTED_VALUE"""),FALSE)</f>
        <v>0</v>
      </c>
      <c r="L1414" s="20" t="str">
        <f>IFERROR(__xludf.DUMMYFUNCTION("""COMPUTED_VALUE"""),"Array;Prefix Sum;")</f>
        <v>Array;Prefix Sum;</v>
      </c>
      <c r="M1414" s="20" t="b">
        <f>IFERROR(__xludf.DUMMYFUNCTION("""COMPUTED_VALUE"""),TRUE)</f>
        <v>1</v>
      </c>
      <c r="N1414" s="20" t="b">
        <f>IFERROR(__xludf.DUMMYFUNCTION("""COMPUTED_VALUE"""),FALSE)</f>
        <v>0</v>
      </c>
      <c r="O1414" s="20">
        <f>IFERROR(__xludf.DUMMYFUNCTION("""COMPUTED_VALUE"""),67.8296788140827)</f>
        <v>67.82967881</v>
      </c>
      <c r="P1414" s="20">
        <f>IFERROR(__xludf.DUMMYFUNCTION("""COMPUTED_VALUE"""),87853.0)</f>
        <v>87853</v>
      </c>
      <c r="Q1414" s="20">
        <f>IFERROR(__xludf.DUMMYFUNCTION("""COMPUTED_VALUE"""),129520.0)</f>
        <v>129520</v>
      </c>
    </row>
    <row r="1415">
      <c r="A1415" s="20">
        <f>IFERROR(__xludf.DUMMYFUNCTION("""COMPUTED_VALUE"""),1515.0)</f>
        <v>1515</v>
      </c>
      <c r="B1415" s="20" t="str">
        <f>IFERROR(__xludf.DUMMYFUNCTION("""COMPUTED_VALUE"""),"Find the Minimum Number of Fibonacci Numbers Whose Sum Is K")</f>
        <v>Find the Minimum Number of Fibonacci Numbers Whose Sum Is K</v>
      </c>
      <c r="C1415" s="20" t="str">
        <f>IFERROR(__xludf.DUMMYFUNCTION("""COMPUTED_VALUE"""),"find-the-minimum-number-of-fibonacci-numbers-whose-sum-is-k")</f>
        <v>find-the-minimum-number-of-fibonacci-numbers-whose-sum-is-k</v>
      </c>
      <c r="D1415" s="20" t="b">
        <f>IFERROR(__xludf.DUMMYFUNCTION("""COMPUTED_VALUE"""),FALSE)</f>
        <v>0</v>
      </c>
      <c r="E1415" s="20" t="str">
        <f>IFERROR(__xludf.DUMMYFUNCTION("""COMPUTED_VALUE"""),"Medium")</f>
        <v>Medium</v>
      </c>
      <c r="F1415" s="20">
        <f>IFERROR(__xludf.DUMMYFUNCTION("""COMPUTED_VALUE"""),835.0)</f>
        <v>835</v>
      </c>
      <c r="G1415" s="20">
        <f>IFERROR(__xludf.DUMMYFUNCTION("""COMPUTED_VALUE"""),58.0)</f>
        <v>58</v>
      </c>
      <c r="H1415" s="20" t="str">
        <f>IFERROR(__xludf.DUMMYFUNCTION("""COMPUTED_VALUE"""),"Algorithms")</f>
        <v>Algorithms</v>
      </c>
      <c r="I1415" s="20">
        <f>IFERROR(__xludf.DUMMYFUNCTION("""COMPUTED_VALUE"""),0.655)</f>
        <v>0.655</v>
      </c>
      <c r="J1415" s="20">
        <f>IFERROR(__xludf.DUMMYFUNCTION("""COMPUTED_VALUE"""),1414.0)</f>
        <v>1414</v>
      </c>
      <c r="K1415" s="20" t="b">
        <f>IFERROR(__xludf.DUMMYFUNCTION("""COMPUTED_VALUE"""),FALSE)</f>
        <v>0</v>
      </c>
      <c r="L1415" s="20" t="str">
        <f>IFERROR(__xludf.DUMMYFUNCTION("""COMPUTED_VALUE"""),"Math;Greedy;")</f>
        <v>Math;Greedy;</v>
      </c>
      <c r="M1415" s="20" t="b">
        <f>IFERROR(__xludf.DUMMYFUNCTION("""COMPUTED_VALUE"""),FALSE)</f>
        <v>0</v>
      </c>
      <c r="N1415" s="20" t="b">
        <f>IFERROR(__xludf.DUMMYFUNCTION("""COMPUTED_VALUE"""),FALSE)</f>
        <v>0</v>
      </c>
      <c r="O1415" s="20">
        <f>IFERROR(__xludf.DUMMYFUNCTION("""COMPUTED_VALUE"""),65.4969781496978)</f>
        <v>65.49697815</v>
      </c>
      <c r="P1415" s="20">
        <f>IFERROR(__xludf.DUMMYFUNCTION("""COMPUTED_VALUE"""),35221.0)</f>
        <v>35221</v>
      </c>
      <c r="Q1415" s="20">
        <f>IFERROR(__xludf.DUMMYFUNCTION("""COMPUTED_VALUE"""),53775.0)</f>
        <v>53775</v>
      </c>
    </row>
    <row r="1416">
      <c r="A1416" s="20">
        <f>IFERROR(__xludf.DUMMYFUNCTION("""COMPUTED_VALUE"""),1516.0)</f>
        <v>1516</v>
      </c>
      <c r="B1416" s="20" t="str">
        <f>IFERROR(__xludf.DUMMYFUNCTION("""COMPUTED_VALUE"""),"The k-th Lexicographical String of All Happy Strings of Length n")</f>
        <v>The k-th Lexicographical String of All Happy Strings of Length n</v>
      </c>
      <c r="C1416" s="20" t="str">
        <f>IFERROR(__xludf.DUMMYFUNCTION("""COMPUTED_VALUE"""),"the-k-th-lexicographical-string-of-all-happy-strings-of-length-n")</f>
        <v>the-k-th-lexicographical-string-of-all-happy-strings-of-length-n</v>
      </c>
      <c r="D1416" s="20" t="b">
        <f>IFERROR(__xludf.DUMMYFUNCTION("""COMPUTED_VALUE"""),FALSE)</f>
        <v>0</v>
      </c>
      <c r="E1416" s="20" t="str">
        <f>IFERROR(__xludf.DUMMYFUNCTION("""COMPUTED_VALUE"""),"Medium")</f>
        <v>Medium</v>
      </c>
      <c r="F1416" s="20">
        <f>IFERROR(__xludf.DUMMYFUNCTION("""COMPUTED_VALUE"""),789.0)</f>
        <v>789</v>
      </c>
      <c r="G1416" s="20">
        <f>IFERROR(__xludf.DUMMYFUNCTION("""COMPUTED_VALUE"""),19.0)</f>
        <v>19</v>
      </c>
      <c r="H1416" s="20" t="str">
        <f>IFERROR(__xludf.DUMMYFUNCTION("""COMPUTED_VALUE"""),"Algorithms")</f>
        <v>Algorithms</v>
      </c>
      <c r="I1416" s="20">
        <f>IFERROR(__xludf.DUMMYFUNCTION("""COMPUTED_VALUE"""),0.721)</f>
        <v>0.721</v>
      </c>
      <c r="J1416" s="20">
        <f>IFERROR(__xludf.DUMMYFUNCTION("""COMPUTED_VALUE"""),1415.0)</f>
        <v>1415</v>
      </c>
      <c r="K1416" s="20" t="b">
        <f>IFERROR(__xludf.DUMMYFUNCTION("""COMPUTED_VALUE"""),FALSE)</f>
        <v>0</v>
      </c>
      <c r="L1416" s="20" t="str">
        <f>IFERROR(__xludf.DUMMYFUNCTION("""COMPUTED_VALUE"""),"String;Backtracking;")</f>
        <v>String;Backtracking;</v>
      </c>
      <c r="M1416" s="20" t="b">
        <f>IFERROR(__xludf.DUMMYFUNCTION("""COMPUTED_VALUE"""),FALSE)</f>
        <v>0</v>
      </c>
      <c r="N1416" s="20" t="b">
        <f>IFERROR(__xludf.DUMMYFUNCTION("""COMPUTED_VALUE"""),FALSE)</f>
        <v>0</v>
      </c>
      <c r="O1416" s="20">
        <f>IFERROR(__xludf.DUMMYFUNCTION("""COMPUTED_VALUE"""),72.1152454032141)</f>
        <v>72.1152454</v>
      </c>
      <c r="P1416" s="20">
        <f>IFERROR(__xludf.DUMMYFUNCTION("""COMPUTED_VALUE"""),29886.0)</f>
        <v>29886</v>
      </c>
      <c r="Q1416" s="20">
        <f>IFERROR(__xludf.DUMMYFUNCTION("""COMPUTED_VALUE"""),41442.0)</f>
        <v>41442</v>
      </c>
    </row>
    <row r="1417">
      <c r="A1417" s="20">
        <f>IFERROR(__xludf.DUMMYFUNCTION("""COMPUTED_VALUE"""),1517.0)</f>
        <v>1517</v>
      </c>
      <c r="B1417" s="20" t="str">
        <f>IFERROR(__xludf.DUMMYFUNCTION("""COMPUTED_VALUE"""),"Restore The Array")</f>
        <v>Restore The Array</v>
      </c>
      <c r="C1417" s="20" t="str">
        <f>IFERROR(__xludf.DUMMYFUNCTION("""COMPUTED_VALUE"""),"restore-the-array")</f>
        <v>restore-the-array</v>
      </c>
      <c r="D1417" s="20" t="b">
        <f>IFERROR(__xludf.DUMMYFUNCTION("""COMPUTED_VALUE"""),FALSE)</f>
        <v>0</v>
      </c>
      <c r="E1417" s="20" t="str">
        <f>IFERROR(__xludf.DUMMYFUNCTION("""COMPUTED_VALUE"""),"Hard")</f>
        <v>Hard</v>
      </c>
      <c r="F1417" s="20">
        <f>IFERROR(__xludf.DUMMYFUNCTION("""COMPUTED_VALUE"""),453.0)</f>
        <v>453</v>
      </c>
      <c r="G1417" s="20">
        <f>IFERROR(__xludf.DUMMYFUNCTION("""COMPUTED_VALUE"""),15.0)</f>
        <v>15</v>
      </c>
      <c r="H1417" s="20" t="str">
        <f>IFERROR(__xludf.DUMMYFUNCTION("""COMPUTED_VALUE"""),"Algorithms")</f>
        <v>Algorithms</v>
      </c>
      <c r="I1417" s="20">
        <f>IFERROR(__xludf.DUMMYFUNCTION("""COMPUTED_VALUE"""),0.388)</f>
        <v>0.388</v>
      </c>
      <c r="J1417" s="20">
        <f>IFERROR(__xludf.DUMMYFUNCTION("""COMPUTED_VALUE"""),1416.0)</f>
        <v>1416</v>
      </c>
      <c r="K1417" s="20" t="b">
        <f>IFERROR(__xludf.DUMMYFUNCTION("""COMPUTED_VALUE"""),FALSE)</f>
        <v>0</v>
      </c>
      <c r="L1417" s="20" t="str">
        <f>IFERROR(__xludf.DUMMYFUNCTION("""COMPUTED_VALUE"""),"String;Dynamic Programming;")</f>
        <v>String;Dynamic Programming;</v>
      </c>
      <c r="M1417" s="20" t="b">
        <f>IFERROR(__xludf.DUMMYFUNCTION("""COMPUTED_VALUE"""),FALSE)</f>
        <v>0</v>
      </c>
      <c r="N1417" s="20" t="b">
        <f>IFERROR(__xludf.DUMMYFUNCTION("""COMPUTED_VALUE"""),FALSE)</f>
        <v>0</v>
      </c>
      <c r="O1417" s="20">
        <f>IFERROR(__xludf.DUMMYFUNCTION("""COMPUTED_VALUE"""),38.7714933982121)</f>
        <v>38.7714934</v>
      </c>
      <c r="P1417" s="20">
        <f>IFERROR(__xludf.DUMMYFUNCTION("""COMPUTED_VALUE"""),14183.0)</f>
        <v>14183</v>
      </c>
      <c r="Q1417" s="20">
        <f>IFERROR(__xludf.DUMMYFUNCTION("""COMPUTED_VALUE"""),36581.0)</f>
        <v>36581</v>
      </c>
    </row>
    <row r="1418">
      <c r="A1418" s="20">
        <f>IFERROR(__xludf.DUMMYFUNCTION("""COMPUTED_VALUE"""),1532.0)</f>
        <v>1532</v>
      </c>
      <c r="B1418" s="20" t="str">
        <f>IFERROR(__xludf.DUMMYFUNCTION("""COMPUTED_VALUE"""),"Reformat The String")</f>
        <v>Reformat The String</v>
      </c>
      <c r="C1418" s="20" t="str">
        <f>IFERROR(__xludf.DUMMYFUNCTION("""COMPUTED_VALUE"""),"reformat-the-string")</f>
        <v>reformat-the-string</v>
      </c>
      <c r="D1418" s="20" t="b">
        <f>IFERROR(__xludf.DUMMYFUNCTION("""COMPUTED_VALUE"""),FALSE)</f>
        <v>0</v>
      </c>
      <c r="E1418" s="20" t="str">
        <f>IFERROR(__xludf.DUMMYFUNCTION("""COMPUTED_VALUE"""),"Easy")</f>
        <v>Easy</v>
      </c>
      <c r="F1418" s="20">
        <f>IFERROR(__xludf.DUMMYFUNCTION("""COMPUTED_VALUE"""),467.0)</f>
        <v>467</v>
      </c>
      <c r="G1418" s="20">
        <f>IFERROR(__xludf.DUMMYFUNCTION("""COMPUTED_VALUE"""),86.0)</f>
        <v>86</v>
      </c>
      <c r="H1418" s="20" t="str">
        <f>IFERROR(__xludf.DUMMYFUNCTION("""COMPUTED_VALUE"""),"Algorithms")</f>
        <v>Algorithms</v>
      </c>
      <c r="I1418" s="20">
        <f>IFERROR(__xludf.DUMMYFUNCTION("""COMPUTED_VALUE"""),0.555)</f>
        <v>0.555</v>
      </c>
      <c r="J1418" s="20">
        <f>IFERROR(__xludf.DUMMYFUNCTION("""COMPUTED_VALUE"""),1417.0)</f>
        <v>1417</v>
      </c>
      <c r="K1418" s="20" t="b">
        <f>IFERROR(__xludf.DUMMYFUNCTION("""COMPUTED_VALUE"""),FALSE)</f>
        <v>0</v>
      </c>
      <c r="L1418" s="20" t="str">
        <f>IFERROR(__xludf.DUMMYFUNCTION("""COMPUTED_VALUE"""),"String;")</f>
        <v>String;</v>
      </c>
      <c r="M1418" s="20" t="b">
        <f>IFERROR(__xludf.DUMMYFUNCTION("""COMPUTED_VALUE"""),FALSE)</f>
        <v>0</v>
      </c>
      <c r="N1418" s="20" t="b">
        <f>IFERROR(__xludf.DUMMYFUNCTION("""COMPUTED_VALUE"""),FALSE)</f>
        <v>0</v>
      </c>
      <c r="O1418" s="20">
        <f>IFERROR(__xludf.DUMMYFUNCTION("""COMPUTED_VALUE"""),55.5149795310755)</f>
        <v>55.51497953</v>
      </c>
      <c r="P1418" s="20">
        <f>IFERROR(__xludf.DUMMYFUNCTION("""COMPUTED_VALUE"""),47734.0)</f>
        <v>47734</v>
      </c>
      <c r="Q1418" s="20">
        <f>IFERROR(__xludf.DUMMYFUNCTION("""COMPUTED_VALUE"""),85984.0)</f>
        <v>85984</v>
      </c>
    </row>
    <row r="1419">
      <c r="A1419" s="20">
        <f>IFERROR(__xludf.DUMMYFUNCTION("""COMPUTED_VALUE"""),1533.0)</f>
        <v>1533</v>
      </c>
      <c r="B1419" s="20" t="str">
        <f>IFERROR(__xludf.DUMMYFUNCTION("""COMPUTED_VALUE"""),"Display Table of Food Orders in a Restaurant")</f>
        <v>Display Table of Food Orders in a Restaurant</v>
      </c>
      <c r="C1419" s="20" t="str">
        <f>IFERROR(__xludf.DUMMYFUNCTION("""COMPUTED_VALUE"""),"display-table-of-food-orders-in-a-restaurant")</f>
        <v>display-table-of-food-orders-in-a-restaurant</v>
      </c>
      <c r="D1419" s="20" t="b">
        <f>IFERROR(__xludf.DUMMYFUNCTION("""COMPUTED_VALUE"""),FALSE)</f>
        <v>0</v>
      </c>
      <c r="E1419" s="20" t="str">
        <f>IFERROR(__xludf.DUMMYFUNCTION("""COMPUTED_VALUE"""),"Medium")</f>
        <v>Medium</v>
      </c>
      <c r="F1419" s="20">
        <f>IFERROR(__xludf.DUMMYFUNCTION("""COMPUTED_VALUE"""),271.0)</f>
        <v>271</v>
      </c>
      <c r="G1419" s="20">
        <f>IFERROR(__xludf.DUMMYFUNCTION("""COMPUTED_VALUE"""),402.0)</f>
        <v>402</v>
      </c>
      <c r="H1419" s="20" t="str">
        <f>IFERROR(__xludf.DUMMYFUNCTION("""COMPUTED_VALUE"""),"Algorithms")</f>
        <v>Algorithms</v>
      </c>
      <c r="I1419" s="20">
        <f>IFERROR(__xludf.DUMMYFUNCTION("""COMPUTED_VALUE"""),0.738)</f>
        <v>0.738</v>
      </c>
      <c r="J1419" s="20">
        <f>IFERROR(__xludf.DUMMYFUNCTION("""COMPUTED_VALUE"""),1418.0)</f>
        <v>1418</v>
      </c>
      <c r="K1419" s="20" t="b">
        <f>IFERROR(__xludf.DUMMYFUNCTION("""COMPUTED_VALUE"""),FALSE)</f>
        <v>0</v>
      </c>
      <c r="L1419" s="20" t="str">
        <f>IFERROR(__xludf.DUMMYFUNCTION("""COMPUTED_VALUE"""),"Array;Hash Table;String;Sorting;Ordered Set;")</f>
        <v>Array;Hash Table;String;Sorting;Ordered Set;</v>
      </c>
      <c r="M1419" s="20" t="b">
        <f>IFERROR(__xludf.DUMMYFUNCTION("""COMPUTED_VALUE"""),FALSE)</f>
        <v>0</v>
      </c>
      <c r="N1419" s="20" t="b">
        <f>IFERROR(__xludf.DUMMYFUNCTION("""COMPUTED_VALUE"""),FALSE)</f>
        <v>0</v>
      </c>
      <c r="O1419" s="20">
        <f>IFERROR(__xludf.DUMMYFUNCTION("""COMPUTED_VALUE"""),73.7882653061224)</f>
        <v>73.78826531</v>
      </c>
      <c r="P1419" s="20">
        <f>IFERROR(__xludf.DUMMYFUNCTION("""COMPUTED_VALUE"""),21983.0)</f>
        <v>21983</v>
      </c>
      <c r="Q1419" s="20">
        <f>IFERROR(__xludf.DUMMYFUNCTION("""COMPUTED_VALUE"""),29792.0)</f>
        <v>29792</v>
      </c>
    </row>
    <row r="1420">
      <c r="A1420" s="20">
        <f>IFERROR(__xludf.DUMMYFUNCTION("""COMPUTED_VALUE"""),1534.0)</f>
        <v>1534</v>
      </c>
      <c r="B1420" s="20" t="str">
        <f>IFERROR(__xludf.DUMMYFUNCTION("""COMPUTED_VALUE"""),"Minimum Number of Frogs Croaking")</f>
        <v>Minimum Number of Frogs Croaking</v>
      </c>
      <c r="C1420" s="20" t="str">
        <f>IFERROR(__xludf.DUMMYFUNCTION("""COMPUTED_VALUE"""),"minimum-number-of-frogs-croaking")</f>
        <v>minimum-number-of-frogs-croaking</v>
      </c>
      <c r="D1420" s="20" t="b">
        <f>IFERROR(__xludf.DUMMYFUNCTION("""COMPUTED_VALUE"""),FALSE)</f>
        <v>0</v>
      </c>
      <c r="E1420" s="20" t="str">
        <f>IFERROR(__xludf.DUMMYFUNCTION("""COMPUTED_VALUE"""),"Medium")</f>
        <v>Medium</v>
      </c>
      <c r="F1420" s="20">
        <f>IFERROR(__xludf.DUMMYFUNCTION("""COMPUTED_VALUE"""),796.0)</f>
        <v>796</v>
      </c>
      <c r="G1420" s="20">
        <f>IFERROR(__xludf.DUMMYFUNCTION("""COMPUTED_VALUE"""),58.0)</f>
        <v>58</v>
      </c>
      <c r="H1420" s="20" t="str">
        <f>IFERROR(__xludf.DUMMYFUNCTION("""COMPUTED_VALUE"""),"Algorithms")</f>
        <v>Algorithms</v>
      </c>
      <c r="I1420" s="20">
        <f>IFERROR(__xludf.DUMMYFUNCTION("""COMPUTED_VALUE"""),0.501)</f>
        <v>0.501</v>
      </c>
      <c r="J1420" s="20">
        <f>IFERROR(__xludf.DUMMYFUNCTION("""COMPUTED_VALUE"""),1419.0)</f>
        <v>1419</v>
      </c>
      <c r="K1420" s="20" t="b">
        <f>IFERROR(__xludf.DUMMYFUNCTION("""COMPUTED_VALUE"""),FALSE)</f>
        <v>0</v>
      </c>
      <c r="L1420" s="20" t="str">
        <f>IFERROR(__xludf.DUMMYFUNCTION("""COMPUTED_VALUE"""),"String;Counting;")</f>
        <v>String;Counting;</v>
      </c>
      <c r="M1420" s="20" t="b">
        <f>IFERROR(__xludf.DUMMYFUNCTION("""COMPUTED_VALUE"""),FALSE)</f>
        <v>0</v>
      </c>
      <c r="N1420" s="20" t="b">
        <f>IFERROR(__xludf.DUMMYFUNCTION("""COMPUTED_VALUE"""),FALSE)</f>
        <v>0</v>
      </c>
      <c r="O1420" s="20">
        <f>IFERROR(__xludf.DUMMYFUNCTION("""COMPUTED_VALUE"""),50.1411692496547)</f>
        <v>50.14116925</v>
      </c>
      <c r="P1420" s="20">
        <f>IFERROR(__xludf.DUMMYFUNCTION("""COMPUTED_VALUE"""),32677.0)</f>
        <v>32677</v>
      </c>
      <c r="Q1420" s="20">
        <f>IFERROR(__xludf.DUMMYFUNCTION("""COMPUTED_VALUE"""),65170.0)</f>
        <v>65170</v>
      </c>
    </row>
    <row r="1421">
      <c r="A1421" s="20">
        <f>IFERROR(__xludf.DUMMYFUNCTION("""COMPUTED_VALUE"""),1535.0)</f>
        <v>1535</v>
      </c>
      <c r="B1421" s="20" t="str">
        <f>IFERROR(__xludf.DUMMYFUNCTION("""COMPUTED_VALUE"""),"Build Array Where You Can Find The Maximum Exactly K Comparisons")</f>
        <v>Build Array Where You Can Find The Maximum Exactly K Comparisons</v>
      </c>
      <c r="C1421" s="20" t="str">
        <f>IFERROR(__xludf.DUMMYFUNCTION("""COMPUTED_VALUE"""),"build-array-where-you-can-find-the-maximum-exactly-k-comparisons")</f>
        <v>build-array-where-you-can-find-the-maximum-exactly-k-comparisons</v>
      </c>
      <c r="D1421" s="20" t="b">
        <f>IFERROR(__xludf.DUMMYFUNCTION("""COMPUTED_VALUE"""),FALSE)</f>
        <v>0</v>
      </c>
      <c r="E1421" s="20" t="str">
        <f>IFERROR(__xludf.DUMMYFUNCTION("""COMPUTED_VALUE"""),"Hard")</f>
        <v>Hard</v>
      </c>
      <c r="F1421" s="20">
        <f>IFERROR(__xludf.DUMMYFUNCTION("""COMPUTED_VALUE"""),463.0)</f>
        <v>463</v>
      </c>
      <c r="G1421" s="20">
        <f>IFERROR(__xludf.DUMMYFUNCTION("""COMPUTED_VALUE"""),11.0)</f>
        <v>11</v>
      </c>
      <c r="H1421" s="20" t="str">
        <f>IFERROR(__xludf.DUMMYFUNCTION("""COMPUTED_VALUE"""),"Algorithms")</f>
        <v>Algorithms</v>
      </c>
      <c r="I1421" s="20">
        <f>IFERROR(__xludf.DUMMYFUNCTION("""COMPUTED_VALUE"""),0.635)</f>
        <v>0.635</v>
      </c>
      <c r="J1421" s="20">
        <f>IFERROR(__xludf.DUMMYFUNCTION("""COMPUTED_VALUE"""),1420.0)</f>
        <v>1420</v>
      </c>
      <c r="K1421" s="20" t="b">
        <f>IFERROR(__xludf.DUMMYFUNCTION("""COMPUTED_VALUE"""),FALSE)</f>
        <v>0</v>
      </c>
      <c r="L1421" s="20" t="str">
        <f>IFERROR(__xludf.DUMMYFUNCTION("""COMPUTED_VALUE"""),"Dynamic Programming;")</f>
        <v>Dynamic Programming;</v>
      </c>
      <c r="M1421" s="20" t="b">
        <f>IFERROR(__xludf.DUMMYFUNCTION("""COMPUTED_VALUE"""),FALSE)</f>
        <v>0</v>
      </c>
      <c r="N1421" s="20" t="b">
        <f>IFERROR(__xludf.DUMMYFUNCTION("""COMPUTED_VALUE"""),FALSE)</f>
        <v>0</v>
      </c>
      <c r="O1421" s="20">
        <f>IFERROR(__xludf.DUMMYFUNCTION("""COMPUTED_VALUE"""),63.4574190933827)</f>
        <v>63.45741909</v>
      </c>
      <c r="P1421" s="20">
        <f>IFERROR(__xludf.DUMMYFUNCTION("""COMPUTED_VALUE"""),10961.0)</f>
        <v>10961</v>
      </c>
      <c r="Q1421" s="20">
        <f>IFERROR(__xludf.DUMMYFUNCTION("""COMPUTED_VALUE"""),17273.0)</f>
        <v>17273</v>
      </c>
    </row>
    <row r="1422">
      <c r="A1422" s="20">
        <f>IFERROR(__xludf.DUMMYFUNCTION("""COMPUTED_VALUE"""),1551.0)</f>
        <v>1551</v>
      </c>
      <c r="B1422" s="20" t="str">
        <f>IFERROR(__xludf.DUMMYFUNCTION("""COMPUTED_VALUE"""),"NPV Queries")</f>
        <v>NPV Queries</v>
      </c>
      <c r="C1422" s="20" t="str">
        <f>IFERROR(__xludf.DUMMYFUNCTION("""COMPUTED_VALUE"""),"npv-queries")</f>
        <v>npv-queries</v>
      </c>
      <c r="D1422" s="20" t="b">
        <f>IFERROR(__xludf.DUMMYFUNCTION("""COMPUTED_VALUE"""),TRUE)</f>
        <v>1</v>
      </c>
      <c r="E1422" s="20" t="str">
        <f>IFERROR(__xludf.DUMMYFUNCTION("""COMPUTED_VALUE"""),"Easy")</f>
        <v>Easy</v>
      </c>
      <c r="F1422" s="20">
        <f>IFERROR(__xludf.DUMMYFUNCTION("""COMPUTED_VALUE"""),37.0)</f>
        <v>37</v>
      </c>
      <c r="G1422" s="20">
        <f>IFERROR(__xludf.DUMMYFUNCTION("""COMPUTED_VALUE"""),267.0)</f>
        <v>267</v>
      </c>
      <c r="H1422" s="20" t="str">
        <f>IFERROR(__xludf.DUMMYFUNCTION("""COMPUTED_VALUE"""),"Database")</f>
        <v>Database</v>
      </c>
      <c r="I1422" s="20">
        <f>IFERROR(__xludf.DUMMYFUNCTION("""COMPUTED_VALUE"""),0.841)</f>
        <v>0.841</v>
      </c>
      <c r="J1422" s="20">
        <f>IFERROR(__xludf.DUMMYFUNCTION("""COMPUTED_VALUE"""),1421.0)</f>
        <v>1421</v>
      </c>
      <c r="K1422" s="20" t="b">
        <f>IFERROR(__xludf.DUMMYFUNCTION("""COMPUTED_VALUE"""),TRUE)</f>
        <v>1</v>
      </c>
      <c r="L1422" s="20" t="str">
        <f>IFERROR(__xludf.DUMMYFUNCTION("""COMPUTED_VALUE"""),"Database;")</f>
        <v>Database;</v>
      </c>
      <c r="M1422" s="20" t="b">
        <f>IFERROR(__xludf.DUMMYFUNCTION("""COMPUTED_VALUE"""),FALSE)</f>
        <v>0</v>
      </c>
      <c r="N1422" s="20" t="b">
        <f>IFERROR(__xludf.DUMMYFUNCTION("""COMPUTED_VALUE"""),FALSE)</f>
        <v>0</v>
      </c>
      <c r="O1422" s="20">
        <f>IFERROR(__xludf.DUMMYFUNCTION("""COMPUTED_VALUE"""),84.1350144263072)</f>
        <v>84.13501443</v>
      </c>
      <c r="P1422" s="20">
        <f>IFERROR(__xludf.DUMMYFUNCTION("""COMPUTED_VALUE"""),21287.0)</f>
        <v>21287</v>
      </c>
      <c r="Q1422" s="20">
        <f>IFERROR(__xludf.DUMMYFUNCTION("""COMPUTED_VALUE"""),25301.0)</f>
        <v>25301</v>
      </c>
    </row>
    <row r="1423">
      <c r="A1423" s="20">
        <f>IFERROR(__xludf.DUMMYFUNCTION("""COMPUTED_VALUE"""),1537.0)</f>
        <v>1537</v>
      </c>
      <c r="B1423" s="20" t="str">
        <f>IFERROR(__xludf.DUMMYFUNCTION("""COMPUTED_VALUE"""),"Maximum Score After Splitting a String")</f>
        <v>Maximum Score After Splitting a String</v>
      </c>
      <c r="C1423" s="20" t="str">
        <f>IFERROR(__xludf.DUMMYFUNCTION("""COMPUTED_VALUE"""),"maximum-score-after-splitting-a-string")</f>
        <v>maximum-score-after-splitting-a-string</v>
      </c>
      <c r="D1423" s="20" t="b">
        <f>IFERROR(__xludf.DUMMYFUNCTION("""COMPUTED_VALUE"""),FALSE)</f>
        <v>0</v>
      </c>
      <c r="E1423" s="20" t="str">
        <f>IFERROR(__xludf.DUMMYFUNCTION("""COMPUTED_VALUE"""),"Easy")</f>
        <v>Easy</v>
      </c>
      <c r="F1423" s="20">
        <f>IFERROR(__xludf.DUMMYFUNCTION("""COMPUTED_VALUE"""),558.0)</f>
        <v>558</v>
      </c>
      <c r="G1423" s="20">
        <f>IFERROR(__xludf.DUMMYFUNCTION("""COMPUTED_VALUE"""),34.0)</f>
        <v>34</v>
      </c>
      <c r="H1423" s="20" t="str">
        <f>IFERROR(__xludf.DUMMYFUNCTION("""COMPUTED_VALUE"""),"Algorithms")</f>
        <v>Algorithms</v>
      </c>
      <c r="I1423" s="20">
        <f>IFERROR(__xludf.DUMMYFUNCTION("""COMPUTED_VALUE"""),0.579)</f>
        <v>0.579</v>
      </c>
      <c r="J1423" s="20">
        <f>IFERROR(__xludf.DUMMYFUNCTION("""COMPUTED_VALUE"""),1422.0)</f>
        <v>1422</v>
      </c>
      <c r="K1423" s="20" t="b">
        <f>IFERROR(__xludf.DUMMYFUNCTION("""COMPUTED_VALUE"""),FALSE)</f>
        <v>0</v>
      </c>
      <c r="L1423" s="20" t="str">
        <f>IFERROR(__xludf.DUMMYFUNCTION("""COMPUTED_VALUE"""),"String;")</f>
        <v>String;</v>
      </c>
      <c r="M1423" s="20" t="b">
        <f>IFERROR(__xludf.DUMMYFUNCTION("""COMPUTED_VALUE"""),FALSE)</f>
        <v>0</v>
      </c>
      <c r="N1423" s="20" t="b">
        <f>IFERROR(__xludf.DUMMYFUNCTION("""COMPUTED_VALUE"""),FALSE)</f>
        <v>0</v>
      </c>
      <c r="O1423" s="20">
        <f>IFERROR(__xludf.DUMMYFUNCTION("""COMPUTED_VALUE"""),57.8774559127257)</f>
        <v>57.87745591</v>
      </c>
      <c r="P1423" s="20">
        <f>IFERROR(__xludf.DUMMYFUNCTION("""COMPUTED_VALUE"""),43716.0)</f>
        <v>43716</v>
      </c>
      <c r="Q1423" s="20">
        <f>IFERROR(__xludf.DUMMYFUNCTION("""COMPUTED_VALUE"""),75532.0)</f>
        <v>75532</v>
      </c>
    </row>
    <row r="1424">
      <c r="A1424" s="20">
        <f>IFERROR(__xludf.DUMMYFUNCTION("""COMPUTED_VALUE"""),1538.0)</f>
        <v>1538</v>
      </c>
      <c r="B1424" s="20" t="str">
        <f>IFERROR(__xludf.DUMMYFUNCTION("""COMPUTED_VALUE"""),"Maximum Points You Can Obtain from Cards")</f>
        <v>Maximum Points You Can Obtain from Cards</v>
      </c>
      <c r="C1424" s="20" t="str">
        <f>IFERROR(__xludf.DUMMYFUNCTION("""COMPUTED_VALUE"""),"maximum-points-you-can-obtain-from-cards")</f>
        <v>maximum-points-you-can-obtain-from-cards</v>
      </c>
      <c r="D1424" s="20" t="b">
        <f>IFERROR(__xludf.DUMMYFUNCTION("""COMPUTED_VALUE"""),FALSE)</f>
        <v>0</v>
      </c>
      <c r="E1424" s="20" t="str">
        <f>IFERROR(__xludf.DUMMYFUNCTION("""COMPUTED_VALUE"""),"Medium")</f>
        <v>Medium</v>
      </c>
      <c r="F1424" s="20">
        <f>IFERROR(__xludf.DUMMYFUNCTION("""COMPUTED_VALUE"""),4954.0)</f>
        <v>4954</v>
      </c>
      <c r="G1424" s="20">
        <f>IFERROR(__xludf.DUMMYFUNCTION("""COMPUTED_VALUE"""),182.0)</f>
        <v>182</v>
      </c>
      <c r="H1424" s="20" t="str">
        <f>IFERROR(__xludf.DUMMYFUNCTION("""COMPUTED_VALUE"""),"Algorithms")</f>
        <v>Algorithms</v>
      </c>
      <c r="I1424" s="20">
        <f>IFERROR(__xludf.DUMMYFUNCTION("""COMPUTED_VALUE"""),0.523)</f>
        <v>0.523</v>
      </c>
      <c r="J1424" s="20">
        <f>IFERROR(__xludf.DUMMYFUNCTION("""COMPUTED_VALUE"""),1423.0)</f>
        <v>1423</v>
      </c>
      <c r="K1424" s="20" t="b">
        <f>IFERROR(__xludf.DUMMYFUNCTION("""COMPUTED_VALUE"""),FALSE)</f>
        <v>0</v>
      </c>
      <c r="L1424" s="20" t="str">
        <f>IFERROR(__xludf.DUMMYFUNCTION("""COMPUTED_VALUE"""),"Array;Sliding Window;Prefix Sum;")</f>
        <v>Array;Sliding Window;Prefix Sum;</v>
      </c>
      <c r="M1424" s="20" t="b">
        <f>IFERROR(__xludf.DUMMYFUNCTION("""COMPUTED_VALUE"""),TRUE)</f>
        <v>1</v>
      </c>
      <c r="N1424" s="20" t="b">
        <f>IFERROR(__xludf.DUMMYFUNCTION("""COMPUTED_VALUE"""),FALSE)</f>
        <v>0</v>
      </c>
      <c r="O1424" s="20">
        <f>IFERROR(__xludf.DUMMYFUNCTION("""COMPUTED_VALUE"""),52.2538604183636)</f>
        <v>52.25386042</v>
      </c>
      <c r="P1424" s="20">
        <f>IFERROR(__xludf.DUMMYFUNCTION("""COMPUTED_VALUE"""),211055.0)</f>
        <v>211055</v>
      </c>
      <c r="Q1424" s="20">
        <f>IFERROR(__xludf.DUMMYFUNCTION("""COMPUTED_VALUE"""),403905.0)</f>
        <v>403905</v>
      </c>
    </row>
    <row r="1425">
      <c r="A1425" s="20">
        <f>IFERROR(__xludf.DUMMYFUNCTION("""COMPUTED_VALUE"""),1539.0)</f>
        <v>1539</v>
      </c>
      <c r="B1425" s="20" t="str">
        <f>IFERROR(__xludf.DUMMYFUNCTION("""COMPUTED_VALUE"""),"Diagonal Traverse II")</f>
        <v>Diagonal Traverse II</v>
      </c>
      <c r="C1425" s="20" t="str">
        <f>IFERROR(__xludf.DUMMYFUNCTION("""COMPUTED_VALUE"""),"diagonal-traverse-ii")</f>
        <v>diagonal-traverse-ii</v>
      </c>
      <c r="D1425" s="20" t="b">
        <f>IFERROR(__xludf.DUMMYFUNCTION("""COMPUTED_VALUE"""),FALSE)</f>
        <v>0</v>
      </c>
      <c r="E1425" s="20" t="str">
        <f>IFERROR(__xludf.DUMMYFUNCTION("""COMPUTED_VALUE"""),"Medium")</f>
        <v>Medium</v>
      </c>
      <c r="F1425" s="20">
        <f>IFERROR(__xludf.DUMMYFUNCTION("""COMPUTED_VALUE"""),977.0)</f>
        <v>977</v>
      </c>
      <c r="G1425" s="20">
        <f>IFERROR(__xludf.DUMMYFUNCTION("""COMPUTED_VALUE"""),81.0)</f>
        <v>81</v>
      </c>
      <c r="H1425" s="20" t="str">
        <f>IFERROR(__xludf.DUMMYFUNCTION("""COMPUTED_VALUE"""),"Algorithms")</f>
        <v>Algorithms</v>
      </c>
      <c r="I1425" s="20">
        <f>IFERROR(__xludf.DUMMYFUNCTION("""COMPUTED_VALUE"""),0.504)</f>
        <v>0.504</v>
      </c>
      <c r="J1425" s="20">
        <f>IFERROR(__xludf.DUMMYFUNCTION("""COMPUTED_VALUE"""),1424.0)</f>
        <v>1424</v>
      </c>
      <c r="K1425" s="20" t="b">
        <f>IFERROR(__xludf.DUMMYFUNCTION("""COMPUTED_VALUE"""),FALSE)</f>
        <v>0</v>
      </c>
      <c r="L1425" s="20" t="str">
        <f>IFERROR(__xludf.DUMMYFUNCTION("""COMPUTED_VALUE"""),"Array;Sorting;Heap (Priority Queue);")</f>
        <v>Array;Sorting;Heap (Priority Queue);</v>
      </c>
      <c r="M1425" s="20" t="b">
        <f>IFERROR(__xludf.DUMMYFUNCTION("""COMPUTED_VALUE"""),FALSE)</f>
        <v>0</v>
      </c>
      <c r="N1425" s="20" t="b">
        <f>IFERROR(__xludf.DUMMYFUNCTION("""COMPUTED_VALUE"""),FALSE)</f>
        <v>0</v>
      </c>
      <c r="O1425" s="20">
        <f>IFERROR(__xludf.DUMMYFUNCTION("""COMPUTED_VALUE"""),50.3732847972273)</f>
        <v>50.3732848</v>
      </c>
      <c r="P1425" s="20">
        <f>IFERROR(__xludf.DUMMYFUNCTION("""COMPUTED_VALUE"""),46219.0)</f>
        <v>46219</v>
      </c>
      <c r="Q1425" s="20">
        <f>IFERROR(__xludf.DUMMYFUNCTION("""COMPUTED_VALUE"""),91753.0)</f>
        <v>91753</v>
      </c>
    </row>
    <row r="1426">
      <c r="A1426" s="20">
        <f>IFERROR(__xludf.DUMMYFUNCTION("""COMPUTED_VALUE"""),1286.0)</f>
        <v>1286</v>
      </c>
      <c r="B1426" s="20" t="str">
        <f>IFERROR(__xludf.DUMMYFUNCTION("""COMPUTED_VALUE"""),"Constrained Subsequence Sum")</f>
        <v>Constrained Subsequence Sum</v>
      </c>
      <c r="C1426" s="20" t="str">
        <f>IFERROR(__xludf.DUMMYFUNCTION("""COMPUTED_VALUE"""),"constrained-subsequence-sum")</f>
        <v>constrained-subsequence-sum</v>
      </c>
      <c r="D1426" s="20" t="b">
        <f>IFERROR(__xludf.DUMMYFUNCTION("""COMPUTED_VALUE"""),FALSE)</f>
        <v>0</v>
      </c>
      <c r="E1426" s="20" t="str">
        <f>IFERROR(__xludf.DUMMYFUNCTION("""COMPUTED_VALUE"""),"Hard")</f>
        <v>Hard</v>
      </c>
      <c r="F1426" s="20">
        <f>IFERROR(__xludf.DUMMYFUNCTION("""COMPUTED_VALUE"""),1006.0)</f>
        <v>1006</v>
      </c>
      <c r="G1426" s="20">
        <f>IFERROR(__xludf.DUMMYFUNCTION("""COMPUTED_VALUE"""),41.0)</f>
        <v>41</v>
      </c>
      <c r="H1426" s="20" t="str">
        <f>IFERROR(__xludf.DUMMYFUNCTION("""COMPUTED_VALUE"""),"Algorithms")</f>
        <v>Algorithms</v>
      </c>
      <c r="I1426" s="20">
        <f>IFERROR(__xludf.DUMMYFUNCTION("""COMPUTED_VALUE"""),0.474)</f>
        <v>0.474</v>
      </c>
      <c r="J1426" s="20">
        <f>IFERROR(__xludf.DUMMYFUNCTION("""COMPUTED_VALUE"""),1425.0)</f>
        <v>1425</v>
      </c>
      <c r="K1426" s="20" t="b">
        <f>IFERROR(__xludf.DUMMYFUNCTION("""COMPUTED_VALUE"""),FALSE)</f>
        <v>0</v>
      </c>
      <c r="L1426" s="20" t="str">
        <f>IFERROR(__xludf.DUMMYFUNCTION("""COMPUTED_VALUE"""),"Array;Dynamic Programming;Queue;Sliding Window;Heap (Priority Queue);Monotonic Queue;")</f>
        <v>Array;Dynamic Programming;Queue;Sliding Window;Heap (Priority Queue);Monotonic Queue;</v>
      </c>
      <c r="M1426" s="20" t="b">
        <f>IFERROR(__xludf.DUMMYFUNCTION("""COMPUTED_VALUE"""),FALSE)</f>
        <v>0</v>
      </c>
      <c r="N1426" s="20" t="b">
        <f>IFERROR(__xludf.DUMMYFUNCTION("""COMPUTED_VALUE"""),FALSE)</f>
        <v>0</v>
      </c>
      <c r="O1426" s="20">
        <f>IFERROR(__xludf.DUMMYFUNCTION("""COMPUTED_VALUE"""),47.4029739468997)</f>
        <v>47.40297395</v>
      </c>
      <c r="P1426" s="20">
        <f>IFERROR(__xludf.DUMMYFUNCTION("""COMPUTED_VALUE"""),22889.0)</f>
        <v>22889</v>
      </c>
      <c r="Q1426" s="20">
        <f>IFERROR(__xludf.DUMMYFUNCTION("""COMPUTED_VALUE"""),48286.0)</f>
        <v>48286</v>
      </c>
    </row>
    <row r="1427">
      <c r="A1427" s="20">
        <f>IFERROR(__xludf.DUMMYFUNCTION("""COMPUTED_VALUE"""),1391.0)</f>
        <v>1391</v>
      </c>
      <c r="B1427" s="20" t="str">
        <f>IFERROR(__xludf.DUMMYFUNCTION("""COMPUTED_VALUE"""),"Counting Elements")</f>
        <v>Counting Elements</v>
      </c>
      <c r="C1427" s="20" t="str">
        <f>IFERROR(__xludf.DUMMYFUNCTION("""COMPUTED_VALUE"""),"counting-elements")</f>
        <v>counting-elements</v>
      </c>
      <c r="D1427" s="20" t="b">
        <f>IFERROR(__xludf.DUMMYFUNCTION("""COMPUTED_VALUE"""),TRUE)</f>
        <v>1</v>
      </c>
      <c r="E1427" s="20" t="str">
        <f>IFERROR(__xludf.DUMMYFUNCTION("""COMPUTED_VALUE"""),"Easy")</f>
        <v>Easy</v>
      </c>
      <c r="F1427" s="20">
        <f>IFERROR(__xludf.DUMMYFUNCTION("""COMPUTED_VALUE"""),101.0)</f>
        <v>101</v>
      </c>
      <c r="G1427" s="20">
        <f>IFERROR(__xludf.DUMMYFUNCTION("""COMPUTED_VALUE"""),25.0)</f>
        <v>25</v>
      </c>
      <c r="H1427" s="20" t="str">
        <f>IFERROR(__xludf.DUMMYFUNCTION("""COMPUTED_VALUE"""),"Algorithms")</f>
        <v>Algorithms</v>
      </c>
      <c r="I1427" s="20">
        <f>IFERROR(__xludf.DUMMYFUNCTION("""COMPUTED_VALUE"""),0.597)</f>
        <v>0.597</v>
      </c>
      <c r="J1427" s="20">
        <f>IFERROR(__xludf.DUMMYFUNCTION("""COMPUTED_VALUE"""),1426.0)</f>
        <v>1426</v>
      </c>
      <c r="K1427" s="20" t="b">
        <f>IFERROR(__xludf.DUMMYFUNCTION("""COMPUTED_VALUE"""),TRUE)</f>
        <v>1</v>
      </c>
      <c r="L1427" s="20" t="str">
        <f>IFERROR(__xludf.DUMMYFUNCTION("""COMPUTED_VALUE"""),"Array;Hash Table;")</f>
        <v>Array;Hash Table;</v>
      </c>
      <c r="M1427" s="20" t="b">
        <f>IFERROR(__xludf.DUMMYFUNCTION("""COMPUTED_VALUE"""),TRUE)</f>
        <v>1</v>
      </c>
      <c r="N1427" s="20" t="b">
        <f>IFERROR(__xludf.DUMMYFUNCTION("""COMPUTED_VALUE"""),FALSE)</f>
        <v>0</v>
      </c>
      <c r="O1427" s="20">
        <f>IFERROR(__xludf.DUMMYFUNCTION("""COMPUTED_VALUE"""),59.6795878620343)</f>
        <v>59.67958786</v>
      </c>
      <c r="P1427" s="20">
        <f>IFERROR(__xludf.DUMMYFUNCTION("""COMPUTED_VALUE"""),94989.0)</f>
        <v>94989</v>
      </c>
      <c r="Q1427" s="20">
        <f>IFERROR(__xludf.DUMMYFUNCTION("""COMPUTED_VALUE"""),159164.0)</f>
        <v>159164</v>
      </c>
    </row>
    <row r="1428">
      <c r="A1428" s="20">
        <f>IFERROR(__xludf.DUMMYFUNCTION("""COMPUTED_VALUE"""),1345.0)</f>
        <v>1345</v>
      </c>
      <c r="B1428" s="20" t="str">
        <f>IFERROR(__xludf.DUMMYFUNCTION("""COMPUTED_VALUE"""),"Perform String Shifts")</f>
        <v>Perform String Shifts</v>
      </c>
      <c r="C1428" s="20" t="str">
        <f>IFERROR(__xludf.DUMMYFUNCTION("""COMPUTED_VALUE"""),"perform-string-shifts")</f>
        <v>perform-string-shifts</v>
      </c>
      <c r="D1428" s="20" t="b">
        <f>IFERROR(__xludf.DUMMYFUNCTION("""COMPUTED_VALUE"""),TRUE)</f>
        <v>1</v>
      </c>
      <c r="E1428" s="20" t="str">
        <f>IFERROR(__xludf.DUMMYFUNCTION("""COMPUTED_VALUE"""),"Easy")</f>
        <v>Easy</v>
      </c>
      <c r="F1428" s="20">
        <f>IFERROR(__xludf.DUMMYFUNCTION("""COMPUTED_VALUE"""),178.0)</f>
        <v>178</v>
      </c>
      <c r="G1428" s="20">
        <f>IFERROR(__xludf.DUMMYFUNCTION("""COMPUTED_VALUE"""),4.0)</f>
        <v>4</v>
      </c>
      <c r="H1428" s="20" t="str">
        <f>IFERROR(__xludf.DUMMYFUNCTION("""COMPUTED_VALUE"""),"Algorithms")</f>
        <v>Algorithms</v>
      </c>
      <c r="I1428" s="20">
        <f>IFERROR(__xludf.DUMMYFUNCTION("""COMPUTED_VALUE"""),0.543)</f>
        <v>0.543</v>
      </c>
      <c r="J1428" s="20">
        <f>IFERROR(__xludf.DUMMYFUNCTION("""COMPUTED_VALUE"""),1427.0)</f>
        <v>1427</v>
      </c>
      <c r="K1428" s="20" t="b">
        <f>IFERROR(__xludf.DUMMYFUNCTION("""COMPUTED_VALUE"""),TRUE)</f>
        <v>1</v>
      </c>
      <c r="L1428" s="20" t="str">
        <f>IFERROR(__xludf.DUMMYFUNCTION("""COMPUTED_VALUE"""),"Array;Math;String;")</f>
        <v>Array;Math;String;</v>
      </c>
      <c r="M1428" s="20" t="b">
        <f>IFERROR(__xludf.DUMMYFUNCTION("""COMPUTED_VALUE"""),TRUE)</f>
        <v>1</v>
      </c>
      <c r="N1428" s="20" t="b">
        <f>IFERROR(__xludf.DUMMYFUNCTION("""COMPUTED_VALUE"""),FALSE)</f>
        <v>0</v>
      </c>
      <c r="O1428" s="20">
        <f>IFERROR(__xludf.DUMMYFUNCTION("""COMPUTED_VALUE"""),54.2750401613927)</f>
        <v>54.27504016</v>
      </c>
      <c r="P1428" s="20">
        <f>IFERROR(__xludf.DUMMYFUNCTION("""COMPUTED_VALUE"""),72639.0)</f>
        <v>72639</v>
      </c>
      <c r="Q1428" s="20">
        <f>IFERROR(__xludf.DUMMYFUNCTION("""COMPUTED_VALUE"""),133835.0)</f>
        <v>133835</v>
      </c>
    </row>
    <row r="1429">
      <c r="A1429" s="20">
        <f>IFERROR(__xludf.DUMMYFUNCTION("""COMPUTED_VALUE"""),1374.0)</f>
        <v>1374</v>
      </c>
      <c r="B1429" s="20" t="str">
        <f>IFERROR(__xludf.DUMMYFUNCTION("""COMPUTED_VALUE"""),"Leftmost Column with at Least a One")</f>
        <v>Leftmost Column with at Least a One</v>
      </c>
      <c r="C1429" s="20" t="str">
        <f>IFERROR(__xludf.DUMMYFUNCTION("""COMPUTED_VALUE"""),"leftmost-column-with-at-least-a-one")</f>
        <v>leftmost-column-with-at-least-a-one</v>
      </c>
      <c r="D1429" s="20" t="b">
        <f>IFERROR(__xludf.DUMMYFUNCTION("""COMPUTED_VALUE"""),TRUE)</f>
        <v>1</v>
      </c>
      <c r="E1429" s="20" t="str">
        <f>IFERROR(__xludf.DUMMYFUNCTION("""COMPUTED_VALUE"""),"Medium")</f>
        <v>Medium</v>
      </c>
      <c r="F1429" s="20">
        <f>IFERROR(__xludf.DUMMYFUNCTION("""COMPUTED_VALUE"""),1045.0)</f>
        <v>1045</v>
      </c>
      <c r="G1429" s="20">
        <f>IFERROR(__xludf.DUMMYFUNCTION("""COMPUTED_VALUE"""),121.0)</f>
        <v>121</v>
      </c>
      <c r="H1429" s="20" t="str">
        <f>IFERROR(__xludf.DUMMYFUNCTION("""COMPUTED_VALUE"""),"Algorithms")</f>
        <v>Algorithms</v>
      </c>
      <c r="I1429" s="20">
        <f>IFERROR(__xludf.DUMMYFUNCTION("""COMPUTED_VALUE"""),0.531)</f>
        <v>0.531</v>
      </c>
      <c r="J1429" s="20">
        <f>IFERROR(__xludf.DUMMYFUNCTION("""COMPUTED_VALUE"""),1428.0)</f>
        <v>1428</v>
      </c>
      <c r="K1429" s="20" t="b">
        <f>IFERROR(__xludf.DUMMYFUNCTION("""COMPUTED_VALUE"""),TRUE)</f>
        <v>1</v>
      </c>
      <c r="L1429" s="20" t="str">
        <f>IFERROR(__xludf.DUMMYFUNCTION("""COMPUTED_VALUE"""),"Array;Binary Search;Matrix;Interactive;")</f>
        <v>Array;Binary Search;Matrix;Interactive;</v>
      </c>
      <c r="M1429" s="20" t="b">
        <f>IFERROR(__xludf.DUMMYFUNCTION("""COMPUTED_VALUE"""),TRUE)</f>
        <v>1</v>
      </c>
      <c r="N1429" s="20" t="b">
        <f>IFERROR(__xludf.DUMMYFUNCTION("""COMPUTED_VALUE"""),FALSE)</f>
        <v>0</v>
      </c>
      <c r="O1429" s="20">
        <f>IFERROR(__xludf.DUMMYFUNCTION("""COMPUTED_VALUE"""),53.0804678720334)</f>
        <v>53.08046787</v>
      </c>
      <c r="P1429" s="20">
        <f>IFERROR(__xludf.DUMMYFUNCTION("""COMPUTED_VALUE"""),159648.0)</f>
        <v>159648</v>
      </c>
      <c r="Q1429" s="20">
        <f>IFERROR(__xludf.DUMMYFUNCTION("""COMPUTED_VALUE"""),300766.0)</f>
        <v>300766</v>
      </c>
    </row>
    <row r="1430">
      <c r="A1430" s="20">
        <f>IFERROR(__xludf.DUMMYFUNCTION("""COMPUTED_VALUE"""),1366.0)</f>
        <v>1366</v>
      </c>
      <c r="B1430" s="20" t="str">
        <f>IFERROR(__xludf.DUMMYFUNCTION("""COMPUTED_VALUE"""),"First Unique Number")</f>
        <v>First Unique Number</v>
      </c>
      <c r="C1430" s="20" t="str">
        <f>IFERROR(__xludf.DUMMYFUNCTION("""COMPUTED_VALUE"""),"first-unique-number")</f>
        <v>first-unique-number</v>
      </c>
      <c r="D1430" s="20" t="b">
        <f>IFERROR(__xludf.DUMMYFUNCTION("""COMPUTED_VALUE"""),TRUE)</f>
        <v>1</v>
      </c>
      <c r="E1430" s="20" t="str">
        <f>IFERROR(__xludf.DUMMYFUNCTION("""COMPUTED_VALUE"""),"Medium")</f>
        <v>Medium</v>
      </c>
      <c r="F1430" s="20">
        <f>IFERROR(__xludf.DUMMYFUNCTION("""COMPUTED_VALUE"""),480.0)</f>
        <v>480</v>
      </c>
      <c r="G1430" s="20">
        <f>IFERROR(__xludf.DUMMYFUNCTION("""COMPUTED_VALUE"""),24.0)</f>
        <v>24</v>
      </c>
      <c r="H1430" s="20" t="str">
        <f>IFERROR(__xludf.DUMMYFUNCTION("""COMPUTED_VALUE"""),"Algorithms")</f>
        <v>Algorithms</v>
      </c>
      <c r="I1430" s="20">
        <f>IFERROR(__xludf.DUMMYFUNCTION("""COMPUTED_VALUE"""),0.528)</f>
        <v>0.528</v>
      </c>
      <c r="J1430" s="20">
        <f>IFERROR(__xludf.DUMMYFUNCTION("""COMPUTED_VALUE"""),1429.0)</f>
        <v>1429</v>
      </c>
      <c r="K1430" s="20" t="b">
        <f>IFERROR(__xludf.DUMMYFUNCTION("""COMPUTED_VALUE"""),TRUE)</f>
        <v>1</v>
      </c>
      <c r="L1430" s="20" t="str">
        <f>IFERROR(__xludf.DUMMYFUNCTION("""COMPUTED_VALUE"""),"Array;Hash Table;Design;Queue;Data Stream;")</f>
        <v>Array;Hash Table;Design;Queue;Data Stream;</v>
      </c>
      <c r="M1430" s="20" t="b">
        <f>IFERROR(__xludf.DUMMYFUNCTION("""COMPUTED_VALUE"""),TRUE)</f>
        <v>1</v>
      </c>
      <c r="N1430" s="20" t="b">
        <f>IFERROR(__xludf.DUMMYFUNCTION("""COMPUTED_VALUE"""),FALSE)</f>
        <v>0</v>
      </c>
      <c r="O1430" s="20">
        <f>IFERROR(__xludf.DUMMYFUNCTION("""COMPUTED_VALUE"""),52.8236639433476)</f>
        <v>52.82366394</v>
      </c>
      <c r="P1430" s="20">
        <f>IFERROR(__xludf.DUMMYFUNCTION("""COMPUTED_VALUE"""),76682.0)</f>
        <v>76682</v>
      </c>
      <c r="Q1430" s="20">
        <f>IFERROR(__xludf.DUMMYFUNCTION("""COMPUTED_VALUE"""),145166.0)</f>
        <v>145166</v>
      </c>
    </row>
    <row r="1431">
      <c r="A1431" s="20">
        <f>IFERROR(__xludf.DUMMYFUNCTION("""COMPUTED_VALUE"""),1432.0)</f>
        <v>1432</v>
      </c>
      <c r="B1431" s="20" t="str">
        <f>IFERROR(__xludf.DUMMYFUNCTION("""COMPUTED_VALUE"""),"Check If a String Is a Valid Sequence from Root to Leaves Path in a Binary Tree")</f>
        <v>Check If a String Is a Valid Sequence from Root to Leaves Path in a Binary Tree</v>
      </c>
      <c r="C1431" s="20" t="str">
        <f>IFERROR(__xludf.DUMMYFUNCTION("""COMPUTED_VALUE"""),"check-if-a-string-is-a-valid-sequence-from-root-to-leaves-path-in-a-binary-tree")</f>
        <v>check-if-a-string-is-a-valid-sequence-from-root-to-leaves-path-in-a-binary-tree</v>
      </c>
      <c r="D1431" s="20" t="b">
        <f>IFERROR(__xludf.DUMMYFUNCTION("""COMPUTED_VALUE"""),TRUE)</f>
        <v>1</v>
      </c>
      <c r="E1431" s="20" t="str">
        <f>IFERROR(__xludf.DUMMYFUNCTION("""COMPUTED_VALUE"""),"Medium")</f>
        <v>Medium</v>
      </c>
      <c r="F1431" s="20">
        <f>IFERROR(__xludf.DUMMYFUNCTION("""COMPUTED_VALUE"""),184.0)</f>
        <v>184</v>
      </c>
      <c r="G1431" s="20">
        <f>IFERROR(__xludf.DUMMYFUNCTION("""COMPUTED_VALUE"""),12.0)</f>
        <v>12</v>
      </c>
      <c r="H1431" s="20" t="str">
        <f>IFERROR(__xludf.DUMMYFUNCTION("""COMPUTED_VALUE"""),"Algorithms")</f>
        <v>Algorithms</v>
      </c>
      <c r="I1431" s="20">
        <f>IFERROR(__xludf.DUMMYFUNCTION("""COMPUTED_VALUE"""),0.463)</f>
        <v>0.463</v>
      </c>
      <c r="J1431" s="20">
        <f>IFERROR(__xludf.DUMMYFUNCTION("""COMPUTED_VALUE"""),1430.0)</f>
        <v>1430</v>
      </c>
      <c r="K1431" s="20" t="b">
        <f>IFERROR(__xludf.DUMMYFUNCTION("""COMPUTED_VALUE"""),TRUE)</f>
        <v>1</v>
      </c>
      <c r="L1431" s="20" t="str">
        <f>IFERROR(__xludf.DUMMYFUNCTION("""COMPUTED_VALUE"""),"Tree;Depth-First Search;Breadth-First Search;Binary Tree;")</f>
        <v>Tree;Depth-First Search;Breadth-First Search;Binary Tree;</v>
      </c>
      <c r="M1431" s="20" t="b">
        <f>IFERROR(__xludf.DUMMYFUNCTION("""COMPUTED_VALUE"""),FALSE)</f>
        <v>0</v>
      </c>
      <c r="N1431" s="20" t="b">
        <f>IFERROR(__xludf.DUMMYFUNCTION("""COMPUTED_VALUE"""),FALSE)</f>
        <v>0</v>
      </c>
      <c r="O1431" s="20">
        <f>IFERROR(__xludf.DUMMYFUNCTION("""COMPUTED_VALUE"""),46.2792002728843)</f>
        <v>46.27920027</v>
      </c>
      <c r="P1431" s="20">
        <f>IFERROR(__xludf.DUMMYFUNCTION("""COMPUTED_VALUE"""),42059.0)</f>
        <v>42059</v>
      </c>
      <c r="Q1431" s="20">
        <f>IFERROR(__xludf.DUMMYFUNCTION("""COMPUTED_VALUE"""),90881.0)</f>
        <v>90881</v>
      </c>
    </row>
    <row r="1432">
      <c r="A1432" s="20">
        <f>IFERROR(__xludf.DUMMYFUNCTION("""COMPUTED_VALUE"""),1528.0)</f>
        <v>1528</v>
      </c>
      <c r="B1432" s="20" t="str">
        <f>IFERROR(__xludf.DUMMYFUNCTION("""COMPUTED_VALUE"""),"Kids With the Greatest Number of Candies")</f>
        <v>Kids With the Greatest Number of Candies</v>
      </c>
      <c r="C1432" s="20" t="str">
        <f>IFERROR(__xludf.DUMMYFUNCTION("""COMPUTED_VALUE"""),"kids-with-the-greatest-number-of-candies")</f>
        <v>kids-with-the-greatest-number-of-candies</v>
      </c>
      <c r="D1432" s="20" t="b">
        <f>IFERROR(__xludf.DUMMYFUNCTION("""COMPUTED_VALUE"""),FALSE)</f>
        <v>0</v>
      </c>
      <c r="E1432" s="20" t="str">
        <f>IFERROR(__xludf.DUMMYFUNCTION("""COMPUTED_VALUE"""),"Easy")</f>
        <v>Easy</v>
      </c>
      <c r="F1432" s="20">
        <f>IFERROR(__xludf.DUMMYFUNCTION("""COMPUTED_VALUE"""),2185.0)</f>
        <v>2185</v>
      </c>
      <c r="G1432" s="20">
        <f>IFERROR(__xludf.DUMMYFUNCTION("""COMPUTED_VALUE"""),309.0)</f>
        <v>309</v>
      </c>
      <c r="H1432" s="20" t="str">
        <f>IFERROR(__xludf.DUMMYFUNCTION("""COMPUTED_VALUE"""),"Algorithms")</f>
        <v>Algorithms</v>
      </c>
      <c r="I1432" s="20">
        <f>IFERROR(__xludf.DUMMYFUNCTION("""COMPUTED_VALUE"""),0.874)</f>
        <v>0.874</v>
      </c>
      <c r="J1432" s="20">
        <f>IFERROR(__xludf.DUMMYFUNCTION("""COMPUTED_VALUE"""),1431.0)</f>
        <v>1431</v>
      </c>
      <c r="K1432" s="20" t="b">
        <f>IFERROR(__xludf.DUMMYFUNCTION("""COMPUTED_VALUE"""),FALSE)</f>
        <v>0</v>
      </c>
      <c r="L1432" s="20" t="str">
        <f>IFERROR(__xludf.DUMMYFUNCTION("""COMPUTED_VALUE"""),"Array;")</f>
        <v>Array;</v>
      </c>
      <c r="M1432" s="20" t="b">
        <f>IFERROR(__xludf.DUMMYFUNCTION("""COMPUTED_VALUE"""),FALSE)</f>
        <v>0</v>
      </c>
      <c r="N1432" s="20" t="b">
        <f>IFERROR(__xludf.DUMMYFUNCTION("""COMPUTED_VALUE"""),FALSE)</f>
        <v>0</v>
      </c>
      <c r="O1432" s="20">
        <f>IFERROR(__xludf.DUMMYFUNCTION("""COMPUTED_VALUE"""),87.4026797353031)</f>
        <v>87.40267974</v>
      </c>
      <c r="P1432" s="20">
        <f>IFERROR(__xludf.DUMMYFUNCTION("""COMPUTED_VALUE"""),368103.0)</f>
        <v>368103</v>
      </c>
      <c r="Q1432" s="20">
        <f>IFERROR(__xludf.DUMMYFUNCTION("""COMPUTED_VALUE"""),421157.0)</f>
        <v>421157</v>
      </c>
    </row>
    <row r="1433">
      <c r="A1433" s="20">
        <f>IFERROR(__xludf.DUMMYFUNCTION("""COMPUTED_VALUE"""),1529.0)</f>
        <v>1529</v>
      </c>
      <c r="B1433" s="20" t="str">
        <f>IFERROR(__xludf.DUMMYFUNCTION("""COMPUTED_VALUE"""),"Max Difference You Can Get From Changing an Integer")</f>
        <v>Max Difference You Can Get From Changing an Integer</v>
      </c>
      <c r="C1433" s="20" t="str">
        <f>IFERROR(__xludf.DUMMYFUNCTION("""COMPUTED_VALUE"""),"max-difference-you-can-get-from-changing-an-integer")</f>
        <v>max-difference-you-can-get-from-changing-an-integer</v>
      </c>
      <c r="D1433" s="20" t="b">
        <f>IFERROR(__xludf.DUMMYFUNCTION("""COMPUTED_VALUE"""),FALSE)</f>
        <v>0</v>
      </c>
      <c r="E1433" s="20" t="str">
        <f>IFERROR(__xludf.DUMMYFUNCTION("""COMPUTED_VALUE"""),"Medium")</f>
        <v>Medium</v>
      </c>
      <c r="F1433" s="20">
        <f>IFERROR(__xludf.DUMMYFUNCTION("""COMPUTED_VALUE"""),167.0)</f>
        <v>167</v>
      </c>
      <c r="G1433" s="20">
        <f>IFERROR(__xludf.DUMMYFUNCTION("""COMPUTED_VALUE"""),214.0)</f>
        <v>214</v>
      </c>
      <c r="H1433" s="20" t="str">
        <f>IFERROR(__xludf.DUMMYFUNCTION("""COMPUTED_VALUE"""),"Algorithms")</f>
        <v>Algorithms</v>
      </c>
      <c r="I1433" s="20">
        <f>IFERROR(__xludf.DUMMYFUNCTION("""COMPUTED_VALUE"""),0.429)</f>
        <v>0.429</v>
      </c>
      <c r="J1433" s="20">
        <f>IFERROR(__xludf.DUMMYFUNCTION("""COMPUTED_VALUE"""),1432.0)</f>
        <v>1432</v>
      </c>
      <c r="K1433" s="20" t="b">
        <f>IFERROR(__xludf.DUMMYFUNCTION("""COMPUTED_VALUE"""),FALSE)</f>
        <v>0</v>
      </c>
      <c r="L1433" s="20" t="str">
        <f>IFERROR(__xludf.DUMMYFUNCTION("""COMPUTED_VALUE"""),"Math;Greedy;")</f>
        <v>Math;Greedy;</v>
      </c>
      <c r="M1433" s="20" t="b">
        <f>IFERROR(__xludf.DUMMYFUNCTION("""COMPUTED_VALUE"""),FALSE)</f>
        <v>0</v>
      </c>
      <c r="N1433" s="20" t="b">
        <f>IFERROR(__xludf.DUMMYFUNCTION("""COMPUTED_VALUE"""),FALSE)</f>
        <v>0</v>
      </c>
      <c r="O1433" s="20">
        <f>IFERROR(__xludf.DUMMYFUNCTION("""COMPUTED_VALUE"""),42.8522390388516)</f>
        <v>42.85223904</v>
      </c>
      <c r="P1433" s="20">
        <f>IFERROR(__xludf.DUMMYFUNCTION("""COMPUTED_VALUE"""),13732.0)</f>
        <v>13732</v>
      </c>
      <c r="Q1433" s="20">
        <f>IFERROR(__xludf.DUMMYFUNCTION("""COMPUTED_VALUE"""),32045.0)</f>
        <v>32045</v>
      </c>
    </row>
    <row r="1434">
      <c r="A1434" s="20">
        <f>IFERROR(__xludf.DUMMYFUNCTION("""COMPUTED_VALUE"""),1530.0)</f>
        <v>1530</v>
      </c>
      <c r="B1434" s="20" t="str">
        <f>IFERROR(__xludf.DUMMYFUNCTION("""COMPUTED_VALUE"""),"Check If a String Can Break Another String")</f>
        <v>Check If a String Can Break Another String</v>
      </c>
      <c r="C1434" s="20" t="str">
        <f>IFERROR(__xludf.DUMMYFUNCTION("""COMPUTED_VALUE"""),"check-if-a-string-can-break-another-string")</f>
        <v>check-if-a-string-can-break-another-string</v>
      </c>
      <c r="D1434" s="20" t="b">
        <f>IFERROR(__xludf.DUMMYFUNCTION("""COMPUTED_VALUE"""),FALSE)</f>
        <v>0</v>
      </c>
      <c r="E1434" s="20" t="str">
        <f>IFERROR(__xludf.DUMMYFUNCTION("""COMPUTED_VALUE"""),"Medium")</f>
        <v>Medium</v>
      </c>
      <c r="F1434" s="20">
        <f>IFERROR(__xludf.DUMMYFUNCTION("""COMPUTED_VALUE"""),601.0)</f>
        <v>601</v>
      </c>
      <c r="G1434" s="20">
        <f>IFERROR(__xludf.DUMMYFUNCTION("""COMPUTED_VALUE"""),122.0)</f>
        <v>122</v>
      </c>
      <c r="H1434" s="20" t="str">
        <f>IFERROR(__xludf.DUMMYFUNCTION("""COMPUTED_VALUE"""),"Algorithms")</f>
        <v>Algorithms</v>
      </c>
      <c r="I1434" s="20">
        <f>IFERROR(__xludf.DUMMYFUNCTION("""COMPUTED_VALUE"""),0.69)</f>
        <v>0.69</v>
      </c>
      <c r="J1434" s="20">
        <f>IFERROR(__xludf.DUMMYFUNCTION("""COMPUTED_VALUE"""),1433.0)</f>
        <v>1433</v>
      </c>
      <c r="K1434" s="20" t="b">
        <f>IFERROR(__xludf.DUMMYFUNCTION("""COMPUTED_VALUE"""),FALSE)</f>
        <v>0</v>
      </c>
      <c r="L1434" s="20" t="str">
        <f>IFERROR(__xludf.DUMMYFUNCTION("""COMPUTED_VALUE"""),"String;Greedy;Sorting;")</f>
        <v>String;Greedy;Sorting;</v>
      </c>
      <c r="M1434" s="20" t="b">
        <f>IFERROR(__xludf.DUMMYFUNCTION("""COMPUTED_VALUE"""),FALSE)</f>
        <v>0</v>
      </c>
      <c r="N1434" s="20" t="b">
        <f>IFERROR(__xludf.DUMMYFUNCTION("""COMPUTED_VALUE"""),FALSE)</f>
        <v>0</v>
      </c>
      <c r="O1434" s="20">
        <f>IFERROR(__xludf.DUMMYFUNCTION("""COMPUTED_VALUE"""),68.9585069832686)</f>
        <v>68.95850698</v>
      </c>
      <c r="P1434" s="20">
        <f>IFERROR(__xludf.DUMMYFUNCTION("""COMPUTED_VALUE"""),33920.0)</f>
        <v>33920</v>
      </c>
      <c r="Q1434" s="20">
        <f>IFERROR(__xludf.DUMMYFUNCTION("""COMPUTED_VALUE"""),49189.0)</f>
        <v>49189</v>
      </c>
    </row>
    <row r="1435">
      <c r="A1435" s="20">
        <f>IFERROR(__xludf.DUMMYFUNCTION("""COMPUTED_VALUE"""),1531.0)</f>
        <v>1531</v>
      </c>
      <c r="B1435" s="20" t="str">
        <f>IFERROR(__xludf.DUMMYFUNCTION("""COMPUTED_VALUE"""),"Number of Ways to Wear Different Hats to Each Other")</f>
        <v>Number of Ways to Wear Different Hats to Each Other</v>
      </c>
      <c r="C1435" s="20" t="str">
        <f>IFERROR(__xludf.DUMMYFUNCTION("""COMPUTED_VALUE"""),"number-of-ways-to-wear-different-hats-to-each-other")</f>
        <v>number-of-ways-to-wear-different-hats-to-each-other</v>
      </c>
      <c r="D1435" s="20" t="b">
        <f>IFERROR(__xludf.DUMMYFUNCTION("""COMPUTED_VALUE"""),FALSE)</f>
        <v>0</v>
      </c>
      <c r="E1435" s="20" t="str">
        <f>IFERROR(__xludf.DUMMYFUNCTION("""COMPUTED_VALUE"""),"Hard")</f>
        <v>Hard</v>
      </c>
      <c r="F1435" s="20">
        <f>IFERROR(__xludf.DUMMYFUNCTION("""COMPUTED_VALUE"""),723.0)</f>
        <v>723</v>
      </c>
      <c r="G1435" s="20">
        <f>IFERROR(__xludf.DUMMYFUNCTION("""COMPUTED_VALUE"""),8.0)</f>
        <v>8</v>
      </c>
      <c r="H1435" s="20" t="str">
        <f>IFERROR(__xludf.DUMMYFUNCTION("""COMPUTED_VALUE"""),"Algorithms")</f>
        <v>Algorithms</v>
      </c>
      <c r="I1435" s="20">
        <f>IFERROR(__xludf.DUMMYFUNCTION("""COMPUTED_VALUE"""),0.429)</f>
        <v>0.429</v>
      </c>
      <c r="J1435" s="20">
        <f>IFERROR(__xludf.DUMMYFUNCTION("""COMPUTED_VALUE"""),1434.0)</f>
        <v>1434</v>
      </c>
      <c r="K1435" s="20" t="b">
        <f>IFERROR(__xludf.DUMMYFUNCTION("""COMPUTED_VALUE"""),FALSE)</f>
        <v>0</v>
      </c>
      <c r="L1435" s="20" t="str">
        <f>IFERROR(__xludf.DUMMYFUNCTION("""COMPUTED_VALUE"""),"Array;Dynamic Programming;Bit Manipulation;Bitmask;")</f>
        <v>Array;Dynamic Programming;Bit Manipulation;Bitmask;</v>
      </c>
      <c r="M1435" s="20" t="b">
        <f>IFERROR(__xludf.DUMMYFUNCTION("""COMPUTED_VALUE"""),FALSE)</f>
        <v>0</v>
      </c>
      <c r="N1435" s="20" t="b">
        <f>IFERROR(__xludf.DUMMYFUNCTION("""COMPUTED_VALUE"""),FALSE)</f>
        <v>0</v>
      </c>
      <c r="O1435" s="20">
        <f>IFERROR(__xludf.DUMMYFUNCTION("""COMPUTED_VALUE"""),42.9458636044059)</f>
        <v>42.9458636</v>
      </c>
      <c r="P1435" s="20">
        <f>IFERROR(__xludf.DUMMYFUNCTION("""COMPUTED_VALUE"""),10995.0)</f>
        <v>10995</v>
      </c>
      <c r="Q1435" s="20">
        <f>IFERROR(__xludf.DUMMYFUNCTION("""COMPUTED_VALUE"""),25602.0)</f>
        <v>25602</v>
      </c>
    </row>
    <row r="1436">
      <c r="A1436" s="20">
        <f>IFERROR(__xludf.DUMMYFUNCTION("""COMPUTED_VALUE"""),1564.0)</f>
        <v>1564</v>
      </c>
      <c r="B1436" s="20" t="str">
        <f>IFERROR(__xludf.DUMMYFUNCTION("""COMPUTED_VALUE"""),"Create a Session Bar Chart")</f>
        <v>Create a Session Bar Chart</v>
      </c>
      <c r="C1436" s="20" t="str">
        <f>IFERROR(__xludf.DUMMYFUNCTION("""COMPUTED_VALUE"""),"create-a-session-bar-chart")</f>
        <v>create-a-session-bar-chart</v>
      </c>
      <c r="D1436" s="20" t="b">
        <f>IFERROR(__xludf.DUMMYFUNCTION("""COMPUTED_VALUE"""),TRUE)</f>
        <v>1</v>
      </c>
      <c r="E1436" s="20" t="str">
        <f>IFERROR(__xludf.DUMMYFUNCTION("""COMPUTED_VALUE"""),"Easy")</f>
        <v>Easy</v>
      </c>
      <c r="F1436" s="20">
        <f>IFERROR(__xludf.DUMMYFUNCTION("""COMPUTED_VALUE"""),130.0)</f>
        <v>130</v>
      </c>
      <c r="G1436" s="20">
        <f>IFERROR(__xludf.DUMMYFUNCTION("""COMPUTED_VALUE"""),230.0)</f>
        <v>230</v>
      </c>
      <c r="H1436" s="20" t="str">
        <f>IFERROR(__xludf.DUMMYFUNCTION("""COMPUTED_VALUE"""),"Database")</f>
        <v>Database</v>
      </c>
      <c r="I1436" s="20">
        <f>IFERROR(__xludf.DUMMYFUNCTION("""COMPUTED_VALUE"""),0.778)</f>
        <v>0.778</v>
      </c>
      <c r="J1436" s="20">
        <f>IFERROR(__xludf.DUMMYFUNCTION("""COMPUTED_VALUE"""),1435.0)</f>
        <v>1435</v>
      </c>
      <c r="K1436" s="20" t="b">
        <f>IFERROR(__xludf.DUMMYFUNCTION("""COMPUTED_VALUE"""),TRUE)</f>
        <v>1</v>
      </c>
      <c r="L1436" s="20" t="str">
        <f>IFERROR(__xludf.DUMMYFUNCTION("""COMPUTED_VALUE"""),"Database;")</f>
        <v>Database;</v>
      </c>
      <c r="M1436" s="20" t="b">
        <f>IFERROR(__xludf.DUMMYFUNCTION("""COMPUTED_VALUE"""),FALSE)</f>
        <v>0</v>
      </c>
      <c r="N1436" s="20" t="b">
        <f>IFERROR(__xludf.DUMMYFUNCTION("""COMPUTED_VALUE"""),FALSE)</f>
        <v>0</v>
      </c>
      <c r="O1436" s="20">
        <f>IFERROR(__xludf.DUMMYFUNCTION("""COMPUTED_VALUE"""),77.8423612828757)</f>
        <v>77.84236128</v>
      </c>
      <c r="P1436" s="20">
        <f>IFERROR(__xludf.DUMMYFUNCTION("""COMPUTED_VALUE"""),18883.0)</f>
        <v>18883</v>
      </c>
      <c r="Q1436" s="20">
        <f>IFERROR(__xludf.DUMMYFUNCTION("""COMPUTED_VALUE"""),24258.0)</f>
        <v>24258</v>
      </c>
    </row>
    <row r="1437">
      <c r="A1437" s="20">
        <f>IFERROR(__xludf.DUMMYFUNCTION("""COMPUTED_VALUE"""),1547.0)</f>
        <v>1547</v>
      </c>
      <c r="B1437" s="20" t="str">
        <f>IFERROR(__xludf.DUMMYFUNCTION("""COMPUTED_VALUE"""),"Destination City")</f>
        <v>Destination City</v>
      </c>
      <c r="C1437" s="20" t="str">
        <f>IFERROR(__xludf.DUMMYFUNCTION("""COMPUTED_VALUE"""),"destination-city")</f>
        <v>destination-city</v>
      </c>
      <c r="D1437" s="20" t="b">
        <f>IFERROR(__xludf.DUMMYFUNCTION("""COMPUTED_VALUE"""),FALSE)</f>
        <v>0</v>
      </c>
      <c r="E1437" s="20" t="str">
        <f>IFERROR(__xludf.DUMMYFUNCTION("""COMPUTED_VALUE"""),"Easy")</f>
        <v>Easy</v>
      </c>
      <c r="F1437" s="20">
        <f>IFERROR(__xludf.DUMMYFUNCTION("""COMPUTED_VALUE"""),1190.0)</f>
        <v>1190</v>
      </c>
      <c r="G1437" s="20">
        <f>IFERROR(__xludf.DUMMYFUNCTION("""COMPUTED_VALUE"""),62.0)</f>
        <v>62</v>
      </c>
      <c r="H1437" s="20" t="str">
        <f>IFERROR(__xludf.DUMMYFUNCTION("""COMPUTED_VALUE"""),"Algorithms")</f>
        <v>Algorithms</v>
      </c>
      <c r="I1437" s="20">
        <f>IFERROR(__xludf.DUMMYFUNCTION("""COMPUTED_VALUE"""),0.776)</f>
        <v>0.776</v>
      </c>
      <c r="J1437" s="20">
        <f>IFERROR(__xludf.DUMMYFUNCTION("""COMPUTED_VALUE"""),1436.0)</f>
        <v>1436</v>
      </c>
      <c r="K1437" s="20" t="b">
        <f>IFERROR(__xludf.DUMMYFUNCTION("""COMPUTED_VALUE"""),FALSE)</f>
        <v>0</v>
      </c>
      <c r="L1437" s="20" t="str">
        <f>IFERROR(__xludf.DUMMYFUNCTION("""COMPUTED_VALUE"""),"Hash Table;String;")</f>
        <v>Hash Table;String;</v>
      </c>
      <c r="M1437" s="20" t="b">
        <f>IFERROR(__xludf.DUMMYFUNCTION("""COMPUTED_VALUE"""),FALSE)</f>
        <v>0</v>
      </c>
      <c r="N1437" s="20" t="b">
        <f>IFERROR(__xludf.DUMMYFUNCTION("""COMPUTED_VALUE"""),FALSE)</f>
        <v>0</v>
      </c>
      <c r="O1437" s="20">
        <f>IFERROR(__xludf.DUMMYFUNCTION("""COMPUTED_VALUE"""),77.605453258736)</f>
        <v>77.60545326</v>
      </c>
      <c r="P1437" s="20">
        <f>IFERROR(__xludf.DUMMYFUNCTION("""COMPUTED_VALUE"""),116238.0)</f>
        <v>116238</v>
      </c>
      <c r="Q1437" s="20">
        <f>IFERROR(__xludf.DUMMYFUNCTION("""COMPUTED_VALUE"""),149781.0)</f>
        <v>149781</v>
      </c>
    </row>
    <row r="1438">
      <c r="A1438" s="20">
        <f>IFERROR(__xludf.DUMMYFUNCTION("""COMPUTED_VALUE"""),1548.0)</f>
        <v>1548</v>
      </c>
      <c r="B1438" s="20" t="str">
        <f>IFERROR(__xludf.DUMMYFUNCTION("""COMPUTED_VALUE"""),"Check If All 1's Are at Least Length K Places Away")</f>
        <v>Check If All 1's Are at Least Length K Places Away</v>
      </c>
      <c r="C1438" s="20" t="str">
        <f>IFERROR(__xludf.DUMMYFUNCTION("""COMPUTED_VALUE"""),"check-if-all-1s-are-at-least-length-k-places-away")</f>
        <v>check-if-all-1s-are-at-least-length-k-places-away</v>
      </c>
      <c r="D1438" s="20" t="b">
        <f>IFERROR(__xludf.DUMMYFUNCTION("""COMPUTED_VALUE"""),FALSE)</f>
        <v>0</v>
      </c>
      <c r="E1438" s="20" t="str">
        <f>IFERROR(__xludf.DUMMYFUNCTION("""COMPUTED_VALUE"""),"Easy")</f>
        <v>Easy</v>
      </c>
      <c r="F1438" s="20">
        <f>IFERROR(__xludf.DUMMYFUNCTION("""COMPUTED_VALUE"""),489.0)</f>
        <v>489</v>
      </c>
      <c r="G1438" s="20">
        <f>IFERROR(__xludf.DUMMYFUNCTION("""COMPUTED_VALUE"""),205.0)</f>
        <v>205</v>
      </c>
      <c r="H1438" s="20" t="str">
        <f>IFERROR(__xludf.DUMMYFUNCTION("""COMPUTED_VALUE"""),"Algorithms")</f>
        <v>Algorithms</v>
      </c>
      <c r="I1438" s="20">
        <f>IFERROR(__xludf.DUMMYFUNCTION("""COMPUTED_VALUE"""),0.591)</f>
        <v>0.591</v>
      </c>
      <c r="J1438" s="20">
        <f>IFERROR(__xludf.DUMMYFUNCTION("""COMPUTED_VALUE"""),1437.0)</f>
        <v>1437</v>
      </c>
      <c r="K1438" s="20" t="b">
        <f>IFERROR(__xludf.DUMMYFUNCTION("""COMPUTED_VALUE"""),FALSE)</f>
        <v>0</v>
      </c>
      <c r="L1438" s="20" t="str">
        <f>IFERROR(__xludf.DUMMYFUNCTION("""COMPUTED_VALUE"""),"Array;")</f>
        <v>Array;</v>
      </c>
      <c r="M1438" s="20" t="b">
        <f>IFERROR(__xludf.DUMMYFUNCTION("""COMPUTED_VALUE"""),TRUE)</f>
        <v>1</v>
      </c>
      <c r="N1438" s="20" t="b">
        <f>IFERROR(__xludf.DUMMYFUNCTION("""COMPUTED_VALUE"""),FALSE)</f>
        <v>0</v>
      </c>
      <c r="O1438" s="20">
        <f>IFERROR(__xludf.DUMMYFUNCTION("""COMPUTED_VALUE"""),59.0629148842012)</f>
        <v>59.06291488</v>
      </c>
      <c r="P1438" s="20">
        <f>IFERROR(__xludf.DUMMYFUNCTION("""COMPUTED_VALUE"""),64061.0)</f>
        <v>64061</v>
      </c>
      <c r="Q1438" s="20">
        <f>IFERROR(__xludf.DUMMYFUNCTION("""COMPUTED_VALUE"""),108463.0)</f>
        <v>108463</v>
      </c>
    </row>
    <row r="1439">
      <c r="A1439" s="20">
        <f>IFERROR(__xludf.DUMMYFUNCTION("""COMPUTED_VALUE"""),1549.0)</f>
        <v>1549</v>
      </c>
      <c r="B1439" s="20" t="str">
        <f>IFERROR(__xludf.DUMMYFUNCTION("""COMPUTED_VALUE"""),"Longest Continuous Subarray With Absolute Diff Less Than or Equal to Limit")</f>
        <v>Longest Continuous Subarray With Absolute Diff Less Than or Equal to Limit</v>
      </c>
      <c r="C1439" s="20" t="str">
        <f>IFERROR(__xludf.DUMMYFUNCTION("""COMPUTED_VALUE"""),"longest-continuous-subarray-with-absolute-diff-less-than-or-equal-to-limit")</f>
        <v>longest-continuous-subarray-with-absolute-diff-less-than-or-equal-to-limit</v>
      </c>
      <c r="D1439" s="20" t="b">
        <f>IFERROR(__xludf.DUMMYFUNCTION("""COMPUTED_VALUE"""),FALSE)</f>
        <v>0</v>
      </c>
      <c r="E1439" s="20" t="str">
        <f>IFERROR(__xludf.DUMMYFUNCTION("""COMPUTED_VALUE"""),"Medium")</f>
        <v>Medium</v>
      </c>
      <c r="F1439" s="20">
        <f>IFERROR(__xludf.DUMMYFUNCTION("""COMPUTED_VALUE"""),2739.0)</f>
        <v>2739</v>
      </c>
      <c r="G1439" s="20">
        <f>IFERROR(__xludf.DUMMYFUNCTION("""COMPUTED_VALUE"""),112.0)</f>
        <v>112</v>
      </c>
      <c r="H1439" s="20" t="str">
        <f>IFERROR(__xludf.DUMMYFUNCTION("""COMPUTED_VALUE"""),"Algorithms")</f>
        <v>Algorithms</v>
      </c>
      <c r="I1439" s="20">
        <f>IFERROR(__xludf.DUMMYFUNCTION("""COMPUTED_VALUE"""),0.481)</f>
        <v>0.481</v>
      </c>
      <c r="J1439" s="20">
        <f>IFERROR(__xludf.DUMMYFUNCTION("""COMPUTED_VALUE"""),1438.0)</f>
        <v>1438</v>
      </c>
      <c r="K1439" s="20" t="b">
        <f>IFERROR(__xludf.DUMMYFUNCTION("""COMPUTED_VALUE"""),FALSE)</f>
        <v>0</v>
      </c>
      <c r="L1439" s="20" t="str">
        <f>IFERROR(__xludf.DUMMYFUNCTION("""COMPUTED_VALUE"""),"Array;Queue;Sliding Window;Heap (Priority Queue);Ordered Set;Monotonic Queue;")</f>
        <v>Array;Queue;Sliding Window;Heap (Priority Queue);Ordered Set;Monotonic Queue;</v>
      </c>
      <c r="M1439" s="20" t="b">
        <f>IFERROR(__xludf.DUMMYFUNCTION("""COMPUTED_VALUE"""),FALSE)</f>
        <v>0</v>
      </c>
      <c r="N1439" s="20" t="b">
        <f>IFERROR(__xludf.DUMMYFUNCTION("""COMPUTED_VALUE"""),FALSE)</f>
        <v>0</v>
      </c>
      <c r="O1439" s="20">
        <f>IFERROR(__xludf.DUMMYFUNCTION("""COMPUTED_VALUE"""),48.1086085970232)</f>
        <v>48.1086086</v>
      </c>
      <c r="P1439" s="20">
        <f>IFERROR(__xludf.DUMMYFUNCTION("""COMPUTED_VALUE"""),103916.0)</f>
        <v>103916</v>
      </c>
      <c r="Q1439" s="20">
        <f>IFERROR(__xludf.DUMMYFUNCTION("""COMPUTED_VALUE"""),216004.0)</f>
        <v>216004</v>
      </c>
    </row>
    <row r="1440">
      <c r="A1440" s="20">
        <f>IFERROR(__xludf.DUMMYFUNCTION("""COMPUTED_VALUE"""),1550.0)</f>
        <v>1550</v>
      </c>
      <c r="B1440" s="20" t="str">
        <f>IFERROR(__xludf.DUMMYFUNCTION("""COMPUTED_VALUE"""),"Find the Kth Smallest Sum of a Matrix With Sorted Rows")</f>
        <v>Find the Kth Smallest Sum of a Matrix With Sorted Rows</v>
      </c>
      <c r="C1440" s="20" t="str">
        <f>IFERROR(__xludf.DUMMYFUNCTION("""COMPUTED_VALUE"""),"find-the-kth-smallest-sum-of-a-matrix-with-sorted-rows")</f>
        <v>find-the-kth-smallest-sum-of-a-matrix-with-sorted-rows</v>
      </c>
      <c r="D1440" s="20" t="b">
        <f>IFERROR(__xludf.DUMMYFUNCTION("""COMPUTED_VALUE"""),FALSE)</f>
        <v>0</v>
      </c>
      <c r="E1440" s="20" t="str">
        <f>IFERROR(__xludf.DUMMYFUNCTION("""COMPUTED_VALUE"""),"Hard")</f>
        <v>Hard</v>
      </c>
      <c r="F1440" s="20">
        <f>IFERROR(__xludf.DUMMYFUNCTION("""COMPUTED_VALUE"""),1004.0)</f>
        <v>1004</v>
      </c>
      <c r="G1440" s="20">
        <f>IFERROR(__xludf.DUMMYFUNCTION("""COMPUTED_VALUE"""),14.0)</f>
        <v>14</v>
      </c>
      <c r="H1440" s="20" t="str">
        <f>IFERROR(__xludf.DUMMYFUNCTION("""COMPUTED_VALUE"""),"Algorithms")</f>
        <v>Algorithms</v>
      </c>
      <c r="I1440" s="20">
        <f>IFERROR(__xludf.DUMMYFUNCTION("""COMPUTED_VALUE"""),0.614)</f>
        <v>0.614</v>
      </c>
      <c r="J1440" s="20">
        <f>IFERROR(__xludf.DUMMYFUNCTION("""COMPUTED_VALUE"""),1439.0)</f>
        <v>1439</v>
      </c>
      <c r="K1440" s="20" t="b">
        <f>IFERROR(__xludf.DUMMYFUNCTION("""COMPUTED_VALUE"""),FALSE)</f>
        <v>0</v>
      </c>
      <c r="L1440" s="20" t="str">
        <f>IFERROR(__xludf.DUMMYFUNCTION("""COMPUTED_VALUE"""),"Array;Binary Search;Heap (Priority Queue);Matrix;")</f>
        <v>Array;Binary Search;Heap (Priority Queue);Matrix;</v>
      </c>
      <c r="M1440" s="20" t="b">
        <f>IFERROR(__xludf.DUMMYFUNCTION("""COMPUTED_VALUE"""),FALSE)</f>
        <v>0</v>
      </c>
      <c r="N1440" s="20" t="b">
        <f>IFERROR(__xludf.DUMMYFUNCTION("""COMPUTED_VALUE"""),FALSE)</f>
        <v>0</v>
      </c>
      <c r="O1440" s="20">
        <f>IFERROR(__xludf.DUMMYFUNCTION("""COMPUTED_VALUE"""),61.3783043055432)</f>
        <v>61.37830431</v>
      </c>
      <c r="P1440" s="20">
        <f>IFERROR(__xludf.DUMMYFUNCTION("""COMPUTED_VALUE"""),27770.0)</f>
        <v>27770</v>
      </c>
      <c r="Q1440" s="20">
        <f>IFERROR(__xludf.DUMMYFUNCTION("""COMPUTED_VALUE"""),45244.0)</f>
        <v>45244</v>
      </c>
    </row>
    <row r="1441">
      <c r="A1441" s="20">
        <f>IFERROR(__xludf.DUMMYFUNCTION("""COMPUTED_VALUE"""),1565.0)</f>
        <v>1565</v>
      </c>
      <c r="B1441" s="20" t="str">
        <f>IFERROR(__xludf.DUMMYFUNCTION("""COMPUTED_VALUE"""),"Evaluate Boolean Expression")</f>
        <v>Evaluate Boolean Expression</v>
      </c>
      <c r="C1441" s="20" t="str">
        <f>IFERROR(__xludf.DUMMYFUNCTION("""COMPUTED_VALUE"""),"evaluate-boolean-expression")</f>
        <v>evaluate-boolean-expression</v>
      </c>
      <c r="D1441" s="20" t="b">
        <f>IFERROR(__xludf.DUMMYFUNCTION("""COMPUTED_VALUE"""),TRUE)</f>
        <v>1</v>
      </c>
      <c r="E1441" s="20" t="str">
        <f>IFERROR(__xludf.DUMMYFUNCTION("""COMPUTED_VALUE"""),"Medium")</f>
        <v>Medium</v>
      </c>
      <c r="F1441" s="20">
        <f>IFERROR(__xludf.DUMMYFUNCTION("""COMPUTED_VALUE"""),166.0)</f>
        <v>166</v>
      </c>
      <c r="G1441" s="20">
        <f>IFERROR(__xludf.DUMMYFUNCTION("""COMPUTED_VALUE"""),11.0)</f>
        <v>11</v>
      </c>
      <c r="H1441" s="20" t="str">
        <f>IFERROR(__xludf.DUMMYFUNCTION("""COMPUTED_VALUE"""),"Database")</f>
        <v>Database</v>
      </c>
      <c r="I1441" s="20">
        <f>IFERROR(__xludf.DUMMYFUNCTION("""COMPUTED_VALUE"""),0.762)</f>
        <v>0.762</v>
      </c>
      <c r="J1441" s="20">
        <f>IFERROR(__xludf.DUMMYFUNCTION("""COMPUTED_VALUE"""),1440.0)</f>
        <v>1440</v>
      </c>
      <c r="K1441" s="20" t="b">
        <f>IFERROR(__xludf.DUMMYFUNCTION("""COMPUTED_VALUE"""),TRUE)</f>
        <v>1</v>
      </c>
      <c r="L1441" s="20" t="str">
        <f>IFERROR(__xludf.DUMMYFUNCTION("""COMPUTED_VALUE"""),"Database;")</f>
        <v>Database;</v>
      </c>
      <c r="M1441" s="20" t="b">
        <f>IFERROR(__xludf.DUMMYFUNCTION("""COMPUTED_VALUE"""),FALSE)</f>
        <v>0</v>
      </c>
      <c r="N1441" s="20" t="b">
        <f>IFERROR(__xludf.DUMMYFUNCTION("""COMPUTED_VALUE"""),FALSE)</f>
        <v>0</v>
      </c>
      <c r="O1441" s="20">
        <f>IFERROR(__xludf.DUMMYFUNCTION("""COMPUTED_VALUE"""),76.2067322959669)</f>
        <v>76.2067323</v>
      </c>
      <c r="P1441" s="20">
        <f>IFERROR(__xludf.DUMMYFUNCTION("""COMPUTED_VALUE"""),19198.0)</f>
        <v>19198</v>
      </c>
      <c r="Q1441" s="20">
        <f>IFERROR(__xludf.DUMMYFUNCTION("""COMPUTED_VALUE"""),25192.0)</f>
        <v>25192</v>
      </c>
    </row>
    <row r="1442">
      <c r="A1442" s="20">
        <f>IFERROR(__xludf.DUMMYFUNCTION("""COMPUTED_VALUE"""),1552.0)</f>
        <v>1552</v>
      </c>
      <c r="B1442" s="20" t="str">
        <f>IFERROR(__xludf.DUMMYFUNCTION("""COMPUTED_VALUE"""),"Build an Array With Stack Operations")</f>
        <v>Build an Array With Stack Operations</v>
      </c>
      <c r="C1442" s="20" t="str">
        <f>IFERROR(__xludf.DUMMYFUNCTION("""COMPUTED_VALUE"""),"build-an-array-with-stack-operations")</f>
        <v>build-an-array-with-stack-operations</v>
      </c>
      <c r="D1442" s="20" t="b">
        <f>IFERROR(__xludf.DUMMYFUNCTION("""COMPUTED_VALUE"""),FALSE)</f>
        <v>0</v>
      </c>
      <c r="E1442" s="20" t="str">
        <f>IFERROR(__xludf.DUMMYFUNCTION("""COMPUTED_VALUE"""),"Medium")</f>
        <v>Medium</v>
      </c>
      <c r="F1442" s="20">
        <f>IFERROR(__xludf.DUMMYFUNCTION("""COMPUTED_VALUE"""),105.0)</f>
        <v>105</v>
      </c>
      <c r="G1442" s="20">
        <f>IFERROR(__xludf.DUMMYFUNCTION("""COMPUTED_VALUE"""),19.0)</f>
        <v>19</v>
      </c>
      <c r="H1442" s="20" t="str">
        <f>IFERROR(__xludf.DUMMYFUNCTION("""COMPUTED_VALUE"""),"Algorithms")</f>
        <v>Algorithms</v>
      </c>
      <c r="I1442" s="20">
        <f>IFERROR(__xludf.DUMMYFUNCTION("""COMPUTED_VALUE"""),0.715)</f>
        <v>0.715</v>
      </c>
      <c r="J1442" s="20">
        <f>IFERROR(__xludf.DUMMYFUNCTION("""COMPUTED_VALUE"""),1441.0)</f>
        <v>1441</v>
      </c>
      <c r="K1442" s="20" t="b">
        <f>IFERROR(__xludf.DUMMYFUNCTION("""COMPUTED_VALUE"""),FALSE)</f>
        <v>0</v>
      </c>
      <c r="L1442" s="20" t="str">
        <f>IFERROR(__xludf.DUMMYFUNCTION("""COMPUTED_VALUE"""),"Array;Stack;Simulation;")</f>
        <v>Array;Stack;Simulation;</v>
      </c>
      <c r="M1442" s="20" t="b">
        <f>IFERROR(__xludf.DUMMYFUNCTION("""COMPUTED_VALUE"""),FALSE)</f>
        <v>0</v>
      </c>
      <c r="N1442" s="20" t="b">
        <f>IFERROR(__xludf.DUMMYFUNCTION("""COMPUTED_VALUE"""),FALSE)</f>
        <v>0</v>
      </c>
      <c r="O1442" s="20">
        <f>IFERROR(__xludf.DUMMYFUNCTION("""COMPUTED_VALUE"""),71.5168118529463)</f>
        <v>71.51681185</v>
      </c>
      <c r="P1442" s="20">
        <f>IFERROR(__xludf.DUMMYFUNCTION("""COMPUTED_VALUE"""),69701.0)</f>
        <v>69701</v>
      </c>
      <c r="Q1442" s="20">
        <f>IFERROR(__xludf.DUMMYFUNCTION("""COMPUTED_VALUE"""),97461.0)</f>
        <v>97461</v>
      </c>
    </row>
    <row r="1443">
      <c r="A1443" s="20">
        <f>IFERROR(__xludf.DUMMYFUNCTION("""COMPUTED_VALUE"""),1553.0)</f>
        <v>1553</v>
      </c>
      <c r="B1443" s="20" t="str">
        <f>IFERROR(__xludf.DUMMYFUNCTION("""COMPUTED_VALUE"""),"Count Triplets That Can Form Two Arrays of Equal XOR")</f>
        <v>Count Triplets That Can Form Two Arrays of Equal XOR</v>
      </c>
      <c r="C1443" s="20" t="str">
        <f>IFERROR(__xludf.DUMMYFUNCTION("""COMPUTED_VALUE"""),"count-triplets-that-can-form-two-arrays-of-equal-xor")</f>
        <v>count-triplets-that-can-form-two-arrays-of-equal-xor</v>
      </c>
      <c r="D1443" s="20" t="b">
        <f>IFERROR(__xludf.DUMMYFUNCTION("""COMPUTED_VALUE"""),FALSE)</f>
        <v>0</v>
      </c>
      <c r="E1443" s="20" t="str">
        <f>IFERROR(__xludf.DUMMYFUNCTION("""COMPUTED_VALUE"""),"Medium")</f>
        <v>Medium</v>
      </c>
      <c r="F1443" s="20">
        <f>IFERROR(__xludf.DUMMYFUNCTION("""COMPUTED_VALUE"""),1120.0)</f>
        <v>1120</v>
      </c>
      <c r="G1443" s="20">
        <f>IFERROR(__xludf.DUMMYFUNCTION("""COMPUTED_VALUE"""),52.0)</f>
        <v>52</v>
      </c>
      <c r="H1443" s="20" t="str">
        <f>IFERROR(__xludf.DUMMYFUNCTION("""COMPUTED_VALUE"""),"Algorithms")</f>
        <v>Algorithms</v>
      </c>
      <c r="I1443" s="20">
        <f>IFERROR(__xludf.DUMMYFUNCTION("""COMPUTED_VALUE"""),0.758)</f>
        <v>0.758</v>
      </c>
      <c r="J1443" s="20">
        <f>IFERROR(__xludf.DUMMYFUNCTION("""COMPUTED_VALUE"""),1442.0)</f>
        <v>1442</v>
      </c>
      <c r="K1443" s="20" t="b">
        <f>IFERROR(__xludf.DUMMYFUNCTION("""COMPUTED_VALUE"""),FALSE)</f>
        <v>0</v>
      </c>
      <c r="L1443" s="20" t="str">
        <f>IFERROR(__xludf.DUMMYFUNCTION("""COMPUTED_VALUE"""),"Array;Hash Table;Math;Bit Manipulation;Prefix Sum;")</f>
        <v>Array;Hash Table;Math;Bit Manipulation;Prefix Sum;</v>
      </c>
      <c r="M1443" s="20" t="b">
        <f>IFERROR(__xludf.DUMMYFUNCTION("""COMPUTED_VALUE"""),FALSE)</f>
        <v>0</v>
      </c>
      <c r="N1443" s="20" t="b">
        <f>IFERROR(__xludf.DUMMYFUNCTION("""COMPUTED_VALUE"""),FALSE)</f>
        <v>0</v>
      </c>
      <c r="O1443" s="20">
        <f>IFERROR(__xludf.DUMMYFUNCTION("""COMPUTED_VALUE"""),75.7570426959515)</f>
        <v>75.7570427</v>
      </c>
      <c r="P1443" s="20">
        <f>IFERROR(__xludf.DUMMYFUNCTION("""COMPUTED_VALUE"""),30146.0)</f>
        <v>30146</v>
      </c>
      <c r="Q1443" s="20">
        <f>IFERROR(__xludf.DUMMYFUNCTION("""COMPUTED_VALUE"""),39793.0)</f>
        <v>39793</v>
      </c>
    </row>
    <row r="1444">
      <c r="A1444" s="20">
        <f>IFERROR(__xludf.DUMMYFUNCTION("""COMPUTED_VALUE"""),1554.0)</f>
        <v>1554</v>
      </c>
      <c r="B1444" s="20" t="str">
        <f>IFERROR(__xludf.DUMMYFUNCTION("""COMPUTED_VALUE"""),"Minimum Time to Collect All Apples in a Tree")</f>
        <v>Minimum Time to Collect All Apples in a Tree</v>
      </c>
      <c r="C1444" s="20" t="str">
        <f>IFERROR(__xludf.DUMMYFUNCTION("""COMPUTED_VALUE"""),"minimum-time-to-collect-all-apples-in-a-tree")</f>
        <v>minimum-time-to-collect-all-apples-in-a-tree</v>
      </c>
      <c r="D1444" s="20" t="b">
        <f>IFERROR(__xludf.DUMMYFUNCTION("""COMPUTED_VALUE"""),FALSE)</f>
        <v>0</v>
      </c>
      <c r="E1444" s="20" t="str">
        <f>IFERROR(__xludf.DUMMYFUNCTION("""COMPUTED_VALUE"""),"Medium")</f>
        <v>Medium</v>
      </c>
      <c r="F1444" s="20">
        <f>IFERROR(__xludf.DUMMYFUNCTION("""COMPUTED_VALUE"""),1178.0)</f>
        <v>1178</v>
      </c>
      <c r="G1444" s="20">
        <f>IFERROR(__xludf.DUMMYFUNCTION("""COMPUTED_VALUE"""),94.0)</f>
        <v>94</v>
      </c>
      <c r="H1444" s="20" t="str">
        <f>IFERROR(__xludf.DUMMYFUNCTION("""COMPUTED_VALUE"""),"Algorithms")</f>
        <v>Algorithms</v>
      </c>
      <c r="I1444" s="20">
        <f>IFERROR(__xludf.DUMMYFUNCTION("""COMPUTED_VALUE"""),0.561)</f>
        <v>0.561</v>
      </c>
      <c r="J1444" s="20">
        <f>IFERROR(__xludf.DUMMYFUNCTION("""COMPUTED_VALUE"""),1443.0)</f>
        <v>1443</v>
      </c>
      <c r="K1444" s="20" t="b">
        <f>IFERROR(__xludf.DUMMYFUNCTION("""COMPUTED_VALUE"""),FALSE)</f>
        <v>0</v>
      </c>
      <c r="L1444" s="20" t="str">
        <f>IFERROR(__xludf.DUMMYFUNCTION("""COMPUTED_VALUE"""),"Hash Table;Tree;Depth-First Search;Breadth-First Search;")</f>
        <v>Hash Table;Tree;Depth-First Search;Breadth-First Search;</v>
      </c>
      <c r="M1444" s="20" t="b">
        <f>IFERROR(__xludf.DUMMYFUNCTION("""COMPUTED_VALUE"""),TRUE)</f>
        <v>1</v>
      </c>
      <c r="N1444" s="20" t="b">
        <f>IFERROR(__xludf.DUMMYFUNCTION("""COMPUTED_VALUE"""),FALSE)</f>
        <v>0</v>
      </c>
      <c r="O1444" s="20">
        <f>IFERROR(__xludf.DUMMYFUNCTION("""COMPUTED_VALUE"""),56.0586043360433)</f>
        <v>56.05860434</v>
      </c>
      <c r="P1444" s="20">
        <f>IFERROR(__xludf.DUMMYFUNCTION("""COMPUTED_VALUE"""),33097.0)</f>
        <v>33097</v>
      </c>
      <c r="Q1444" s="20">
        <f>IFERROR(__xludf.DUMMYFUNCTION("""COMPUTED_VALUE"""),59038.0)</f>
        <v>59038</v>
      </c>
    </row>
    <row r="1445">
      <c r="A1445" s="20">
        <f>IFERROR(__xludf.DUMMYFUNCTION("""COMPUTED_VALUE"""),1555.0)</f>
        <v>1555</v>
      </c>
      <c r="B1445" s="20" t="str">
        <f>IFERROR(__xludf.DUMMYFUNCTION("""COMPUTED_VALUE"""),"Number of Ways of Cutting a Pizza")</f>
        <v>Number of Ways of Cutting a Pizza</v>
      </c>
      <c r="C1445" s="20" t="str">
        <f>IFERROR(__xludf.DUMMYFUNCTION("""COMPUTED_VALUE"""),"number-of-ways-of-cutting-a-pizza")</f>
        <v>number-of-ways-of-cutting-a-pizza</v>
      </c>
      <c r="D1445" s="20" t="b">
        <f>IFERROR(__xludf.DUMMYFUNCTION("""COMPUTED_VALUE"""),FALSE)</f>
        <v>0</v>
      </c>
      <c r="E1445" s="20" t="str">
        <f>IFERROR(__xludf.DUMMYFUNCTION("""COMPUTED_VALUE"""),"Hard")</f>
        <v>Hard</v>
      </c>
      <c r="F1445" s="20">
        <f>IFERROR(__xludf.DUMMYFUNCTION("""COMPUTED_VALUE"""),649.0)</f>
        <v>649</v>
      </c>
      <c r="G1445" s="20">
        <f>IFERROR(__xludf.DUMMYFUNCTION("""COMPUTED_VALUE"""),29.0)</f>
        <v>29</v>
      </c>
      <c r="H1445" s="20" t="str">
        <f>IFERROR(__xludf.DUMMYFUNCTION("""COMPUTED_VALUE"""),"Algorithms")</f>
        <v>Algorithms</v>
      </c>
      <c r="I1445" s="20">
        <f>IFERROR(__xludf.DUMMYFUNCTION("""COMPUTED_VALUE"""),0.574)</f>
        <v>0.574</v>
      </c>
      <c r="J1445" s="20">
        <f>IFERROR(__xludf.DUMMYFUNCTION("""COMPUTED_VALUE"""),1444.0)</f>
        <v>1444</v>
      </c>
      <c r="K1445" s="20" t="b">
        <f>IFERROR(__xludf.DUMMYFUNCTION("""COMPUTED_VALUE"""),FALSE)</f>
        <v>0</v>
      </c>
      <c r="L1445" s="20" t="str">
        <f>IFERROR(__xludf.DUMMYFUNCTION("""COMPUTED_VALUE"""),"Array;Dynamic Programming;Memoization;Matrix;")</f>
        <v>Array;Dynamic Programming;Memoization;Matrix;</v>
      </c>
      <c r="M1445" s="20" t="b">
        <f>IFERROR(__xludf.DUMMYFUNCTION("""COMPUTED_VALUE"""),FALSE)</f>
        <v>0</v>
      </c>
      <c r="N1445" s="20" t="b">
        <f>IFERROR(__xludf.DUMMYFUNCTION("""COMPUTED_VALUE"""),FALSE)</f>
        <v>0</v>
      </c>
      <c r="O1445" s="20">
        <f>IFERROR(__xludf.DUMMYFUNCTION("""COMPUTED_VALUE"""),57.4141876430206)</f>
        <v>57.41418764</v>
      </c>
      <c r="P1445" s="20">
        <f>IFERROR(__xludf.DUMMYFUNCTION("""COMPUTED_VALUE"""),22579.0)</f>
        <v>22579</v>
      </c>
      <c r="Q1445" s="20">
        <f>IFERROR(__xludf.DUMMYFUNCTION("""COMPUTED_VALUE"""),39328.0)</f>
        <v>39328</v>
      </c>
    </row>
    <row r="1446">
      <c r="A1446" s="20">
        <f>IFERROR(__xludf.DUMMYFUNCTION("""COMPUTED_VALUE"""),1578.0)</f>
        <v>1578</v>
      </c>
      <c r="B1446" s="20" t="str">
        <f>IFERROR(__xludf.DUMMYFUNCTION("""COMPUTED_VALUE"""),"Apples &amp; Oranges")</f>
        <v>Apples &amp; Oranges</v>
      </c>
      <c r="C1446" s="20" t="str">
        <f>IFERROR(__xludf.DUMMYFUNCTION("""COMPUTED_VALUE"""),"apples-oranges")</f>
        <v>apples-oranges</v>
      </c>
      <c r="D1446" s="20" t="b">
        <f>IFERROR(__xludf.DUMMYFUNCTION("""COMPUTED_VALUE"""),TRUE)</f>
        <v>1</v>
      </c>
      <c r="E1446" s="20" t="str">
        <f>IFERROR(__xludf.DUMMYFUNCTION("""COMPUTED_VALUE"""),"Medium")</f>
        <v>Medium</v>
      </c>
      <c r="F1446" s="20">
        <f>IFERROR(__xludf.DUMMYFUNCTION("""COMPUTED_VALUE"""),196.0)</f>
        <v>196</v>
      </c>
      <c r="G1446" s="20">
        <f>IFERROR(__xludf.DUMMYFUNCTION("""COMPUTED_VALUE"""),17.0)</f>
        <v>17</v>
      </c>
      <c r="H1446" s="20" t="str">
        <f>IFERROR(__xludf.DUMMYFUNCTION("""COMPUTED_VALUE"""),"Database")</f>
        <v>Database</v>
      </c>
      <c r="I1446" s="20">
        <f>IFERROR(__xludf.DUMMYFUNCTION("""COMPUTED_VALUE"""),0.908)</f>
        <v>0.908</v>
      </c>
      <c r="J1446" s="20">
        <f>IFERROR(__xludf.DUMMYFUNCTION("""COMPUTED_VALUE"""),1445.0)</f>
        <v>1445</v>
      </c>
      <c r="K1446" s="20" t="b">
        <f>IFERROR(__xludf.DUMMYFUNCTION("""COMPUTED_VALUE"""),TRUE)</f>
        <v>1</v>
      </c>
      <c r="L1446" s="20" t="str">
        <f>IFERROR(__xludf.DUMMYFUNCTION("""COMPUTED_VALUE"""),"Database;")</f>
        <v>Database;</v>
      </c>
      <c r="M1446" s="20" t="b">
        <f>IFERROR(__xludf.DUMMYFUNCTION("""COMPUTED_VALUE"""),FALSE)</f>
        <v>0</v>
      </c>
      <c r="N1446" s="20" t="b">
        <f>IFERROR(__xludf.DUMMYFUNCTION("""COMPUTED_VALUE"""),FALSE)</f>
        <v>0</v>
      </c>
      <c r="O1446" s="20">
        <f>IFERROR(__xludf.DUMMYFUNCTION("""COMPUTED_VALUE"""),90.8267324384575)</f>
        <v>90.82673244</v>
      </c>
      <c r="P1446" s="20">
        <f>IFERROR(__xludf.DUMMYFUNCTION("""COMPUTED_VALUE"""),38296.0)</f>
        <v>38296</v>
      </c>
      <c r="Q1446" s="20">
        <f>IFERROR(__xludf.DUMMYFUNCTION("""COMPUTED_VALUE"""),42164.0)</f>
        <v>42164</v>
      </c>
    </row>
    <row r="1447">
      <c r="A1447" s="20">
        <f>IFERROR(__xludf.DUMMYFUNCTION("""COMPUTED_VALUE"""),1542.0)</f>
        <v>1542</v>
      </c>
      <c r="B1447" s="20" t="str">
        <f>IFERROR(__xludf.DUMMYFUNCTION("""COMPUTED_VALUE"""),"Consecutive Characters")</f>
        <v>Consecutive Characters</v>
      </c>
      <c r="C1447" s="20" t="str">
        <f>IFERROR(__xludf.DUMMYFUNCTION("""COMPUTED_VALUE"""),"consecutive-characters")</f>
        <v>consecutive-characters</v>
      </c>
      <c r="D1447" s="20" t="b">
        <f>IFERROR(__xludf.DUMMYFUNCTION("""COMPUTED_VALUE"""),FALSE)</f>
        <v>0</v>
      </c>
      <c r="E1447" s="20" t="str">
        <f>IFERROR(__xludf.DUMMYFUNCTION("""COMPUTED_VALUE"""),"Easy")</f>
        <v>Easy</v>
      </c>
      <c r="F1447" s="20">
        <f>IFERROR(__xludf.DUMMYFUNCTION("""COMPUTED_VALUE"""),1430.0)</f>
        <v>1430</v>
      </c>
      <c r="G1447" s="20">
        <f>IFERROR(__xludf.DUMMYFUNCTION("""COMPUTED_VALUE"""),28.0)</f>
        <v>28</v>
      </c>
      <c r="H1447" s="20" t="str">
        <f>IFERROR(__xludf.DUMMYFUNCTION("""COMPUTED_VALUE"""),"Algorithms")</f>
        <v>Algorithms</v>
      </c>
      <c r="I1447" s="20">
        <f>IFERROR(__xludf.DUMMYFUNCTION("""COMPUTED_VALUE"""),0.615)</f>
        <v>0.615</v>
      </c>
      <c r="J1447" s="20">
        <f>IFERROR(__xludf.DUMMYFUNCTION("""COMPUTED_VALUE"""),1446.0)</f>
        <v>1446</v>
      </c>
      <c r="K1447" s="20" t="b">
        <f>IFERROR(__xludf.DUMMYFUNCTION("""COMPUTED_VALUE"""),FALSE)</f>
        <v>0</v>
      </c>
      <c r="L1447" s="20" t="str">
        <f>IFERROR(__xludf.DUMMYFUNCTION("""COMPUTED_VALUE"""),"String;")</f>
        <v>String;</v>
      </c>
      <c r="M1447" s="20" t="b">
        <f>IFERROR(__xludf.DUMMYFUNCTION("""COMPUTED_VALUE"""),TRUE)</f>
        <v>1</v>
      </c>
      <c r="N1447" s="20" t="b">
        <f>IFERROR(__xludf.DUMMYFUNCTION("""COMPUTED_VALUE"""),FALSE)</f>
        <v>0</v>
      </c>
      <c r="O1447" s="20">
        <f>IFERROR(__xludf.DUMMYFUNCTION("""COMPUTED_VALUE"""),61.5110135814193)</f>
        <v>61.51101358</v>
      </c>
      <c r="P1447" s="20">
        <f>IFERROR(__xludf.DUMMYFUNCTION("""COMPUTED_VALUE"""),133426.0)</f>
        <v>133426</v>
      </c>
      <c r="Q1447" s="20">
        <f>IFERROR(__xludf.DUMMYFUNCTION("""COMPUTED_VALUE"""),216914.0)</f>
        <v>216914</v>
      </c>
    </row>
    <row r="1448">
      <c r="A1448" s="20">
        <f>IFERROR(__xludf.DUMMYFUNCTION("""COMPUTED_VALUE"""),1543.0)</f>
        <v>1543</v>
      </c>
      <c r="B1448" s="20" t="str">
        <f>IFERROR(__xludf.DUMMYFUNCTION("""COMPUTED_VALUE"""),"Simplified Fractions")</f>
        <v>Simplified Fractions</v>
      </c>
      <c r="C1448" s="20" t="str">
        <f>IFERROR(__xludf.DUMMYFUNCTION("""COMPUTED_VALUE"""),"simplified-fractions")</f>
        <v>simplified-fractions</v>
      </c>
      <c r="D1448" s="20" t="b">
        <f>IFERROR(__xludf.DUMMYFUNCTION("""COMPUTED_VALUE"""),FALSE)</f>
        <v>0</v>
      </c>
      <c r="E1448" s="20" t="str">
        <f>IFERROR(__xludf.DUMMYFUNCTION("""COMPUTED_VALUE"""),"Medium")</f>
        <v>Medium</v>
      </c>
      <c r="F1448" s="20">
        <f>IFERROR(__xludf.DUMMYFUNCTION("""COMPUTED_VALUE"""),312.0)</f>
        <v>312</v>
      </c>
      <c r="G1448" s="20">
        <f>IFERROR(__xludf.DUMMYFUNCTION("""COMPUTED_VALUE"""),39.0)</f>
        <v>39</v>
      </c>
      <c r="H1448" s="20" t="str">
        <f>IFERROR(__xludf.DUMMYFUNCTION("""COMPUTED_VALUE"""),"Algorithms")</f>
        <v>Algorithms</v>
      </c>
      <c r="I1448" s="20">
        <f>IFERROR(__xludf.DUMMYFUNCTION("""COMPUTED_VALUE"""),0.65)</f>
        <v>0.65</v>
      </c>
      <c r="J1448" s="20">
        <f>IFERROR(__xludf.DUMMYFUNCTION("""COMPUTED_VALUE"""),1447.0)</f>
        <v>1447</v>
      </c>
      <c r="K1448" s="20" t="b">
        <f>IFERROR(__xludf.DUMMYFUNCTION("""COMPUTED_VALUE"""),FALSE)</f>
        <v>0</v>
      </c>
      <c r="L1448" s="20" t="str">
        <f>IFERROR(__xludf.DUMMYFUNCTION("""COMPUTED_VALUE"""),"Math;String;Number Theory;")</f>
        <v>Math;String;Number Theory;</v>
      </c>
      <c r="M1448" s="20" t="b">
        <f>IFERROR(__xludf.DUMMYFUNCTION("""COMPUTED_VALUE"""),FALSE)</f>
        <v>0</v>
      </c>
      <c r="N1448" s="20" t="b">
        <f>IFERROR(__xludf.DUMMYFUNCTION("""COMPUTED_VALUE"""),FALSE)</f>
        <v>0</v>
      </c>
      <c r="O1448" s="20">
        <f>IFERROR(__xludf.DUMMYFUNCTION("""COMPUTED_VALUE"""),64.9843926238753)</f>
        <v>64.98439262</v>
      </c>
      <c r="P1448" s="20">
        <f>IFERROR(__xludf.DUMMYFUNCTION("""COMPUTED_VALUE"""),24774.0)</f>
        <v>24774</v>
      </c>
      <c r="Q1448" s="20">
        <f>IFERROR(__xludf.DUMMYFUNCTION("""COMPUTED_VALUE"""),38123.0)</f>
        <v>38123</v>
      </c>
    </row>
    <row r="1449">
      <c r="A1449" s="20">
        <f>IFERROR(__xludf.DUMMYFUNCTION("""COMPUTED_VALUE"""),1544.0)</f>
        <v>1544</v>
      </c>
      <c r="B1449" s="20" t="str">
        <f>IFERROR(__xludf.DUMMYFUNCTION("""COMPUTED_VALUE"""),"Count Good Nodes in Binary Tree")</f>
        <v>Count Good Nodes in Binary Tree</v>
      </c>
      <c r="C1449" s="20" t="str">
        <f>IFERROR(__xludf.DUMMYFUNCTION("""COMPUTED_VALUE"""),"count-good-nodes-in-binary-tree")</f>
        <v>count-good-nodes-in-binary-tree</v>
      </c>
      <c r="D1449" s="20" t="b">
        <f>IFERROR(__xludf.DUMMYFUNCTION("""COMPUTED_VALUE"""),FALSE)</f>
        <v>0</v>
      </c>
      <c r="E1449" s="20" t="str">
        <f>IFERROR(__xludf.DUMMYFUNCTION("""COMPUTED_VALUE"""),"Medium")</f>
        <v>Medium</v>
      </c>
      <c r="F1449" s="20">
        <f>IFERROR(__xludf.DUMMYFUNCTION("""COMPUTED_VALUE"""),4426.0)</f>
        <v>4426</v>
      </c>
      <c r="G1449" s="20">
        <f>IFERROR(__xludf.DUMMYFUNCTION("""COMPUTED_VALUE"""),119.0)</f>
        <v>119</v>
      </c>
      <c r="H1449" s="20" t="str">
        <f>IFERROR(__xludf.DUMMYFUNCTION("""COMPUTED_VALUE"""),"Algorithms")</f>
        <v>Algorithms</v>
      </c>
      <c r="I1449" s="20">
        <f>IFERROR(__xludf.DUMMYFUNCTION("""COMPUTED_VALUE"""),0.745)</f>
        <v>0.745</v>
      </c>
      <c r="J1449" s="20">
        <f>IFERROR(__xludf.DUMMYFUNCTION("""COMPUTED_VALUE"""),1448.0)</f>
        <v>1448</v>
      </c>
      <c r="K1449" s="20" t="b">
        <f>IFERROR(__xludf.DUMMYFUNCTION("""COMPUTED_VALUE"""),FALSE)</f>
        <v>0</v>
      </c>
      <c r="L1449" s="20" t="str">
        <f>IFERROR(__xludf.DUMMYFUNCTION("""COMPUTED_VALUE"""),"Tree;Depth-First Search;Breadth-First Search;Binary Tree;")</f>
        <v>Tree;Depth-First Search;Breadth-First Search;Binary Tree;</v>
      </c>
      <c r="M1449" s="20" t="b">
        <f>IFERROR(__xludf.DUMMYFUNCTION("""COMPUTED_VALUE"""),TRUE)</f>
        <v>1</v>
      </c>
      <c r="N1449" s="20" t="b">
        <f>IFERROR(__xludf.DUMMYFUNCTION("""COMPUTED_VALUE"""),TRUE)</f>
        <v>1</v>
      </c>
      <c r="O1449" s="20">
        <f>IFERROR(__xludf.DUMMYFUNCTION("""COMPUTED_VALUE"""),74.4998555447988)</f>
        <v>74.49985554</v>
      </c>
      <c r="P1449" s="20">
        <f>IFERROR(__xludf.DUMMYFUNCTION("""COMPUTED_VALUE"""),293965.0)</f>
        <v>293965</v>
      </c>
      <c r="Q1449" s="20">
        <f>IFERROR(__xludf.DUMMYFUNCTION("""COMPUTED_VALUE"""),394585.0)</f>
        <v>394585</v>
      </c>
    </row>
    <row r="1450">
      <c r="A1450" s="20">
        <f>IFERROR(__xludf.DUMMYFUNCTION("""COMPUTED_VALUE"""),1545.0)</f>
        <v>1545</v>
      </c>
      <c r="B1450" s="20" t="str">
        <f>IFERROR(__xludf.DUMMYFUNCTION("""COMPUTED_VALUE"""),"Form Largest Integer With Digits That Add up to Target")</f>
        <v>Form Largest Integer With Digits That Add up to Target</v>
      </c>
      <c r="C1450" s="20" t="str">
        <f>IFERROR(__xludf.DUMMYFUNCTION("""COMPUTED_VALUE"""),"form-largest-integer-with-digits-that-add-up-to-target")</f>
        <v>form-largest-integer-with-digits-that-add-up-to-target</v>
      </c>
      <c r="D1450" s="20" t="b">
        <f>IFERROR(__xludf.DUMMYFUNCTION("""COMPUTED_VALUE"""),FALSE)</f>
        <v>0</v>
      </c>
      <c r="E1450" s="20" t="str">
        <f>IFERROR(__xludf.DUMMYFUNCTION("""COMPUTED_VALUE"""),"Hard")</f>
        <v>Hard</v>
      </c>
      <c r="F1450" s="20">
        <f>IFERROR(__xludf.DUMMYFUNCTION("""COMPUTED_VALUE"""),580.0)</f>
        <v>580</v>
      </c>
      <c r="G1450" s="20">
        <f>IFERROR(__xludf.DUMMYFUNCTION("""COMPUTED_VALUE"""),12.0)</f>
        <v>12</v>
      </c>
      <c r="H1450" s="20" t="str">
        <f>IFERROR(__xludf.DUMMYFUNCTION("""COMPUTED_VALUE"""),"Algorithms")</f>
        <v>Algorithms</v>
      </c>
      <c r="I1450" s="20">
        <f>IFERROR(__xludf.DUMMYFUNCTION("""COMPUTED_VALUE"""),0.473)</f>
        <v>0.473</v>
      </c>
      <c r="J1450" s="20">
        <f>IFERROR(__xludf.DUMMYFUNCTION("""COMPUTED_VALUE"""),1449.0)</f>
        <v>1449</v>
      </c>
      <c r="K1450" s="20" t="b">
        <f>IFERROR(__xludf.DUMMYFUNCTION("""COMPUTED_VALUE"""),FALSE)</f>
        <v>0</v>
      </c>
      <c r="L1450" s="20" t="str">
        <f>IFERROR(__xludf.DUMMYFUNCTION("""COMPUTED_VALUE"""),"Array;Dynamic Programming;")</f>
        <v>Array;Dynamic Programming;</v>
      </c>
      <c r="M1450" s="20" t="b">
        <f>IFERROR(__xludf.DUMMYFUNCTION("""COMPUTED_VALUE"""),FALSE)</f>
        <v>0</v>
      </c>
      <c r="N1450" s="20" t="b">
        <f>IFERROR(__xludf.DUMMYFUNCTION("""COMPUTED_VALUE"""),FALSE)</f>
        <v>0</v>
      </c>
      <c r="O1450" s="20">
        <f>IFERROR(__xludf.DUMMYFUNCTION("""COMPUTED_VALUE"""),47.2798501107136)</f>
        <v>47.27985011</v>
      </c>
      <c r="P1450" s="20">
        <f>IFERROR(__xludf.DUMMYFUNCTION("""COMPUTED_VALUE"""),13879.0)</f>
        <v>13879</v>
      </c>
      <c r="Q1450" s="20">
        <f>IFERROR(__xludf.DUMMYFUNCTION("""COMPUTED_VALUE"""),29355.0)</f>
        <v>29355</v>
      </c>
    </row>
    <row r="1451">
      <c r="A1451" s="20">
        <f>IFERROR(__xludf.DUMMYFUNCTION("""COMPUTED_VALUE"""),1560.0)</f>
        <v>1560</v>
      </c>
      <c r="B1451" s="20" t="str">
        <f>IFERROR(__xludf.DUMMYFUNCTION("""COMPUTED_VALUE"""),"Number of Students Doing Homework at a Given Time")</f>
        <v>Number of Students Doing Homework at a Given Time</v>
      </c>
      <c r="C1451" s="20" t="str">
        <f>IFERROR(__xludf.DUMMYFUNCTION("""COMPUTED_VALUE"""),"number-of-students-doing-homework-at-a-given-time")</f>
        <v>number-of-students-doing-homework-at-a-given-time</v>
      </c>
      <c r="D1451" s="20" t="b">
        <f>IFERROR(__xludf.DUMMYFUNCTION("""COMPUTED_VALUE"""),FALSE)</f>
        <v>0</v>
      </c>
      <c r="E1451" s="20" t="str">
        <f>IFERROR(__xludf.DUMMYFUNCTION("""COMPUTED_VALUE"""),"Easy")</f>
        <v>Easy</v>
      </c>
      <c r="F1451" s="20">
        <f>IFERROR(__xludf.DUMMYFUNCTION("""COMPUTED_VALUE"""),697.0)</f>
        <v>697</v>
      </c>
      <c r="G1451" s="20">
        <f>IFERROR(__xludf.DUMMYFUNCTION("""COMPUTED_VALUE"""),139.0)</f>
        <v>139</v>
      </c>
      <c r="H1451" s="20" t="str">
        <f>IFERROR(__xludf.DUMMYFUNCTION("""COMPUTED_VALUE"""),"Algorithms")</f>
        <v>Algorithms</v>
      </c>
      <c r="I1451" s="20">
        <f>IFERROR(__xludf.DUMMYFUNCTION("""COMPUTED_VALUE"""),0.758)</f>
        <v>0.758</v>
      </c>
      <c r="J1451" s="20">
        <f>IFERROR(__xludf.DUMMYFUNCTION("""COMPUTED_VALUE"""),1450.0)</f>
        <v>1450</v>
      </c>
      <c r="K1451" s="20" t="b">
        <f>IFERROR(__xludf.DUMMYFUNCTION("""COMPUTED_VALUE"""),FALSE)</f>
        <v>0</v>
      </c>
      <c r="L1451" s="20" t="str">
        <f>IFERROR(__xludf.DUMMYFUNCTION("""COMPUTED_VALUE"""),"Array;")</f>
        <v>Array;</v>
      </c>
      <c r="M1451" s="20" t="b">
        <f>IFERROR(__xludf.DUMMYFUNCTION("""COMPUTED_VALUE"""),FALSE)</f>
        <v>0</v>
      </c>
      <c r="N1451" s="20" t="b">
        <f>IFERROR(__xludf.DUMMYFUNCTION("""COMPUTED_VALUE"""),FALSE)</f>
        <v>0</v>
      </c>
      <c r="O1451" s="20">
        <f>IFERROR(__xludf.DUMMYFUNCTION("""COMPUTED_VALUE"""),75.8446159686195)</f>
        <v>75.84461597</v>
      </c>
      <c r="P1451" s="20">
        <f>IFERROR(__xludf.DUMMYFUNCTION("""COMPUTED_VALUE"""),95903.0)</f>
        <v>95903</v>
      </c>
      <c r="Q1451" s="20">
        <f>IFERROR(__xludf.DUMMYFUNCTION("""COMPUTED_VALUE"""),126447.0)</f>
        <v>126447</v>
      </c>
    </row>
    <row r="1452">
      <c r="A1452" s="20">
        <f>IFERROR(__xludf.DUMMYFUNCTION("""COMPUTED_VALUE"""),1561.0)</f>
        <v>1561</v>
      </c>
      <c r="B1452" s="20" t="str">
        <f>IFERROR(__xludf.DUMMYFUNCTION("""COMPUTED_VALUE"""),"Rearrange Words in a Sentence")</f>
        <v>Rearrange Words in a Sentence</v>
      </c>
      <c r="C1452" s="20" t="str">
        <f>IFERROR(__xludf.DUMMYFUNCTION("""COMPUTED_VALUE"""),"rearrange-words-in-a-sentence")</f>
        <v>rearrange-words-in-a-sentence</v>
      </c>
      <c r="D1452" s="20" t="b">
        <f>IFERROR(__xludf.DUMMYFUNCTION("""COMPUTED_VALUE"""),FALSE)</f>
        <v>0</v>
      </c>
      <c r="E1452" s="20" t="str">
        <f>IFERROR(__xludf.DUMMYFUNCTION("""COMPUTED_VALUE"""),"Medium")</f>
        <v>Medium</v>
      </c>
      <c r="F1452" s="20">
        <f>IFERROR(__xludf.DUMMYFUNCTION("""COMPUTED_VALUE"""),596.0)</f>
        <v>596</v>
      </c>
      <c r="G1452" s="20">
        <f>IFERROR(__xludf.DUMMYFUNCTION("""COMPUTED_VALUE"""),70.0)</f>
        <v>70</v>
      </c>
      <c r="H1452" s="20" t="str">
        <f>IFERROR(__xludf.DUMMYFUNCTION("""COMPUTED_VALUE"""),"Algorithms")</f>
        <v>Algorithms</v>
      </c>
      <c r="I1452" s="20">
        <f>IFERROR(__xludf.DUMMYFUNCTION("""COMPUTED_VALUE"""),0.628)</f>
        <v>0.628</v>
      </c>
      <c r="J1452" s="20">
        <f>IFERROR(__xludf.DUMMYFUNCTION("""COMPUTED_VALUE"""),1451.0)</f>
        <v>1451</v>
      </c>
      <c r="K1452" s="20" t="b">
        <f>IFERROR(__xludf.DUMMYFUNCTION("""COMPUTED_VALUE"""),FALSE)</f>
        <v>0</v>
      </c>
      <c r="L1452" s="20" t="str">
        <f>IFERROR(__xludf.DUMMYFUNCTION("""COMPUTED_VALUE"""),"String;Sorting;")</f>
        <v>String;Sorting;</v>
      </c>
      <c r="M1452" s="20" t="b">
        <f>IFERROR(__xludf.DUMMYFUNCTION("""COMPUTED_VALUE"""),FALSE)</f>
        <v>0</v>
      </c>
      <c r="N1452" s="20" t="b">
        <f>IFERROR(__xludf.DUMMYFUNCTION("""COMPUTED_VALUE"""),FALSE)</f>
        <v>0</v>
      </c>
      <c r="O1452" s="20">
        <f>IFERROR(__xludf.DUMMYFUNCTION("""COMPUTED_VALUE"""),62.7514234319948)</f>
        <v>62.75142343</v>
      </c>
      <c r="P1452" s="20">
        <f>IFERROR(__xludf.DUMMYFUNCTION("""COMPUTED_VALUE"""),42211.0)</f>
        <v>42211</v>
      </c>
      <c r="Q1452" s="20">
        <f>IFERROR(__xludf.DUMMYFUNCTION("""COMPUTED_VALUE"""),67267.0)</f>
        <v>67267</v>
      </c>
    </row>
    <row r="1453">
      <c r="A1453" s="20">
        <f>IFERROR(__xludf.DUMMYFUNCTION("""COMPUTED_VALUE"""),1562.0)</f>
        <v>1562</v>
      </c>
      <c r="B1453" s="20" t="str">
        <f>IFERROR(__xludf.DUMMYFUNCTION("""COMPUTED_VALUE"""),"People Whose List of Favorite Companies Is Not a Subset of Another List")</f>
        <v>People Whose List of Favorite Companies Is Not a Subset of Another List</v>
      </c>
      <c r="C1453" s="20" t="str">
        <f>IFERROR(__xludf.DUMMYFUNCTION("""COMPUTED_VALUE"""),"people-whose-list-of-favorite-companies-is-not-a-subset-of-another-list")</f>
        <v>people-whose-list-of-favorite-companies-is-not-a-subset-of-another-list</v>
      </c>
      <c r="D1453" s="20" t="b">
        <f>IFERROR(__xludf.DUMMYFUNCTION("""COMPUTED_VALUE"""),FALSE)</f>
        <v>0</v>
      </c>
      <c r="E1453" s="20" t="str">
        <f>IFERROR(__xludf.DUMMYFUNCTION("""COMPUTED_VALUE"""),"Medium")</f>
        <v>Medium</v>
      </c>
      <c r="F1453" s="20">
        <f>IFERROR(__xludf.DUMMYFUNCTION("""COMPUTED_VALUE"""),287.0)</f>
        <v>287</v>
      </c>
      <c r="G1453" s="20">
        <f>IFERROR(__xludf.DUMMYFUNCTION("""COMPUTED_VALUE"""),203.0)</f>
        <v>203</v>
      </c>
      <c r="H1453" s="20" t="str">
        <f>IFERROR(__xludf.DUMMYFUNCTION("""COMPUTED_VALUE"""),"Algorithms")</f>
        <v>Algorithms</v>
      </c>
      <c r="I1453" s="20">
        <f>IFERROR(__xludf.DUMMYFUNCTION("""COMPUTED_VALUE"""),0.568)</f>
        <v>0.568</v>
      </c>
      <c r="J1453" s="20">
        <f>IFERROR(__xludf.DUMMYFUNCTION("""COMPUTED_VALUE"""),1452.0)</f>
        <v>1452</v>
      </c>
      <c r="K1453" s="20" t="b">
        <f>IFERROR(__xludf.DUMMYFUNCTION("""COMPUTED_VALUE"""),FALSE)</f>
        <v>0</v>
      </c>
      <c r="L1453" s="20" t="str">
        <f>IFERROR(__xludf.DUMMYFUNCTION("""COMPUTED_VALUE"""),"Array;Hash Table;String;")</f>
        <v>Array;Hash Table;String;</v>
      </c>
      <c r="M1453" s="20" t="b">
        <f>IFERROR(__xludf.DUMMYFUNCTION("""COMPUTED_VALUE"""),FALSE)</f>
        <v>0</v>
      </c>
      <c r="N1453" s="20" t="b">
        <f>IFERROR(__xludf.DUMMYFUNCTION("""COMPUTED_VALUE"""),FALSE)</f>
        <v>0</v>
      </c>
      <c r="O1453" s="20">
        <f>IFERROR(__xludf.DUMMYFUNCTION("""COMPUTED_VALUE"""),56.8213392609058)</f>
        <v>56.82133926</v>
      </c>
      <c r="P1453" s="20">
        <f>IFERROR(__xludf.DUMMYFUNCTION("""COMPUTED_VALUE"""),20450.0)</f>
        <v>20450</v>
      </c>
      <c r="Q1453" s="20">
        <f>IFERROR(__xludf.DUMMYFUNCTION("""COMPUTED_VALUE"""),35990.0)</f>
        <v>35990</v>
      </c>
    </row>
    <row r="1454">
      <c r="A1454" s="20">
        <f>IFERROR(__xludf.DUMMYFUNCTION("""COMPUTED_VALUE"""),1563.0)</f>
        <v>1563</v>
      </c>
      <c r="B1454" s="20" t="str">
        <f>IFERROR(__xludf.DUMMYFUNCTION("""COMPUTED_VALUE"""),"Maximum Number of Darts Inside of a Circular Dartboard")</f>
        <v>Maximum Number of Darts Inside of a Circular Dartboard</v>
      </c>
      <c r="C1454" s="20" t="str">
        <f>IFERROR(__xludf.DUMMYFUNCTION("""COMPUTED_VALUE"""),"maximum-number-of-darts-inside-of-a-circular-dartboard")</f>
        <v>maximum-number-of-darts-inside-of-a-circular-dartboard</v>
      </c>
      <c r="D1454" s="20" t="b">
        <f>IFERROR(__xludf.DUMMYFUNCTION("""COMPUTED_VALUE"""),FALSE)</f>
        <v>0</v>
      </c>
      <c r="E1454" s="20" t="str">
        <f>IFERROR(__xludf.DUMMYFUNCTION("""COMPUTED_VALUE"""),"Hard")</f>
        <v>Hard</v>
      </c>
      <c r="F1454" s="20">
        <f>IFERROR(__xludf.DUMMYFUNCTION("""COMPUTED_VALUE"""),124.0)</f>
        <v>124</v>
      </c>
      <c r="G1454" s="20">
        <f>IFERROR(__xludf.DUMMYFUNCTION("""COMPUTED_VALUE"""),253.0)</f>
        <v>253</v>
      </c>
      <c r="H1454" s="20" t="str">
        <f>IFERROR(__xludf.DUMMYFUNCTION("""COMPUTED_VALUE"""),"Algorithms")</f>
        <v>Algorithms</v>
      </c>
      <c r="I1454" s="20">
        <f>IFERROR(__xludf.DUMMYFUNCTION("""COMPUTED_VALUE"""),0.369)</f>
        <v>0.369</v>
      </c>
      <c r="J1454" s="20">
        <f>IFERROR(__xludf.DUMMYFUNCTION("""COMPUTED_VALUE"""),1453.0)</f>
        <v>1453</v>
      </c>
      <c r="K1454" s="20" t="b">
        <f>IFERROR(__xludf.DUMMYFUNCTION("""COMPUTED_VALUE"""),FALSE)</f>
        <v>0</v>
      </c>
      <c r="L1454" s="20" t="str">
        <f>IFERROR(__xludf.DUMMYFUNCTION("""COMPUTED_VALUE"""),"Array;Math;Geometry;")</f>
        <v>Array;Math;Geometry;</v>
      </c>
      <c r="M1454" s="20" t="b">
        <f>IFERROR(__xludf.DUMMYFUNCTION("""COMPUTED_VALUE"""),FALSE)</f>
        <v>0</v>
      </c>
      <c r="N1454" s="20" t="b">
        <f>IFERROR(__xludf.DUMMYFUNCTION("""COMPUTED_VALUE"""),FALSE)</f>
        <v>0</v>
      </c>
      <c r="O1454" s="20">
        <f>IFERROR(__xludf.DUMMYFUNCTION("""COMPUTED_VALUE"""),36.8921308576481)</f>
        <v>36.89213086</v>
      </c>
      <c r="P1454" s="20">
        <f>IFERROR(__xludf.DUMMYFUNCTION("""COMPUTED_VALUE"""),5007.0)</f>
        <v>5007</v>
      </c>
      <c r="Q1454" s="20">
        <f>IFERROR(__xludf.DUMMYFUNCTION("""COMPUTED_VALUE"""),13572.0)</f>
        <v>13572</v>
      </c>
    </row>
    <row r="1455">
      <c r="A1455" s="20">
        <f>IFERROR(__xludf.DUMMYFUNCTION("""COMPUTED_VALUE"""),1579.0)</f>
        <v>1579</v>
      </c>
      <c r="B1455" s="20" t="str">
        <f>IFERROR(__xludf.DUMMYFUNCTION("""COMPUTED_VALUE"""),"Active Users")</f>
        <v>Active Users</v>
      </c>
      <c r="C1455" s="20" t="str">
        <f>IFERROR(__xludf.DUMMYFUNCTION("""COMPUTED_VALUE"""),"active-users")</f>
        <v>active-users</v>
      </c>
      <c r="D1455" s="20" t="b">
        <f>IFERROR(__xludf.DUMMYFUNCTION("""COMPUTED_VALUE"""),TRUE)</f>
        <v>1</v>
      </c>
      <c r="E1455" s="20" t="str">
        <f>IFERROR(__xludf.DUMMYFUNCTION("""COMPUTED_VALUE"""),"Medium")</f>
        <v>Medium</v>
      </c>
      <c r="F1455" s="20">
        <f>IFERROR(__xludf.DUMMYFUNCTION("""COMPUTED_VALUE"""),346.0)</f>
        <v>346</v>
      </c>
      <c r="G1455" s="20">
        <f>IFERROR(__xludf.DUMMYFUNCTION("""COMPUTED_VALUE"""),33.0)</f>
        <v>33</v>
      </c>
      <c r="H1455" s="20" t="str">
        <f>IFERROR(__xludf.DUMMYFUNCTION("""COMPUTED_VALUE"""),"Database")</f>
        <v>Database</v>
      </c>
      <c r="I1455" s="20">
        <f>IFERROR(__xludf.DUMMYFUNCTION("""COMPUTED_VALUE"""),0.381)</f>
        <v>0.381</v>
      </c>
      <c r="J1455" s="20">
        <f>IFERROR(__xludf.DUMMYFUNCTION("""COMPUTED_VALUE"""),1454.0)</f>
        <v>1454</v>
      </c>
      <c r="K1455" s="20" t="b">
        <f>IFERROR(__xludf.DUMMYFUNCTION("""COMPUTED_VALUE"""),TRUE)</f>
        <v>1</v>
      </c>
      <c r="L1455" s="20" t="str">
        <f>IFERROR(__xludf.DUMMYFUNCTION("""COMPUTED_VALUE"""),"Database;")</f>
        <v>Database;</v>
      </c>
      <c r="M1455" s="20" t="b">
        <f>IFERROR(__xludf.DUMMYFUNCTION("""COMPUTED_VALUE"""),FALSE)</f>
        <v>0</v>
      </c>
      <c r="N1455" s="20" t="b">
        <f>IFERROR(__xludf.DUMMYFUNCTION("""COMPUTED_VALUE"""),FALSE)</f>
        <v>0</v>
      </c>
      <c r="O1455" s="20">
        <f>IFERROR(__xludf.DUMMYFUNCTION("""COMPUTED_VALUE"""),38.11143484232)</f>
        <v>38.11143484</v>
      </c>
      <c r="P1455" s="20">
        <f>IFERROR(__xludf.DUMMYFUNCTION("""COMPUTED_VALUE"""),29693.0)</f>
        <v>29693</v>
      </c>
      <c r="Q1455" s="20">
        <f>IFERROR(__xludf.DUMMYFUNCTION("""COMPUTED_VALUE"""),77911.0)</f>
        <v>77911</v>
      </c>
    </row>
    <row r="1456">
      <c r="A1456" s="20">
        <f>IFERROR(__xludf.DUMMYFUNCTION("""COMPUTED_VALUE"""),1566.0)</f>
        <v>1566</v>
      </c>
      <c r="B1456" s="20" t="str">
        <f>IFERROR(__xludf.DUMMYFUNCTION("""COMPUTED_VALUE"""),"Check If a Word Occurs As a Prefix of Any Word in a Sentence")</f>
        <v>Check If a Word Occurs As a Prefix of Any Word in a Sentence</v>
      </c>
      <c r="C1456" s="20" t="str">
        <f>IFERROR(__xludf.DUMMYFUNCTION("""COMPUTED_VALUE"""),"check-if-a-word-occurs-as-a-prefix-of-any-word-in-a-sentence")</f>
        <v>check-if-a-word-occurs-as-a-prefix-of-any-word-in-a-sentence</v>
      </c>
      <c r="D1456" s="20" t="b">
        <f>IFERROR(__xludf.DUMMYFUNCTION("""COMPUTED_VALUE"""),FALSE)</f>
        <v>0</v>
      </c>
      <c r="E1456" s="20" t="str">
        <f>IFERROR(__xludf.DUMMYFUNCTION("""COMPUTED_VALUE"""),"Easy")</f>
        <v>Easy</v>
      </c>
      <c r="F1456" s="20">
        <f>IFERROR(__xludf.DUMMYFUNCTION("""COMPUTED_VALUE"""),648.0)</f>
        <v>648</v>
      </c>
      <c r="G1456" s="20">
        <f>IFERROR(__xludf.DUMMYFUNCTION("""COMPUTED_VALUE"""),31.0)</f>
        <v>31</v>
      </c>
      <c r="H1456" s="20" t="str">
        <f>IFERROR(__xludf.DUMMYFUNCTION("""COMPUTED_VALUE"""),"Algorithms")</f>
        <v>Algorithms</v>
      </c>
      <c r="I1456" s="20">
        <f>IFERROR(__xludf.DUMMYFUNCTION("""COMPUTED_VALUE"""),0.643)</f>
        <v>0.643</v>
      </c>
      <c r="J1456" s="20">
        <f>IFERROR(__xludf.DUMMYFUNCTION("""COMPUTED_VALUE"""),1455.0)</f>
        <v>1455</v>
      </c>
      <c r="K1456" s="20" t="b">
        <f>IFERROR(__xludf.DUMMYFUNCTION("""COMPUTED_VALUE"""),FALSE)</f>
        <v>0</v>
      </c>
      <c r="L1456" s="20" t="str">
        <f>IFERROR(__xludf.DUMMYFUNCTION("""COMPUTED_VALUE"""),"String;String Matching;")</f>
        <v>String;String Matching;</v>
      </c>
      <c r="M1456" s="20" t="b">
        <f>IFERROR(__xludf.DUMMYFUNCTION("""COMPUTED_VALUE"""),FALSE)</f>
        <v>0</v>
      </c>
      <c r="N1456" s="20" t="b">
        <f>IFERROR(__xludf.DUMMYFUNCTION("""COMPUTED_VALUE"""),FALSE)</f>
        <v>0</v>
      </c>
      <c r="O1456" s="20">
        <f>IFERROR(__xludf.DUMMYFUNCTION("""COMPUTED_VALUE"""),64.2528240989779)</f>
        <v>64.2528241</v>
      </c>
      <c r="P1456" s="20">
        <f>IFERROR(__xludf.DUMMYFUNCTION("""COMPUTED_VALUE"""),59723.0)</f>
        <v>59723</v>
      </c>
      <c r="Q1456" s="20">
        <f>IFERROR(__xludf.DUMMYFUNCTION("""COMPUTED_VALUE"""),92950.0)</f>
        <v>92950</v>
      </c>
    </row>
    <row r="1457">
      <c r="A1457" s="20">
        <f>IFERROR(__xludf.DUMMYFUNCTION("""COMPUTED_VALUE"""),1567.0)</f>
        <v>1567</v>
      </c>
      <c r="B1457" s="20" t="str">
        <f>IFERROR(__xludf.DUMMYFUNCTION("""COMPUTED_VALUE"""),"Maximum Number of Vowels in a Substring of Given Length")</f>
        <v>Maximum Number of Vowels in a Substring of Given Length</v>
      </c>
      <c r="C1457" s="20" t="str">
        <f>IFERROR(__xludf.DUMMYFUNCTION("""COMPUTED_VALUE"""),"maximum-number-of-vowels-in-a-substring-of-given-length")</f>
        <v>maximum-number-of-vowels-in-a-substring-of-given-length</v>
      </c>
      <c r="D1457" s="20" t="b">
        <f>IFERROR(__xludf.DUMMYFUNCTION("""COMPUTED_VALUE"""),FALSE)</f>
        <v>0</v>
      </c>
      <c r="E1457" s="20" t="str">
        <f>IFERROR(__xludf.DUMMYFUNCTION("""COMPUTED_VALUE"""),"Medium")</f>
        <v>Medium</v>
      </c>
      <c r="F1457" s="20">
        <f>IFERROR(__xludf.DUMMYFUNCTION("""COMPUTED_VALUE"""),961.0)</f>
        <v>961</v>
      </c>
      <c r="G1457" s="20">
        <f>IFERROR(__xludf.DUMMYFUNCTION("""COMPUTED_VALUE"""),46.0)</f>
        <v>46</v>
      </c>
      <c r="H1457" s="20" t="str">
        <f>IFERROR(__xludf.DUMMYFUNCTION("""COMPUTED_VALUE"""),"Algorithms")</f>
        <v>Algorithms</v>
      </c>
      <c r="I1457" s="20">
        <f>IFERROR(__xludf.DUMMYFUNCTION("""COMPUTED_VALUE"""),0.581)</f>
        <v>0.581</v>
      </c>
      <c r="J1457" s="20">
        <f>IFERROR(__xludf.DUMMYFUNCTION("""COMPUTED_VALUE"""),1456.0)</f>
        <v>1456</v>
      </c>
      <c r="K1457" s="20" t="b">
        <f>IFERROR(__xludf.DUMMYFUNCTION("""COMPUTED_VALUE"""),FALSE)</f>
        <v>0</v>
      </c>
      <c r="L1457" s="20" t="str">
        <f>IFERROR(__xludf.DUMMYFUNCTION("""COMPUTED_VALUE"""),"String;Sliding Window;")</f>
        <v>String;Sliding Window;</v>
      </c>
      <c r="M1457" s="20" t="b">
        <f>IFERROR(__xludf.DUMMYFUNCTION("""COMPUTED_VALUE"""),FALSE)</f>
        <v>0</v>
      </c>
      <c r="N1457" s="20" t="b">
        <f>IFERROR(__xludf.DUMMYFUNCTION("""COMPUTED_VALUE"""),FALSE)</f>
        <v>0</v>
      </c>
      <c r="O1457" s="20">
        <f>IFERROR(__xludf.DUMMYFUNCTION("""COMPUTED_VALUE"""),58.1151021852605)</f>
        <v>58.11510219</v>
      </c>
      <c r="P1457" s="20">
        <f>IFERROR(__xludf.DUMMYFUNCTION("""COMPUTED_VALUE"""),52550.0)</f>
        <v>52550</v>
      </c>
      <c r="Q1457" s="20">
        <f>IFERROR(__xludf.DUMMYFUNCTION("""COMPUTED_VALUE"""),90424.0)</f>
        <v>90424</v>
      </c>
    </row>
    <row r="1458">
      <c r="A1458" s="20">
        <f>IFERROR(__xludf.DUMMYFUNCTION("""COMPUTED_VALUE"""),1568.0)</f>
        <v>1568</v>
      </c>
      <c r="B1458" s="20" t="str">
        <f>IFERROR(__xludf.DUMMYFUNCTION("""COMPUTED_VALUE"""),"Pseudo-Palindromic Paths in a Binary Tree")</f>
        <v>Pseudo-Palindromic Paths in a Binary Tree</v>
      </c>
      <c r="C1458" s="20" t="str">
        <f>IFERROR(__xludf.DUMMYFUNCTION("""COMPUTED_VALUE"""),"pseudo-palindromic-paths-in-a-binary-tree")</f>
        <v>pseudo-palindromic-paths-in-a-binary-tree</v>
      </c>
      <c r="D1458" s="20" t="b">
        <f>IFERROR(__xludf.DUMMYFUNCTION("""COMPUTED_VALUE"""),FALSE)</f>
        <v>0</v>
      </c>
      <c r="E1458" s="20" t="str">
        <f>IFERROR(__xludf.DUMMYFUNCTION("""COMPUTED_VALUE"""),"Medium")</f>
        <v>Medium</v>
      </c>
      <c r="F1458" s="20">
        <f>IFERROR(__xludf.DUMMYFUNCTION("""COMPUTED_VALUE"""),2316.0)</f>
        <v>2316</v>
      </c>
      <c r="G1458" s="20">
        <f>IFERROR(__xludf.DUMMYFUNCTION("""COMPUTED_VALUE"""),78.0)</f>
        <v>78</v>
      </c>
      <c r="H1458" s="20" t="str">
        <f>IFERROR(__xludf.DUMMYFUNCTION("""COMPUTED_VALUE"""),"Algorithms")</f>
        <v>Algorithms</v>
      </c>
      <c r="I1458" s="20">
        <f>IFERROR(__xludf.DUMMYFUNCTION("""COMPUTED_VALUE"""),0.68)</f>
        <v>0.68</v>
      </c>
      <c r="J1458" s="20">
        <f>IFERROR(__xludf.DUMMYFUNCTION("""COMPUTED_VALUE"""),1457.0)</f>
        <v>1457</v>
      </c>
      <c r="K1458" s="20" t="b">
        <f>IFERROR(__xludf.DUMMYFUNCTION("""COMPUTED_VALUE"""),FALSE)</f>
        <v>0</v>
      </c>
      <c r="L1458" s="20" t="str">
        <f>IFERROR(__xludf.DUMMYFUNCTION("""COMPUTED_VALUE"""),"Bit Manipulation;Tree;Depth-First Search;Breadth-First Search;Binary Tree;")</f>
        <v>Bit Manipulation;Tree;Depth-First Search;Breadth-First Search;Binary Tree;</v>
      </c>
      <c r="M1458" s="20" t="b">
        <f>IFERROR(__xludf.DUMMYFUNCTION("""COMPUTED_VALUE"""),TRUE)</f>
        <v>1</v>
      </c>
      <c r="N1458" s="20" t="b">
        <f>IFERROR(__xludf.DUMMYFUNCTION("""COMPUTED_VALUE"""),FALSE)</f>
        <v>0</v>
      </c>
      <c r="O1458" s="20">
        <f>IFERROR(__xludf.DUMMYFUNCTION("""COMPUTED_VALUE"""),67.9746904688098)</f>
        <v>67.97469047</v>
      </c>
      <c r="P1458" s="20">
        <f>IFERROR(__xludf.DUMMYFUNCTION("""COMPUTED_VALUE"""),111834.0)</f>
        <v>111834</v>
      </c>
      <c r="Q1458" s="20">
        <f>IFERROR(__xludf.DUMMYFUNCTION("""COMPUTED_VALUE"""),164523.0)</f>
        <v>164523</v>
      </c>
    </row>
    <row r="1459">
      <c r="A1459" s="20">
        <f>IFERROR(__xludf.DUMMYFUNCTION("""COMPUTED_VALUE"""),1569.0)</f>
        <v>1569</v>
      </c>
      <c r="B1459" s="20" t="str">
        <f>IFERROR(__xludf.DUMMYFUNCTION("""COMPUTED_VALUE"""),"Max Dot Product of Two Subsequences")</f>
        <v>Max Dot Product of Two Subsequences</v>
      </c>
      <c r="C1459" s="20" t="str">
        <f>IFERROR(__xludf.DUMMYFUNCTION("""COMPUTED_VALUE"""),"max-dot-product-of-two-subsequences")</f>
        <v>max-dot-product-of-two-subsequences</v>
      </c>
      <c r="D1459" s="20" t="b">
        <f>IFERROR(__xludf.DUMMYFUNCTION("""COMPUTED_VALUE"""),FALSE)</f>
        <v>0</v>
      </c>
      <c r="E1459" s="20" t="str">
        <f>IFERROR(__xludf.DUMMYFUNCTION("""COMPUTED_VALUE"""),"Hard")</f>
        <v>Hard</v>
      </c>
      <c r="F1459" s="20">
        <f>IFERROR(__xludf.DUMMYFUNCTION("""COMPUTED_VALUE"""),685.0)</f>
        <v>685</v>
      </c>
      <c r="G1459" s="20">
        <f>IFERROR(__xludf.DUMMYFUNCTION("""COMPUTED_VALUE"""),14.0)</f>
        <v>14</v>
      </c>
      <c r="H1459" s="20" t="str">
        <f>IFERROR(__xludf.DUMMYFUNCTION("""COMPUTED_VALUE"""),"Algorithms")</f>
        <v>Algorithms</v>
      </c>
      <c r="I1459" s="20">
        <f>IFERROR(__xludf.DUMMYFUNCTION("""COMPUTED_VALUE"""),0.464)</f>
        <v>0.464</v>
      </c>
      <c r="J1459" s="20">
        <f>IFERROR(__xludf.DUMMYFUNCTION("""COMPUTED_VALUE"""),1458.0)</f>
        <v>1458</v>
      </c>
      <c r="K1459" s="20" t="b">
        <f>IFERROR(__xludf.DUMMYFUNCTION("""COMPUTED_VALUE"""),FALSE)</f>
        <v>0</v>
      </c>
      <c r="L1459" s="20" t="str">
        <f>IFERROR(__xludf.DUMMYFUNCTION("""COMPUTED_VALUE"""),"Array;Dynamic Programming;")</f>
        <v>Array;Dynamic Programming;</v>
      </c>
      <c r="M1459" s="20" t="b">
        <f>IFERROR(__xludf.DUMMYFUNCTION("""COMPUTED_VALUE"""),FALSE)</f>
        <v>0</v>
      </c>
      <c r="N1459" s="20" t="b">
        <f>IFERROR(__xludf.DUMMYFUNCTION("""COMPUTED_VALUE"""),FALSE)</f>
        <v>0</v>
      </c>
      <c r="O1459" s="20">
        <f>IFERROR(__xludf.DUMMYFUNCTION("""COMPUTED_VALUE"""),46.423731736763)</f>
        <v>46.42373174</v>
      </c>
      <c r="P1459" s="20">
        <f>IFERROR(__xludf.DUMMYFUNCTION("""COMPUTED_VALUE"""),18842.0)</f>
        <v>18842</v>
      </c>
      <c r="Q1459" s="20">
        <f>IFERROR(__xludf.DUMMYFUNCTION("""COMPUTED_VALUE"""),40587.0)</f>
        <v>40587</v>
      </c>
    </row>
    <row r="1460">
      <c r="A1460" s="20">
        <f>IFERROR(__xludf.DUMMYFUNCTION("""COMPUTED_VALUE"""),1607.0)</f>
        <v>1607</v>
      </c>
      <c r="B1460" s="20" t="str">
        <f>IFERROR(__xludf.DUMMYFUNCTION("""COMPUTED_VALUE"""),"Rectangles Area")</f>
        <v>Rectangles Area</v>
      </c>
      <c r="C1460" s="20" t="str">
        <f>IFERROR(__xludf.DUMMYFUNCTION("""COMPUTED_VALUE"""),"rectangles-area")</f>
        <v>rectangles-area</v>
      </c>
      <c r="D1460" s="20" t="b">
        <f>IFERROR(__xludf.DUMMYFUNCTION("""COMPUTED_VALUE"""),TRUE)</f>
        <v>1</v>
      </c>
      <c r="E1460" s="20" t="str">
        <f>IFERROR(__xludf.DUMMYFUNCTION("""COMPUTED_VALUE"""),"Medium")</f>
        <v>Medium</v>
      </c>
      <c r="F1460" s="20">
        <f>IFERROR(__xludf.DUMMYFUNCTION("""COMPUTED_VALUE"""),74.0)</f>
        <v>74</v>
      </c>
      <c r="G1460" s="20">
        <f>IFERROR(__xludf.DUMMYFUNCTION("""COMPUTED_VALUE"""),133.0)</f>
        <v>133</v>
      </c>
      <c r="H1460" s="20" t="str">
        <f>IFERROR(__xludf.DUMMYFUNCTION("""COMPUTED_VALUE"""),"Database")</f>
        <v>Database</v>
      </c>
      <c r="I1460" s="20">
        <f>IFERROR(__xludf.DUMMYFUNCTION("""COMPUTED_VALUE"""),0.697)</f>
        <v>0.697</v>
      </c>
      <c r="J1460" s="20">
        <f>IFERROR(__xludf.DUMMYFUNCTION("""COMPUTED_VALUE"""),1459.0)</f>
        <v>1459</v>
      </c>
      <c r="K1460" s="20" t="b">
        <f>IFERROR(__xludf.DUMMYFUNCTION("""COMPUTED_VALUE"""),TRUE)</f>
        <v>1</v>
      </c>
      <c r="L1460" s="20" t="str">
        <f>IFERROR(__xludf.DUMMYFUNCTION("""COMPUTED_VALUE"""),"Database;")</f>
        <v>Database;</v>
      </c>
      <c r="M1460" s="20" t="b">
        <f>IFERROR(__xludf.DUMMYFUNCTION("""COMPUTED_VALUE"""),FALSE)</f>
        <v>0</v>
      </c>
      <c r="N1460" s="20" t="b">
        <f>IFERROR(__xludf.DUMMYFUNCTION("""COMPUTED_VALUE"""),FALSE)</f>
        <v>0</v>
      </c>
      <c r="O1460" s="20">
        <f>IFERROR(__xludf.DUMMYFUNCTION("""COMPUTED_VALUE"""),69.730275034512)</f>
        <v>69.73027503</v>
      </c>
      <c r="P1460" s="20">
        <f>IFERROR(__xludf.DUMMYFUNCTION("""COMPUTED_VALUE"""),13133.0)</f>
        <v>13133</v>
      </c>
      <c r="Q1460" s="20">
        <f>IFERROR(__xludf.DUMMYFUNCTION("""COMPUTED_VALUE"""),18834.0)</f>
        <v>18834</v>
      </c>
    </row>
    <row r="1461">
      <c r="A1461" s="20">
        <f>IFERROR(__xludf.DUMMYFUNCTION("""COMPUTED_VALUE"""),1556.0)</f>
        <v>1556</v>
      </c>
      <c r="B1461" s="20" t="str">
        <f>IFERROR(__xludf.DUMMYFUNCTION("""COMPUTED_VALUE"""),"Make Two Arrays Equal by Reversing Subarrays")</f>
        <v>Make Two Arrays Equal by Reversing Subarrays</v>
      </c>
      <c r="C1461" s="20" t="str">
        <f>IFERROR(__xludf.DUMMYFUNCTION("""COMPUTED_VALUE"""),"make-two-arrays-equal-by-reversing-subarrays")</f>
        <v>make-two-arrays-equal-by-reversing-subarrays</v>
      </c>
      <c r="D1461" s="20" t="b">
        <f>IFERROR(__xludf.DUMMYFUNCTION("""COMPUTED_VALUE"""),FALSE)</f>
        <v>0</v>
      </c>
      <c r="E1461" s="20" t="str">
        <f>IFERROR(__xludf.DUMMYFUNCTION("""COMPUTED_VALUE"""),"Easy")</f>
        <v>Easy</v>
      </c>
      <c r="F1461" s="20">
        <f>IFERROR(__xludf.DUMMYFUNCTION("""COMPUTED_VALUE"""),866.0)</f>
        <v>866</v>
      </c>
      <c r="G1461" s="20">
        <f>IFERROR(__xludf.DUMMYFUNCTION("""COMPUTED_VALUE"""),122.0)</f>
        <v>122</v>
      </c>
      <c r="H1461" s="20" t="str">
        <f>IFERROR(__xludf.DUMMYFUNCTION("""COMPUTED_VALUE"""),"Algorithms")</f>
        <v>Algorithms</v>
      </c>
      <c r="I1461" s="20">
        <f>IFERROR(__xludf.DUMMYFUNCTION("""COMPUTED_VALUE"""),0.722)</f>
        <v>0.722</v>
      </c>
      <c r="J1461" s="20">
        <f>IFERROR(__xludf.DUMMYFUNCTION("""COMPUTED_VALUE"""),1460.0)</f>
        <v>1460</v>
      </c>
      <c r="K1461" s="20" t="b">
        <f>IFERROR(__xludf.DUMMYFUNCTION("""COMPUTED_VALUE"""),FALSE)</f>
        <v>0</v>
      </c>
      <c r="L1461" s="20" t="str">
        <f>IFERROR(__xludf.DUMMYFUNCTION("""COMPUTED_VALUE"""),"Array;Hash Table;Sorting;")</f>
        <v>Array;Hash Table;Sorting;</v>
      </c>
      <c r="M1461" s="20" t="b">
        <f>IFERROR(__xludf.DUMMYFUNCTION("""COMPUTED_VALUE"""),FALSE)</f>
        <v>0</v>
      </c>
      <c r="N1461" s="20" t="b">
        <f>IFERROR(__xludf.DUMMYFUNCTION("""COMPUTED_VALUE"""),FALSE)</f>
        <v>0</v>
      </c>
      <c r="O1461" s="20">
        <f>IFERROR(__xludf.DUMMYFUNCTION("""COMPUTED_VALUE"""),72.1757443297775)</f>
        <v>72.17574433</v>
      </c>
      <c r="P1461" s="20">
        <f>IFERROR(__xludf.DUMMYFUNCTION("""COMPUTED_VALUE"""),99731.0)</f>
        <v>99731</v>
      </c>
      <c r="Q1461" s="20">
        <f>IFERROR(__xludf.DUMMYFUNCTION("""COMPUTED_VALUE"""),138178.0)</f>
        <v>138178</v>
      </c>
    </row>
    <row r="1462">
      <c r="A1462" s="20">
        <f>IFERROR(__xludf.DUMMYFUNCTION("""COMPUTED_VALUE"""),1557.0)</f>
        <v>1557</v>
      </c>
      <c r="B1462" s="20" t="str">
        <f>IFERROR(__xludf.DUMMYFUNCTION("""COMPUTED_VALUE"""),"Check If a String Contains All Binary Codes of Size K")</f>
        <v>Check If a String Contains All Binary Codes of Size K</v>
      </c>
      <c r="C1462" s="20" t="str">
        <f>IFERROR(__xludf.DUMMYFUNCTION("""COMPUTED_VALUE"""),"check-if-a-string-contains-all-binary-codes-of-size-k")</f>
        <v>check-if-a-string-contains-all-binary-codes-of-size-k</v>
      </c>
      <c r="D1462" s="20" t="b">
        <f>IFERROR(__xludf.DUMMYFUNCTION("""COMPUTED_VALUE"""),FALSE)</f>
        <v>0</v>
      </c>
      <c r="E1462" s="20" t="str">
        <f>IFERROR(__xludf.DUMMYFUNCTION("""COMPUTED_VALUE"""),"Medium")</f>
        <v>Medium</v>
      </c>
      <c r="F1462" s="20">
        <f>IFERROR(__xludf.DUMMYFUNCTION("""COMPUTED_VALUE"""),1987.0)</f>
        <v>1987</v>
      </c>
      <c r="G1462" s="20">
        <f>IFERROR(__xludf.DUMMYFUNCTION("""COMPUTED_VALUE"""),90.0)</f>
        <v>90</v>
      </c>
      <c r="H1462" s="20" t="str">
        <f>IFERROR(__xludf.DUMMYFUNCTION("""COMPUTED_VALUE"""),"Algorithms")</f>
        <v>Algorithms</v>
      </c>
      <c r="I1462" s="20">
        <f>IFERROR(__xludf.DUMMYFUNCTION("""COMPUTED_VALUE"""),0.567)</f>
        <v>0.567</v>
      </c>
      <c r="J1462" s="20">
        <f>IFERROR(__xludf.DUMMYFUNCTION("""COMPUTED_VALUE"""),1461.0)</f>
        <v>1461</v>
      </c>
      <c r="K1462" s="20" t="b">
        <f>IFERROR(__xludf.DUMMYFUNCTION("""COMPUTED_VALUE"""),FALSE)</f>
        <v>0</v>
      </c>
      <c r="L1462" s="20" t="str">
        <f>IFERROR(__xludf.DUMMYFUNCTION("""COMPUTED_VALUE"""),"Hash Table;String;Bit Manipulation;Rolling Hash;Hash Function;")</f>
        <v>Hash Table;String;Bit Manipulation;Rolling Hash;Hash Function;</v>
      </c>
      <c r="M1462" s="20" t="b">
        <f>IFERROR(__xludf.DUMMYFUNCTION("""COMPUTED_VALUE"""),TRUE)</f>
        <v>1</v>
      </c>
      <c r="N1462" s="20" t="b">
        <f>IFERROR(__xludf.DUMMYFUNCTION("""COMPUTED_VALUE"""),FALSE)</f>
        <v>0</v>
      </c>
      <c r="O1462" s="20">
        <f>IFERROR(__xludf.DUMMYFUNCTION("""COMPUTED_VALUE"""),56.7371883768181)</f>
        <v>56.73718838</v>
      </c>
      <c r="P1462" s="20">
        <f>IFERROR(__xludf.DUMMYFUNCTION("""COMPUTED_VALUE"""),105554.0)</f>
        <v>105554</v>
      </c>
      <c r="Q1462" s="20">
        <f>IFERROR(__xludf.DUMMYFUNCTION("""COMPUTED_VALUE"""),186041.0)</f>
        <v>186041</v>
      </c>
    </row>
    <row r="1463">
      <c r="A1463" s="20">
        <f>IFERROR(__xludf.DUMMYFUNCTION("""COMPUTED_VALUE"""),1558.0)</f>
        <v>1558</v>
      </c>
      <c r="B1463" s="20" t="str">
        <f>IFERROR(__xludf.DUMMYFUNCTION("""COMPUTED_VALUE"""),"Course Schedule IV")</f>
        <v>Course Schedule IV</v>
      </c>
      <c r="C1463" s="20" t="str">
        <f>IFERROR(__xludf.DUMMYFUNCTION("""COMPUTED_VALUE"""),"course-schedule-iv")</f>
        <v>course-schedule-iv</v>
      </c>
      <c r="D1463" s="20" t="b">
        <f>IFERROR(__xludf.DUMMYFUNCTION("""COMPUTED_VALUE"""),FALSE)</f>
        <v>0</v>
      </c>
      <c r="E1463" s="20" t="str">
        <f>IFERROR(__xludf.DUMMYFUNCTION("""COMPUTED_VALUE"""),"Medium")</f>
        <v>Medium</v>
      </c>
      <c r="F1463" s="20">
        <f>IFERROR(__xludf.DUMMYFUNCTION("""COMPUTED_VALUE"""),1063.0)</f>
        <v>1063</v>
      </c>
      <c r="G1463" s="20">
        <f>IFERROR(__xludf.DUMMYFUNCTION("""COMPUTED_VALUE"""),53.0)</f>
        <v>53</v>
      </c>
      <c r="H1463" s="20" t="str">
        <f>IFERROR(__xludf.DUMMYFUNCTION("""COMPUTED_VALUE"""),"Algorithms")</f>
        <v>Algorithms</v>
      </c>
      <c r="I1463" s="20">
        <f>IFERROR(__xludf.DUMMYFUNCTION("""COMPUTED_VALUE"""),0.489)</f>
        <v>0.489</v>
      </c>
      <c r="J1463" s="20">
        <f>IFERROR(__xludf.DUMMYFUNCTION("""COMPUTED_VALUE"""),1462.0)</f>
        <v>1462</v>
      </c>
      <c r="K1463" s="20" t="b">
        <f>IFERROR(__xludf.DUMMYFUNCTION("""COMPUTED_VALUE"""),FALSE)</f>
        <v>0</v>
      </c>
      <c r="L1463" s="20" t="str">
        <f>IFERROR(__xludf.DUMMYFUNCTION("""COMPUTED_VALUE"""),"Depth-First Search;Breadth-First Search;Graph;Topological Sort;")</f>
        <v>Depth-First Search;Breadth-First Search;Graph;Topological Sort;</v>
      </c>
      <c r="M1463" s="20" t="b">
        <f>IFERROR(__xludf.DUMMYFUNCTION("""COMPUTED_VALUE"""),FALSE)</f>
        <v>0</v>
      </c>
      <c r="N1463" s="20" t="b">
        <f>IFERROR(__xludf.DUMMYFUNCTION("""COMPUTED_VALUE"""),FALSE)</f>
        <v>0</v>
      </c>
      <c r="O1463" s="20">
        <f>IFERROR(__xludf.DUMMYFUNCTION("""COMPUTED_VALUE"""),48.9126273541216)</f>
        <v>48.91262735</v>
      </c>
      <c r="P1463" s="20">
        <f>IFERROR(__xludf.DUMMYFUNCTION("""COMPUTED_VALUE"""),39607.0)</f>
        <v>39607</v>
      </c>
      <c r="Q1463" s="20">
        <f>IFERROR(__xludf.DUMMYFUNCTION("""COMPUTED_VALUE"""),80975.0)</f>
        <v>80975</v>
      </c>
    </row>
    <row r="1464">
      <c r="A1464" s="20">
        <f>IFERROR(__xludf.DUMMYFUNCTION("""COMPUTED_VALUE"""),1559.0)</f>
        <v>1559</v>
      </c>
      <c r="B1464" s="20" t="str">
        <f>IFERROR(__xludf.DUMMYFUNCTION("""COMPUTED_VALUE"""),"Cherry Pickup II")</f>
        <v>Cherry Pickup II</v>
      </c>
      <c r="C1464" s="20" t="str">
        <f>IFERROR(__xludf.DUMMYFUNCTION("""COMPUTED_VALUE"""),"cherry-pickup-ii")</f>
        <v>cherry-pickup-ii</v>
      </c>
      <c r="D1464" s="20" t="b">
        <f>IFERROR(__xludf.DUMMYFUNCTION("""COMPUTED_VALUE"""),FALSE)</f>
        <v>0</v>
      </c>
      <c r="E1464" s="20" t="str">
        <f>IFERROR(__xludf.DUMMYFUNCTION("""COMPUTED_VALUE"""),"Hard")</f>
        <v>Hard</v>
      </c>
      <c r="F1464" s="20">
        <f>IFERROR(__xludf.DUMMYFUNCTION("""COMPUTED_VALUE"""),2685.0)</f>
        <v>2685</v>
      </c>
      <c r="G1464" s="20">
        <f>IFERROR(__xludf.DUMMYFUNCTION("""COMPUTED_VALUE"""),27.0)</f>
        <v>27</v>
      </c>
      <c r="H1464" s="20" t="str">
        <f>IFERROR(__xludf.DUMMYFUNCTION("""COMPUTED_VALUE"""),"Algorithms")</f>
        <v>Algorithms</v>
      </c>
      <c r="I1464" s="20">
        <f>IFERROR(__xludf.DUMMYFUNCTION("""COMPUTED_VALUE"""),0.7)</f>
        <v>0.7</v>
      </c>
      <c r="J1464" s="20">
        <f>IFERROR(__xludf.DUMMYFUNCTION("""COMPUTED_VALUE"""),1463.0)</f>
        <v>1463</v>
      </c>
      <c r="K1464" s="20" t="b">
        <f>IFERROR(__xludf.DUMMYFUNCTION("""COMPUTED_VALUE"""),FALSE)</f>
        <v>0</v>
      </c>
      <c r="L1464" s="20" t="str">
        <f>IFERROR(__xludf.DUMMYFUNCTION("""COMPUTED_VALUE"""),"Array;Dynamic Programming;Matrix;")</f>
        <v>Array;Dynamic Programming;Matrix;</v>
      </c>
      <c r="M1464" s="20" t="b">
        <f>IFERROR(__xludf.DUMMYFUNCTION("""COMPUTED_VALUE"""),TRUE)</f>
        <v>1</v>
      </c>
      <c r="N1464" s="20" t="b">
        <f>IFERROR(__xludf.DUMMYFUNCTION("""COMPUTED_VALUE"""),FALSE)</f>
        <v>0</v>
      </c>
      <c r="O1464" s="20">
        <f>IFERROR(__xludf.DUMMYFUNCTION("""COMPUTED_VALUE"""),70.0436417792272)</f>
        <v>70.04364178</v>
      </c>
      <c r="P1464" s="20">
        <f>IFERROR(__xludf.DUMMYFUNCTION("""COMPUTED_VALUE"""),74309.0)</f>
        <v>74309</v>
      </c>
      <c r="Q1464" s="20">
        <f>IFERROR(__xludf.DUMMYFUNCTION("""COMPUTED_VALUE"""),106090.0)</f>
        <v>106090</v>
      </c>
    </row>
    <row r="1465">
      <c r="A1465" s="20">
        <f>IFERROR(__xludf.DUMMYFUNCTION("""COMPUTED_VALUE"""),1574.0)</f>
        <v>1574</v>
      </c>
      <c r="B1465" s="20" t="str">
        <f>IFERROR(__xludf.DUMMYFUNCTION("""COMPUTED_VALUE"""),"Maximum Product of Two Elements in an Array")</f>
        <v>Maximum Product of Two Elements in an Array</v>
      </c>
      <c r="C1465" s="20" t="str">
        <f>IFERROR(__xludf.DUMMYFUNCTION("""COMPUTED_VALUE"""),"maximum-product-of-two-elements-in-an-array")</f>
        <v>maximum-product-of-two-elements-in-an-array</v>
      </c>
      <c r="D1465" s="20" t="b">
        <f>IFERROR(__xludf.DUMMYFUNCTION("""COMPUTED_VALUE"""),FALSE)</f>
        <v>0</v>
      </c>
      <c r="E1465" s="20" t="str">
        <f>IFERROR(__xludf.DUMMYFUNCTION("""COMPUTED_VALUE"""),"Easy")</f>
        <v>Easy</v>
      </c>
      <c r="F1465" s="20">
        <f>IFERROR(__xludf.DUMMYFUNCTION("""COMPUTED_VALUE"""),1360.0)</f>
        <v>1360</v>
      </c>
      <c r="G1465" s="20">
        <f>IFERROR(__xludf.DUMMYFUNCTION("""COMPUTED_VALUE"""),175.0)</f>
        <v>175</v>
      </c>
      <c r="H1465" s="20" t="str">
        <f>IFERROR(__xludf.DUMMYFUNCTION("""COMPUTED_VALUE"""),"Algorithms")</f>
        <v>Algorithms</v>
      </c>
      <c r="I1465" s="20">
        <f>IFERROR(__xludf.DUMMYFUNCTION("""COMPUTED_VALUE"""),0.795)</f>
        <v>0.795</v>
      </c>
      <c r="J1465" s="20">
        <f>IFERROR(__xludf.DUMMYFUNCTION("""COMPUTED_VALUE"""),1464.0)</f>
        <v>1464</v>
      </c>
      <c r="K1465" s="20" t="b">
        <f>IFERROR(__xludf.DUMMYFUNCTION("""COMPUTED_VALUE"""),FALSE)</f>
        <v>0</v>
      </c>
      <c r="L1465" s="20" t="str">
        <f>IFERROR(__xludf.DUMMYFUNCTION("""COMPUTED_VALUE"""),"Array;Sorting;Heap (Priority Queue);")</f>
        <v>Array;Sorting;Heap (Priority Queue);</v>
      </c>
      <c r="M1465" s="20" t="b">
        <f>IFERROR(__xludf.DUMMYFUNCTION("""COMPUTED_VALUE"""),FALSE)</f>
        <v>0</v>
      </c>
      <c r="N1465" s="20" t="b">
        <f>IFERROR(__xludf.DUMMYFUNCTION("""COMPUTED_VALUE"""),FALSE)</f>
        <v>0</v>
      </c>
      <c r="O1465" s="20">
        <f>IFERROR(__xludf.DUMMYFUNCTION("""COMPUTED_VALUE"""),79.5035042350648)</f>
        <v>79.50350424</v>
      </c>
      <c r="P1465" s="20">
        <f>IFERROR(__xludf.DUMMYFUNCTION("""COMPUTED_VALUE"""),169704.0)</f>
        <v>169704</v>
      </c>
      <c r="Q1465" s="20">
        <f>IFERROR(__xludf.DUMMYFUNCTION("""COMPUTED_VALUE"""),213455.0)</f>
        <v>213455</v>
      </c>
    </row>
    <row r="1466">
      <c r="A1466" s="20">
        <f>IFERROR(__xludf.DUMMYFUNCTION("""COMPUTED_VALUE"""),1575.0)</f>
        <v>1575</v>
      </c>
      <c r="B1466" s="20" t="str">
        <f>IFERROR(__xludf.DUMMYFUNCTION("""COMPUTED_VALUE"""),"Maximum Area of a Piece of Cake After Horizontal and Vertical Cuts")</f>
        <v>Maximum Area of a Piece of Cake After Horizontal and Vertical Cuts</v>
      </c>
      <c r="C1466" s="20" t="str">
        <f>IFERROR(__xludf.DUMMYFUNCTION("""COMPUTED_VALUE"""),"maximum-area-of-a-piece-of-cake-after-horizontal-and-vertical-cuts")</f>
        <v>maximum-area-of-a-piece-of-cake-after-horizontal-and-vertical-cuts</v>
      </c>
      <c r="D1466" s="20" t="b">
        <f>IFERROR(__xludf.DUMMYFUNCTION("""COMPUTED_VALUE"""),FALSE)</f>
        <v>0</v>
      </c>
      <c r="E1466" s="20" t="str">
        <f>IFERROR(__xludf.DUMMYFUNCTION("""COMPUTED_VALUE"""),"Medium")</f>
        <v>Medium</v>
      </c>
      <c r="F1466" s="20">
        <f>IFERROR(__xludf.DUMMYFUNCTION("""COMPUTED_VALUE"""),2484.0)</f>
        <v>2484</v>
      </c>
      <c r="G1466" s="20">
        <f>IFERROR(__xludf.DUMMYFUNCTION("""COMPUTED_VALUE"""),340.0)</f>
        <v>340</v>
      </c>
      <c r="H1466" s="20" t="str">
        <f>IFERROR(__xludf.DUMMYFUNCTION("""COMPUTED_VALUE"""),"Algorithms")</f>
        <v>Algorithms</v>
      </c>
      <c r="I1466" s="20">
        <f>IFERROR(__xludf.DUMMYFUNCTION("""COMPUTED_VALUE"""),0.409)</f>
        <v>0.409</v>
      </c>
      <c r="J1466" s="20">
        <f>IFERROR(__xludf.DUMMYFUNCTION("""COMPUTED_VALUE"""),1465.0)</f>
        <v>1465</v>
      </c>
      <c r="K1466" s="20" t="b">
        <f>IFERROR(__xludf.DUMMYFUNCTION("""COMPUTED_VALUE"""),FALSE)</f>
        <v>0</v>
      </c>
      <c r="L1466" s="20" t="str">
        <f>IFERROR(__xludf.DUMMYFUNCTION("""COMPUTED_VALUE"""),"Array;Greedy;Sorting;")</f>
        <v>Array;Greedy;Sorting;</v>
      </c>
      <c r="M1466" s="20" t="b">
        <f>IFERROR(__xludf.DUMMYFUNCTION("""COMPUTED_VALUE"""),TRUE)</f>
        <v>1</v>
      </c>
      <c r="N1466" s="20" t="b">
        <f>IFERROR(__xludf.DUMMYFUNCTION("""COMPUTED_VALUE"""),FALSE)</f>
        <v>0</v>
      </c>
      <c r="O1466" s="20">
        <f>IFERROR(__xludf.DUMMYFUNCTION("""COMPUTED_VALUE"""),40.8611997092429)</f>
        <v>40.86119971</v>
      </c>
      <c r="P1466" s="20">
        <f>IFERROR(__xludf.DUMMYFUNCTION("""COMPUTED_VALUE"""),157960.0)</f>
        <v>157960</v>
      </c>
      <c r="Q1466" s="20">
        <f>IFERROR(__xludf.DUMMYFUNCTION("""COMPUTED_VALUE"""),386577.0)</f>
        <v>386577</v>
      </c>
    </row>
    <row r="1467">
      <c r="A1467" s="20">
        <f>IFERROR(__xludf.DUMMYFUNCTION("""COMPUTED_VALUE"""),1576.0)</f>
        <v>1576</v>
      </c>
      <c r="B1467" s="20" t="str">
        <f>IFERROR(__xludf.DUMMYFUNCTION("""COMPUTED_VALUE"""),"Reorder Routes to Make All Paths Lead to the City Zero")</f>
        <v>Reorder Routes to Make All Paths Lead to the City Zero</v>
      </c>
      <c r="C1467" s="20" t="str">
        <f>IFERROR(__xludf.DUMMYFUNCTION("""COMPUTED_VALUE"""),"reorder-routes-to-make-all-paths-lead-to-the-city-zero")</f>
        <v>reorder-routes-to-make-all-paths-lead-to-the-city-zero</v>
      </c>
      <c r="D1467" s="20" t="b">
        <f>IFERROR(__xludf.DUMMYFUNCTION("""COMPUTED_VALUE"""),FALSE)</f>
        <v>0</v>
      </c>
      <c r="E1467" s="20" t="str">
        <f>IFERROR(__xludf.DUMMYFUNCTION("""COMPUTED_VALUE"""),"Medium")</f>
        <v>Medium</v>
      </c>
      <c r="F1467" s="20">
        <f>IFERROR(__xludf.DUMMYFUNCTION("""COMPUTED_VALUE"""),1990.0)</f>
        <v>1990</v>
      </c>
      <c r="G1467" s="20">
        <f>IFERROR(__xludf.DUMMYFUNCTION("""COMPUTED_VALUE"""),51.0)</f>
        <v>51</v>
      </c>
      <c r="H1467" s="20" t="str">
        <f>IFERROR(__xludf.DUMMYFUNCTION("""COMPUTED_VALUE"""),"Algorithms")</f>
        <v>Algorithms</v>
      </c>
      <c r="I1467" s="20">
        <f>IFERROR(__xludf.DUMMYFUNCTION("""COMPUTED_VALUE"""),0.617)</f>
        <v>0.617</v>
      </c>
      <c r="J1467" s="20">
        <f>IFERROR(__xludf.DUMMYFUNCTION("""COMPUTED_VALUE"""),1466.0)</f>
        <v>1466</v>
      </c>
      <c r="K1467" s="20" t="b">
        <f>IFERROR(__xludf.DUMMYFUNCTION("""COMPUTED_VALUE"""),FALSE)</f>
        <v>0</v>
      </c>
      <c r="L1467" s="20" t="str">
        <f>IFERROR(__xludf.DUMMYFUNCTION("""COMPUTED_VALUE"""),"Depth-First Search;Breadth-First Search;Graph;")</f>
        <v>Depth-First Search;Breadth-First Search;Graph;</v>
      </c>
      <c r="M1467" s="20" t="b">
        <f>IFERROR(__xludf.DUMMYFUNCTION("""COMPUTED_VALUE"""),FALSE)</f>
        <v>0</v>
      </c>
      <c r="N1467" s="20" t="b">
        <f>IFERROR(__xludf.DUMMYFUNCTION("""COMPUTED_VALUE"""),FALSE)</f>
        <v>0</v>
      </c>
      <c r="O1467" s="20">
        <f>IFERROR(__xludf.DUMMYFUNCTION("""COMPUTED_VALUE"""),61.6982027091129)</f>
        <v>61.69820271</v>
      </c>
      <c r="P1467" s="20">
        <f>IFERROR(__xludf.DUMMYFUNCTION("""COMPUTED_VALUE"""),70233.0)</f>
        <v>70233</v>
      </c>
      <c r="Q1467" s="20">
        <f>IFERROR(__xludf.DUMMYFUNCTION("""COMPUTED_VALUE"""),113833.0)</f>
        <v>113833</v>
      </c>
    </row>
    <row r="1468">
      <c r="A1468" s="20">
        <f>IFERROR(__xludf.DUMMYFUNCTION("""COMPUTED_VALUE"""),1577.0)</f>
        <v>1577</v>
      </c>
      <c r="B1468" s="20" t="str">
        <f>IFERROR(__xludf.DUMMYFUNCTION("""COMPUTED_VALUE"""),"Probability of a Two Boxes Having The Same Number of Distinct Balls")</f>
        <v>Probability of a Two Boxes Having The Same Number of Distinct Balls</v>
      </c>
      <c r="C1468" s="20" t="str">
        <f>IFERROR(__xludf.DUMMYFUNCTION("""COMPUTED_VALUE"""),"probability-of-a-two-boxes-having-the-same-number-of-distinct-balls")</f>
        <v>probability-of-a-two-boxes-having-the-same-number-of-distinct-balls</v>
      </c>
      <c r="D1468" s="20" t="b">
        <f>IFERROR(__xludf.DUMMYFUNCTION("""COMPUTED_VALUE"""),FALSE)</f>
        <v>0</v>
      </c>
      <c r="E1468" s="20" t="str">
        <f>IFERROR(__xludf.DUMMYFUNCTION("""COMPUTED_VALUE"""),"Hard")</f>
        <v>Hard</v>
      </c>
      <c r="F1468" s="20">
        <f>IFERROR(__xludf.DUMMYFUNCTION("""COMPUTED_VALUE"""),234.0)</f>
        <v>234</v>
      </c>
      <c r="G1468" s="20">
        <f>IFERROR(__xludf.DUMMYFUNCTION("""COMPUTED_VALUE"""),158.0)</f>
        <v>158</v>
      </c>
      <c r="H1468" s="20" t="str">
        <f>IFERROR(__xludf.DUMMYFUNCTION("""COMPUTED_VALUE"""),"Algorithms")</f>
        <v>Algorithms</v>
      </c>
      <c r="I1468" s="20">
        <f>IFERROR(__xludf.DUMMYFUNCTION("""COMPUTED_VALUE"""),0.61)</f>
        <v>0.61</v>
      </c>
      <c r="J1468" s="20">
        <f>IFERROR(__xludf.DUMMYFUNCTION("""COMPUTED_VALUE"""),1467.0)</f>
        <v>1467</v>
      </c>
      <c r="K1468" s="20" t="b">
        <f>IFERROR(__xludf.DUMMYFUNCTION("""COMPUTED_VALUE"""),FALSE)</f>
        <v>0</v>
      </c>
      <c r="L1468" s="20" t="str">
        <f>IFERROR(__xludf.DUMMYFUNCTION("""COMPUTED_VALUE"""),"Math;Dynamic Programming;Backtracking;Combinatorics;Probability and Statistics;")</f>
        <v>Math;Dynamic Programming;Backtracking;Combinatorics;Probability and Statistics;</v>
      </c>
      <c r="M1468" s="20" t="b">
        <f>IFERROR(__xludf.DUMMYFUNCTION("""COMPUTED_VALUE"""),FALSE)</f>
        <v>0</v>
      </c>
      <c r="N1468" s="20" t="b">
        <f>IFERROR(__xludf.DUMMYFUNCTION("""COMPUTED_VALUE"""),FALSE)</f>
        <v>0</v>
      </c>
      <c r="O1468" s="20">
        <f>IFERROR(__xludf.DUMMYFUNCTION("""COMPUTED_VALUE"""),61.0064027414555)</f>
        <v>61.00640274</v>
      </c>
      <c r="P1468" s="20">
        <f>IFERROR(__xludf.DUMMYFUNCTION("""COMPUTED_VALUE"""),6765.0)</f>
        <v>6765</v>
      </c>
      <c r="Q1468" s="20">
        <f>IFERROR(__xludf.DUMMYFUNCTION("""COMPUTED_VALUE"""),11089.0)</f>
        <v>11089</v>
      </c>
    </row>
    <row r="1469">
      <c r="A1469" s="20">
        <f>IFERROR(__xludf.DUMMYFUNCTION("""COMPUTED_VALUE"""),1608.0)</f>
        <v>1608</v>
      </c>
      <c r="B1469" s="20" t="str">
        <f>IFERROR(__xludf.DUMMYFUNCTION("""COMPUTED_VALUE"""),"Calculate Salaries")</f>
        <v>Calculate Salaries</v>
      </c>
      <c r="C1469" s="20" t="str">
        <f>IFERROR(__xludf.DUMMYFUNCTION("""COMPUTED_VALUE"""),"calculate-salaries")</f>
        <v>calculate-salaries</v>
      </c>
      <c r="D1469" s="20" t="b">
        <f>IFERROR(__xludf.DUMMYFUNCTION("""COMPUTED_VALUE"""),TRUE)</f>
        <v>1</v>
      </c>
      <c r="E1469" s="20" t="str">
        <f>IFERROR(__xludf.DUMMYFUNCTION("""COMPUTED_VALUE"""),"Medium")</f>
        <v>Medium</v>
      </c>
      <c r="F1469" s="20">
        <f>IFERROR(__xludf.DUMMYFUNCTION("""COMPUTED_VALUE"""),104.0)</f>
        <v>104</v>
      </c>
      <c r="G1469" s="20">
        <f>IFERROR(__xludf.DUMMYFUNCTION("""COMPUTED_VALUE"""),18.0)</f>
        <v>18</v>
      </c>
      <c r="H1469" s="20" t="str">
        <f>IFERROR(__xludf.DUMMYFUNCTION("""COMPUTED_VALUE"""),"Database")</f>
        <v>Database</v>
      </c>
      <c r="I1469" s="20">
        <f>IFERROR(__xludf.DUMMYFUNCTION("""COMPUTED_VALUE"""),0.817)</f>
        <v>0.817</v>
      </c>
      <c r="J1469" s="20">
        <f>IFERROR(__xludf.DUMMYFUNCTION("""COMPUTED_VALUE"""),1468.0)</f>
        <v>1468</v>
      </c>
      <c r="K1469" s="20" t="b">
        <f>IFERROR(__xludf.DUMMYFUNCTION("""COMPUTED_VALUE"""),TRUE)</f>
        <v>1</v>
      </c>
      <c r="L1469" s="20" t="str">
        <f>IFERROR(__xludf.DUMMYFUNCTION("""COMPUTED_VALUE"""),"Database;")</f>
        <v>Database;</v>
      </c>
      <c r="M1469" s="20" t="b">
        <f>IFERROR(__xludf.DUMMYFUNCTION("""COMPUTED_VALUE"""),FALSE)</f>
        <v>0</v>
      </c>
      <c r="N1469" s="20" t="b">
        <f>IFERROR(__xludf.DUMMYFUNCTION("""COMPUTED_VALUE"""),FALSE)</f>
        <v>0</v>
      </c>
      <c r="O1469" s="20">
        <f>IFERROR(__xludf.DUMMYFUNCTION("""COMPUTED_VALUE"""),81.7135116830342)</f>
        <v>81.71351168</v>
      </c>
      <c r="P1469" s="20">
        <f>IFERROR(__xludf.DUMMYFUNCTION("""COMPUTED_VALUE"""),19303.0)</f>
        <v>19303</v>
      </c>
      <c r="Q1469" s="20">
        <f>IFERROR(__xludf.DUMMYFUNCTION("""COMPUTED_VALUE"""),23623.0)</f>
        <v>23623</v>
      </c>
    </row>
    <row r="1470">
      <c r="A1470" s="20">
        <f>IFERROR(__xludf.DUMMYFUNCTION("""COMPUTED_VALUE"""),1609.0)</f>
        <v>1609</v>
      </c>
      <c r="B1470" s="20" t="str">
        <f>IFERROR(__xludf.DUMMYFUNCTION("""COMPUTED_VALUE"""),"Find All The Lonely Nodes")</f>
        <v>Find All The Lonely Nodes</v>
      </c>
      <c r="C1470" s="20" t="str">
        <f>IFERROR(__xludf.DUMMYFUNCTION("""COMPUTED_VALUE"""),"find-all-the-lonely-nodes")</f>
        <v>find-all-the-lonely-nodes</v>
      </c>
      <c r="D1470" s="20" t="b">
        <f>IFERROR(__xludf.DUMMYFUNCTION("""COMPUTED_VALUE"""),TRUE)</f>
        <v>1</v>
      </c>
      <c r="E1470" s="20" t="str">
        <f>IFERROR(__xludf.DUMMYFUNCTION("""COMPUTED_VALUE"""),"Easy")</f>
        <v>Easy</v>
      </c>
      <c r="F1470" s="20">
        <f>IFERROR(__xludf.DUMMYFUNCTION("""COMPUTED_VALUE"""),432.0)</f>
        <v>432</v>
      </c>
      <c r="G1470" s="20">
        <f>IFERROR(__xludf.DUMMYFUNCTION("""COMPUTED_VALUE"""),9.0)</f>
        <v>9</v>
      </c>
      <c r="H1470" s="20" t="str">
        <f>IFERROR(__xludf.DUMMYFUNCTION("""COMPUTED_VALUE"""),"Algorithms")</f>
        <v>Algorithms</v>
      </c>
      <c r="I1470" s="20">
        <f>IFERROR(__xludf.DUMMYFUNCTION("""COMPUTED_VALUE"""),0.819)</f>
        <v>0.819</v>
      </c>
      <c r="J1470" s="20">
        <f>IFERROR(__xludf.DUMMYFUNCTION("""COMPUTED_VALUE"""),1469.0)</f>
        <v>1469</v>
      </c>
      <c r="K1470" s="20" t="b">
        <f>IFERROR(__xludf.DUMMYFUNCTION("""COMPUTED_VALUE"""),TRUE)</f>
        <v>1</v>
      </c>
      <c r="L1470" s="20" t="str">
        <f>IFERROR(__xludf.DUMMYFUNCTION("""COMPUTED_VALUE"""),"Tree;Depth-First Search;Breadth-First Search;Binary Tree;")</f>
        <v>Tree;Depth-First Search;Breadth-First Search;Binary Tree;</v>
      </c>
      <c r="M1470" s="20" t="b">
        <f>IFERROR(__xludf.DUMMYFUNCTION("""COMPUTED_VALUE"""),FALSE)</f>
        <v>0</v>
      </c>
      <c r="N1470" s="20" t="b">
        <f>IFERROR(__xludf.DUMMYFUNCTION("""COMPUTED_VALUE"""),FALSE)</f>
        <v>0</v>
      </c>
      <c r="O1470" s="20">
        <f>IFERROR(__xludf.DUMMYFUNCTION("""COMPUTED_VALUE"""),81.8808517362619)</f>
        <v>81.88085174</v>
      </c>
      <c r="P1470" s="20">
        <f>IFERROR(__xludf.DUMMYFUNCTION("""COMPUTED_VALUE"""),41453.0)</f>
        <v>41453</v>
      </c>
      <c r="Q1470" s="20">
        <f>IFERROR(__xludf.DUMMYFUNCTION("""COMPUTED_VALUE"""),50626.0)</f>
        <v>50626</v>
      </c>
    </row>
    <row r="1471">
      <c r="A1471" s="20">
        <f>IFERROR(__xludf.DUMMYFUNCTION("""COMPUTED_VALUE"""),1580.0)</f>
        <v>1580</v>
      </c>
      <c r="B1471" s="20" t="str">
        <f>IFERROR(__xludf.DUMMYFUNCTION("""COMPUTED_VALUE"""),"Shuffle the Array")</f>
        <v>Shuffle the Array</v>
      </c>
      <c r="C1471" s="20" t="str">
        <f>IFERROR(__xludf.DUMMYFUNCTION("""COMPUTED_VALUE"""),"shuffle-the-array")</f>
        <v>shuffle-the-array</v>
      </c>
      <c r="D1471" s="20" t="b">
        <f>IFERROR(__xludf.DUMMYFUNCTION("""COMPUTED_VALUE"""),FALSE)</f>
        <v>0</v>
      </c>
      <c r="E1471" s="20" t="str">
        <f>IFERROR(__xludf.DUMMYFUNCTION("""COMPUTED_VALUE"""),"Easy")</f>
        <v>Easy</v>
      </c>
      <c r="F1471" s="20">
        <f>IFERROR(__xludf.DUMMYFUNCTION("""COMPUTED_VALUE"""),3267.0)</f>
        <v>3267</v>
      </c>
      <c r="G1471" s="20">
        <f>IFERROR(__xludf.DUMMYFUNCTION("""COMPUTED_VALUE"""),210.0)</f>
        <v>210</v>
      </c>
      <c r="H1471" s="20" t="str">
        <f>IFERROR(__xludf.DUMMYFUNCTION("""COMPUTED_VALUE"""),"Algorithms")</f>
        <v>Algorithms</v>
      </c>
      <c r="I1471" s="20">
        <f>IFERROR(__xludf.DUMMYFUNCTION("""COMPUTED_VALUE"""),0.885)</f>
        <v>0.885</v>
      </c>
      <c r="J1471" s="20">
        <f>IFERROR(__xludf.DUMMYFUNCTION("""COMPUTED_VALUE"""),1470.0)</f>
        <v>1470</v>
      </c>
      <c r="K1471" s="20" t="b">
        <f>IFERROR(__xludf.DUMMYFUNCTION("""COMPUTED_VALUE"""),FALSE)</f>
        <v>0</v>
      </c>
      <c r="L1471" s="20" t="str">
        <f>IFERROR(__xludf.DUMMYFUNCTION("""COMPUTED_VALUE"""),"Array;")</f>
        <v>Array;</v>
      </c>
      <c r="M1471" s="20" t="b">
        <f>IFERROR(__xludf.DUMMYFUNCTION("""COMPUTED_VALUE"""),FALSE)</f>
        <v>0</v>
      </c>
      <c r="N1471" s="20" t="b">
        <f>IFERROR(__xludf.DUMMYFUNCTION("""COMPUTED_VALUE"""),FALSE)</f>
        <v>0</v>
      </c>
      <c r="O1471" s="20">
        <f>IFERROR(__xludf.DUMMYFUNCTION("""COMPUTED_VALUE"""),88.4681132307968)</f>
        <v>88.46811323</v>
      </c>
      <c r="P1471" s="20">
        <f>IFERROR(__xludf.DUMMYFUNCTION("""COMPUTED_VALUE"""),394861.0)</f>
        <v>394861</v>
      </c>
      <c r="Q1471" s="20">
        <f>IFERROR(__xludf.DUMMYFUNCTION("""COMPUTED_VALUE"""),446333.0)</f>
        <v>446333</v>
      </c>
    </row>
    <row r="1472">
      <c r="A1472" s="20">
        <f>IFERROR(__xludf.DUMMYFUNCTION("""COMPUTED_VALUE"""),1581.0)</f>
        <v>1581</v>
      </c>
      <c r="B1472" s="20" t="str">
        <f>IFERROR(__xludf.DUMMYFUNCTION("""COMPUTED_VALUE"""),"The k Strongest Values in an Array")</f>
        <v>The k Strongest Values in an Array</v>
      </c>
      <c r="C1472" s="20" t="str">
        <f>IFERROR(__xludf.DUMMYFUNCTION("""COMPUTED_VALUE"""),"the-k-strongest-values-in-an-array")</f>
        <v>the-k-strongest-values-in-an-array</v>
      </c>
      <c r="D1472" s="20" t="b">
        <f>IFERROR(__xludf.DUMMYFUNCTION("""COMPUTED_VALUE"""),FALSE)</f>
        <v>0</v>
      </c>
      <c r="E1472" s="20" t="str">
        <f>IFERROR(__xludf.DUMMYFUNCTION("""COMPUTED_VALUE"""),"Medium")</f>
        <v>Medium</v>
      </c>
      <c r="F1472" s="20">
        <f>IFERROR(__xludf.DUMMYFUNCTION("""COMPUTED_VALUE"""),513.0)</f>
        <v>513</v>
      </c>
      <c r="G1472" s="20">
        <f>IFERROR(__xludf.DUMMYFUNCTION("""COMPUTED_VALUE"""),110.0)</f>
        <v>110</v>
      </c>
      <c r="H1472" s="20" t="str">
        <f>IFERROR(__xludf.DUMMYFUNCTION("""COMPUTED_VALUE"""),"Algorithms")</f>
        <v>Algorithms</v>
      </c>
      <c r="I1472" s="20">
        <f>IFERROR(__xludf.DUMMYFUNCTION("""COMPUTED_VALUE"""),0.602)</f>
        <v>0.602</v>
      </c>
      <c r="J1472" s="20">
        <f>IFERROR(__xludf.DUMMYFUNCTION("""COMPUTED_VALUE"""),1471.0)</f>
        <v>1471</v>
      </c>
      <c r="K1472" s="20" t="b">
        <f>IFERROR(__xludf.DUMMYFUNCTION("""COMPUTED_VALUE"""),FALSE)</f>
        <v>0</v>
      </c>
      <c r="L1472" s="20" t="str">
        <f>IFERROR(__xludf.DUMMYFUNCTION("""COMPUTED_VALUE"""),"Array;Two Pointers;Sorting;")</f>
        <v>Array;Two Pointers;Sorting;</v>
      </c>
      <c r="M1472" s="20" t="b">
        <f>IFERROR(__xludf.DUMMYFUNCTION("""COMPUTED_VALUE"""),FALSE)</f>
        <v>0</v>
      </c>
      <c r="N1472" s="20" t="b">
        <f>IFERROR(__xludf.DUMMYFUNCTION("""COMPUTED_VALUE"""),FALSE)</f>
        <v>0</v>
      </c>
      <c r="O1472" s="20">
        <f>IFERROR(__xludf.DUMMYFUNCTION("""COMPUTED_VALUE"""),60.2224055955047)</f>
        <v>60.2224056</v>
      </c>
      <c r="P1472" s="20">
        <f>IFERROR(__xludf.DUMMYFUNCTION("""COMPUTED_VALUE"""),30652.0)</f>
        <v>30652</v>
      </c>
      <c r="Q1472" s="20">
        <f>IFERROR(__xludf.DUMMYFUNCTION("""COMPUTED_VALUE"""),50898.0)</f>
        <v>50898</v>
      </c>
    </row>
    <row r="1473">
      <c r="A1473" s="20">
        <f>IFERROR(__xludf.DUMMYFUNCTION("""COMPUTED_VALUE"""),1582.0)</f>
        <v>1582</v>
      </c>
      <c r="B1473" s="20" t="str">
        <f>IFERROR(__xludf.DUMMYFUNCTION("""COMPUTED_VALUE"""),"Design Browser History")</f>
        <v>Design Browser History</v>
      </c>
      <c r="C1473" s="20" t="str">
        <f>IFERROR(__xludf.DUMMYFUNCTION("""COMPUTED_VALUE"""),"design-browser-history")</f>
        <v>design-browser-history</v>
      </c>
      <c r="D1473" s="20" t="b">
        <f>IFERROR(__xludf.DUMMYFUNCTION("""COMPUTED_VALUE"""),FALSE)</f>
        <v>0</v>
      </c>
      <c r="E1473" s="20" t="str">
        <f>IFERROR(__xludf.DUMMYFUNCTION("""COMPUTED_VALUE"""),"Medium")</f>
        <v>Medium</v>
      </c>
      <c r="F1473" s="20">
        <f>IFERROR(__xludf.DUMMYFUNCTION("""COMPUTED_VALUE"""),1878.0)</f>
        <v>1878</v>
      </c>
      <c r="G1473" s="20">
        <f>IFERROR(__xludf.DUMMYFUNCTION("""COMPUTED_VALUE"""),128.0)</f>
        <v>128</v>
      </c>
      <c r="H1473" s="20" t="str">
        <f>IFERROR(__xludf.DUMMYFUNCTION("""COMPUTED_VALUE"""),"Algorithms")</f>
        <v>Algorithms</v>
      </c>
      <c r="I1473" s="20">
        <f>IFERROR(__xludf.DUMMYFUNCTION("""COMPUTED_VALUE"""),0.762)</f>
        <v>0.762</v>
      </c>
      <c r="J1473" s="20">
        <f>IFERROR(__xludf.DUMMYFUNCTION("""COMPUTED_VALUE"""),1472.0)</f>
        <v>1472</v>
      </c>
      <c r="K1473" s="20" t="b">
        <f>IFERROR(__xludf.DUMMYFUNCTION("""COMPUTED_VALUE"""),FALSE)</f>
        <v>0</v>
      </c>
      <c r="L1473" s="20" t="str">
        <f>IFERROR(__xludf.DUMMYFUNCTION("""COMPUTED_VALUE"""),"Array;Linked List;Stack;Design;Doubly-Linked List;Data Stream;")</f>
        <v>Array;Linked List;Stack;Design;Doubly-Linked List;Data Stream;</v>
      </c>
      <c r="M1473" s="20" t="b">
        <f>IFERROR(__xludf.DUMMYFUNCTION("""COMPUTED_VALUE"""),FALSE)</f>
        <v>0</v>
      </c>
      <c r="N1473" s="20" t="b">
        <f>IFERROR(__xludf.DUMMYFUNCTION("""COMPUTED_VALUE"""),FALSE)</f>
        <v>0</v>
      </c>
      <c r="O1473" s="20">
        <f>IFERROR(__xludf.DUMMYFUNCTION("""COMPUTED_VALUE"""),76.1892649929881)</f>
        <v>76.18926499</v>
      </c>
      <c r="P1473" s="20">
        <f>IFERROR(__xludf.DUMMYFUNCTION("""COMPUTED_VALUE"""),110829.0)</f>
        <v>110829</v>
      </c>
      <c r="Q1473" s="20">
        <f>IFERROR(__xludf.DUMMYFUNCTION("""COMPUTED_VALUE"""),145465.0)</f>
        <v>145465</v>
      </c>
    </row>
    <row r="1474">
      <c r="A1474" s="20">
        <f>IFERROR(__xludf.DUMMYFUNCTION("""COMPUTED_VALUE"""),1583.0)</f>
        <v>1583</v>
      </c>
      <c r="B1474" s="20" t="str">
        <f>IFERROR(__xludf.DUMMYFUNCTION("""COMPUTED_VALUE"""),"Paint House III")</f>
        <v>Paint House III</v>
      </c>
      <c r="C1474" s="20" t="str">
        <f>IFERROR(__xludf.DUMMYFUNCTION("""COMPUTED_VALUE"""),"paint-house-iii")</f>
        <v>paint-house-iii</v>
      </c>
      <c r="D1474" s="20" t="b">
        <f>IFERROR(__xludf.DUMMYFUNCTION("""COMPUTED_VALUE"""),FALSE)</f>
        <v>0</v>
      </c>
      <c r="E1474" s="20" t="str">
        <f>IFERROR(__xludf.DUMMYFUNCTION("""COMPUTED_VALUE"""),"Hard")</f>
        <v>Hard</v>
      </c>
      <c r="F1474" s="20">
        <f>IFERROR(__xludf.DUMMYFUNCTION("""COMPUTED_VALUE"""),1868.0)</f>
        <v>1868</v>
      </c>
      <c r="G1474" s="20">
        <f>IFERROR(__xludf.DUMMYFUNCTION("""COMPUTED_VALUE"""),136.0)</f>
        <v>136</v>
      </c>
      <c r="H1474" s="20" t="str">
        <f>IFERROR(__xludf.DUMMYFUNCTION("""COMPUTED_VALUE"""),"Algorithms")</f>
        <v>Algorithms</v>
      </c>
      <c r="I1474" s="20">
        <f>IFERROR(__xludf.DUMMYFUNCTION("""COMPUTED_VALUE"""),0.618)</f>
        <v>0.618</v>
      </c>
      <c r="J1474" s="20">
        <f>IFERROR(__xludf.DUMMYFUNCTION("""COMPUTED_VALUE"""),1473.0)</f>
        <v>1473</v>
      </c>
      <c r="K1474" s="20" t="b">
        <f>IFERROR(__xludf.DUMMYFUNCTION("""COMPUTED_VALUE"""),FALSE)</f>
        <v>0</v>
      </c>
      <c r="L1474" s="20" t="str">
        <f>IFERROR(__xludf.DUMMYFUNCTION("""COMPUTED_VALUE"""),"Array;Dynamic Programming;")</f>
        <v>Array;Dynamic Programming;</v>
      </c>
      <c r="M1474" s="20" t="b">
        <f>IFERROR(__xludf.DUMMYFUNCTION("""COMPUTED_VALUE"""),TRUE)</f>
        <v>1</v>
      </c>
      <c r="N1474" s="20" t="b">
        <f>IFERROR(__xludf.DUMMYFUNCTION("""COMPUTED_VALUE"""),FALSE)</f>
        <v>0</v>
      </c>
      <c r="O1474" s="20">
        <f>IFERROR(__xludf.DUMMYFUNCTION("""COMPUTED_VALUE"""),61.8479059515062)</f>
        <v>61.84790595</v>
      </c>
      <c r="P1474" s="20">
        <f>IFERROR(__xludf.DUMMYFUNCTION("""COMPUTED_VALUE"""),53872.0)</f>
        <v>53872</v>
      </c>
      <c r="Q1474" s="20">
        <f>IFERROR(__xludf.DUMMYFUNCTION("""COMPUTED_VALUE"""),87104.0)</f>
        <v>87104</v>
      </c>
    </row>
    <row r="1475">
      <c r="A1475" s="20">
        <f>IFERROR(__xludf.DUMMYFUNCTION("""COMPUTED_VALUE"""),1618.0)</f>
        <v>1618</v>
      </c>
      <c r="B1475" s="20" t="str">
        <f>IFERROR(__xludf.DUMMYFUNCTION("""COMPUTED_VALUE"""),"Delete N Nodes After M Nodes of a Linked List")</f>
        <v>Delete N Nodes After M Nodes of a Linked List</v>
      </c>
      <c r="C1475" s="20" t="str">
        <f>IFERROR(__xludf.DUMMYFUNCTION("""COMPUTED_VALUE"""),"delete-n-nodes-after-m-nodes-of-a-linked-list")</f>
        <v>delete-n-nodes-after-m-nodes-of-a-linked-list</v>
      </c>
      <c r="D1475" s="20" t="b">
        <f>IFERROR(__xludf.DUMMYFUNCTION("""COMPUTED_VALUE"""),TRUE)</f>
        <v>1</v>
      </c>
      <c r="E1475" s="20" t="str">
        <f>IFERROR(__xludf.DUMMYFUNCTION("""COMPUTED_VALUE"""),"Easy")</f>
        <v>Easy</v>
      </c>
      <c r="F1475" s="20">
        <f>IFERROR(__xludf.DUMMYFUNCTION("""COMPUTED_VALUE"""),336.0)</f>
        <v>336</v>
      </c>
      <c r="G1475" s="20">
        <f>IFERROR(__xludf.DUMMYFUNCTION("""COMPUTED_VALUE"""),9.0)</f>
        <v>9</v>
      </c>
      <c r="H1475" s="20" t="str">
        <f>IFERROR(__xludf.DUMMYFUNCTION("""COMPUTED_VALUE"""),"Algorithms")</f>
        <v>Algorithms</v>
      </c>
      <c r="I1475" s="20">
        <f>IFERROR(__xludf.DUMMYFUNCTION("""COMPUTED_VALUE"""),0.737)</f>
        <v>0.737</v>
      </c>
      <c r="J1475" s="20">
        <f>IFERROR(__xludf.DUMMYFUNCTION("""COMPUTED_VALUE"""),1474.0)</f>
        <v>1474</v>
      </c>
      <c r="K1475" s="20" t="b">
        <f>IFERROR(__xludf.DUMMYFUNCTION("""COMPUTED_VALUE"""),TRUE)</f>
        <v>1</v>
      </c>
      <c r="L1475" s="20" t="str">
        <f>IFERROR(__xludf.DUMMYFUNCTION("""COMPUTED_VALUE"""),"Linked List;")</f>
        <v>Linked List;</v>
      </c>
      <c r="M1475" s="20" t="b">
        <f>IFERROR(__xludf.DUMMYFUNCTION("""COMPUTED_VALUE"""),TRUE)</f>
        <v>1</v>
      </c>
      <c r="N1475" s="20" t="b">
        <f>IFERROR(__xludf.DUMMYFUNCTION("""COMPUTED_VALUE"""),FALSE)</f>
        <v>0</v>
      </c>
      <c r="O1475" s="20">
        <f>IFERROR(__xludf.DUMMYFUNCTION("""COMPUTED_VALUE"""),73.7020699015948)</f>
        <v>73.7020699</v>
      </c>
      <c r="P1475" s="20">
        <f>IFERROR(__xludf.DUMMYFUNCTION("""COMPUTED_VALUE"""),23892.0)</f>
        <v>23892</v>
      </c>
      <c r="Q1475" s="20">
        <f>IFERROR(__xludf.DUMMYFUNCTION("""COMPUTED_VALUE"""),32417.0)</f>
        <v>32417</v>
      </c>
    </row>
    <row r="1476">
      <c r="A1476" s="20">
        <f>IFERROR(__xludf.DUMMYFUNCTION("""COMPUTED_VALUE"""),1570.0)</f>
        <v>1570</v>
      </c>
      <c r="B1476" s="20" t="str">
        <f>IFERROR(__xludf.DUMMYFUNCTION("""COMPUTED_VALUE"""),"Final Prices With a Special Discount in a Shop")</f>
        <v>Final Prices With a Special Discount in a Shop</v>
      </c>
      <c r="C1476" s="20" t="str">
        <f>IFERROR(__xludf.DUMMYFUNCTION("""COMPUTED_VALUE"""),"final-prices-with-a-special-discount-in-a-shop")</f>
        <v>final-prices-with-a-special-discount-in-a-shop</v>
      </c>
      <c r="D1476" s="20" t="b">
        <f>IFERROR(__xludf.DUMMYFUNCTION("""COMPUTED_VALUE"""),FALSE)</f>
        <v>0</v>
      </c>
      <c r="E1476" s="20" t="str">
        <f>IFERROR(__xludf.DUMMYFUNCTION("""COMPUTED_VALUE"""),"Easy")</f>
        <v>Easy</v>
      </c>
      <c r="F1476" s="20">
        <f>IFERROR(__xludf.DUMMYFUNCTION("""COMPUTED_VALUE"""),1477.0)</f>
        <v>1477</v>
      </c>
      <c r="G1476" s="20">
        <f>IFERROR(__xludf.DUMMYFUNCTION("""COMPUTED_VALUE"""),87.0)</f>
        <v>87</v>
      </c>
      <c r="H1476" s="20" t="str">
        <f>IFERROR(__xludf.DUMMYFUNCTION("""COMPUTED_VALUE"""),"Algorithms")</f>
        <v>Algorithms</v>
      </c>
      <c r="I1476" s="20">
        <f>IFERROR(__xludf.DUMMYFUNCTION("""COMPUTED_VALUE"""),0.756)</f>
        <v>0.756</v>
      </c>
      <c r="J1476" s="20">
        <f>IFERROR(__xludf.DUMMYFUNCTION("""COMPUTED_VALUE"""),1475.0)</f>
        <v>1475</v>
      </c>
      <c r="K1476" s="20" t="b">
        <f>IFERROR(__xludf.DUMMYFUNCTION("""COMPUTED_VALUE"""),FALSE)</f>
        <v>0</v>
      </c>
      <c r="L1476" s="20" t="str">
        <f>IFERROR(__xludf.DUMMYFUNCTION("""COMPUTED_VALUE"""),"Array;Stack;Monotonic Stack;")</f>
        <v>Array;Stack;Monotonic Stack;</v>
      </c>
      <c r="M1476" s="20" t="b">
        <f>IFERROR(__xludf.DUMMYFUNCTION("""COMPUTED_VALUE"""),FALSE)</f>
        <v>0</v>
      </c>
      <c r="N1476" s="20" t="b">
        <f>IFERROR(__xludf.DUMMYFUNCTION("""COMPUTED_VALUE"""),FALSE)</f>
        <v>0</v>
      </c>
      <c r="O1476" s="20">
        <f>IFERROR(__xludf.DUMMYFUNCTION("""COMPUTED_VALUE"""),75.612217960464)</f>
        <v>75.61221796</v>
      </c>
      <c r="P1476" s="20">
        <f>IFERROR(__xludf.DUMMYFUNCTION("""COMPUTED_VALUE"""),97382.0)</f>
        <v>97382</v>
      </c>
      <c r="Q1476" s="20">
        <f>IFERROR(__xludf.DUMMYFUNCTION("""COMPUTED_VALUE"""),128792.0)</f>
        <v>128792</v>
      </c>
    </row>
    <row r="1477">
      <c r="A1477" s="20">
        <f>IFERROR(__xludf.DUMMYFUNCTION("""COMPUTED_VALUE"""),1572.0)</f>
        <v>1572</v>
      </c>
      <c r="B1477" s="20" t="str">
        <f>IFERROR(__xludf.DUMMYFUNCTION("""COMPUTED_VALUE"""),"Subrectangle Queries")</f>
        <v>Subrectangle Queries</v>
      </c>
      <c r="C1477" s="20" t="str">
        <f>IFERROR(__xludf.DUMMYFUNCTION("""COMPUTED_VALUE"""),"subrectangle-queries")</f>
        <v>subrectangle-queries</v>
      </c>
      <c r="D1477" s="20" t="b">
        <f>IFERROR(__xludf.DUMMYFUNCTION("""COMPUTED_VALUE"""),FALSE)</f>
        <v>0</v>
      </c>
      <c r="E1477" s="20" t="str">
        <f>IFERROR(__xludf.DUMMYFUNCTION("""COMPUTED_VALUE"""),"Medium")</f>
        <v>Medium</v>
      </c>
      <c r="F1477" s="20">
        <f>IFERROR(__xludf.DUMMYFUNCTION("""COMPUTED_VALUE"""),483.0)</f>
        <v>483</v>
      </c>
      <c r="G1477" s="20">
        <f>IFERROR(__xludf.DUMMYFUNCTION("""COMPUTED_VALUE"""),1216.0)</f>
        <v>1216</v>
      </c>
      <c r="H1477" s="20" t="str">
        <f>IFERROR(__xludf.DUMMYFUNCTION("""COMPUTED_VALUE"""),"Algorithms")</f>
        <v>Algorithms</v>
      </c>
      <c r="I1477" s="20">
        <f>IFERROR(__xludf.DUMMYFUNCTION("""COMPUTED_VALUE"""),0.883)</f>
        <v>0.883</v>
      </c>
      <c r="J1477" s="20">
        <f>IFERROR(__xludf.DUMMYFUNCTION("""COMPUTED_VALUE"""),1476.0)</f>
        <v>1476</v>
      </c>
      <c r="K1477" s="20" t="b">
        <f>IFERROR(__xludf.DUMMYFUNCTION("""COMPUTED_VALUE"""),FALSE)</f>
        <v>0</v>
      </c>
      <c r="L1477" s="20" t="str">
        <f>IFERROR(__xludf.DUMMYFUNCTION("""COMPUTED_VALUE"""),"Array;Design;Matrix;")</f>
        <v>Array;Design;Matrix;</v>
      </c>
      <c r="M1477" s="20" t="b">
        <f>IFERROR(__xludf.DUMMYFUNCTION("""COMPUTED_VALUE"""),FALSE)</f>
        <v>0</v>
      </c>
      <c r="N1477" s="20" t="b">
        <f>IFERROR(__xludf.DUMMYFUNCTION("""COMPUTED_VALUE"""),FALSE)</f>
        <v>0</v>
      </c>
      <c r="O1477" s="20">
        <f>IFERROR(__xludf.DUMMYFUNCTION("""COMPUTED_VALUE"""),88.3394363954784)</f>
        <v>88.3394364</v>
      </c>
      <c r="P1477" s="20">
        <f>IFERROR(__xludf.DUMMYFUNCTION("""COMPUTED_VALUE"""),83229.0)</f>
        <v>83229</v>
      </c>
      <c r="Q1477" s="20">
        <f>IFERROR(__xludf.DUMMYFUNCTION("""COMPUTED_VALUE"""),94215.0)</f>
        <v>94215</v>
      </c>
    </row>
    <row r="1478">
      <c r="A1478" s="20">
        <f>IFERROR(__xludf.DUMMYFUNCTION("""COMPUTED_VALUE"""),1573.0)</f>
        <v>1573</v>
      </c>
      <c r="B1478" s="20" t="str">
        <f>IFERROR(__xludf.DUMMYFUNCTION("""COMPUTED_VALUE"""),"Find Two Non-overlapping Sub-arrays Each With Target Sum")</f>
        <v>Find Two Non-overlapping Sub-arrays Each With Target Sum</v>
      </c>
      <c r="C1478" s="20" t="str">
        <f>IFERROR(__xludf.DUMMYFUNCTION("""COMPUTED_VALUE"""),"find-two-non-overlapping-sub-arrays-each-with-target-sum")</f>
        <v>find-two-non-overlapping-sub-arrays-each-with-target-sum</v>
      </c>
      <c r="D1478" s="20" t="b">
        <f>IFERROR(__xludf.DUMMYFUNCTION("""COMPUTED_VALUE"""),FALSE)</f>
        <v>0</v>
      </c>
      <c r="E1478" s="20" t="str">
        <f>IFERROR(__xludf.DUMMYFUNCTION("""COMPUTED_VALUE"""),"Medium")</f>
        <v>Medium</v>
      </c>
      <c r="F1478" s="20">
        <f>IFERROR(__xludf.DUMMYFUNCTION("""COMPUTED_VALUE"""),1451.0)</f>
        <v>1451</v>
      </c>
      <c r="G1478" s="20">
        <f>IFERROR(__xludf.DUMMYFUNCTION("""COMPUTED_VALUE"""),73.0)</f>
        <v>73</v>
      </c>
      <c r="H1478" s="20" t="str">
        <f>IFERROR(__xludf.DUMMYFUNCTION("""COMPUTED_VALUE"""),"Algorithms")</f>
        <v>Algorithms</v>
      </c>
      <c r="I1478" s="20">
        <f>IFERROR(__xludf.DUMMYFUNCTION("""COMPUTED_VALUE"""),0.369)</f>
        <v>0.369</v>
      </c>
      <c r="J1478" s="20">
        <f>IFERROR(__xludf.DUMMYFUNCTION("""COMPUTED_VALUE"""),1477.0)</f>
        <v>1477</v>
      </c>
      <c r="K1478" s="20" t="b">
        <f>IFERROR(__xludf.DUMMYFUNCTION("""COMPUTED_VALUE"""),FALSE)</f>
        <v>0</v>
      </c>
      <c r="L1478" s="20" t="str">
        <f>IFERROR(__xludf.DUMMYFUNCTION("""COMPUTED_VALUE"""),"Array;Hash Table;Binary Search;Dynamic Programming;Sliding Window;")</f>
        <v>Array;Hash Table;Binary Search;Dynamic Programming;Sliding Window;</v>
      </c>
      <c r="M1478" s="20" t="b">
        <f>IFERROR(__xludf.DUMMYFUNCTION("""COMPUTED_VALUE"""),FALSE)</f>
        <v>0</v>
      </c>
      <c r="N1478" s="20" t="b">
        <f>IFERROR(__xludf.DUMMYFUNCTION("""COMPUTED_VALUE"""),FALSE)</f>
        <v>0</v>
      </c>
      <c r="O1478" s="20">
        <f>IFERROR(__xludf.DUMMYFUNCTION("""COMPUTED_VALUE"""),36.9012021724537)</f>
        <v>36.90120217</v>
      </c>
      <c r="P1478" s="20">
        <f>IFERROR(__xludf.DUMMYFUNCTION("""COMPUTED_VALUE"""),42329.0)</f>
        <v>42329</v>
      </c>
      <c r="Q1478" s="20">
        <f>IFERROR(__xludf.DUMMYFUNCTION("""COMPUTED_VALUE"""),114709.0)</f>
        <v>114709</v>
      </c>
    </row>
    <row r="1479">
      <c r="A1479" s="20">
        <f>IFERROR(__xludf.DUMMYFUNCTION("""COMPUTED_VALUE"""),1571.0)</f>
        <v>1571</v>
      </c>
      <c r="B1479" s="20" t="str">
        <f>IFERROR(__xludf.DUMMYFUNCTION("""COMPUTED_VALUE"""),"Allocate Mailboxes")</f>
        <v>Allocate Mailboxes</v>
      </c>
      <c r="C1479" s="20" t="str">
        <f>IFERROR(__xludf.DUMMYFUNCTION("""COMPUTED_VALUE"""),"allocate-mailboxes")</f>
        <v>allocate-mailboxes</v>
      </c>
      <c r="D1479" s="20" t="b">
        <f>IFERROR(__xludf.DUMMYFUNCTION("""COMPUTED_VALUE"""),FALSE)</f>
        <v>0</v>
      </c>
      <c r="E1479" s="20" t="str">
        <f>IFERROR(__xludf.DUMMYFUNCTION("""COMPUTED_VALUE"""),"Hard")</f>
        <v>Hard</v>
      </c>
      <c r="F1479" s="20">
        <f>IFERROR(__xludf.DUMMYFUNCTION("""COMPUTED_VALUE"""),907.0)</f>
        <v>907</v>
      </c>
      <c r="G1479" s="20">
        <f>IFERROR(__xludf.DUMMYFUNCTION("""COMPUTED_VALUE"""),14.0)</f>
        <v>14</v>
      </c>
      <c r="H1479" s="20" t="str">
        <f>IFERROR(__xludf.DUMMYFUNCTION("""COMPUTED_VALUE"""),"Algorithms")</f>
        <v>Algorithms</v>
      </c>
      <c r="I1479" s="20">
        <f>IFERROR(__xludf.DUMMYFUNCTION("""COMPUTED_VALUE"""),0.556)</f>
        <v>0.556</v>
      </c>
      <c r="J1479" s="20">
        <f>IFERROR(__xludf.DUMMYFUNCTION("""COMPUTED_VALUE"""),1478.0)</f>
        <v>1478</v>
      </c>
      <c r="K1479" s="20" t="b">
        <f>IFERROR(__xludf.DUMMYFUNCTION("""COMPUTED_VALUE"""),FALSE)</f>
        <v>0</v>
      </c>
      <c r="L1479" s="20" t="str">
        <f>IFERROR(__xludf.DUMMYFUNCTION("""COMPUTED_VALUE"""),"Array;Math;Dynamic Programming;Sorting;")</f>
        <v>Array;Math;Dynamic Programming;Sorting;</v>
      </c>
      <c r="M1479" s="20" t="b">
        <f>IFERROR(__xludf.DUMMYFUNCTION("""COMPUTED_VALUE"""),FALSE)</f>
        <v>0</v>
      </c>
      <c r="N1479" s="20" t="b">
        <f>IFERROR(__xludf.DUMMYFUNCTION("""COMPUTED_VALUE"""),FALSE)</f>
        <v>0</v>
      </c>
      <c r="O1479" s="20">
        <f>IFERROR(__xludf.DUMMYFUNCTION("""COMPUTED_VALUE"""),55.6167016072676)</f>
        <v>55.61670161</v>
      </c>
      <c r="P1479" s="20">
        <f>IFERROR(__xludf.DUMMYFUNCTION("""COMPUTED_VALUE"""),19101.0)</f>
        <v>19101</v>
      </c>
      <c r="Q1479" s="20">
        <f>IFERROR(__xludf.DUMMYFUNCTION("""COMPUTED_VALUE"""),34344.0)</f>
        <v>34344</v>
      </c>
    </row>
    <row r="1480">
      <c r="A1480" s="20">
        <f>IFERROR(__xludf.DUMMYFUNCTION("""COMPUTED_VALUE"""),1623.0)</f>
        <v>1623</v>
      </c>
      <c r="B1480" s="20" t="str">
        <f>IFERROR(__xludf.DUMMYFUNCTION("""COMPUTED_VALUE"""),"Sales by Day of the Week")</f>
        <v>Sales by Day of the Week</v>
      </c>
      <c r="C1480" s="20" t="str">
        <f>IFERROR(__xludf.DUMMYFUNCTION("""COMPUTED_VALUE"""),"sales-by-day-of-the-week")</f>
        <v>sales-by-day-of-the-week</v>
      </c>
      <c r="D1480" s="20" t="b">
        <f>IFERROR(__xludf.DUMMYFUNCTION("""COMPUTED_VALUE"""),TRUE)</f>
        <v>1</v>
      </c>
      <c r="E1480" s="20" t="str">
        <f>IFERROR(__xludf.DUMMYFUNCTION("""COMPUTED_VALUE"""),"Hard")</f>
        <v>Hard</v>
      </c>
      <c r="F1480" s="20">
        <f>IFERROR(__xludf.DUMMYFUNCTION("""COMPUTED_VALUE"""),126.0)</f>
        <v>126</v>
      </c>
      <c r="G1480" s="20">
        <f>IFERROR(__xludf.DUMMYFUNCTION("""COMPUTED_VALUE"""),37.0)</f>
        <v>37</v>
      </c>
      <c r="H1480" s="20" t="str">
        <f>IFERROR(__xludf.DUMMYFUNCTION("""COMPUTED_VALUE"""),"Database")</f>
        <v>Database</v>
      </c>
      <c r="I1480" s="20">
        <f>IFERROR(__xludf.DUMMYFUNCTION("""COMPUTED_VALUE"""),0.819)</f>
        <v>0.819</v>
      </c>
      <c r="J1480" s="20">
        <f>IFERROR(__xludf.DUMMYFUNCTION("""COMPUTED_VALUE"""),1479.0)</f>
        <v>1479</v>
      </c>
      <c r="K1480" s="20" t="b">
        <f>IFERROR(__xludf.DUMMYFUNCTION("""COMPUTED_VALUE"""),TRUE)</f>
        <v>1</v>
      </c>
      <c r="L1480" s="20" t="str">
        <f>IFERROR(__xludf.DUMMYFUNCTION("""COMPUTED_VALUE"""),"Database;")</f>
        <v>Database;</v>
      </c>
      <c r="M1480" s="20" t="b">
        <f>IFERROR(__xludf.DUMMYFUNCTION("""COMPUTED_VALUE"""),FALSE)</f>
        <v>0</v>
      </c>
      <c r="N1480" s="20" t="b">
        <f>IFERROR(__xludf.DUMMYFUNCTION("""COMPUTED_VALUE"""),FALSE)</f>
        <v>0</v>
      </c>
      <c r="O1480" s="20">
        <f>IFERROR(__xludf.DUMMYFUNCTION("""COMPUTED_VALUE"""),81.9501842957667)</f>
        <v>81.9501843</v>
      </c>
      <c r="P1480" s="20">
        <f>IFERROR(__xludf.DUMMYFUNCTION("""COMPUTED_VALUE"""),14673.0)</f>
        <v>14673</v>
      </c>
      <c r="Q1480" s="20">
        <f>IFERROR(__xludf.DUMMYFUNCTION("""COMPUTED_VALUE"""),17905.0)</f>
        <v>17905</v>
      </c>
    </row>
    <row r="1481">
      <c r="A1481" s="20">
        <f>IFERROR(__xludf.DUMMYFUNCTION("""COMPUTED_VALUE"""),1603.0)</f>
        <v>1603</v>
      </c>
      <c r="B1481" s="20" t="str">
        <f>IFERROR(__xludf.DUMMYFUNCTION("""COMPUTED_VALUE"""),"Running Sum of 1d Array")</f>
        <v>Running Sum of 1d Array</v>
      </c>
      <c r="C1481" s="20" t="str">
        <f>IFERROR(__xludf.DUMMYFUNCTION("""COMPUTED_VALUE"""),"running-sum-of-1d-array")</f>
        <v>running-sum-of-1d-array</v>
      </c>
      <c r="D1481" s="20" t="b">
        <f>IFERROR(__xludf.DUMMYFUNCTION("""COMPUTED_VALUE"""),FALSE)</f>
        <v>0</v>
      </c>
      <c r="E1481" s="20" t="str">
        <f>IFERROR(__xludf.DUMMYFUNCTION("""COMPUTED_VALUE"""),"Easy")</f>
        <v>Easy</v>
      </c>
      <c r="F1481" s="20">
        <f>IFERROR(__xludf.DUMMYFUNCTION("""COMPUTED_VALUE"""),5566.0)</f>
        <v>5566</v>
      </c>
      <c r="G1481" s="20">
        <f>IFERROR(__xludf.DUMMYFUNCTION("""COMPUTED_VALUE"""),279.0)</f>
        <v>279</v>
      </c>
      <c r="H1481" s="20" t="str">
        <f>IFERROR(__xludf.DUMMYFUNCTION("""COMPUTED_VALUE"""),"Algorithms")</f>
        <v>Algorithms</v>
      </c>
      <c r="I1481" s="20">
        <f>IFERROR(__xludf.DUMMYFUNCTION("""COMPUTED_VALUE"""),0.888)</f>
        <v>0.888</v>
      </c>
      <c r="J1481" s="20">
        <f>IFERROR(__xludf.DUMMYFUNCTION("""COMPUTED_VALUE"""),1480.0)</f>
        <v>1480</v>
      </c>
      <c r="K1481" s="20" t="b">
        <f>IFERROR(__xludf.DUMMYFUNCTION("""COMPUTED_VALUE"""),FALSE)</f>
        <v>0</v>
      </c>
      <c r="L1481" s="20" t="str">
        <f>IFERROR(__xludf.DUMMYFUNCTION("""COMPUTED_VALUE"""),"Array;Prefix Sum;")</f>
        <v>Array;Prefix Sum;</v>
      </c>
      <c r="M1481" s="20" t="b">
        <f>IFERROR(__xludf.DUMMYFUNCTION("""COMPUTED_VALUE"""),TRUE)</f>
        <v>1</v>
      </c>
      <c r="N1481" s="20" t="b">
        <f>IFERROR(__xludf.DUMMYFUNCTION("""COMPUTED_VALUE"""),TRUE)</f>
        <v>1</v>
      </c>
      <c r="O1481" s="20">
        <f>IFERROR(__xludf.DUMMYFUNCTION("""COMPUTED_VALUE"""),88.8208679997941)</f>
        <v>88.820868</v>
      </c>
      <c r="P1481" s="20">
        <f>IFERROR(__xludf.DUMMYFUNCTION("""COMPUTED_VALUE"""),1156450.0)</f>
        <v>1156450</v>
      </c>
      <c r="Q1481" s="20">
        <f>IFERROR(__xludf.DUMMYFUNCTION("""COMPUTED_VALUE"""),1301988.0)</f>
        <v>1301988</v>
      </c>
    </row>
    <row r="1482">
      <c r="A1482" s="20">
        <f>IFERROR(__xludf.DUMMYFUNCTION("""COMPUTED_VALUE"""),1604.0)</f>
        <v>1604</v>
      </c>
      <c r="B1482" s="20" t="str">
        <f>IFERROR(__xludf.DUMMYFUNCTION("""COMPUTED_VALUE"""),"Least Number of Unique Integers after K Removals")</f>
        <v>Least Number of Unique Integers after K Removals</v>
      </c>
      <c r="C1482" s="20" t="str">
        <f>IFERROR(__xludf.DUMMYFUNCTION("""COMPUTED_VALUE"""),"least-number-of-unique-integers-after-k-removals")</f>
        <v>least-number-of-unique-integers-after-k-removals</v>
      </c>
      <c r="D1482" s="20" t="b">
        <f>IFERROR(__xludf.DUMMYFUNCTION("""COMPUTED_VALUE"""),FALSE)</f>
        <v>0</v>
      </c>
      <c r="E1482" s="20" t="str">
        <f>IFERROR(__xludf.DUMMYFUNCTION("""COMPUTED_VALUE"""),"Medium")</f>
        <v>Medium</v>
      </c>
      <c r="F1482" s="20">
        <f>IFERROR(__xludf.DUMMYFUNCTION("""COMPUTED_VALUE"""),1159.0)</f>
        <v>1159</v>
      </c>
      <c r="G1482" s="20">
        <f>IFERROR(__xludf.DUMMYFUNCTION("""COMPUTED_VALUE"""),105.0)</f>
        <v>105</v>
      </c>
      <c r="H1482" s="20" t="str">
        <f>IFERROR(__xludf.DUMMYFUNCTION("""COMPUTED_VALUE"""),"Algorithms")</f>
        <v>Algorithms</v>
      </c>
      <c r="I1482" s="20">
        <f>IFERROR(__xludf.DUMMYFUNCTION("""COMPUTED_VALUE"""),0.566)</f>
        <v>0.566</v>
      </c>
      <c r="J1482" s="20">
        <f>IFERROR(__xludf.DUMMYFUNCTION("""COMPUTED_VALUE"""),1481.0)</f>
        <v>1481</v>
      </c>
      <c r="K1482" s="20" t="b">
        <f>IFERROR(__xludf.DUMMYFUNCTION("""COMPUTED_VALUE"""),FALSE)</f>
        <v>0</v>
      </c>
      <c r="L1482" s="20" t="str">
        <f>IFERROR(__xludf.DUMMYFUNCTION("""COMPUTED_VALUE"""),"Array;Hash Table;Greedy;Sorting;Counting;")</f>
        <v>Array;Hash Table;Greedy;Sorting;Counting;</v>
      </c>
      <c r="M1482" s="20" t="b">
        <f>IFERROR(__xludf.DUMMYFUNCTION("""COMPUTED_VALUE"""),FALSE)</f>
        <v>0</v>
      </c>
      <c r="N1482" s="20" t="b">
        <f>IFERROR(__xludf.DUMMYFUNCTION("""COMPUTED_VALUE"""),FALSE)</f>
        <v>0</v>
      </c>
      <c r="O1482" s="20">
        <f>IFERROR(__xludf.DUMMYFUNCTION("""COMPUTED_VALUE"""),56.6348168208063)</f>
        <v>56.63481682</v>
      </c>
      <c r="P1482" s="20">
        <f>IFERROR(__xludf.DUMMYFUNCTION("""COMPUTED_VALUE"""),88671.0)</f>
        <v>88671</v>
      </c>
      <c r="Q1482" s="20">
        <f>IFERROR(__xludf.DUMMYFUNCTION("""COMPUTED_VALUE"""),156567.0)</f>
        <v>156567</v>
      </c>
    </row>
    <row r="1483">
      <c r="A1483" s="20">
        <f>IFERROR(__xludf.DUMMYFUNCTION("""COMPUTED_VALUE"""),1605.0)</f>
        <v>1605</v>
      </c>
      <c r="B1483" s="20" t="str">
        <f>IFERROR(__xludf.DUMMYFUNCTION("""COMPUTED_VALUE"""),"Minimum Number of Days to Make m Bouquets")</f>
        <v>Minimum Number of Days to Make m Bouquets</v>
      </c>
      <c r="C1483" s="20" t="str">
        <f>IFERROR(__xludf.DUMMYFUNCTION("""COMPUTED_VALUE"""),"minimum-number-of-days-to-make-m-bouquets")</f>
        <v>minimum-number-of-days-to-make-m-bouquets</v>
      </c>
      <c r="D1483" s="20" t="b">
        <f>IFERROR(__xludf.DUMMYFUNCTION("""COMPUTED_VALUE"""),FALSE)</f>
        <v>0</v>
      </c>
      <c r="E1483" s="20" t="str">
        <f>IFERROR(__xludf.DUMMYFUNCTION("""COMPUTED_VALUE"""),"Medium")</f>
        <v>Medium</v>
      </c>
      <c r="F1483" s="20">
        <f>IFERROR(__xludf.DUMMYFUNCTION("""COMPUTED_VALUE"""),2245.0)</f>
        <v>2245</v>
      </c>
      <c r="G1483" s="20">
        <f>IFERROR(__xludf.DUMMYFUNCTION("""COMPUTED_VALUE"""),61.0)</f>
        <v>61</v>
      </c>
      <c r="H1483" s="20" t="str">
        <f>IFERROR(__xludf.DUMMYFUNCTION("""COMPUTED_VALUE"""),"Algorithms")</f>
        <v>Algorithms</v>
      </c>
      <c r="I1483" s="20">
        <f>IFERROR(__xludf.DUMMYFUNCTION("""COMPUTED_VALUE"""),0.553)</f>
        <v>0.553</v>
      </c>
      <c r="J1483" s="20">
        <f>IFERROR(__xludf.DUMMYFUNCTION("""COMPUTED_VALUE"""),1482.0)</f>
        <v>1482</v>
      </c>
      <c r="K1483" s="20" t="b">
        <f>IFERROR(__xludf.DUMMYFUNCTION("""COMPUTED_VALUE"""),FALSE)</f>
        <v>0</v>
      </c>
      <c r="L1483" s="20" t="str">
        <f>IFERROR(__xludf.DUMMYFUNCTION("""COMPUTED_VALUE"""),"Array;Binary Search;")</f>
        <v>Array;Binary Search;</v>
      </c>
      <c r="M1483" s="20" t="b">
        <f>IFERROR(__xludf.DUMMYFUNCTION("""COMPUTED_VALUE"""),FALSE)</f>
        <v>0</v>
      </c>
      <c r="N1483" s="20" t="b">
        <f>IFERROR(__xludf.DUMMYFUNCTION("""COMPUTED_VALUE"""),FALSE)</f>
        <v>0</v>
      </c>
      <c r="O1483" s="20">
        <f>IFERROR(__xludf.DUMMYFUNCTION("""COMPUTED_VALUE"""),55.2586243119458)</f>
        <v>55.25862431</v>
      </c>
      <c r="P1483" s="20">
        <f>IFERROR(__xludf.DUMMYFUNCTION("""COMPUTED_VALUE"""),52602.0)</f>
        <v>52602</v>
      </c>
      <c r="Q1483" s="20">
        <f>IFERROR(__xludf.DUMMYFUNCTION("""COMPUTED_VALUE"""),95190.0)</f>
        <v>95190</v>
      </c>
    </row>
    <row r="1484">
      <c r="A1484" s="20">
        <f>IFERROR(__xludf.DUMMYFUNCTION("""COMPUTED_VALUE"""),1296.0)</f>
        <v>1296</v>
      </c>
      <c r="B1484" s="20" t="str">
        <f>IFERROR(__xludf.DUMMYFUNCTION("""COMPUTED_VALUE"""),"Kth Ancestor of a Tree Node")</f>
        <v>Kth Ancestor of a Tree Node</v>
      </c>
      <c r="C1484" s="20" t="str">
        <f>IFERROR(__xludf.DUMMYFUNCTION("""COMPUTED_VALUE"""),"kth-ancestor-of-a-tree-node")</f>
        <v>kth-ancestor-of-a-tree-node</v>
      </c>
      <c r="D1484" s="20" t="b">
        <f>IFERROR(__xludf.DUMMYFUNCTION("""COMPUTED_VALUE"""),FALSE)</f>
        <v>0</v>
      </c>
      <c r="E1484" s="20" t="str">
        <f>IFERROR(__xludf.DUMMYFUNCTION("""COMPUTED_VALUE"""),"Hard")</f>
        <v>Hard</v>
      </c>
      <c r="F1484" s="20">
        <f>IFERROR(__xludf.DUMMYFUNCTION("""COMPUTED_VALUE"""),1394.0)</f>
        <v>1394</v>
      </c>
      <c r="G1484" s="20">
        <f>IFERROR(__xludf.DUMMYFUNCTION("""COMPUTED_VALUE"""),93.0)</f>
        <v>93</v>
      </c>
      <c r="H1484" s="20" t="str">
        <f>IFERROR(__xludf.DUMMYFUNCTION("""COMPUTED_VALUE"""),"Algorithms")</f>
        <v>Algorithms</v>
      </c>
      <c r="I1484" s="20">
        <f>IFERROR(__xludf.DUMMYFUNCTION("""COMPUTED_VALUE"""),0.338)</f>
        <v>0.338</v>
      </c>
      <c r="J1484" s="20">
        <f>IFERROR(__xludf.DUMMYFUNCTION("""COMPUTED_VALUE"""),1483.0)</f>
        <v>1483</v>
      </c>
      <c r="K1484" s="20" t="b">
        <f>IFERROR(__xludf.DUMMYFUNCTION("""COMPUTED_VALUE"""),FALSE)</f>
        <v>0</v>
      </c>
      <c r="L1484" s="20" t="str">
        <f>IFERROR(__xludf.DUMMYFUNCTION("""COMPUTED_VALUE"""),"Binary Search;Dynamic Programming;Tree;Depth-First Search;Breadth-First Search;Design;")</f>
        <v>Binary Search;Dynamic Programming;Tree;Depth-First Search;Breadth-First Search;Design;</v>
      </c>
      <c r="M1484" s="20" t="b">
        <f>IFERROR(__xludf.DUMMYFUNCTION("""COMPUTED_VALUE"""),FALSE)</f>
        <v>0</v>
      </c>
      <c r="N1484" s="20" t="b">
        <f>IFERROR(__xludf.DUMMYFUNCTION("""COMPUTED_VALUE"""),FALSE)</f>
        <v>0</v>
      </c>
      <c r="O1484" s="20">
        <f>IFERROR(__xludf.DUMMYFUNCTION("""COMPUTED_VALUE"""),33.7594065218551)</f>
        <v>33.75940652</v>
      </c>
      <c r="P1484" s="20">
        <f>IFERROR(__xludf.DUMMYFUNCTION("""COMPUTED_VALUE"""),25302.0)</f>
        <v>25302</v>
      </c>
      <c r="Q1484" s="20">
        <f>IFERROR(__xludf.DUMMYFUNCTION("""COMPUTED_VALUE"""),74947.0)</f>
        <v>74947</v>
      </c>
    </row>
    <row r="1485">
      <c r="A1485" s="20">
        <f>IFERROR(__xludf.DUMMYFUNCTION("""COMPUTED_VALUE"""),1625.0)</f>
        <v>1625</v>
      </c>
      <c r="B1485" s="20" t="str">
        <f>IFERROR(__xludf.DUMMYFUNCTION("""COMPUTED_VALUE"""),"Group Sold Products By The Date")</f>
        <v>Group Sold Products By The Date</v>
      </c>
      <c r="C1485" s="20" t="str">
        <f>IFERROR(__xludf.DUMMYFUNCTION("""COMPUTED_VALUE"""),"group-sold-products-by-the-date")</f>
        <v>group-sold-products-by-the-date</v>
      </c>
      <c r="D1485" s="20" t="b">
        <f>IFERROR(__xludf.DUMMYFUNCTION("""COMPUTED_VALUE"""),FALSE)</f>
        <v>0</v>
      </c>
      <c r="E1485" s="20" t="str">
        <f>IFERROR(__xludf.DUMMYFUNCTION("""COMPUTED_VALUE"""),"Easy")</f>
        <v>Easy</v>
      </c>
      <c r="F1485" s="20">
        <f>IFERROR(__xludf.DUMMYFUNCTION("""COMPUTED_VALUE"""),794.0)</f>
        <v>794</v>
      </c>
      <c r="G1485" s="20">
        <f>IFERROR(__xludf.DUMMYFUNCTION("""COMPUTED_VALUE"""),63.0)</f>
        <v>63</v>
      </c>
      <c r="H1485" s="20" t="str">
        <f>IFERROR(__xludf.DUMMYFUNCTION("""COMPUTED_VALUE"""),"Database")</f>
        <v>Database</v>
      </c>
      <c r="I1485" s="20">
        <f>IFERROR(__xludf.DUMMYFUNCTION("""COMPUTED_VALUE"""),0.827)</f>
        <v>0.827</v>
      </c>
      <c r="J1485" s="20">
        <f>IFERROR(__xludf.DUMMYFUNCTION("""COMPUTED_VALUE"""),1484.0)</f>
        <v>1484</v>
      </c>
      <c r="K1485" s="20" t="b">
        <f>IFERROR(__xludf.DUMMYFUNCTION("""COMPUTED_VALUE"""),FALSE)</f>
        <v>0</v>
      </c>
      <c r="L1485" s="20" t="str">
        <f>IFERROR(__xludf.DUMMYFUNCTION("""COMPUTED_VALUE"""),"Database;")</f>
        <v>Database;</v>
      </c>
      <c r="M1485" s="20" t="b">
        <f>IFERROR(__xludf.DUMMYFUNCTION("""COMPUTED_VALUE"""),FALSE)</f>
        <v>0</v>
      </c>
      <c r="N1485" s="20" t="b">
        <f>IFERROR(__xludf.DUMMYFUNCTION("""COMPUTED_VALUE"""),FALSE)</f>
        <v>0</v>
      </c>
      <c r="O1485" s="20">
        <f>IFERROR(__xludf.DUMMYFUNCTION("""COMPUTED_VALUE"""),82.6615032564689)</f>
        <v>82.66150326</v>
      </c>
      <c r="P1485" s="20">
        <f>IFERROR(__xludf.DUMMYFUNCTION("""COMPUTED_VALUE"""),89221.0)</f>
        <v>89221</v>
      </c>
      <c r="Q1485" s="20">
        <f>IFERROR(__xludf.DUMMYFUNCTION("""COMPUTED_VALUE"""),107936.0)</f>
        <v>107936</v>
      </c>
    </row>
    <row r="1486">
      <c r="A1486" s="20">
        <f>IFERROR(__xludf.DUMMYFUNCTION("""COMPUTED_VALUE"""),1624.0)</f>
        <v>1624</v>
      </c>
      <c r="B1486" s="20" t="str">
        <f>IFERROR(__xludf.DUMMYFUNCTION("""COMPUTED_VALUE"""),"Clone Binary Tree With Random Pointer")</f>
        <v>Clone Binary Tree With Random Pointer</v>
      </c>
      <c r="C1486" s="20" t="str">
        <f>IFERROR(__xludf.DUMMYFUNCTION("""COMPUTED_VALUE"""),"clone-binary-tree-with-random-pointer")</f>
        <v>clone-binary-tree-with-random-pointer</v>
      </c>
      <c r="D1486" s="20" t="b">
        <f>IFERROR(__xludf.DUMMYFUNCTION("""COMPUTED_VALUE"""),TRUE)</f>
        <v>1</v>
      </c>
      <c r="E1486" s="20" t="str">
        <f>IFERROR(__xludf.DUMMYFUNCTION("""COMPUTED_VALUE"""),"Medium")</f>
        <v>Medium</v>
      </c>
      <c r="F1486" s="20">
        <f>IFERROR(__xludf.DUMMYFUNCTION("""COMPUTED_VALUE"""),318.0)</f>
        <v>318</v>
      </c>
      <c r="G1486" s="20">
        <f>IFERROR(__xludf.DUMMYFUNCTION("""COMPUTED_VALUE"""),57.0)</f>
        <v>57</v>
      </c>
      <c r="H1486" s="20" t="str">
        <f>IFERROR(__xludf.DUMMYFUNCTION("""COMPUTED_VALUE"""),"Algorithms")</f>
        <v>Algorithms</v>
      </c>
      <c r="I1486" s="20">
        <f>IFERROR(__xludf.DUMMYFUNCTION("""COMPUTED_VALUE"""),0.794)</f>
        <v>0.794</v>
      </c>
      <c r="J1486" s="20">
        <f>IFERROR(__xludf.DUMMYFUNCTION("""COMPUTED_VALUE"""),1485.0)</f>
        <v>1485</v>
      </c>
      <c r="K1486" s="20" t="b">
        <f>IFERROR(__xludf.DUMMYFUNCTION("""COMPUTED_VALUE"""),TRUE)</f>
        <v>1</v>
      </c>
      <c r="L1486" s="20" t="str">
        <f>IFERROR(__xludf.DUMMYFUNCTION("""COMPUTED_VALUE"""),"Hash Table;Tree;Depth-First Search;Breadth-First Search;Binary Tree;")</f>
        <v>Hash Table;Tree;Depth-First Search;Breadth-First Search;Binary Tree;</v>
      </c>
      <c r="M1486" s="20" t="b">
        <f>IFERROR(__xludf.DUMMYFUNCTION("""COMPUTED_VALUE"""),TRUE)</f>
        <v>1</v>
      </c>
      <c r="N1486" s="20" t="b">
        <f>IFERROR(__xludf.DUMMYFUNCTION("""COMPUTED_VALUE"""),FALSE)</f>
        <v>0</v>
      </c>
      <c r="O1486" s="20">
        <f>IFERROR(__xludf.DUMMYFUNCTION("""COMPUTED_VALUE"""),79.3852981057648)</f>
        <v>79.38529811</v>
      </c>
      <c r="P1486" s="20">
        <f>IFERROR(__xludf.DUMMYFUNCTION("""COMPUTED_VALUE"""),19320.0)</f>
        <v>19320</v>
      </c>
      <c r="Q1486" s="20">
        <f>IFERROR(__xludf.DUMMYFUNCTION("""COMPUTED_VALUE"""),24337.0)</f>
        <v>24337</v>
      </c>
    </row>
    <row r="1487">
      <c r="A1487" s="20">
        <f>IFERROR(__xludf.DUMMYFUNCTION("""COMPUTED_VALUE"""),1610.0)</f>
        <v>1610</v>
      </c>
      <c r="B1487" s="20" t="str">
        <f>IFERROR(__xludf.DUMMYFUNCTION("""COMPUTED_VALUE"""),"XOR Operation in an Array")</f>
        <v>XOR Operation in an Array</v>
      </c>
      <c r="C1487" s="20" t="str">
        <f>IFERROR(__xludf.DUMMYFUNCTION("""COMPUTED_VALUE"""),"xor-operation-in-an-array")</f>
        <v>xor-operation-in-an-array</v>
      </c>
      <c r="D1487" s="20" t="b">
        <f>IFERROR(__xludf.DUMMYFUNCTION("""COMPUTED_VALUE"""),FALSE)</f>
        <v>0</v>
      </c>
      <c r="E1487" s="20" t="str">
        <f>IFERROR(__xludf.DUMMYFUNCTION("""COMPUTED_VALUE"""),"Easy")</f>
        <v>Easy</v>
      </c>
      <c r="F1487" s="20">
        <f>IFERROR(__xludf.DUMMYFUNCTION("""COMPUTED_VALUE"""),1056.0)</f>
        <v>1056</v>
      </c>
      <c r="G1487" s="20">
        <f>IFERROR(__xludf.DUMMYFUNCTION("""COMPUTED_VALUE"""),306.0)</f>
        <v>306</v>
      </c>
      <c r="H1487" s="20" t="str">
        <f>IFERROR(__xludf.DUMMYFUNCTION("""COMPUTED_VALUE"""),"Algorithms")</f>
        <v>Algorithms</v>
      </c>
      <c r="I1487" s="20">
        <f>IFERROR(__xludf.DUMMYFUNCTION("""COMPUTED_VALUE"""),0.843)</f>
        <v>0.843</v>
      </c>
      <c r="J1487" s="20">
        <f>IFERROR(__xludf.DUMMYFUNCTION("""COMPUTED_VALUE"""),1486.0)</f>
        <v>1486</v>
      </c>
      <c r="K1487" s="20" t="b">
        <f>IFERROR(__xludf.DUMMYFUNCTION("""COMPUTED_VALUE"""),FALSE)</f>
        <v>0</v>
      </c>
      <c r="L1487" s="20" t="str">
        <f>IFERROR(__xludf.DUMMYFUNCTION("""COMPUTED_VALUE"""),"Math;Bit Manipulation;")</f>
        <v>Math;Bit Manipulation;</v>
      </c>
      <c r="M1487" s="20" t="b">
        <f>IFERROR(__xludf.DUMMYFUNCTION("""COMPUTED_VALUE"""),FALSE)</f>
        <v>0</v>
      </c>
      <c r="N1487" s="20" t="b">
        <f>IFERROR(__xludf.DUMMYFUNCTION("""COMPUTED_VALUE"""),FALSE)</f>
        <v>0</v>
      </c>
      <c r="O1487" s="20">
        <f>IFERROR(__xludf.DUMMYFUNCTION("""COMPUTED_VALUE"""),84.3034601484521)</f>
        <v>84.30346015</v>
      </c>
      <c r="P1487" s="20">
        <f>IFERROR(__xludf.DUMMYFUNCTION("""COMPUTED_VALUE"""),142993.0)</f>
        <v>142993</v>
      </c>
      <c r="Q1487" s="20">
        <f>IFERROR(__xludf.DUMMYFUNCTION("""COMPUTED_VALUE"""),169617.0)</f>
        <v>169617</v>
      </c>
    </row>
    <row r="1488">
      <c r="A1488" s="20">
        <f>IFERROR(__xludf.DUMMYFUNCTION("""COMPUTED_VALUE"""),1611.0)</f>
        <v>1611</v>
      </c>
      <c r="B1488" s="20" t="str">
        <f>IFERROR(__xludf.DUMMYFUNCTION("""COMPUTED_VALUE"""),"Making File Names Unique")</f>
        <v>Making File Names Unique</v>
      </c>
      <c r="C1488" s="20" t="str">
        <f>IFERROR(__xludf.DUMMYFUNCTION("""COMPUTED_VALUE"""),"making-file-names-unique")</f>
        <v>making-file-names-unique</v>
      </c>
      <c r="D1488" s="20" t="b">
        <f>IFERROR(__xludf.DUMMYFUNCTION("""COMPUTED_VALUE"""),FALSE)</f>
        <v>0</v>
      </c>
      <c r="E1488" s="20" t="str">
        <f>IFERROR(__xludf.DUMMYFUNCTION("""COMPUTED_VALUE"""),"Medium")</f>
        <v>Medium</v>
      </c>
      <c r="F1488" s="20">
        <f>IFERROR(__xludf.DUMMYFUNCTION("""COMPUTED_VALUE"""),376.0)</f>
        <v>376</v>
      </c>
      <c r="G1488" s="20">
        <f>IFERROR(__xludf.DUMMYFUNCTION("""COMPUTED_VALUE"""),620.0)</f>
        <v>620</v>
      </c>
      <c r="H1488" s="20" t="str">
        <f>IFERROR(__xludf.DUMMYFUNCTION("""COMPUTED_VALUE"""),"Algorithms")</f>
        <v>Algorithms</v>
      </c>
      <c r="I1488" s="20">
        <f>IFERROR(__xludf.DUMMYFUNCTION("""COMPUTED_VALUE"""),0.36)</f>
        <v>0.36</v>
      </c>
      <c r="J1488" s="20">
        <f>IFERROR(__xludf.DUMMYFUNCTION("""COMPUTED_VALUE"""),1487.0)</f>
        <v>1487</v>
      </c>
      <c r="K1488" s="20" t="b">
        <f>IFERROR(__xludf.DUMMYFUNCTION("""COMPUTED_VALUE"""),FALSE)</f>
        <v>0</v>
      </c>
      <c r="L1488" s="20" t="str">
        <f>IFERROR(__xludf.DUMMYFUNCTION("""COMPUTED_VALUE"""),"Array;Hash Table;String;")</f>
        <v>Array;Hash Table;String;</v>
      </c>
      <c r="M1488" s="20" t="b">
        <f>IFERROR(__xludf.DUMMYFUNCTION("""COMPUTED_VALUE"""),FALSE)</f>
        <v>0</v>
      </c>
      <c r="N1488" s="20" t="b">
        <f>IFERROR(__xludf.DUMMYFUNCTION("""COMPUTED_VALUE"""),FALSE)</f>
        <v>0</v>
      </c>
      <c r="O1488" s="20">
        <f>IFERROR(__xludf.DUMMYFUNCTION("""COMPUTED_VALUE"""),35.9867204889274)</f>
        <v>35.98672049</v>
      </c>
      <c r="P1488" s="20">
        <f>IFERROR(__xludf.DUMMYFUNCTION("""COMPUTED_VALUE"""),28617.0)</f>
        <v>28617</v>
      </c>
      <c r="Q1488" s="20">
        <f>IFERROR(__xludf.DUMMYFUNCTION("""COMPUTED_VALUE"""),79519.0)</f>
        <v>79519</v>
      </c>
    </row>
    <row r="1489">
      <c r="A1489" s="20">
        <f>IFERROR(__xludf.DUMMYFUNCTION("""COMPUTED_VALUE"""),1612.0)</f>
        <v>1612</v>
      </c>
      <c r="B1489" s="20" t="str">
        <f>IFERROR(__xludf.DUMMYFUNCTION("""COMPUTED_VALUE"""),"Avoid Flood in The City")</f>
        <v>Avoid Flood in The City</v>
      </c>
      <c r="C1489" s="20" t="str">
        <f>IFERROR(__xludf.DUMMYFUNCTION("""COMPUTED_VALUE"""),"avoid-flood-in-the-city")</f>
        <v>avoid-flood-in-the-city</v>
      </c>
      <c r="D1489" s="20" t="b">
        <f>IFERROR(__xludf.DUMMYFUNCTION("""COMPUTED_VALUE"""),FALSE)</f>
        <v>0</v>
      </c>
      <c r="E1489" s="20" t="str">
        <f>IFERROR(__xludf.DUMMYFUNCTION("""COMPUTED_VALUE"""),"Medium")</f>
        <v>Medium</v>
      </c>
      <c r="F1489" s="20">
        <f>IFERROR(__xludf.DUMMYFUNCTION("""COMPUTED_VALUE"""),1243.0)</f>
        <v>1243</v>
      </c>
      <c r="G1489" s="20">
        <f>IFERROR(__xludf.DUMMYFUNCTION("""COMPUTED_VALUE"""),241.0)</f>
        <v>241</v>
      </c>
      <c r="H1489" s="20" t="str">
        <f>IFERROR(__xludf.DUMMYFUNCTION("""COMPUTED_VALUE"""),"Algorithms")</f>
        <v>Algorithms</v>
      </c>
      <c r="I1489" s="20">
        <f>IFERROR(__xludf.DUMMYFUNCTION("""COMPUTED_VALUE"""),0.262)</f>
        <v>0.262</v>
      </c>
      <c r="J1489" s="20">
        <f>IFERROR(__xludf.DUMMYFUNCTION("""COMPUTED_VALUE"""),1488.0)</f>
        <v>1488</v>
      </c>
      <c r="K1489" s="20" t="b">
        <f>IFERROR(__xludf.DUMMYFUNCTION("""COMPUTED_VALUE"""),FALSE)</f>
        <v>0</v>
      </c>
      <c r="L1489" s="20" t="str">
        <f>IFERROR(__xludf.DUMMYFUNCTION("""COMPUTED_VALUE"""),"Array;Hash Table;Binary Search;Greedy;Heap (Priority Queue);")</f>
        <v>Array;Hash Table;Binary Search;Greedy;Heap (Priority Queue);</v>
      </c>
      <c r="M1489" s="20" t="b">
        <f>IFERROR(__xludf.DUMMYFUNCTION("""COMPUTED_VALUE"""),FALSE)</f>
        <v>0</v>
      </c>
      <c r="N1489" s="20" t="b">
        <f>IFERROR(__xludf.DUMMYFUNCTION("""COMPUTED_VALUE"""),FALSE)</f>
        <v>0</v>
      </c>
      <c r="O1489" s="20">
        <f>IFERROR(__xludf.DUMMYFUNCTION("""COMPUTED_VALUE"""),26.1755057408419)</f>
        <v>26.17550574</v>
      </c>
      <c r="P1489" s="20">
        <f>IFERROR(__xludf.DUMMYFUNCTION("""COMPUTED_VALUE"""),28725.0)</f>
        <v>28725</v>
      </c>
      <c r="Q1489" s="20">
        <f>IFERROR(__xludf.DUMMYFUNCTION("""COMPUTED_VALUE"""),109740.0)</f>
        <v>109740</v>
      </c>
    </row>
    <row r="1490">
      <c r="A1490" s="20">
        <f>IFERROR(__xludf.DUMMYFUNCTION("""COMPUTED_VALUE"""),1613.0)</f>
        <v>1613</v>
      </c>
      <c r="B1490" s="20" t="str">
        <f>IFERROR(__xludf.DUMMYFUNCTION("""COMPUTED_VALUE"""),"Find Critical and Pseudo-Critical Edges in Minimum Spanning Tree")</f>
        <v>Find Critical and Pseudo-Critical Edges in Minimum Spanning Tree</v>
      </c>
      <c r="C1490" s="20" t="str">
        <f>IFERROR(__xludf.DUMMYFUNCTION("""COMPUTED_VALUE"""),"find-critical-and-pseudo-critical-edges-in-minimum-spanning-tree")</f>
        <v>find-critical-and-pseudo-critical-edges-in-minimum-spanning-tree</v>
      </c>
      <c r="D1490" s="20" t="b">
        <f>IFERROR(__xludf.DUMMYFUNCTION("""COMPUTED_VALUE"""),FALSE)</f>
        <v>0</v>
      </c>
      <c r="E1490" s="20" t="str">
        <f>IFERROR(__xludf.DUMMYFUNCTION("""COMPUTED_VALUE"""),"Hard")</f>
        <v>Hard</v>
      </c>
      <c r="F1490" s="20">
        <f>IFERROR(__xludf.DUMMYFUNCTION("""COMPUTED_VALUE"""),610.0)</f>
        <v>610</v>
      </c>
      <c r="G1490" s="20">
        <f>IFERROR(__xludf.DUMMYFUNCTION("""COMPUTED_VALUE"""),48.0)</f>
        <v>48</v>
      </c>
      <c r="H1490" s="20" t="str">
        <f>IFERROR(__xludf.DUMMYFUNCTION("""COMPUTED_VALUE"""),"Algorithms")</f>
        <v>Algorithms</v>
      </c>
      <c r="I1490" s="20">
        <f>IFERROR(__xludf.DUMMYFUNCTION("""COMPUTED_VALUE"""),0.527)</f>
        <v>0.527</v>
      </c>
      <c r="J1490" s="20">
        <f>IFERROR(__xludf.DUMMYFUNCTION("""COMPUTED_VALUE"""),1489.0)</f>
        <v>1489</v>
      </c>
      <c r="K1490" s="20" t="b">
        <f>IFERROR(__xludf.DUMMYFUNCTION("""COMPUTED_VALUE"""),FALSE)</f>
        <v>0</v>
      </c>
      <c r="L1490" s="20" t="str">
        <f>IFERROR(__xludf.DUMMYFUNCTION("""COMPUTED_VALUE"""),"Union Find;Graph;Sorting;Minimum Spanning Tree;Strongly Connected Component;")</f>
        <v>Union Find;Graph;Sorting;Minimum Spanning Tree;Strongly Connected Component;</v>
      </c>
      <c r="M1490" s="20" t="b">
        <f>IFERROR(__xludf.DUMMYFUNCTION("""COMPUTED_VALUE"""),FALSE)</f>
        <v>0</v>
      </c>
      <c r="N1490" s="20" t="b">
        <f>IFERROR(__xludf.DUMMYFUNCTION("""COMPUTED_VALUE"""),FALSE)</f>
        <v>0</v>
      </c>
      <c r="O1490" s="20">
        <f>IFERROR(__xludf.DUMMYFUNCTION("""COMPUTED_VALUE"""),52.726991013325)</f>
        <v>52.72699101</v>
      </c>
      <c r="P1490" s="20">
        <f>IFERROR(__xludf.DUMMYFUNCTION("""COMPUTED_VALUE"""),10209.0)</f>
        <v>10209</v>
      </c>
      <c r="Q1490" s="20">
        <f>IFERROR(__xludf.DUMMYFUNCTION("""COMPUTED_VALUE"""),19362.0)</f>
        <v>19362</v>
      </c>
    </row>
    <row r="1491">
      <c r="A1491" s="20">
        <f>IFERROR(__xludf.DUMMYFUNCTION("""COMPUTED_VALUE"""),1634.0)</f>
        <v>1634</v>
      </c>
      <c r="B1491" s="20" t="str">
        <f>IFERROR(__xludf.DUMMYFUNCTION("""COMPUTED_VALUE"""),"Clone N-ary Tree")</f>
        <v>Clone N-ary Tree</v>
      </c>
      <c r="C1491" s="20" t="str">
        <f>IFERROR(__xludf.DUMMYFUNCTION("""COMPUTED_VALUE"""),"clone-n-ary-tree")</f>
        <v>clone-n-ary-tree</v>
      </c>
      <c r="D1491" s="20" t="b">
        <f>IFERROR(__xludf.DUMMYFUNCTION("""COMPUTED_VALUE"""),TRUE)</f>
        <v>1</v>
      </c>
      <c r="E1491" s="20" t="str">
        <f>IFERROR(__xludf.DUMMYFUNCTION("""COMPUTED_VALUE"""),"Medium")</f>
        <v>Medium</v>
      </c>
      <c r="F1491" s="20">
        <f>IFERROR(__xludf.DUMMYFUNCTION("""COMPUTED_VALUE"""),348.0)</f>
        <v>348</v>
      </c>
      <c r="G1491" s="20">
        <f>IFERROR(__xludf.DUMMYFUNCTION("""COMPUTED_VALUE"""),14.0)</f>
        <v>14</v>
      </c>
      <c r="H1491" s="20" t="str">
        <f>IFERROR(__xludf.DUMMYFUNCTION("""COMPUTED_VALUE"""),"Algorithms")</f>
        <v>Algorithms</v>
      </c>
      <c r="I1491" s="20">
        <f>IFERROR(__xludf.DUMMYFUNCTION("""COMPUTED_VALUE"""),0.836)</f>
        <v>0.836</v>
      </c>
      <c r="J1491" s="20">
        <f>IFERROR(__xludf.DUMMYFUNCTION("""COMPUTED_VALUE"""),1490.0)</f>
        <v>1490</v>
      </c>
      <c r="K1491" s="20" t="b">
        <f>IFERROR(__xludf.DUMMYFUNCTION("""COMPUTED_VALUE"""),TRUE)</f>
        <v>1</v>
      </c>
      <c r="L1491" s="20" t="str">
        <f>IFERROR(__xludf.DUMMYFUNCTION("""COMPUTED_VALUE"""),"Hash Table;Tree;Depth-First Search;Breadth-First Search;")</f>
        <v>Hash Table;Tree;Depth-First Search;Breadth-First Search;</v>
      </c>
      <c r="M1491" s="20" t="b">
        <f>IFERROR(__xludf.DUMMYFUNCTION("""COMPUTED_VALUE"""),TRUE)</f>
        <v>1</v>
      </c>
      <c r="N1491" s="20" t="b">
        <f>IFERROR(__xludf.DUMMYFUNCTION("""COMPUTED_VALUE"""),FALSE)</f>
        <v>0</v>
      </c>
      <c r="O1491" s="20">
        <f>IFERROR(__xludf.DUMMYFUNCTION("""COMPUTED_VALUE"""),83.5986982538405)</f>
        <v>83.59869825</v>
      </c>
      <c r="P1491" s="20">
        <f>IFERROR(__xludf.DUMMYFUNCTION("""COMPUTED_VALUE"""),23890.0)</f>
        <v>23890</v>
      </c>
      <c r="Q1491" s="20">
        <f>IFERROR(__xludf.DUMMYFUNCTION("""COMPUTED_VALUE"""),28577.0)</f>
        <v>28577</v>
      </c>
    </row>
    <row r="1492">
      <c r="A1492" s="20">
        <f>IFERROR(__xludf.DUMMYFUNCTION("""COMPUTED_VALUE"""),1584.0)</f>
        <v>1584</v>
      </c>
      <c r="B1492" s="20" t="str">
        <f>IFERROR(__xludf.DUMMYFUNCTION("""COMPUTED_VALUE"""),"Average Salary Excluding the Minimum and Maximum Salary")</f>
        <v>Average Salary Excluding the Minimum and Maximum Salary</v>
      </c>
      <c r="C1492" s="20" t="str">
        <f>IFERROR(__xludf.DUMMYFUNCTION("""COMPUTED_VALUE"""),"average-salary-excluding-the-minimum-and-maximum-salary")</f>
        <v>average-salary-excluding-the-minimum-and-maximum-salary</v>
      </c>
      <c r="D1492" s="20" t="b">
        <f>IFERROR(__xludf.DUMMYFUNCTION("""COMPUTED_VALUE"""),FALSE)</f>
        <v>0</v>
      </c>
      <c r="E1492" s="20" t="str">
        <f>IFERROR(__xludf.DUMMYFUNCTION("""COMPUTED_VALUE"""),"Easy")</f>
        <v>Easy</v>
      </c>
      <c r="F1492" s="20">
        <f>IFERROR(__xludf.DUMMYFUNCTION("""COMPUTED_VALUE"""),1057.0)</f>
        <v>1057</v>
      </c>
      <c r="G1492" s="20">
        <f>IFERROR(__xludf.DUMMYFUNCTION("""COMPUTED_VALUE"""),124.0)</f>
        <v>124</v>
      </c>
      <c r="H1492" s="20" t="str">
        <f>IFERROR(__xludf.DUMMYFUNCTION("""COMPUTED_VALUE"""),"Algorithms")</f>
        <v>Algorithms</v>
      </c>
      <c r="I1492" s="20">
        <f>IFERROR(__xludf.DUMMYFUNCTION("""COMPUTED_VALUE"""),0.624)</f>
        <v>0.624</v>
      </c>
      <c r="J1492" s="20">
        <f>IFERROR(__xludf.DUMMYFUNCTION("""COMPUTED_VALUE"""),1491.0)</f>
        <v>1491</v>
      </c>
      <c r="K1492" s="20" t="b">
        <f>IFERROR(__xludf.DUMMYFUNCTION("""COMPUTED_VALUE"""),FALSE)</f>
        <v>0</v>
      </c>
      <c r="L1492" s="20" t="str">
        <f>IFERROR(__xludf.DUMMYFUNCTION("""COMPUTED_VALUE"""),"Array;Sorting;")</f>
        <v>Array;Sorting;</v>
      </c>
      <c r="M1492" s="20" t="b">
        <f>IFERROR(__xludf.DUMMYFUNCTION("""COMPUTED_VALUE"""),FALSE)</f>
        <v>0</v>
      </c>
      <c r="N1492" s="20" t="b">
        <f>IFERROR(__xludf.DUMMYFUNCTION("""COMPUTED_VALUE"""),FALSE)</f>
        <v>0</v>
      </c>
      <c r="O1492" s="20">
        <f>IFERROR(__xludf.DUMMYFUNCTION("""COMPUTED_VALUE"""),62.4230971891636)</f>
        <v>62.42309719</v>
      </c>
      <c r="P1492" s="20">
        <f>IFERROR(__xludf.DUMMYFUNCTION("""COMPUTED_VALUE"""),171778.0)</f>
        <v>171778</v>
      </c>
      <c r="Q1492" s="20">
        <f>IFERROR(__xludf.DUMMYFUNCTION("""COMPUTED_VALUE"""),275179.0)</f>
        <v>275179</v>
      </c>
    </row>
    <row r="1493">
      <c r="A1493" s="20">
        <f>IFERROR(__xludf.DUMMYFUNCTION("""COMPUTED_VALUE"""),1585.0)</f>
        <v>1585</v>
      </c>
      <c r="B1493" s="20" t="str">
        <f>IFERROR(__xludf.DUMMYFUNCTION("""COMPUTED_VALUE"""),"The kth Factor of n")</f>
        <v>The kth Factor of n</v>
      </c>
      <c r="C1493" s="20" t="str">
        <f>IFERROR(__xludf.DUMMYFUNCTION("""COMPUTED_VALUE"""),"the-kth-factor-of-n")</f>
        <v>the-kth-factor-of-n</v>
      </c>
      <c r="D1493" s="20" t="b">
        <f>IFERROR(__xludf.DUMMYFUNCTION("""COMPUTED_VALUE"""),FALSE)</f>
        <v>0</v>
      </c>
      <c r="E1493" s="20" t="str">
        <f>IFERROR(__xludf.DUMMYFUNCTION("""COMPUTED_VALUE"""),"Medium")</f>
        <v>Medium</v>
      </c>
      <c r="F1493" s="20">
        <f>IFERROR(__xludf.DUMMYFUNCTION("""COMPUTED_VALUE"""),928.0)</f>
        <v>928</v>
      </c>
      <c r="G1493" s="20">
        <f>IFERROR(__xludf.DUMMYFUNCTION("""COMPUTED_VALUE"""),232.0)</f>
        <v>232</v>
      </c>
      <c r="H1493" s="20" t="str">
        <f>IFERROR(__xludf.DUMMYFUNCTION("""COMPUTED_VALUE"""),"Algorithms")</f>
        <v>Algorithms</v>
      </c>
      <c r="I1493" s="20">
        <f>IFERROR(__xludf.DUMMYFUNCTION("""COMPUTED_VALUE"""),0.624)</f>
        <v>0.624</v>
      </c>
      <c r="J1493" s="20">
        <f>IFERROR(__xludf.DUMMYFUNCTION("""COMPUTED_VALUE"""),1492.0)</f>
        <v>1492</v>
      </c>
      <c r="K1493" s="20" t="b">
        <f>IFERROR(__xludf.DUMMYFUNCTION("""COMPUTED_VALUE"""),FALSE)</f>
        <v>0</v>
      </c>
      <c r="L1493" s="20" t="str">
        <f>IFERROR(__xludf.DUMMYFUNCTION("""COMPUTED_VALUE"""),"Math;")</f>
        <v>Math;</v>
      </c>
      <c r="M1493" s="20" t="b">
        <f>IFERROR(__xludf.DUMMYFUNCTION("""COMPUTED_VALUE"""),TRUE)</f>
        <v>1</v>
      </c>
      <c r="N1493" s="20" t="b">
        <f>IFERROR(__xludf.DUMMYFUNCTION("""COMPUTED_VALUE"""),FALSE)</f>
        <v>0</v>
      </c>
      <c r="O1493" s="20">
        <f>IFERROR(__xludf.DUMMYFUNCTION("""COMPUTED_VALUE"""),62.449634598289)</f>
        <v>62.4496346</v>
      </c>
      <c r="P1493" s="20">
        <f>IFERROR(__xludf.DUMMYFUNCTION("""COMPUTED_VALUE"""),108184.0)</f>
        <v>108184</v>
      </c>
      <c r="Q1493" s="20">
        <f>IFERROR(__xludf.DUMMYFUNCTION("""COMPUTED_VALUE"""),173234.0)</f>
        <v>173234</v>
      </c>
    </row>
    <row r="1494">
      <c r="A1494" s="20">
        <f>IFERROR(__xludf.DUMMYFUNCTION("""COMPUTED_VALUE"""),1586.0)</f>
        <v>1586</v>
      </c>
      <c r="B1494" s="20" t="str">
        <f>IFERROR(__xludf.DUMMYFUNCTION("""COMPUTED_VALUE"""),"Longest Subarray of 1's After Deleting One Element")</f>
        <v>Longest Subarray of 1's After Deleting One Element</v>
      </c>
      <c r="C1494" s="20" t="str">
        <f>IFERROR(__xludf.DUMMYFUNCTION("""COMPUTED_VALUE"""),"longest-subarray-of-1s-after-deleting-one-element")</f>
        <v>longest-subarray-of-1s-after-deleting-one-element</v>
      </c>
      <c r="D1494" s="20" t="b">
        <f>IFERROR(__xludf.DUMMYFUNCTION("""COMPUTED_VALUE"""),FALSE)</f>
        <v>0</v>
      </c>
      <c r="E1494" s="20" t="str">
        <f>IFERROR(__xludf.DUMMYFUNCTION("""COMPUTED_VALUE"""),"Medium")</f>
        <v>Medium</v>
      </c>
      <c r="F1494" s="20">
        <f>IFERROR(__xludf.DUMMYFUNCTION("""COMPUTED_VALUE"""),1255.0)</f>
        <v>1255</v>
      </c>
      <c r="G1494" s="20">
        <f>IFERROR(__xludf.DUMMYFUNCTION("""COMPUTED_VALUE"""),26.0)</f>
        <v>26</v>
      </c>
      <c r="H1494" s="20" t="str">
        <f>IFERROR(__xludf.DUMMYFUNCTION("""COMPUTED_VALUE"""),"Algorithms")</f>
        <v>Algorithms</v>
      </c>
      <c r="I1494" s="20">
        <f>IFERROR(__xludf.DUMMYFUNCTION("""COMPUTED_VALUE"""),0.602)</f>
        <v>0.602</v>
      </c>
      <c r="J1494" s="20">
        <f>IFERROR(__xludf.DUMMYFUNCTION("""COMPUTED_VALUE"""),1493.0)</f>
        <v>1493</v>
      </c>
      <c r="K1494" s="20" t="b">
        <f>IFERROR(__xludf.DUMMYFUNCTION("""COMPUTED_VALUE"""),FALSE)</f>
        <v>0</v>
      </c>
      <c r="L1494" s="20" t="str">
        <f>IFERROR(__xludf.DUMMYFUNCTION("""COMPUTED_VALUE"""),"Array;Dynamic Programming;Sliding Window;")</f>
        <v>Array;Dynamic Programming;Sliding Window;</v>
      </c>
      <c r="M1494" s="20" t="b">
        <f>IFERROR(__xludf.DUMMYFUNCTION("""COMPUTED_VALUE"""),FALSE)</f>
        <v>0</v>
      </c>
      <c r="N1494" s="20" t="b">
        <f>IFERROR(__xludf.DUMMYFUNCTION("""COMPUTED_VALUE"""),FALSE)</f>
        <v>0</v>
      </c>
      <c r="O1494" s="20">
        <f>IFERROR(__xludf.DUMMYFUNCTION("""COMPUTED_VALUE"""),60.2070487073598)</f>
        <v>60.20704871</v>
      </c>
      <c r="P1494" s="20">
        <f>IFERROR(__xludf.DUMMYFUNCTION("""COMPUTED_VALUE"""),53214.0)</f>
        <v>53214</v>
      </c>
      <c r="Q1494" s="20">
        <f>IFERROR(__xludf.DUMMYFUNCTION("""COMPUTED_VALUE"""),88385.0)</f>
        <v>88385</v>
      </c>
    </row>
    <row r="1495">
      <c r="A1495" s="20">
        <f>IFERROR(__xludf.DUMMYFUNCTION("""COMPUTED_VALUE"""),1587.0)</f>
        <v>1587</v>
      </c>
      <c r="B1495" s="20" t="str">
        <f>IFERROR(__xludf.DUMMYFUNCTION("""COMPUTED_VALUE"""),"Parallel Courses II")</f>
        <v>Parallel Courses II</v>
      </c>
      <c r="C1495" s="20" t="str">
        <f>IFERROR(__xludf.DUMMYFUNCTION("""COMPUTED_VALUE"""),"parallel-courses-ii")</f>
        <v>parallel-courses-ii</v>
      </c>
      <c r="D1495" s="20" t="b">
        <f>IFERROR(__xludf.DUMMYFUNCTION("""COMPUTED_VALUE"""),FALSE)</f>
        <v>0</v>
      </c>
      <c r="E1495" s="20" t="str">
        <f>IFERROR(__xludf.DUMMYFUNCTION("""COMPUTED_VALUE"""),"Hard")</f>
        <v>Hard</v>
      </c>
      <c r="F1495" s="20">
        <f>IFERROR(__xludf.DUMMYFUNCTION("""COMPUTED_VALUE"""),750.0)</f>
        <v>750</v>
      </c>
      <c r="G1495" s="20">
        <f>IFERROR(__xludf.DUMMYFUNCTION("""COMPUTED_VALUE"""),59.0)</f>
        <v>59</v>
      </c>
      <c r="H1495" s="20" t="str">
        <f>IFERROR(__xludf.DUMMYFUNCTION("""COMPUTED_VALUE"""),"Algorithms")</f>
        <v>Algorithms</v>
      </c>
      <c r="I1495" s="20">
        <f>IFERROR(__xludf.DUMMYFUNCTION("""COMPUTED_VALUE"""),0.308)</f>
        <v>0.308</v>
      </c>
      <c r="J1495" s="20">
        <f>IFERROR(__xludf.DUMMYFUNCTION("""COMPUTED_VALUE"""),1494.0)</f>
        <v>1494</v>
      </c>
      <c r="K1495" s="20" t="b">
        <f>IFERROR(__xludf.DUMMYFUNCTION("""COMPUTED_VALUE"""),FALSE)</f>
        <v>0</v>
      </c>
      <c r="L1495" s="20" t="str">
        <f>IFERROR(__xludf.DUMMYFUNCTION("""COMPUTED_VALUE"""),"Dynamic Programming;Bit Manipulation;Graph;Bitmask;")</f>
        <v>Dynamic Programming;Bit Manipulation;Graph;Bitmask;</v>
      </c>
      <c r="M1495" s="20" t="b">
        <f>IFERROR(__xludf.DUMMYFUNCTION("""COMPUTED_VALUE"""),FALSE)</f>
        <v>0</v>
      </c>
      <c r="N1495" s="20" t="b">
        <f>IFERROR(__xludf.DUMMYFUNCTION("""COMPUTED_VALUE"""),FALSE)</f>
        <v>0</v>
      </c>
      <c r="O1495" s="20">
        <f>IFERROR(__xludf.DUMMYFUNCTION("""COMPUTED_VALUE"""),30.8425119381853)</f>
        <v>30.84251194</v>
      </c>
      <c r="P1495" s="20">
        <f>IFERROR(__xludf.DUMMYFUNCTION("""COMPUTED_VALUE"""),12853.0)</f>
        <v>12853</v>
      </c>
      <c r="Q1495" s="20">
        <f>IFERROR(__xludf.DUMMYFUNCTION("""COMPUTED_VALUE"""),41672.0)</f>
        <v>41672</v>
      </c>
    </row>
    <row r="1496">
      <c r="A1496" s="20">
        <f>IFERROR(__xludf.DUMMYFUNCTION("""COMPUTED_VALUE"""),1639.0)</f>
        <v>1639</v>
      </c>
      <c r="B1496" s="20" t="str">
        <f>IFERROR(__xludf.DUMMYFUNCTION("""COMPUTED_VALUE"""),"Friendly Movies Streamed Last Month")</f>
        <v>Friendly Movies Streamed Last Month</v>
      </c>
      <c r="C1496" s="20" t="str">
        <f>IFERROR(__xludf.DUMMYFUNCTION("""COMPUTED_VALUE"""),"friendly-movies-streamed-last-month")</f>
        <v>friendly-movies-streamed-last-month</v>
      </c>
      <c r="D1496" s="20" t="b">
        <f>IFERROR(__xludf.DUMMYFUNCTION("""COMPUTED_VALUE"""),TRUE)</f>
        <v>1</v>
      </c>
      <c r="E1496" s="20" t="str">
        <f>IFERROR(__xludf.DUMMYFUNCTION("""COMPUTED_VALUE"""),"Easy")</f>
        <v>Easy</v>
      </c>
      <c r="F1496" s="20">
        <f>IFERROR(__xludf.DUMMYFUNCTION("""COMPUTED_VALUE"""),67.0)</f>
        <v>67</v>
      </c>
      <c r="G1496" s="20">
        <f>IFERROR(__xludf.DUMMYFUNCTION("""COMPUTED_VALUE"""),10.0)</f>
        <v>10</v>
      </c>
      <c r="H1496" s="20" t="str">
        <f>IFERROR(__xludf.DUMMYFUNCTION("""COMPUTED_VALUE"""),"Database")</f>
        <v>Database</v>
      </c>
      <c r="I1496" s="20">
        <f>IFERROR(__xludf.DUMMYFUNCTION("""COMPUTED_VALUE"""),0.496)</f>
        <v>0.496</v>
      </c>
      <c r="J1496" s="20">
        <f>IFERROR(__xludf.DUMMYFUNCTION("""COMPUTED_VALUE"""),1495.0)</f>
        <v>1495</v>
      </c>
      <c r="K1496" s="20" t="b">
        <f>IFERROR(__xludf.DUMMYFUNCTION("""COMPUTED_VALUE"""),TRUE)</f>
        <v>1</v>
      </c>
      <c r="L1496" s="20" t="str">
        <f>IFERROR(__xludf.DUMMYFUNCTION("""COMPUTED_VALUE"""),"Database;")</f>
        <v>Database;</v>
      </c>
      <c r="M1496" s="20" t="b">
        <f>IFERROR(__xludf.DUMMYFUNCTION("""COMPUTED_VALUE"""),FALSE)</f>
        <v>0</v>
      </c>
      <c r="N1496" s="20" t="b">
        <f>IFERROR(__xludf.DUMMYFUNCTION("""COMPUTED_VALUE"""),FALSE)</f>
        <v>0</v>
      </c>
      <c r="O1496" s="20">
        <f>IFERROR(__xludf.DUMMYFUNCTION("""COMPUTED_VALUE"""),49.6333668255766)</f>
        <v>49.63336683</v>
      </c>
      <c r="P1496" s="20">
        <f>IFERROR(__xludf.DUMMYFUNCTION("""COMPUTED_VALUE"""),23217.0)</f>
        <v>23217</v>
      </c>
      <c r="Q1496" s="20">
        <f>IFERROR(__xludf.DUMMYFUNCTION("""COMPUTED_VALUE"""),46777.0)</f>
        <v>46777</v>
      </c>
    </row>
    <row r="1497">
      <c r="A1497" s="20">
        <f>IFERROR(__xludf.DUMMYFUNCTION("""COMPUTED_VALUE"""),1619.0)</f>
        <v>1619</v>
      </c>
      <c r="B1497" s="20" t="str">
        <f>IFERROR(__xludf.DUMMYFUNCTION("""COMPUTED_VALUE"""),"Path Crossing")</f>
        <v>Path Crossing</v>
      </c>
      <c r="C1497" s="20" t="str">
        <f>IFERROR(__xludf.DUMMYFUNCTION("""COMPUTED_VALUE"""),"path-crossing")</f>
        <v>path-crossing</v>
      </c>
      <c r="D1497" s="20" t="b">
        <f>IFERROR(__xludf.DUMMYFUNCTION("""COMPUTED_VALUE"""),FALSE)</f>
        <v>0</v>
      </c>
      <c r="E1497" s="20" t="str">
        <f>IFERROR(__xludf.DUMMYFUNCTION("""COMPUTED_VALUE"""),"Easy")</f>
        <v>Easy</v>
      </c>
      <c r="F1497" s="20">
        <f>IFERROR(__xludf.DUMMYFUNCTION("""COMPUTED_VALUE"""),575.0)</f>
        <v>575</v>
      </c>
      <c r="G1497" s="20">
        <f>IFERROR(__xludf.DUMMYFUNCTION("""COMPUTED_VALUE"""),12.0)</f>
        <v>12</v>
      </c>
      <c r="H1497" s="20" t="str">
        <f>IFERROR(__xludf.DUMMYFUNCTION("""COMPUTED_VALUE"""),"Algorithms")</f>
        <v>Algorithms</v>
      </c>
      <c r="I1497" s="20">
        <f>IFERROR(__xludf.DUMMYFUNCTION("""COMPUTED_VALUE"""),0.559)</f>
        <v>0.559</v>
      </c>
      <c r="J1497" s="20">
        <f>IFERROR(__xludf.DUMMYFUNCTION("""COMPUTED_VALUE"""),1496.0)</f>
        <v>1496</v>
      </c>
      <c r="K1497" s="20" t="b">
        <f>IFERROR(__xludf.DUMMYFUNCTION("""COMPUTED_VALUE"""),FALSE)</f>
        <v>0</v>
      </c>
      <c r="L1497" s="20" t="str">
        <f>IFERROR(__xludf.DUMMYFUNCTION("""COMPUTED_VALUE"""),"Hash Table;String;")</f>
        <v>Hash Table;String;</v>
      </c>
      <c r="M1497" s="20" t="b">
        <f>IFERROR(__xludf.DUMMYFUNCTION("""COMPUTED_VALUE"""),FALSE)</f>
        <v>0</v>
      </c>
      <c r="N1497" s="20" t="b">
        <f>IFERROR(__xludf.DUMMYFUNCTION("""COMPUTED_VALUE"""),FALSE)</f>
        <v>0</v>
      </c>
      <c r="O1497" s="20">
        <f>IFERROR(__xludf.DUMMYFUNCTION("""COMPUTED_VALUE"""),55.8850713281093)</f>
        <v>55.88507133</v>
      </c>
      <c r="P1497" s="20">
        <f>IFERROR(__xludf.DUMMYFUNCTION("""COMPUTED_VALUE"""),41720.0)</f>
        <v>41720</v>
      </c>
      <c r="Q1497" s="20">
        <f>IFERROR(__xludf.DUMMYFUNCTION("""COMPUTED_VALUE"""),74654.0)</f>
        <v>74654</v>
      </c>
    </row>
    <row r="1498">
      <c r="A1498" s="20">
        <f>IFERROR(__xludf.DUMMYFUNCTION("""COMPUTED_VALUE"""),1620.0)</f>
        <v>1620</v>
      </c>
      <c r="B1498" s="20" t="str">
        <f>IFERROR(__xludf.DUMMYFUNCTION("""COMPUTED_VALUE"""),"Check If Array Pairs Are Divisible by k")</f>
        <v>Check If Array Pairs Are Divisible by k</v>
      </c>
      <c r="C1498" s="20" t="str">
        <f>IFERROR(__xludf.DUMMYFUNCTION("""COMPUTED_VALUE"""),"check-if-array-pairs-are-divisible-by-k")</f>
        <v>check-if-array-pairs-are-divisible-by-k</v>
      </c>
      <c r="D1498" s="20" t="b">
        <f>IFERROR(__xludf.DUMMYFUNCTION("""COMPUTED_VALUE"""),FALSE)</f>
        <v>0</v>
      </c>
      <c r="E1498" s="20" t="str">
        <f>IFERROR(__xludf.DUMMYFUNCTION("""COMPUTED_VALUE"""),"Medium")</f>
        <v>Medium</v>
      </c>
      <c r="F1498" s="20">
        <f>IFERROR(__xludf.DUMMYFUNCTION("""COMPUTED_VALUE"""),1330.0)</f>
        <v>1330</v>
      </c>
      <c r="G1498" s="20">
        <f>IFERROR(__xludf.DUMMYFUNCTION("""COMPUTED_VALUE"""),78.0)</f>
        <v>78</v>
      </c>
      <c r="H1498" s="20" t="str">
        <f>IFERROR(__xludf.DUMMYFUNCTION("""COMPUTED_VALUE"""),"Algorithms")</f>
        <v>Algorithms</v>
      </c>
      <c r="I1498" s="20">
        <f>IFERROR(__xludf.DUMMYFUNCTION("""COMPUTED_VALUE"""),0.394)</f>
        <v>0.394</v>
      </c>
      <c r="J1498" s="20">
        <f>IFERROR(__xludf.DUMMYFUNCTION("""COMPUTED_VALUE"""),1497.0)</f>
        <v>1497</v>
      </c>
      <c r="K1498" s="20" t="b">
        <f>IFERROR(__xludf.DUMMYFUNCTION("""COMPUTED_VALUE"""),FALSE)</f>
        <v>0</v>
      </c>
      <c r="L1498" s="20" t="str">
        <f>IFERROR(__xludf.DUMMYFUNCTION("""COMPUTED_VALUE"""),"Array;Hash Table;Counting;")</f>
        <v>Array;Hash Table;Counting;</v>
      </c>
      <c r="M1498" s="20" t="b">
        <f>IFERROR(__xludf.DUMMYFUNCTION("""COMPUTED_VALUE"""),FALSE)</f>
        <v>0</v>
      </c>
      <c r="N1498" s="20" t="b">
        <f>IFERROR(__xludf.DUMMYFUNCTION("""COMPUTED_VALUE"""),FALSE)</f>
        <v>0</v>
      </c>
      <c r="O1498" s="20">
        <f>IFERROR(__xludf.DUMMYFUNCTION("""COMPUTED_VALUE"""),39.4474740199609)</f>
        <v>39.44747402</v>
      </c>
      <c r="P1498" s="20">
        <f>IFERROR(__xludf.DUMMYFUNCTION("""COMPUTED_VALUE"""),38339.0)</f>
        <v>38339</v>
      </c>
      <c r="Q1498" s="20">
        <f>IFERROR(__xludf.DUMMYFUNCTION("""COMPUTED_VALUE"""),97190.0)</f>
        <v>97190</v>
      </c>
    </row>
    <row r="1499">
      <c r="A1499" s="20">
        <f>IFERROR(__xludf.DUMMYFUNCTION("""COMPUTED_VALUE"""),1621.0)</f>
        <v>1621</v>
      </c>
      <c r="B1499" s="20" t="str">
        <f>IFERROR(__xludf.DUMMYFUNCTION("""COMPUTED_VALUE"""),"Number of Subsequences That Satisfy the Given Sum Condition")</f>
        <v>Number of Subsequences That Satisfy the Given Sum Condition</v>
      </c>
      <c r="C1499" s="20" t="str">
        <f>IFERROR(__xludf.DUMMYFUNCTION("""COMPUTED_VALUE"""),"number-of-subsequences-that-satisfy-the-given-sum-condition")</f>
        <v>number-of-subsequences-that-satisfy-the-given-sum-condition</v>
      </c>
      <c r="D1499" s="20" t="b">
        <f>IFERROR(__xludf.DUMMYFUNCTION("""COMPUTED_VALUE"""),FALSE)</f>
        <v>0</v>
      </c>
      <c r="E1499" s="20" t="str">
        <f>IFERROR(__xludf.DUMMYFUNCTION("""COMPUTED_VALUE"""),"Medium")</f>
        <v>Medium</v>
      </c>
      <c r="F1499" s="20">
        <f>IFERROR(__xludf.DUMMYFUNCTION("""COMPUTED_VALUE"""),1669.0)</f>
        <v>1669</v>
      </c>
      <c r="G1499" s="20">
        <f>IFERROR(__xludf.DUMMYFUNCTION("""COMPUTED_VALUE"""),149.0)</f>
        <v>149</v>
      </c>
      <c r="H1499" s="20" t="str">
        <f>IFERROR(__xludf.DUMMYFUNCTION("""COMPUTED_VALUE"""),"Algorithms")</f>
        <v>Algorithms</v>
      </c>
      <c r="I1499" s="20">
        <f>IFERROR(__xludf.DUMMYFUNCTION("""COMPUTED_VALUE"""),0.379)</f>
        <v>0.379</v>
      </c>
      <c r="J1499" s="20">
        <f>IFERROR(__xludf.DUMMYFUNCTION("""COMPUTED_VALUE"""),1498.0)</f>
        <v>1498</v>
      </c>
      <c r="K1499" s="20" t="b">
        <f>IFERROR(__xludf.DUMMYFUNCTION("""COMPUTED_VALUE"""),FALSE)</f>
        <v>0</v>
      </c>
      <c r="L1499" s="20" t="str">
        <f>IFERROR(__xludf.DUMMYFUNCTION("""COMPUTED_VALUE"""),"Array;Two Pointers;Binary Search;Sorting;")</f>
        <v>Array;Two Pointers;Binary Search;Sorting;</v>
      </c>
      <c r="M1499" s="20" t="b">
        <f>IFERROR(__xludf.DUMMYFUNCTION("""COMPUTED_VALUE"""),FALSE)</f>
        <v>0</v>
      </c>
      <c r="N1499" s="20" t="b">
        <f>IFERROR(__xludf.DUMMYFUNCTION("""COMPUTED_VALUE"""),FALSE)</f>
        <v>0</v>
      </c>
      <c r="O1499" s="20">
        <f>IFERROR(__xludf.DUMMYFUNCTION("""COMPUTED_VALUE"""),37.8837282078719)</f>
        <v>37.88372821</v>
      </c>
      <c r="P1499" s="20">
        <f>IFERROR(__xludf.DUMMYFUNCTION("""COMPUTED_VALUE"""),37528.0)</f>
        <v>37528</v>
      </c>
      <c r="Q1499" s="20">
        <f>IFERROR(__xludf.DUMMYFUNCTION("""COMPUTED_VALUE"""),99061.0)</f>
        <v>99061</v>
      </c>
    </row>
    <row r="1500">
      <c r="A1500" s="20">
        <f>IFERROR(__xludf.DUMMYFUNCTION("""COMPUTED_VALUE"""),1622.0)</f>
        <v>1622</v>
      </c>
      <c r="B1500" s="20" t="str">
        <f>IFERROR(__xludf.DUMMYFUNCTION("""COMPUTED_VALUE"""),"Max Value of Equation")</f>
        <v>Max Value of Equation</v>
      </c>
      <c r="C1500" s="20" t="str">
        <f>IFERROR(__xludf.DUMMYFUNCTION("""COMPUTED_VALUE"""),"max-value-of-equation")</f>
        <v>max-value-of-equation</v>
      </c>
      <c r="D1500" s="20" t="b">
        <f>IFERROR(__xludf.DUMMYFUNCTION("""COMPUTED_VALUE"""),FALSE)</f>
        <v>0</v>
      </c>
      <c r="E1500" s="20" t="str">
        <f>IFERROR(__xludf.DUMMYFUNCTION("""COMPUTED_VALUE"""),"Hard")</f>
        <v>Hard</v>
      </c>
      <c r="F1500" s="20">
        <f>IFERROR(__xludf.DUMMYFUNCTION("""COMPUTED_VALUE"""),1065.0)</f>
        <v>1065</v>
      </c>
      <c r="G1500" s="20">
        <f>IFERROR(__xludf.DUMMYFUNCTION("""COMPUTED_VALUE"""),36.0)</f>
        <v>36</v>
      </c>
      <c r="H1500" s="20" t="str">
        <f>IFERROR(__xludf.DUMMYFUNCTION("""COMPUTED_VALUE"""),"Algorithms")</f>
        <v>Algorithms</v>
      </c>
      <c r="I1500" s="20">
        <f>IFERROR(__xludf.DUMMYFUNCTION("""COMPUTED_VALUE"""),0.462)</f>
        <v>0.462</v>
      </c>
      <c r="J1500" s="20">
        <f>IFERROR(__xludf.DUMMYFUNCTION("""COMPUTED_VALUE"""),1499.0)</f>
        <v>1499</v>
      </c>
      <c r="K1500" s="20" t="b">
        <f>IFERROR(__xludf.DUMMYFUNCTION("""COMPUTED_VALUE"""),FALSE)</f>
        <v>0</v>
      </c>
      <c r="L1500" s="20" t="str">
        <f>IFERROR(__xludf.DUMMYFUNCTION("""COMPUTED_VALUE"""),"Array;Queue;Sliding Window;Heap (Priority Queue);Monotonic Queue;")</f>
        <v>Array;Queue;Sliding Window;Heap (Priority Queue);Monotonic Queue;</v>
      </c>
      <c r="M1500" s="20" t="b">
        <f>IFERROR(__xludf.DUMMYFUNCTION("""COMPUTED_VALUE"""),FALSE)</f>
        <v>0</v>
      </c>
      <c r="N1500" s="20" t="b">
        <f>IFERROR(__xludf.DUMMYFUNCTION("""COMPUTED_VALUE"""),FALSE)</f>
        <v>0</v>
      </c>
      <c r="O1500" s="20">
        <f>IFERROR(__xludf.DUMMYFUNCTION("""COMPUTED_VALUE"""),46.2181729019602)</f>
        <v>46.2181729</v>
      </c>
      <c r="P1500" s="20">
        <f>IFERROR(__xludf.DUMMYFUNCTION("""COMPUTED_VALUE"""),35814.0)</f>
        <v>35814</v>
      </c>
      <c r="Q1500" s="20">
        <f>IFERROR(__xludf.DUMMYFUNCTION("""COMPUTED_VALUE"""),77489.0)</f>
        <v>77489</v>
      </c>
    </row>
    <row r="1501">
      <c r="A1501" s="20">
        <f>IFERROR(__xludf.DUMMYFUNCTION("""COMPUTED_VALUE"""),1640.0)</f>
        <v>1640</v>
      </c>
      <c r="B1501" s="20" t="str">
        <f>IFERROR(__xludf.DUMMYFUNCTION("""COMPUTED_VALUE"""),"Design a File Sharing System")</f>
        <v>Design a File Sharing System</v>
      </c>
      <c r="C1501" s="20" t="str">
        <f>IFERROR(__xludf.DUMMYFUNCTION("""COMPUTED_VALUE"""),"design-a-file-sharing-system")</f>
        <v>design-a-file-sharing-system</v>
      </c>
      <c r="D1501" s="20" t="b">
        <f>IFERROR(__xludf.DUMMYFUNCTION("""COMPUTED_VALUE"""),TRUE)</f>
        <v>1</v>
      </c>
      <c r="E1501" s="20" t="str">
        <f>IFERROR(__xludf.DUMMYFUNCTION("""COMPUTED_VALUE"""),"Medium")</f>
        <v>Medium</v>
      </c>
      <c r="F1501" s="20">
        <f>IFERROR(__xludf.DUMMYFUNCTION("""COMPUTED_VALUE"""),42.0)</f>
        <v>42</v>
      </c>
      <c r="G1501" s="20">
        <f>IFERROR(__xludf.DUMMYFUNCTION("""COMPUTED_VALUE"""),103.0)</f>
        <v>103</v>
      </c>
      <c r="H1501" s="20" t="str">
        <f>IFERROR(__xludf.DUMMYFUNCTION("""COMPUTED_VALUE"""),"Algorithms")</f>
        <v>Algorithms</v>
      </c>
      <c r="I1501" s="20">
        <f>IFERROR(__xludf.DUMMYFUNCTION("""COMPUTED_VALUE"""),0.448)</f>
        <v>0.448</v>
      </c>
      <c r="J1501" s="20">
        <f>IFERROR(__xludf.DUMMYFUNCTION("""COMPUTED_VALUE"""),1500.0)</f>
        <v>1500</v>
      </c>
      <c r="K1501" s="20" t="b">
        <f>IFERROR(__xludf.DUMMYFUNCTION("""COMPUTED_VALUE"""),TRUE)</f>
        <v>1</v>
      </c>
      <c r="L1501" s="20" t="str">
        <f>IFERROR(__xludf.DUMMYFUNCTION("""COMPUTED_VALUE"""),"Hash Table;Design;Heap (Priority Queue);Data Stream;")</f>
        <v>Hash Table;Design;Heap (Priority Queue);Data Stream;</v>
      </c>
      <c r="M1501" s="20" t="b">
        <f>IFERROR(__xludf.DUMMYFUNCTION("""COMPUTED_VALUE"""),FALSE)</f>
        <v>0</v>
      </c>
      <c r="N1501" s="20" t="b">
        <f>IFERROR(__xludf.DUMMYFUNCTION("""COMPUTED_VALUE"""),FALSE)</f>
        <v>0</v>
      </c>
      <c r="O1501" s="20">
        <f>IFERROR(__xludf.DUMMYFUNCTION("""COMPUTED_VALUE"""),44.8475856487725)</f>
        <v>44.84758565</v>
      </c>
      <c r="P1501" s="20">
        <f>IFERROR(__xludf.DUMMYFUNCTION("""COMPUTED_VALUE"""),3325.0)</f>
        <v>3325</v>
      </c>
      <c r="Q1501" s="20">
        <f>IFERROR(__xludf.DUMMYFUNCTION("""COMPUTED_VALUE"""),7414.0)</f>
        <v>7414</v>
      </c>
    </row>
    <row r="1502">
      <c r="A1502" s="20">
        <f>IFERROR(__xludf.DUMMYFUNCTION("""COMPUTED_VALUE"""),1641.0)</f>
        <v>1641</v>
      </c>
      <c r="B1502" s="20" t="str">
        <f>IFERROR(__xludf.DUMMYFUNCTION("""COMPUTED_VALUE"""),"Countries You Can Safely Invest In")</f>
        <v>Countries You Can Safely Invest In</v>
      </c>
      <c r="C1502" s="20" t="str">
        <f>IFERROR(__xludf.DUMMYFUNCTION("""COMPUTED_VALUE"""),"countries-you-can-safely-invest-in")</f>
        <v>countries-you-can-safely-invest-in</v>
      </c>
      <c r="D1502" s="20" t="b">
        <f>IFERROR(__xludf.DUMMYFUNCTION("""COMPUTED_VALUE"""),TRUE)</f>
        <v>1</v>
      </c>
      <c r="E1502" s="20" t="str">
        <f>IFERROR(__xludf.DUMMYFUNCTION("""COMPUTED_VALUE"""),"Medium")</f>
        <v>Medium</v>
      </c>
      <c r="F1502" s="20">
        <f>IFERROR(__xludf.DUMMYFUNCTION("""COMPUTED_VALUE"""),253.0)</f>
        <v>253</v>
      </c>
      <c r="G1502" s="20">
        <f>IFERROR(__xludf.DUMMYFUNCTION("""COMPUTED_VALUE"""),34.0)</f>
        <v>34</v>
      </c>
      <c r="H1502" s="20" t="str">
        <f>IFERROR(__xludf.DUMMYFUNCTION("""COMPUTED_VALUE"""),"Database")</f>
        <v>Database</v>
      </c>
      <c r="I1502" s="20">
        <f>IFERROR(__xludf.DUMMYFUNCTION("""COMPUTED_VALUE"""),0.578)</f>
        <v>0.578</v>
      </c>
      <c r="J1502" s="20">
        <f>IFERROR(__xludf.DUMMYFUNCTION("""COMPUTED_VALUE"""),1501.0)</f>
        <v>1501</v>
      </c>
      <c r="K1502" s="20" t="b">
        <f>IFERROR(__xludf.DUMMYFUNCTION("""COMPUTED_VALUE"""),TRUE)</f>
        <v>1</v>
      </c>
      <c r="L1502" s="20" t="str">
        <f>IFERROR(__xludf.DUMMYFUNCTION("""COMPUTED_VALUE"""),"Database;")</f>
        <v>Database;</v>
      </c>
      <c r="M1502" s="20" t="b">
        <f>IFERROR(__xludf.DUMMYFUNCTION("""COMPUTED_VALUE"""),FALSE)</f>
        <v>0</v>
      </c>
      <c r="N1502" s="20" t="b">
        <f>IFERROR(__xludf.DUMMYFUNCTION("""COMPUTED_VALUE"""),FALSE)</f>
        <v>0</v>
      </c>
      <c r="O1502" s="20">
        <f>IFERROR(__xludf.DUMMYFUNCTION("""COMPUTED_VALUE"""),57.8237447053501)</f>
        <v>57.82374471</v>
      </c>
      <c r="P1502" s="20">
        <f>IFERROR(__xludf.DUMMYFUNCTION("""COMPUTED_VALUE"""),28122.0)</f>
        <v>28122</v>
      </c>
      <c r="Q1502" s="20">
        <f>IFERROR(__xludf.DUMMYFUNCTION("""COMPUTED_VALUE"""),48634.0)</f>
        <v>48634</v>
      </c>
    </row>
    <row r="1503">
      <c r="A1503" s="20">
        <f>IFERROR(__xludf.DUMMYFUNCTION("""COMPUTED_VALUE"""),1626.0)</f>
        <v>1626</v>
      </c>
      <c r="B1503" s="20" t="str">
        <f>IFERROR(__xludf.DUMMYFUNCTION("""COMPUTED_VALUE"""),"Can Make Arithmetic Progression From Sequence")</f>
        <v>Can Make Arithmetic Progression From Sequence</v>
      </c>
      <c r="C1503" s="20" t="str">
        <f>IFERROR(__xludf.DUMMYFUNCTION("""COMPUTED_VALUE"""),"can-make-arithmetic-progression-from-sequence")</f>
        <v>can-make-arithmetic-progression-from-sequence</v>
      </c>
      <c r="D1503" s="20" t="b">
        <f>IFERROR(__xludf.DUMMYFUNCTION("""COMPUTED_VALUE"""),FALSE)</f>
        <v>0</v>
      </c>
      <c r="E1503" s="20" t="str">
        <f>IFERROR(__xludf.DUMMYFUNCTION("""COMPUTED_VALUE"""),"Easy")</f>
        <v>Easy</v>
      </c>
      <c r="F1503" s="20">
        <f>IFERROR(__xludf.DUMMYFUNCTION("""COMPUTED_VALUE"""),935.0)</f>
        <v>935</v>
      </c>
      <c r="G1503" s="20">
        <f>IFERROR(__xludf.DUMMYFUNCTION("""COMPUTED_VALUE"""),57.0)</f>
        <v>57</v>
      </c>
      <c r="H1503" s="20" t="str">
        <f>IFERROR(__xludf.DUMMYFUNCTION("""COMPUTED_VALUE"""),"Algorithms")</f>
        <v>Algorithms</v>
      </c>
      <c r="I1503" s="20">
        <f>IFERROR(__xludf.DUMMYFUNCTION("""COMPUTED_VALUE"""),0.68)</f>
        <v>0.68</v>
      </c>
      <c r="J1503" s="20">
        <f>IFERROR(__xludf.DUMMYFUNCTION("""COMPUTED_VALUE"""),1502.0)</f>
        <v>1502</v>
      </c>
      <c r="K1503" s="20" t="b">
        <f>IFERROR(__xludf.DUMMYFUNCTION("""COMPUTED_VALUE"""),FALSE)</f>
        <v>0</v>
      </c>
      <c r="L1503" s="20" t="str">
        <f>IFERROR(__xludf.DUMMYFUNCTION("""COMPUTED_VALUE"""),"Array;Sorting;")</f>
        <v>Array;Sorting;</v>
      </c>
      <c r="M1503" s="20" t="b">
        <f>IFERROR(__xludf.DUMMYFUNCTION("""COMPUTED_VALUE"""),FALSE)</f>
        <v>0</v>
      </c>
      <c r="N1503" s="20" t="b">
        <f>IFERROR(__xludf.DUMMYFUNCTION("""COMPUTED_VALUE"""),FALSE)</f>
        <v>0</v>
      </c>
      <c r="O1503" s="20">
        <f>IFERROR(__xludf.DUMMYFUNCTION("""COMPUTED_VALUE"""),68.0383948933839)</f>
        <v>68.03839489</v>
      </c>
      <c r="P1503" s="20">
        <f>IFERROR(__xludf.DUMMYFUNCTION("""COMPUTED_VALUE"""),114261.0)</f>
        <v>114261</v>
      </c>
      <c r="Q1503" s="20">
        <f>IFERROR(__xludf.DUMMYFUNCTION("""COMPUTED_VALUE"""),167935.0)</f>
        <v>167935</v>
      </c>
    </row>
    <row r="1504">
      <c r="A1504" s="20">
        <f>IFERROR(__xludf.DUMMYFUNCTION("""COMPUTED_VALUE"""),1627.0)</f>
        <v>1627</v>
      </c>
      <c r="B1504" s="20" t="str">
        <f>IFERROR(__xludf.DUMMYFUNCTION("""COMPUTED_VALUE"""),"Last Moment Before All Ants Fall Out of a Plank")</f>
        <v>Last Moment Before All Ants Fall Out of a Plank</v>
      </c>
      <c r="C1504" s="20" t="str">
        <f>IFERROR(__xludf.DUMMYFUNCTION("""COMPUTED_VALUE"""),"last-moment-before-all-ants-fall-out-of-a-plank")</f>
        <v>last-moment-before-all-ants-fall-out-of-a-plank</v>
      </c>
      <c r="D1504" s="20" t="b">
        <f>IFERROR(__xludf.DUMMYFUNCTION("""COMPUTED_VALUE"""),FALSE)</f>
        <v>0</v>
      </c>
      <c r="E1504" s="20" t="str">
        <f>IFERROR(__xludf.DUMMYFUNCTION("""COMPUTED_VALUE"""),"Medium")</f>
        <v>Medium</v>
      </c>
      <c r="F1504" s="20">
        <f>IFERROR(__xludf.DUMMYFUNCTION("""COMPUTED_VALUE"""),408.0)</f>
        <v>408</v>
      </c>
      <c r="G1504" s="20">
        <f>IFERROR(__xludf.DUMMYFUNCTION("""COMPUTED_VALUE"""),193.0)</f>
        <v>193</v>
      </c>
      <c r="H1504" s="20" t="str">
        <f>IFERROR(__xludf.DUMMYFUNCTION("""COMPUTED_VALUE"""),"Algorithms")</f>
        <v>Algorithms</v>
      </c>
      <c r="I1504" s="20">
        <f>IFERROR(__xludf.DUMMYFUNCTION("""COMPUTED_VALUE"""),0.553)</f>
        <v>0.553</v>
      </c>
      <c r="J1504" s="20">
        <f>IFERROR(__xludf.DUMMYFUNCTION("""COMPUTED_VALUE"""),1503.0)</f>
        <v>1503</v>
      </c>
      <c r="K1504" s="20" t="b">
        <f>IFERROR(__xludf.DUMMYFUNCTION("""COMPUTED_VALUE"""),FALSE)</f>
        <v>0</v>
      </c>
      <c r="L1504" s="20" t="str">
        <f>IFERROR(__xludf.DUMMYFUNCTION("""COMPUTED_VALUE"""),"Array;Brainteaser;Simulation;")</f>
        <v>Array;Brainteaser;Simulation;</v>
      </c>
      <c r="M1504" s="20" t="b">
        <f>IFERROR(__xludf.DUMMYFUNCTION("""COMPUTED_VALUE"""),FALSE)</f>
        <v>0</v>
      </c>
      <c r="N1504" s="20" t="b">
        <f>IFERROR(__xludf.DUMMYFUNCTION("""COMPUTED_VALUE"""),FALSE)</f>
        <v>0</v>
      </c>
      <c r="O1504" s="20">
        <f>IFERROR(__xludf.DUMMYFUNCTION("""COMPUTED_VALUE"""),55.3438276719138)</f>
        <v>55.34382767</v>
      </c>
      <c r="P1504" s="20">
        <f>IFERROR(__xludf.DUMMYFUNCTION("""COMPUTED_VALUE"""),17368.0)</f>
        <v>17368</v>
      </c>
      <c r="Q1504" s="20">
        <f>IFERROR(__xludf.DUMMYFUNCTION("""COMPUTED_VALUE"""),31382.0)</f>
        <v>31382</v>
      </c>
    </row>
    <row r="1505">
      <c r="A1505" s="20">
        <f>IFERROR(__xludf.DUMMYFUNCTION("""COMPUTED_VALUE"""),1628.0)</f>
        <v>1628</v>
      </c>
      <c r="B1505" s="20" t="str">
        <f>IFERROR(__xludf.DUMMYFUNCTION("""COMPUTED_VALUE"""),"Count Submatrices With All Ones")</f>
        <v>Count Submatrices With All Ones</v>
      </c>
      <c r="C1505" s="20" t="str">
        <f>IFERROR(__xludf.DUMMYFUNCTION("""COMPUTED_VALUE"""),"count-submatrices-with-all-ones")</f>
        <v>count-submatrices-with-all-ones</v>
      </c>
      <c r="D1505" s="20" t="b">
        <f>IFERROR(__xludf.DUMMYFUNCTION("""COMPUTED_VALUE"""),FALSE)</f>
        <v>0</v>
      </c>
      <c r="E1505" s="20" t="str">
        <f>IFERROR(__xludf.DUMMYFUNCTION("""COMPUTED_VALUE"""),"Medium")</f>
        <v>Medium</v>
      </c>
      <c r="F1505" s="20">
        <f>IFERROR(__xludf.DUMMYFUNCTION("""COMPUTED_VALUE"""),1774.0)</f>
        <v>1774</v>
      </c>
      <c r="G1505" s="20">
        <f>IFERROR(__xludf.DUMMYFUNCTION("""COMPUTED_VALUE"""),142.0)</f>
        <v>142</v>
      </c>
      <c r="H1505" s="20" t="str">
        <f>IFERROR(__xludf.DUMMYFUNCTION("""COMPUTED_VALUE"""),"Algorithms")</f>
        <v>Algorithms</v>
      </c>
      <c r="I1505" s="20">
        <f>IFERROR(__xludf.DUMMYFUNCTION("""COMPUTED_VALUE"""),0.577)</f>
        <v>0.577</v>
      </c>
      <c r="J1505" s="20">
        <f>IFERROR(__xludf.DUMMYFUNCTION("""COMPUTED_VALUE"""),1504.0)</f>
        <v>1504</v>
      </c>
      <c r="K1505" s="20" t="b">
        <f>IFERROR(__xludf.DUMMYFUNCTION("""COMPUTED_VALUE"""),FALSE)</f>
        <v>0</v>
      </c>
      <c r="L1505" s="20" t="str">
        <f>IFERROR(__xludf.DUMMYFUNCTION("""COMPUTED_VALUE"""),"Array;Dynamic Programming;Stack;Matrix;Monotonic Stack;")</f>
        <v>Array;Dynamic Programming;Stack;Matrix;Monotonic Stack;</v>
      </c>
      <c r="M1505" s="20" t="b">
        <f>IFERROR(__xludf.DUMMYFUNCTION("""COMPUTED_VALUE"""),FALSE)</f>
        <v>0</v>
      </c>
      <c r="N1505" s="20" t="b">
        <f>IFERROR(__xludf.DUMMYFUNCTION("""COMPUTED_VALUE"""),FALSE)</f>
        <v>0</v>
      </c>
      <c r="O1505" s="20">
        <f>IFERROR(__xludf.DUMMYFUNCTION("""COMPUTED_VALUE"""),57.7366534250557)</f>
        <v>57.73665343</v>
      </c>
      <c r="P1505" s="20">
        <f>IFERROR(__xludf.DUMMYFUNCTION("""COMPUTED_VALUE"""),41713.0)</f>
        <v>41713</v>
      </c>
      <c r="Q1505" s="20">
        <f>IFERROR(__xludf.DUMMYFUNCTION("""COMPUTED_VALUE"""),72247.0)</f>
        <v>72247</v>
      </c>
    </row>
    <row r="1506">
      <c r="A1506" s="20">
        <f>IFERROR(__xludf.DUMMYFUNCTION("""COMPUTED_VALUE"""),1629.0)</f>
        <v>1629</v>
      </c>
      <c r="B1506" s="20" t="str">
        <f>IFERROR(__xludf.DUMMYFUNCTION("""COMPUTED_VALUE"""),"Minimum Possible Integer After at Most K Adjacent Swaps On Digits")</f>
        <v>Minimum Possible Integer After at Most K Adjacent Swaps On Digits</v>
      </c>
      <c r="C1506" s="20" t="str">
        <f>IFERROR(__xludf.DUMMYFUNCTION("""COMPUTED_VALUE"""),"minimum-possible-integer-after-at-most-k-adjacent-swaps-on-digits")</f>
        <v>minimum-possible-integer-after-at-most-k-adjacent-swaps-on-digits</v>
      </c>
      <c r="D1506" s="20" t="b">
        <f>IFERROR(__xludf.DUMMYFUNCTION("""COMPUTED_VALUE"""),FALSE)</f>
        <v>0</v>
      </c>
      <c r="E1506" s="20" t="str">
        <f>IFERROR(__xludf.DUMMYFUNCTION("""COMPUTED_VALUE"""),"Hard")</f>
        <v>Hard</v>
      </c>
      <c r="F1506" s="20">
        <f>IFERROR(__xludf.DUMMYFUNCTION("""COMPUTED_VALUE"""),395.0)</f>
        <v>395</v>
      </c>
      <c r="G1506" s="20">
        <f>IFERROR(__xludf.DUMMYFUNCTION("""COMPUTED_VALUE"""),22.0)</f>
        <v>22</v>
      </c>
      <c r="H1506" s="20" t="str">
        <f>IFERROR(__xludf.DUMMYFUNCTION("""COMPUTED_VALUE"""),"Algorithms")</f>
        <v>Algorithms</v>
      </c>
      <c r="I1506" s="20">
        <f>IFERROR(__xludf.DUMMYFUNCTION("""COMPUTED_VALUE"""),0.383)</f>
        <v>0.383</v>
      </c>
      <c r="J1506" s="20">
        <f>IFERROR(__xludf.DUMMYFUNCTION("""COMPUTED_VALUE"""),1505.0)</f>
        <v>1505</v>
      </c>
      <c r="K1506" s="20" t="b">
        <f>IFERROR(__xludf.DUMMYFUNCTION("""COMPUTED_VALUE"""),FALSE)</f>
        <v>0</v>
      </c>
      <c r="L1506" s="20" t="str">
        <f>IFERROR(__xludf.DUMMYFUNCTION("""COMPUTED_VALUE"""),"String;Greedy;Binary Indexed Tree;Segment Tree;")</f>
        <v>String;Greedy;Binary Indexed Tree;Segment Tree;</v>
      </c>
      <c r="M1506" s="20" t="b">
        <f>IFERROR(__xludf.DUMMYFUNCTION("""COMPUTED_VALUE"""),FALSE)</f>
        <v>0</v>
      </c>
      <c r="N1506" s="20" t="b">
        <f>IFERROR(__xludf.DUMMYFUNCTION("""COMPUTED_VALUE"""),FALSE)</f>
        <v>0</v>
      </c>
      <c r="O1506" s="20">
        <f>IFERROR(__xludf.DUMMYFUNCTION("""COMPUTED_VALUE"""),38.3234903630453)</f>
        <v>38.32349036</v>
      </c>
      <c r="P1506" s="20">
        <f>IFERROR(__xludf.DUMMYFUNCTION("""COMPUTED_VALUE"""),8371.0)</f>
        <v>8371</v>
      </c>
      <c r="Q1506" s="20">
        <f>IFERROR(__xludf.DUMMYFUNCTION("""COMPUTED_VALUE"""),21843.0)</f>
        <v>21843</v>
      </c>
    </row>
    <row r="1507">
      <c r="A1507" s="20">
        <f>IFERROR(__xludf.DUMMYFUNCTION("""COMPUTED_VALUE"""),1650.0)</f>
        <v>1650</v>
      </c>
      <c r="B1507" s="20" t="str">
        <f>IFERROR(__xludf.DUMMYFUNCTION("""COMPUTED_VALUE"""),"Find Root of N-Ary Tree")</f>
        <v>Find Root of N-Ary Tree</v>
      </c>
      <c r="C1507" s="20" t="str">
        <f>IFERROR(__xludf.DUMMYFUNCTION("""COMPUTED_VALUE"""),"find-root-of-n-ary-tree")</f>
        <v>find-root-of-n-ary-tree</v>
      </c>
      <c r="D1507" s="20" t="b">
        <f>IFERROR(__xludf.DUMMYFUNCTION("""COMPUTED_VALUE"""),TRUE)</f>
        <v>1</v>
      </c>
      <c r="E1507" s="20" t="str">
        <f>IFERROR(__xludf.DUMMYFUNCTION("""COMPUTED_VALUE"""),"Medium")</f>
        <v>Medium</v>
      </c>
      <c r="F1507" s="20">
        <f>IFERROR(__xludf.DUMMYFUNCTION("""COMPUTED_VALUE"""),397.0)</f>
        <v>397</v>
      </c>
      <c r="G1507" s="20">
        <f>IFERROR(__xludf.DUMMYFUNCTION("""COMPUTED_VALUE"""),151.0)</f>
        <v>151</v>
      </c>
      <c r="H1507" s="20" t="str">
        <f>IFERROR(__xludf.DUMMYFUNCTION("""COMPUTED_VALUE"""),"Algorithms")</f>
        <v>Algorithms</v>
      </c>
      <c r="I1507" s="20">
        <f>IFERROR(__xludf.DUMMYFUNCTION("""COMPUTED_VALUE"""),0.783)</f>
        <v>0.783</v>
      </c>
      <c r="J1507" s="20">
        <f>IFERROR(__xludf.DUMMYFUNCTION("""COMPUTED_VALUE"""),1506.0)</f>
        <v>1506</v>
      </c>
      <c r="K1507" s="20" t="b">
        <f>IFERROR(__xludf.DUMMYFUNCTION("""COMPUTED_VALUE"""),TRUE)</f>
        <v>1</v>
      </c>
      <c r="L1507" s="20" t="str">
        <f>IFERROR(__xludf.DUMMYFUNCTION("""COMPUTED_VALUE"""),"Hash Table;Bit Manipulation;Tree;Depth-First Search;")</f>
        <v>Hash Table;Bit Manipulation;Tree;Depth-First Search;</v>
      </c>
      <c r="M1507" s="20" t="b">
        <f>IFERROR(__xludf.DUMMYFUNCTION("""COMPUTED_VALUE"""),TRUE)</f>
        <v>1</v>
      </c>
      <c r="N1507" s="20" t="b">
        <f>IFERROR(__xludf.DUMMYFUNCTION("""COMPUTED_VALUE"""),FALSE)</f>
        <v>0</v>
      </c>
      <c r="O1507" s="20">
        <f>IFERROR(__xludf.DUMMYFUNCTION("""COMPUTED_VALUE"""),78.3007705405327)</f>
        <v>78.30077054</v>
      </c>
      <c r="P1507" s="20">
        <f>IFERROR(__xludf.DUMMYFUNCTION("""COMPUTED_VALUE"""),27132.0)</f>
        <v>27132</v>
      </c>
      <c r="Q1507" s="20">
        <f>IFERROR(__xludf.DUMMYFUNCTION("""COMPUTED_VALUE"""),34651.0)</f>
        <v>34651</v>
      </c>
    </row>
    <row r="1508">
      <c r="A1508" s="20">
        <f>IFERROR(__xludf.DUMMYFUNCTION("""COMPUTED_VALUE"""),1283.0)</f>
        <v>1283</v>
      </c>
      <c r="B1508" s="20" t="str">
        <f>IFERROR(__xludf.DUMMYFUNCTION("""COMPUTED_VALUE"""),"Reformat Date")</f>
        <v>Reformat Date</v>
      </c>
      <c r="C1508" s="20" t="str">
        <f>IFERROR(__xludf.DUMMYFUNCTION("""COMPUTED_VALUE"""),"reformat-date")</f>
        <v>reformat-date</v>
      </c>
      <c r="D1508" s="20" t="b">
        <f>IFERROR(__xludf.DUMMYFUNCTION("""COMPUTED_VALUE"""),FALSE)</f>
        <v>0</v>
      </c>
      <c r="E1508" s="20" t="str">
        <f>IFERROR(__xludf.DUMMYFUNCTION("""COMPUTED_VALUE"""),"Easy")</f>
        <v>Easy</v>
      </c>
      <c r="F1508" s="20">
        <f>IFERROR(__xludf.DUMMYFUNCTION("""COMPUTED_VALUE"""),324.0)</f>
        <v>324</v>
      </c>
      <c r="G1508" s="20">
        <f>IFERROR(__xludf.DUMMYFUNCTION("""COMPUTED_VALUE"""),379.0)</f>
        <v>379</v>
      </c>
      <c r="H1508" s="20" t="str">
        <f>IFERROR(__xludf.DUMMYFUNCTION("""COMPUTED_VALUE"""),"Algorithms")</f>
        <v>Algorithms</v>
      </c>
      <c r="I1508" s="20">
        <f>IFERROR(__xludf.DUMMYFUNCTION("""COMPUTED_VALUE"""),0.627)</f>
        <v>0.627</v>
      </c>
      <c r="J1508" s="20">
        <f>IFERROR(__xludf.DUMMYFUNCTION("""COMPUTED_VALUE"""),1507.0)</f>
        <v>1507</v>
      </c>
      <c r="K1508" s="20" t="b">
        <f>IFERROR(__xludf.DUMMYFUNCTION("""COMPUTED_VALUE"""),FALSE)</f>
        <v>0</v>
      </c>
      <c r="L1508" s="20" t="str">
        <f>IFERROR(__xludf.DUMMYFUNCTION("""COMPUTED_VALUE"""),"String;")</f>
        <v>String;</v>
      </c>
      <c r="M1508" s="20" t="b">
        <f>IFERROR(__xludf.DUMMYFUNCTION("""COMPUTED_VALUE"""),FALSE)</f>
        <v>0</v>
      </c>
      <c r="N1508" s="20" t="b">
        <f>IFERROR(__xludf.DUMMYFUNCTION("""COMPUTED_VALUE"""),FALSE)</f>
        <v>0</v>
      </c>
      <c r="O1508" s="20">
        <f>IFERROR(__xludf.DUMMYFUNCTION("""COMPUTED_VALUE"""),62.7066541705716)</f>
        <v>62.70665417</v>
      </c>
      <c r="P1508" s="20">
        <f>IFERROR(__xludf.DUMMYFUNCTION("""COMPUTED_VALUE"""),50181.0)</f>
        <v>50181</v>
      </c>
      <c r="Q1508" s="20">
        <f>IFERROR(__xludf.DUMMYFUNCTION("""COMPUTED_VALUE"""),80025.0)</f>
        <v>80025</v>
      </c>
    </row>
    <row r="1509">
      <c r="A1509" s="20">
        <f>IFERROR(__xludf.DUMMYFUNCTION("""COMPUTED_VALUE"""),1615.0)</f>
        <v>1615</v>
      </c>
      <c r="B1509" s="20" t="str">
        <f>IFERROR(__xludf.DUMMYFUNCTION("""COMPUTED_VALUE"""),"Range Sum of Sorted Subarray Sums")</f>
        <v>Range Sum of Sorted Subarray Sums</v>
      </c>
      <c r="C1509" s="20" t="str">
        <f>IFERROR(__xludf.DUMMYFUNCTION("""COMPUTED_VALUE"""),"range-sum-of-sorted-subarray-sums")</f>
        <v>range-sum-of-sorted-subarray-sums</v>
      </c>
      <c r="D1509" s="20" t="b">
        <f>IFERROR(__xludf.DUMMYFUNCTION("""COMPUTED_VALUE"""),FALSE)</f>
        <v>0</v>
      </c>
      <c r="E1509" s="20" t="str">
        <f>IFERROR(__xludf.DUMMYFUNCTION("""COMPUTED_VALUE"""),"Medium")</f>
        <v>Medium</v>
      </c>
      <c r="F1509" s="20">
        <f>IFERROR(__xludf.DUMMYFUNCTION("""COMPUTED_VALUE"""),766.0)</f>
        <v>766</v>
      </c>
      <c r="G1509" s="20">
        <f>IFERROR(__xludf.DUMMYFUNCTION("""COMPUTED_VALUE"""),131.0)</f>
        <v>131</v>
      </c>
      <c r="H1509" s="20" t="str">
        <f>IFERROR(__xludf.DUMMYFUNCTION("""COMPUTED_VALUE"""),"Algorithms")</f>
        <v>Algorithms</v>
      </c>
      <c r="I1509" s="20">
        <f>IFERROR(__xludf.DUMMYFUNCTION("""COMPUTED_VALUE"""),0.592)</f>
        <v>0.592</v>
      </c>
      <c r="J1509" s="20">
        <f>IFERROR(__xludf.DUMMYFUNCTION("""COMPUTED_VALUE"""),1508.0)</f>
        <v>1508</v>
      </c>
      <c r="K1509" s="20" t="b">
        <f>IFERROR(__xludf.DUMMYFUNCTION("""COMPUTED_VALUE"""),FALSE)</f>
        <v>0</v>
      </c>
      <c r="L1509" s="20" t="str">
        <f>IFERROR(__xludf.DUMMYFUNCTION("""COMPUTED_VALUE"""),"Array;Two Pointers;Binary Search;Sorting;")</f>
        <v>Array;Two Pointers;Binary Search;Sorting;</v>
      </c>
      <c r="M1509" s="20" t="b">
        <f>IFERROR(__xludf.DUMMYFUNCTION("""COMPUTED_VALUE"""),FALSE)</f>
        <v>0</v>
      </c>
      <c r="N1509" s="20" t="b">
        <f>IFERROR(__xludf.DUMMYFUNCTION("""COMPUTED_VALUE"""),FALSE)</f>
        <v>0</v>
      </c>
      <c r="O1509" s="20">
        <f>IFERROR(__xludf.DUMMYFUNCTION("""COMPUTED_VALUE"""),59.2146780413696)</f>
        <v>59.21467804</v>
      </c>
      <c r="P1509" s="20">
        <f>IFERROR(__xludf.DUMMYFUNCTION("""COMPUTED_VALUE"""),30402.0)</f>
        <v>30402</v>
      </c>
      <c r="Q1509" s="20">
        <f>IFERROR(__xludf.DUMMYFUNCTION("""COMPUTED_VALUE"""),51342.0)</f>
        <v>51342</v>
      </c>
    </row>
    <row r="1510">
      <c r="A1510" s="20">
        <f>IFERROR(__xludf.DUMMYFUNCTION("""COMPUTED_VALUE"""),1616.0)</f>
        <v>1616</v>
      </c>
      <c r="B1510" s="20" t="str">
        <f>IFERROR(__xludf.DUMMYFUNCTION("""COMPUTED_VALUE"""),"Minimum Difference Between Largest and Smallest Value in Three Moves")</f>
        <v>Minimum Difference Between Largest and Smallest Value in Three Moves</v>
      </c>
      <c r="C1510" s="20" t="str">
        <f>IFERROR(__xludf.DUMMYFUNCTION("""COMPUTED_VALUE"""),"minimum-difference-between-largest-and-smallest-value-in-three-moves")</f>
        <v>minimum-difference-between-largest-and-smallest-value-in-three-moves</v>
      </c>
      <c r="D1510" s="20" t="b">
        <f>IFERROR(__xludf.DUMMYFUNCTION("""COMPUTED_VALUE"""),FALSE)</f>
        <v>0</v>
      </c>
      <c r="E1510" s="20" t="str">
        <f>IFERROR(__xludf.DUMMYFUNCTION("""COMPUTED_VALUE"""),"Medium")</f>
        <v>Medium</v>
      </c>
      <c r="F1510" s="20">
        <f>IFERROR(__xludf.DUMMYFUNCTION("""COMPUTED_VALUE"""),1341.0)</f>
        <v>1341</v>
      </c>
      <c r="G1510" s="20">
        <f>IFERROR(__xludf.DUMMYFUNCTION("""COMPUTED_VALUE"""),159.0)</f>
        <v>159</v>
      </c>
      <c r="H1510" s="20" t="str">
        <f>IFERROR(__xludf.DUMMYFUNCTION("""COMPUTED_VALUE"""),"Algorithms")</f>
        <v>Algorithms</v>
      </c>
      <c r="I1510" s="20">
        <f>IFERROR(__xludf.DUMMYFUNCTION("""COMPUTED_VALUE"""),0.546)</f>
        <v>0.546</v>
      </c>
      <c r="J1510" s="20">
        <f>IFERROR(__xludf.DUMMYFUNCTION("""COMPUTED_VALUE"""),1509.0)</f>
        <v>1509</v>
      </c>
      <c r="K1510" s="20" t="b">
        <f>IFERROR(__xludf.DUMMYFUNCTION("""COMPUTED_VALUE"""),FALSE)</f>
        <v>0</v>
      </c>
      <c r="L1510" s="20" t="str">
        <f>IFERROR(__xludf.DUMMYFUNCTION("""COMPUTED_VALUE"""),"Array;Greedy;Sorting;")</f>
        <v>Array;Greedy;Sorting;</v>
      </c>
      <c r="M1510" s="20" t="b">
        <f>IFERROR(__xludf.DUMMYFUNCTION("""COMPUTED_VALUE"""),FALSE)</f>
        <v>0</v>
      </c>
      <c r="N1510" s="20" t="b">
        <f>IFERROR(__xludf.DUMMYFUNCTION("""COMPUTED_VALUE"""),FALSE)</f>
        <v>0</v>
      </c>
      <c r="O1510" s="20">
        <f>IFERROR(__xludf.DUMMYFUNCTION("""COMPUTED_VALUE"""),54.6427149307668)</f>
        <v>54.64271493</v>
      </c>
      <c r="P1510" s="20">
        <f>IFERROR(__xludf.DUMMYFUNCTION("""COMPUTED_VALUE"""),72730.0)</f>
        <v>72730</v>
      </c>
      <c r="Q1510" s="20">
        <f>IFERROR(__xludf.DUMMYFUNCTION("""COMPUTED_VALUE"""),133100.0)</f>
        <v>133100</v>
      </c>
    </row>
    <row r="1511">
      <c r="A1511" s="20">
        <f>IFERROR(__xludf.DUMMYFUNCTION("""COMPUTED_VALUE"""),1617.0)</f>
        <v>1617</v>
      </c>
      <c r="B1511" s="20" t="str">
        <f>IFERROR(__xludf.DUMMYFUNCTION("""COMPUTED_VALUE"""),"Stone Game IV")</f>
        <v>Stone Game IV</v>
      </c>
      <c r="C1511" s="20" t="str">
        <f>IFERROR(__xludf.DUMMYFUNCTION("""COMPUTED_VALUE"""),"stone-game-iv")</f>
        <v>stone-game-iv</v>
      </c>
      <c r="D1511" s="20" t="b">
        <f>IFERROR(__xludf.DUMMYFUNCTION("""COMPUTED_VALUE"""),FALSE)</f>
        <v>0</v>
      </c>
      <c r="E1511" s="20" t="str">
        <f>IFERROR(__xludf.DUMMYFUNCTION("""COMPUTED_VALUE"""),"Hard")</f>
        <v>Hard</v>
      </c>
      <c r="F1511" s="20">
        <f>IFERROR(__xludf.DUMMYFUNCTION("""COMPUTED_VALUE"""),1389.0)</f>
        <v>1389</v>
      </c>
      <c r="G1511" s="20">
        <f>IFERROR(__xludf.DUMMYFUNCTION("""COMPUTED_VALUE"""),63.0)</f>
        <v>63</v>
      </c>
      <c r="H1511" s="20" t="str">
        <f>IFERROR(__xludf.DUMMYFUNCTION("""COMPUTED_VALUE"""),"Algorithms")</f>
        <v>Algorithms</v>
      </c>
      <c r="I1511" s="20">
        <f>IFERROR(__xludf.DUMMYFUNCTION("""COMPUTED_VALUE"""),0.605)</f>
        <v>0.605</v>
      </c>
      <c r="J1511" s="20">
        <f>IFERROR(__xludf.DUMMYFUNCTION("""COMPUTED_VALUE"""),1510.0)</f>
        <v>1510</v>
      </c>
      <c r="K1511" s="20" t="b">
        <f>IFERROR(__xludf.DUMMYFUNCTION("""COMPUTED_VALUE"""),FALSE)</f>
        <v>0</v>
      </c>
      <c r="L1511" s="20" t="str">
        <f>IFERROR(__xludf.DUMMYFUNCTION("""COMPUTED_VALUE"""),"Math;Dynamic Programming;Game Theory;")</f>
        <v>Math;Dynamic Programming;Game Theory;</v>
      </c>
      <c r="M1511" s="20" t="b">
        <f>IFERROR(__xludf.DUMMYFUNCTION("""COMPUTED_VALUE"""),TRUE)</f>
        <v>1</v>
      </c>
      <c r="N1511" s="20" t="b">
        <f>IFERROR(__xludf.DUMMYFUNCTION("""COMPUTED_VALUE"""),FALSE)</f>
        <v>0</v>
      </c>
      <c r="O1511" s="20">
        <f>IFERROR(__xludf.DUMMYFUNCTION("""COMPUTED_VALUE"""),60.4759901321451)</f>
        <v>60.47599013</v>
      </c>
      <c r="P1511" s="20">
        <f>IFERROR(__xludf.DUMMYFUNCTION("""COMPUTED_VALUE"""),63247.0)</f>
        <v>63247</v>
      </c>
      <c r="Q1511" s="20">
        <f>IFERROR(__xludf.DUMMYFUNCTION("""COMPUTED_VALUE"""),104582.0)</f>
        <v>104582</v>
      </c>
    </row>
    <row r="1512">
      <c r="A1512" s="20">
        <f>IFERROR(__xludf.DUMMYFUNCTION("""COMPUTED_VALUE"""),1654.0)</f>
        <v>1654</v>
      </c>
      <c r="B1512" s="20" t="str">
        <f>IFERROR(__xludf.DUMMYFUNCTION("""COMPUTED_VALUE"""),"Customer Order Frequency")</f>
        <v>Customer Order Frequency</v>
      </c>
      <c r="C1512" s="20" t="str">
        <f>IFERROR(__xludf.DUMMYFUNCTION("""COMPUTED_VALUE"""),"customer-order-frequency")</f>
        <v>customer-order-frequency</v>
      </c>
      <c r="D1512" s="20" t="b">
        <f>IFERROR(__xludf.DUMMYFUNCTION("""COMPUTED_VALUE"""),TRUE)</f>
        <v>1</v>
      </c>
      <c r="E1512" s="20" t="str">
        <f>IFERROR(__xludf.DUMMYFUNCTION("""COMPUTED_VALUE"""),"Easy")</f>
        <v>Easy</v>
      </c>
      <c r="F1512" s="20">
        <f>IFERROR(__xludf.DUMMYFUNCTION("""COMPUTED_VALUE"""),266.0)</f>
        <v>266</v>
      </c>
      <c r="G1512" s="20">
        <f>IFERROR(__xludf.DUMMYFUNCTION("""COMPUTED_VALUE"""),54.0)</f>
        <v>54</v>
      </c>
      <c r="H1512" s="20" t="str">
        <f>IFERROR(__xludf.DUMMYFUNCTION("""COMPUTED_VALUE"""),"Database")</f>
        <v>Database</v>
      </c>
      <c r="I1512" s="20">
        <f>IFERROR(__xludf.DUMMYFUNCTION("""COMPUTED_VALUE"""),0.728)</f>
        <v>0.728</v>
      </c>
      <c r="J1512" s="20">
        <f>IFERROR(__xludf.DUMMYFUNCTION("""COMPUTED_VALUE"""),1511.0)</f>
        <v>1511</v>
      </c>
      <c r="K1512" s="20" t="b">
        <f>IFERROR(__xludf.DUMMYFUNCTION("""COMPUTED_VALUE"""),TRUE)</f>
        <v>1</v>
      </c>
      <c r="L1512" s="20" t="str">
        <f>IFERROR(__xludf.DUMMYFUNCTION("""COMPUTED_VALUE"""),"Database;")</f>
        <v>Database;</v>
      </c>
      <c r="M1512" s="20" t="b">
        <f>IFERROR(__xludf.DUMMYFUNCTION("""COMPUTED_VALUE"""),FALSE)</f>
        <v>0</v>
      </c>
      <c r="N1512" s="20" t="b">
        <f>IFERROR(__xludf.DUMMYFUNCTION("""COMPUTED_VALUE"""),FALSE)</f>
        <v>0</v>
      </c>
      <c r="O1512" s="20">
        <f>IFERROR(__xludf.DUMMYFUNCTION("""COMPUTED_VALUE"""),72.8426561988878)</f>
        <v>72.8426562</v>
      </c>
      <c r="P1512" s="20">
        <f>IFERROR(__xludf.DUMMYFUNCTION("""COMPUTED_VALUE"""),33402.0)</f>
        <v>33402</v>
      </c>
      <c r="Q1512" s="20">
        <f>IFERROR(__xludf.DUMMYFUNCTION("""COMPUTED_VALUE"""),45855.0)</f>
        <v>45855</v>
      </c>
    </row>
    <row r="1513">
      <c r="A1513" s="20">
        <f>IFERROR(__xludf.DUMMYFUNCTION("""COMPUTED_VALUE"""),1635.0)</f>
        <v>1635</v>
      </c>
      <c r="B1513" s="20" t="str">
        <f>IFERROR(__xludf.DUMMYFUNCTION("""COMPUTED_VALUE"""),"Number of Good Pairs")</f>
        <v>Number of Good Pairs</v>
      </c>
      <c r="C1513" s="20" t="str">
        <f>IFERROR(__xludf.DUMMYFUNCTION("""COMPUTED_VALUE"""),"number-of-good-pairs")</f>
        <v>number-of-good-pairs</v>
      </c>
      <c r="D1513" s="20" t="b">
        <f>IFERROR(__xludf.DUMMYFUNCTION("""COMPUTED_VALUE"""),FALSE)</f>
        <v>0</v>
      </c>
      <c r="E1513" s="20" t="str">
        <f>IFERROR(__xludf.DUMMYFUNCTION("""COMPUTED_VALUE"""),"Easy")</f>
        <v>Easy</v>
      </c>
      <c r="F1513" s="20">
        <f>IFERROR(__xludf.DUMMYFUNCTION("""COMPUTED_VALUE"""),3410.0)</f>
        <v>3410</v>
      </c>
      <c r="G1513" s="20">
        <f>IFERROR(__xludf.DUMMYFUNCTION("""COMPUTED_VALUE"""),176.0)</f>
        <v>176</v>
      </c>
      <c r="H1513" s="20" t="str">
        <f>IFERROR(__xludf.DUMMYFUNCTION("""COMPUTED_VALUE"""),"Algorithms")</f>
        <v>Algorithms</v>
      </c>
      <c r="I1513" s="20">
        <f>IFERROR(__xludf.DUMMYFUNCTION("""COMPUTED_VALUE"""),0.882)</f>
        <v>0.882</v>
      </c>
      <c r="J1513" s="20">
        <f>IFERROR(__xludf.DUMMYFUNCTION("""COMPUTED_VALUE"""),1512.0)</f>
        <v>1512</v>
      </c>
      <c r="K1513" s="20" t="b">
        <f>IFERROR(__xludf.DUMMYFUNCTION("""COMPUTED_VALUE"""),FALSE)</f>
        <v>0</v>
      </c>
      <c r="L1513" s="20" t="str">
        <f>IFERROR(__xludf.DUMMYFUNCTION("""COMPUTED_VALUE"""),"Array;Hash Table;Math;Counting;")</f>
        <v>Array;Hash Table;Math;Counting;</v>
      </c>
      <c r="M1513" s="20" t="b">
        <f>IFERROR(__xludf.DUMMYFUNCTION("""COMPUTED_VALUE"""),FALSE)</f>
        <v>0</v>
      </c>
      <c r="N1513" s="20" t="b">
        <f>IFERROR(__xludf.DUMMYFUNCTION("""COMPUTED_VALUE"""),FALSE)</f>
        <v>0</v>
      </c>
      <c r="O1513" s="20">
        <f>IFERROR(__xludf.DUMMYFUNCTION("""COMPUTED_VALUE"""),88.2111080383691)</f>
        <v>88.21110804</v>
      </c>
      <c r="P1513" s="20">
        <f>IFERROR(__xludf.DUMMYFUNCTION("""COMPUTED_VALUE"""),385954.0)</f>
        <v>385954</v>
      </c>
      <c r="Q1513" s="20">
        <f>IFERROR(__xludf.DUMMYFUNCTION("""COMPUTED_VALUE"""),437535.0)</f>
        <v>437535</v>
      </c>
    </row>
    <row r="1514">
      <c r="A1514" s="20">
        <f>IFERROR(__xludf.DUMMYFUNCTION("""COMPUTED_VALUE"""),1636.0)</f>
        <v>1636</v>
      </c>
      <c r="B1514" s="20" t="str">
        <f>IFERROR(__xludf.DUMMYFUNCTION("""COMPUTED_VALUE"""),"Number of Substrings With Only 1s")</f>
        <v>Number of Substrings With Only 1s</v>
      </c>
      <c r="C1514" s="20" t="str">
        <f>IFERROR(__xludf.DUMMYFUNCTION("""COMPUTED_VALUE"""),"number-of-substrings-with-only-1s")</f>
        <v>number-of-substrings-with-only-1s</v>
      </c>
      <c r="D1514" s="20" t="b">
        <f>IFERROR(__xludf.DUMMYFUNCTION("""COMPUTED_VALUE"""),FALSE)</f>
        <v>0</v>
      </c>
      <c r="E1514" s="20" t="str">
        <f>IFERROR(__xludf.DUMMYFUNCTION("""COMPUTED_VALUE"""),"Medium")</f>
        <v>Medium</v>
      </c>
      <c r="F1514" s="20">
        <f>IFERROR(__xludf.DUMMYFUNCTION("""COMPUTED_VALUE"""),655.0)</f>
        <v>655</v>
      </c>
      <c r="G1514" s="20">
        <f>IFERROR(__xludf.DUMMYFUNCTION("""COMPUTED_VALUE"""),30.0)</f>
        <v>30</v>
      </c>
      <c r="H1514" s="20" t="str">
        <f>IFERROR(__xludf.DUMMYFUNCTION("""COMPUTED_VALUE"""),"Algorithms")</f>
        <v>Algorithms</v>
      </c>
      <c r="I1514" s="20">
        <f>IFERROR(__xludf.DUMMYFUNCTION("""COMPUTED_VALUE"""),0.454)</f>
        <v>0.454</v>
      </c>
      <c r="J1514" s="20">
        <f>IFERROR(__xludf.DUMMYFUNCTION("""COMPUTED_VALUE"""),1513.0)</f>
        <v>1513</v>
      </c>
      <c r="K1514" s="20" t="b">
        <f>IFERROR(__xludf.DUMMYFUNCTION("""COMPUTED_VALUE"""),FALSE)</f>
        <v>0</v>
      </c>
      <c r="L1514" s="20" t="str">
        <f>IFERROR(__xludf.DUMMYFUNCTION("""COMPUTED_VALUE"""),"Math;String;")</f>
        <v>Math;String;</v>
      </c>
      <c r="M1514" s="20" t="b">
        <f>IFERROR(__xludf.DUMMYFUNCTION("""COMPUTED_VALUE"""),FALSE)</f>
        <v>0</v>
      </c>
      <c r="N1514" s="20" t="b">
        <f>IFERROR(__xludf.DUMMYFUNCTION("""COMPUTED_VALUE"""),FALSE)</f>
        <v>0</v>
      </c>
      <c r="O1514" s="20">
        <f>IFERROR(__xludf.DUMMYFUNCTION("""COMPUTED_VALUE"""),45.3515542953161)</f>
        <v>45.3515543</v>
      </c>
      <c r="P1514" s="20">
        <f>IFERROR(__xludf.DUMMYFUNCTION("""COMPUTED_VALUE"""),34547.0)</f>
        <v>34547</v>
      </c>
      <c r="Q1514" s="20">
        <f>IFERROR(__xludf.DUMMYFUNCTION("""COMPUTED_VALUE"""),76176.0)</f>
        <v>76176</v>
      </c>
    </row>
    <row r="1515">
      <c r="A1515" s="20">
        <f>IFERROR(__xludf.DUMMYFUNCTION("""COMPUTED_VALUE"""),1325.0)</f>
        <v>1325</v>
      </c>
      <c r="B1515" s="20" t="str">
        <f>IFERROR(__xludf.DUMMYFUNCTION("""COMPUTED_VALUE"""),"Path with Maximum Probability")</f>
        <v>Path with Maximum Probability</v>
      </c>
      <c r="C1515" s="20" t="str">
        <f>IFERROR(__xludf.DUMMYFUNCTION("""COMPUTED_VALUE"""),"path-with-maximum-probability")</f>
        <v>path-with-maximum-probability</v>
      </c>
      <c r="D1515" s="20" t="b">
        <f>IFERROR(__xludf.DUMMYFUNCTION("""COMPUTED_VALUE"""),FALSE)</f>
        <v>0</v>
      </c>
      <c r="E1515" s="20" t="str">
        <f>IFERROR(__xludf.DUMMYFUNCTION("""COMPUTED_VALUE"""),"Medium")</f>
        <v>Medium</v>
      </c>
      <c r="F1515" s="20">
        <f>IFERROR(__xludf.DUMMYFUNCTION("""COMPUTED_VALUE"""),1572.0)</f>
        <v>1572</v>
      </c>
      <c r="G1515" s="20">
        <f>IFERROR(__xludf.DUMMYFUNCTION("""COMPUTED_VALUE"""),33.0)</f>
        <v>33</v>
      </c>
      <c r="H1515" s="20" t="str">
        <f>IFERROR(__xludf.DUMMYFUNCTION("""COMPUTED_VALUE"""),"Algorithms")</f>
        <v>Algorithms</v>
      </c>
      <c r="I1515" s="20">
        <f>IFERROR(__xludf.DUMMYFUNCTION("""COMPUTED_VALUE"""),0.484)</f>
        <v>0.484</v>
      </c>
      <c r="J1515" s="20">
        <f>IFERROR(__xludf.DUMMYFUNCTION("""COMPUTED_VALUE"""),1514.0)</f>
        <v>1514</v>
      </c>
      <c r="K1515" s="20" t="b">
        <f>IFERROR(__xludf.DUMMYFUNCTION("""COMPUTED_VALUE"""),FALSE)</f>
        <v>0</v>
      </c>
      <c r="L1515" s="20" t="str">
        <f>IFERROR(__xludf.DUMMYFUNCTION("""COMPUTED_VALUE"""),"Array;Graph;Heap (Priority Queue);Shortest Path;")</f>
        <v>Array;Graph;Heap (Priority Queue);Shortest Path;</v>
      </c>
      <c r="M1515" s="20" t="b">
        <f>IFERROR(__xludf.DUMMYFUNCTION("""COMPUTED_VALUE"""),FALSE)</f>
        <v>0</v>
      </c>
      <c r="N1515" s="20" t="b">
        <f>IFERROR(__xludf.DUMMYFUNCTION("""COMPUTED_VALUE"""),FALSE)</f>
        <v>0</v>
      </c>
      <c r="O1515" s="20">
        <f>IFERROR(__xludf.DUMMYFUNCTION("""COMPUTED_VALUE"""),48.438646084871)</f>
        <v>48.43864608</v>
      </c>
      <c r="P1515" s="20">
        <f>IFERROR(__xludf.DUMMYFUNCTION("""COMPUTED_VALUE"""),58774.0)</f>
        <v>58774</v>
      </c>
      <c r="Q1515" s="20">
        <f>IFERROR(__xludf.DUMMYFUNCTION("""COMPUTED_VALUE"""),121337.0)</f>
        <v>121337</v>
      </c>
    </row>
    <row r="1516">
      <c r="A1516" s="20">
        <f>IFERROR(__xludf.DUMMYFUNCTION("""COMPUTED_VALUE"""),1638.0)</f>
        <v>1638</v>
      </c>
      <c r="B1516" s="20" t="str">
        <f>IFERROR(__xludf.DUMMYFUNCTION("""COMPUTED_VALUE"""),"Best Position for a Service Centre")</f>
        <v>Best Position for a Service Centre</v>
      </c>
      <c r="C1516" s="20" t="str">
        <f>IFERROR(__xludf.DUMMYFUNCTION("""COMPUTED_VALUE"""),"best-position-for-a-service-centre")</f>
        <v>best-position-for-a-service-centre</v>
      </c>
      <c r="D1516" s="20" t="b">
        <f>IFERROR(__xludf.DUMMYFUNCTION("""COMPUTED_VALUE"""),FALSE)</f>
        <v>0</v>
      </c>
      <c r="E1516" s="20" t="str">
        <f>IFERROR(__xludf.DUMMYFUNCTION("""COMPUTED_VALUE"""),"Hard")</f>
        <v>Hard</v>
      </c>
      <c r="F1516" s="20">
        <f>IFERROR(__xludf.DUMMYFUNCTION("""COMPUTED_VALUE"""),196.0)</f>
        <v>196</v>
      </c>
      <c r="G1516" s="20">
        <f>IFERROR(__xludf.DUMMYFUNCTION("""COMPUTED_VALUE"""),235.0)</f>
        <v>235</v>
      </c>
      <c r="H1516" s="20" t="str">
        <f>IFERROR(__xludf.DUMMYFUNCTION("""COMPUTED_VALUE"""),"Algorithms")</f>
        <v>Algorithms</v>
      </c>
      <c r="I1516" s="20">
        <f>IFERROR(__xludf.DUMMYFUNCTION("""COMPUTED_VALUE"""),0.379)</f>
        <v>0.379</v>
      </c>
      <c r="J1516" s="20">
        <f>IFERROR(__xludf.DUMMYFUNCTION("""COMPUTED_VALUE"""),1515.0)</f>
        <v>1515</v>
      </c>
      <c r="K1516" s="20" t="b">
        <f>IFERROR(__xludf.DUMMYFUNCTION("""COMPUTED_VALUE"""),FALSE)</f>
        <v>0</v>
      </c>
      <c r="L1516" s="20" t="str">
        <f>IFERROR(__xludf.DUMMYFUNCTION("""COMPUTED_VALUE"""),"Math;Geometry;Randomized;")</f>
        <v>Math;Geometry;Randomized;</v>
      </c>
      <c r="M1516" s="20" t="b">
        <f>IFERROR(__xludf.DUMMYFUNCTION("""COMPUTED_VALUE"""),FALSE)</f>
        <v>0</v>
      </c>
      <c r="N1516" s="20" t="b">
        <f>IFERROR(__xludf.DUMMYFUNCTION("""COMPUTED_VALUE"""),FALSE)</f>
        <v>0</v>
      </c>
      <c r="O1516" s="20">
        <f>IFERROR(__xludf.DUMMYFUNCTION("""COMPUTED_VALUE"""),37.874850059976)</f>
        <v>37.87485006</v>
      </c>
      <c r="P1516" s="20">
        <f>IFERROR(__xludf.DUMMYFUNCTION("""COMPUTED_VALUE"""),11367.0)</f>
        <v>11367</v>
      </c>
      <c r="Q1516" s="20">
        <f>IFERROR(__xludf.DUMMYFUNCTION("""COMPUTED_VALUE"""),30012.0)</f>
        <v>30012</v>
      </c>
    </row>
    <row r="1517">
      <c r="A1517" s="20">
        <f>IFERROR(__xludf.DUMMYFUNCTION("""COMPUTED_VALUE"""),1655.0)</f>
        <v>1655</v>
      </c>
      <c r="B1517" s="20" t="str">
        <f>IFERROR(__xludf.DUMMYFUNCTION("""COMPUTED_VALUE"""),"Move Sub-Tree of N-Ary Tree")</f>
        <v>Move Sub-Tree of N-Ary Tree</v>
      </c>
      <c r="C1517" s="20" t="str">
        <f>IFERROR(__xludf.DUMMYFUNCTION("""COMPUTED_VALUE"""),"move-sub-tree-of-n-ary-tree")</f>
        <v>move-sub-tree-of-n-ary-tree</v>
      </c>
      <c r="D1517" s="20" t="b">
        <f>IFERROR(__xludf.DUMMYFUNCTION("""COMPUTED_VALUE"""),TRUE)</f>
        <v>1</v>
      </c>
      <c r="E1517" s="20" t="str">
        <f>IFERROR(__xludf.DUMMYFUNCTION("""COMPUTED_VALUE"""),"Hard")</f>
        <v>Hard</v>
      </c>
      <c r="F1517" s="20">
        <f>IFERROR(__xludf.DUMMYFUNCTION("""COMPUTED_VALUE"""),28.0)</f>
        <v>28</v>
      </c>
      <c r="G1517" s="20">
        <f>IFERROR(__xludf.DUMMYFUNCTION("""COMPUTED_VALUE"""),48.0)</f>
        <v>48</v>
      </c>
      <c r="H1517" s="20" t="str">
        <f>IFERROR(__xludf.DUMMYFUNCTION("""COMPUTED_VALUE"""),"Algorithms")</f>
        <v>Algorithms</v>
      </c>
      <c r="I1517" s="20">
        <f>IFERROR(__xludf.DUMMYFUNCTION("""COMPUTED_VALUE"""),0.639)</f>
        <v>0.639</v>
      </c>
      <c r="J1517" s="20">
        <f>IFERROR(__xludf.DUMMYFUNCTION("""COMPUTED_VALUE"""),1516.0)</f>
        <v>1516</v>
      </c>
      <c r="K1517" s="20" t="b">
        <f>IFERROR(__xludf.DUMMYFUNCTION("""COMPUTED_VALUE"""),TRUE)</f>
        <v>1</v>
      </c>
      <c r="L1517" s="20" t="str">
        <f>IFERROR(__xludf.DUMMYFUNCTION("""COMPUTED_VALUE"""),"Tree;Depth-First Search;")</f>
        <v>Tree;Depth-First Search;</v>
      </c>
      <c r="M1517" s="20" t="b">
        <f>IFERROR(__xludf.DUMMYFUNCTION("""COMPUTED_VALUE"""),FALSE)</f>
        <v>0</v>
      </c>
      <c r="N1517" s="20" t="b">
        <f>IFERROR(__xludf.DUMMYFUNCTION("""COMPUTED_VALUE"""),FALSE)</f>
        <v>0</v>
      </c>
      <c r="O1517" s="20">
        <f>IFERROR(__xludf.DUMMYFUNCTION("""COMPUTED_VALUE"""),63.8888888888888)</f>
        <v>63.88888889</v>
      </c>
      <c r="P1517" s="20">
        <f>IFERROR(__xludf.DUMMYFUNCTION("""COMPUTED_VALUE"""),1932.0)</f>
        <v>1932</v>
      </c>
      <c r="Q1517" s="20">
        <f>IFERROR(__xludf.DUMMYFUNCTION("""COMPUTED_VALUE"""),3024.0)</f>
        <v>3024</v>
      </c>
    </row>
    <row r="1518">
      <c r="A1518" s="20">
        <f>IFERROR(__xludf.DUMMYFUNCTION("""COMPUTED_VALUE"""),1664.0)</f>
        <v>1664</v>
      </c>
      <c r="B1518" s="20" t="str">
        <f>IFERROR(__xludf.DUMMYFUNCTION("""COMPUTED_VALUE"""),"Find Users With Valid E-Mails")</f>
        <v>Find Users With Valid E-Mails</v>
      </c>
      <c r="C1518" s="20" t="str">
        <f>IFERROR(__xludf.DUMMYFUNCTION("""COMPUTED_VALUE"""),"find-users-with-valid-e-mails")</f>
        <v>find-users-with-valid-e-mails</v>
      </c>
      <c r="D1518" s="20" t="b">
        <f>IFERROR(__xludf.DUMMYFUNCTION("""COMPUTED_VALUE"""),TRUE)</f>
        <v>1</v>
      </c>
      <c r="E1518" s="20" t="str">
        <f>IFERROR(__xludf.DUMMYFUNCTION("""COMPUTED_VALUE"""),"Easy")</f>
        <v>Easy</v>
      </c>
      <c r="F1518" s="20">
        <f>IFERROR(__xludf.DUMMYFUNCTION("""COMPUTED_VALUE"""),115.0)</f>
        <v>115</v>
      </c>
      <c r="G1518" s="20">
        <f>IFERROR(__xludf.DUMMYFUNCTION("""COMPUTED_VALUE"""),100.0)</f>
        <v>100</v>
      </c>
      <c r="H1518" s="20" t="str">
        <f>IFERROR(__xludf.DUMMYFUNCTION("""COMPUTED_VALUE"""),"Database")</f>
        <v>Database</v>
      </c>
      <c r="I1518" s="20">
        <f>IFERROR(__xludf.DUMMYFUNCTION("""COMPUTED_VALUE"""),0.556)</f>
        <v>0.556</v>
      </c>
      <c r="J1518" s="20">
        <f>IFERROR(__xludf.DUMMYFUNCTION("""COMPUTED_VALUE"""),1517.0)</f>
        <v>1517</v>
      </c>
      <c r="K1518" s="20" t="b">
        <f>IFERROR(__xludf.DUMMYFUNCTION("""COMPUTED_VALUE"""),TRUE)</f>
        <v>1</v>
      </c>
      <c r="L1518" s="20" t="str">
        <f>IFERROR(__xludf.DUMMYFUNCTION("""COMPUTED_VALUE"""),"Database;")</f>
        <v>Database;</v>
      </c>
      <c r="M1518" s="20" t="b">
        <f>IFERROR(__xludf.DUMMYFUNCTION("""COMPUTED_VALUE"""),FALSE)</f>
        <v>0</v>
      </c>
      <c r="N1518" s="20" t="b">
        <f>IFERROR(__xludf.DUMMYFUNCTION("""COMPUTED_VALUE"""),FALSE)</f>
        <v>0</v>
      </c>
      <c r="O1518" s="20">
        <f>IFERROR(__xludf.DUMMYFUNCTION("""COMPUTED_VALUE"""),55.6287669833486)</f>
        <v>55.62876698</v>
      </c>
      <c r="P1518" s="20">
        <f>IFERROR(__xludf.DUMMYFUNCTION("""COMPUTED_VALUE"""),21782.0)</f>
        <v>21782</v>
      </c>
      <c r="Q1518" s="20">
        <f>IFERROR(__xludf.DUMMYFUNCTION("""COMPUTED_VALUE"""),39156.0)</f>
        <v>39156</v>
      </c>
    </row>
    <row r="1519">
      <c r="A1519" s="20">
        <f>IFERROR(__xludf.DUMMYFUNCTION("""COMPUTED_VALUE"""),1642.0)</f>
        <v>1642</v>
      </c>
      <c r="B1519" s="20" t="str">
        <f>IFERROR(__xludf.DUMMYFUNCTION("""COMPUTED_VALUE"""),"Water Bottles")</f>
        <v>Water Bottles</v>
      </c>
      <c r="C1519" s="20" t="str">
        <f>IFERROR(__xludf.DUMMYFUNCTION("""COMPUTED_VALUE"""),"water-bottles")</f>
        <v>water-bottles</v>
      </c>
      <c r="D1519" s="20" t="b">
        <f>IFERROR(__xludf.DUMMYFUNCTION("""COMPUTED_VALUE"""),FALSE)</f>
        <v>0</v>
      </c>
      <c r="E1519" s="20" t="str">
        <f>IFERROR(__xludf.DUMMYFUNCTION("""COMPUTED_VALUE"""),"Easy")</f>
        <v>Easy</v>
      </c>
      <c r="F1519" s="20">
        <f>IFERROR(__xludf.DUMMYFUNCTION("""COMPUTED_VALUE"""),790.0)</f>
        <v>790</v>
      </c>
      <c r="G1519" s="20">
        <f>IFERROR(__xludf.DUMMYFUNCTION("""COMPUTED_VALUE"""),63.0)</f>
        <v>63</v>
      </c>
      <c r="H1519" s="20" t="str">
        <f>IFERROR(__xludf.DUMMYFUNCTION("""COMPUTED_VALUE"""),"Algorithms")</f>
        <v>Algorithms</v>
      </c>
      <c r="I1519" s="20">
        <f>IFERROR(__xludf.DUMMYFUNCTION("""COMPUTED_VALUE"""),0.603)</f>
        <v>0.603</v>
      </c>
      <c r="J1519" s="20">
        <f>IFERROR(__xludf.DUMMYFUNCTION("""COMPUTED_VALUE"""),1518.0)</f>
        <v>1518</v>
      </c>
      <c r="K1519" s="20" t="b">
        <f>IFERROR(__xludf.DUMMYFUNCTION("""COMPUTED_VALUE"""),FALSE)</f>
        <v>0</v>
      </c>
      <c r="L1519" s="20" t="str">
        <f>IFERROR(__xludf.DUMMYFUNCTION("""COMPUTED_VALUE"""),"Math;Simulation;")</f>
        <v>Math;Simulation;</v>
      </c>
      <c r="M1519" s="20" t="b">
        <f>IFERROR(__xludf.DUMMYFUNCTION("""COMPUTED_VALUE"""),FALSE)</f>
        <v>0</v>
      </c>
      <c r="N1519" s="20" t="b">
        <f>IFERROR(__xludf.DUMMYFUNCTION("""COMPUTED_VALUE"""),FALSE)</f>
        <v>0</v>
      </c>
      <c r="O1519" s="20">
        <f>IFERROR(__xludf.DUMMYFUNCTION("""COMPUTED_VALUE"""),60.2826485213295)</f>
        <v>60.28264852</v>
      </c>
      <c r="P1519" s="20">
        <f>IFERROR(__xludf.DUMMYFUNCTION("""COMPUTED_VALUE"""),57585.0)</f>
        <v>57585</v>
      </c>
      <c r="Q1519" s="20">
        <f>IFERROR(__xludf.DUMMYFUNCTION("""COMPUTED_VALUE"""),95525.0)</f>
        <v>95525</v>
      </c>
    </row>
    <row r="1520">
      <c r="A1520" s="20">
        <f>IFERROR(__xludf.DUMMYFUNCTION("""COMPUTED_VALUE"""),1643.0)</f>
        <v>1643</v>
      </c>
      <c r="B1520" s="20" t="str">
        <f>IFERROR(__xludf.DUMMYFUNCTION("""COMPUTED_VALUE"""),"Number of Nodes in the Sub-Tree With the Same Label")</f>
        <v>Number of Nodes in the Sub-Tree With the Same Label</v>
      </c>
      <c r="C1520" s="20" t="str">
        <f>IFERROR(__xludf.DUMMYFUNCTION("""COMPUTED_VALUE"""),"number-of-nodes-in-the-sub-tree-with-the-same-label")</f>
        <v>number-of-nodes-in-the-sub-tree-with-the-same-label</v>
      </c>
      <c r="D1520" s="20" t="b">
        <f>IFERROR(__xludf.DUMMYFUNCTION("""COMPUTED_VALUE"""),FALSE)</f>
        <v>0</v>
      </c>
      <c r="E1520" s="20" t="str">
        <f>IFERROR(__xludf.DUMMYFUNCTION("""COMPUTED_VALUE"""),"Medium")</f>
        <v>Medium</v>
      </c>
      <c r="F1520" s="20">
        <f>IFERROR(__xludf.DUMMYFUNCTION("""COMPUTED_VALUE"""),504.0)</f>
        <v>504</v>
      </c>
      <c r="G1520" s="20">
        <f>IFERROR(__xludf.DUMMYFUNCTION("""COMPUTED_VALUE"""),431.0)</f>
        <v>431</v>
      </c>
      <c r="H1520" s="20" t="str">
        <f>IFERROR(__xludf.DUMMYFUNCTION("""COMPUTED_VALUE"""),"Algorithms")</f>
        <v>Algorithms</v>
      </c>
      <c r="I1520" s="20">
        <f>IFERROR(__xludf.DUMMYFUNCTION("""COMPUTED_VALUE"""),0.41)</f>
        <v>0.41</v>
      </c>
      <c r="J1520" s="20">
        <f>IFERROR(__xludf.DUMMYFUNCTION("""COMPUTED_VALUE"""),1519.0)</f>
        <v>1519</v>
      </c>
      <c r="K1520" s="20" t="b">
        <f>IFERROR(__xludf.DUMMYFUNCTION("""COMPUTED_VALUE"""),FALSE)</f>
        <v>0</v>
      </c>
      <c r="L1520" s="20" t="str">
        <f>IFERROR(__xludf.DUMMYFUNCTION("""COMPUTED_VALUE"""),"Hash Table;Tree;Depth-First Search;Breadth-First Search;Counting;")</f>
        <v>Hash Table;Tree;Depth-First Search;Breadth-First Search;Counting;</v>
      </c>
      <c r="M1520" s="20" t="b">
        <f>IFERROR(__xludf.DUMMYFUNCTION("""COMPUTED_VALUE"""),TRUE)</f>
        <v>1</v>
      </c>
      <c r="N1520" s="20" t="b">
        <f>IFERROR(__xludf.DUMMYFUNCTION("""COMPUTED_VALUE"""),FALSE)</f>
        <v>0</v>
      </c>
      <c r="O1520" s="20">
        <f>IFERROR(__xludf.DUMMYFUNCTION("""COMPUTED_VALUE"""),41.0230459442933)</f>
        <v>41.02304594</v>
      </c>
      <c r="P1520" s="20">
        <f>IFERROR(__xludf.DUMMYFUNCTION("""COMPUTED_VALUE"""),19455.0)</f>
        <v>19455</v>
      </c>
      <c r="Q1520" s="20">
        <f>IFERROR(__xludf.DUMMYFUNCTION("""COMPUTED_VALUE"""),47426.0)</f>
        <v>47426</v>
      </c>
    </row>
    <row r="1521">
      <c r="A1521" s="20">
        <f>IFERROR(__xludf.DUMMYFUNCTION("""COMPUTED_VALUE"""),1644.0)</f>
        <v>1644</v>
      </c>
      <c r="B1521" s="20" t="str">
        <f>IFERROR(__xludf.DUMMYFUNCTION("""COMPUTED_VALUE"""),"Maximum Number of Non-Overlapping Substrings")</f>
        <v>Maximum Number of Non-Overlapping Substrings</v>
      </c>
      <c r="C1521" s="20" t="str">
        <f>IFERROR(__xludf.DUMMYFUNCTION("""COMPUTED_VALUE"""),"maximum-number-of-non-overlapping-substrings")</f>
        <v>maximum-number-of-non-overlapping-substrings</v>
      </c>
      <c r="D1521" s="20" t="b">
        <f>IFERROR(__xludf.DUMMYFUNCTION("""COMPUTED_VALUE"""),FALSE)</f>
        <v>0</v>
      </c>
      <c r="E1521" s="20" t="str">
        <f>IFERROR(__xludf.DUMMYFUNCTION("""COMPUTED_VALUE"""),"Hard")</f>
        <v>Hard</v>
      </c>
      <c r="F1521" s="20">
        <f>IFERROR(__xludf.DUMMYFUNCTION("""COMPUTED_VALUE"""),635.0)</f>
        <v>635</v>
      </c>
      <c r="G1521" s="20">
        <f>IFERROR(__xludf.DUMMYFUNCTION("""COMPUTED_VALUE"""),64.0)</f>
        <v>64</v>
      </c>
      <c r="H1521" s="20" t="str">
        <f>IFERROR(__xludf.DUMMYFUNCTION("""COMPUTED_VALUE"""),"Algorithms")</f>
        <v>Algorithms</v>
      </c>
      <c r="I1521" s="20">
        <f>IFERROR(__xludf.DUMMYFUNCTION("""COMPUTED_VALUE"""),0.381)</f>
        <v>0.381</v>
      </c>
      <c r="J1521" s="20">
        <f>IFERROR(__xludf.DUMMYFUNCTION("""COMPUTED_VALUE"""),1520.0)</f>
        <v>1520</v>
      </c>
      <c r="K1521" s="20" t="b">
        <f>IFERROR(__xludf.DUMMYFUNCTION("""COMPUTED_VALUE"""),FALSE)</f>
        <v>0</v>
      </c>
      <c r="L1521" s="20" t="str">
        <f>IFERROR(__xludf.DUMMYFUNCTION("""COMPUTED_VALUE"""),"String;Greedy;")</f>
        <v>String;Greedy;</v>
      </c>
      <c r="M1521" s="20" t="b">
        <f>IFERROR(__xludf.DUMMYFUNCTION("""COMPUTED_VALUE"""),FALSE)</f>
        <v>0</v>
      </c>
      <c r="N1521" s="20" t="b">
        <f>IFERROR(__xludf.DUMMYFUNCTION("""COMPUTED_VALUE"""),FALSE)</f>
        <v>0</v>
      </c>
      <c r="O1521" s="20">
        <f>IFERROR(__xludf.DUMMYFUNCTION("""COMPUTED_VALUE"""),38.1074090978244)</f>
        <v>38.1074091</v>
      </c>
      <c r="P1521" s="20">
        <f>IFERROR(__xludf.DUMMYFUNCTION("""COMPUTED_VALUE"""),12524.0)</f>
        <v>12524</v>
      </c>
      <c r="Q1521" s="20">
        <f>IFERROR(__xludf.DUMMYFUNCTION("""COMPUTED_VALUE"""),32865.0)</f>
        <v>32865</v>
      </c>
    </row>
    <row r="1522">
      <c r="A1522" s="20">
        <f>IFERROR(__xludf.DUMMYFUNCTION("""COMPUTED_VALUE"""),1645.0)</f>
        <v>1645</v>
      </c>
      <c r="B1522" s="20" t="str">
        <f>IFERROR(__xludf.DUMMYFUNCTION("""COMPUTED_VALUE"""),"Find a Value of a Mysterious Function Closest to Target")</f>
        <v>Find a Value of a Mysterious Function Closest to Target</v>
      </c>
      <c r="C1522" s="20" t="str">
        <f>IFERROR(__xludf.DUMMYFUNCTION("""COMPUTED_VALUE"""),"find-a-value-of-a-mysterious-function-closest-to-target")</f>
        <v>find-a-value-of-a-mysterious-function-closest-to-target</v>
      </c>
      <c r="D1522" s="20" t="b">
        <f>IFERROR(__xludf.DUMMYFUNCTION("""COMPUTED_VALUE"""),FALSE)</f>
        <v>0</v>
      </c>
      <c r="E1522" s="20" t="str">
        <f>IFERROR(__xludf.DUMMYFUNCTION("""COMPUTED_VALUE"""),"Hard")</f>
        <v>Hard</v>
      </c>
      <c r="F1522" s="20">
        <f>IFERROR(__xludf.DUMMYFUNCTION("""COMPUTED_VALUE"""),315.0)</f>
        <v>315</v>
      </c>
      <c r="G1522" s="20">
        <f>IFERROR(__xludf.DUMMYFUNCTION("""COMPUTED_VALUE"""),15.0)</f>
        <v>15</v>
      </c>
      <c r="H1522" s="20" t="str">
        <f>IFERROR(__xludf.DUMMYFUNCTION("""COMPUTED_VALUE"""),"Algorithms")</f>
        <v>Algorithms</v>
      </c>
      <c r="I1522" s="20">
        <f>IFERROR(__xludf.DUMMYFUNCTION("""COMPUTED_VALUE"""),0.436)</f>
        <v>0.436</v>
      </c>
      <c r="J1522" s="20">
        <f>IFERROR(__xludf.DUMMYFUNCTION("""COMPUTED_VALUE"""),1521.0)</f>
        <v>1521</v>
      </c>
      <c r="K1522" s="20" t="b">
        <f>IFERROR(__xludf.DUMMYFUNCTION("""COMPUTED_VALUE"""),FALSE)</f>
        <v>0</v>
      </c>
      <c r="L1522" s="20" t="str">
        <f>IFERROR(__xludf.DUMMYFUNCTION("""COMPUTED_VALUE"""),"Array;Binary Search;Bit Manipulation;Segment Tree;")</f>
        <v>Array;Binary Search;Bit Manipulation;Segment Tree;</v>
      </c>
      <c r="M1522" s="20" t="b">
        <f>IFERROR(__xludf.DUMMYFUNCTION("""COMPUTED_VALUE"""),FALSE)</f>
        <v>0</v>
      </c>
      <c r="N1522" s="20" t="b">
        <f>IFERROR(__xludf.DUMMYFUNCTION("""COMPUTED_VALUE"""),FALSE)</f>
        <v>0</v>
      </c>
      <c r="O1522" s="20">
        <f>IFERROR(__xludf.DUMMYFUNCTION("""COMPUTED_VALUE"""),43.5670524166099)</f>
        <v>43.56705242</v>
      </c>
      <c r="P1522" s="20">
        <f>IFERROR(__xludf.DUMMYFUNCTION("""COMPUTED_VALUE"""),8320.0)</f>
        <v>8320</v>
      </c>
      <c r="Q1522" s="20">
        <f>IFERROR(__xludf.DUMMYFUNCTION("""COMPUTED_VALUE"""),19097.0)</f>
        <v>19097</v>
      </c>
    </row>
    <row r="1523">
      <c r="A1523" s="20">
        <f>IFERROR(__xludf.DUMMYFUNCTION("""COMPUTED_VALUE"""),1665.0)</f>
        <v>1665</v>
      </c>
      <c r="B1523" s="20" t="str">
        <f>IFERROR(__xludf.DUMMYFUNCTION("""COMPUTED_VALUE"""),"Diameter of N-Ary Tree")</f>
        <v>Diameter of N-Ary Tree</v>
      </c>
      <c r="C1523" s="20" t="str">
        <f>IFERROR(__xludf.DUMMYFUNCTION("""COMPUTED_VALUE"""),"diameter-of-n-ary-tree")</f>
        <v>diameter-of-n-ary-tree</v>
      </c>
      <c r="D1523" s="20" t="b">
        <f>IFERROR(__xludf.DUMMYFUNCTION("""COMPUTED_VALUE"""),TRUE)</f>
        <v>1</v>
      </c>
      <c r="E1523" s="20" t="str">
        <f>IFERROR(__xludf.DUMMYFUNCTION("""COMPUTED_VALUE"""),"Medium")</f>
        <v>Medium</v>
      </c>
      <c r="F1523" s="20">
        <f>IFERROR(__xludf.DUMMYFUNCTION("""COMPUTED_VALUE"""),503.0)</f>
        <v>503</v>
      </c>
      <c r="G1523" s="20">
        <f>IFERROR(__xludf.DUMMYFUNCTION("""COMPUTED_VALUE"""),7.0)</f>
        <v>7</v>
      </c>
      <c r="H1523" s="20" t="str">
        <f>IFERROR(__xludf.DUMMYFUNCTION("""COMPUTED_VALUE"""),"Algorithms")</f>
        <v>Algorithms</v>
      </c>
      <c r="I1523" s="20">
        <f>IFERROR(__xludf.DUMMYFUNCTION("""COMPUTED_VALUE"""),0.735)</f>
        <v>0.735</v>
      </c>
      <c r="J1523" s="20">
        <f>IFERROR(__xludf.DUMMYFUNCTION("""COMPUTED_VALUE"""),1522.0)</f>
        <v>1522</v>
      </c>
      <c r="K1523" s="20" t="b">
        <f>IFERROR(__xludf.DUMMYFUNCTION("""COMPUTED_VALUE"""),TRUE)</f>
        <v>1</v>
      </c>
      <c r="L1523" s="20" t="str">
        <f>IFERROR(__xludf.DUMMYFUNCTION("""COMPUTED_VALUE"""),"Tree;Depth-First Search;")</f>
        <v>Tree;Depth-First Search;</v>
      </c>
      <c r="M1523" s="20" t="b">
        <f>IFERROR(__xludf.DUMMYFUNCTION("""COMPUTED_VALUE"""),TRUE)</f>
        <v>1</v>
      </c>
      <c r="N1523" s="20" t="b">
        <f>IFERROR(__xludf.DUMMYFUNCTION("""COMPUTED_VALUE"""),FALSE)</f>
        <v>0</v>
      </c>
      <c r="O1523" s="20">
        <f>IFERROR(__xludf.DUMMYFUNCTION("""COMPUTED_VALUE"""),73.4800775705232)</f>
        <v>73.48007757</v>
      </c>
      <c r="P1523" s="20">
        <f>IFERROR(__xludf.DUMMYFUNCTION("""COMPUTED_VALUE"""),36754.0)</f>
        <v>36754</v>
      </c>
      <c r="Q1523" s="20">
        <f>IFERROR(__xludf.DUMMYFUNCTION("""COMPUTED_VALUE"""),50019.0)</f>
        <v>50019</v>
      </c>
    </row>
    <row r="1524">
      <c r="A1524" s="20">
        <f>IFERROR(__xludf.DUMMYFUNCTION("""COMPUTED_VALUE"""),1630.0)</f>
        <v>1630</v>
      </c>
      <c r="B1524" s="20" t="str">
        <f>IFERROR(__xludf.DUMMYFUNCTION("""COMPUTED_VALUE"""),"Count Odd Numbers in an Interval Range")</f>
        <v>Count Odd Numbers in an Interval Range</v>
      </c>
      <c r="C1524" s="20" t="str">
        <f>IFERROR(__xludf.DUMMYFUNCTION("""COMPUTED_VALUE"""),"count-odd-numbers-in-an-interval-range")</f>
        <v>count-odd-numbers-in-an-interval-range</v>
      </c>
      <c r="D1524" s="20" t="b">
        <f>IFERROR(__xludf.DUMMYFUNCTION("""COMPUTED_VALUE"""),FALSE)</f>
        <v>0</v>
      </c>
      <c r="E1524" s="20" t="str">
        <f>IFERROR(__xludf.DUMMYFUNCTION("""COMPUTED_VALUE"""),"Easy")</f>
        <v>Easy</v>
      </c>
      <c r="F1524" s="20">
        <f>IFERROR(__xludf.DUMMYFUNCTION("""COMPUTED_VALUE"""),1258.0)</f>
        <v>1258</v>
      </c>
      <c r="G1524" s="20">
        <f>IFERROR(__xludf.DUMMYFUNCTION("""COMPUTED_VALUE"""),89.0)</f>
        <v>89</v>
      </c>
      <c r="H1524" s="20" t="str">
        <f>IFERROR(__xludf.DUMMYFUNCTION("""COMPUTED_VALUE"""),"Algorithms")</f>
        <v>Algorithms</v>
      </c>
      <c r="I1524" s="20">
        <f>IFERROR(__xludf.DUMMYFUNCTION("""COMPUTED_VALUE"""),0.461)</f>
        <v>0.461</v>
      </c>
      <c r="J1524" s="20">
        <f>IFERROR(__xludf.DUMMYFUNCTION("""COMPUTED_VALUE"""),1523.0)</f>
        <v>1523</v>
      </c>
      <c r="K1524" s="20" t="b">
        <f>IFERROR(__xludf.DUMMYFUNCTION("""COMPUTED_VALUE"""),FALSE)</f>
        <v>0</v>
      </c>
      <c r="L1524" s="20" t="str">
        <f>IFERROR(__xludf.DUMMYFUNCTION("""COMPUTED_VALUE"""),"Math;")</f>
        <v>Math;</v>
      </c>
      <c r="M1524" s="20" t="b">
        <f>IFERROR(__xludf.DUMMYFUNCTION("""COMPUTED_VALUE"""),FALSE)</f>
        <v>0</v>
      </c>
      <c r="N1524" s="20" t="b">
        <f>IFERROR(__xludf.DUMMYFUNCTION("""COMPUTED_VALUE"""),FALSE)</f>
        <v>0</v>
      </c>
      <c r="O1524" s="20">
        <f>IFERROR(__xludf.DUMMYFUNCTION("""COMPUTED_VALUE"""),46.1331549233211)</f>
        <v>46.13315492</v>
      </c>
      <c r="P1524" s="20">
        <f>IFERROR(__xludf.DUMMYFUNCTION("""COMPUTED_VALUE"""),168248.0)</f>
        <v>168248</v>
      </c>
      <c r="Q1524" s="20">
        <f>IFERROR(__xludf.DUMMYFUNCTION("""COMPUTED_VALUE"""),364701.0)</f>
        <v>364701</v>
      </c>
    </row>
    <row r="1525">
      <c r="A1525" s="20">
        <f>IFERROR(__xludf.DUMMYFUNCTION("""COMPUTED_VALUE"""),1631.0)</f>
        <v>1631</v>
      </c>
      <c r="B1525" s="20" t="str">
        <f>IFERROR(__xludf.DUMMYFUNCTION("""COMPUTED_VALUE"""),"Number of Sub-arrays With Odd Sum")</f>
        <v>Number of Sub-arrays With Odd Sum</v>
      </c>
      <c r="C1525" s="20" t="str">
        <f>IFERROR(__xludf.DUMMYFUNCTION("""COMPUTED_VALUE"""),"number-of-sub-arrays-with-odd-sum")</f>
        <v>number-of-sub-arrays-with-odd-sum</v>
      </c>
      <c r="D1525" s="20" t="b">
        <f>IFERROR(__xludf.DUMMYFUNCTION("""COMPUTED_VALUE"""),FALSE)</f>
        <v>0</v>
      </c>
      <c r="E1525" s="20" t="str">
        <f>IFERROR(__xludf.DUMMYFUNCTION("""COMPUTED_VALUE"""),"Medium")</f>
        <v>Medium</v>
      </c>
      <c r="F1525" s="20">
        <f>IFERROR(__xludf.DUMMYFUNCTION("""COMPUTED_VALUE"""),990.0)</f>
        <v>990</v>
      </c>
      <c r="G1525" s="20">
        <f>IFERROR(__xludf.DUMMYFUNCTION("""COMPUTED_VALUE"""),48.0)</f>
        <v>48</v>
      </c>
      <c r="H1525" s="20" t="str">
        <f>IFERROR(__xludf.DUMMYFUNCTION("""COMPUTED_VALUE"""),"Algorithms")</f>
        <v>Algorithms</v>
      </c>
      <c r="I1525" s="20">
        <f>IFERROR(__xludf.DUMMYFUNCTION("""COMPUTED_VALUE"""),0.437)</f>
        <v>0.437</v>
      </c>
      <c r="J1525" s="20">
        <f>IFERROR(__xludf.DUMMYFUNCTION("""COMPUTED_VALUE"""),1524.0)</f>
        <v>1524</v>
      </c>
      <c r="K1525" s="20" t="b">
        <f>IFERROR(__xludf.DUMMYFUNCTION("""COMPUTED_VALUE"""),FALSE)</f>
        <v>0</v>
      </c>
      <c r="L1525" s="20" t="str">
        <f>IFERROR(__xludf.DUMMYFUNCTION("""COMPUTED_VALUE"""),"Array;Math;Dynamic Programming;Prefix Sum;")</f>
        <v>Array;Math;Dynamic Programming;Prefix Sum;</v>
      </c>
      <c r="M1525" s="20" t="b">
        <f>IFERROR(__xludf.DUMMYFUNCTION("""COMPUTED_VALUE"""),FALSE)</f>
        <v>0</v>
      </c>
      <c r="N1525" s="20" t="b">
        <f>IFERROR(__xludf.DUMMYFUNCTION("""COMPUTED_VALUE"""),FALSE)</f>
        <v>0</v>
      </c>
      <c r="O1525" s="20">
        <f>IFERROR(__xludf.DUMMYFUNCTION("""COMPUTED_VALUE"""),43.6975922376617)</f>
        <v>43.69759224</v>
      </c>
      <c r="P1525" s="20">
        <f>IFERROR(__xludf.DUMMYFUNCTION("""COMPUTED_VALUE"""),29182.0)</f>
        <v>29182</v>
      </c>
      <c r="Q1525" s="20">
        <f>IFERROR(__xludf.DUMMYFUNCTION("""COMPUTED_VALUE"""),66783.0)</f>
        <v>66783</v>
      </c>
    </row>
    <row r="1526">
      <c r="A1526" s="20">
        <f>IFERROR(__xludf.DUMMYFUNCTION("""COMPUTED_VALUE"""),1632.0)</f>
        <v>1632</v>
      </c>
      <c r="B1526" s="20" t="str">
        <f>IFERROR(__xludf.DUMMYFUNCTION("""COMPUTED_VALUE"""),"Number of Good Ways to Split a String")</f>
        <v>Number of Good Ways to Split a String</v>
      </c>
      <c r="C1526" s="20" t="str">
        <f>IFERROR(__xludf.DUMMYFUNCTION("""COMPUTED_VALUE"""),"number-of-good-ways-to-split-a-string")</f>
        <v>number-of-good-ways-to-split-a-string</v>
      </c>
      <c r="D1526" s="20" t="b">
        <f>IFERROR(__xludf.DUMMYFUNCTION("""COMPUTED_VALUE"""),FALSE)</f>
        <v>0</v>
      </c>
      <c r="E1526" s="20" t="str">
        <f>IFERROR(__xludf.DUMMYFUNCTION("""COMPUTED_VALUE"""),"Medium")</f>
        <v>Medium</v>
      </c>
      <c r="F1526" s="20">
        <f>IFERROR(__xludf.DUMMYFUNCTION("""COMPUTED_VALUE"""),1706.0)</f>
        <v>1706</v>
      </c>
      <c r="G1526" s="20">
        <f>IFERROR(__xludf.DUMMYFUNCTION("""COMPUTED_VALUE"""),41.0)</f>
        <v>41</v>
      </c>
      <c r="H1526" s="20" t="str">
        <f>IFERROR(__xludf.DUMMYFUNCTION("""COMPUTED_VALUE"""),"Algorithms")</f>
        <v>Algorithms</v>
      </c>
      <c r="I1526" s="20">
        <f>IFERROR(__xludf.DUMMYFUNCTION("""COMPUTED_VALUE"""),0.693)</f>
        <v>0.693</v>
      </c>
      <c r="J1526" s="20">
        <f>IFERROR(__xludf.DUMMYFUNCTION("""COMPUTED_VALUE"""),1525.0)</f>
        <v>1525</v>
      </c>
      <c r="K1526" s="20" t="b">
        <f>IFERROR(__xludf.DUMMYFUNCTION("""COMPUTED_VALUE"""),FALSE)</f>
        <v>0</v>
      </c>
      <c r="L1526" s="20" t="str">
        <f>IFERROR(__xludf.DUMMYFUNCTION("""COMPUTED_VALUE"""),"String;Dynamic Programming;Bit Manipulation;")</f>
        <v>String;Dynamic Programming;Bit Manipulation;</v>
      </c>
      <c r="M1526" s="20" t="b">
        <f>IFERROR(__xludf.DUMMYFUNCTION("""COMPUTED_VALUE"""),FALSE)</f>
        <v>0</v>
      </c>
      <c r="N1526" s="20" t="b">
        <f>IFERROR(__xludf.DUMMYFUNCTION("""COMPUTED_VALUE"""),FALSE)</f>
        <v>0</v>
      </c>
      <c r="O1526" s="20">
        <f>IFERROR(__xludf.DUMMYFUNCTION("""COMPUTED_VALUE"""),69.2989847591154)</f>
        <v>69.29898476</v>
      </c>
      <c r="P1526" s="20">
        <f>IFERROR(__xludf.DUMMYFUNCTION("""COMPUTED_VALUE"""),84708.0)</f>
        <v>84708</v>
      </c>
      <c r="Q1526" s="20">
        <f>IFERROR(__xludf.DUMMYFUNCTION("""COMPUTED_VALUE"""),122235.0)</f>
        <v>122235</v>
      </c>
    </row>
    <row r="1527">
      <c r="A1527" s="20">
        <f>IFERROR(__xludf.DUMMYFUNCTION("""COMPUTED_VALUE"""),1633.0)</f>
        <v>1633</v>
      </c>
      <c r="B1527" s="20" t="str">
        <f>IFERROR(__xludf.DUMMYFUNCTION("""COMPUTED_VALUE"""),"Minimum Number of Increments on Subarrays to Form a Target Array")</f>
        <v>Minimum Number of Increments on Subarrays to Form a Target Array</v>
      </c>
      <c r="C1527" s="20" t="str">
        <f>IFERROR(__xludf.DUMMYFUNCTION("""COMPUTED_VALUE"""),"minimum-number-of-increments-on-subarrays-to-form-a-target-array")</f>
        <v>minimum-number-of-increments-on-subarrays-to-form-a-target-array</v>
      </c>
      <c r="D1527" s="20" t="b">
        <f>IFERROR(__xludf.DUMMYFUNCTION("""COMPUTED_VALUE"""),FALSE)</f>
        <v>0</v>
      </c>
      <c r="E1527" s="20" t="str">
        <f>IFERROR(__xludf.DUMMYFUNCTION("""COMPUTED_VALUE"""),"Hard")</f>
        <v>Hard</v>
      </c>
      <c r="F1527" s="20">
        <f>IFERROR(__xludf.DUMMYFUNCTION("""COMPUTED_VALUE"""),1134.0)</f>
        <v>1134</v>
      </c>
      <c r="G1527" s="20">
        <f>IFERROR(__xludf.DUMMYFUNCTION("""COMPUTED_VALUE"""),57.0)</f>
        <v>57</v>
      </c>
      <c r="H1527" s="20" t="str">
        <f>IFERROR(__xludf.DUMMYFUNCTION("""COMPUTED_VALUE"""),"Algorithms")</f>
        <v>Algorithms</v>
      </c>
      <c r="I1527" s="20">
        <f>IFERROR(__xludf.DUMMYFUNCTION("""COMPUTED_VALUE"""),0.687)</f>
        <v>0.687</v>
      </c>
      <c r="J1527" s="20">
        <f>IFERROR(__xludf.DUMMYFUNCTION("""COMPUTED_VALUE"""),1526.0)</f>
        <v>1526</v>
      </c>
      <c r="K1527" s="20" t="b">
        <f>IFERROR(__xludf.DUMMYFUNCTION("""COMPUTED_VALUE"""),FALSE)</f>
        <v>0</v>
      </c>
      <c r="L1527" s="20" t="str">
        <f>IFERROR(__xludf.DUMMYFUNCTION("""COMPUTED_VALUE"""),"Array;Dynamic Programming;Stack;Greedy;Monotonic Stack;")</f>
        <v>Array;Dynamic Programming;Stack;Greedy;Monotonic Stack;</v>
      </c>
      <c r="M1527" s="20" t="b">
        <f>IFERROR(__xludf.DUMMYFUNCTION("""COMPUTED_VALUE"""),FALSE)</f>
        <v>0</v>
      </c>
      <c r="N1527" s="20" t="b">
        <f>IFERROR(__xludf.DUMMYFUNCTION("""COMPUTED_VALUE"""),FALSE)</f>
        <v>0</v>
      </c>
      <c r="O1527" s="20">
        <f>IFERROR(__xludf.DUMMYFUNCTION("""COMPUTED_VALUE"""),68.6622837692917)</f>
        <v>68.66228377</v>
      </c>
      <c r="P1527" s="20">
        <f>IFERROR(__xludf.DUMMYFUNCTION("""COMPUTED_VALUE"""),29452.0)</f>
        <v>29452</v>
      </c>
      <c r="Q1527" s="20">
        <f>IFERROR(__xludf.DUMMYFUNCTION("""COMPUTED_VALUE"""),42894.0)</f>
        <v>42894</v>
      </c>
    </row>
    <row r="1528">
      <c r="A1528" s="20">
        <f>IFERROR(__xludf.DUMMYFUNCTION("""COMPUTED_VALUE"""),1670.0)</f>
        <v>1670</v>
      </c>
      <c r="B1528" s="20" t="str">
        <f>IFERROR(__xludf.DUMMYFUNCTION("""COMPUTED_VALUE"""),"Patients With a Condition")</f>
        <v>Patients With a Condition</v>
      </c>
      <c r="C1528" s="20" t="str">
        <f>IFERROR(__xludf.DUMMYFUNCTION("""COMPUTED_VALUE"""),"patients-with-a-condition")</f>
        <v>patients-with-a-condition</v>
      </c>
      <c r="D1528" s="20" t="b">
        <f>IFERROR(__xludf.DUMMYFUNCTION("""COMPUTED_VALUE"""),FALSE)</f>
        <v>0</v>
      </c>
      <c r="E1528" s="20" t="str">
        <f>IFERROR(__xludf.DUMMYFUNCTION("""COMPUTED_VALUE"""),"Easy")</f>
        <v>Easy</v>
      </c>
      <c r="F1528" s="20">
        <f>IFERROR(__xludf.DUMMYFUNCTION("""COMPUTED_VALUE"""),283.0)</f>
        <v>283</v>
      </c>
      <c r="G1528" s="20">
        <f>IFERROR(__xludf.DUMMYFUNCTION("""COMPUTED_VALUE"""),319.0)</f>
        <v>319</v>
      </c>
      <c r="H1528" s="20" t="str">
        <f>IFERROR(__xludf.DUMMYFUNCTION("""COMPUTED_VALUE"""),"Database")</f>
        <v>Database</v>
      </c>
      <c r="I1528" s="20">
        <f>IFERROR(__xludf.DUMMYFUNCTION("""COMPUTED_VALUE"""),0.419)</f>
        <v>0.419</v>
      </c>
      <c r="J1528" s="20">
        <f>IFERROR(__xludf.DUMMYFUNCTION("""COMPUTED_VALUE"""),1527.0)</f>
        <v>1527</v>
      </c>
      <c r="K1528" s="20" t="b">
        <f>IFERROR(__xludf.DUMMYFUNCTION("""COMPUTED_VALUE"""),FALSE)</f>
        <v>0</v>
      </c>
      <c r="L1528" s="20" t="str">
        <f>IFERROR(__xludf.DUMMYFUNCTION("""COMPUTED_VALUE"""),"Database;")</f>
        <v>Database;</v>
      </c>
      <c r="M1528" s="20" t="b">
        <f>IFERROR(__xludf.DUMMYFUNCTION("""COMPUTED_VALUE"""),FALSE)</f>
        <v>0</v>
      </c>
      <c r="N1528" s="20" t="b">
        <f>IFERROR(__xludf.DUMMYFUNCTION("""COMPUTED_VALUE"""),FALSE)</f>
        <v>0</v>
      </c>
      <c r="O1528" s="20">
        <f>IFERROR(__xludf.DUMMYFUNCTION("""COMPUTED_VALUE"""),41.948699395055)</f>
        <v>41.9486994</v>
      </c>
      <c r="P1528" s="20">
        <f>IFERROR(__xludf.DUMMYFUNCTION("""COMPUTED_VALUE"""),78842.0)</f>
        <v>78842</v>
      </c>
      <c r="Q1528" s="20">
        <f>IFERROR(__xludf.DUMMYFUNCTION("""COMPUTED_VALUE"""),187948.0)</f>
        <v>187948</v>
      </c>
    </row>
    <row r="1529">
      <c r="A1529" s="20">
        <f>IFERROR(__xludf.DUMMYFUNCTION("""COMPUTED_VALUE"""),1651.0)</f>
        <v>1651</v>
      </c>
      <c r="B1529" s="20" t="str">
        <f>IFERROR(__xludf.DUMMYFUNCTION("""COMPUTED_VALUE"""),"Shuffle String")</f>
        <v>Shuffle String</v>
      </c>
      <c r="C1529" s="20" t="str">
        <f>IFERROR(__xludf.DUMMYFUNCTION("""COMPUTED_VALUE"""),"shuffle-string")</f>
        <v>shuffle-string</v>
      </c>
      <c r="D1529" s="20" t="b">
        <f>IFERROR(__xludf.DUMMYFUNCTION("""COMPUTED_VALUE"""),FALSE)</f>
        <v>0</v>
      </c>
      <c r="E1529" s="20" t="str">
        <f>IFERROR(__xludf.DUMMYFUNCTION("""COMPUTED_VALUE"""),"Easy")</f>
        <v>Easy</v>
      </c>
      <c r="F1529" s="20">
        <f>IFERROR(__xludf.DUMMYFUNCTION("""COMPUTED_VALUE"""),1994.0)</f>
        <v>1994</v>
      </c>
      <c r="G1529" s="20">
        <f>IFERROR(__xludf.DUMMYFUNCTION("""COMPUTED_VALUE"""),348.0)</f>
        <v>348</v>
      </c>
      <c r="H1529" s="20" t="str">
        <f>IFERROR(__xludf.DUMMYFUNCTION("""COMPUTED_VALUE"""),"Algorithms")</f>
        <v>Algorithms</v>
      </c>
      <c r="I1529" s="20">
        <f>IFERROR(__xludf.DUMMYFUNCTION("""COMPUTED_VALUE"""),0.855)</f>
        <v>0.855</v>
      </c>
      <c r="J1529" s="20">
        <f>IFERROR(__xludf.DUMMYFUNCTION("""COMPUTED_VALUE"""),1528.0)</f>
        <v>1528</v>
      </c>
      <c r="K1529" s="20" t="b">
        <f>IFERROR(__xludf.DUMMYFUNCTION("""COMPUTED_VALUE"""),FALSE)</f>
        <v>0</v>
      </c>
      <c r="L1529" s="20" t="str">
        <f>IFERROR(__xludf.DUMMYFUNCTION("""COMPUTED_VALUE"""),"Array;String;")</f>
        <v>Array;String;</v>
      </c>
      <c r="M1529" s="20" t="b">
        <f>IFERROR(__xludf.DUMMYFUNCTION("""COMPUTED_VALUE"""),FALSE)</f>
        <v>0</v>
      </c>
      <c r="N1529" s="20" t="b">
        <f>IFERROR(__xludf.DUMMYFUNCTION("""COMPUTED_VALUE"""),FALSE)</f>
        <v>0</v>
      </c>
      <c r="O1529" s="20">
        <f>IFERROR(__xludf.DUMMYFUNCTION("""COMPUTED_VALUE"""),85.5448047843633)</f>
        <v>85.54480478</v>
      </c>
      <c r="P1529" s="20">
        <f>IFERROR(__xludf.DUMMYFUNCTION("""COMPUTED_VALUE"""),263902.0)</f>
        <v>263902</v>
      </c>
      <c r="Q1529" s="20">
        <f>IFERROR(__xludf.DUMMYFUNCTION("""COMPUTED_VALUE"""),308497.0)</f>
        <v>308497</v>
      </c>
    </row>
    <row r="1530">
      <c r="A1530" s="20">
        <f>IFERROR(__xludf.DUMMYFUNCTION("""COMPUTED_VALUE"""),1652.0)</f>
        <v>1652</v>
      </c>
      <c r="B1530" s="20" t="str">
        <f>IFERROR(__xludf.DUMMYFUNCTION("""COMPUTED_VALUE"""),"Minimum Suffix Flips")</f>
        <v>Minimum Suffix Flips</v>
      </c>
      <c r="C1530" s="20" t="str">
        <f>IFERROR(__xludf.DUMMYFUNCTION("""COMPUTED_VALUE"""),"minimum-suffix-flips")</f>
        <v>minimum-suffix-flips</v>
      </c>
      <c r="D1530" s="20" t="b">
        <f>IFERROR(__xludf.DUMMYFUNCTION("""COMPUTED_VALUE"""),FALSE)</f>
        <v>0</v>
      </c>
      <c r="E1530" s="20" t="str">
        <f>IFERROR(__xludf.DUMMYFUNCTION("""COMPUTED_VALUE"""),"Medium")</f>
        <v>Medium</v>
      </c>
      <c r="F1530" s="20">
        <f>IFERROR(__xludf.DUMMYFUNCTION("""COMPUTED_VALUE"""),789.0)</f>
        <v>789</v>
      </c>
      <c r="G1530" s="20">
        <f>IFERROR(__xludf.DUMMYFUNCTION("""COMPUTED_VALUE"""),34.0)</f>
        <v>34</v>
      </c>
      <c r="H1530" s="20" t="str">
        <f>IFERROR(__xludf.DUMMYFUNCTION("""COMPUTED_VALUE"""),"Algorithms")</f>
        <v>Algorithms</v>
      </c>
      <c r="I1530" s="20">
        <f>IFERROR(__xludf.DUMMYFUNCTION("""COMPUTED_VALUE"""),0.725)</f>
        <v>0.725</v>
      </c>
      <c r="J1530" s="20">
        <f>IFERROR(__xludf.DUMMYFUNCTION("""COMPUTED_VALUE"""),1529.0)</f>
        <v>1529</v>
      </c>
      <c r="K1530" s="20" t="b">
        <f>IFERROR(__xludf.DUMMYFUNCTION("""COMPUTED_VALUE"""),FALSE)</f>
        <v>0</v>
      </c>
      <c r="L1530" s="20" t="str">
        <f>IFERROR(__xludf.DUMMYFUNCTION("""COMPUTED_VALUE"""),"String;Greedy;")</f>
        <v>String;Greedy;</v>
      </c>
      <c r="M1530" s="20" t="b">
        <f>IFERROR(__xludf.DUMMYFUNCTION("""COMPUTED_VALUE"""),FALSE)</f>
        <v>0</v>
      </c>
      <c r="N1530" s="20" t="b">
        <f>IFERROR(__xludf.DUMMYFUNCTION("""COMPUTED_VALUE"""),FALSE)</f>
        <v>0</v>
      </c>
      <c r="O1530" s="20">
        <f>IFERROR(__xludf.DUMMYFUNCTION("""COMPUTED_VALUE"""),72.4539358543252)</f>
        <v>72.45393585</v>
      </c>
      <c r="P1530" s="20">
        <f>IFERROR(__xludf.DUMMYFUNCTION("""COMPUTED_VALUE"""),36845.0)</f>
        <v>36845</v>
      </c>
      <c r="Q1530" s="20">
        <f>IFERROR(__xludf.DUMMYFUNCTION("""COMPUTED_VALUE"""),50853.0)</f>
        <v>50853</v>
      </c>
    </row>
    <row r="1531">
      <c r="A1531" s="20">
        <f>IFERROR(__xludf.DUMMYFUNCTION("""COMPUTED_VALUE"""),1653.0)</f>
        <v>1653</v>
      </c>
      <c r="B1531" s="20" t="str">
        <f>IFERROR(__xludf.DUMMYFUNCTION("""COMPUTED_VALUE"""),"Number of Good Leaf Nodes Pairs")</f>
        <v>Number of Good Leaf Nodes Pairs</v>
      </c>
      <c r="C1531" s="20" t="str">
        <f>IFERROR(__xludf.DUMMYFUNCTION("""COMPUTED_VALUE"""),"number-of-good-leaf-nodes-pairs")</f>
        <v>number-of-good-leaf-nodes-pairs</v>
      </c>
      <c r="D1531" s="20" t="b">
        <f>IFERROR(__xludf.DUMMYFUNCTION("""COMPUTED_VALUE"""),FALSE)</f>
        <v>0</v>
      </c>
      <c r="E1531" s="20" t="str">
        <f>IFERROR(__xludf.DUMMYFUNCTION("""COMPUTED_VALUE"""),"Medium")</f>
        <v>Medium</v>
      </c>
      <c r="F1531" s="20">
        <f>IFERROR(__xludf.DUMMYFUNCTION("""COMPUTED_VALUE"""),1409.0)</f>
        <v>1409</v>
      </c>
      <c r="G1531" s="20">
        <f>IFERROR(__xludf.DUMMYFUNCTION("""COMPUTED_VALUE"""),33.0)</f>
        <v>33</v>
      </c>
      <c r="H1531" s="20" t="str">
        <f>IFERROR(__xludf.DUMMYFUNCTION("""COMPUTED_VALUE"""),"Algorithms")</f>
        <v>Algorithms</v>
      </c>
      <c r="I1531" s="20">
        <f>IFERROR(__xludf.DUMMYFUNCTION("""COMPUTED_VALUE"""),0.609)</f>
        <v>0.609</v>
      </c>
      <c r="J1531" s="20">
        <f>IFERROR(__xludf.DUMMYFUNCTION("""COMPUTED_VALUE"""),1530.0)</f>
        <v>1530</v>
      </c>
      <c r="K1531" s="20" t="b">
        <f>IFERROR(__xludf.DUMMYFUNCTION("""COMPUTED_VALUE"""),FALSE)</f>
        <v>0</v>
      </c>
      <c r="L1531" s="20" t="str">
        <f>IFERROR(__xludf.DUMMYFUNCTION("""COMPUTED_VALUE"""),"Tree;Depth-First Search;Binary Tree;")</f>
        <v>Tree;Depth-First Search;Binary Tree;</v>
      </c>
      <c r="M1531" s="20" t="b">
        <f>IFERROR(__xludf.DUMMYFUNCTION("""COMPUTED_VALUE"""),FALSE)</f>
        <v>0</v>
      </c>
      <c r="N1531" s="20" t="b">
        <f>IFERROR(__xludf.DUMMYFUNCTION("""COMPUTED_VALUE"""),FALSE)</f>
        <v>0</v>
      </c>
      <c r="O1531" s="20">
        <f>IFERROR(__xludf.DUMMYFUNCTION("""COMPUTED_VALUE"""),60.8993945301516)</f>
        <v>60.89939453</v>
      </c>
      <c r="P1531" s="20">
        <f>IFERROR(__xludf.DUMMYFUNCTION("""COMPUTED_VALUE"""),32488.0)</f>
        <v>32488</v>
      </c>
      <c r="Q1531" s="20">
        <f>IFERROR(__xludf.DUMMYFUNCTION("""COMPUTED_VALUE"""),53347.0)</f>
        <v>53347</v>
      </c>
    </row>
    <row r="1532">
      <c r="A1532" s="20">
        <f>IFERROR(__xludf.DUMMYFUNCTION("""COMPUTED_VALUE"""),1637.0)</f>
        <v>1637</v>
      </c>
      <c r="B1532" s="20" t="str">
        <f>IFERROR(__xludf.DUMMYFUNCTION("""COMPUTED_VALUE"""),"String Compression II")</f>
        <v>String Compression II</v>
      </c>
      <c r="C1532" s="20" t="str">
        <f>IFERROR(__xludf.DUMMYFUNCTION("""COMPUTED_VALUE"""),"string-compression-ii")</f>
        <v>string-compression-ii</v>
      </c>
      <c r="D1532" s="20" t="b">
        <f>IFERROR(__xludf.DUMMYFUNCTION("""COMPUTED_VALUE"""),FALSE)</f>
        <v>0</v>
      </c>
      <c r="E1532" s="20" t="str">
        <f>IFERROR(__xludf.DUMMYFUNCTION("""COMPUTED_VALUE"""),"Hard")</f>
        <v>Hard</v>
      </c>
      <c r="F1532" s="20">
        <f>IFERROR(__xludf.DUMMYFUNCTION("""COMPUTED_VALUE"""),1594.0)</f>
        <v>1594</v>
      </c>
      <c r="G1532" s="20">
        <f>IFERROR(__xludf.DUMMYFUNCTION("""COMPUTED_VALUE"""),117.0)</f>
        <v>117</v>
      </c>
      <c r="H1532" s="20" t="str">
        <f>IFERROR(__xludf.DUMMYFUNCTION("""COMPUTED_VALUE"""),"Algorithms")</f>
        <v>Algorithms</v>
      </c>
      <c r="I1532" s="20">
        <f>IFERROR(__xludf.DUMMYFUNCTION("""COMPUTED_VALUE"""),0.498)</f>
        <v>0.498</v>
      </c>
      <c r="J1532" s="20">
        <f>IFERROR(__xludf.DUMMYFUNCTION("""COMPUTED_VALUE"""),1531.0)</f>
        <v>1531</v>
      </c>
      <c r="K1532" s="20" t="b">
        <f>IFERROR(__xludf.DUMMYFUNCTION("""COMPUTED_VALUE"""),FALSE)</f>
        <v>0</v>
      </c>
      <c r="L1532" s="20" t="str">
        <f>IFERROR(__xludf.DUMMYFUNCTION("""COMPUTED_VALUE"""),"String;Dynamic Programming;")</f>
        <v>String;Dynamic Programming;</v>
      </c>
      <c r="M1532" s="20" t="b">
        <f>IFERROR(__xludf.DUMMYFUNCTION("""COMPUTED_VALUE"""),TRUE)</f>
        <v>1</v>
      </c>
      <c r="N1532" s="20" t="b">
        <f>IFERROR(__xludf.DUMMYFUNCTION("""COMPUTED_VALUE"""),FALSE)</f>
        <v>0</v>
      </c>
      <c r="O1532" s="20">
        <f>IFERROR(__xludf.DUMMYFUNCTION("""COMPUTED_VALUE"""),49.8372986865995)</f>
        <v>49.83729869</v>
      </c>
      <c r="P1532" s="20">
        <f>IFERROR(__xludf.DUMMYFUNCTION("""COMPUTED_VALUE"""),42271.0)</f>
        <v>42271</v>
      </c>
      <c r="Q1532" s="20">
        <f>IFERROR(__xludf.DUMMYFUNCTION("""COMPUTED_VALUE"""),84818.0)</f>
        <v>84818</v>
      </c>
    </row>
    <row r="1533">
      <c r="A1533" s="20">
        <f>IFERROR(__xludf.DUMMYFUNCTION("""COMPUTED_VALUE"""),1671.0)</f>
        <v>1671</v>
      </c>
      <c r="B1533" s="20" t="str">
        <f>IFERROR(__xludf.DUMMYFUNCTION("""COMPUTED_VALUE"""),"The Most Recent Three Orders")</f>
        <v>The Most Recent Three Orders</v>
      </c>
      <c r="C1533" s="20" t="str">
        <f>IFERROR(__xludf.DUMMYFUNCTION("""COMPUTED_VALUE"""),"the-most-recent-three-orders")</f>
        <v>the-most-recent-three-orders</v>
      </c>
      <c r="D1533" s="20" t="b">
        <f>IFERROR(__xludf.DUMMYFUNCTION("""COMPUTED_VALUE"""),TRUE)</f>
        <v>1</v>
      </c>
      <c r="E1533" s="20" t="str">
        <f>IFERROR(__xludf.DUMMYFUNCTION("""COMPUTED_VALUE"""),"Medium")</f>
        <v>Medium</v>
      </c>
      <c r="F1533" s="20">
        <f>IFERROR(__xludf.DUMMYFUNCTION("""COMPUTED_VALUE"""),118.0)</f>
        <v>118</v>
      </c>
      <c r="G1533" s="20">
        <f>IFERROR(__xludf.DUMMYFUNCTION("""COMPUTED_VALUE"""),9.0)</f>
        <v>9</v>
      </c>
      <c r="H1533" s="20" t="str">
        <f>IFERROR(__xludf.DUMMYFUNCTION("""COMPUTED_VALUE"""),"Database")</f>
        <v>Database</v>
      </c>
      <c r="I1533" s="20">
        <f>IFERROR(__xludf.DUMMYFUNCTION("""COMPUTED_VALUE"""),0.708)</f>
        <v>0.708</v>
      </c>
      <c r="J1533" s="20">
        <f>IFERROR(__xludf.DUMMYFUNCTION("""COMPUTED_VALUE"""),1532.0)</f>
        <v>1532</v>
      </c>
      <c r="K1533" s="20" t="b">
        <f>IFERROR(__xludf.DUMMYFUNCTION("""COMPUTED_VALUE"""),TRUE)</f>
        <v>1</v>
      </c>
      <c r="L1533" s="20" t="str">
        <f>IFERROR(__xludf.DUMMYFUNCTION("""COMPUTED_VALUE"""),"Database;")</f>
        <v>Database;</v>
      </c>
      <c r="M1533" s="20" t="b">
        <f>IFERROR(__xludf.DUMMYFUNCTION("""COMPUTED_VALUE"""),FALSE)</f>
        <v>0</v>
      </c>
      <c r="N1533" s="20" t="b">
        <f>IFERROR(__xludf.DUMMYFUNCTION("""COMPUTED_VALUE"""),FALSE)</f>
        <v>0</v>
      </c>
      <c r="O1533" s="20">
        <f>IFERROR(__xludf.DUMMYFUNCTION("""COMPUTED_VALUE"""),70.7769804029809)</f>
        <v>70.7769804</v>
      </c>
      <c r="P1533" s="20">
        <f>IFERROR(__xludf.DUMMYFUNCTION("""COMPUTED_VALUE"""),20514.0)</f>
        <v>20514</v>
      </c>
      <c r="Q1533" s="20">
        <f>IFERROR(__xludf.DUMMYFUNCTION("""COMPUTED_VALUE"""),28984.0)</f>
        <v>28984</v>
      </c>
    </row>
    <row r="1534">
      <c r="A1534" s="20">
        <f>IFERROR(__xludf.DUMMYFUNCTION("""COMPUTED_VALUE"""),1672.0)</f>
        <v>1672</v>
      </c>
      <c r="B1534" s="20" t="str">
        <f>IFERROR(__xludf.DUMMYFUNCTION("""COMPUTED_VALUE"""),"Find the Index of the Large Integer")</f>
        <v>Find the Index of the Large Integer</v>
      </c>
      <c r="C1534" s="20" t="str">
        <f>IFERROR(__xludf.DUMMYFUNCTION("""COMPUTED_VALUE"""),"find-the-index-of-the-large-integer")</f>
        <v>find-the-index-of-the-large-integer</v>
      </c>
      <c r="D1534" s="20" t="b">
        <f>IFERROR(__xludf.DUMMYFUNCTION("""COMPUTED_VALUE"""),TRUE)</f>
        <v>1</v>
      </c>
      <c r="E1534" s="20" t="str">
        <f>IFERROR(__xludf.DUMMYFUNCTION("""COMPUTED_VALUE"""),"Medium")</f>
        <v>Medium</v>
      </c>
      <c r="F1534" s="20">
        <f>IFERROR(__xludf.DUMMYFUNCTION("""COMPUTED_VALUE"""),112.0)</f>
        <v>112</v>
      </c>
      <c r="G1534" s="20">
        <f>IFERROR(__xludf.DUMMYFUNCTION("""COMPUTED_VALUE"""),16.0)</f>
        <v>16</v>
      </c>
      <c r="H1534" s="20" t="str">
        <f>IFERROR(__xludf.DUMMYFUNCTION("""COMPUTED_VALUE"""),"Algorithms")</f>
        <v>Algorithms</v>
      </c>
      <c r="I1534" s="20">
        <f>IFERROR(__xludf.DUMMYFUNCTION("""COMPUTED_VALUE"""),0.509)</f>
        <v>0.509</v>
      </c>
      <c r="J1534" s="20">
        <f>IFERROR(__xludf.DUMMYFUNCTION("""COMPUTED_VALUE"""),1533.0)</f>
        <v>1533</v>
      </c>
      <c r="K1534" s="20" t="b">
        <f>IFERROR(__xludf.DUMMYFUNCTION("""COMPUTED_VALUE"""),TRUE)</f>
        <v>1</v>
      </c>
      <c r="L1534" s="20" t="str">
        <f>IFERROR(__xludf.DUMMYFUNCTION("""COMPUTED_VALUE"""),"Array;Binary Search;Interactive;")</f>
        <v>Array;Binary Search;Interactive;</v>
      </c>
      <c r="M1534" s="20" t="b">
        <f>IFERROR(__xludf.DUMMYFUNCTION("""COMPUTED_VALUE"""),TRUE)</f>
        <v>1</v>
      </c>
      <c r="N1534" s="20" t="b">
        <f>IFERROR(__xludf.DUMMYFUNCTION("""COMPUTED_VALUE"""),FALSE)</f>
        <v>0</v>
      </c>
      <c r="O1534" s="20">
        <f>IFERROR(__xludf.DUMMYFUNCTION("""COMPUTED_VALUE"""),50.8612047753576)</f>
        <v>50.86120478</v>
      </c>
      <c r="P1534" s="20">
        <f>IFERROR(__xludf.DUMMYFUNCTION("""COMPUTED_VALUE"""),5581.0)</f>
        <v>5581</v>
      </c>
      <c r="Q1534" s="20">
        <f>IFERROR(__xludf.DUMMYFUNCTION("""COMPUTED_VALUE"""),10973.0)</f>
        <v>10973</v>
      </c>
    </row>
    <row r="1535">
      <c r="A1535" s="20">
        <f>IFERROR(__xludf.DUMMYFUNCTION("""COMPUTED_VALUE"""),1656.0)</f>
        <v>1656</v>
      </c>
      <c r="B1535" s="20" t="str">
        <f>IFERROR(__xludf.DUMMYFUNCTION("""COMPUTED_VALUE"""),"Count Good Triplets")</f>
        <v>Count Good Triplets</v>
      </c>
      <c r="C1535" s="20" t="str">
        <f>IFERROR(__xludf.DUMMYFUNCTION("""COMPUTED_VALUE"""),"count-good-triplets")</f>
        <v>count-good-triplets</v>
      </c>
      <c r="D1535" s="20" t="b">
        <f>IFERROR(__xludf.DUMMYFUNCTION("""COMPUTED_VALUE"""),FALSE)</f>
        <v>0</v>
      </c>
      <c r="E1535" s="20" t="str">
        <f>IFERROR(__xludf.DUMMYFUNCTION("""COMPUTED_VALUE"""),"Easy")</f>
        <v>Easy</v>
      </c>
      <c r="F1535" s="20">
        <f>IFERROR(__xludf.DUMMYFUNCTION("""COMPUTED_VALUE"""),551.0)</f>
        <v>551</v>
      </c>
      <c r="G1535" s="20">
        <f>IFERROR(__xludf.DUMMYFUNCTION("""COMPUTED_VALUE"""),1033.0)</f>
        <v>1033</v>
      </c>
      <c r="H1535" s="20" t="str">
        <f>IFERROR(__xludf.DUMMYFUNCTION("""COMPUTED_VALUE"""),"Algorithms")</f>
        <v>Algorithms</v>
      </c>
      <c r="I1535" s="20">
        <f>IFERROR(__xludf.DUMMYFUNCTION("""COMPUTED_VALUE"""),0.808)</f>
        <v>0.808</v>
      </c>
      <c r="J1535" s="20">
        <f>IFERROR(__xludf.DUMMYFUNCTION("""COMPUTED_VALUE"""),1534.0)</f>
        <v>1534</v>
      </c>
      <c r="K1535" s="20" t="b">
        <f>IFERROR(__xludf.DUMMYFUNCTION("""COMPUTED_VALUE"""),FALSE)</f>
        <v>0</v>
      </c>
      <c r="L1535" s="20" t="str">
        <f>IFERROR(__xludf.DUMMYFUNCTION("""COMPUTED_VALUE"""),"Array;Enumeration;")</f>
        <v>Array;Enumeration;</v>
      </c>
      <c r="M1535" s="20" t="b">
        <f>IFERROR(__xludf.DUMMYFUNCTION("""COMPUTED_VALUE"""),FALSE)</f>
        <v>0</v>
      </c>
      <c r="N1535" s="20" t="b">
        <f>IFERROR(__xludf.DUMMYFUNCTION("""COMPUTED_VALUE"""),FALSE)</f>
        <v>0</v>
      </c>
      <c r="O1535" s="20">
        <f>IFERROR(__xludf.DUMMYFUNCTION("""COMPUTED_VALUE"""),80.8193517592917)</f>
        <v>80.81935176</v>
      </c>
      <c r="P1535" s="20">
        <f>IFERROR(__xludf.DUMMYFUNCTION("""COMPUTED_VALUE"""),89740.0)</f>
        <v>89740</v>
      </c>
      <c r="Q1535" s="20">
        <f>IFERROR(__xludf.DUMMYFUNCTION("""COMPUTED_VALUE"""),111038.0)</f>
        <v>111038</v>
      </c>
    </row>
    <row r="1536">
      <c r="A1536" s="20">
        <f>IFERROR(__xludf.DUMMYFUNCTION("""COMPUTED_VALUE"""),1657.0)</f>
        <v>1657</v>
      </c>
      <c r="B1536" s="20" t="str">
        <f>IFERROR(__xludf.DUMMYFUNCTION("""COMPUTED_VALUE"""),"Find the Winner of an Array Game")</f>
        <v>Find the Winner of an Array Game</v>
      </c>
      <c r="C1536" s="20" t="str">
        <f>IFERROR(__xludf.DUMMYFUNCTION("""COMPUTED_VALUE"""),"find-the-winner-of-an-array-game")</f>
        <v>find-the-winner-of-an-array-game</v>
      </c>
      <c r="D1536" s="20" t="b">
        <f>IFERROR(__xludf.DUMMYFUNCTION("""COMPUTED_VALUE"""),FALSE)</f>
        <v>0</v>
      </c>
      <c r="E1536" s="20" t="str">
        <f>IFERROR(__xludf.DUMMYFUNCTION("""COMPUTED_VALUE"""),"Medium")</f>
        <v>Medium</v>
      </c>
      <c r="F1536" s="20">
        <f>IFERROR(__xludf.DUMMYFUNCTION("""COMPUTED_VALUE"""),527.0)</f>
        <v>527</v>
      </c>
      <c r="G1536" s="20">
        <f>IFERROR(__xludf.DUMMYFUNCTION("""COMPUTED_VALUE"""),26.0)</f>
        <v>26</v>
      </c>
      <c r="H1536" s="20" t="str">
        <f>IFERROR(__xludf.DUMMYFUNCTION("""COMPUTED_VALUE"""),"Algorithms")</f>
        <v>Algorithms</v>
      </c>
      <c r="I1536" s="20">
        <f>IFERROR(__xludf.DUMMYFUNCTION("""COMPUTED_VALUE"""),0.487)</f>
        <v>0.487</v>
      </c>
      <c r="J1536" s="20">
        <f>IFERROR(__xludf.DUMMYFUNCTION("""COMPUTED_VALUE"""),1535.0)</f>
        <v>1535</v>
      </c>
      <c r="K1536" s="20" t="b">
        <f>IFERROR(__xludf.DUMMYFUNCTION("""COMPUTED_VALUE"""),FALSE)</f>
        <v>0</v>
      </c>
      <c r="L1536" s="20" t="str">
        <f>IFERROR(__xludf.DUMMYFUNCTION("""COMPUTED_VALUE"""),"Array;Simulation;")</f>
        <v>Array;Simulation;</v>
      </c>
      <c r="M1536" s="20" t="b">
        <f>IFERROR(__xludf.DUMMYFUNCTION("""COMPUTED_VALUE"""),FALSE)</f>
        <v>0</v>
      </c>
      <c r="N1536" s="20" t="b">
        <f>IFERROR(__xludf.DUMMYFUNCTION("""COMPUTED_VALUE"""),FALSE)</f>
        <v>0</v>
      </c>
      <c r="O1536" s="20">
        <f>IFERROR(__xludf.DUMMYFUNCTION("""COMPUTED_VALUE"""),48.7344365080778)</f>
        <v>48.73443651</v>
      </c>
      <c r="P1536" s="20">
        <f>IFERROR(__xludf.DUMMYFUNCTION("""COMPUTED_VALUE"""),27360.0)</f>
        <v>27360</v>
      </c>
      <c r="Q1536" s="20">
        <f>IFERROR(__xludf.DUMMYFUNCTION("""COMPUTED_VALUE"""),56141.0)</f>
        <v>56141</v>
      </c>
    </row>
    <row r="1537">
      <c r="A1537" s="20">
        <f>IFERROR(__xludf.DUMMYFUNCTION("""COMPUTED_VALUE"""),1658.0)</f>
        <v>1658</v>
      </c>
      <c r="B1537" s="20" t="str">
        <f>IFERROR(__xludf.DUMMYFUNCTION("""COMPUTED_VALUE"""),"Minimum Swaps to Arrange a Binary Grid")</f>
        <v>Minimum Swaps to Arrange a Binary Grid</v>
      </c>
      <c r="C1537" s="20" t="str">
        <f>IFERROR(__xludf.DUMMYFUNCTION("""COMPUTED_VALUE"""),"minimum-swaps-to-arrange-a-binary-grid")</f>
        <v>minimum-swaps-to-arrange-a-binary-grid</v>
      </c>
      <c r="D1537" s="20" t="b">
        <f>IFERROR(__xludf.DUMMYFUNCTION("""COMPUTED_VALUE"""),FALSE)</f>
        <v>0</v>
      </c>
      <c r="E1537" s="20" t="str">
        <f>IFERROR(__xludf.DUMMYFUNCTION("""COMPUTED_VALUE"""),"Medium")</f>
        <v>Medium</v>
      </c>
      <c r="F1537" s="20">
        <f>IFERROR(__xludf.DUMMYFUNCTION("""COMPUTED_VALUE"""),498.0)</f>
        <v>498</v>
      </c>
      <c r="G1537" s="20">
        <f>IFERROR(__xludf.DUMMYFUNCTION("""COMPUTED_VALUE"""),64.0)</f>
        <v>64</v>
      </c>
      <c r="H1537" s="20" t="str">
        <f>IFERROR(__xludf.DUMMYFUNCTION("""COMPUTED_VALUE"""),"Algorithms")</f>
        <v>Algorithms</v>
      </c>
      <c r="I1537" s="20">
        <f>IFERROR(__xludf.DUMMYFUNCTION("""COMPUTED_VALUE"""),0.465)</f>
        <v>0.465</v>
      </c>
      <c r="J1537" s="20">
        <f>IFERROR(__xludf.DUMMYFUNCTION("""COMPUTED_VALUE"""),1536.0)</f>
        <v>1536</v>
      </c>
      <c r="K1537" s="20" t="b">
        <f>IFERROR(__xludf.DUMMYFUNCTION("""COMPUTED_VALUE"""),FALSE)</f>
        <v>0</v>
      </c>
      <c r="L1537" s="20" t="str">
        <f>IFERROR(__xludf.DUMMYFUNCTION("""COMPUTED_VALUE"""),"Array;Greedy;Matrix;")</f>
        <v>Array;Greedy;Matrix;</v>
      </c>
      <c r="M1537" s="20" t="b">
        <f>IFERROR(__xludf.DUMMYFUNCTION("""COMPUTED_VALUE"""),FALSE)</f>
        <v>0</v>
      </c>
      <c r="N1537" s="20" t="b">
        <f>IFERROR(__xludf.DUMMYFUNCTION("""COMPUTED_VALUE"""),FALSE)</f>
        <v>0</v>
      </c>
      <c r="O1537" s="20">
        <f>IFERROR(__xludf.DUMMYFUNCTION("""COMPUTED_VALUE"""),46.4811236623067)</f>
        <v>46.48112366</v>
      </c>
      <c r="P1537" s="20">
        <f>IFERROR(__xludf.DUMMYFUNCTION("""COMPUTED_VALUE"""),12509.0)</f>
        <v>12509</v>
      </c>
      <c r="Q1537" s="20">
        <f>IFERROR(__xludf.DUMMYFUNCTION("""COMPUTED_VALUE"""),26912.0)</f>
        <v>26912</v>
      </c>
    </row>
    <row r="1538">
      <c r="A1538" s="20">
        <f>IFERROR(__xludf.DUMMYFUNCTION("""COMPUTED_VALUE"""),1659.0)</f>
        <v>1659</v>
      </c>
      <c r="B1538" s="20" t="str">
        <f>IFERROR(__xludf.DUMMYFUNCTION("""COMPUTED_VALUE"""),"Get the Maximum Score")</f>
        <v>Get the Maximum Score</v>
      </c>
      <c r="C1538" s="20" t="str">
        <f>IFERROR(__xludf.DUMMYFUNCTION("""COMPUTED_VALUE"""),"get-the-maximum-score")</f>
        <v>get-the-maximum-score</v>
      </c>
      <c r="D1538" s="20" t="b">
        <f>IFERROR(__xludf.DUMMYFUNCTION("""COMPUTED_VALUE"""),FALSE)</f>
        <v>0</v>
      </c>
      <c r="E1538" s="20" t="str">
        <f>IFERROR(__xludf.DUMMYFUNCTION("""COMPUTED_VALUE"""),"Hard")</f>
        <v>Hard</v>
      </c>
      <c r="F1538" s="20">
        <f>IFERROR(__xludf.DUMMYFUNCTION("""COMPUTED_VALUE"""),760.0)</f>
        <v>760</v>
      </c>
      <c r="G1538" s="20">
        <f>IFERROR(__xludf.DUMMYFUNCTION("""COMPUTED_VALUE"""),39.0)</f>
        <v>39</v>
      </c>
      <c r="H1538" s="20" t="str">
        <f>IFERROR(__xludf.DUMMYFUNCTION("""COMPUTED_VALUE"""),"Algorithms")</f>
        <v>Algorithms</v>
      </c>
      <c r="I1538" s="20">
        <f>IFERROR(__xludf.DUMMYFUNCTION("""COMPUTED_VALUE"""),0.393)</f>
        <v>0.393</v>
      </c>
      <c r="J1538" s="20">
        <f>IFERROR(__xludf.DUMMYFUNCTION("""COMPUTED_VALUE"""),1537.0)</f>
        <v>1537</v>
      </c>
      <c r="K1538" s="20" t="b">
        <f>IFERROR(__xludf.DUMMYFUNCTION("""COMPUTED_VALUE"""),FALSE)</f>
        <v>0</v>
      </c>
      <c r="L1538" s="20" t="str">
        <f>IFERROR(__xludf.DUMMYFUNCTION("""COMPUTED_VALUE"""),"Array;Two Pointers;Dynamic Programming;Greedy;")</f>
        <v>Array;Two Pointers;Dynamic Programming;Greedy;</v>
      </c>
      <c r="M1538" s="20" t="b">
        <f>IFERROR(__xludf.DUMMYFUNCTION("""COMPUTED_VALUE"""),FALSE)</f>
        <v>0</v>
      </c>
      <c r="N1538" s="20" t="b">
        <f>IFERROR(__xludf.DUMMYFUNCTION("""COMPUTED_VALUE"""),FALSE)</f>
        <v>0</v>
      </c>
      <c r="O1538" s="20">
        <f>IFERROR(__xludf.DUMMYFUNCTION("""COMPUTED_VALUE"""),39.2844047320377)</f>
        <v>39.28440473</v>
      </c>
      <c r="P1538" s="20">
        <f>IFERROR(__xludf.DUMMYFUNCTION("""COMPUTED_VALUE"""),20356.0)</f>
        <v>20356</v>
      </c>
      <c r="Q1538" s="20">
        <f>IFERROR(__xludf.DUMMYFUNCTION("""COMPUTED_VALUE"""),51817.0)</f>
        <v>51817</v>
      </c>
    </row>
    <row r="1539">
      <c r="A1539" s="20">
        <f>IFERROR(__xludf.DUMMYFUNCTION("""COMPUTED_VALUE"""),1681.0)</f>
        <v>1681</v>
      </c>
      <c r="B1539" s="20" t="str">
        <f>IFERROR(__xludf.DUMMYFUNCTION("""COMPUTED_VALUE"""),"Guess the Majority in a Hidden Array")</f>
        <v>Guess the Majority in a Hidden Array</v>
      </c>
      <c r="C1539" s="20" t="str">
        <f>IFERROR(__xludf.DUMMYFUNCTION("""COMPUTED_VALUE"""),"guess-the-majority-in-a-hidden-array")</f>
        <v>guess-the-majority-in-a-hidden-array</v>
      </c>
      <c r="D1539" s="20" t="b">
        <f>IFERROR(__xludf.DUMMYFUNCTION("""COMPUTED_VALUE"""),TRUE)</f>
        <v>1</v>
      </c>
      <c r="E1539" s="20" t="str">
        <f>IFERROR(__xludf.DUMMYFUNCTION("""COMPUTED_VALUE"""),"Medium")</f>
        <v>Medium</v>
      </c>
      <c r="F1539" s="20">
        <f>IFERROR(__xludf.DUMMYFUNCTION("""COMPUTED_VALUE"""),72.0)</f>
        <v>72</v>
      </c>
      <c r="G1539" s="20">
        <f>IFERROR(__xludf.DUMMYFUNCTION("""COMPUTED_VALUE"""),41.0)</f>
        <v>41</v>
      </c>
      <c r="H1539" s="20" t="str">
        <f>IFERROR(__xludf.DUMMYFUNCTION("""COMPUTED_VALUE"""),"Algorithms")</f>
        <v>Algorithms</v>
      </c>
      <c r="I1539" s="20">
        <f>IFERROR(__xludf.DUMMYFUNCTION("""COMPUTED_VALUE"""),0.629)</f>
        <v>0.629</v>
      </c>
      <c r="J1539" s="20">
        <f>IFERROR(__xludf.DUMMYFUNCTION("""COMPUTED_VALUE"""),1538.0)</f>
        <v>1538</v>
      </c>
      <c r="K1539" s="20" t="b">
        <f>IFERROR(__xludf.DUMMYFUNCTION("""COMPUTED_VALUE"""),TRUE)</f>
        <v>1</v>
      </c>
      <c r="L1539" s="20" t="str">
        <f>IFERROR(__xludf.DUMMYFUNCTION("""COMPUTED_VALUE"""),"Array;Math;Interactive;")</f>
        <v>Array;Math;Interactive;</v>
      </c>
      <c r="M1539" s="20" t="b">
        <f>IFERROR(__xludf.DUMMYFUNCTION("""COMPUTED_VALUE"""),FALSE)</f>
        <v>0</v>
      </c>
      <c r="N1539" s="20" t="b">
        <f>IFERROR(__xludf.DUMMYFUNCTION("""COMPUTED_VALUE"""),FALSE)</f>
        <v>0</v>
      </c>
      <c r="O1539" s="20">
        <f>IFERROR(__xludf.DUMMYFUNCTION("""COMPUTED_VALUE"""),62.9161882893226)</f>
        <v>62.91618829</v>
      </c>
      <c r="P1539" s="20">
        <f>IFERROR(__xludf.DUMMYFUNCTION("""COMPUTED_VALUE"""),1644.0)</f>
        <v>1644</v>
      </c>
      <c r="Q1539" s="20">
        <f>IFERROR(__xludf.DUMMYFUNCTION("""COMPUTED_VALUE"""),2613.0)</f>
        <v>2613</v>
      </c>
    </row>
    <row r="1540">
      <c r="A1540" s="20">
        <f>IFERROR(__xludf.DUMMYFUNCTION("""COMPUTED_VALUE"""),1646.0)</f>
        <v>1646</v>
      </c>
      <c r="B1540" s="20" t="str">
        <f>IFERROR(__xludf.DUMMYFUNCTION("""COMPUTED_VALUE"""),"Kth Missing Positive Number")</f>
        <v>Kth Missing Positive Number</v>
      </c>
      <c r="C1540" s="20" t="str">
        <f>IFERROR(__xludf.DUMMYFUNCTION("""COMPUTED_VALUE"""),"kth-missing-positive-number")</f>
        <v>kth-missing-positive-number</v>
      </c>
      <c r="D1540" s="20" t="b">
        <f>IFERROR(__xludf.DUMMYFUNCTION("""COMPUTED_VALUE"""),FALSE)</f>
        <v>0</v>
      </c>
      <c r="E1540" s="20" t="str">
        <f>IFERROR(__xludf.DUMMYFUNCTION("""COMPUTED_VALUE"""),"Easy")</f>
        <v>Easy</v>
      </c>
      <c r="F1540" s="20">
        <f>IFERROR(__xludf.DUMMYFUNCTION("""COMPUTED_VALUE"""),3408.0)</f>
        <v>3408</v>
      </c>
      <c r="G1540" s="20">
        <f>IFERROR(__xludf.DUMMYFUNCTION("""COMPUTED_VALUE"""),247.0)</f>
        <v>247</v>
      </c>
      <c r="H1540" s="20" t="str">
        <f>IFERROR(__xludf.DUMMYFUNCTION("""COMPUTED_VALUE"""),"Algorithms")</f>
        <v>Algorithms</v>
      </c>
      <c r="I1540" s="20">
        <f>IFERROR(__xludf.DUMMYFUNCTION("""COMPUTED_VALUE"""),0.56)</f>
        <v>0.56</v>
      </c>
      <c r="J1540" s="20">
        <f>IFERROR(__xludf.DUMMYFUNCTION("""COMPUTED_VALUE"""),1539.0)</f>
        <v>1539</v>
      </c>
      <c r="K1540" s="20" t="b">
        <f>IFERROR(__xludf.DUMMYFUNCTION("""COMPUTED_VALUE"""),FALSE)</f>
        <v>0</v>
      </c>
      <c r="L1540" s="20" t="str">
        <f>IFERROR(__xludf.DUMMYFUNCTION("""COMPUTED_VALUE"""),"Array;Binary Search;")</f>
        <v>Array;Binary Search;</v>
      </c>
      <c r="M1540" s="20" t="b">
        <f>IFERROR(__xludf.DUMMYFUNCTION("""COMPUTED_VALUE"""),TRUE)</f>
        <v>1</v>
      </c>
      <c r="N1540" s="20" t="b">
        <f>IFERROR(__xludf.DUMMYFUNCTION("""COMPUTED_VALUE"""),FALSE)</f>
        <v>0</v>
      </c>
      <c r="O1540" s="20">
        <f>IFERROR(__xludf.DUMMYFUNCTION("""COMPUTED_VALUE"""),56.0097494362247)</f>
        <v>56.00974944</v>
      </c>
      <c r="P1540" s="20">
        <f>IFERROR(__xludf.DUMMYFUNCTION("""COMPUTED_VALUE"""),205896.0)</f>
        <v>205896</v>
      </c>
      <c r="Q1540" s="20">
        <f>IFERROR(__xludf.DUMMYFUNCTION("""COMPUTED_VALUE"""),367601.0)</f>
        <v>367601</v>
      </c>
    </row>
    <row r="1541">
      <c r="A1541" s="20">
        <f>IFERROR(__xludf.DUMMYFUNCTION("""COMPUTED_VALUE"""),1647.0)</f>
        <v>1647</v>
      </c>
      <c r="B1541" s="20" t="str">
        <f>IFERROR(__xludf.DUMMYFUNCTION("""COMPUTED_VALUE"""),"Can Convert String in K Moves")</f>
        <v>Can Convert String in K Moves</v>
      </c>
      <c r="C1541" s="20" t="str">
        <f>IFERROR(__xludf.DUMMYFUNCTION("""COMPUTED_VALUE"""),"can-convert-string-in-k-moves")</f>
        <v>can-convert-string-in-k-moves</v>
      </c>
      <c r="D1541" s="20" t="b">
        <f>IFERROR(__xludf.DUMMYFUNCTION("""COMPUTED_VALUE"""),FALSE)</f>
        <v>0</v>
      </c>
      <c r="E1541" s="20" t="str">
        <f>IFERROR(__xludf.DUMMYFUNCTION("""COMPUTED_VALUE"""),"Medium")</f>
        <v>Medium</v>
      </c>
      <c r="F1541" s="20">
        <f>IFERROR(__xludf.DUMMYFUNCTION("""COMPUTED_VALUE"""),303.0)</f>
        <v>303</v>
      </c>
      <c r="G1541" s="20">
        <f>IFERROR(__xludf.DUMMYFUNCTION("""COMPUTED_VALUE"""),253.0)</f>
        <v>253</v>
      </c>
      <c r="H1541" s="20" t="str">
        <f>IFERROR(__xludf.DUMMYFUNCTION("""COMPUTED_VALUE"""),"Algorithms")</f>
        <v>Algorithms</v>
      </c>
      <c r="I1541" s="20">
        <f>IFERROR(__xludf.DUMMYFUNCTION("""COMPUTED_VALUE"""),0.333)</f>
        <v>0.333</v>
      </c>
      <c r="J1541" s="20">
        <f>IFERROR(__xludf.DUMMYFUNCTION("""COMPUTED_VALUE"""),1540.0)</f>
        <v>1540</v>
      </c>
      <c r="K1541" s="20" t="b">
        <f>IFERROR(__xludf.DUMMYFUNCTION("""COMPUTED_VALUE"""),FALSE)</f>
        <v>0</v>
      </c>
      <c r="L1541" s="20" t="str">
        <f>IFERROR(__xludf.DUMMYFUNCTION("""COMPUTED_VALUE"""),"Hash Table;String;")</f>
        <v>Hash Table;String;</v>
      </c>
      <c r="M1541" s="20" t="b">
        <f>IFERROR(__xludf.DUMMYFUNCTION("""COMPUTED_VALUE"""),FALSE)</f>
        <v>0</v>
      </c>
      <c r="N1541" s="20" t="b">
        <f>IFERROR(__xludf.DUMMYFUNCTION("""COMPUTED_VALUE"""),FALSE)</f>
        <v>0</v>
      </c>
      <c r="O1541" s="20">
        <f>IFERROR(__xludf.DUMMYFUNCTION("""COMPUTED_VALUE"""),33.2618500176866)</f>
        <v>33.26185002</v>
      </c>
      <c r="P1541" s="20">
        <f>IFERROR(__xludf.DUMMYFUNCTION("""COMPUTED_VALUE"""),15045.0)</f>
        <v>15045</v>
      </c>
      <c r="Q1541" s="20">
        <f>IFERROR(__xludf.DUMMYFUNCTION("""COMPUTED_VALUE"""),45232.0)</f>
        <v>45232</v>
      </c>
    </row>
    <row r="1542">
      <c r="A1542" s="20">
        <f>IFERROR(__xludf.DUMMYFUNCTION("""COMPUTED_VALUE"""),1648.0)</f>
        <v>1648</v>
      </c>
      <c r="B1542" s="20" t="str">
        <f>IFERROR(__xludf.DUMMYFUNCTION("""COMPUTED_VALUE"""),"Minimum Insertions to Balance a Parentheses String")</f>
        <v>Minimum Insertions to Balance a Parentheses String</v>
      </c>
      <c r="C1542" s="20" t="str">
        <f>IFERROR(__xludf.DUMMYFUNCTION("""COMPUTED_VALUE"""),"minimum-insertions-to-balance-a-parentheses-string")</f>
        <v>minimum-insertions-to-balance-a-parentheses-string</v>
      </c>
      <c r="D1542" s="20" t="b">
        <f>IFERROR(__xludf.DUMMYFUNCTION("""COMPUTED_VALUE"""),FALSE)</f>
        <v>0</v>
      </c>
      <c r="E1542" s="20" t="str">
        <f>IFERROR(__xludf.DUMMYFUNCTION("""COMPUTED_VALUE"""),"Medium")</f>
        <v>Medium</v>
      </c>
      <c r="F1542" s="20">
        <f>IFERROR(__xludf.DUMMYFUNCTION("""COMPUTED_VALUE"""),802.0)</f>
        <v>802</v>
      </c>
      <c r="G1542" s="20">
        <f>IFERROR(__xludf.DUMMYFUNCTION("""COMPUTED_VALUE"""),178.0)</f>
        <v>178</v>
      </c>
      <c r="H1542" s="20" t="str">
        <f>IFERROR(__xludf.DUMMYFUNCTION("""COMPUTED_VALUE"""),"Algorithms")</f>
        <v>Algorithms</v>
      </c>
      <c r="I1542" s="20">
        <f>IFERROR(__xludf.DUMMYFUNCTION("""COMPUTED_VALUE"""),0.499)</f>
        <v>0.499</v>
      </c>
      <c r="J1542" s="20">
        <f>IFERROR(__xludf.DUMMYFUNCTION("""COMPUTED_VALUE"""),1541.0)</f>
        <v>1541</v>
      </c>
      <c r="K1542" s="20" t="b">
        <f>IFERROR(__xludf.DUMMYFUNCTION("""COMPUTED_VALUE"""),FALSE)</f>
        <v>0</v>
      </c>
      <c r="L1542" s="20" t="str">
        <f>IFERROR(__xludf.DUMMYFUNCTION("""COMPUTED_VALUE"""),"String;Stack;Greedy;")</f>
        <v>String;Stack;Greedy;</v>
      </c>
      <c r="M1542" s="20" t="b">
        <f>IFERROR(__xludf.DUMMYFUNCTION("""COMPUTED_VALUE"""),FALSE)</f>
        <v>0</v>
      </c>
      <c r="N1542" s="20" t="b">
        <f>IFERROR(__xludf.DUMMYFUNCTION("""COMPUTED_VALUE"""),FALSE)</f>
        <v>0</v>
      </c>
      <c r="O1542" s="20">
        <f>IFERROR(__xludf.DUMMYFUNCTION("""COMPUTED_VALUE"""),49.8608800021822)</f>
        <v>49.86088</v>
      </c>
      <c r="P1542" s="20">
        <f>IFERROR(__xludf.DUMMYFUNCTION("""COMPUTED_VALUE"""),36557.0)</f>
        <v>36557</v>
      </c>
      <c r="Q1542" s="20">
        <f>IFERROR(__xludf.DUMMYFUNCTION("""COMPUTED_VALUE"""),73318.0)</f>
        <v>73318</v>
      </c>
    </row>
    <row r="1543">
      <c r="A1543" s="20">
        <f>IFERROR(__xludf.DUMMYFUNCTION("""COMPUTED_VALUE"""),1668.0)</f>
        <v>1668</v>
      </c>
      <c r="B1543" s="20" t="str">
        <f>IFERROR(__xludf.DUMMYFUNCTION("""COMPUTED_VALUE"""),"Find Longest Awesome Substring")</f>
        <v>Find Longest Awesome Substring</v>
      </c>
      <c r="C1543" s="20" t="str">
        <f>IFERROR(__xludf.DUMMYFUNCTION("""COMPUTED_VALUE"""),"find-longest-awesome-substring")</f>
        <v>find-longest-awesome-substring</v>
      </c>
      <c r="D1543" s="20" t="b">
        <f>IFERROR(__xludf.DUMMYFUNCTION("""COMPUTED_VALUE"""),FALSE)</f>
        <v>0</v>
      </c>
      <c r="E1543" s="20" t="str">
        <f>IFERROR(__xludf.DUMMYFUNCTION("""COMPUTED_VALUE"""),"Hard")</f>
        <v>Hard</v>
      </c>
      <c r="F1543" s="20">
        <f>IFERROR(__xludf.DUMMYFUNCTION("""COMPUTED_VALUE"""),640.0)</f>
        <v>640</v>
      </c>
      <c r="G1543" s="20">
        <f>IFERROR(__xludf.DUMMYFUNCTION("""COMPUTED_VALUE"""),11.0)</f>
        <v>11</v>
      </c>
      <c r="H1543" s="20" t="str">
        <f>IFERROR(__xludf.DUMMYFUNCTION("""COMPUTED_VALUE"""),"Algorithms")</f>
        <v>Algorithms</v>
      </c>
      <c r="I1543" s="20">
        <f>IFERROR(__xludf.DUMMYFUNCTION("""COMPUTED_VALUE"""),0.418)</f>
        <v>0.418</v>
      </c>
      <c r="J1543" s="20">
        <f>IFERROR(__xludf.DUMMYFUNCTION("""COMPUTED_VALUE"""),1542.0)</f>
        <v>1542</v>
      </c>
      <c r="K1543" s="20" t="b">
        <f>IFERROR(__xludf.DUMMYFUNCTION("""COMPUTED_VALUE"""),FALSE)</f>
        <v>0</v>
      </c>
      <c r="L1543" s="20" t="str">
        <f>IFERROR(__xludf.DUMMYFUNCTION("""COMPUTED_VALUE"""),"Hash Table;String;Bit Manipulation;")</f>
        <v>Hash Table;String;Bit Manipulation;</v>
      </c>
      <c r="M1543" s="20" t="b">
        <f>IFERROR(__xludf.DUMMYFUNCTION("""COMPUTED_VALUE"""),FALSE)</f>
        <v>0</v>
      </c>
      <c r="N1543" s="20" t="b">
        <f>IFERROR(__xludf.DUMMYFUNCTION("""COMPUTED_VALUE"""),FALSE)</f>
        <v>0</v>
      </c>
      <c r="O1543" s="20">
        <f>IFERROR(__xludf.DUMMYFUNCTION("""COMPUTED_VALUE"""),41.7608102843786)</f>
        <v>41.76081028</v>
      </c>
      <c r="P1543" s="20">
        <f>IFERROR(__xludf.DUMMYFUNCTION("""COMPUTED_VALUE"""),10720.0)</f>
        <v>10720</v>
      </c>
      <c r="Q1543" s="20">
        <f>IFERROR(__xludf.DUMMYFUNCTION("""COMPUTED_VALUE"""),25670.0)</f>
        <v>25670</v>
      </c>
    </row>
    <row r="1544">
      <c r="A1544" s="20">
        <f>IFERROR(__xludf.DUMMYFUNCTION("""COMPUTED_VALUE"""),1686.0)</f>
        <v>1686</v>
      </c>
      <c r="B1544" s="20" t="str">
        <f>IFERROR(__xludf.DUMMYFUNCTION("""COMPUTED_VALUE"""),"Fix Product Name Format")</f>
        <v>Fix Product Name Format</v>
      </c>
      <c r="C1544" s="20" t="str">
        <f>IFERROR(__xludf.DUMMYFUNCTION("""COMPUTED_VALUE"""),"fix-product-name-format")</f>
        <v>fix-product-name-format</v>
      </c>
      <c r="D1544" s="20" t="b">
        <f>IFERROR(__xludf.DUMMYFUNCTION("""COMPUTED_VALUE"""),TRUE)</f>
        <v>1</v>
      </c>
      <c r="E1544" s="20" t="str">
        <f>IFERROR(__xludf.DUMMYFUNCTION("""COMPUTED_VALUE"""),"Easy")</f>
        <v>Easy</v>
      </c>
      <c r="F1544" s="20">
        <f>IFERROR(__xludf.DUMMYFUNCTION("""COMPUTED_VALUE"""),71.0)</f>
        <v>71</v>
      </c>
      <c r="G1544" s="20">
        <f>IFERROR(__xludf.DUMMYFUNCTION("""COMPUTED_VALUE"""),41.0)</f>
        <v>41</v>
      </c>
      <c r="H1544" s="20" t="str">
        <f>IFERROR(__xludf.DUMMYFUNCTION("""COMPUTED_VALUE"""),"Database")</f>
        <v>Database</v>
      </c>
      <c r="I1544" s="20">
        <f>IFERROR(__xludf.DUMMYFUNCTION("""COMPUTED_VALUE"""),0.619)</f>
        <v>0.619</v>
      </c>
      <c r="J1544" s="20">
        <f>IFERROR(__xludf.DUMMYFUNCTION("""COMPUTED_VALUE"""),1543.0)</f>
        <v>1543</v>
      </c>
      <c r="K1544" s="20" t="b">
        <f>IFERROR(__xludf.DUMMYFUNCTION("""COMPUTED_VALUE"""),TRUE)</f>
        <v>1</v>
      </c>
      <c r="L1544" s="20" t="str">
        <f>IFERROR(__xludf.DUMMYFUNCTION("""COMPUTED_VALUE"""),"Database;")</f>
        <v>Database;</v>
      </c>
      <c r="M1544" s="20" t="b">
        <f>IFERROR(__xludf.DUMMYFUNCTION("""COMPUTED_VALUE"""),FALSE)</f>
        <v>0</v>
      </c>
      <c r="N1544" s="20" t="b">
        <f>IFERROR(__xludf.DUMMYFUNCTION("""COMPUTED_VALUE"""),FALSE)</f>
        <v>0</v>
      </c>
      <c r="O1544" s="20">
        <f>IFERROR(__xludf.DUMMYFUNCTION("""COMPUTED_VALUE"""),61.8789555462917)</f>
        <v>61.87895555</v>
      </c>
      <c r="P1544" s="20">
        <f>IFERROR(__xludf.DUMMYFUNCTION("""COMPUTED_VALUE"""),16328.0)</f>
        <v>16328</v>
      </c>
      <c r="Q1544" s="20">
        <f>IFERROR(__xludf.DUMMYFUNCTION("""COMPUTED_VALUE"""),26387.0)</f>
        <v>26387</v>
      </c>
    </row>
    <row r="1545">
      <c r="A1545" s="20">
        <f>IFERROR(__xludf.DUMMYFUNCTION("""COMPUTED_VALUE"""),1666.0)</f>
        <v>1666</v>
      </c>
      <c r="B1545" s="20" t="str">
        <f>IFERROR(__xludf.DUMMYFUNCTION("""COMPUTED_VALUE"""),"Make The String Great")</f>
        <v>Make The String Great</v>
      </c>
      <c r="C1545" s="20" t="str">
        <f>IFERROR(__xludf.DUMMYFUNCTION("""COMPUTED_VALUE"""),"make-the-string-great")</f>
        <v>make-the-string-great</v>
      </c>
      <c r="D1545" s="20" t="b">
        <f>IFERROR(__xludf.DUMMYFUNCTION("""COMPUTED_VALUE"""),FALSE)</f>
        <v>0</v>
      </c>
      <c r="E1545" s="20" t="str">
        <f>IFERROR(__xludf.DUMMYFUNCTION("""COMPUTED_VALUE"""),"Easy")</f>
        <v>Easy</v>
      </c>
      <c r="F1545" s="20">
        <f>IFERROR(__xludf.DUMMYFUNCTION("""COMPUTED_VALUE"""),2094.0)</f>
        <v>2094</v>
      </c>
      <c r="G1545" s="20">
        <f>IFERROR(__xludf.DUMMYFUNCTION("""COMPUTED_VALUE"""),93.0)</f>
        <v>93</v>
      </c>
      <c r="H1545" s="20" t="str">
        <f>IFERROR(__xludf.DUMMYFUNCTION("""COMPUTED_VALUE"""),"Algorithms")</f>
        <v>Algorithms</v>
      </c>
      <c r="I1545" s="20">
        <f>IFERROR(__xludf.DUMMYFUNCTION("""COMPUTED_VALUE"""),0.633)</f>
        <v>0.633</v>
      </c>
      <c r="J1545" s="20">
        <f>IFERROR(__xludf.DUMMYFUNCTION("""COMPUTED_VALUE"""),1544.0)</f>
        <v>1544</v>
      </c>
      <c r="K1545" s="20" t="b">
        <f>IFERROR(__xludf.DUMMYFUNCTION("""COMPUTED_VALUE"""),FALSE)</f>
        <v>0</v>
      </c>
      <c r="L1545" s="20" t="str">
        <f>IFERROR(__xludf.DUMMYFUNCTION("""COMPUTED_VALUE"""),"String;Stack;")</f>
        <v>String;Stack;</v>
      </c>
      <c r="M1545" s="20" t="b">
        <f>IFERROR(__xludf.DUMMYFUNCTION("""COMPUTED_VALUE"""),TRUE)</f>
        <v>1</v>
      </c>
      <c r="N1545" s="20" t="b">
        <f>IFERROR(__xludf.DUMMYFUNCTION("""COMPUTED_VALUE"""),FALSE)</f>
        <v>0</v>
      </c>
      <c r="O1545" s="20">
        <f>IFERROR(__xludf.DUMMYFUNCTION("""COMPUTED_VALUE"""),63.30830983286)</f>
        <v>63.30830983</v>
      </c>
      <c r="P1545" s="20">
        <f>IFERROR(__xludf.DUMMYFUNCTION("""COMPUTED_VALUE"""),128859.0)</f>
        <v>128859</v>
      </c>
      <c r="Q1545" s="20">
        <f>IFERROR(__xludf.DUMMYFUNCTION("""COMPUTED_VALUE"""),203542.0)</f>
        <v>203542</v>
      </c>
    </row>
    <row r="1546">
      <c r="A1546" s="20">
        <f>IFERROR(__xludf.DUMMYFUNCTION("""COMPUTED_VALUE"""),1667.0)</f>
        <v>1667</v>
      </c>
      <c r="B1546" s="20" t="str">
        <f>IFERROR(__xludf.DUMMYFUNCTION("""COMPUTED_VALUE"""),"Find Kth Bit in Nth Binary String")</f>
        <v>Find Kth Bit in Nth Binary String</v>
      </c>
      <c r="C1546" s="20" t="str">
        <f>IFERROR(__xludf.DUMMYFUNCTION("""COMPUTED_VALUE"""),"find-kth-bit-in-nth-binary-string")</f>
        <v>find-kth-bit-in-nth-binary-string</v>
      </c>
      <c r="D1546" s="20" t="b">
        <f>IFERROR(__xludf.DUMMYFUNCTION("""COMPUTED_VALUE"""),FALSE)</f>
        <v>0</v>
      </c>
      <c r="E1546" s="20" t="str">
        <f>IFERROR(__xludf.DUMMYFUNCTION("""COMPUTED_VALUE"""),"Medium")</f>
        <v>Medium</v>
      </c>
      <c r="F1546" s="20">
        <f>IFERROR(__xludf.DUMMYFUNCTION("""COMPUTED_VALUE"""),676.0)</f>
        <v>676</v>
      </c>
      <c r="G1546" s="20">
        <f>IFERROR(__xludf.DUMMYFUNCTION("""COMPUTED_VALUE"""),46.0)</f>
        <v>46</v>
      </c>
      <c r="H1546" s="20" t="str">
        <f>IFERROR(__xludf.DUMMYFUNCTION("""COMPUTED_VALUE"""),"Algorithms")</f>
        <v>Algorithms</v>
      </c>
      <c r="I1546" s="20">
        <f>IFERROR(__xludf.DUMMYFUNCTION("""COMPUTED_VALUE"""),0.583)</f>
        <v>0.583</v>
      </c>
      <c r="J1546" s="20">
        <f>IFERROR(__xludf.DUMMYFUNCTION("""COMPUTED_VALUE"""),1545.0)</f>
        <v>1545</v>
      </c>
      <c r="K1546" s="20" t="b">
        <f>IFERROR(__xludf.DUMMYFUNCTION("""COMPUTED_VALUE"""),FALSE)</f>
        <v>0</v>
      </c>
      <c r="L1546" s="20" t="str">
        <f>IFERROR(__xludf.DUMMYFUNCTION("""COMPUTED_VALUE"""),"String;Recursion;")</f>
        <v>String;Recursion;</v>
      </c>
      <c r="M1546" s="20" t="b">
        <f>IFERROR(__xludf.DUMMYFUNCTION("""COMPUTED_VALUE"""),FALSE)</f>
        <v>0</v>
      </c>
      <c r="N1546" s="20" t="b">
        <f>IFERROR(__xludf.DUMMYFUNCTION("""COMPUTED_VALUE"""),FALSE)</f>
        <v>0</v>
      </c>
      <c r="O1546" s="20">
        <f>IFERROR(__xludf.DUMMYFUNCTION("""COMPUTED_VALUE"""),58.2639805620922)</f>
        <v>58.26398056</v>
      </c>
      <c r="P1546" s="20">
        <f>IFERROR(__xludf.DUMMYFUNCTION("""COMPUTED_VALUE"""),30454.0)</f>
        <v>30454</v>
      </c>
      <c r="Q1546" s="20">
        <f>IFERROR(__xludf.DUMMYFUNCTION("""COMPUTED_VALUE"""),52269.0)</f>
        <v>52269</v>
      </c>
    </row>
    <row r="1547">
      <c r="A1547" s="20">
        <f>IFERROR(__xludf.DUMMYFUNCTION("""COMPUTED_VALUE"""),1649.0)</f>
        <v>1649</v>
      </c>
      <c r="B1547" s="20" t="str">
        <f>IFERROR(__xludf.DUMMYFUNCTION("""COMPUTED_VALUE"""),"Maximum Number of Non-Overlapping Subarrays With Sum Equals Target")</f>
        <v>Maximum Number of Non-Overlapping Subarrays With Sum Equals Target</v>
      </c>
      <c r="C1547" s="20" t="str">
        <f>IFERROR(__xludf.DUMMYFUNCTION("""COMPUTED_VALUE"""),"maximum-number-of-non-overlapping-subarrays-with-sum-equals-target")</f>
        <v>maximum-number-of-non-overlapping-subarrays-with-sum-equals-target</v>
      </c>
      <c r="D1547" s="20" t="b">
        <f>IFERROR(__xludf.DUMMYFUNCTION("""COMPUTED_VALUE"""),FALSE)</f>
        <v>0</v>
      </c>
      <c r="E1547" s="20" t="str">
        <f>IFERROR(__xludf.DUMMYFUNCTION("""COMPUTED_VALUE"""),"Medium")</f>
        <v>Medium</v>
      </c>
      <c r="F1547" s="20">
        <f>IFERROR(__xludf.DUMMYFUNCTION("""COMPUTED_VALUE"""),887.0)</f>
        <v>887</v>
      </c>
      <c r="G1547" s="20">
        <f>IFERROR(__xludf.DUMMYFUNCTION("""COMPUTED_VALUE"""),23.0)</f>
        <v>23</v>
      </c>
      <c r="H1547" s="20" t="str">
        <f>IFERROR(__xludf.DUMMYFUNCTION("""COMPUTED_VALUE"""),"Algorithms")</f>
        <v>Algorithms</v>
      </c>
      <c r="I1547" s="20">
        <f>IFERROR(__xludf.DUMMYFUNCTION("""COMPUTED_VALUE"""),0.473)</f>
        <v>0.473</v>
      </c>
      <c r="J1547" s="20">
        <f>IFERROR(__xludf.DUMMYFUNCTION("""COMPUTED_VALUE"""),1546.0)</f>
        <v>1546</v>
      </c>
      <c r="K1547" s="20" t="b">
        <f>IFERROR(__xludf.DUMMYFUNCTION("""COMPUTED_VALUE"""),FALSE)</f>
        <v>0</v>
      </c>
      <c r="L1547" s="20" t="str">
        <f>IFERROR(__xludf.DUMMYFUNCTION("""COMPUTED_VALUE"""),"Array;Hash Table;Greedy;Prefix Sum;")</f>
        <v>Array;Hash Table;Greedy;Prefix Sum;</v>
      </c>
      <c r="M1547" s="20" t="b">
        <f>IFERROR(__xludf.DUMMYFUNCTION("""COMPUTED_VALUE"""),FALSE)</f>
        <v>0</v>
      </c>
      <c r="N1547" s="20" t="b">
        <f>IFERROR(__xludf.DUMMYFUNCTION("""COMPUTED_VALUE"""),FALSE)</f>
        <v>0</v>
      </c>
      <c r="O1547" s="20">
        <f>IFERROR(__xludf.DUMMYFUNCTION("""COMPUTED_VALUE"""),47.2833417211877)</f>
        <v>47.28334172</v>
      </c>
      <c r="P1547" s="20">
        <f>IFERROR(__xludf.DUMMYFUNCTION("""COMPUTED_VALUE"""),23488.0)</f>
        <v>23488</v>
      </c>
      <c r="Q1547" s="20">
        <f>IFERROR(__xludf.DUMMYFUNCTION("""COMPUTED_VALUE"""),49675.0)</f>
        <v>49675</v>
      </c>
    </row>
    <row r="1548">
      <c r="A1548" s="20">
        <f>IFERROR(__xludf.DUMMYFUNCTION("""COMPUTED_VALUE"""),1669.0)</f>
        <v>1669</v>
      </c>
      <c r="B1548" s="20" t="str">
        <f>IFERROR(__xludf.DUMMYFUNCTION("""COMPUTED_VALUE"""),"Minimum Cost to Cut a Stick")</f>
        <v>Minimum Cost to Cut a Stick</v>
      </c>
      <c r="C1548" s="20" t="str">
        <f>IFERROR(__xludf.DUMMYFUNCTION("""COMPUTED_VALUE"""),"minimum-cost-to-cut-a-stick")</f>
        <v>minimum-cost-to-cut-a-stick</v>
      </c>
      <c r="D1548" s="20" t="b">
        <f>IFERROR(__xludf.DUMMYFUNCTION("""COMPUTED_VALUE"""),FALSE)</f>
        <v>0</v>
      </c>
      <c r="E1548" s="20" t="str">
        <f>IFERROR(__xludf.DUMMYFUNCTION("""COMPUTED_VALUE"""),"Hard")</f>
        <v>Hard</v>
      </c>
      <c r="F1548" s="20">
        <f>IFERROR(__xludf.DUMMYFUNCTION("""COMPUTED_VALUE"""),2285.0)</f>
        <v>2285</v>
      </c>
      <c r="G1548" s="20">
        <f>IFERROR(__xludf.DUMMYFUNCTION("""COMPUTED_VALUE"""),42.0)</f>
        <v>42</v>
      </c>
      <c r="H1548" s="20" t="str">
        <f>IFERROR(__xludf.DUMMYFUNCTION("""COMPUTED_VALUE"""),"Algorithms")</f>
        <v>Algorithms</v>
      </c>
      <c r="I1548" s="20">
        <f>IFERROR(__xludf.DUMMYFUNCTION("""COMPUTED_VALUE"""),0.57)</f>
        <v>0.57</v>
      </c>
      <c r="J1548" s="20">
        <f>IFERROR(__xludf.DUMMYFUNCTION("""COMPUTED_VALUE"""),1547.0)</f>
        <v>1547</v>
      </c>
      <c r="K1548" s="20" t="b">
        <f>IFERROR(__xludf.DUMMYFUNCTION("""COMPUTED_VALUE"""),FALSE)</f>
        <v>0</v>
      </c>
      <c r="L1548" s="20" t="str">
        <f>IFERROR(__xludf.DUMMYFUNCTION("""COMPUTED_VALUE"""),"Array;Dynamic Programming;")</f>
        <v>Array;Dynamic Programming;</v>
      </c>
      <c r="M1548" s="20" t="b">
        <f>IFERROR(__xludf.DUMMYFUNCTION("""COMPUTED_VALUE"""),FALSE)</f>
        <v>0</v>
      </c>
      <c r="N1548" s="20" t="b">
        <f>IFERROR(__xludf.DUMMYFUNCTION("""COMPUTED_VALUE"""),FALSE)</f>
        <v>0</v>
      </c>
      <c r="O1548" s="20">
        <f>IFERROR(__xludf.DUMMYFUNCTION("""COMPUTED_VALUE"""),57.0171305022729)</f>
        <v>57.0171305</v>
      </c>
      <c r="P1548" s="20">
        <f>IFERROR(__xludf.DUMMYFUNCTION("""COMPUTED_VALUE"""),41138.0)</f>
        <v>41138</v>
      </c>
      <c r="Q1548" s="20">
        <f>IFERROR(__xludf.DUMMYFUNCTION("""COMPUTED_VALUE"""),72151.0)</f>
        <v>72151</v>
      </c>
    </row>
    <row r="1549">
      <c r="A1549" s="20">
        <f>IFERROR(__xludf.DUMMYFUNCTION("""COMPUTED_VALUE"""),1687.0)</f>
        <v>1687</v>
      </c>
      <c r="B1549" s="20" t="str">
        <f>IFERROR(__xludf.DUMMYFUNCTION("""COMPUTED_VALUE"""),"The Most Similar Path in a Graph")</f>
        <v>The Most Similar Path in a Graph</v>
      </c>
      <c r="C1549" s="20" t="str">
        <f>IFERROR(__xludf.DUMMYFUNCTION("""COMPUTED_VALUE"""),"the-most-similar-path-in-a-graph")</f>
        <v>the-most-similar-path-in-a-graph</v>
      </c>
      <c r="D1549" s="20" t="b">
        <f>IFERROR(__xludf.DUMMYFUNCTION("""COMPUTED_VALUE"""),TRUE)</f>
        <v>1</v>
      </c>
      <c r="E1549" s="20" t="str">
        <f>IFERROR(__xludf.DUMMYFUNCTION("""COMPUTED_VALUE"""),"Hard")</f>
        <v>Hard</v>
      </c>
      <c r="F1549" s="20">
        <f>IFERROR(__xludf.DUMMYFUNCTION("""COMPUTED_VALUE"""),311.0)</f>
        <v>311</v>
      </c>
      <c r="G1549" s="20">
        <f>IFERROR(__xludf.DUMMYFUNCTION("""COMPUTED_VALUE"""),151.0)</f>
        <v>151</v>
      </c>
      <c r="H1549" s="20" t="str">
        <f>IFERROR(__xludf.DUMMYFUNCTION("""COMPUTED_VALUE"""),"Algorithms")</f>
        <v>Algorithms</v>
      </c>
      <c r="I1549" s="20">
        <f>IFERROR(__xludf.DUMMYFUNCTION("""COMPUTED_VALUE"""),0.569)</f>
        <v>0.569</v>
      </c>
      <c r="J1549" s="20">
        <f>IFERROR(__xludf.DUMMYFUNCTION("""COMPUTED_VALUE"""),1548.0)</f>
        <v>1548</v>
      </c>
      <c r="K1549" s="20" t="b">
        <f>IFERROR(__xludf.DUMMYFUNCTION("""COMPUTED_VALUE"""),TRUE)</f>
        <v>1</v>
      </c>
      <c r="L1549" s="20" t="str">
        <f>IFERROR(__xludf.DUMMYFUNCTION("""COMPUTED_VALUE"""),"Dynamic Programming;Graph;")</f>
        <v>Dynamic Programming;Graph;</v>
      </c>
      <c r="M1549" s="20" t="b">
        <f>IFERROR(__xludf.DUMMYFUNCTION("""COMPUTED_VALUE"""),FALSE)</f>
        <v>0</v>
      </c>
      <c r="N1549" s="20" t="b">
        <f>IFERROR(__xludf.DUMMYFUNCTION("""COMPUTED_VALUE"""),FALSE)</f>
        <v>0</v>
      </c>
      <c r="O1549" s="20">
        <f>IFERROR(__xludf.DUMMYFUNCTION("""COMPUTED_VALUE"""),56.8632866443085)</f>
        <v>56.86328664</v>
      </c>
      <c r="P1549" s="20">
        <f>IFERROR(__xludf.DUMMYFUNCTION("""COMPUTED_VALUE"""),14412.0)</f>
        <v>14412</v>
      </c>
      <c r="Q1549" s="20">
        <f>IFERROR(__xludf.DUMMYFUNCTION("""COMPUTED_VALUE"""),25345.0)</f>
        <v>25345</v>
      </c>
    </row>
    <row r="1550">
      <c r="A1550" s="20">
        <f>IFERROR(__xludf.DUMMYFUNCTION("""COMPUTED_VALUE"""),1688.0)</f>
        <v>1688</v>
      </c>
      <c r="B1550" s="20" t="str">
        <f>IFERROR(__xludf.DUMMYFUNCTION("""COMPUTED_VALUE"""),"The Most Recent Orders for Each Product")</f>
        <v>The Most Recent Orders for Each Product</v>
      </c>
      <c r="C1550" s="20" t="str">
        <f>IFERROR(__xludf.DUMMYFUNCTION("""COMPUTED_VALUE"""),"the-most-recent-orders-for-each-product")</f>
        <v>the-most-recent-orders-for-each-product</v>
      </c>
      <c r="D1550" s="20" t="b">
        <f>IFERROR(__xludf.DUMMYFUNCTION("""COMPUTED_VALUE"""),TRUE)</f>
        <v>1</v>
      </c>
      <c r="E1550" s="20" t="str">
        <f>IFERROR(__xludf.DUMMYFUNCTION("""COMPUTED_VALUE"""),"Medium")</f>
        <v>Medium</v>
      </c>
      <c r="F1550" s="20">
        <f>IFERROR(__xludf.DUMMYFUNCTION("""COMPUTED_VALUE"""),98.0)</f>
        <v>98</v>
      </c>
      <c r="G1550" s="20">
        <f>IFERROR(__xludf.DUMMYFUNCTION("""COMPUTED_VALUE"""),10.0)</f>
        <v>10</v>
      </c>
      <c r="H1550" s="20" t="str">
        <f>IFERROR(__xludf.DUMMYFUNCTION("""COMPUTED_VALUE"""),"Database")</f>
        <v>Database</v>
      </c>
      <c r="I1550" s="20">
        <f>IFERROR(__xludf.DUMMYFUNCTION("""COMPUTED_VALUE"""),0.678)</f>
        <v>0.678</v>
      </c>
      <c r="J1550" s="20">
        <f>IFERROR(__xludf.DUMMYFUNCTION("""COMPUTED_VALUE"""),1549.0)</f>
        <v>1549</v>
      </c>
      <c r="K1550" s="20" t="b">
        <f>IFERROR(__xludf.DUMMYFUNCTION("""COMPUTED_VALUE"""),TRUE)</f>
        <v>1</v>
      </c>
      <c r="L1550" s="20" t="str">
        <f>IFERROR(__xludf.DUMMYFUNCTION("""COMPUTED_VALUE"""),"Database;")</f>
        <v>Database;</v>
      </c>
      <c r="M1550" s="20" t="b">
        <f>IFERROR(__xludf.DUMMYFUNCTION("""COMPUTED_VALUE"""),FALSE)</f>
        <v>0</v>
      </c>
      <c r="N1550" s="20" t="b">
        <f>IFERROR(__xludf.DUMMYFUNCTION("""COMPUTED_VALUE"""),FALSE)</f>
        <v>0</v>
      </c>
      <c r="O1550" s="20">
        <f>IFERROR(__xludf.DUMMYFUNCTION("""COMPUTED_VALUE"""),67.7685102891912)</f>
        <v>67.76851029</v>
      </c>
      <c r="P1550" s="20">
        <f>IFERROR(__xludf.DUMMYFUNCTION("""COMPUTED_VALUE"""),19825.0)</f>
        <v>19825</v>
      </c>
      <c r="Q1550" s="20">
        <f>IFERROR(__xludf.DUMMYFUNCTION("""COMPUTED_VALUE"""),29254.0)</f>
        <v>29254</v>
      </c>
    </row>
    <row r="1551">
      <c r="A1551" s="20">
        <f>IFERROR(__xludf.DUMMYFUNCTION("""COMPUTED_VALUE"""),1293.0)</f>
        <v>1293</v>
      </c>
      <c r="B1551" s="20" t="str">
        <f>IFERROR(__xludf.DUMMYFUNCTION("""COMPUTED_VALUE"""),"Three Consecutive Odds")</f>
        <v>Three Consecutive Odds</v>
      </c>
      <c r="C1551" s="20" t="str">
        <f>IFERROR(__xludf.DUMMYFUNCTION("""COMPUTED_VALUE"""),"three-consecutive-odds")</f>
        <v>three-consecutive-odds</v>
      </c>
      <c r="D1551" s="20" t="b">
        <f>IFERROR(__xludf.DUMMYFUNCTION("""COMPUTED_VALUE"""),FALSE)</f>
        <v>0</v>
      </c>
      <c r="E1551" s="20" t="str">
        <f>IFERROR(__xludf.DUMMYFUNCTION("""COMPUTED_VALUE"""),"Easy")</f>
        <v>Easy</v>
      </c>
      <c r="F1551" s="20">
        <f>IFERROR(__xludf.DUMMYFUNCTION("""COMPUTED_VALUE"""),479.0)</f>
        <v>479</v>
      </c>
      <c r="G1551" s="20">
        <f>IFERROR(__xludf.DUMMYFUNCTION("""COMPUTED_VALUE"""),49.0)</f>
        <v>49</v>
      </c>
      <c r="H1551" s="20" t="str">
        <f>IFERROR(__xludf.DUMMYFUNCTION("""COMPUTED_VALUE"""),"Algorithms")</f>
        <v>Algorithms</v>
      </c>
      <c r="I1551" s="20">
        <f>IFERROR(__xludf.DUMMYFUNCTION("""COMPUTED_VALUE"""),0.636)</f>
        <v>0.636</v>
      </c>
      <c r="J1551" s="20">
        <f>IFERROR(__xludf.DUMMYFUNCTION("""COMPUTED_VALUE"""),1550.0)</f>
        <v>1550</v>
      </c>
      <c r="K1551" s="20" t="b">
        <f>IFERROR(__xludf.DUMMYFUNCTION("""COMPUTED_VALUE"""),FALSE)</f>
        <v>0</v>
      </c>
      <c r="L1551" s="20" t="str">
        <f>IFERROR(__xludf.DUMMYFUNCTION("""COMPUTED_VALUE"""),"Array;")</f>
        <v>Array;</v>
      </c>
      <c r="M1551" s="20" t="b">
        <f>IFERROR(__xludf.DUMMYFUNCTION("""COMPUTED_VALUE"""),FALSE)</f>
        <v>0</v>
      </c>
      <c r="N1551" s="20" t="b">
        <f>IFERROR(__xludf.DUMMYFUNCTION("""COMPUTED_VALUE"""),FALSE)</f>
        <v>0</v>
      </c>
      <c r="O1551" s="20">
        <f>IFERROR(__xludf.DUMMYFUNCTION("""COMPUTED_VALUE"""),63.6149448155982)</f>
        <v>63.61494482</v>
      </c>
      <c r="P1551" s="20">
        <f>IFERROR(__xludf.DUMMYFUNCTION("""COMPUTED_VALUE"""),60751.0)</f>
        <v>60751</v>
      </c>
      <c r="Q1551" s="20">
        <f>IFERROR(__xludf.DUMMYFUNCTION("""COMPUTED_VALUE"""),95498.0)</f>
        <v>95498</v>
      </c>
    </row>
    <row r="1552">
      <c r="A1552" s="20">
        <f>IFERROR(__xludf.DUMMYFUNCTION("""COMPUTED_VALUE"""),1674.0)</f>
        <v>1674</v>
      </c>
      <c r="B1552" s="20" t="str">
        <f>IFERROR(__xludf.DUMMYFUNCTION("""COMPUTED_VALUE"""),"Minimum Operations to Make Array Equal")</f>
        <v>Minimum Operations to Make Array Equal</v>
      </c>
      <c r="C1552" s="20" t="str">
        <f>IFERROR(__xludf.DUMMYFUNCTION("""COMPUTED_VALUE"""),"minimum-operations-to-make-array-equal")</f>
        <v>minimum-operations-to-make-array-equal</v>
      </c>
      <c r="D1552" s="20" t="b">
        <f>IFERROR(__xludf.DUMMYFUNCTION("""COMPUTED_VALUE"""),FALSE)</f>
        <v>0</v>
      </c>
      <c r="E1552" s="20" t="str">
        <f>IFERROR(__xludf.DUMMYFUNCTION("""COMPUTED_VALUE"""),"Medium")</f>
        <v>Medium</v>
      </c>
      <c r="F1552" s="20">
        <f>IFERROR(__xludf.DUMMYFUNCTION("""COMPUTED_VALUE"""),1095.0)</f>
        <v>1095</v>
      </c>
      <c r="G1552" s="20">
        <f>IFERROR(__xludf.DUMMYFUNCTION("""COMPUTED_VALUE"""),155.0)</f>
        <v>155</v>
      </c>
      <c r="H1552" s="20" t="str">
        <f>IFERROR(__xludf.DUMMYFUNCTION("""COMPUTED_VALUE"""),"Algorithms")</f>
        <v>Algorithms</v>
      </c>
      <c r="I1552" s="20">
        <f>IFERROR(__xludf.DUMMYFUNCTION("""COMPUTED_VALUE"""),0.812)</f>
        <v>0.812</v>
      </c>
      <c r="J1552" s="20">
        <f>IFERROR(__xludf.DUMMYFUNCTION("""COMPUTED_VALUE"""),1551.0)</f>
        <v>1551</v>
      </c>
      <c r="K1552" s="20" t="b">
        <f>IFERROR(__xludf.DUMMYFUNCTION("""COMPUTED_VALUE"""),FALSE)</f>
        <v>0</v>
      </c>
      <c r="L1552" s="20" t="str">
        <f>IFERROR(__xludf.DUMMYFUNCTION("""COMPUTED_VALUE"""),"Math;")</f>
        <v>Math;</v>
      </c>
      <c r="M1552" s="20" t="b">
        <f>IFERROR(__xludf.DUMMYFUNCTION("""COMPUTED_VALUE"""),TRUE)</f>
        <v>1</v>
      </c>
      <c r="N1552" s="20" t="b">
        <f>IFERROR(__xludf.DUMMYFUNCTION("""COMPUTED_VALUE"""),FALSE)</f>
        <v>0</v>
      </c>
      <c r="O1552" s="20">
        <f>IFERROR(__xludf.DUMMYFUNCTION("""COMPUTED_VALUE"""),81.1676363288271)</f>
        <v>81.16763633</v>
      </c>
      <c r="P1552" s="20">
        <f>IFERROR(__xludf.DUMMYFUNCTION("""COMPUTED_VALUE"""),76313.0)</f>
        <v>76313</v>
      </c>
      <c r="Q1552" s="20">
        <f>IFERROR(__xludf.DUMMYFUNCTION("""COMPUTED_VALUE"""),94019.0)</f>
        <v>94019</v>
      </c>
    </row>
    <row r="1553">
      <c r="A1553" s="20">
        <f>IFERROR(__xludf.DUMMYFUNCTION("""COMPUTED_VALUE"""),1675.0)</f>
        <v>1675</v>
      </c>
      <c r="B1553" s="20" t="str">
        <f>IFERROR(__xludf.DUMMYFUNCTION("""COMPUTED_VALUE"""),"Magnetic Force Between Two Balls")</f>
        <v>Magnetic Force Between Two Balls</v>
      </c>
      <c r="C1553" s="20" t="str">
        <f>IFERROR(__xludf.DUMMYFUNCTION("""COMPUTED_VALUE"""),"magnetic-force-between-two-balls")</f>
        <v>magnetic-force-between-two-balls</v>
      </c>
      <c r="D1553" s="20" t="b">
        <f>IFERROR(__xludf.DUMMYFUNCTION("""COMPUTED_VALUE"""),FALSE)</f>
        <v>0</v>
      </c>
      <c r="E1553" s="20" t="str">
        <f>IFERROR(__xludf.DUMMYFUNCTION("""COMPUTED_VALUE"""),"Medium")</f>
        <v>Medium</v>
      </c>
      <c r="F1553" s="20">
        <f>IFERROR(__xludf.DUMMYFUNCTION("""COMPUTED_VALUE"""),1534.0)</f>
        <v>1534</v>
      </c>
      <c r="G1553" s="20">
        <f>IFERROR(__xludf.DUMMYFUNCTION("""COMPUTED_VALUE"""),91.0)</f>
        <v>91</v>
      </c>
      <c r="H1553" s="20" t="str">
        <f>IFERROR(__xludf.DUMMYFUNCTION("""COMPUTED_VALUE"""),"Algorithms")</f>
        <v>Algorithms</v>
      </c>
      <c r="I1553" s="20">
        <f>IFERROR(__xludf.DUMMYFUNCTION("""COMPUTED_VALUE"""),0.572)</f>
        <v>0.572</v>
      </c>
      <c r="J1553" s="20">
        <f>IFERROR(__xludf.DUMMYFUNCTION("""COMPUTED_VALUE"""),1552.0)</f>
        <v>1552</v>
      </c>
      <c r="K1553" s="20" t="b">
        <f>IFERROR(__xludf.DUMMYFUNCTION("""COMPUTED_VALUE"""),FALSE)</f>
        <v>0</v>
      </c>
      <c r="L1553" s="20" t="str">
        <f>IFERROR(__xludf.DUMMYFUNCTION("""COMPUTED_VALUE"""),"Array;Binary Search;Sorting;")</f>
        <v>Array;Binary Search;Sorting;</v>
      </c>
      <c r="M1553" s="20" t="b">
        <f>IFERROR(__xludf.DUMMYFUNCTION("""COMPUTED_VALUE"""),FALSE)</f>
        <v>0</v>
      </c>
      <c r="N1553" s="20" t="b">
        <f>IFERROR(__xludf.DUMMYFUNCTION("""COMPUTED_VALUE"""),FALSE)</f>
        <v>0</v>
      </c>
      <c r="O1553" s="20">
        <f>IFERROR(__xludf.DUMMYFUNCTION("""COMPUTED_VALUE"""),57.2070651316827)</f>
        <v>57.20706513</v>
      </c>
      <c r="P1553" s="20">
        <f>IFERROR(__xludf.DUMMYFUNCTION("""COMPUTED_VALUE"""),36275.0)</f>
        <v>36275</v>
      </c>
      <c r="Q1553" s="20">
        <f>IFERROR(__xludf.DUMMYFUNCTION("""COMPUTED_VALUE"""),63410.0)</f>
        <v>63410</v>
      </c>
    </row>
    <row r="1554">
      <c r="A1554" s="20">
        <f>IFERROR(__xludf.DUMMYFUNCTION("""COMPUTED_VALUE"""),1676.0)</f>
        <v>1676</v>
      </c>
      <c r="B1554" s="20" t="str">
        <f>IFERROR(__xludf.DUMMYFUNCTION("""COMPUTED_VALUE"""),"Minimum Number of Days to Eat N Oranges")</f>
        <v>Minimum Number of Days to Eat N Oranges</v>
      </c>
      <c r="C1554" s="20" t="str">
        <f>IFERROR(__xludf.DUMMYFUNCTION("""COMPUTED_VALUE"""),"minimum-number-of-days-to-eat-n-oranges")</f>
        <v>minimum-number-of-days-to-eat-n-oranges</v>
      </c>
      <c r="D1554" s="20" t="b">
        <f>IFERROR(__xludf.DUMMYFUNCTION("""COMPUTED_VALUE"""),FALSE)</f>
        <v>0</v>
      </c>
      <c r="E1554" s="20" t="str">
        <f>IFERROR(__xludf.DUMMYFUNCTION("""COMPUTED_VALUE"""),"Hard")</f>
        <v>Hard</v>
      </c>
      <c r="F1554" s="20">
        <f>IFERROR(__xludf.DUMMYFUNCTION("""COMPUTED_VALUE"""),815.0)</f>
        <v>815</v>
      </c>
      <c r="G1554" s="20">
        <f>IFERROR(__xludf.DUMMYFUNCTION("""COMPUTED_VALUE"""),50.0)</f>
        <v>50</v>
      </c>
      <c r="H1554" s="20" t="str">
        <f>IFERROR(__xludf.DUMMYFUNCTION("""COMPUTED_VALUE"""),"Algorithms")</f>
        <v>Algorithms</v>
      </c>
      <c r="I1554" s="20">
        <f>IFERROR(__xludf.DUMMYFUNCTION("""COMPUTED_VALUE"""),0.347)</f>
        <v>0.347</v>
      </c>
      <c r="J1554" s="20">
        <f>IFERROR(__xludf.DUMMYFUNCTION("""COMPUTED_VALUE"""),1553.0)</f>
        <v>1553</v>
      </c>
      <c r="K1554" s="20" t="b">
        <f>IFERROR(__xludf.DUMMYFUNCTION("""COMPUTED_VALUE"""),FALSE)</f>
        <v>0</v>
      </c>
      <c r="L1554" s="20" t="str">
        <f>IFERROR(__xludf.DUMMYFUNCTION("""COMPUTED_VALUE"""),"Dynamic Programming;Memoization;")</f>
        <v>Dynamic Programming;Memoization;</v>
      </c>
      <c r="M1554" s="20" t="b">
        <f>IFERROR(__xludf.DUMMYFUNCTION("""COMPUTED_VALUE"""),FALSE)</f>
        <v>0</v>
      </c>
      <c r="N1554" s="20" t="b">
        <f>IFERROR(__xludf.DUMMYFUNCTION("""COMPUTED_VALUE"""),FALSE)</f>
        <v>0</v>
      </c>
      <c r="O1554" s="20">
        <f>IFERROR(__xludf.DUMMYFUNCTION("""COMPUTED_VALUE"""),34.6706505163713)</f>
        <v>34.67065052</v>
      </c>
      <c r="P1554" s="20">
        <f>IFERROR(__xludf.DUMMYFUNCTION("""COMPUTED_VALUE"""),27965.0)</f>
        <v>27965</v>
      </c>
      <c r="Q1554" s="20">
        <f>IFERROR(__xludf.DUMMYFUNCTION("""COMPUTED_VALUE"""),80659.0)</f>
        <v>80659</v>
      </c>
    </row>
    <row r="1555">
      <c r="A1555" s="20">
        <f>IFERROR(__xludf.DUMMYFUNCTION("""COMPUTED_VALUE"""),1697.0)</f>
        <v>1697</v>
      </c>
      <c r="B1555" s="20" t="str">
        <f>IFERROR(__xludf.DUMMYFUNCTION("""COMPUTED_VALUE"""),"Strings Differ by One Character")</f>
        <v>Strings Differ by One Character</v>
      </c>
      <c r="C1555" s="20" t="str">
        <f>IFERROR(__xludf.DUMMYFUNCTION("""COMPUTED_VALUE"""),"strings-differ-by-one-character")</f>
        <v>strings-differ-by-one-character</v>
      </c>
      <c r="D1555" s="20" t="b">
        <f>IFERROR(__xludf.DUMMYFUNCTION("""COMPUTED_VALUE"""),TRUE)</f>
        <v>1</v>
      </c>
      <c r="E1555" s="20" t="str">
        <f>IFERROR(__xludf.DUMMYFUNCTION("""COMPUTED_VALUE"""),"Medium")</f>
        <v>Medium</v>
      </c>
      <c r="F1555" s="20">
        <f>IFERROR(__xludf.DUMMYFUNCTION("""COMPUTED_VALUE"""),341.0)</f>
        <v>341</v>
      </c>
      <c r="G1555" s="20">
        <f>IFERROR(__xludf.DUMMYFUNCTION("""COMPUTED_VALUE"""),82.0)</f>
        <v>82</v>
      </c>
      <c r="H1555" s="20" t="str">
        <f>IFERROR(__xludf.DUMMYFUNCTION("""COMPUTED_VALUE"""),"Algorithms")</f>
        <v>Algorithms</v>
      </c>
      <c r="I1555" s="20">
        <f>IFERROR(__xludf.DUMMYFUNCTION("""COMPUTED_VALUE"""),0.429)</f>
        <v>0.429</v>
      </c>
      <c r="J1555" s="20">
        <f>IFERROR(__xludf.DUMMYFUNCTION("""COMPUTED_VALUE"""),1554.0)</f>
        <v>1554</v>
      </c>
      <c r="K1555" s="20" t="b">
        <f>IFERROR(__xludf.DUMMYFUNCTION("""COMPUTED_VALUE"""),TRUE)</f>
        <v>1</v>
      </c>
      <c r="L1555" s="20" t="str">
        <f>IFERROR(__xludf.DUMMYFUNCTION("""COMPUTED_VALUE"""),"Hash Table;String;Rolling Hash;Hash Function;")</f>
        <v>Hash Table;String;Rolling Hash;Hash Function;</v>
      </c>
      <c r="M1555" s="20" t="b">
        <f>IFERROR(__xludf.DUMMYFUNCTION("""COMPUTED_VALUE"""),FALSE)</f>
        <v>0</v>
      </c>
      <c r="N1555" s="20" t="b">
        <f>IFERROR(__xludf.DUMMYFUNCTION("""COMPUTED_VALUE"""),FALSE)</f>
        <v>0</v>
      </c>
      <c r="O1555" s="20">
        <f>IFERROR(__xludf.DUMMYFUNCTION("""COMPUTED_VALUE"""),42.9413527824957)</f>
        <v>42.94135278</v>
      </c>
      <c r="P1555" s="20">
        <f>IFERROR(__xludf.DUMMYFUNCTION("""COMPUTED_VALUE"""),21490.0)</f>
        <v>21490</v>
      </c>
      <c r="Q1555" s="20">
        <f>IFERROR(__xludf.DUMMYFUNCTION("""COMPUTED_VALUE"""),50045.0)</f>
        <v>50045</v>
      </c>
    </row>
    <row r="1556">
      <c r="A1556" s="20">
        <f>IFERROR(__xludf.DUMMYFUNCTION("""COMPUTED_VALUE"""),1702.0)</f>
        <v>1702</v>
      </c>
      <c r="B1556" s="20" t="str">
        <f>IFERROR(__xludf.DUMMYFUNCTION("""COMPUTED_VALUE"""),"Bank Account Summary")</f>
        <v>Bank Account Summary</v>
      </c>
      <c r="C1556" s="20" t="str">
        <f>IFERROR(__xludf.DUMMYFUNCTION("""COMPUTED_VALUE"""),"bank-account-summary")</f>
        <v>bank-account-summary</v>
      </c>
      <c r="D1556" s="20" t="b">
        <f>IFERROR(__xludf.DUMMYFUNCTION("""COMPUTED_VALUE"""),TRUE)</f>
        <v>1</v>
      </c>
      <c r="E1556" s="20" t="str">
        <f>IFERROR(__xludf.DUMMYFUNCTION("""COMPUTED_VALUE"""),"Medium")</f>
        <v>Medium</v>
      </c>
      <c r="F1556" s="20">
        <f>IFERROR(__xludf.DUMMYFUNCTION("""COMPUTED_VALUE"""),109.0)</f>
        <v>109</v>
      </c>
      <c r="G1556" s="20">
        <f>IFERROR(__xludf.DUMMYFUNCTION("""COMPUTED_VALUE"""),23.0)</f>
        <v>23</v>
      </c>
      <c r="H1556" s="20" t="str">
        <f>IFERROR(__xludf.DUMMYFUNCTION("""COMPUTED_VALUE"""),"Database")</f>
        <v>Database</v>
      </c>
      <c r="I1556" s="20">
        <f>IFERROR(__xludf.DUMMYFUNCTION("""COMPUTED_VALUE"""),0.529)</f>
        <v>0.529</v>
      </c>
      <c r="J1556" s="20">
        <f>IFERROR(__xludf.DUMMYFUNCTION("""COMPUTED_VALUE"""),1555.0)</f>
        <v>1555</v>
      </c>
      <c r="K1556" s="20" t="b">
        <f>IFERROR(__xludf.DUMMYFUNCTION("""COMPUTED_VALUE"""),TRUE)</f>
        <v>1</v>
      </c>
      <c r="L1556" s="20" t="str">
        <f>IFERROR(__xludf.DUMMYFUNCTION("""COMPUTED_VALUE"""),"Database;")</f>
        <v>Database;</v>
      </c>
      <c r="M1556" s="20" t="b">
        <f>IFERROR(__xludf.DUMMYFUNCTION("""COMPUTED_VALUE"""),FALSE)</f>
        <v>0</v>
      </c>
      <c r="N1556" s="20" t="b">
        <f>IFERROR(__xludf.DUMMYFUNCTION("""COMPUTED_VALUE"""),FALSE)</f>
        <v>0</v>
      </c>
      <c r="O1556" s="20">
        <f>IFERROR(__xludf.DUMMYFUNCTION("""COMPUTED_VALUE"""),52.8671890697207)</f>
        <v>52.86718907</v>
      </c>
      <c r="P1556" s="20">
        <f>IFERROR(__xludf.DUMMYFUNCTION("""COMPUTED_VALUE"""),13155.0)</f>
        <v>13155</v>
      </c>
      <c r="Q1556" s="20">
        <f>IFERROR(__xludf.DUMMYFUNCTION("""COMPUTED_VALUE"""),24884.0)</f>
        <v>24884</v>
      </c>
    </row>
    <row r="1557">
      <c r="A1557" s="20">
        <f>IFERROR(__xludf.DUMMYFUNCTION("""COMPUTED_VALUE"""),1660.0)</f>
        <v>1660</v>
      </c>
      <c r="B1557" s="20" t="str">
        <f>IFERROR(__xludf.DUMMYFUNCTION("""COMPUTED_VALUE"""),"Thousand Separator")</f>
        <v>Thousand Separator</v>
      </c>
      <c r="C1557" s="20" t="str">
        <f>IFERROR(__xludf.DUMMYFUNCTION("""COMPUTED_VALUE"""),"thousand-separator")</f>
        <v>thousand-separator</v>
      </c>
      <c r="D1557" s="20" t="b">
        <f>IFERROR(__xludf.DUMMYFUNCTION("""COMPUTED_VALUE"""),FALSE)</f>
        <v>0</v>
      </c>
      <c r="E1557" s="20" t="str">
        <f>IFERROR(__xludf.DUMMYFUNCTION("""COMPUTED_VALUE"""),"Easy")</f>
        <v>Easy</v>
      </c>
      <c r="F1557" s="20">
        <f>IFERROR(__xludf.DUMMYFUNCTION("""COMPUTED_VALUE"""),392.0)</f>
        <v>392</v>
      </c>
      <c r="G1557" s="20">
        <f>IFERROR(__xludf.DUMMYFUNCTION("""COMPUTED_VALUE"""),22.0)</f>
        <v>22</v>
      </c>
      <c r="H1557" s="20" t="str">
        <f>IFERROR(__xludf.DUMMYFUNCTION("""COMPUTED_VALUE"""),"Algorithms")</f>
        <v>Algorithms</v>
      </c>
      <c r="I1557" s="20">
        <f>IFERROR(__xludf.DUMMYFUNCTION("""COMPUTED_VALUE"""),0.549)</f>
        <v>0.549</v>
      </c>
      <c r="J1557" s="20">
        <f>IFERROR(__xludf.DUMMYFUNCTION("""COMPUTED_VALUE"""),1556.0)</f>
        <v>1556</v>
      </c>
      <c r="K1557" s="20" t="b">
        <f>IFERROR(__xludf.DUMMYFUNCTION("""COMPUTED_VALUE"""),FALSE)</f>
        <v>0</v>
      </c>
      <c r="L1557" s="20" t="str">
        <f>IFERROR(__xludf.DUMMYFUNCTION("""COMPUTED_VALUE"""),"String;")</f>
        <v>String;</v>
      </c>
      <c r="M1557" s="20" t="b">
        <f>IFERROR(__xludf.DUMMYFUNCTION("""COMPUTED_VALUE"""),FALSE)</f>
        <v>0</v>
      </c>
      <c r="N1557" s="20" t="b">
        <f>IFERROR(__xludf.DUMMYFUNCTION("""COMPUTED_VALUE"""),FALSE)</f>
        <v>0</v>
      </c>
      <c r="O1557" s="20">
        <f>IFERROR(__xludf.DUMMYFUNCTION("""COMPUTED_VALUE"""),54.8504587798557)</f>
        <v>54.85045878</v>
      </c>
      <c r="P1557" s="20">
        <f>IFERROR(__xludf.DUMMYFUNCTION("""COMPUTED_VALUE"""),39155.0)</f>
        <v>39155</v>
      </c>
      <c r="Q1557" s="20">
        <f>IFERROR(__xludf.DUMMYFUNCTION("""COMPUTED_VALUE"""),71385.0)</f>
        <v>71385</v>
      </c>
    </row>
    <row r="1558">
      <c r="A1558" s="20">
        <f>IFERROR(__xludf.DUMMYFUNCTION("""COMPUTED_VALUE"""),1661.0)</f>
        <v>1661</v>
      </c>
      <c r="B1558" s="20" t="str">
        <f>IFERROR(__xludf.DUMMYFUNCTION("""COMPUTED_VALUE"""),"Minimum Number of Vertices to Reach All Nodes")</f>
        <v>Minimum Number of Vertices to Reach All Nodes</v>
      </c>
      <c r="C1558" s="20" t="str">
        <f>IFERROR(__xludf.DUMMYFUNCTION("""COMPUTED_VALUE"""),"minimum-number-of-vertices-to-reach-all-nodes")</f>
        <v>minimum-number-of-vertices-to-reach-all-nodes</v>
      </c>
      <c r="D1558" s="20" t="b">
        <f>IFERROR(__xludf.DUMMYFUNCTION("""COMPUTED_VALUE"""),FALSE)</f>
        <v>0</v>
      </c>
      <c r="E1558" s="20" t="str">
        <f>IFERROR(__xludf.DUMMYFUNCTION("""COMPUTED_VALUE"""),"Medium")</f>
        <v>Medium</v>
      </c>
      <c r="F1558" s="20">
        <f>IFERROR(__xludf.DUMMYFUNCTION("""COMPUTED_VALUE"""),1996.0)</f>
        <v>1996</v>
      </c>
      <c r="G1558" s="20">
        <f>IFERROR(__xludf.DUMMYFUNCTION("""COMPUTED_VALUE"""),74.0)</f>
        <v>74</v>
      </c>
      <c r="H1558" s="20" t="str">
        <f>IFERROR(__xludf.DUMMYFUNCTION("""COMPUTED_VALUE"""),"Algorithms")</f>
        <v>Algorithms</v>
      </c>
      <c r="I1558" s="20">
        <f>IFERROR(__xludf.DUMMYFUNCTION("""COMPUTED_VALUE"""),0.795)</f>
        <v>0.795</v>
      </c>
      <c r="J1558" s="20">
        <f>IFERROR(__xludf.DUMMYFUNCTION("""COMPUTED_VALUE"""),1557.0)</f>
        <v>1557</v>
      </c>
      <c r="K1558" s="20" t="b">
        <f>IFERROR(__xludf.DUMMYFUNCTION("""COMPUTED_VALUE"""),FALSE)</f>
        <v>0</v>
      </c>
      <c r="L1558" s="20" t="str">
        <f>IFERROR(__xludf.DUMMYFUNCTION("""COMPUTED_VALUE"""),"Graph;")</f>
        <v>Graph;</v>
      </c>
      <c r="M1558" s="20" t="b">
        <f>IFERROR(__xludf.DUMMYFUNCTION("""COMPUTED_VALUE"""),FALSE)</f>
        <v>0</v>
      </c>
      <c r="N1558" s="20" t="b">
        <f>IFERROR(__xludf.DUMMYFUNCTION("""COMPUTED_VALUE"""),FALSE)</f>
        <v>0</v>
      </c>
      <c r="O1558" s="20">
        <f>IFERROR(__xludf.DUMMYFUNCTION("""COMPUTED_VALUE"""),79.5456738656321)</f>
        <v>79.54567387</v>
      </c>
      <c r="P1558" s="20">
        <f>IFERROR(__xludf.DUMMYFUNCTION("""COMPUTED_VALUE"""),82429.0)</f>
        <v>82429</v>
      </c>
      <c r="Q1558" s="20">
        <f>IFERROR(__xludf.DUMMYFUNCTION("""COMPUTED_VALUE"""),103625.0)</f>
        <v>103625</v>
      </c>
    </row>
    <row r="1559">
      <c r="A1559" s="20">
        <f>IFERROR(__xludf.DUMMYFUNCTION("""COMPUTED_VALUE"""),1662.0)</f>
        <v>1662</v>
      </c>
      <c r="B1559" s="20" t="str">
        <f>IFERROR(__xludf.DUMMYFUNCTION("""COMPUTED_VALUE"""),"Minimum Numbers of Function Calls to Make Target Array")</f>
        <v>Minimum Numbers of Function Calls to Make Target Array</v>
      </c>
      <c r="C1559" s="20" t="str">
        <f>IFERROR(__xludf.DUMMYFUNCTION("""COMPUTED_VALUE"""),"minimum-numbers-of-function-calls-to-make-target-array")</f>
        <v>minimum-numbers-of-function-calls-to-make-target-array</v>
      </c>
      <c r="D1559" s="20" t="b">
        <f>IFERROR(__xludf.DUMMYFUNCTION("""COMPUTED_VALUE"""),FALSE)</f>
        <v>0</v>
      </c>
      <c r="E1559" s="20" t="str">
        <f>IFERROR(__xludf.DUMMYFUNCTION("""COMPUTED_VALUE"""),"Medium")</f>
        <v>Medium</v>
      </c>
      <c r="F1559" s="20">
        <f>IFERROR(__xludf.DUMMYFUNCTION("""COMPUTED_VALUE"""),509.0)</f>
        <v>509</v>
      </c>
      <c r="G1559" s="20">
        <f>IFERROR(__xludf.DUMMYFUNCTION("""COMPUTED_VALUE"""),26.0)</f>
        <v>26</v>
      </c>
      <c r="H1559" s="20" t="str">
        <f>IFERROR(__xludf.DUMMYFUNCTION("""COMPUTED_VALUE"""),"Algorithms")</f>
        <v>Algorithms</v>
      </c>
      <c r="I1559" s="20">
        <f>IFERROR(__xludf.DUMMYFUNCTION("""COMPUTED_VALUE"""),0.641)</f>
        <v>0.641</v>
      </c>
      <c r="J1559" s="20">
        <f>IFERROR(__xludf.DUMMYFUNCTION("""COMPUTED_VALUE"""),1558.0)</f>
        <v>1558</v>
      </c>
      <c r="K1559" s="20" t="b">
        <f>IFERROR(__xludf.DUMMYFUNCTION("""COMPUTED_VALUE"""),FALSE)</f>
        <v>0</v>
      </c>
      <c r="L1559" s="20" t="str">
        <f>IFERROR(__xludf.DUMMYFUNCTION("""COMPUTED_VALUE"""),"Array;Greedy;Bit Manipulation;")</f>
        <v>Array;Greedy;Bit Manipulation;</v>
      </c>
      <c r="M1559" s="20" t="b">
        <f>IFERROR(__xludf.DUMMYFUNCTION("""COMPUTED_VALUE"""),FALSE)</f>
        <v>0</v>
      </c>
      <c r="N1559" s="20" t="b">
        <f>IFERROR(__xludf.DUMMYFUNCTION("""COMPUTED_VALUE"""),FALSE)</f>
        <v>0</v>
      </c>
      <c r="O1559" s="20">
        <f>IFERROR(__xludf.DUMMYFUNCTION("""COMPUTED_VALUE"""),64.1087012556615)</f>
        <v>64.10870126</v>
      </c>
      <c r="P1559" s="20">
        <f>IFERROR(__xludf.DUMMYFUNCTION("""COMPUTED_VALUE"""),17410.0)</f>
        <v>17410</v>
      </c>
      <c r="Q1559" s="20">
        <f>IFERROR(__xludf.DUMMYFUNCTION("""COMPUTED_VALUE"""),27157.0)</f>
        <v>27157</v>
      </c>
    </row>
    <row r="1560">
      <c r="A1560" s="20">
        <f>IFERROR(__xludf.DUMMYFUNCTION("""COMPUTED_VALUE"""),1663.0)</f>
        <v>1663</v>
      </c>
      <c r="B1560" s="20" t="str">
        <f>IFERROR(__xludf.DUMMYFUNCTION("""COMPUTED_VALUE"""),"Detect Cycles in 2D Grid")</f>
        <v>Detect Cycles in 2D Grid</v>
      </c>
      <c r="C1560" s="20" t="str">
        <f>IFERROR(__xludf.DUMMYFUNCTION("""COMPUTED_VALUE"""),"detect-cycles-in-2d-grid")</f>
        <v>detect-cycles-in-2d-grid</v>
      </c>
      <c r="D1560" s="20" t="b">
        <f>IFERROR(__xludf.DUMMYFUNCTION("""COMPUTED_VALUE"""),FALSE)</f>
        <v>0</v>
      </c>
      <c r="E1560" s="20" t="str">
        <f>IFERROR(__xludf.DUMMYFUNCTION("""COMPUTED_VALUE"""),"Medium")</f>
        <v>Medium</v>
      </c>
      <c r="F1560" s="20">
        <f>IFERROR(__xludf.DUMMYFUNCTION("""COMPUTED_VALUE"""),849.0)</f>
        <v>849</v>
      </c>
      <c r="G1560" s="20">
        <f>IFERROR(__xludf.DUMMYFUNCTION("""COMPUTED_VALUE"""),23.0)</f>
        <v>23</v>
      </c>
      <c r="H1560" s="20" t="str">
        <f>IFERROR(__xludf.DUMMYFUNCTION("""COMPUTED_VALUE"""),"Algorithms")</f>
        <v>Algorithms</v>
      </c>
      <c r="I1560" s="20">
        <f>IFERROR(__xludf.DUMMYFUNCTION("""COMPUTED_VALUE"""),0.481)</f>
        <v>0.481</v>
      </c>
      <c r="J1560" s="20">
        <f>IFERROR(__xludf.DUMMYFUNCTION("""COMPUTED_VALUE"""),1559.0)</f>
        <v>1559</v>
      </c>
      <c r="K1560" s="20" t="b">
        <f>IFERROR(__xludf.DUMMYFUNCTION("""COMPUTED_VALUE"""),FALSE)</f>
        <v>0</v>
      </c>
      <c r="L1560" s="20" t="str">
        <f>IFERROR(__xludf.DUMMYFUNCTION("""COMPUTED_VALUE"""),"Array;Depth-First Search;Breadth-First Search;Union Find;Matrix;")</f>
        <v>Array;Depth-First Search;Breadth-First Search;Union Find;Matrix;</v>
      </c>
      <c r="M1560" s="20" t="b">
        <f>IFERROR(__xludf.DUMMYFUNCTION("""COMPUTED_VALUE"""),FALSE)</f>
        <v>0</v>
      </c>
      <c r="N1560" s="20" t="b">
        <f>IFERROR(__xludf.DUMMYFUNCTION("""COMPUTED_VALUE"""),FALSE)</f>
        <v>0</v>
      </c>
      <c r="O1560" s="20">
        <f>IFERROR(__xludf.DUMMYFUNCTION("""COMPUTED_VALUE"""),48.0584980237154)</f>
        <v>48.05849802</v>
      </c>
      <c r="P1560" s="20">
        <f>IFERROR(__xludf.DUMMYFUNCTION("""COMPUTED_VALUE"""),30397.0)</f>
        <v>30397</v>
      </c>
      <c r="Q1560" s="20">
        <f>IFERROR(__xludf.DUMMYFUNCTION("""COMPUTED_VALUE"""),63250.0)</f>
        <v>63250</v>
      </c>
    </row>
    <row r="1561">
      <c r="A1561" s="20">
        <f>IFERROR(__xludf.DUMMYFUNCTION("""COMPUTED_VALUE"""),1682.0)</f>
        <v>1682</v>
      </c>
      <c r="B1561" s="20" t="str">
        <f>IFERROR(__xludf.DUMMYFUNCTION("""COMPUTED_VALUE"""),"Most Visited Sector in  a Circular Track")</f>
        <v>Most Visited Sector in  a Circular Track</v>
      </c>
      <c r="C1561" s="20" t="str">
        <f>IFERROR(__xludf.DUMMYFUNCTION("""COMPUTED_VALUE"""),"most-visited-sector-in-a-circular-track")</f>
        <v>most-visited-sector-in-a-circular-track</v>
      </c>
      <c r="D1561" s="20" t="b">
        <f>IFERROR(__xludf.DUMMYFUNCTION("""COMPUTED_VALUE"""),FALSE)</f>
        <v>0</v>
      </c>
      <c r="E1561" s="20" t="str">
        <f>IFERROR(__xludf.DUMMYFUNCTION("""COMPUTED_VALUE"""),"Easy")</f>
        <v>Easy</v>
      </c>
      <c r="F1561" s="20">
        <f>IFERROR(__xludf.DUMMYFUNCTION("""COMPUTED_VALUE"""),250.0)</f>
        <v>250</v>
      </c>
      <c r="G1561" s="20">
        <f>IFERROR(__xludf.DUMMYFUNCTION("""COMPUTED_VALUE"""),510.0)</f>
        <v>510</v>
      </c>
      <c r="H1561" s="20" t="str">
        <f>IFERROR(__xludf.DUMMYFUNCTION("""COMPUTED_VALUE"""),"Algorithms")</f>
        <v>Algorithms</v>
      </c>
      <c r="I1561" s="20">
        <f>IFERROR(__xludf.DUMMYFUNCTION("""COMPUTED_VALUE"""),0.584)</f>
        <v>0.584</v>
      </c>
      <c r="J1561" s="20">
        <f>IFERROR(__xludf.DUMMYFUNCTION("""COMPUTED_VALUE"""),1560.0)</f>
        <v>1560</v>
      </c>
      <c r="K1561" s="20" t="b">
        <f>IFERROR(__xludf.DUMMYFUNCTION("""COMPUTED_VALUE"""),FALSE)</f>
        <v>0</v>
      </c>
      <c r="L1561" s="20" t="str">
        <f>IFERROR(__xludf.DUMMYFUNCTION("""COMPUTED_VALUE"""),"Array;Simulation;")</f>
        <v>Array;Simulation;</v>
      </c>
      <c r="M1561" s="20" t="b">
        <f>IFERROR(__xludf.DUMMYFUNCTION("""COMPUTED_VALUE"""),FALSE)</f>
        <v>0</v>
      </c>
      <c r="N1561" s="20" t="b">
        <f>IFERROR(__xludf.DUMMYFUNCTION("""COMPUTED_VALUE"""),FALSE)</f>
        <v>0</v>
      </c>
      <c r="O1561" s="20">
        <f>IFERROR(__xludf.DUMMYFUNCTION("""COMPUTED_VALUE"""),58.3939216832261)</f>
        <v>58.39392168</v>
      </c>
      <c r="P1561" s="20">
        <f>IFERROR(__xludf.DUMMYFUNCTION("""COMPUTED_VALUE"""),24978.0)</f>
        <v>24978</v>
      </c>
      <c r="Q1561" s="20">
        <f>IFERROR(__xludf.DUMMYFUNCTION("""COMPUTED_VALUE"""),42775.0)</f>
        <v>42775</v>
      </c>
    </row>
    <row r="1562">
      <c r="A1562" s="20">
        <f>IFERROR(__xludf.DUMMYFUNCTION("""COMPUTED_VALUE"""),1683.0)</f>
        <v>1683</v>
      </c>
      <c r="B1562" s="20" t="str">
        <f>IFERROR(__xludf.DUMMYFUNCTION("""COMPUTED_VALUE"""),"Maximum Number of Coins You Can Get")</f>
        <v>Maximum Number of Coins You Can Get</v>
      </c>
      <c r="C1562" s="20" t="str">
        <f>IFERROR(__xludf.DUMMYFUNCTION("""COMPUTED_VALUE"""),"maximum-number-of-coins-you-can-get")</f>
        <v>maximum-number-of-coins-you-can-get</v>
      </c>
      <c r="D1562" s="20" t="b">
        <f>IFERROR(__xludf.DUMMYFUNCTION("""COMPUTED_VALUE"""),FALSE)</f>
        <v>0</v>
      </c>
      <c r="E1562" s="20" t="str">
        <f>IFERROR(__xludf.DUMMYFUNCTION("""COMPUTED_VALUE"""),"Medium")</f>
        <v>Medium</v>
      </c>
      <c r="F1562" s="20">
        <f>IFERROR(__xludf.DUMMYFUNCTION("""COMPUTED_VALUE"""),902.0)</f>
        <v>902</v>
      </c>
      <c r="G1562" s="20">
        <f>IFERROR(__xludf.DUMMYFUNCTION("""COMPUTED_VALUE"""),111.0)</f>
        <v>111</v>
      </c>
      <c r="H1562" s="20" t="str">
        <f>IFERROR(__xludf.DUMMYFUNCTION("""COMPUTED_VALUE"""),"Algorithms")</f>
        <v>Algorithms</v>
      </c>
      <c r="I1562" s="20">
        <f>IFERROR(__xludf.DUMMYFUNCTION("""COMPUTED_VALUE"""),0.786)</f>
        <v>0.786</v>
      </c>
      <c r="J1562" s="20">
        <f>IFERROR(__xludf.DUMMYFUNCTION("""COMPUTED_VALUE"""),1561.0)</f>
        <v>1561</v>
      </c>
      <c r="K1562" s="20" t="b">
        <f>IFERROR(__xludf.DUMMYFUNCTION("""COMPUTED_VALUE"""),FALSE)</f>
        <v>0</v>
      </c>
      <c r="L1562" s="20" t="str">
        <f>IFERROR(__xludf.DUMMYFUNCTION("""COMPUTED_VALUE"""),"Array;Math;Greedy;Sorting;Game Theory;")</f>
        <v>Array;Math;Greedy;Sorting;Game Theory;</v>
      </c>
      <c r="M1562" s="20" t="b">
        <f>IFERROR(__xludf.DUMMYFUNCTION("""COMPUTED_VALUE"""),FALSE)</f>
        <v>0</v>
      </c>
      <c r="N1562" s="20" t="b">
        <f>IFERROR(__xludf.DUMMYFUNCTION("""COMPUTED_VALUE"""),FALSE)</f>
        <v>0</v>
      </c>
      <c r="O1562" s="20">
        <f>IFERROR(__xludf.DUMMYFUNCTION("""COMPUTED_VALUE"""),78.6231072336948)</f>
        <v>78.62310723</v>
      </c>
      <c r="P1562" s="20">
        <f>IFERROR(__xludf.DUMMYFUNCTION("""COMPUTED_VALUE"""),59659.0)</f>
        <v>59659</v>
      </c>
      <c r="Q1562" s="20">
        <f>IFERROR(__xludf.DUMMYFUNCTION("""COMPUTED_VALUE"""),75880.0)</f>
        <v>75880</v>
      </c>
    </row>
    <row r="1563">
      <c r="A1563" s="20">
        <f>IFERROR(__xludf.DUMMYFUNCTION("""COMPUTED_VALUE"""),1684.0)</f>
        <v>1684</v>
      </c>
      <c r="B1563" s="20" t="str">
        <f>IFERROR(__xludf.DUMMYFUNCTION("""COMPUTED_VALUE"""),"Find Latest Group of Size M")</f>
        <v>Find Latest Group of Size M</v>
      </c>
      <c r="C1563" s="20" t="str">
        <f>IFERROR(__xludf.DUMMYFUNCTION("""COMPUTED_VALUE"""),"find-latest-group-of-size-m")</f>
        <v>find-latest-group-of-size-m</v>
      </c>
      <c r="D1563" s="20" t="b">
        <f>IFERROR(__xludf.DUMMYFUNCTION("""COMPUTED_VALUE"""),FALSE)</f>
        <v>0</v>
      </c>
      <c r="E1563" s="20" t="str">
        <f>IFERROR(__xludf.DUMMYFUNCTION("""COMPUTED_VALUE"""),"Medium")</f>
        <v>Medium</v>
      </c>
      <c r="F1563" s="20">
        <f>IFERROR(__xludf.DUMMYFUNCTION("""COMPUTED_VALUE"""),551.0)</f>
        <v>551</v>
      </c>
      <c r="G1563" s="20">
        <f>IFERROR(__xludf.DUMMYFUNCTION("""COMPUTED_VALUE"""),115.0)</f>
        <v>115</v>
      </c>
      <c r="H1563" s="20" t="str">
        <f>IFERROR(__xludf.DUMMYFUNCTION("""COMPUTED_VALUE"""),"Algorithms")</f>
        <v>Algorithms</v>
      </c>
      <c r="I1563" s="20">
        <f>IFERROR(__xludf.DUMMYFUNCTION("""COMPUTED_VALUE"""),0.426)</f>
        <v>0.426</v>
      </c>
      <c r="J1563" s="20">
        <f>IFERROR(__xludf.DUMMYFUNCTION("""COMPUTED_VALUE"""),1562.0)</f>
        <v>1562</v>
      </c>
      <c r="K1563" s="20" t="b">
        <f>IFERROR(__xludf.DUMMYFUNCTION("""COMPUTED_VALUE"""),FALSE)</f>
        <v>0</v>
      </c>
      <c r="L1563" s="20" t="str">
        <f>IFERROR(__xludf.DUMMYFUNCTION("""COMPUTED_VALUE"""),"Array;Binary Search;Simulation;")</f>
        <v>Array;Binary Search;Simulation;</v>
      </c>
      <c r="M1563" s="20" t="b">
        <f>IFERROR(__xludf.DUMMYFUNCTION("""COMPUTED_VALUE"""),FALSE)</f>
        <v>0</v>
      </c>
      <c r="N1563" s="20" t="b">
        <f>IFERROR(__xludf.DUMMYFUNCTION("""COMPUTED_VALUE"""),FALSE)</f>
        <v>0</v>
      </c>
      <c r="O1563" s="20">
        <f>IFERROR(__xludf.DUMMYFUNCTION("""COMPUTED_VALUE"""),42.6206204532151)</f>
        <v>42.62062045</v>
      </c>
      <c r="P1563" s="20">
        <f>IFERROR(__xludf.DUMMYFUNCTION("""COMPUTED_VALUE"""),15289.0)</f>
        <v>15289</v>
      </c>
      <c r="Q1563" s="20">
        <f>IFERROR(__xludf.DUMMYFUNCTION("""COMPUTED_VALUE"""),35874.0)</f>
        <v>35874</v>
      </c>
    </row>
    <row r="1564">
      <c r="A1564" s="20">
        <f>IFERROR(__xludf.DUMMYFUNCTION("""COMPUTED_VALUE"""),1685.0)</f>
        <v>1685</v>
      </c>
      <c r="B1564" s="20" t="str">
        <f>IFERROR(__xludf.DUMMYFUNCTION("""COMPUTED_VALUE"""),"Stone Game V")</f>
        <v>Stone Game V</v>
      </c>
      <c r="C1564" s="20" t="str">
        <f>IFERROR(__xludf.DUMMYFUNCTION("""COMPUTED_VALUE"""),"stone-game-v")</f>
        <v>stone-game-v</v>
      </c>
      <c r="D1564" s="20" t="b">
        <f>IFERROR(__xludf.DUMMYFUNCTION("""COMPUTED_VALUE"""),FALSE)</f>
        <v>0</v>
      </c>
      <c r="E1564" s="20" t="str">
        <f>IFERROR(__xludf.DUMMYFUNCTION("""COMPUTED_VALUE"""),"Hard")</f>
        <v>Hard</v>
      </c>
      <c r="F1564" s="20">
        <f>IFERROR(__xludf.DUMMYFUNCTION("""COMPUTED_VALUE"""),475.0)</f>
        <v>475</v>
      </c>
      <c r="G1564" s="20">
        <f>IFERROR(__xludf.DUMMYFUNCTION("""COMPUTED_VALUE"""),68.0)</f>
        <v>68</v>
      </c>
      <c r="H1564" s="20" t="str">
        <f>IFERROR(__xludf.DUMMYFUNCTION("""COMPUTED_VALUE"""),"Algorithms")</f>
        <v>Algorithms</v>
      </c>
      <c r="I1564" s="20">
        <f>IFERROR(__xludf.DUMMYFUNCTION("""COMPUTED_VALUE"""),0.406)</f>
        <v>0.406</v>
      </c>
      <c r="J1564" s="20">
        <f>IFERROR(__xludf.DUMMYFUNCTION("""COMPUTED_VALUE"""),1563.0)</f>
        <v>1563</v>
      </c>
      <c r="K1564" s="20" t="b">
        <f>IFERROR(__xludf.DUMMYFUNCTION("""COMPUTED_VALUE"""),FALSE)</f>
        <v>0</v>
      </c>
      <c r="L1564" s="20" t="str">
        <f>IFERROR(__xludf.DUMMYFUNCTION("""COMPUTED_VALUE"""),"Array;Math;Dynamic Programming;Game Theory;")</f>
        <v>Array;Math;Dynamic Programming;Game Theory;</v>
      </c>
      <c r="M1564" s="20" t="b">
        <f>IFERROR(__xludf.DUMMYFUNCTION("""COMPUTED_VALUE"""),FALSE)</f>
        <v>0</v>
      </c>
      <c r="N1564" s="20" t="b">
        <f>IFERROR(__xludf.DUMMYFUNCTION("""COMPUTED_VALUE"""),FALSE)</f>
        <v>0</v>
      </c>
      <c r="O1564" s="20">
        <f>IFERROR(__xludf.DUMMYFUNCTION("""COMPUTED_VALUE"""),40.5959333765952)</f>
        <v>40.59593338</v>
      </c>
      <c r="P1564" s="20">
        <f>IFERROR(__xludf.DUMMYFUNCTION("""COMPUTED_VALUE"""),15014.0)</f>
        <v>15014</v>
      </c>
      <c r="Q1564" s="20">
        <f>IFERROR(__xludf.DUMMYFUNCTION("""COMPUTED_VALUE"""),36984.0)</f>
        <v>36984</v>
      </c>
    </row>
    <row r="1565">
      <c r="A1565" s="20">
        <f>IFERROR(__xludf.DUMMYFUNCTION("""COMPUTED_VALUE"""),1703.0)</f>
        <v>1703</v>
      </c>
      <c r="B1565" s="20" t="str">
        <f>IFERROR(__xludf.DUMMYFUNCTION("""COMPUTED_VALUE"""),"Put Boxes Into the Warehouse I")</f>
        <v>Put Boxes Into the Warehouse I</v>
      </c>
      <c r="C1565" s="20" t="str">
        <f>IFERROR(__xludf.DUMMYFUNCTION("""COMPUTED_VALUE"""),"put-boxes-into-the-warehouse-i")</f>
        <v>put-boxes-into-the-warehouse-i</v>
      </c>
      <c r="D1565" s="20" t="b">
        <f>IFERROR(__xludf.DUMMYFUNCTION("""COMPUTED_VALUE"""),TRUE)</f>
        <v>1</v>
      </c>
      <c r="E1565" s="20" t="str">
        <f>IFERROR(__xludf.DUMMYFUNCTION("""COMPUTED_VALUE"""),"Medium")</f>
        <v>Medium</v>
      </c>
      <c r="F1565" s="20">
        <f>IFERROR(__xludf.DUMMYFUNCTION("""COMPUTED_VALUE"""),300.0)</f>
        <v>300</v>
      </c>
      <c r="G1565" s="20">
        <f>IFERROR(__xludf.DUMMYFUNCTION("""COMPUTED_VALUE"""),22.0)</f>
        <v>22</v>
      </c>
      <c r="H1565" s="20" t="str">
        <f>IFERROR(__xludf.DUMMYFUNCTION("""COMPUTED_VALUE"""),"Algorithms")</f>
        <v>Algorithms</v>
      </c>
      <c r="I1565" s="20">
        <f>IFERROR(__xludf.DUMMYFUNCTION("""COMPUTED_VALUE"""),0.671)</f>
        <v>0.671</v>
      </c>
      <c r="J1565" s="20">
        <f>IFERROR(__xludf.DUMMYFUNCTION("""COMPUTED_VALUE"""),1564.0)</f>
        <v>1564</v>
      </c>
      <c r="K1565" s="20" t="b">
        <f>IFERROR(__xludf.DUMMYFUNCTION("""COMPUTED_VALUE"""),TRUE)</f>
        <v>1</v>
      </c>
      <c r="L1565" s="20" t="str">
        <f>IFERROR(__xludf.DUMMYFUNCTION("""COMPUTED_VALUE"""),"Array;Greedy;Sorting;")</f>
        <v>Array;Greedy;Sorting;</v>
      </c>
      <c r="M1565" s="20" t="b">
        <f>IFERROR(__xludf.DUMMYFUNCTION("""COMPUTED_VALUE"""),TRUE)</f>
        <v>1</v>
      </c>
      <c r="N1565" s="20" t="b">
        <f>IFERROR(__xludf.DUMMYFUNCTION("""COMPUTED_VALUE"""),FALSE)</f>
        <v>0</v>
      </c>
      <c r="O1565" s="20">
        <f>IFERROR(__xludf.DUMMYFUNCTION("""COMPUTED_VALUE"""),67.0595563221695)</f>
        <v>67.05955632</v>
      </c>
      <c r="P1565" s="20">
        <f>IFERROR(__xludf.DUMMYFUNCTION("""COMPUTED_VALUE"""),13996.0)</f>
        <v>13996</v>
      </c>
      <c r="Q1565" s="20">
        <f>IFERROR(__xludf.DUMMYFUNCTION("""COMPUTED_VALUE"""),20871.0)</f>
        <v>20871</v>
      </c>
    </row>
    <row r="1566">
      <c r="A1566" s="20">
        <f>IFERROR(__xludf.DUMMYFUNCTION("""COMPUTED_VALUE"""),1712.0)</f>
        <v>1712</v>
      </c>
      <c r="B1566" s="20" t="str">
        <f>IFERROR(__xludf.DUMMYFUNCTION("""COMPUTED_VALUE"""),"Unique Orders and Customers Per Month")</f>
        <v>Unique Orders and Customers Per Month</v>
      </c>
      <c r="C1566" s="20" t="str">
        <f>IFERROR(__xludf.DUMMYFUNCTION("""COMPUTED_VALUE"""),"unique-orders-and-customers-per-month")</f>
        <v>unique-orders-and-customers-per-month</v>
      </c>
      <c r="D1566" s="20" t="b">
        <f>IFERROR(__xludf.DUMMYFUNCTION("""COMPUTED_VALUE"""),TRUE)</f>
        <v>1</v>
      </c>
      <c r="E1566" s="20" t="str">
        <f>IFERROR(__xludf.DUMMYFUNCTION("""COMPUTED_VALUE"""),"Easy")</f>
        <v>Easy</v>
      </c>
      <c r="F1566" s="20">
        <f>IFERROR(__xludf.DUMMYFUNCTION("""COMPUTED_VALUE"""),61.0)</f>
        <v>61</v>
      </c>
      <c r="G1566" s="20">
        <f>IFERROR(__xludf.DUMMYFUNCTION("""COMPUTED_VALUE"""),38.0)</f>
        <v>38</v>
      </c>
      <c r="H1566" s="20" t="str">
        <f>IFERROR(__xludf.DUMMYFUNCTION("""COMPUTED_VALUE"""),"Database")</f>
        <v>Database</v>
      </c>
      <c r="I1566" s="20">
        <f>IFERROR(__xludf.DUMMYFUNCTION("""COMPUTED_VALUE"""),0.833)</f>
        <v>0.833</v>
      </c>
      <c r="J1566" s="20">
        <f>IFERROR(__xludf.DUMMYFUNCTION("""COMPUTED_VALUE"""),1565.0)</f>
        <v>1565</v>
      </c>
      <c r="K1566" s="20" t="b">
        <f>IFERROR(__xludf.DUMMYFUNCTION("""COMPUTED_VALUE"""),TRUE)</f>
        <v>1</v>
      </c>
      <c r="L1566" s="20" t="str">
        <f>IFERROR(__xludf.DUMMYFUNCTION("""COMPUTED_VALUE"""),"Database;")</f>
        <v>Database;</v>
      </c>
      <c r="M1566" s="20" t="b">
        <f>IFERROR(__xludf.DUMMYFUNCTION("""COMPUTED_VALUE"""),FALSE)</f>
        <v>0</v>
      </c>
      <c r="N1566" s="20" t="b">
        <f>IFERROR(__xludf.DUMMYFUNCTION("""COMPUTED_VALUE"""),FALSE)</f>
        <v>0</v>
      </c>
      <c r="O1566" s="20">
        <f>IFERROR(__xludf.DUMMYFUNCTION("""COMPUTED_VALUE"""),83.3285714285714)</f>
        <v>83.32857143</v>
      </c>
      <c r="P1566" s="20">
        <f>IFERROR(__xludf.DUMMYFUNCTION("""COMPUTED_VALUE"""),17499.0)</f>
        <v>17499</v>
      </c>
      <c r="Q1566" s="20">
        <f>IFERROR(__xludf.DUMMYFUNCTION("""COMPUTED_VALUE"""),21000.0)</f>
        <v>21000</v>
      </c>
    </row>
    <row r="1567">
      <c r="A1567" s="20">
        <f>IFERROR(__xludf.DUMMYFUNCTION("""COMPUTED_VALUE"""),1689.0)</f>
        <v>1689</v>
      </c>
      <c r="B1567" s="20" t="str">
        <f>IFERROR(__xludf.DUMMYFUNCTION("""COMPUTED_VALUE"""),"Detect Pattern of Length M Repeated K or More Times")</f>
        <v>Detect Pattern of Length M Repeated K or More Times</v>
      </c>
      <c r="C1567" s="20" t="str">
        <f>IFERROR(__xludf.DUMMYFUNCTION("""COMPUTED_VALUE"""),"detect-pattern-of-length-m-repeated-k-or-more-times")</f>
        <v>detect-pattern-of-length-m-repeated-k-or-more-times</v>
      </c>
      <c r="D1567" s="20" t="b">
        <f>IFERROR(__xludf.DUMMYFUNCTION("""COMPUTED_VALUE"""),FALSE)</f>
        <v>0</v>
      </c>
      <c r="E1567" s="20" t="str">
        <f>IFERROR(__xludf.DUMMYFUNCTION("""COMPUTED_VALUE"""),"Easy")</f>
        <v>Easy</v>
      </c>
      <c r="F1567" s="20">
        <f>IFERROR(__xludf.DUMMYFUNCTION("""COMPUTED_VALUE"""),548.0)</f>
        <v>548</v>
      </c>
      <c r="G1567" s="20">
        <f>IFERROR(__xludf.DUMMYFUNCTION("""COMPUTED_VALUE"""),104.0)</f>
        <v>104</v>
      </c>
      <c r="H1567" s="20" t="str">
        <f>IFERROR(__xludf.DUMMYFUNCTION("""COMPUTED_VALUE"""),"Algorithms")</f>
        <v>Algorithms</v>
      </c>
      <c r="I1567" s="20">
        <f>IFERROR(__xludf.DUMMYFUNCTION("""COMPUTED_VALUE"""),0.436)</f>
        <v>0.436</v>
      </c>
      <c r="J1567" s="20">
        <f>IFERROR(__xludf.DUMMYFUNCTION("""COMPUTED_VALUE"""),1566.0)</f>
        <v>1566</v>
      </c>
      <c r="K1567" s="20" t="b">
        <f>IFERROR(__xludf.DUMMYFUNCTION("""COMPUTED_VALUE"""),FALSE)</f>
        <v>0</v>
      </c>
      <c r="L1567" s="20" t="str">
        <f>IFERROR(__xludf.DUMMYFUNCTION("""COMPUTED_VALUE"""),"Array;Enumeration;")</f>
        <v>Array;Enumeration;</v>
      </c>
      <c r="M1567" s="20" t="b">
        <f>IFERROR(__xludf.DUMMYFUNCTION("""COMPUTED_VALUE"""),FALSE)</f>
        <v>0</v>
      </c>
      <c r="N1567" s="20" t="b">
        <f>IFERROR(__xludf.DUMMYFUNCTION("""COMPUTED_VALUE"""),FALSE)</f>
        <v>0</v>
      </c>
      <c r="O1567" s="20">
        <f>IFERROR(__xludf.DUMMYFUNCTION("""COMPUTED_VALUE"""),43.5519482538794)</f>
        <v>43.55194825</v>
      </c>
      <c r="P1567" s="20">
        <f>IFERROR(__xludf.DUMMYFUNCTION("""COMPUTED_VALUE"""),28010.0)</f>
        <v>28010</v>
      </c>
      <c r="Q1567" s="20">
        <f>IFERROR(__xludf.DUMMYFUNCTION("""COMPUTED_VALUE"""),64310.0)</f>
        <v>64310</v>
      </c>
    </row>
    <row r="1568">
      <c r="A1568" s="20">
        <f>IFERROR(__xludf.DUMMYFUNCTION("""COMPUTED_VALUE"""),1690.0)</f>
        <v>1690</v>
      </c>
      <c r="B1568" s="20" t="str">
        <f>IFERROR(__xludf.DUMMYFUNCTION("""COMPUTED_VALUE"""),"Maximum Length of Subarray With Positive Product")</f>
        <v>Maximum Length of Subarray With Positive Product</v>
      </c>
      <c r="C1568" s="20" t="str">
        <f>IFERROR(__xludf.DUMMYFUNCTION("""COMPUTED_VALUE"""),"maximum-length-of-subarray-with-positive-product")</f>
        <v>maximum-length-of-subarray-with-positive-product</v>
      </c>
      <c r="D1568" s="20" t="b">
        <f>IFERROR(__xludf.DUMMYFUNCTION("""COMPUTED_VALUE"""),FALSE)</f>
        <v>0</v>
      </c>
      <c r="E1568" s="20" t="str">
        <f>IFERROR(__xludf.DUMMYFUNCTION("""COMPUTED_VALUE"""),"Medium")</f>
        <v>Medium</v>
      </c>
      <c r="F1568" s="20">
        <f>IFERROR(__xludf.DUMMYFUNCTION("""COMPUTED_VALUE"""),1969.0)</f>
        <v>1969</v>
      </c>
      <c r="G1568" s="20">
        <f>IFERROR(__xludf.DUMMYFUNCTION("""COMPUTED_VALUE"""),53.0)</f>
        <v>53</v>
      </c>
      <c r="H1568" s="20" t="str">
        <f>IFERROR(__xludf.DUMMYFUNCTION("""COMPUTED_VALUE"""),"Algorithms")</f>
        <v>Algorithms</v>
      </c>
      <c r="I1568" s="20">
        <f>IFERROR(__xludf.DUMMYFUNCTION("""COMPUTED_VALUE"""),0.438)</f>
        <v>0.438</v>
      </c>
      <c r="J1568" s="20">
        <f>IFERROR(__xludf.DUMMYFUNCTION("""COMPUTED_VALUE"""),1567.0)</f>
        <v>1567</v>
      </c>
      <c r="K1568" s="20" t="b">
        <f>IFERROR(__xludf.DUMMYFUNCTION("""COMPUTED_VALUE"""),FALSE)</f>
        <v>0</v>
      </c>
      <c r="L1568" s="20" t="str">
        <f>IFERROR(__xludf.DUMMYFUNCTION("""COMPUTED_VALUE"""),"Array;Dynamic Programming;Greedy;")</f>
        <v>Array;Dynamic Programming;Greedy;</v>
      </c>
      <c r="M1568" s="20" t="b">
        <f>IFERROR(__xludf.DUMMYFUNCTION("""COMPUTED_VALUE"""),FALSE)</f>
        <v>0</v>
      </c>
      <c r="N1568" s="20" t="b">
        <f>IFERROR(__xludf.DUMMYFUNCTION("""COMPUTED_VALUE"""),FALSE)</f>
        <v>0</v>
      </c>
      <c r="O1568" s="20">
        <f>IFERROR(__xludf.DUMMYFUNCTION("""COMPUTED_VALUE"""),43.7782670961095)</f>
        <v>43.7782671</v>
      </c>
      <c r="P1568" s="20">
        <f>IFERROR(__xludf.DUMMYFUNCTION("""COMPUTED_VALUE"""),77340.0)</f>
        <v>77340</v>
      </c>
      <c r="Q1568" s="20">
        <f>IFERROR(__xludf.DUMMYFUNCTION("""COMPUTED_VALUE"""),176663.0)</f>
        <v>176663</v>
      </c>
    </row>
    <row r="1569">
      <c r="A1569" s="20">
        <f>IFERROR(__xludf.DUMMYFUNCTION("""COMPUTED_VALUE"""),1691.0)</f>
        <v>1691</v>
      </c>
      <c r="B1569" s="20" t="str">
        <f>IFERROR(__xludf.DUMMYFUNCTION("""COMPUTED_VALUE"""),"Minimum Number of Days to Disconnect Island")</f>
        <v>Minimum Number of Days to Disconnect Island</v>
      </c>
      <c r="C1569" s="20" t="str">
        <f>IFERROR(__xludf.DUMMYFUNCTION("""COMPUTED_VALUE"""),"minimum-number-of-days-to-disconnect-island")</f>
        <v>minimum-number-of-days-to-disconnect-island</v>
      </c>
      <c r="D1569" s="20" t="b">
        <f>IFERROR(__xludf.DUMMYFUNCTION("""COMPUTED_VALUE"""),FALSE)</f>
        <v>0</v>
      </c>
      <c r="E1569" s="20" t="str">
        <f>IFERROR(__xludf.DUMMYFUNCTION("""COMPUTED_VALUE"""),"Hard")</f>
        <v>Hard</v>
      </c>
      <c r="F1569" s="20">
        <f>IFERROR(__xludf.DUMMYFUNCTION("""COMPUTED_VALUE"""),514.0)</f>
        <v>514</v>
      </c>
      <c r="G1569" s="20">
        <f>IFERROR(__xludf.DUMMYFUNCTION("""COMPUTED_VALUE"""),137.0)</f>
        <v>137</v>
      </c>
      <c r="H1569" s="20" t="str">
        <f>IFERROR(__xludf.DUMMYFUNCTION("""COMPUTED_VALUE"""),"Algorithms")</f>
        <v>Algorithms</v>
      </c>
      <c r="I1569" s="20">
        <f>IFERROR(__xludf.DUMMYFUNCTION("""COMPUTED_VALUE"""),0.467)</f>
        <v>0.467</v>
      </c>
      <c r="J1569" s="20">
        <f>IFERROR(__xludf.DUMMYFUNCTION("""COMPUTED_VALUE"""),1568.0)</f>
        <v>1568</v>
      </c>
      <c r="K1569" s="20" t="b">
        <f>IFERROR(__xludf.DUMMYFUNCTION("""COMPUTED_VALUE"""),FALSE)</f>
        <v>0</v>
      </c>
      <c r="L1569" s="20" t="str">
        <f>IFERROR(__xludf.DUMMYFUNCTION("""COMPUTED_VALUE"""),"Array;Depth-First Search;Breadth-First Search;Matrix;Strongly Connected Component;")</f>
        <v>Array;Depth-First Search;Breadth-First Search;Matrix;Strongly Connected Component;</v>
      </c>
      <c r="M1569" s="20" t="b">
        <f>IFERROR(__xludf.DUMMYFUNCTION("""COMPUTED_VALUE"""),FALSE)</f>
        <v>0</v>
      </c>
      <c r="N1569" s="20" t="b">
        <f>IFERROR(__xludf.DUMMYFUNCTION("""COMPUTED_VALUE"""),FALSE)</f>
        <v>0</v>
      </c>
      <c r="O1569" s="20">
        <f>IFERROR(__xludf.DUMMYFUNCTION("""COMPUTED_VALUE"""),46.740427876228)</f>
        <v>46.74042788</v>
      </c>
      <c r="P1569" s="20">
        <f>IFERROR(__xludf.DUMMYFUNCTION("""COMPUTED_VALUE"""),10181.0)</f>
        <v>10181</v>
      </c>
      <c r="Q1569" s="20">
        <f>IFERROR(__xludf.DUMMYFUNCTION("""COMPUTED_VALUE"""),21782.0)</f>
        <v>21782</v>
      </c>
    </row>
    <row r="1570">
      <c r="A1570" s="20">
        <f>IFERROR(__xludf.DUMMYFUNCTION("""COMPUTED_VALUE"""),1692.0)</f>
        <v>1692</v>
      </c>
      <c r="B1570" s="20" t="str">
        <f>IFERROR(__xludf.DUMMYFUNCTION("""COMPUTED_VALUE"""),"Number of Ways to Reorder Array to Get Same BST")</f>
        <v>Number of Ways to Reorder Array to Get Same BST</v>
      </c>
      <c r="C1570" s="20" t="str">
        <f>IFERROR(__xludf.DUMMYFUNCTION("""COMPUTED_VALUE"""),"number-of-ways-to-reorder-array-to-get-same-bst")</f>
        <v>number-of-ways-to-reorder-array-to-get-same-bst</v>
      </c>
      <c r="D1570" s="20" t="b">
        <f>IFERROR(__xludf.DUMMYFUNCTION("""COMPUTED_VALUE"""),FALSE)</f>
        <v>0</v>
      </c>
      <c r="E1570" s="20" t="str">
        <f>IFERROR(__xludf.DUMMYFUNCTION("""COMPUTED_VALUE"""),"Hard")</f>
        <v>Hard</v>
      </c>
      <c r="F1570" s="20">
        <f>IFERROR(__xludf.DUMMYFUNCTION("""COMPUTED_VALUE"""),509.0)</f>
        <v>509</v>
      </c>
      <c r="G1570" s="20">
        <f>IFERROR(__xludf.DUMMYFUNCTION("""COMPUTED_VALUE"""),52.0)</f>
        <v>52</v>
      </c>
      <c r="H1570" s="20" t="str">
        <f>IFERROR(__xludf.DUMMYFUNCTION("""COMPUTED_VALUE"""),"Algorithms")</f>
        <v>Algorithms</v>
      </c>
      <c r="I1570" s="20">
        <f>IFERROR(__xludf.DUMMYFUNCTION("""COMPUTED_VALUE"""),0.481)</f>
        <v>0.481</v>
      </c>
      <c r="J1570" s="20">
        <f>IFERROR(__xludf.DUMMYFUNCTION("""COMPUTED_VALUE"""),1569.0)</f>
        <v>1569</v>
      </c>
      <c r="K1570" s="20" t="b">
        <f>IFERROR(__xludf.DUMMYFUNCTION("""COMPUTED_VALUE"""),FALSE)</f>
        <v>0</v>
      </c>
      <c r="L1570" s="20" t="str">
        <f>IFERROR(__xludf.DUMMYFUNCTION("""COMPUTED_VALUE"""),"Array;Math;Divide and Conquer;Dynamic Programming;Tree;Union Find;Binary Search Tree;Memoization;Combinatorics;Binary Tree;")</f>
        <v>Array;Math;Divide and Conquer;Dynamic Programming;Tree;Union Find;Binary Search Tree;Memoization;Combinatorics;Binary Tree;</v>
      </c>
      <c r="M1570" s="20" t="b">
        <f>IFERROR(__xludf.DUMMYFUNCTION("""COMPUTED_VALUE"""),FALSE)</f>
        <v>0</v>
      </c>
      <c r="N1570" s="20" t="b">
        <f>IFERROR(__xludf.DUMMYFUNCTION("""COMPUTED_VALUE"""),FALSE)</f>
        <v>0</v>
      </c>
      <c r="O1570" s="20">
        <f>IFERROR(__xludf.DUMMYFUNCTION("""COMPUTED_VALUE"""),48.063305178739)</f>
        <v>48.06330518</v>
      </c>
      <c r="P1570" s="20">
        <f>IFERROR(__xludf.DUMMYFUNCTION("""COMPUTED_VALUE"""),11267.0)</f>
        <v>11267</v>
      </c>
      <c r="Q1570" s="20">
        <f>IFERROR(__xludf.DUMMYFUNCTION("""COMPUTED_VALUE"""),23442.0)</f>
        <v>23442</v>
      </c>
    </row>
    <row r="1571">
      <c r="A1571" s="20">
        <f>IFERROR(__xludf.DUMMYFUNCTION("""COMPUTED_VALUE"""),1713.0)</f>
        <v>1713</v>
      </c>
      <c r="B1571" s="20" t="str">
        <f>IFERROR(__xludf.DUMMYFUNCTION("""COMPUTED_VALUE"""),"Dot Product of Two Sparse Vectors")</f>
        <v>Dot Product of Two Sparse Vectors</v>
      </c>
      <c r="C1571" s="20" t="str">
        <f>IFERROR(__xludf.DUMMYFUNCTION("""COMPUTED_VALUE"""),"dot-product-of-two-sparse-vectors")</f>
        <v>dot-product-of-two-sparse-vectors</v>
      </c>
      <c r="D1571" s="20" t="b">
        <f>IFERROR(__xludf.DUMMYFUNCTION("""COMPUTED_VALUE"""),TRUE)</f>
        <v>1</v>
      </c>
      <c r="E1571" s="20" t="str">
        <f>IFERROR(__xludf.DUMMYFUNCTION("""COMPUTED_VALUE"""),"Medium")</f>
        <v>Medium</v>
      </c>
      <c r="F1571" s="20">
        <f>IFERROR(__xludf.DUMMYFUNCTION("""COMPUTED_VALUE"""),1022.0)</f>
        <v>1022</v>
      </c>
      <c r="G1571" s="20">
        <f>IFERROR(__xludf.DUMMYFUNCTION("""COMPUTED_VALUE"""),136.0)</f>
        <v>136</v>
      </c>
      <c r="H1571" s="20" t="str">
        <f>IFERROR(__xludf.DUMMYFUNCTION("""COMPUTED_VALUE"""),"Algorithms")</f>
        <v>Algorithms</v>
      </c>
      <c r="I1571" s="20">
        <f>IFERROR(__xludf.DUMMYFUNCTION("""COMPUTED_VALUE"""),0.904)</f>
        <v>0.904</v>
      </c>
      <c r="J1571" s="20">
        <f>IFERROR(__xludf.DUMMYFUNCTION("""COMPUTED_VALUE"""),1570.0)</f>
        <v>1570</v>
      </c>
      <c r="K1571" s="20" t="b">
        <f>IFERROR(__xludf.DUMMYFUNCTION("""COMPUTED_VALUE"""),TRUE)</f>
        <v>1</v>
      </c>
      <c r="L1571" s="20" t="str">
        <f>IFERROR(__xludf.DUMMYFUNCTION("""COMPUTED_VALUE"""),"Array;Hash Table;Two Pointers;Design;")</f>
        <v>Array;Hash Table;Two Pointers;Design;</v>
      </c>
      <c r="M1571" s="20" t="b">
        <f>IFERROR(__xludf.DUMMYFUNCTION("""COMPUTED_VALUE"""),TRUE)</f>
        <v>1</v>
      </c>
      <c r="N1571" s="20" t="b">
        <f>IFERROR(__xludf.DUMMYFUNCTION("""COMPUTED_VALUE"""),FALSE)</f>
        <v>0</v>
      </c>
      <c r="O1571" s="20">
        <f>IFERROR(__xludf.DUMMYFUNCTION("""COMPUTED_VALUE"""),90.3588020762397)</f>
        <v>90.35880208</v>
      </c>
      <c r="P1571" s="20">
        <f>IFERROR(__xludf.DUMMYFUNCTION("""COMPUTED_VALUE"""),179130.0)</f>
        <v>179130</v>
      </c>
      <c r="Q1571" s="20">
        <f>IFERROR(__xludf.DUMMYFUNCTION("""COMPUTED_VALUE"""),198243.0)</f>
        <v>198243</v>
      </c>
    </row>
    <row r="1572">
      <c r="A1572" s="20">
        <f>IFERROR(__xludf.DUMMYFUNCTION("""COMPUTED_VALUE"""),1718.0)</f>
        <v>1718</v>
      </c>
      <c r="B1572" s="20" t="str">
        <f>IFERROR(__xludf.DUMMYFUNCTION("""COMPUTED_VALUE"""),"Warehouse Manager")</f>
        <v>Warehouse Manager</v>
      </c>
      <c r="C1572" s="20" t="str">
        <f>IFERROR(__xludf.DUMMYFUNCTION("""COMPUTED_VALUE"""),"warehouse-manager")</f>
        <v>warehouse-manager</v>
      </c>
      <c r="D1572" s="20" t="b">
        <f>IFERROR(__xludf.DUMMYFUNCTION("""COMPUTED_VALUE"""),TRUE)</f>
        <v>1</v>
      </c>
      <c r="E1572" s="20" t="str">
        <f>IFERROR(__xludf.DUMMYFUNCTION("""COMPUTED_VALUE"""),"Easy")</f>
        <v>Easy</v>
      </c>
      <c r="F1572" s="20">
        <f>IFERROR(__xludf.DUMMYFUNCTION("""COMPUTED_VALUE"""),121.0)</f>
        <v>121</v>
      </c>
      <c r="G1572" s="20">
        <f>IFERROR(__xludf.DUMMYFUNCTION("""COMPUTED_VALUE"""),9.0)</f>
        <v>9</v>
      </c>
      <c r="H1572" s="20" t="str">
        <f>IFERROR(__xludf.DUMMYFUNCTION("""COMPUTED_VALUE"""),"Database")</f>
        <v>Database</v>
      </c>
      <c r="I1572" s="20">
        <f>IFERROR(__xludf.DUMMYFUNCTION("""COMPUTED_VALUE"""),0.899)</f>
        <v>0.899</v>
      </c>
      <c r="J1572" s="20">
        <f>IFERROR(__xludf.DUMMYFUNCTION("""COMPUTED_VALUE"""),1571.0)</f>
        <v>1571</v>
      </c>
      <c r="K1572" s="20" t="b">
        <f>IFERROR(__xludf.DUMMYFUNCTION("""COMPUTED_VALUE"""),TRUE)</f>
        <v>1</v>
      </c>
      <c r="L1572" s="20" t="str">
        <f>IFERROR(__xludf.DUMMYFUNCTION("""COMPUTED_VALUE"""),"Database;")</f>
        <v>Database;</v>
      </c>
      <c r="M1572" s="20" t="b">
        <f>IFERROR(__xludf.DUMMYFUNCTION("""COMPUTED_VALUE"""),FALSE)</f>
        <v>0</v>
      </c>
      <c r="N1572" s="20" t="b">
        <f>IFERROR(__xludf.DUMMYFUNCTION("""COMPUTED_VALUE"""),FALSE)</f>
        <v>0</v>
      </c>
      <c r="O1572" s="20">
        <f>IFERROR(__xludf.DUMMYFUNCTION("""COMPUTED_VALUE"""),89.8680504077094)</f>
        <v>89.86805041</v>
      </c>
      <c r="P1572" s="20">
        <f>IFERROR(__xludf.DUMMYFUNCTION("""COMPUTED_VALUE"""),30307.0)</f>
        <v>30307</v>
      </c>
      <c r="Q1572" s="20">
        <f>IFERROR(__xludf.DUMMYFUNCTION("""COMPUTED_VALUE"""),33724.0)</f>
        <v>33724</v>
      </c>
    </row>
    <row r="1573">
      <c r="A1573" s="20">
        <f>IFERROR(__xludf.DUMMYFUNCTION("""COMPUTED_VALUE"""),1677.0)</f>
        <v>1677</v>
      </c>
      <c r="B1573" s="20" t="str">
        <f>IFERROR(__xludf.DUMMYFUNCTION("""COMPUTED_VALUE"""),"Matrix Diagonal Sum")</f>
        <v>Matrix Diagonal Sum</v>
      </c>
      <c r="C1573" s="20" t="str">
        <f>IFERROR(__xludf.DUMMYFUNCTION("""COMPUTED_VALUE"""),"matrix-diagonal-sum")</f>
        <v>matrix-diagonal-sum</v>
      </c>
      <c r="D1573" s="20" t="b">
        <f>IFERROR(__xludf.DUMMYFUNCTION("""COMPUTED_VALUE"""),FALSE)</f>
        <v>0</v>
      </c>
      <c r="E1573" s="20" t="str">
        <f>IFERROR(__xludf.DUMMYFUNCTION("""COMPUTED_VALUE"""),"Easy")</f>
        <v>Easy</v>
      </c>
      <c r="F1573" s="20">
        <f>IFERROR(__xludf.DUMMYFUNCTION("""COMPUTED_VALUE"""),1753.0)</f>
        <v>1753</v>
      </c>
      <c r="G1573" s="20">
        <f>IFERROR(__xludf.DUMMYFUNCTION("""COMPUTED_VALUE"""),25.0)</f>
        <v>25</v>
      </c>
      <c r="H1573" s="20" t="str">
        <f>IFERROR(__xludf.DUMMYFUNCTION("""COMPUTED_VALUE"""),"Algorithms")</f>
        <v>Algorithms</v>
      </c>
      <c r="I1573" s="20">
        <f>IFERROR(__xludf.DUMMYFUNCTION("""COMPUTED_VALUE"""),0.799)</f>
        <v>0.799</v>
      </c>
      <c r="J1573" s="20">
        <f>IFERROR(__xludf.DUMMYFUNCTION("""COMPUTED_VALUE"""),1572.0)</f>
        <v>1572</v>
      </c>
      <c r="K1573" s="20" t="b">
        <f>IFERROR(__xludf.DUMMYFUNCTION("""COMPUTED_VALUE"""),FALSE)</f>
        <v>0</v>
      </c>
      <c r="L1573" s="20" t="str">
        <f>IFERROR(__xludf.DUMMYFUNCTION("""COMPUTED_VALUE"""),"Array;Matrix;")</f>
        <v>Array;Matrix;</v>
      </c>
      <c r="M1573" s="20" t="b">
        <f>IFERROR(__xludf.DUMMYFUNCTION("""COMPUTED_VALUE"""),FALSE)</f>
        <v>0</v>
      </c>
      <c r="N1573" s="20" t="b">
        <f>IFERROR(__xludf.DUMMYFUNCTION("""COMPUTED_VALUE"""),FALSE)</f>
        <v>0</v>
      </c>
      <c r="O1573" s="20">
        <f>IFERROR(__xludf.DUMMYFUNCTION("""COMPUTED_VALUE"""),79.8646397012169)</f>
        <v>79.8646397</v>
      </c>
      <c r="P1573" s="20">
        <f>IFERROR(__xludf.DUMMYFUNCTION("""COMPUTED_VALUE"""),154819.0)</f>
        <v>154819</v>
      </c>
      <c r="Q1573" s="20">
        <f>IFERROR(__xludf.DUMMYFUNCTION("""COMPUTED_VALUE"""),193852.0)</f>
        <v>193852</v>
      </c>
    </row>
    <row r="1574">
      <c r="A1574" s="20">
        <f>IFERROR(__xludf.DUMMYFUNCTION("""COMPUTED_VALUE"""),1678.0)</f>
        <v>1678</v>
      </c>
      <c r="B1574" s="20" t="str">
        <f>IFERROR(__xludf.DUMMYFUNCTION("""COMPUTED_VALUE"""),"Number of Ways to Split a String")</f>
        <v>Number of Ways to Split a String</v>
      </c>
      <c r="C1574" s="20" t="str">
        <f>IFERROR(__xludf.DUMMYFUNCTION("""COMPUTED_VALUE"""),"number-of-ways-to-split-a-string")</f>
        <v>number-of-ways-to-split-a-string</v>
      </c>
      <c r="D1574" s="20" t="b">
        <f>IFERROR(__xludf.DUMMYFUNCTION("""COMPUTED_VALUE"""),FALSE)</f>
        <v>0</v>
      </c>
      <c r="E1574" s="20" t="str">
        <f>IFERROR(__xludf.DUMMYFUNCTION("""COMPUTED_VALUE"""),"Medium")</f>
        <v>Medium</v>
      </c>
      <c r="F1574" s="20">
        <f>IFERROR(__xludf.DUMMYFUNCTION("""COMPUTED_VALUE"""),555.0)</f>
        <v>555</v>
      </c>
      <c r="G1574" s="20">
        <f>IFERROR(__xludf.DUMMYFUNCTION("""COMPUTED_VALUE"""),71.0)</f>
        <v>71</v>
      </c>
      <c r="H1574" s="20" t="str">
        <f>IFERROR(__xludf.DUMMYFUNCTION("""COMPUTED_VALUE"""),"Algorithms")</f>
        <v>Algorithms</v>
      </c>
      <c r="I1574" s="20">
        <f>IFERROR(__xludf.DUMMYFUNCTION("""COMPUTED_VALUE"""),0.324)</f>
        <v>0.324</v>
      </c>
      <c r="J1574" s="20">
        <f>IFERROR(__xludf.DUMMYFUNCTION("""COMPUTED_VALUE"""),1573.0)</f>
        <v>1573</v>
      </c>
      <c r="K1574" s="20" t="b">
        <f>IFERROR(__xludf.DUMMYFUNCTION("""COMPUTED_VALUE"""),FALSE)</f>
        <v>0</v>
      </c>
      <c r="L1574" s="20" t="str">
        <f>IFERROR(__xludf.DUMMYFUNCTION("""COMPUTED_VALUE"""),"Math;String;")</f>
        <v>Math;String;</v>
      </c>
      <c r="M1574" s="20" t="b">
        <f>IFERROR(__xludf.DUMMYFUNCTION("""COMPUTED_VALUE"""),FALSE)</f>
        <v>0</v>
      </c>
      <c r="N1574" s="20" t="b">
        <f>IFERROR(__xludf.DUMMYFUNCTION("""COMPUTED_VALUE"""),FALSE)</f>
        <v>0</v>
      </c>
      <c r="O1574" s="20">
        <f>IFERROR(__xludf.DUMMYFUNCTION("""COMPUTED_VALUE"""),32.418191114646)</f>
        <v>32.41819111</v>
      </c>
      <c r="P1574" s="20">
        <f>IFERROR(__xludf.DUMMYFUNCTION("""COMPUTED_VALUE"""),22825.0)</f>
        <v>22825</v>
      </c>
      <c r="Q1574" s="20">
        <f>IFERROR(__xludf.DUMMYFUNCTION("""COMPUTED_VALUE"""),70408.0)</f>
        <v>70408</v>
      </c>
    </row>
    <row r="1575">
      <c r="A1575" s="20">
        <f>IFERROR(__xludf.DUMMYFUNCTION("""COMPUTED_VALUE"""),1679.0)</f>
        <v>1679</v>
      </c>
      <c r="B1575" s="20" t="str">
        <f>IFERROR(__xludf.DUMMYFUNCTION("""COMPUTED_VALUE"""),"Shortest Subarray to be Removed to Make Array Sorted")</f>
        <v>Shortest Subarray to be Removed to Make Array Sorted</v>
      </c>
      <c r="C1575" s="20" t="str">
        <f>IFERROR(__xludf.DUMMYFUNCTION("""COMPUTED_VALUE"""),"shortest-subarray-to-be-removed-to-make-array-sorted")</f>
        <v>shortest-subarray-to-be-removed-to-make-array-sorted</v>
      </c>
      <c r="D1575" s="20" t="b">
        <f>IFERROR(__xludf.DUMMYFUNCTION("""COMPUTED_VALUE"""),FALSE)</f>
        <v>0</v>
      </c>
      <c r="E1575" s="20" t="str">
        <f>IFERROR(__xludf.DUMMYFUNCTION("""COMPUTED_VALUE"""),"Medium")</f>
        <v>Medium</v>
      </c>
      <c r="F1575" s="20">
        <f>IFERROR(__xludf.DUMMYFUNCTION("""COMPUTED_VALUE"""),1299.0)</f>
        <v>1299</v>
      </c>
      <c r="G1575" s="20">
        <f>IFERROR(__xludf.DUMMYFUNCTION("""COMPUTED_VALUE"""),45.0)</f>
        <v>45</v>
      </c>
      <c r="H1575" s="20" t="str">
        <f>IFERROR(__xludf.DUMMYFUNCTION("""COMPUTED_VALUE"""),"Algorithms")</f>
        <v>Algorithms</v>
      </c>
      <c r="I1575" s="20">
        <f>IFERROR(__xludf.DUMMYFUNCTION("""COMPUTED_VALUE"""),0.367)</f>
        <v>0.367</v>
      </c>
      <c r="J1575" s="20">
        <f>IFERROR(__xludf.DUMMYFUNCTION("""COMPUTED_VALUE"""),1574.0)</f>
        <v>1574</v>
      </c>
      <c r="K1575" s="20" t="b">
        <f>IFERROR(__xludf.DUMMYFUNCTION("""COMPUTED_VALUE"""),FALSE)</f>
        <v>0</v>
      </c>
      <c r="L1575" s="20" t="str">
        <f>IFERROR(__xludf.DUMMYFUNCTION("""COMPUTED_VALUE"""),"Array;Two Pointers;Binary Search;Stack;Monotonic Stack;")</f>
        <v>Array;Two Pointers;Binary Search;Stack;Monotonic Stack;</v>
      </c>
      <c r="M1575" s="20" t="b">
        <f>IFERROR(__xludf.DUMMYFUNCTION("""COMPUTED_VALUE"""),FALSE)</f>
        <v>0</v>
      </c>
      <c r="N1575" s="20" t="b">
        <f>IFERROR(__xludf.DUMMYFUNCTION("""COMPUTED_VALUE"""),FALSE)</f>
        <v>0</v>
      </c>
      <c r="O1575" s="20">
        <f>IFERROR(__xludf.DUMMYFUNCTION("""COMPUTED_VALUE"""),36.7031379997802)</f>
        <v>36.703138</v>
      </c>
      <c r="P1575" s="20">
        <f>IFERROR(__xludf.DUMMYFUNCTION("""COMPUTED_VALUE"""),23381.0)</f>
        <v>23381</v>
      </c>
      <c r="Q1575" s="20">
        <f>IFERROR(__xludf.DUMMYFUNCTION("""COMPUTED_VALUE"""),63703.0)</f>
        <v>63703</v>
      </c>
    </row>
    <row r="1576">
      <c r="A1576" s="20">
        <f>IFERROR(__xludf.DUMMYFUNCTION("""COMPUTED_VALUE"""),1680.0)</f>
        <v>1680</v>
      </c>
      <c r="B1576" s="20" t="str">
        <f>IFERROR(__xludf.DUMMYFUNCTION("""COMPUTED_VALUE"""),"Count All Possible Routes")</f>
        <v>Count All Possible Routes</v>
      </c>
      <c r="C1576" s="20" t="str">
        <f>IFERROR(__xludf.DUMMYFUNCTION("""COMPUTED_VALUE"""),"count-all-possible-routes")</f>
        <v>count-all-possible-routes</v>
      </c>
      <c r="D1576" s="20" t="b">
        <f>IFERROR(__xludf.DUMMYFUNCTION("""COMPUTED_VALUE"""),FALSE)</f>
        <v>0</v>
      </c>
      <c r="E1576" s="20" t="str">
        <f>IFERROR(__xludf.DUMMYFUNCTION("""COMPUTED_VALUE"""),"Hard")</f>
        <v>Hard</v>
      </c>
      <c r="F1576" s="20">
        <f>IFERROR(__xludf.DUMMYFUNCTION("""COMPUTED_VALUE"""),445.0)</f>
        <v>445</v>
      </c>
      <c r="G1576" s="20">
        <f>IFERROR(__xludf.DUMMYFUNCTION("""COMPUTED_VALUE"""),26.0)</f>
        <v>26</v>
      </c>
      <c r="H1576" s="20" t="str">
        <f>IFERROR(__xludf.DUMMYFUNCTION("""COMPUTED_VALUE"""),"Algorithms")</f>
        <v>Algorithms</v>
      </c>
      <c r="I1576" s="20">
        <f>IFERROR(__xludf.DUMMYFUNCTION("""COMPUTED_VALUE"""),0.568)</f>
        <v>0.568</v>
      </c>
      <c r="J1576" s="20">
        <f>IFERROR(__xludf.DUMMYFUNCTION("""COMPUTED_VALUE"""),1575.0)</f>
        <v>1575</v>
      </c>
      <c r="K1576" s="20" t="b">
        <f>IFERROR(__xludf.DUMMYFUNCTION("""COMPUTED_VALUE"""),FALSE)</f>
        <v>0</v>
      </c>
      <c r="L1576" s="20" t="str">
        <f>IFERROR(__xludf.DUMMYFUNCTION("""COMPUTED_VALUE"""),"Array;Dynamic Programming;Memoization;")</f>
        <v>Array;Dynamic Programming;Memoization;</v>
      </c>
      <c r="M1576" s="20" t="b">
        <f>IFERROR(__xludf.DUMMYFUNCTION("""COMPUTED_VALUE"""),FALSE)</f>
        <v>0</v>
      </c>
      <c r="N1576" s="20" t="b">
        <f>IFERROR(__xludf.DUMMYFUNCTION("""COMPUTED_VALUE"""),FALSE)</f>
        <v>0</v>
      </c>
      <c r="O1576" s="20">
        <f>IFERROR(__xludf.DUMMYFUNCTION("""COMPUTED_VALUE"""),56.78675571442)</f>
        <v>56.78675571</v>
      </c>
      <c r="P1576" s="20">
        <f>IFERROR(__xludf.DUMMYFUNCTION("""COMPUTED_VALUE"""),12074.0)</f>
        <v>12074</v>
      </c>
      <c r="Q1576" s="20">
        <f>IFERROR(__xludf.DUMMYFUNCTION("""COMPUTED_VALUE"""),21262.0)</f>
        <v>21262</v>
      </c>
    </row>
    <row r="1577">
      <c r="A1577" s="20">
        <f>IFERROR(__xludf.DUMMYFUNCTION("""COMPUTED_VALUE"""),1698.0)</f>
        <v>1698</v>
      </c>
      <c r="B1577" s="20" t="str">
        <f>IFERROR(__xludf.DUMMYFUNCTION("""COMPUTED_VALUE"""),"Replace All ?'s to Avoid Consecutive Repeating Characters")</f>
        <v>Replace All ?'s to Avoid Consecutive Repeating Characters</v>
      </c>
      <c r="C1577" s="20" t="str">
        <f>IFERROR(__xludf.DUMMYFUNCTION("""COMPUTED_VALUE"""),"replace-all-s-to-avoid-consecutive-repeating-characters")</f>
        <v>replace-all-s-to-avoid-consecutive-repeating-characters</v>
      </c>
      <c r="D1577" s="20" t="b">
        <f>IFERROR(__xludf.DUMMYFUNCTION("""COMPUTED_VALUE"""),FALSE)</f>
        <v>0</v>
      </c>
      <c r="E1577" s="20" t="str">
        <f>IFERROR(__xludf.DUMMYFUNCTION("""COMPUTED_VALUE"""),"Easy")</f>
        <v>Easy</v>
      </c>
      <c r="F1577" s="20">
        <f>IFERROR(__xludf.DUMMYFUNCTION("""COMPUTED_VALUE"""),466.0)</f>
        <v>466</v>
      </c>
      <c r="G1577" s="20">
        <f>IFERROR(__xludf.DUMMYFUNCTION("""COMPUTED_VALUE"""),153.0)</f>
        <v>153</v>
      </c>
      <c r="H1577" s="20" t="str">
        <f>IFERROR(__xludf.DUMMYFUNCTION("""COMPUTED_VALUE"""),"Algorithms")</f>
        <v>Algorithms</v>
      </c>
      <c r="I1577" s="20">
        <f>IFERROR(__xludf.DUMMYFUNCTION("""COMPUTED_VALUE"""),0.49)</f>
        <v>0.49</v>
      </c>
      <c r="J1577" s="20">
        <f>IFERROR(__xludf.DUMMYFUNCTION("""COMPUTED_VALUE"""),1576.0)</f>
        <v>1576</v>
      </c>
      <c r="K1577" s="20" t="b">
        <f>IFERROR(__xludf.DUMMYFUNCTION("""COMPUTED_VALUE"""),FALSE)</f>
        <v>0</v>
      </c>
      <c r="L1577" s="20" t="str">
        <f>IFERROR(__xludf.DUMMYFUNCTION("""COMPUTED_VALUE"""),"String;")</f>
        <v>String;</v>
      </c>
      <c r="M1577" s="20" t="b">
        <f>IFERROR(__xludf.DUMMYFUNCTION("""COMPUTED_VALUE"""),FALSE)</f>
        <v>0</v>
      </c>
      <c r="N1577" s="20" t="b">
        <f>IFERROR(__xludf.DUMMYFUNCTION("""COMPUTED_VALUE"""),FALSE)</f>
        <v>0</v>
      </c>
      <c r="O1577" s="20">
        <f>IFERROR(__xludf.DUMMYFUNCTION("""COMPUTED_VALUE"""),48.952334392569)</f>
        <v>48.95233439</v>
      </c>
      <c r="P1577" s="20">
        <f>IFERROR(__xludf.DUMMYFUNCTION("""COMPUTED_VALUE"""),50066.0)</f>
        <v>50066</v>
      </c>
      <c r="Q1577" s="20">
        <f>IFERROR(__xludf.DUMMYFUNCTION("""COMPUTED_VALUE"""),102275.0)</f>
        <v>102275</v>
      </c>
    </row>
    <row r="1578">
      <c r="A1578" s="20">
        <f>IFERROR(__xludf.DUMMYFUNCTION("""COMPUTED_VALUE"""),1699.0)</f>
        <v>1699</v>
      </c>
      <c r="B1578" s="20" t="str">
        <f>IFERROR(__xludf.DUMMYFUNCTION("""COMPUTED_VALUE"""),"Number of Ways Where Square of Number Is Equal to Product of Two Numbers")</f>
        <v>Number of Ways Where Square of Number Is Equal to Product of Two Numbers</v>
      </c>
      <c r="C1578" s="20" t="str">
        <f>IFERROR(__xludf.DUMMYFUNCTION("""COMPUTED_VALUE"""),"number-of-ways-where-square-of-number-is-equal-to-product-of-two-numbers")</f>
        <v>number-of-ways-where-square-of-number-is-equal-to-product-of-two-numbers</v>
      </c>
      <c r="D1578" s="20" t="b">
        <f>IFERROR(__xludf.DUMMYFUNCTION("""COMPUTED_VALUE"""),FALSE)</f>
        <v>0</v>
      </c>
      <c r="E1578" s="20" t="str">
        <f>IFERROR(__xludf.DUMMYFUNCTION("""COMPUTED_VALUE"""),"Medium")</f>
        <v>Medium</v>
      </c>
      <c r="F1578" s="20">
        <f>IFERROR(__xludf.DUMMYFUNCTION("""COMPUTED_VALUE"""),301.0)</f>
        <v>301</v>
      </c>
      <c r="G1578" s="20">
        <f>IFERROR(__xludf.DUMMYFUNCTION("""COMPUTED_VALUE"""),51.0)</f>
        <v>51</v>
      </c>
      <c r="H1578" s="20" t="str">
        <f>IFERROR(__xludf.DUMMYFUNCTION("""COMPUTED_VALUE"""),"Algorithms")</f>
        <v>Algorithms</v>
      </c>
      <c r="I1578" s="20">
        <f>IFERROR(__xludf.DUMMYFUNCTION("""COMPUTED_VALUE"""),0.4)</f>
        <v>0.4</v>
      </c>
      <c r="J1578" s="20">
        <f>IFERROR(__xludf.DUMMYFUNCTION("""COMPUTED_VALUE"""),1577.0)</f>
        <v>1577</v>
      </c>
      <c r="K1578" s="20" t="b">
        <f>IFERROR(__xludf.DUMMYFUNCTION("""COMPUTED_VALUE"""),FALSE)</f>
        <v>0</v>
      </c>
      <c r="L1578" s="20" t="str">
        <f>IFERROR(__xludf.DUMMYFUNCTION("""COMPUTED_VALUE"""),"Array;Hash Table;Math;Two Pointers;")</f>
        <v>Array;Hash Table;Math;Two Pointers;</v>
      </c>
      <c r="M1578" s="20" t="b">
        <f>IFERROR(__xludf.DUMMYFUNCTION("""COMPUTED_VALUE"""),FALSE)</f>
        <v>0</v>
      </c>
      <c r="N1578" s="20" t="b">
        <f>IFERROR(__xludf.DUMMYFUNCTION("""COMPUTED_VALUE"""),FALSE)</f>
        <v>0</v>
      </c>
      <c r="O1578" s="20">
        <f>IFERROR(__xludf.DUMMYFUNCTION("""COMPUTED_VALUE"""),39.9926348738722)</f>
        <v>39.99263487</v>
      </c>
      <c r="P1578" s="20">
        <f>IFERROR(__xludf.DUMMYFUNCTION("""COMPUTED_VALUE"""),17376.0)</f>
        <v>17376</v>
      </c>
      <c r="Q1578" s="20">
        <f>IFERROR(__xludf.DUMMYFUNCTION("""COMPUTED_VALUE"""),43448.0)</f>
        <v>43448</v>
      </c>
    </row>
    <row r="1579">
      <c r="A1579" s="20">
        <f>IFERROR(__xludf.DUMMYFUNCTION("""COMPUTED_VALUE"""),1700.0)</f>
        <v>1700</v>
      </c>
      <c r="B1579" s="20" t="str">
        <f>IFERROR(__xludf.DUMMYFUNCTION("""COMPUTED_VALUE"""),"Minimum Time to Make Rope Colorful")</f>
        <v>Minimum Time to Make Rope Colorful</v>
      </c>
      <c r="C1579" s="20" t="str">
        <f>IFERROR(__xludf.DUMMYFUNCTION("""COMPUTED_VALUE"""),"minimum-time-to-make-rope-colorful")</f>
        <v>minimum-time-to-make-rope-colorful</v>
      </c>
      <c r="D1579" s="20" t="b">
        <f>IFERROR(__xludf.DUMMYFUNCTION("""COMPUTED_VALUE"""),FALSE)</f>
        <v>0</v>
      </c>
      <c r="E1579" s="20" t="str">
        <f>IFERROR(__xludf.DUMMYFUNCTION("""COMPUTED_VALUE"""),"Medium")</f>
        <v>Medium</v>
      </c>
      <c r="F1579" s="20">
        <f>IFERROR(__xludf.DUMMYFUNCTION("""COMPUTED_VALUE"""),2667.0)</f>
        <v>2667</v>
      </c>
      <c r="G1579" s="20">
        <f>IFERROR(__xludf.DUMMYFUNCTION("""COMPUTED_VALUE"""),76.0)</f>
        <v>76</v>
      </c>
      <c r="H1579" s="20" t="str">
        <f>IFERROR(__xludf.DUMMYFUNCTION("""COMPUTED_VALUE"""),"Algorithms")</f>
        <v>Algorithms</v>
      </c>
      <c r="I1579" s="20">
        <f>IFERROR(__xludf.DUMMYFUNCTION("""COMPUTED_VALUE"""),0.637)</f>
        <v>0.637</v>
      </c>
      <c r="J1579" s="20">
        <f>IFERROR(__xludf.DUMMYFUNCTION("""COMPUTED_VALUE"""),1578.0)</f>
        <v>1578</v>
      </c>
      <c r="K1579" s="20" t="b">
        <f>IFERROR(__xludf.DUMMYFUNCTION("""COMPUTED_VALUE"""),FALSE)</f>
        <v>0</v>
      </c>
      <c r="L1579" s="20" t="str">
        <f>IFERROR(__xludf.DUMMYFUNCTION("""COMPUTED_VALUE"""),"Array;String;Dynamic Programming;Greedy;")</f>
        <v>Array;String;Dynamic Programming;Greedy;</v>
      </c>
      <c r="M1579" s="20" t="b">
        <f>IFERROR(__xludf.DUMMYFUNCTION("""COMPUTED_VALUE"""),TRUE)</f>
        <v>1</v>
      </c>
      <c r="N1579" s="20" t="b">
        <f>IFERROR(__xludf.DUMMYFUNCTION("""COMPUTED_VALUE"""),FALSE)</f>
        <v>0</v>
      </c>
      <c r="O1579" s="20">
        <f>IFERROR(__xludf.DUMMYFUNCTION("""COMPUTED_VALUE"""),63.6805719366369)</f>
        <v>63.68057194</v>
      </c>
      <c r="P1579" s="20">
        <f>IFERROR(__xludf.DUMMYFUNCTION("""COMPUTED_VALUE"""),140379.0)</f>
        <v>140379</v>
      </c>
      <c r="Q1579" s="20">
        <f>IFERROR(__xludf.DUMMYFUNCTION("""COMPUTED_VALUE"""),220443.0)</f>
        <v>220443</v>
      </c>
    </row>
    <row r="1580">
      <c r="A1580" s="20">
        <f>IFERROR(__xludf.DUMMYFUNCTION("""COMPUTED_VALUE"""),1701.0)</f>
        <v>1701</v>
      </c>
      <c r="B1580" s="20" t="str">
        <f>IFERROR(__xludf.DUMMYFUNCTION("""COMPUTED_VALUE"""),"Remove Max Number of Edges to Keep Graph Fully Traversable")</f>
        <v>Remove Max Number of Edges to Keep Graph Fully Traversable</v>
      </c>
      <c r="C1580" s="20" t="str">
        <f>IFERROR(__xludf.DUMMYFUNCTION("""COMPUTED_VALUE"""),"remove-max-number-of-edges-to-keep-graph-fully-traversable")</f>
        <v>remove-max-number-of-edges-to-keep-graph-fully-traversable</v>
      </c>
      <c r="D1580" s="20" t="b">
        <f>IFERROR(__xludf.DUMMYFUNCTION("""COMPUTED_VALUE"""),FALSE)</f>
        <v>0</v>
      </c>
      <c r="E1580" s="20" t="str">
        <f>IFERROR(__xludf.DUMMYFUNCTION("""COMPUTED_VALUE"""),"Hard")</f>
        <v>Hard</v>
      </c>
      <c r="F1580" s="20">
        <f>IFERROR(__xludf.DUMMYFUNCTION("""COMPUTED_VALUE"""),889.0)</f>
        <v>889</v>
      </c>
      <c r="G1580" s="20">
        <f>IFERROR(__xludf.DUMMYFUNCTION("""COMPUTED_VALUE"""),9.0)</f>
        <v>9</v>
      </c>
      <c r="H1580" s="20" t="str">
        <f>IFERROR(__xludf.DUMMYFUNCTION("""COMPUTED_VALUE"""),"Algorithms")</f>
        <v>Algorithms</v>
      </c>
      <c r="I1580" s="20">
        <f>IFERROR(__xludf.DUMMYFUNCTION("""COMPUTED_VALUE"""),0.529)</f>
        <v>0.529</v>
      </c>
      <c r="J1580" s="20">
        <f>IFERROR(__xludf.DUMMYFUNCTION("""COMPUTED_VALUE"""),1579.0)</f>
        <v>1579</v>
      </c>
      <c r="K1580" s="20" t="b">
        <f>IFERROR(__xludf.DUMMYFUNCTION("""COMPUTED_VALUE"""),FALSE)</f>
        <v>0</v>
      </c>
      <c r="L1580" s="20" t="str">
        <f>IFERROR(__xludf.DUMMYFUNCTION("""COMPUTED_VALUE"""),"Union Find;Graph;")</f>
        <v>Union Find;Graph;</v>
      </c>
      <c r="M1580" s="20" t="b">
        <f>IFERROR(__xludf.DUMMYFUNCTION("""COMPUTED_VALUE"""),FALSE)</f>
        <v>0</v>
      </c>
      <c r="N1580" s="20" t="b">
        <f>IFERROR(__xludf.DUMMYFUNCTION("""COMPUTED_VALUE"""),FALSE)</f>
        <v>0</v>
      </c>
      <c r="O1580" s="20">
        <f>IFERROR(__xludf.DUMMYFUNCTION("""COMPUTED_VALUE"""),52.9367011564211)</f>
        <v>52.93670116</v>
      </c>
      <c r="P1580" s="20">
        <f>IFERROR(__xludf.DUMMYFUNCTION("""COMPUTED_VALUE"""),17395.0)</f>
        <v>17395</v>
      </c>
      <c r="Q1580" s="20">
        <f>IFERROR(__xludf.DUMMYFUNCTION("""COMPUTED_VALUE"""),32860.0)</f>
        <v>32860</v>
      </c>
    </row>
    <row r="1581">
      <c r="A1581" s="20">
        <f>IFERROR(__xludf.DUMMYFUNCTION("""COMPUTED_VALUE"""),1719.0)</f>
        <v>1719</v>
      </c>
      <c r="B1581" s="20" t="str">
        <f>IFERROR(__xludf.DUMMYFUNCTION("""COMPUTED_VALUE"""),"Put Boxes Into the Warehouse II")</f>
        <v>Put Boxes Into the Warehouse II</v>
      </c>
      <c r="C1581" s="20" t="str">
        <f>IFERROR(__xludf.DUMMYFUNCTION("""COMPUTED_VALUE"""),"put-boxes-into-the-warehouse-ii")</f>
        <v>put-boxes-into-the-warehouse-ii</v>
      </c>
      <c r="D1581" s="20" t="b">
        <f>IFERROR(__xludf.DUMMYFUNCTION("""COMPUTED_VALUE"""),TRUE)</f>
        <v>1</v>
      </c>
      <c r="E1581" s="20" t="str">
        <f>IFERROR(__xludf.DUMMYFUNCTION("""COMPUTED_VALUE"""),"Medium")</f>
        <v>Medium</v>
      </c>
      <c r="F1581" s="20">
        <f>IFERROR(__xludf.DUMMYFUNCTION("""COMPUTED_VALUE"""),150.0)</f>
        <v>150</v>
      </c>
      <c r="G1581" s="20">
        <f>IFERROR(__xludf.DUMMYFUNCTION("""COMPUTED_VALUE"""),2.0)</f>
        <v>2</v>
      </c>
      <c r="H1581" s="20" t="str">
        <f>IFERROR(__xludf.DUMMYFUNCTION("""COMPUTED_VALUE"""),"Algorithms")</f>
        <v>Algorithms</v>
      </c>
      <c r="I1581" s="20">
        <f>IFERROR(__xludf.DUMMYFUNCTION("""COMPUTED_VALUE"""),0.636)</f>
        <v>0.636</v>
      </c>
      <c r="J1581" s="20">
        <f>IFERROR(__xludf.DUMMYFUNCTION("""COMPUTED_VALUE"""),1580.0)</f>
        <v>1580</v>
      </c>
      <c r="K1581" s="20" t="b">
        <f>IFERROR(__xludf.DUMMYFUNCTION("""COMPUTED_VALUE"""),TRUE)</f>
        <v>1</v>
      </c>
      <c r="L1581" s="20" t="str">
        <f>IFERROR(__xludf.DUMMYFUNCTION("""COMPUTED_VALUE"""),"Array;Greedy;Sorting;")</f>
        <v>Array;Greedy;Sorting;</v>
      </c>
      <c r="M1581" s="20" t="b">
        <f>IFERROR(__xludf.DUMMYFUNCTION("""COMPUTED_VALUE"""),FALSE)</f>
        <v>0</v>
      </c>
      <c r="N1581" s="20" t="b">
        <f>IFERROR(__xludf.DUMMYFUNCTION("""COMPUTED_VALUE"""),FALSE)</f>
        <v>0</v>
      </c>
      <c r="O1581" s="20">
        <f>IFERROR(__xludf.DUMMYFUNCTION("""COMPUTED_VALUE"""),63.5782747603833)</f>
        <v>63.57827476</v>
      </c>
      <c r="P1581" s="20">
        <f>IFERROR(__xludf.DUMMYFUNCTION("""COMPUTED_VALUE"""),3781.0)</f>
        <v>3781</v>
      </c>
      <c r="Q1581" s="20">
        <f>IFERROR(__xludf.DUMMYFUNCTION("""COMPUTED_VALUE"""),5947.0)</f>
        <v>5947</v>
      </c>
    </row>
    <row r="1582">
      <c r="A1582" s="20">
        <f>IFERROR(__xludf.DUMMYFUNCTION("""COMPUTED_VALUE"""),1724.0)</f>
        <v>1724</v>
      </c>
      <c r="B1582" s="20" t="str">
        <f>IFERROR(__xludf.DUMMYFUNCTION("""COMPUTED_VALUE"""),"Customer Who Visited but Did Not Make Any Transactions")</f>
        <v>Customer Who Visited but Did Not Make Any Transactions</v>
      </c>
      <c r="C1582" s="20" t="str">
        <f>IFERROR(__xludf.DUMMYFUNCTION("""COMPUTED_VALUE"""),"customer-who-visited-but-did-not-make-any-transactions")</f>
        <v>customer-who-visited-but-did-not-make-any-transactions</v>
      </c>
      <c r="D1582" s="20" t="b">
        <f>IFERROR(__xludf.DUMMYFUNCTION("""COMPUTED_VALUE"""),FALSE)</f>
        <v>0</v>
      </c>
      <c r="E1582" s="20" t="str">
        <f>IFERROR(__xludf.DUMMYFUNCTION("""COMPUTED_VALUE"""),"Easy")</f>
        <v>Easy</v>
      </c>
      <c r="F1582" s="20">
        <f>IFERROR(__xludf.DUMMYFUNCTION("""COMPUTED_VALUE"""),412.0)</f>
        <v>412</v>
      </c>
      <c r="G1582" s="20">
        <f>IFERROR(__xludf.DUMMYFUNCTION("""COMPUTED_VALUE"""),80.0)</f>
        <v>80</v>
      </c>
      <c r="H1582" s="20" t="str">
        <f>IFERROR(__xludf.DUMMYFUNCTION("""COMPUTED_VALUE"""),"Database")</f>
        <v>Database</v>
      </c>
      <c r="I1582" s="20">
        <f>IFERROR(__xludf.DUMMYFUNCTION("""COMPUTED_VALUE"""),0.874)</f>
        <v>0.874</v>
      </c>
      <c r="J1582" s="20">
        <f>IFERROR(__xludf.DUMMYFUNCTION("""COMPUTED_VALUE"""),1581.0)</f>
        <v>1581</v>
      </c>
      <c r="K1582" s="20" t="b">
        <f>IFERROR(__xludf.DUMMYFUNCTION("""COMPUTED_VALUE"""),FALSE)</f>
        <v>0</v>
      </c>
      <c r="L1582" s="20" t="str">
        <f>IFERROR(__xludf.DUMMYFUNCTION("""COMPUTED_VALUE"""),"Database;")</f>
        <v>Database;</v>
      </c>
      <c r="M1582" s="20" t="b">
        <f>IFERROR(__xludf.DUMMYFUNCTION("""COMPUTED_VALUE"""),FALSE)</f>
        <v>0</v>
      </c>
      <c r="N1582" s="20" t="b">
        <f>IFERROR(__xludf.DUMMYFUNCTION("""COMPUTED_VALUE"""),FALSE)</f>
        <v>0</v>
      </c>
      <c r="O1582" s="20">
        <f>IFERROR(__xludf.DUMMYFUNCTION("""COMPUTED_VALUE"""),87.4360545834323)</f>
        <v>87.43605458</v>
      </c>
      <c r="P1582" s="20">
        <f>IFERROR(__xludf.DUMMYFUNCTION("""COMPUTED_VALUE"""),69905.0)</f>
        <v>69905</v>
      </c>
      <c r="Q1582" s="20">
        <f>IFERROR(__xludf.DUMMYFUNCTION("""COMPUTED_VALUE"""),79950.0)</f>
        <v>79950</v>
      </c>
    </row>
    <row r="1583">
      <c r="A1583" s="20">
        <f>IFERROR(__xludf.DUMMYFUNCTION("""COMPUTED_VALUE"""),1704.0)</f>
        <v>1704</v>
      </c>
      <c r="B1583" s="20" t="str">
        <f>IFERROR(__xludf.DUMMYFUNCTION("""COMPUTED_VALUE"""),"Special Positions in a Binary Matrix")</f>
        <v>Special Positions in a Binary Matrix</v>
      </c>
      <c r="C1583" s="20" t="str">
        <f>IFERROR(__xludf.DUMMYFUNCTION("""COMPUTED_VALUE"""),"special-positions-in-a-binary-matrix")</f>
        <v>special-positions-in-a-binary-matrix</v>
      </c>
      <c r="D1583" s="20" t="b">
        <f>IFERROR(__xludf.DUMMYFUNCTION("""COMPUTED_VALUE"""),FALSE)</f>
        <v>0</v>
      </c>
      <c r="E1583" s="20" t="str">
        <f>IFERROR(__xludf.DUMMYFUNCTION("""COMPUTED_VALUE"""),"Easy")</f>
        <v>Easy</v>
      </c>
      <c r="F1583" s="20">
        <f>IFERROR(__xludf.DUMMYFUNCTION("""COMPUTED_VALUE"""),557.0)</f>
        <v>557</v>
      </c>
      <c r="G1583" s="20">
        <f>IFERROR(__xludf.DUMMYFUNCTION("""COMPUTED_VALUE"""),20.0)</f>
        <v>20</v>
      </c>
      <c r="H1583" s="20" t="str">
        <f>IFERROR(__xludf.DUMMYFUNCTION("""COMPUTED_VALUE"""),"Algorithms")</f>
        <v>Algorithms</v>
      </c>
      <c r="I1583" s="20">
        <f>IFERROR(__xludf.DUMMYFUNCTION("""COMPUTED_VALUE"""),0.655)</f>
        <v>0.655</v>
      </c>
      <c r="J1583" s="20">
        <f>IFERROR(__xludf.DUMMYFUNCTION("""COMPUTED_VALUE"""),1582.0)</f>
        <v>1582</v>
      </c>
      <c r="K1583" s="20" t="b">
        <f>IFERROR(__xludf.DUMMYFUNCTION("""COMPUTED_VALUE"""),FALSE)</f>
        <v>0</v>
      </c>
      <c r="L1583" s="20" t="str">
        <f>IFERROR(__xludf.DUMMYFUNCTION("""COMPUTED_VALUE"""),"Array;Matrix;")</f>
        <v>Array;Matrix;</v>
      </c>
      <c r="M1583" s="20" t="b">
        <f>IFERROR(__xludf.DUMMYFUNCTION("""COMPUTED_VALUE"""),FALSE)</f>
        <v>0</v>
      </c>
      <c r="N1583" s="20" t="b">
        <f>IFERROR(__xludf.DUMMYFUNCTION("""COMPUTED_VALUE"""),FALSE)</f>
        <v>0</v>
      </c>
      <c r="O1583" s="20">
        <f>IFERROR(__xludf.DUMMYFUNCTION("""COMPUTED_VALUE"""),65.538942976356)</f>
        <v>65.53894298</v>
      </c>
      <c r="P1583" s="20">
        <f>IFERROR(__xludf.DUMMYFUNCTION("""COMPUTED_VALUE"""),37696.0)</f>
        <v>37696</v>
      </c>
      <c r="Q1583" s="20">
        <f>IFERROR(__xludf.DUMMYFUNCTION("""COMPUTED_VALUE"""),57518.0)</f>
        <v>57518</v>
      </c>
    </row>
    <row r="1584">
      <c r="A1584" s="20">
        <f>IFERROR(__xludf.DUMMYFUNCTION("""COMPUTED_VALUE"""),1705.0)</f>
        <v>1705</v>
      </c>
      <c r="B1584" s="20" t="str">
        <f>IFERROR(__xludf.DUMMYFUNCTION("""COMPUTED_VALUE"""),"Count Unhappy Friends")</f>
        <v>Count Unhappy Friends</v>
      </c>
      <c r="C1584" s="20" t="str">
        <f>IFERROR(__xludf.DUMMYFUNCTION("""COMPUTED_VALUE"""),"count-unhappy-friends")</f>
        <v>count-unhappy-friends</v>
      </c>
      <c r="D1584" s="20" t="b">
        <f>IFERROR(__xludf.DUMMYFUNCTION("""COMPUTED_VALUE"""),FALSE)</f>
        <v>0</v>
      </c>
      <c r="E1584" s="20" t="str">
        <f>IFERROR(__xludf.DUMMYFUNCTION("""COMPUTED_VALUE"""),"Medium")</f>
        <v>Medium</v>
      </c>
      <c r="F1584" s="20">
        <f>IFERROR(__xludf.DUMMYFUNCTION("""COMPUTED_VALUE"""),219.0)</f>
        <v>219</v>
      </c>
      <c r="G1584" s="20">
        <f>IFERROR(__xludf.DUMMYFUNCTION("""COMPUTED_VALUE"""),716.0)</f>
        <v>716</v>
      </c>
      <c r="H1584" s="20" t="str">
        <f>IFERROR(__xludf.DUMMYFUNCTION("""COMPUTED_VALUE"""),"Algorithms")</f>
        <v>Algorithms</v>
      </c>
      <c r="I1584" s="20">
        <f>IFERROR(__xludf.DUMMYFUNCTION("""COMPUTED_VALUE"""),0.605)</f>
        <v>0.605</v>
      </c>
      <c r="J1584" s="20">
        <f>IFERROR(__xludf.DUMMYFUNCTION("""COMPUTED_VALUE"""),1583.0)</f>
        <v>1583</v>
      </c>
      <c r="K1584" s="20" t="b">
        <f>IFERROR(__xludf.DUMMYFUNCTION("""COMPUTED_VALUE"""),FALSE)</f>
        <v>0</v>
      </c>
      <c r="L1584" s="20" t="str">
        <f>IFERROR(__xludf.DUMMYFUNCTION("""COMPUTED_VALUE"""),"Array;Simulation;")</f>
        <v>Array;Simulation;</v>
      </c>
      <c r="M1584" s="20" t="b">
        <f>IFERROR(__xludf.DUMMYFUNCTION("""COMPUTED_VALUE"""),FALSE)</f>
        <v>0</v>
      </c>
      <c r="N1584" s="20" t="b">
        <f>IFERROR(__xludf.DUMMYFUNCTION("""COMPUTED_VALUE"""),FALSE)</f>
        <v>0</v>
      </c>
      <c r="O1584" s="20">
        <f>IFERROR(__xludf.DUMMYFUNCTION("""COMPUTED_VALUE"""),60.5281254297895)</f>
        <v>60.52812543</v>
      </c>
      <c r="P1584" s="20">
        <f>IFERROR(__xludf.DUMMYFUNCTION("""COMPUTED_VALUE"""),22005.0)</f>
        <v>22005</v>
      </c>
      <c r="Q1584" s="20">
        <f>IFERROR(__xludf.DUMMYFUNCTION("""COMPUTED_VALUE"""),36355.0)</f>
        <v>36355</v>
      </c>
    </row>
    <row r="1585">
      <c r="A1585" s="20">
        <f>IFERROR(__xludf.DUMMYFUNCTION("""COMPUTED_VALUE"""),1706.0)</f>
        <v>1706</v>
      </c>
      <c r="B1585" s="20" t="str">
        <f>IFERROR(__xludf.DUMMYFUNCTION("""COMPUTED_VALUE"""),"Min Cost to Connect All Points")</f>
        <v>Min Cost to Connect All Points</v>
      </c>
      <c r="C1585" s="20" t="str">
        <f>IFERROR(__xludf.DUMMYFUNCTION("""COMPUTED_VALUE"""),"min-cost-to-connect-all-points")</f>
        <v>min-cost-to-connect-all-points</v>
      </c>
      <c r="D1585" s="20" t="b">
        <f>IFERROR(__xludf.DUMMYFUNCTION("""COMPUTED_VALUE"""),FALSE)</f>
        <v>0</v>
      </c>
      <c r="E1585" s="20" t="str">
        <f>IFERROR(__xludf.DUMMYFUNCTION("""COMPUTED_VALUE"""),"Medium")</f>
        <v>Medium</v>
      </c>
      <c r="F1585" s="20">
        <f>IFERROR(__xludf.DUMMYFUNCTION("""COMPUTED_VALUE"""),3211.0)</f>
        <v>3211</v>
      </c>
      <c r="G1585" s="20">
        <f>IFERROR(__xludf.DUMMYFUNCTION("""COMPUTED_VALUE"""),82.0)</f>
        <v>82</v>
      </c>
      <c r="H1585" s="20" t="str">
        <f>IFERROR(__xludf.DUMMYFUNCTION("""COMPUTED_VALUE"""),"Algorithms")</f>
        <v>Algorithms</v>
      </c>
      <c r="I1585" s="20">
        <f>IFERROR(__xludf.DUMMYFUNCTION("""COMPUTED_VALUE"""),0.64)</f>
        <v>0.64</v>
      </c>
      <c r="J1585" s="20">
        <f>IFERROR(__xludf.DUMMYFUNCTION("""COMPUTED_VALUE"""),1584.0)</f>
        <v>1584</v>
      </c>
      <c r="K1585" s="20" t="b">
        <f>IFERROR(__xludf.DUMMYFUNCTION("""COMPUTED_VALUE"""),FALSE)</f>
        <v>0</v>
      </c>
      <c r="L1585" s="20" t="str">
        <f>IFERROR(__xludf.DUMMYFUNCTION("""COMPUTED_VALUE"""),"Array;Union Find;Graph;Minimum Spanning Tree;")</f>
        <v>Array;Union Find;Graph;Minimum Spanning Tree;</v>
      </c>
      <c r="M1585" s="20" t="b">
        <f>IFERROR(__xludf.DUMMYFUNCTION("""COMPUTED_VALUE"""),TRUE)</f>
        <v>1</v>
      </c>
      <c r="N1585" s="20" t="b">
        <f>IFERROR(__xludf.DUMMYFUNCTION("""COMPUTED_VALUE"""),FALSE)</f>
        <v>0</v>
      </c>
      <c r="O1585" s="20">
        <f>IFERROR(__xludf.DUMMYFUNCTION("""COMPUTED_VALUE"""),63.9719227558169)</f>
        <v>63.97192276</v>
      </c>
      <c r="P1585" s="20">
        <f>IFERROR(__xludf.DUMMYFUNCTION("""COMPUTED_VALUE"""),140987.0)</f>
        <v>140987</v>
      </c>
      <c r="Q1585" s="20">
        <f>IFERROR(__xludf.DUMMYFUNCTION("""COMPUTED_VALUE"""),220390.0)</f>
        <v>220390</v>
      </c>
    </row>
    <row r="1586">
      <c r="A1586" s="20">
        <f>IFERROR(__xludf.DUMMYFUNCTION("""COMPUTED_VALUE"""),1707.0)</f>
        <v>1707</v>
      </c>
      <c r="B1586" s="20" t="str">
        <f>IFERROR(__xludf.DUMMYFUNCTION("""COMPUTED_VALUE"""),"Check If String Is Transformable With Substring Sort Operations")</f>
        <v>Check If String Is Transformable With Substring Sort Operations</v>
      </c>
      <c r="C1586" s="20" t="str">
        <f>IFERROR(__xludf.DUMMYFUNCTION("""COMPUTED_VALUE"""),"check-if-string-is-transformable-with-substring-sort-operations")</f>
        <v>check-if-string-is-transformable-with-substring-sort-operations</v>
      </c>
      <c r="D1586" s="20" t="b">
        <f>IFERROR(__xludf.DUMMYFUNCTION("""COMPUTED_VALUE"""),FALSE)</f>
        <v>0</v>
      </c>
      <c r="E1586" s="20" t="str">
        <f>IFERROR(__xludf.DUMMYFUNCTION("""COMPUTED_VALUE"""),"Hard")</f>
        <v>Hard</v>
      </c>
      <c r="F1586" s="20">
        <f>IFERROR(__xludf.DUMMYFUNCTION("""COMPUTED_VALUE"""),381.0)</f>
        <v>381</v>
      </c>
      <c r="G1586" s="20">
        <f>IFERROR(__xludf.DUMMYFUNCTION("""COMPUTED_VALUE"""),7.0)</f>
        <v>7</v>
      </c>
      <c r="H1586" s="20" t="str">
        <f>IFERROR(__xludf.DUMMYFUNCTION("""COMPUTED_VALUE"""),"Algorithms")</f>
        <v>Algorithms</v>
      </c>
      <c r="I1586" s="20">
        <f>IFERROR(__xludf.DUMMYFUNCTION("""COMPUTED_VALUE"""),0.484)</f>
        <v>0.484</v>
      </c>
      <c r="J1586" s="20">
        <f>IFERROR(__xludf.DUMMYFUNCTION("""COMPUTED_VALUE"""),1585.0)</f>
        <v>1585</v>
      </c>
      <c r="K1586" s="20" t="b">
        <f>IFERROR(__xludf.DUMMYFUNCTION("""COMPUTED_VALUE"""),FALSE)</f>
        <v>0</v>
      </c>
      <c r="L1586" s="20" t="str">
        <f>IFERROR(__xludf.DUMMYFUNCTION("""COMPUTED_VALUE"""),"String;Greedy;Sorting;")</f>
        <v>String;Greedy;Sorting;</v>
      </c>
      <c r="M1586" s="20" t="b">
        <f>IFERROR(__xludf.DUMMYFUNCTION("""COMPUTED_VALUE"""),FALSE)</f>
        <v>0</v>
      </c>
      <c r="N1586" s="20" t="b">
        <f>IFERROR(__xludf.DUMMYFUNCTION("""COMPUTED_VALUE"""),FALSE)</f>
        <v>0</v>
      </c>
      <c r="O1586" s="20">
        <f>IFERROR(__xludf.DUMMYFUNCTION("""COMPUTED_VALUE"""),48.3537296037296)</f>
        <v>48.3537296</v>
      </c>
      <c r="P1586" s="20">
        <f>IFERROR(__xludf.DUMMYFUNCTION("""COMPUTED_VALUE"""),6638.0)</f>
        <v>6638</v>
      </c>
      <c r="Q1586" s="20">
        <f>IFERROR(__xludf.DUMMYFUNCTION("""COMPUTED_VALUE"""),13727.0)</f>
        <v>13727</v>
      </c>
    </row>
    <row r="1587">
      <c r="A1587" s="20">
        <f>IFERROR(__xludf.DUMMYFUNCTION("""COMPUTED_VALUE"""),1729.0)</f>
        <v>1729</v>
      </c>
      <c r="B1587" s="20" t="str">
        <f>IFERROR(__xludf.DUMMYFUNCTION("""COMPUTED_VALUE"""),"Binary Search Tree Iterator II")</f>
        <v>Binary Search Tree Iterator II</v>
      </c>
      <c r="C1587" s="20" t="str">
        <f>IFERROR(__xludf.DUMMYFUNCTION("""COMPUTED_VALUE"""),"binary-search-tree-iterator-ii")</f>
        <v>binary-search-tree-iterator-ii</v>
      </c>
      <c r="D1587" s="20" t="b">
        <f>IFERROR(__xludf.DUMMYFUNCTION("""COMPUTED_VALUE"""),TRUE)</f>
        <v>1</v>
      </c>
      <c r="E1587" s="20" t="str">
        <f>IFERROR(__xludf.DUMMYFUNCTION("""COMPUTED_VALUE"""),"Medium")</f>
        <v>Medium</v>
      </c>
      <c r="F1587" s="20">
        <f>IFERROR(__xludf.DUMMYFUNCTION("""COMPUTED_VALUE"""),240.0)</f>
        <v>240</v>
      </c>
      <c r="G1587" s="20">
        <f>IFERROR(__xludf.DUMMYFUNCTION("""COMPUTED_VALUE"""),28.0)</f>
        <v>28</v>
      </c>
      <c r="H1587" s="20" t="str">
        <f>IFERROR(__xludf.DUMMYFUNCTION("""COMPUTED_VALUE"""),"Algorithms")</f>
        <v>Algorithms</v>
      </c>
      <c r="I1587" s="20">
        <f>IFERROR(__xludf.DUMMYFUNCTION("""COMPUTED_VALUE"""),0.708)</f>
        <v>0.708</v>
      </c>
      <c r="J1587" s="20">
        <f>IFERROR(__xludf.DUMMYFUNCTION("""COMPUTED_VALUE"""),1586.0)</f>
        <v>1586</v>
      </c>
      <c r="K1587" s="20" t="b">
        <f>IFERROR(__xludf.DUMMYFUNCTION("""COMPUTED_VALUE"""),TRUE)</f>
        <v>1</v>
      </c>
      <c r="L1587" s="20" t="str">
        <f>IFERROR(__xludf.DUMMYFUNCTION("""COMPUTED_VALUE"""),"Stack;Tree;Design;Binary Search Tree;Binary Tree;Iterator;")</f>
        <v>Stack;Tree;Design;Binary Search Tree;Binary Tree;Iterator;</v>
      </c>
      <c r="M1587" s="20" t="b">
        <f>IFERROR(__xludf.DUMMYFUNCTION("""COMPUTED_VALUE"""),TRUE)</f>
        <v>1</v>
      </c>
      <c r="N1587" s="20" t="b">
        <f>IFERROR(__xludf.DUMMYFUNCTION("""COMPUTED_VALUE"""),FALSE)</f>
        <v>0</v>
      </c>
      <c r="O1587" s="20">
        <f>IFERROR(__xludf.DUMMYFUNCTION("""COMPUTED_VALUE"""),70.7986883710036)</f>
        <v>70.79868837</v>
      </c>
      <c r="P1587" s="20">
        <f>IFERROR(__xludf.DUMMYFUNCTION("""COMPUTED_VALUE"""),12091.0)</f>
        <v>12091</v>
      </c>
      <c r="Q1587" s="20">
        <f>IFERROR(__xludf.DUMMYFUNCTION("""COMPUTED_VALUE"""),17078.0)</f>
        <v>17078</v>
      </c>
    </row>
    <row r="1588">
      <c r="A1588" s="20">
        <f>IFERROR(__xludf.DUMMYFUNCTION("""COMPUTED_VALUE"""),1734.0)</f>
        <v>1734</v>
      </c>
      <c r="B1588" s="20" t="str">
        <f>IFERROR(__xludf.DUMMYFUNCTION("""COMPUTED_VALUE"""),"Bank Account Summary II")</f>
        <v>Bank Account Summary II</v>
      </c>
      <c r="C1588" s="20" t="str">
        <f>IFERROR(__xludf.DUMMYFUNCTION("""COMPUTED_VALUE"""),"bank-account-summary-ii")</f>
        <v>bank-account-summary-ii</v>
      </c>
      <c r="D1588" s="20" t="b">
        <f>IFERROR(__xludf.DUMMYFUNCTION("""COMPUTED_VALUE"""),FALSE)</f>
        <v>0</v>
      </c>
      <c r="E1588" s="20" t="str">
        <f>IFERROR(__xludf.DUMMYFUNCTION("""COMPUTED_VALUE"""),"Easy")</f>
        <v>Easy</v>
      </c>
      <c r="F1588" s="20">
        <f>IFERROR(__xludf.DUMMYFUNCTION("""COMPUTED_VALUE"""),285.0)</f>
        <v>285</v>
      </c>
      <c r="G1588" s="20">
        <f>IFERROR(__xludf.DUMMYFUNCTION("""COMPUTED_VALUE"""),4.0)</f>
        <v>4</v>
      </c>
      <c r="H1588" s="20" t="str">
        <f>IFERROR(__xludf.DUMMYFUNCTION("""COMPUTED_VALUE"""),"Database")</f>
        <v>Database</v>
      </c>
      <c r="I1588" s="20">
        <f>IFERROR(__xludf.DUMMYFUNCTION("""COMPUTED_VALUE"""),0.888)</f>
        <v>0.888</v>
      </c>
      <c r="J1588" s="20">
        <f>IFERROR(__xludf.DUMMYFUNCTION("""COMPUTED_VALUE"""),1587.0)</f>
        <v>1587</v>
      </c>
      <c r="K1588" s="20" t="b">
        <f>IFERROR(__xludf.DUMMYFUNCTION("""COMPUTED_VALUE"""),FALSE)</f>
        <v>0</v>
      </c>
      <c r="L1588" s="20" t="str">
        <f>IFERROR(__xludf.DUMMYFUNCTION("""COMPUTED_VALUE"""),"Database;")</f>
        <v>Database;</v>
      </c>
      <c r="M1588" s="20" t="b">
        <f>IFERROR(__xludf.DUMMYFUNCTION("""COMPUTED_VALUE"""),FALSE)</f>
        <v>0</v>
      </c>
      <c r="N1588" s="20" t="b">
        <f>IFERROR(__xludf.DUMMYFUNCTION("""COMPUTED_VALUE"""),FALSE)</f>
        <v>0</v>
      </c>
      <c r="O1588" s="20">
        <f>IFERROR(__xludf.DUMMYFUNCTION("""COMPUTED_VALUE"""),88.7972077462523)</f>
        <v>88.79720775</v>
      </c>
      <c r="P1588" s="20">
        <f>IFERROR(__xludf.DUMMYFUNCTION("""COMPUTED_VALUE"""),55202.0)</f>
        <v>55202</v>
      </c>
      <c r="Q1588" s="20">
        <f>IFERROR(__xludf.DUMMYFUNCTION("""COMPUTED_VALUE"""),62166.0)</f>
        <v>62166</v>
      </c>
    </row>
    <row r="1589">
      <c r="A1589" s="20">
        <f>IFERROR(__xludf.DUMMYFUNCTION("""COMPUTED_VALUE"""),1693.0)</f>
        <v>1693</v>
      </c>
      <c r="B1589" s="20" t="str">
        <f>IFERROR(__xludf.DUMMYFUNCTION("""COMPUTED_VALUE"""),"Sum of All Odd Length Subarrays")</f>
        <v>Sum of All Odd Length Subarrays</v>
      </c>
      <c r="C1589" s="20" t="str">
        <f>IFERROR(__xludf.DUMMYFUNCTION("""COMPUTED_VALUE"""),"sum-of-all-odd-length-subarrays")</f>
        <v>sum-of-all-odd-length-subarrays</v>
      </c>
      <c r="D1589" s="20" t="b">
        <f>IFERROR(__xludf.DUMMYFUNCTION("""COMPUTED_VALUE"""),FALSE)</f>
        <v>0</v>
      </c>
      <c r="E1589" s="20" t="str">
        <f>IFERROR(__xludf.DUMMYFUNCTION("""COMPUTED_VALUE"""),"Easy")</f>
        <v>Easy</v>
      </c>
      <c r="F1589" s="20">
        <f>IFERROR(__xludf.DUMMYFUNCTION("""COMPUTED_VALUE"""),2843.0)</f>
        <v>2843</v>
      </c>
      <c r="G1589" s="20">
        <f>IFERROR(__xludf.DUMMYFUNCTION("""COMPUTED_VALUE"""),211.0)</f>
        <v>211</v>
      </c>
      <c r="H1589" s="20" t="str">
        <f>IFERROR(__xludf.DUMMYFUNCTION("""COMPUTED_VALUE"""),"Algorithms")</f>
        <v>Algorithms</v>
      </c>
      <c r="I1589" s="20">
        <f>IFERROR(__xludf.DUMMYFUNCTION("""COMPUTED_VALUE"""),0.835)</f>
        <v>0.835</v>
      </c>
      <c r="J1589" s="20">
        <f>IFERROR(__xludf.DUMMYFUNCTION("""COMPUTED_VALUE"""),1588.0)</f>
        <v>1588</v>
      </c>
      <c r="K1589" s="20" t="b">
        <f>IFERROR(__xludf.DUMMYFUNCTION("""COMPUTED_VALUE"""),FALSE)</f>
        <v>0</v>
      </c>
      <c r="L1589" s="20" t="str">
        <f>IFERROR(__xludf.DUMMYFUNCTION("""COMPUTED_VALUE"""),"Array;Math;Prefix Sum;")</f>
        <v>Array;Math;Prefix Sum;</v>
      </c>
      <c r="M1589" s="20" t="b">
        <f>IFERROR(__xludf.DUMMYFUNCTION("""COMPUTED_VALUE"""),TRUE)</f>
        <v>1</v>
      </c>
      <c r="N1589" s="20" t="b">
        <f>IFERROR(__xludf.DUMMYFUNCTION("""COMPUTED_VALUE"""),FALSE)</f>
        <v>0</v>
      </c>
      <c r="O1589" s="20">
        <f>IFERROR(__xludf.DUMMYFUNCTION("""COMPUTED_VALUE"""),83.5118608521767)</f>
        <v>83.51186085</v>
      </c>
      <c r="P1589" s="20">
        <f>IFERROR(__xludf.DUMMYFUNCTION("""COMPUTED_VALUE"""),136982.0)</f>
        <v>136982</v>
      </c>
      <c r="Q1589" s="20">
        <f>IFERROR(__xludf.DUMMYFUNCTION("""COMPUTED_VALUE"""),164027.0)</f>
        <v>164027</v>
      </c>
    </row>
    <row r="1590">
      <c r="A1590" s="20">
        <f>IFERROR(__xludf.DUMMYFUNCTION("""COMPUTED_VALUE"""),1695.0)</f>
        <v>1695</v>
      </c>
      <c r="B1590" s="20" t="str">
        <f>IFERROR(__xludf.DUMMYFUNCTION("""COMPUTED_VALUE"""),"Maximum Sum Obtained of Any Permutation")</f>
        <v>Maximum Sum Obtained of Any Permutation</v>
      </c>
      <c r="C1590" s="20" t="str">
        <f>IFERROR(__xludf.DUMMYFUNCTION("""COMPUTED_VALUE"""),"maximum-sum-obtained-of-any-permutation")</f>
        <v>maximum-sum-obtained-of-any-permutation</v>
      </c>
      <c r="D1590" s="20" t="b">
        <f>IFERROR(__xludf.DUMMYFUNCTION("""COMPUTED_VALUE"""),FALSE)</f>
        <v>0</v>
      </c>
      <c r="E1590" s="20" t="str">
        <f>IFERROR(__xludf.DUMMYFUNCTION("""COMPUTED_VALUE"""),"Medium")</f>
        <v>Medium</v>
      </c>
      <c r="F1590" s="20">
        <f>IFERROR(__xludf.DUMMYFUNCTION("""COMPUTED_VALUE"""),593.0)</f>
        <v>593</v>
      </c>
      <c r="G1590" s="20">
        <f>IFERROR(__xludf.DUMMYFUNCTION("""COMPUTED_VALUE"""),31.0)</f>
        <v>31</v>
      </c>
      <c r="H1590" s="20" t="str">
        <f>IFERROR(__xludf.DUMMYFUNCTION("""COMPUTED_VALUE"""),"Algorithms")</f>
        <v>Algorithms</v>
      </c>
      <c r="I1590" s="20">
        <f>IFERROR(__xludf.DUMMYFUNCTION("""COMPUTED_VALUE"""),0.37)</f>
        <v>0.37</v>
      </c>
      <c r="J1590" s="20">
        <f>IFERROR(__xludf.DUMMYFUNCTION("""COMPUTED_VALUE"""),1589.0)</f>
        <v>1589</v>
      </c>
      <c r="K1590" s="20" t="b">
        <f>IFERROR(__xludf.DUMMYFUNCTION("""COMPUTED_VALUE"""),FALSE)</f>
        <v>0</v>
      </c>
      <c r="L1590" s="20" t="str">
        <f>IFERROR(__xludf.DUMMYFUNCTION("""COMPUTED_VALUE"""),"Array;Greedy;Sorting;Prefix Sum;")</f>
        <v>Array;Greedy;Sorting;Prefix Sum;</v>
      </c>
      <c r="M1590" s="20" t="b">
        <f>IFERROR(__xludf.DUMMYFUNCTION("""COMPUTED_VALUE"""),FALSE)</f>
        <v>0</v>
      </c>
      <c r="N1590" s="20" t="b">
        <f>IFERROR(__xludf.DUMMYFUNCTION("""COMPUTED_VALUE"""),FALSE)</f>
        <v>0</v>
      </c>
      <c r="O1590" s="20">
        <f>IFERROR(__xludf.DUMMYFUNCTION("""COMPUTED_VALUE"""),36.9936407791297)</f>
        <v>36.99364078</v>
      </c>
      <c r="P1590" s="20">
        <f>IFERROR(__xludf.DUMMYFUNCTION("""COMPUTED_VALUE"""),14776.0)</f>
        <v>14776</v>
      </c>
      <c r="Q1590" s="20">
        <f>IFERROR(__xludf.DUMMYFUNCTION("""COMPUTED_VALUE"""),39942.0)</f>
        <v>39942</v>
      </c>
    </row>
    <row r="1591">
      <c r="A1591" s="20">
        <f>IFERROR(__xludf.DUMMYFUNCTION("""COMPUTED_VALUE"""),1694.0)</f>
        <v>1694</v>
      </c>
      <c r="B1591" s="20" t="str">
        <f>IFERROR(__xludf.DUMMYFUNCTION("""COMPUTED_VALUE"""),"Make Sum Divisible by P")</f>
        <v>Make Sum Divisible by P</v>
      </c>
      <c r="C1591" s="20" t="str">
        <f>IFERROR(__xludf.DUMMYFUNCTION("""COMPUTED_VALUE"""),"make-sum-divisible-by-p")</f>
        <v>make-sum-divisible-by-p</v>
      </c>
      <c r="D1591" s="20" t="b">
        <f>IFERROR(__xludf.DUMMYFUNCTION("""COMPUTED_VALUE"""),FALSE)</f>
        <v>0</v>
      </c>
      <c r="E1591" s="20" t="str">
        <f>IFERROR(__xludf.DUMMYFUNCTION("""COMPUTED_VALUE"""),"Medium")</f>
        <v>Medium</v>
      </c>
      <c r="F1591" s="20">
        <f>IFERROR(__xludf.DUMMYFUNCTION("""COMPUTED_VALUE"""),1137.0)</f>
        <v>1137</v>
      </c>
      <c r="G1591" s="20">
        <f>IFERROR(__xludf.DUMMYFUNCTION("""COMPUTED_VALUE"""),48.0)</f>
        <v>48</v>
      </c>
      <c r="H1591" s="20" t="str">
        <f>IFERROR(__xludf.DUMMYFUNCTION("""COMPUTED_VALUE"""),"Algorithms")</f>
        <v>Algorithms</v>
      </c>
      <c r="I1591" s="20">
        <f>IFERROR(__xludf.DUMMYFUNCTION("""COMPUTED_VALUE"""),0.282)</f>
        <v>0.282</v>
      </c>
      <c r="J1591" s="20">
        <f>IFERROR(__xludf.DUMMYFUNCTION("""COMPUTED_VALUE"""),1590.0)</f>
        <v>1590</v>
      </c>
      <c r="K1591" s="20" t="b">
        <f>IFERROR(__xludf.DUMMYFUNCTION("""COMPUTED_VALUE"""),FALSE)</f>
        <v>0</v>
      </c>
      <c r="L1591" s="20" t="str">
        <f>IFERROR(__xludf.DUMMYFUNCTION("""COMPUTED_VALUE"""),"Array;Hash Table;Prefix Sum;")</f>
        <v>Array;Hash Table;Prefix Sum;</v>
      </c>
      <c r="M1591" s="20" t="b">
        <f>IFERROR(__xludf.DUMMYFUNCTION("""COMPUTED_VALUE"""),FALSE)</f>
        <v>0</v>
      </c>
      <c r="N1591" s="20" t="b">
        <f>IFERROR(__xludf.DUMMYFUNCTION("""COMPUTED_VALUE"""),FALSE)</f>
        <v>0</v>
      </c>
      <c r="O1591" s="20">
        <f>IFERROR(__xludf.DUMMYFUNCTION("""COMPUTED_VALUE"""),28.1745232822341)</f>
        <v>28.17452328</v>
      </c>
      <c r="P1591" s="20">
        <f>IFERROR(__xludf.DUMMYFUNCTION("""COMPUTED_VALUE"""),19592.0)</f>
        <v>19592</v>
      </c>
      <c r="Q1591" s="20">
        <f>IFERROR(__xludf.DUMMYFUNCTION("""COMPUTED_VALUE"""),69538.0)</f>
        <v>69538</v>
      </c>
    </row>
    <row r="1592">
      <c r="A1592" s="20">
        <f>IFERROR(__xludf.DUMMYFUNCTION("""COMPUTED_VALUE"""),1696.0)</f>
        <v>1696</v>
      </c>
      <c r="B1592" s="20" t="str">
        <f>IFERROR(__xludf.DUMMYFUNCTION("""COMPUTED_VALUE"""),"Strange Printer II")</f>
        <v>Strange Printer II</v>
      </c>
      <c r="C1592" s="20" t="str">
        <f>IFERROR(__xludf.DUMMYFUNCTION("""COMPUTED_VALUE"""),"strange-printer-ii")</f>
        <v>strange-printer-ii</v>
      </c>
      <c r="D1592" s="20" t="b">
        <f>IFERROR(__xludf.DUMMYFUNCTION("""COMPUTED_VALUE"""),FALSE)</f>
        <v>0</v>
      </c>
      <c r="E1592" s="20" t="str">
        <f>IFERROR(__xludf.DUMMYFUNCTION("""COMPUTED_VALUE"""),"Hard")</f>
        <v>Hard</v>
      </c>
      <c r="F1592" s="20">
        <f>IFERROR(__xludf.DUMMYFUNCTION("""COMPUTED_VALUE"""),466.0)</f>
        <v>466</v>
      </c>
      <c r="G1592" s="20">
        <f>IFERROR(__xludf.DUMMYFUNCTION("""COMPUTED_VALUE"""),15.0)</f>
        <v>15</v>
      </c>
      <c r="H1592" s="20" t="str">
        <f>IFERROR(__xludf.DUMMYFUNCTION("""COMPUTED_VALUE"""),"Algorithms")</f>
        <v>Algorithms</v>
      </c>
      <c r="I1592" s="20">
        <f>IFERROR(__xludf.DUMMYFUNCTION("""COMPUTED_VALUE"""),0.585)</f>
        <v>0.585</v>
      </c>
      <c r="J1592" s="20">
        <f>IFERROR(__xludf.DUMMYFUNCTION("""COMPUTED_VALUE"""),1591.0)</f>
        <v>1591</v>
      </c>
      <c r="K1592" s="20" t="b">
        <f>IFERROR(__xludf.DUMMYFUNCTION("""COMPUTED_VALUE"""),FALSE)</f>
        <v>0</v>
      </c>
      <c r="L1592" s="20" t="str">
        <f>IFERROR(__xludf.DUMMYFUNCTION("""COMPUTED_VALUE"""),"Array;Graph;Topological Sort;Matrix;")</f>
        <v>Array;Graph;Topological Sort;Matrix;</v>
      </c>
      <c r="M1592" s="20" t="b">
        <f>IFERROR(__xludf.DUMMYFUNCTION("""COMPUTED_VALUE"""),FALSE)</f>
        <v>0</v>
      </c>
      <c r="N1592" s="20" t="b">
        <f>IFERROR(__xludf.DUMMYFUNCTION("""COMPUTED_VALUE"""),FALSE)</f>
        <v>0</v>
      </c>
      <c r="O1592" s="20">
        <f>IFERROR(__xludf.DUMMYFUNCTION("""COMPUTED_VALUE"""),58.5421580188679)</f>
        <v>58.54215802</v>
      </c>
      <c r="P1592" s="20">
        <f>IFERROR(__xludf.DUMMYFUNCTION("""COMPUTED_VALUE"""),7943.0)</f>
        <v>7943</v>
      </c>
      <c r="Q1592" s="20">
        <f>IFERROR(__xludf.DUMMYFUNCTION("""COMPUTED_VALUE"""),13568.0)</f>
        <v>13568</v>
      </c>
    </row>
    <row r="1593">
      <c r="A1593" s="20">
        <f>IFERROR(__xludf.DUMMYFUNCTION("""COMPUTED_VALUE"""),1714.0)</f>
        <v>1714</v>
      </c>
      <c r="B1593" s="20" t="str">
        <f>IFERROR(__xludf.DUMMYFUNCTION("""COMPUTED_VALUE"""),"Rearrange Spaces Between Words")</f>
        <v>Rearrange Spaces Between Words</v>
      </c>
      <c r="C1593" s="20" t="str">
        <f>IFERROR(__xludf.DUMMYFUNCTION("""COMPUTED_VALUE"""),"rearrange-spaces-between-words")</f>
        <v>rearrange-spaces-between-words</v>
      </c>
      <c r="D1593" s="20" t="b">
        <f>IFERROR(__xludf.DUMMYFUNCTION("""COMPUTED_VALUE"""),FALSE)</f>
        <v>0</v>
      </c>
      <c r="E1593" s="20" t="str">
        <f>IFERROR(__xludf.DUMMYFUNCTION("""COMPUTED_VALUE"""),"Easy")</f>
        <v>Easy</v>
      </c>
      <c r="F1593" s="20">
        <f>IFERROR(__xludf.DUMMYFUNCTION("""COMPUTED_VALUE"""),339.0)</f>
        <v>339</v>
      </c>
      <c r="G1593" s="20">
        <f>IFERROR(__xludf.DUMMYFUNCTION("""COMPUTED_VALUE"""),287.0)</f>
        <v>287</v>
      </c>
      <c r="H1593" s="20" t="str">
        <f>IFERROR(__xludf.DUMMYFUNCTION("""COMPUTED_VALUE"""),"Algorithms")</f>
        <v>Algorithms</v>
      </c>
      <c r="I1593" s="20">
        <f>IFERROR(__xludf.DUMMYFUNCTION("""COMPUTED_VALUE"""),0.437)</f>
        <v>0.437</v>
      </c>
      <c r="J1593" s="20">
        <f>IFERROR(__xludf.DUMMYFUNCTION("""COMPUTED_VALUE"""),1592.0)</f>
        <v>1592</v>
      </c>
      <c r="K1593" s="20" t="b">
        <f>IFERROR(__xludf.DUMMYFUNCTION("""COMPUTED_VALUE"""),FALSE)</f>
        <v>0</v>
      </c>
      <c r="L1593" s="20" t="str">
        <f>IFERROR(__xludf.DUMMYFUNCTION("""COMPUTED_VALUE"""),"String;")</f>
        <v>String;</v>
      </c>
      <c r="M1593" s="20" t="b">
        <f>IFERROR(__xludf.DUMMYFUNCTION("""COMPUTED_VALUE"""),FALSE)</f>
        <v>0</v>
      </c>
      <c r="N1593" s="20" t="b">
        <f>IFERROR(__xludf.DUMMYFUNCTION("""COMPUTED_VALUE"""),FALSE)</f>
        <v>0</v>
      </c>
      <c r="O1593" s="20">
        <f>IFERROR(__xludf.DUMMYFUNCTION("""COMPUTED_VALUE"""),43.6905845840553)</f>
        <v>43.69058458</v>
      </c>
      <c r="P1593" s="20">
        <f>IFERROR(__xludf.DUMMYFUNCTION("""COMPUTED_VALUE"""),44625.0)</f>
        <v>44625</v>
      </c>
      <c r="Q1593" s="20">
        <f>IFERROR(__xludf.DUMMYFUNCTION("""COMPUTED_VALUE"""),102139.0)</f>
        <v>102139</v>
      </c>
    </row>
    <row r="1594">
      <c r="A1594" s="20">
        <f>IFERROR(__xludf.DUMMYFUNCTION("""COMPUTED_VALUE"""),1715.0)</f>
        <v>1715</v>
      </c>
      <c r="B1594" s="20" t="str">
        <f>IFERROR(__xludf.DUMMYFUNCTION("""COMPUTED_VALUE"""),"Split a String Into the Max Number of Unique Substrings")</f>
        <v>Split a String Into the Max Number of Unique Substrings</v>
      </c>
      <c r="C1594" s="20" t="str">
        <f>IFERROR(__xludf.DUMMYFUNCTION("""COMPUTED_VALUE"""),"split-a-string-into-the-max-number-of-unique-substrings")</f>
        <v>split-a-string-into-the-max-number-of-unique-substrings</v>
      </c>
      <c r="D1594" s="20" t="b">
        <f>IFERROR(__xludf.DUMMYFUNCTION("""COMPUTED_VALUE"""),FALSE)</f>
        <v>0</v>
      </c>
      <c r="E1594" s="20" t="str">
        <f>IFERROR(__xludf.DUMMYFUNCTION("""COMPUTED_VALUE"""),"Medium")</f>
        <v>Medium</v>
      </c>
      <c r="F1594" s="20">
        <f>IFERROR(__xludf.DUMMYFUNCTION("""COMPUTED_VALUE"""),671.0)</f>
        <v>671</v>
      </c>
      <c r="G1594" s="20">
        <f>IFERROR(__xludf.DUMMYFUNCTION("""COMPUTED_VALUE"""),26.0)</f>
        <v>26</v>
      </c>
      <c r="H1594" s="20" t="str">
        <f>IFERROR(__xludf.DUMMYFUNCTION("""COMPUTED_VALUE"""),"Algorithms")</f>
        <v>Algorithms</v>
      </c>
      <c r="I1594" s="20">
        <f>IFERROR(__xludf.DUMMYFUNCTION("""COMPUTED_VALUE"""),0.55)</f>
        <v>0.55</v>
      </c>
      <c r="J1594" s="20">
        <f>IFERROR(__xludf.DUMMYFUNCTION("""COMPUTED_VALUE"""),1593.0)</f>
        <v>1593</v>
      </c>
      <c r="K1594" s="20" t="b">
        <f>IFERROR(__xludf.DUMMYFUNCTION("""COMPUTED_VALUE"""),FALSE)</f>
        <v>0</v>
      </c>
      <c r="L1594" s="20" t="str">
        <f>IFERROR(__xludf.DUMMYFUNCTION("""COMPUTED_VALUE"""),"Hash Table;String;Backtracking;")</f>
        <v>Hash Table;String;Backtracking;</v>
      </c>
      <c r="M1594" s="20" t="b">
        <f>IFERROR(__xludf.DUMMYFUNCTION("""COMPUTED_VALUE"""),FALSE)</f>
        <v>0</v>
      </c>
      <c r="N1594" s="20" t="b">
        <f>IFERROR(__xludf.DUMMYFUNCTION("""COMPUTED_VALUE"""),FALSE)</f>
        <v>0</v>
      </c>
      <c r="O1594" s="20">
        <f>IFERROR(__xludf.DUMMYFUNCTION("""COMPUTED_VALUE"""),55.0366468163078)</f>
        <v>55.03664682</v>
      </c>
      <c r="P1594" s="20">
        <f>IFERROR(__xludf.DUMMYFUNCTION("""COMPUTED_VALUE"""),24027.0)</f>
        <v>24027</v>
      </c>
      <c r="Q1594" s="20">
        <f>IFERROR(__xludf.DUMMYFUNCTION("""COMPUTED_VALUE"""),43657.0)</f>
        <v>43657</v>
      </c>
    </row>
    <row r="1595">
      <c r="A1595" s="20">
        <f>IFERROR(__xludf.DUMMYFUNCTION("""COMPUTED_VALUE"""),1716.0)</f>
        <v>1716</v>
      </c>
      <c r="B1595" s="20" t="str">
        <f>IFERROR(__xludf.DUMMYFUNCTION("""COMPUTED_VALUE"""),"Maximum Non Negative Product in a Matrix")</f>
        <v>Maximum Non Negative Product in a Matrix</v>
      </c>
      <c r="C1595" s="20" t="str">
        <f>IFERROR(__xludf.DUMMYFUNCTION("""COMPUTED_VALUE"""),"maximum-non-negative-product-in-a-matrix")</f>
        <v>maximum-non-negative-product-in-a-matrix</v>
      </c>
      <c r="D1595" s="20" t="b">
        <f>IFERROR(__xludf.DUMMYFUNCTION("""COMPUTED_VALUE"""),FALSE)</f>
        <v>0</v>
      </c>
      <c r="E1595" s="20" t="str">
        <f>IFERROR(__xludf.DUMMYFUNCTION("""COMPUTED_VALUE"""),"Medium")</f>
        <v>Medium</v>
      </c>
      <c r="F1595" s="20">
        <f>IFERROR(__xludf.DUMMYFUNCTION("""COMPUTED_VALUE"""),664.0)</f>
        <v>664</v>
      </c>
      <c r="G1595" s="20">
        <f>IFERROR(__xludf.DUMMYFUNCTION("""COMPUTED_VALUE"""),32.0)</f>
        <v>32</v>
      </c>
      <c r="H1595" s="20" t="str">
        <f>IFERROR(__xludf.DUMMYFUNCTION("""COMPUTED_VALUE"""),"Algorithms")</f>
        <v>Algorithms</v>
      </c>
      <c r="I1595" s="20">
        <f>IFERROR(__xludf.DUMMYFUNCTION("""COMPUTED_VALUE"""),0.331)</f>
        <v>0.331</v>
      </c>
      <c r="J1595" s="20">
        <f>IFERROR(__xludf.DUMMYFUNCTION("""COMPUTED_VALUE"""),1594.0)</f>
        <v>1594</v>
      </c>
      <c r="K1595" s="20" t="b">
        <f>IFERROR(__xludf.DUMMYFUNCTION("""COMPUTED_VALUE"""),FALSE)</f>
        <v>0</v>
      </c>
      <c r="L1595" s="20" t="str">
        <f>IFERROR(__xludf.DUMMYFUNCTION("""COMPUTED_VALUE"""),"Array;Dynamic Programming;Matrix;")</f>
        <v>Array;Dynamic Programming;Matrix;</v>
      </c>
      <c r="M1595" s="20" t="b">
        <f>IFERROR(__xludf.DUMMYFUNCTION("""COMPUTED_VALUE"""),FALSE)</f>
        <v>0</v>
      </c>
      <c r="N1595" s="20" t="b">
        <f>IFERROR(__xludf.DUMMYFUNCTION("""COMPUTED_VALUE"""),FALSE)</f>
        <v>0</v>
      </c>
      <c r="O1595" s="20">
        <f>IFERROR(__xludf.DUMMYFUNCTION("""COMPUTED_VALUE"""),33.0625604151474)</f>
        <v>33.06256042</v>
      </c>
      <c r="P1595" s="20">
        <f>IFERROR(__xludf.DUMMYFUNCTION("""COMPUTED_VALUE"""),19496.0)</f>
        <v>19496</v>
      </c>
      <c r="Q1595" s="20">
        <f>IFERROR(__xludf.DUMMYFUNCTION("""COMPUTED_VALUE"""),58967.0)</f>
        <v>58967</v>
      </c>
    </row>
    <row r="1596">
      <c r="A1596" s="20">
        <f>IFERROR(__xludf.DUMMYFUNCTION("""COMPUTED_VALUE"""),1717.0)</f>
        <v>1717</v>
      </c>
      <c r="B1596" s="20" t="str">
        <f>IFERROR(__xludf.DUMMYFUNCTION("""COMPUTED_VALUE"""),"Minimum Cost to Connect Two Groups of Points")</f>
        <v>Minimum Cost to Connect Two Groups of Points</v>
      </c>
      <c r="C1596" s="20" t="str">
        <f>IFERROR(__xludf.DUMMYFUNCTION("""COMPUTED_VALUE"""),"minimum-cost-to-connect-two-groups-of-points")</f>
        <v>minimum-cost-to-connect-two-groups-of-points</v>
      </c>
      <c r="D1596" s="20" t="b">
        <f>IFERROR(__xludf.DUMMYFUNCTION("""COMPUTED_VALUE"""),FALSE)</f>
        <v>0</v>
      </c>
      <c r="E1596" s="20" t="str">
        <f>IFERROR(__xludf.DUMMYFUNCTION("""COMPUTED_VALUE"""),"Hard")</f>
        <v>Hard</v>
      </c>
      <c r="F1596" s="20">
        <f>IFERROR(__xludf.DUMMYFUNCTION("""COMPUTED_VALUE"""),380.0)</f>
        <v>380</v>
      </c>
      <c r="G1596" s="20">
        <f>IFERROR(__xludf.DUMMYFUNCTION("""COMPUTED_VALUE"""),13.0)</f>
        <v>13</v>
      </c>
      <c r="H1596" s="20" t="str">
        <f>IFERROR(__xludf.DUMMYFUNCTION("""COMPUTED_VALUE"""),"Algorithms")</f>
        <v>Algorithms</v>
      </c>
      <c r="I1596" s="20">
        <f>IFERROR(__xludf.DUMMYFUNCTION("""COMPUTED_VALUE"""),0.464)</f>
        <v>0.464</v>
      </c>
      <c r="J1596" s="20">
        <f>IFERROR(__xludf.DUMMYFUNCTION("""COMPUTED_VALUE"""),1595.0)</f>
        <v>1595</v>
      </c>
      <c r="K1596" s="20" t="b">
        <f>IFERROR(__xludf.DUMMYFUNCTION("""COMPUTED_VALUE"""),FALSE)</f>
        <v>0</v>
      </c>
      <c r="L1596" s="20" t="str">
        <f>IFERROR(__xludf.DUMMYFUNCTION("""COMPUTED_VALUE"""),"Array;Dynamic Programming;Bit Manipulation;Matrix;Bitmask;")</f>
        <v>Array;Dynamic Programming;Bit Manipulation;Matrix;Bitmask;</v>
      </c>
      <c r="M1596" s="20" t="b">
        <f>IFERROR(__xludf.DUMMYFUNCTION("""COMPUTED_VALUE"""),FALSE)</f>
        <v>0</v>
      </c>
      <c r="N1596" s="20" t="b">
        <f>IFERROR(__xludf.DUMMYFUNCTION("""COMPUTED_VALUE"""),FALSE)</f>
        <v>0</v>
      </c>
      <c r="O1596" s="20">
        <f>IFERROR(__xludf.DUMMYFUNCTION("""COMPUTED_VALUE"""),46.3923673225998)</f>
        <v>46.39236732</v>
      </c>
      <c r="P1596" s="20">
        <f>IFERROR(__xludf.DUMMYFUNCTION("""COMPUTED_VALUE"""),7002.0)</f>
        <v>7002</v>
      </c>
      <c r="Q1596" s="20">
        <f>IFERROR(__xludf.DUMMYFUNCTION("""COMPUTED_VALUE"""),15093.0)</f>
        <v>15093</v>
      </c>
    </row>
    <row r="1597">
      <c r="A1597" s="20">
        <f>IFERROR(__xludf.DUMMYFUNCTION("""COMPUTED_VALUE"""),1735.0)</f>
        <v>1735</v>
      </c>
      <c r="B1597" s="20" t="str">
        <f>IFERROR(__xludf.DUMMYFUNCTION("""COMPUTED_VALUE"""),"The Most Frequently Ordered Products for Each Customer")</f>
        <v>The Most Frequently Ordered Products for Each Customer</v>
      </c>
      <c r="C1597" s="20" t="str">
        <f>IFERROR(__xludf.DUMMYFUNCTION("""COMPUTED_VALUE"""),"the-most-frequently-ordered-products-for-each-customer")</f>
        <v>the-most-frequently-ordered-products-for-each-customer</v>
      </c>
      <c r="D1597" s="20" t="b">
        <f>IFERROR(__xludf.DUMMYFUNCTION("""COMPUTED_VALUE"""),TRUE)</f>
        <v>1</v>
      </c>
      <c r="E1597" s="20" t="str">
        <f>IFERROR(__xludf.DUMMYFUNCTION("""COMPUTED_VALUE"""),"Medium")</f>
        <v>Medium</v>
      </c>
      <c r="F1597" s="20">
        <f>IFERROR(__xludf.DUMMYFUNCTION("""COMPUTED_VALUE"""),194.0)</f>
        <v>194</v>
      </c>
      <c r="G1597" s="20">
        <f>IFERROR(__xludf.DUMMYFUNCTION("""COMPUTED_VALUE"""),16.0)</f>
        <v>16</v>
      </c>
      <c r="H1597" s="20" t="str">
        <f>IFERROR(__xludf.DUMMYFUNCTION("""COMPUTED_VALUE"""),"Database")</f>
        <v>Database</v>
      </c>
      <c r="I1597" s="20">
        <f>IFERROR(__xludf.DUMMYFUNCTION("""COMPUTED_VALUE"""),0.85)</f>
        <v>0.85</v>
      </c>
      <c r="J1597" s="20">
        <f>IFERROR(__xludf.DUMMYFUNCTION("""COMPUTED_VALUE"""),1596.0)</f>
        <v>1596</v>
      </c>
      <c r="K1597" s="20" t="b">
        <f>IFERROR(__xludf.DUMMYFUNCTION("""COMPUTED_VALUE"""),TRUE)</f>
        <v>1</v>
      </c>
      <c r="L1597" s="20" t="str">
        <f>IFERROR(__xludf.DUMMYFUNCTION("""COMPUTED_VALUE"""),"Database;")</f>
        <v>Database;</v>
      </c>
      <c r="M1597" s="20" t="b">
        <f>IFERROR(__xludf.DUMMYFUNCTION("""COMPUTED_VALUE"""),FALSE)</f>
        <v>0</v>
      </c>
      <c r="N1597" s="20" t="b">
        <f>IFERROR(__xludf.DUMMYFUNCTION("""COMPUTED_VALUE"""),FALSE)</f>
        <v>0</v>
      </c>
      <c r="O1597" s="20">
        <f>IFERROR(__xludf.DUMMYFUNCTION("""COMPUTED_VALUE"""),85.0057710468329)</f>
        <v>85.00577105</v>
      </c>
      <c r="P1597" s="20">
        <f>IFERROR(__xludf.DUMMYFUNCTION("""COMPUTED_VALUE"""),24303.0)</f>
        <v>24303</v>
      </c>
      <c r="Q1597" s="20">
        <f>IFERROR(__xludf.DUMMYFUNCTION("""COMPUTED_VALUE"""),28590.0)</f>
        <v>28590</v>
      </c>
    </row>
    <row r="1598">
      <c r="A1598" s="20">
        <f>IFERROR(__xludf.DUMMYFUNCTION("""COMPUTED_VALUE"""),1736.0)</f>
        <v>1736</v>
      </c>
      <c r="B1598" s="20" t="str">
        <f>IFERROR(__xludf.DUMMYFUNCTION("""COMPUTED_VALUE"""),"Build Binary Expression Tree From Infix Expression")</f>
        <v>Build Binary Expression Tree From Infix Expression</v>
      </c>
      <c r="C1598" s="20" t="str">
        <f>IFERROR(__xludf.DUMMYFUNCTION("""COMPUTED_VALUE"""),"build-binary-expression-tree-from-infix-expression")</f>
        <v>build-binary-expression-tree-from-infix-expression</v>
      </c>
      <c r="D1598" s="20" t="b">
        <f>IFERROR(__xludf.DUMMYFUNCTION("""COMPUTED_VALUE"""),TRUE)</f>
        <v>1</v>
      </c>
      <c r="E1598" s="20" t="str">
        <f>IFERROR(__xludf.DUMMYFUNCTION("""COMPUTED_VALUE"""),"Hard")</f>
        <v>Hard</v>
      </c>
      <c r="F1598" s="20">
        <f>IFERROR(__xludf.DUMMYFUNCTION("""COMPUTED_VALUE"""),242.0)</f>
        <v>242</v>
      </c>
      <c r="G1598" s="20">
        <f>IFERROR(__xludf.DUMMYFUNCTION("""COMPUTED_VALUE"""),44.0)</f>
        <v>44</v>
      </c>
      <c r="H1598" s="20" t="str">
        <f>IFERROR(__xludf.DUMMYFUNCTION("""COMPUTED_VALUE"""),"Algorithms")</f>
        <v>Algorithms</v>
      </c>
      <c r="I1598" s="20">
        <f>IFERROR(__xludf.DUMMYFUNCTION("""COMPUTED_VALUE"""),0.624)</f>
        <v>0.624</v>
      </c>
      <c r="J1598" s="20">
        <f>IFERROR(__xludf.DUMMYFUNCTION("""COMPUTED_VALUE"""),1597.0)</f>
        <v>1597</v>
      </c>
      <c r="K1598" s="20" t="b">
        <f>IFERROR(__xludf.DUMMYFUNCTION("""COMPUTED_VALUE"""),TRUE)</f>
        <v>1</v>
      </c>
      <c r="L1598" s="20" t="str">
        <f>IFERROR(__xludf.DUMMYFUNCTION("""COMPUTED_VALUE"""),"String;Stack;Tree;Binary Tree;")</f>
        <v>String;Stack;Tree;Binary Tree;</v>
      </c>
      <c r="M1598" s="20" t="b">
        <f>IFERROR(__xludf.DUMMYFUNCTION("""COMPUTED_VALUE"""),FALSE)</f>
        <v>0</v>
      </c>
      <c r="N1598" s="20" t="b">
        <f>IFERROR(__xludf.DUMMYFUNCTION("""COMPUTED_VALUE"""),FALSE)</f>
        <v>0</v>
      </c>
      <c r="O1598" s="20">
        <f>IFERROR(__xludf.DUMMYFUNCTION("""COMPUTED_VALUE"""),62.3975687849351)</f>
        <v>62.39756878</v>
      </c>
      <c r="P1598" s="20">
        <f>IFERROR(__xludf.DUMMYFUNCTION("""COMPUTED_VALUE"""),11498.0)</f>
        <v>11498</v>
      </c>
      <c r="Q1598" s="20">
        <f>IFERROR(__xludf.DUMMYFUNCTION("""COMPUTED_VALUE"""),18427.0)</f>
        <v>18427</v>
      </c>
    </row>
    <row r="1599">
      <c r="A1599" s="20">
        <f>IFERROR(__xludf.DUMMYFUNCTION("""COMPUTED_VALUE"""),1720.0)</f>
        <v>1720</v>
      </c>
      <c r="B1599" s="20" t="str">
        <f>IFERROR(__xludf.DUMMYFUNCTION("""COMPUTED_VALUE"""),"Crawler Log Folder")</f>
        <v>Crawler Log Folder</v>
      </c>
      <c r="C1599" s="20" t="str">
        <f>IFERROR(__xludf.DUMMYFUNCTION("""COMPUTED_VALUE"""),"crawler-log-folder")</f>
        <v>crawler-log-folder</v>
      </c>
      <c r="D1599" s="20" t="b">
        <f>IFERROR(__xludf.DUMMYFUNCTION("""COMPUTED_VALUE"""),FALSE)</f>
        <v>0</v>
      </c>
      <c r="E1599" s="20" t="str">
        <f>IFERROR(__xludf.DUMMYFUNCTION("""COMPUTED_VALUE"""),"Easy")</f>
        <v>Easy</v>
      </c>
      <c r="F1599" s="20">
        <f>IFERROR(__xludf.DUMMYFUNCTION("""COMPUTED_VALUE"""),682.0)</f>
        <v>682</v>
      </c>
      <c r="G1599" s="20">
        <f>IFERROR(__xludf.DUMMYFUNCTION("""COMPUTED_VALUE"""),50.0)</f>
        <v>50</v>
      </c>
      <c r="H1599" s="20" t="str">
        <f>IFERROR(__xludf.DUMMYFUNCTION("""COMPUTED_VALUE"""),"Algorithms")</f>
        <v>Algorithms</v>
      </c>
      <c r="I1599" s="20">
        <f>IFERROR(__xludf.DUMMYFUNCTION("""COMPUTED_VALUE"""),0.644)</f>
        <v>0.644</v>
      </c>
      <c r="J1599" s="20">
        <f>IFERROR(__xludf.DUMMYFUNCTION("""COMPUTED_VALUE"""),1598.0)</f>
        <v>1598</v>
      </c>
      <c r="K1599" s="20" t="b">
        <f>IFERROR(__xludf.DUMMYFUNCTION("""COMPUTED_VALUE"""),FALSE)</f>
        <v>0</v>
      </c>
      <c r="L1599" s="20" t="str">
        <f>IFERROR(__xludf.DUMMYFUNCTION("""COMPUTED_VALUE"""),"Array;String;Stack;")</f>
        <v>Array;String;Stack;</v>
      </c>
      <c r="M1599" s="20" t="b">
        <f>IFERROR(__xludf.DUMMYFUNCTION("""COMPUTED_VALUE"""),FALSE)</f>
        <v>0</v>
      </c>
      <c r="N1599" s="20" t="b">
        <f>IFERROR(__xludf.DUMMYFUNCTION("""COMPUTED_VALUE"""),FALSE)</f>
        <v>0</v>
      </c>
      <c r="O1599" s="20">
        <f>IFERROR(__xludf.DUMMYFUNCTION("""COMPUTED_VALUE"""),64.4264986041384)</f>
        <v>64.4264986</v>
      </c>
      <c r="P1599" s="20">
        <f>IFERROR(__xludf.DUMMYFUNCTION("""COMPUTED_VALUE"""),53770.0)</f>
        <v>53770</v>
      </c>
      <c r="Q1599" s="20">
        <f>IFERROR(__xludf.DUMMYFUNCTION("""COMPUTED_VALUE"""),83459.0)</f>
        <v>83459</v>
      </c>
    </row>
    <row r="1600">
      <c r="A1600" s="20">
        <f>IFERROR(__xludf.DUMMYFUNCTION("""COMPUTED_VALUE"""),1721.0)</f>
        <v>1721</v>
      </c>
      <c r="B1600" s="20" t="str">
        <f>IFERROR(__xludf.DUMMYFUNCTION("""COMPUTED_VALUE"""),"Maximum Profit of Operating a Centennial Wheel")</f>
        <v>Maximum Profit of Operating a Centennial Wheel</v>
      </c>
      <c r="C1600" s="20" t="str">
        <f>IFERROR(__xludf.DUMMYFUNCTION("""COMPUTED_VALUE"""),"maximum-profit-of-operating-a-centennial-wheel")</f>
        <v>maximum-profit-of-operating-a-centennial-wheel</v>
      </c>
      <c r="D1600" s="20" t="b">
        <f>IFERROR(__xludf.DUMMYFUNCTION("""COMPUTED_VALUE"""),FALSE)</f>
        <v>0</v>
      </c>
      <c r="E1600" s="20" t="str">
        <f>IFERROR(__xludf.DUMMYFUNCTION("""COMPUTED_VALUE"""),"Medium")</f>
        <v>Medium</v>
      </c>
      <c r="F1600" s="20">
        <f>IFERROR(__xludf.DUMMYFUNCTION("""COMPUTED_VALUE"""),85.0)</f>
        <v>85</v>
      </c>
      <c r="G1600" s="20">
        <f>IFERROR(__xludf.DUMMYFUNCTION("""COMPUTED_VALUE"""),223.0)</f>
        <v>223</v>
      </c>
      <c r="H1600" s="20" t="str">
        <f>IFERROR(__xludf.DUMMYFUNCTION("""COMPUTED_VALUE"""),"Algorithms")</f>
        <v>Algorithms</v>
      </c>
      <c r="I1600" s="20">
        <f>IFERROR(__xludf.DUMMYFUNCTION("""COMPUTED_VALUE"""),0.436)</f>
        <v>0.436</v>
      </c>
      <c r="J1600" s="20">
        <f>IFERROR(__xludf.DUMMYFUNCTION("""COMPUTED_VALUE"""),1599.0)</f>
        <v>1599</v>
      </c>
      <c r="K1600" s="20" t="b">
        <f>IFERROR(__xludf.DUMMYFUNCTION("""COMPUTED_VALUE"""),FALSE)</f>
        <v>0</v>
      </c>
      <c r="L1600" s="20" t="str">
        <f>IFERROR(__xludf.DUMMYFUNCTION("""COMPUTED_VALUE"""),"Array;Simulation;")</f>
        <v>Array;Simulation;</v>
      </c>
      <c r="M1600" s="20" t="b">
        <f>IFERROR(__xludf.DUMMYFUNCTION("""COMPUTED_VALUE"""),FALSE)</f>
        <v>0</v>
      </c>
      <c r="N1600" s="20" t="b">
        <f>IFERROR(__xludf.DUMMYFUNCTION("""COMPUTED_VALUE"""),FALSE)</f>
        <v>0</v>
      </c>
      <c r="O1600" s="20">
        <f>IFERROR(__xludf.DUMMYFUNCTION("""COMPUTED_VALUE"""),43.5960284159361)</f>
        <v>43.59602842</v>
      </c>
      <c r="P1600" s="20">
        <f>IFERROR(__xludf.DUMMYFUNCTION("""COMPUTED_VALUE"""),10494.0)</f>
        <v>10494</v>
      </c>
      <c r="Q1600" s="20">
        <f>IFERROR(__xludf.DUMMYFUNCTION("""COMPUTED_VALUE"""),24071.0)</f>
        <v>24071</v>
      </c>
    </row>
    <row r="1601">
      <c r="A1601" s="20">
        <f>IFERROR(__xludf.DUMMYFUNCTION("""COMPUTED_VALUE"""),1722.0)</f>
        <v>1722</v>
      </c>
      <c r="B1601" s="20" t="str">
        <f>IFERROR(__xludf.DUMMYFUNCTION("""COMPUTED_VALUE"""),"Throne Inheritance")</f>
        <v>Throne Inheritance</v>
      </c>
      <c r="C1601" s="20" t="str">
        <f>IFERROR(__xludf.DUMMYFUNCTION("""COMPUTED_VALUE"""),"throne-inheritance")</f>
        <v>throne-inheritance</v>
      </c>
      <c r="D1601" s="20" t="b">
        <f>IFERROR(__xludf.DUMMYFUNCTION("""COMPUTED_VALUE"""),FALSE)</f>
        <v>0</v>
      </c>
      <c r="E1601" s="20" t="str">
        <f>IFERROR(__xludf.DUMMYFUNCTION("""COMPUTED_VALUE"""),"Medium")</f>
        <v>Medium</v>
      </c>
      <c r="F1601" s="20">
        <f>IFERROR(__xludf.DUMMYFUNCTION("""COMPUTED_VALUE"""),217.0)</f>
        <v>217</v>
      </c>
      <c r="G1601" s="20">
        <f>IFERROR(__xludf.DUMMYFUNCTION("""COMPUTED_VALUE"""),268.0)</f>
        <v>268</v>
      </c>
      <c r="H1601" s="20" t="str">
        <f>IFERROR(__xludf.DUMMYFUNCTION("""COMPUTED_VALUE"""),"Algorithms")</f>
        <v>Algorithms</v>
      </c>
      <c r="I1601" s="20">
        <f>IFERROR(__xludf.DUMMYFUNCTION("""COMPUTED_VALUE"""),0.637)</f>
        <v>0.637</v>
      </c>
      <c r="J1601" s="20">
        <f>IFERROR(__xludf.DUMMYFUNCTION("""COMPUTED_VALUE"""),1600.0)</f>
        <v>1600</v>
      </c>
      <c r="K1601" s="20" t="b">
        <f>IFERROR(__xludf.DUMMYFUNCTION("""COMPUTED_VALUE"""),FALSE)</f>
        <v>0</v>
      </c>
      <c r="L1601" s="20" t="str">
        <f>IFERROR(__xludf.DUMMYFUNCTION("""COMPUTED_VALUE"""),"Hash Table;Tree;Depth-First Search;Design;")</f>
        <v>Hash Table;Tree;Depth-First Search;Design;</v>
      </c>
      <c r="M1601" s="20" t="b">
        <f>IFERROR(__xludf.DUMMYFUNCTION("""COMPUTED_VALUE"""),FALSE)</f>
        <v>0</v>
      </c>
      <c r="N1601" s="20" t="b">
        <f>IFERROR(__xludf.DUMMYFUNCTION("""COMPUTED_VALUE"""),FALSE)</f>
        <v>0</v>
      </c>
      <c r="O1601" s="20">
        <f>IFERROR(__xludf.DUMMYFUNCTION("""COMPUTED_VALUE"""),63.6845656994119)</f>
        <v>63.6845657</v>
      </c>
      <c r="P1601" s="20">
        <f>IFERROR(__xludf.DUMMYFUNCTION("""COMPUTED_VALUE"""),13212.0)</f>
        <v>13212</v>
      </c>
      <c r="Q1601" s="20">
        <f>IFERROR(__xludf.DUMMYFUNCTION("""COMPUTED_VALUE"""),20746.0)</f>
        <v>20746</v>
      </c>
    </row>
    <row r="1602">
      <c r="A1602" s="20">
        <f>IFERROR(__xludf.DUMMYFUNCTION("""COMPUTED_VALUE"""),1723.0)</f>
        <v>1723</v>
      </c>
      <c r="B1602" s="20" t="str">
        <f>IFERROR(__xludf.DUMMYFUNCTION("""COMPUTED_VALUE"""),"Maximum Number of Achievable Transfer Requests")</f>
        <v>Maximum Number of Achievable Transfer Requests</v>
      </c>
      <c r="C1602" s="20" t="str">
        <f>IFERROR(__xludf.DUMMYFUNCTION("""COMPUTED_VALUE"""),"maximum-number-of-achievable-transfer-requests")</f>
        <v>maximum-number-of-achievable-transfer-requests</v>
      </c>
      <c r="D1602" s="20" t="b">
        <f>IFERROR(__xludf.DUMMYFUNCTION("""COMPUTED_VALUE"""),FALSE)</f>
        <v>0</v>
      </c>
      <c r="E1602" s="20" t="str">
        <f>IFERROR(__xludf.DUMMYFUNCTION("""COMPUTED_VALUE"""),"Hard")</f>
        <v>Hard</v>
      </c>
      <c r="F1602" s="20">
        <f>IFERROR(__xludf.DUMMYFUNCTION("""COMPUTED_VALUE"""),260.0)</f>
        <v>260</v>
      </c>
      <c r="G1602" s="20">
        <f>IFERROR(__xludf.DUMMYFUNCTION("""COMPUTED_VALUE"""),28.0)</f>
        <v>28</v>
      </c>
      <c r="H1602" s="20" t="str">
        <f>IFERROR(__xludf.DUMMYFUNCTION("""COMPUTED_VALUE"""),"Algorithms")</f>
        <v>Algorithms</v>
      </c>
      <c r="I1602" s="20">
        <f>IFERROR(__xludf.DUMMYFUNCTION("""COMPUTED_VALUE"""),0.512)</f>
        <v>0.512</v>
      </c>
      <c r="J1602" s="20">
        <f>IFERROR(__xludf.DUMMYFUNCTION("""COMPUTED_VALUE"""),1601.0)</f>
        <v>1601</v>
      </c>
      <c r="K1602" s="20" t="b">
        <f>IFERROR(__xludf.DUMMYFUNCTION("""COMPUTED_VALUE"""),FALSE)</f>
        <v>0</v>
      </c>
      <c r="L1602" s="20" t="str">
        <f>IFERROR(__xludf.DUMMYFUNCTION("""COMPUTED_VALUE"""),"Array;Backtracking;Bit Manipulation;Enumeration;")</f>
        <v>Array;Backtracking;Bit Manipulation;Enumeration;</v>
      </c>
      <c r="M1602" s="20" t="b">
        <f>IFERROR(__xludf.DUMMYFUNCTION("""COMPUTED_VALUE"""),FALSE)</f>
        <v>0</v>
      </c>
      <c r="N1602" s="20" t="b">
        <f>IFERROR(__xludf.DUMMYFUNCTION("""COMPUTED_VALUE"""),FALSE)</f>
        <v>0</v>
      </c>
      <c r="O1602" s="20">
        <f>IFERROR(__xludf.DUMMYFUNCTION("""COMPUTED_VALUE"""),51.1686382078976)</f>
        <v>51.16863821</v>
      </c>
      <c r="P1602" s="20">
        <f>IFERROR(__xludf.DUMMYFUNCTION("""COMPUTED_VALUE"""),8954.0)</f>
        <v>8954</v>
      </c>
      <c r="Q1602" s="20">
        <f>IFERROR(__xludf.DUMMYFUNCTION("""COMPUTED_VALUE"""),17499.0)</f>
        <v>17499</v>
      </c>
    </row>
    <row r="1603">
      <c r="A1603" s="20">
        <f>IFERROR(__xludf.DUMMYFUNCTION("""COMPUTED_VALUE"""),1745.0)</f>
        <v>1745</v>
      </c>
      <c r="B1603" s="20" t="str">
        <f>IFERROR(__xludf.DUMMYFUNCTION("""COMPUTED_VALUE"""),"Find Nearest Right Node in Binary Tree")</f>
        <v>Find Nearest Right Node in Binary Tree</v>
      </c>
      <c r="C1603" s="20" t="str">
        <f>IFERROR(__xludf.DUMMYFUNCTION("""COMPUTED_VALUE"""),"find-nearest-right-node-in-binary-tree")</f>
        <v>find-nearest-right-node-in-binary-tree</v>
      </c>
      <c r="D1603" s="20" t="b">
        <f>IFERROR(__xludf.DUMMYFUNCTION("""COMPUTED_VALUE"""),TRUE)</f>
        <v>1</v>
      </c>
      <c r="E1603" s="20" t="str">
        <f>IFERROR(__xludf.DUMMYFUNCTION("""COMPUTED_VALUE"""),"Medium")</f>
        <v>Medium</v>
      </c>
      <c r="F1603" s="20">
        <f>IFERROR(__xludf.DUMMYFUNCTION("""COMPUTED_VALUE"""),290.0)</f>
        <v>290</v>
      </c>
      <c r="G1603" s="20">
        <f>IFERROR(__xludf.DUMMYFUNCTION("""COMPUTED_VALUE"""),9.0)</f>
        <v>9</v>
      </c>
      <c r="H1603" s="20" t="str">
        <f>IFERROR(__xludf.DUMMYFUNCTION("""COMPUTED_VALUE"""),"Algorithms")</f>
        <v>Algorithms</v>
      </c>
      <c r="I1603" s="20">
        <f>IFERROR(__xludf.DUMMYFUNCTION("""COMPUTED_VALUE"""),0.754)</f>
        <v>0.754</v>
      </c>
      <c r="J1603" s="20">
        <f>IFERROR(__xludf.DUMMYFUNCTION("""COMPUTED_VALUE"""),1602.0)</f>
        <v>1602</v>
      </c>
      <c r="K1603" s="20" t="b">
        <f>IFERROR(__xludf.DUMMYFUNCTION("""COMPUTED_VALUE"""),TRUE)</f>
        <v>1</v>
      </c>
      <c r="L1603" s="20" t="str">
        <f>IFERROR(__xludf.DUMMYFUNCTION("""COMPUTED_VALUE"""),"Tree;Breadth-First Search;Binary Tree;")</f>
        <v>Tree;Breadth-First Search;Binary Tree;</v>
      </c>
      <c r="M1603" s="20" t="b">
        <f>IFERROR(__xludf.DUMMYFUNCTION("""COMPUTED_VALUE"""),TRUE)</f>
        <v>1</v>
      </c>
      <c r="N1603" s="20" t="b">
        <f>IFERROR(__xludf.DUMMYFUNCTION("""COMPUTED_VALUE"""),TRUE)</f>
        <v>1</v>
      </c>
      <c r="O1603" s="20">
        <f>IFERROR(__xludf.DUMMYFUNCTION("""COMPUTED_VALUE"""),75.4286770140428)</f>
        <v>75.42867701</v>
      </c>
      <c r="P1603" s="20">
        <f>IFERROR(__xludf.DUMMYFUNCTION("""COMPUTED_VALUE"""),20411.0)</f>
        <v>20411</v>
      </c>
      <c r="Q1603" s="20">
        <f>IFERROR(__xludf.DUMMYFUNCTION("""COMPUTED_VALUE"""),27060.0)</f>
        <v>27060</v>
      </c>
    </row>
    <row r="1604">
      <c r="A1604" s="20">
        <f>IFERROR(__xludf.DUMMYFUNCTION("""COMPUTED_VALUE"""),1708.0)</f>
        <v>1708</v>
      </c>
      <c r="B1604" s="20" t="str">
        <f>IFERROR(__xludf.DUMMYFUNCTION("""COMPUTED_VALUE"""),"Design Parking System")</f>
        <v>Design Parking System</v>
      </c>
      <c r="C1604" s="20" t="str">
        <f>IFERROR(__xludf.DUMMYFUNCTION("""COMPUTED_VALUE"""),"design-parking-system")</f>
        <v>design-parking-system</v>
      </c>
      <c r="D1604" s="20" t="b">
        <f>IFERROR(__xludf.DUMMYFUNCTION("""COMPUTED_VALUE"""),FALSE)</f>
        <v>0</v>
      </c>
      <c r="E1604" s="20" t="str">
        <f>IFERROR(__xludf.DUMMYFUNCTION("""COMPUTED_VALUE"""),"Easy")</f>
        <v>Easy</v>
      </c>
      <c r="F1604" s="20">
        <f>IFERROR(__xludf.DUMMYFUNCTION("""COMPUTED_VALUE"""),926.0)</f>
        <v>926</v>
      </c>
      <c r="G1604" s="20">
        <f>IFERROR(__xludf.DUMMYFUNCTION("""COMPUTED_VALUE"""),345.0)</f>
        <v>345</v>
      </c>
      <c r="H1604" s="20" t="str">
        <f>IFERROR(__xludf.DUMMYFUNCTION("""COMPUTED_VALUE"""),"Algorithms")</f>
        <v>Algorithms</v>
      </c>
      <c r="I1604" s="20">
        <f>IFERROR(__xludf.DUMMYFUNCTION("""COMPUTED_VALUE"""),0.88)</f>
        <v>0.88</v>
      </c>
      <c r="J1604" s="20">
        <f>IFERROR(__xludf.DUMMYFUNCTION("""COMPUTED_VALUE"""),1603.0)</f>
        <v>1603</v>
      </c>
      <c r="K1604" s="20" t="b">
        <f>IFERROR(__xludf.DUMMYFUNCTION("""COMPUTED_VALUE"""),FALSE)</f>
        <v>0</v>
      </c>
      <c r="L1604" s="20" t="str">
        <f>IFERROR(__xludf.DUMMYFUNCTION("""COMPUTED_VALUE"""),"Design;Simulation;Counting;")</f>
        <v>Design;Simulation;Counting;</v>
      </c>
      <c r="M1604" s="20" t="b">
        <f>IFERROR(__xludf.DUMMYFUNCTION("""COMPUTED_VALUE"""),FALSE)</f>
        <v>0</v>
      </c>
      <c r="N1604" s="20" t="b">
        <f>IFERROR(__xludf.DUMMYFUNCTION("""COMPUTED_VALUE"""),FALSE)</f>
        <v>0</v>
      </c>
      <c r="O1604" s="20">
        <f>IFERROR(__xludf.DUMMYFUNCTION("""COMPUTED_VALUE"""),88.0041160189072)</f>
        <v>88.00411602</v>
      </c>
      <c r="P1604" s="20">
        <f>IFERROR(__xludf.DUMMYFUNCTION("""COMPUTED_VALUE"""),159929.0)</f>
        <v>159929</v>
      </c>
      <c r="Q1604" s="20">
        <f>IFERROR(__xludf.DUMMYFUNCTION("""COMPUTED_VALUE"""),181729.0)</f>
        <v>181729</v>
      </c>
    </row>
    <row r="1605">
      <c r="A1605" s="20">
        <f>IFERROR(__xludf.DUMMYFUNCTION("""COMPUTED_VALUE"""),1709.0)</f>
        <v>1709</v>
      </c>
      <c r="B1605" s="20" t="str">
        <f>IFERROR(__xludf.DUMMYFUNCTION("""COMPUTED_VALUE"""),"Alert Using Same Key-Card Three or More Times in a One Hour Period")</f>
        <v>Alert Using Same Key-Card Three or More Times in a One Hour Period</v>
      </c>
      <c r="C1605" s="20" t="str">
        <f>IFERROR(__xludf.DUMMYFUNCTION("""COMPUTED_VALUE"""),"alert-using-same-key-card-three-or-more-times-in-a-one-hour-period")</f>
        <v>alert-using-same-key-card-three-or-more-times-in-a-one-hour-period</v>
      </c>
      <c r="D1605" s="20" t="b">
        <f>IFERROR(__xludf.DUMMYFUNCTION("""COMPUTED_VALUE"""),FALSE)</f>
        <v>0</v>
      </c>
      <c r="E1605" s="20" t="str">
        <f>IFERROR(__xludf.DUMMYFUNCTION("""COMPUTED_VALUE"""),"Medium")</f>
        <v>Medium</v>
      </c>
      <c r="F1605" s="20">
        <f>IFERROR(__xludf.DUMMYFUNCTION("""COMPUTED_VALUE"""),233.0)</f>
        <v>233</v>
      </c>
      <c r="G1605" s="20">
        <f>IFERROR(__xludf.DUMMYFUNCTION("""COMPUTED_VALUE"""),349.0)</f>
        <v>349</v>
      </c>
      <c r="H1605" s="20" t="str">
        <f>IFERROR(__xludf.DUMMYFUNCTION("""COMPUTED_VALUE"""),"Algorithms")</f>
        <v>Algorithms</v>
      </c>
      <c r="I1605" s="20">
        <f>IFERROR(__xludf.DUMMYFUNCTION("""COMPUTED_VALUE"""),0.471)</f>
        <v>0.471</v>
      </c>
      <c r="J1605" s="20">
        <f>IFERROR(__xludf.DUMMYFUNCTION("""COMPUTED_VALUE"""),1604.0)</f>
        <v>1604</v>
      </c>
      <c r="K1605" s="20" t="b">
        <f>IFERROR(__xludf.DUMMYFUNCTION("""COMPUTED_VALUE"""),FALSE)</f>
        <v>0</v>
      </c>
      <c r="L1605" s="20" t="str">
        <f>IFERROR(__xludf.DUMMYFUNCTION("""COMPUTED_VALUE"""),"Array;Hash Table;String;Sorting;")</f>
        <v>Array;Hash Table;String;Sorting;</v>
      </c>
      <c r="M1605" s="20" t="b">
        <f>IFERROR(__xludf.DUMMYFUNCTION("""COMPUTED_VALUE"""),FALSE)</f>
        <v>0</v>
      </c>
      <c r="N1605" s="20" t="b">
        <f>IFERROR(__xludf.DUMMYFUNCTION("""COMPUTED_VALUE"""),FALSE)</f>
        <v>0</v>
      </c>
      <c r="O1605" s="20">
        <f>IFERROR(__xludf.DUMMYFUNCTION("""COMPUTED_VALUE"""),47.137653536637)</f>
        <v>47.13765354</v>
      </c>
      <c r="P1605" s="20">
        <f>IFERROR(__xludf.DUMMYFUNCTION("""COMPUTED_VALUE"""),27823.0)</f>
        <v>27823</v>
      </c>
      <c r="Q1605" s="20">
        <f>IFERROR(__xludf.DUMMYFUNCTION("""COMPUTED_VALUE"""),59025.0)</f>
        <v>59025</v>
      </c>
    </row>
    <row r="1606">
      <c r="A1606" s="20">
        <f>IFERROR(__xludf.DUMMYFUNCTION("""COMPUTED_VALUE"""),1711.0)</f>
        <v>1711</v>
      </c>
      <c r="B1606" s="20" t="str">
        <f>IFERROR(__xludf.DUMMYFUNCTION("""COMPUTED_VALUE"""),"Find Valid Matrix Given Row and Column Sums")</f>
        <v>Find Valid Matrix Given Row and Column Sums</v>
      </c>
      <c r="C1606" s="20" t="str">
        <f>IFERROR(__xludf.DUMMYFUNCTION("""COMPUTED_VALUE"""),"find-valid-matrix-given-row-and-column-sums")</f>
        <v>find-valid-matrix-given-row-and-column-sums</v>
      </c>
      <c r="D1606" s="20" t="b">
        <f>IFERROR(__xludf.DUMMYFUNCTION("""COMPUTED_VALUE"""),FALSE)</f>
        <v>0</v>
      </c>
      <c r="E1606" s="20" t="str">
        <f>IFERROR(__xludf.DUMMYFUNCTION("""COMPUTED_VALUE"""),"Medium")</f>
        <v>Medium</v>
      </c>
      <c r="F1606" s="20">
        <f>IFERROR(__xludf.DUMMYFUNCTION("""COMPUTED_VALUE"""),1140.0)</f>
        <v>1140</v>
      </c>
      <c r="G1606" s="20">
        <f>IFERROR(__xludf.DUMMYFUNCTION("""COMPUTED_VALUE"""),32.0)</f>
        <v>32</v>
      </c>
      <c r="H1606" s="20" t="str">
        <f>IFERROR(__xludf.DUMMYFUNCTION("""COMPUTED_VALUE"""),"Algorithms")</f>
        <v>Algorithms</v>
      </c>
      <c r="I1606" s="20">
        <f>IFERROR(__xludf.DUMMYFUNCTION("""COMPUTED_VALUE"""),0.78)</f>
        <v>0.78</v>
      </c>
      <c r="J1606" s="20">
        <f>IFERROR(__xludf.DUMMYFUNCTION("""COMPUTED_VALUE"""),1605.0)</f>
        <v>1605</v>
      </c>
      <c r="K1606" s="20" t="b">
        <f>IFERROR(__xludf.DUMMYFUNCTION("""COMPUTED_VALUE"""),FALSE)</f>
        <v>0</v>
      </c>
      <c r="L1606" s="20" t="str">
        <f>IFERROR(__xludf.DUMMYFUNCTION("""COMPUTED_VALUE"""),"Array;Greedy;Matrix;")</f>
        <v>Array;Greedy;Matrix;</v>
      </c>
      <c r="M1606" s="20" t="b">
        <f>IFERROR(__xludf.DUMMYFUNCTION("""COMPUTED_VALUE"""),FALSE)</f>
        <v>0</v>
      </c>
      <c r="N1606" s="20" t="b">
        <f>IFERROR(__xludf.DUMMYFUNCTION("""COMPUTED_VALUE"""),FALSE)</f>
        <v>0</v>
      </c>
      <c r="O1606" s="20">
        <f>IFERROR(__xludf.DUMMYFUNCTION("""COMPUTED_VALUE"""),77.9771371769383)</f>
        <v>77.97713718</v>
      </c>
      <c r="P1606" s="20">
        <f>IFERROR(__xludf.DUMMYFUNCTION("""COMPUTED_VALUE"""),31378.0)</f>
        <v>31378</v>
      </c>
      <c r="Q1606" s="20">
        <f>IFERROR(__xludf.DUMMYFUNCTION("""COMPUTED_VALUE"""),40240.0)</f>
        <v>40240</v>
      </c>
    </row>
    <row r="1607">
      <c r="A1607" s="20">
        <f>IFERROR(__xludf.DUMMYFUNCTION("""COMPUTED_VALUE"""),1710.0)</f>
        <v>1710</v>
      </c>
      <c r="B1607" s="20" t="str">
        <f>IFERROR(__xludf.DUMMYFUNCTION("""COMPUTED_VALUE"""),"Find Servers That Handled Most Number of Requests")</f>
        <v>Find Servers That Handled Most Number of Requests</v>
      </c>
      <c r="C1607" s="20" t="str">
        <f>IFERROR(__xludf.DUMMYFUNCTION("""COMPUTED_VALUE"""),"find-servers-that-handled-most-number-of-requests")</f>
        <v>find-servers-that-handled-most-number-of-requests</v>
      </c>
      <c r="D1607" s="20" t="b">
        <f>IFERROR(__xludf.DUMMYFUNCTION("""COMPUTED_VALUE"""),FALSE)</f>
        <v>0</v>
      </c>
      <c r="E1607" s="20" t="str">
        <f>IFERROR(__xludf.DUMMYFUNCTION("""COMPUTED_VALUE"""),"Hard")</f>
        <v>Hard</v>
      </c>
      <c r="F1607" s="20">
        <f>IFERROR(__xludf.DUMMYFUNCTION("""COMPUTED_VALUE"""),460.0)</f>
        <v>460</v>
      </c>
      <c r="G1607" s="20">
        <f>IFERROR(__xludf.DUMMYFUNCTION("""COMPUTED_VALUE"""),21.0)</f>
        <v>21</v>
      </c>
      <c r="H1607" s="20" t="str">
        <f>IFERROR(__xludf.DUMMYFUNCTION("""COMPUTED_VALUE"""),"Algorithms")</f>
        <v>Algorithms</v>
      </c>
      <c r="I1607" s="20">
        <f>IFERROR(__xludf.DUMMYFUNCTION("""COMPUTED_VALUE"""),0.43)</f>
        <v>0.43</v>
      </c>
      <c r="J1607" s="20">
        <f>IFERROR(__xludf.DUMMYFUNCTION("""COMPUTED_VALUE"""),1606.0)</f>
        <v>1606</v>
      </c>
      <c r="K1607" s="20" t="b">
        <f>IFERROR(__xludf.DUMMYFUNCTION("""COMPUTED_VALUE"""),FALSE)</f>
        <v>0</v>
      </c>
      <c r="L1607" s="20" t="str">
        <f>IFERROR(__xludf.DUMMYFUNCTION("""COMPUTED_VALUE"""),"Array;Greedy;Heap (Priority Queue);Ordered Set;")</f>
        <v>Array;Greedy;Heap (Priority Queue);Ordered Set;</v>
      </c>
      <c r="M1607" s="20" t="b">
        <f>IFERROR(__xludf.DUMMYFUNCTION("""COMPUTED_VALUE"""),TRUE)</f>
        <v>1</v>
      </c>
      <c r="N1607" s="20" t="b">
        <f>IFERROR(__xludf.DUMMYFUNCTION("""COMPUTED_VALUE"""),FALSE)</f>
        <v>0</v>
      </c>
      <c r="O1607" s="20">
        <f>IFERROR(__xludf.DUMMYFUNCTION("""COMPUTED_VALUE"""),43.0044393527137)</f>
        <v>43.00443935</v>
      </c>
      <c r="P1607" s="20">
        <f>IFERROR(__xludf.DUMMYFUNCTION("""COMPUTED_VALUE"""),12012.0)</f>
        <v>12012</v>
      </c>
      <c r="Q1607" s="20">
        <f>IFERROR(__xludf.DUMMYFUNCTION("""COMPUTED_VALUE"""),27932.0)</f>
        <v>27932</v>
      </c>
    </row>
    <row r="1608">
      <c r="A1608" s="20">
        <f>IFERROR(__xludf.DUMMYFUNCTION("""COMPUTED_VALUE"""),1749.0)</f>
        <v>1749</v>
      </c>
      <c r="B1608" s="20" t="str">
        <f>IFERROR(__xludf.DUMMYFUNCTION("""COMPUTED_VALUE"""),"Sellers With No Sales")</f>
        <v>Sellers With No Sales</v>
      </c>
      <c r="C1608" s="20" t="str">
        <f>IFERROR(__xludf.DUMMYFUNCTION("""COMPUTED_VALUE"""),"sellers-with-no-sales")</f>
        <v>sellers-with-no-sales</v>
      </c>
      <c r="D1608" s="20" t="b">
        <f>IFERROR(__xludf.DUMMYFUNCTION("""COMPUTED_VALUE"""),TRUE)</f>
        <v>1</v>
      </c>
      <c r="E1608" s="20" t="str">
        <f>IFERROR(__xludf.DUMMYFUNCTION("""COMPUTED_VALUE"""),"Easy")</f>
        <v>Easy</v>
      </c>
      <c r="F1608" s="20">
        <f>IFERROR(__xludf.DUMMYFUNCTION("""COMPUTED_VALUE"""),89.0)</f>
        <v>89</v>
      </c>
      <c r="G1608" s="20">
        <f>IFERROR(__xludf.DUMMYFUNCTION("""COMPUTED_VALUE"""),11.0)</f>
        <v>11</v>
      </c>
      <c r="H1608" s="20" t="str">
        <f>IFERROR(__xludf.DUMMYFUNCTION("""COMPUTED_VALUE"""),"Database")</f>
        <v>Database</v>
      </c>
      <c r="I1608" s="20">
        <f>IFERROR(__xludf.DUMMYFUNCTION("""COMPUTED_VALUE"""),0.554)</f>
        <v>0.554</v>
      </c>
      <c r="J1608" s="20">
        <f>IFERROR(__xludf.DUMMYFUNCTION("""COMPUTED_VALUE"""),1607.0)</f>
        <v>1607</v>
      </c>
      <c r="K1608" s="20" t="b">
        <f>IFERROR(__xludf.DUMMYFUNCTION("""COMPUTED_VALUE"""),TRUE)</f>
        <v>1</v>
      </c>
      <c r="L1608" s="20" t="str">
        <f>IFERROR(__xludf.DUMMYFUNCTION("""COMPUTED_VALUE"""),"Database;")</f>
        <v>Database;</v>
      </c>
      <c r="M1608" s="20" t="b">
        <f>IFERROR(__xludf.DUMMYFUNCTION("""COMPUTED_VALUE"""),FALSE)</f>
        <v>0</v>
      </c>
      <c r="N1608" s="20" t="b">
        <f>IFERROR(__xludf.DUMMYFUNCTION("""COMPUTED_VALUE"""),FALSE)</f>
        <v>0</v>
      </c>
      <c r="O1608" s="20">
        <f>IFERROR(__xludf.DUMMYFUNCTION("""COMPUTED_VALUE"""),55.4280333876221)</f>
        <v>55.42803339</v>
      </c>
      <c r="P1608" s="20">
        <f>IFERROR(__xludf.DUMMYFUNCTION("""COMPUTED_VALUE"""),21781.0)</f>
        <v>21781</v>
      </c>
      <c r="Q1608" s="20">
        <f>IFERROR(__xludf.DUMMYFUNCTION("""COMPUTED_VALUE"""),39296.0)</f>
        <v>39296</v>
      </c>
    </row>
    <row r="1609">
      <c r="A1609" s="20">
        <f>IFERROR(__xludf.DUMMYFUNCTION("""COMPUTED_VALUE"""),1730.0)</f>
        <v>1730</v>
      </c>
      <c r="B1609" s="20" t="str">
        <f>IFERROR(__xludf.DUMMYFUNCTION("""COMPUTED_VALUE"""),"Special Array With X Elements Greater Than or Equal X")</f>
        <v>Special Array With X Elements Greater Than or Equal X</v>
      </c>
      <c r="C1609" s="20" t="str">
        <f>IFERROR(__xludf.DUMMYFUNCTION("""COMPUTED_VALUE"""),"special-array-with-x-elements-greater-than-or-equal-x")</f>
        <v>special-array-with-x-elements-greater-than-or-equal-x</v>
      </c>
      <c r="D1609" s="20" t="b">
        <f>IFERROR(__xludf.DUMMYFUNCTION("""COMPUTED_VALUE"""),FALSE)</f>
        <v>0</v>
      </c>
      <c r="E1609" s="20" t="str">
        <f>IFERROR(__xludf.DUMMYFUNCTION("""COMPUTED_VALUE"""),"Easy")</f>
        <v>Easy</v>
      </c>
      <c r="F1609" s="20">
        <f>IFERROR(__xludf.DUMMYFUNCTION("""COMPUTED_VALUE"""),1196.0)</f>
        <v>1196</v>
      </c>
      <c r="G1609" s="20">
        <f>IFERROR(__xludf.DUMMYFUNCTION("""COMPUTED_VALUE"""),190.0)</f>
        <v>190</v>
      </c>
      <c r="H1609" s="20" t="str">
        <f>IFERROR(__xludf.DUMMYFUNCTION("""COMPUTED_VALUE"""),"Algorithms")</f>
        <v>Algorithms</v>
      </c>
      <c r="I1609" s="20">
        <f>IFERROR(__xludf.DUMMYFUNCTION("""COMPUTED_VALUE"""),0.601)</f>
        <v>0.601</v>
      </c>
      <c r="J1609" s="20">
        <f>IFERROR(__xludf.DUMMYFUNCTION("""COMPUTED_VALUE"""),1608.0)</f>
        <v>1608</v>
      </c>
      <c r="K1609" s="20" t="b">
        <f>IFERROR(__xludf.DUMMYFUNCTION("""COMPUTED_VALUE"""),FALSE)</f>
        <v>0</v>
      </c>
      <c r="L1609" s="20" t="str">
        <f>IFERROR(__xludf.DUMMYFUNCTION("""COMPUTED_VALUE"""),"Array;Binary Search;Sorting;")</f>
        <v>Array;Binary Search;Sorting;</v>
      </c>
      <c r="M1609" s="20" t="b">
        <f>IFERROR(__xludf.DUMMYFUNCTION("""COMPUTED_VALUE"""),FALSE)</f>
        <v>0</v>
      </c>
      <c r="N1609" s="20" t="b">
        <f>IFERROR(__xludf.DUMMYFUNCTION("""COMPUTED_VALUE"""),FALSE)</f>
        <v>0</v>
      </c>
      <c r="O1609" s="20">
        <f>IFERROR(__xludf.DUMMYFUNCTION("""COMPUTED_VALUE"""),60.1380124957259)</f>
        <v>60.1380125</v>
      </c>
      <c r="P1609" s="20">
        <f>IFERROR(__xludf.DUMMYFUNCTION("""COMPUTED_VALUE"""),58041.0)</f>
        <v>58041</v>
      </c>
      <c r="Q1609" s="20">
        <f>IFERROR(__xludf.DUMMYFUNCTION("""COMPUTED_VALUE"""),96513.0)</f>
        <v>96513</v>
      </c>
    </row>
    <row r="1610">
      <c r="A1610" s="20">
        <f>IFERROR(__xludf.DUMMYFUNCTION("""COMPUTED_VALUE"""),1731.0)</f>
        <v>1731</v>
      </c>
      <c r="B1610" s="20" t="str">
        <f>IFERROR(__xludf.DUMMYFUNCTION("""COMPUTED_VALUE"""),"Even Odd Tree")</f>
        <v>Even Odd Tree</v>
      </c>
      <c r="C1610" s="20" t="str">
        <f>IFERROR(__xludf.DUMMYFUNCTION("""COMPUTED_VALUE"""),"even-odd-tree")</f>
        <v>even-odd-tree</v>
      </c>
      <c r="D1610" s="20" t="b">
        <f>IFERROR(__xludf.DUMMYFUNCTION("""COMPUTED_VALUE"""),FALSE)</f>
        <v>0</v>
      </c>
      <c r="E1610" s="20" t="str">
        <f>IFERROR(__xludf.DUMMYFUNCTION("""COMPUTED_VALUE"""),"Medium")</f>
        <v>Medium</v>
      </c>
      <c r="F1610" s="20">
        <f>IFERROR(__xludf.DUMMYFUNCTION("""COMPUTED_VALUE"""),913.0)</f>
        <v>913</v>
      </c>
      <c r="G1610" s="20">
        <f>IFERROR(__xludf.DUMMYFUNCTION("""COMPUTED_VALUE"""),50.0)</f>
        <v>50</v>
      </c>
      <c r="H1610" s="20" t="str">
        <f>IFERROR(__xludf.DUMMYFUNCTION("""COMPUTED_VALUE"""),"Algorithms")</f>
        <v>Algorithms</v>
      </c>
      <c r="I1610" s="20">
        <f>IFERROR(__xludf.DUMMYFUNCTION("""COMPUTED_VALUE"""),0.539)</f>
        <v>0.539</v>
      </c>
      <c r="J1610" s="20">
        <f>IFERROR(__xludf.DUMMYFUNCTION("""COMPUTED_VALUE"""),1609.0)</f>
        <v>1609</v>
      </c>
      <c r="K1610" s="20" t="b">
        <f>IFERROR(__xludf.DUMMYFUNCTION("""COMPUTED_VALUE"""),FALSE)</f>
        <v>0</v>
      </c>
      <c r="L1610" s="20" t="str">
        <f>IFERROR(__xludf.DUMMYFUNCTION("""COMPUTED_VALUE"""),"Tree;Breadth-First Search;Binary Tree;")</f>
        <v>Tree;Breadth-First Search;Binary Tree;</v>
      </c>
      <c r="M1610" s="20" t="b">
        <f>IFERROR(__xludf.DUMMYFUNCTION("""COMPUTED_VALUE"""),FALSE)</f>
        <v>0</v>
      </c>
      <c r="N1610" s="20" t="b">
        <f>IFERROR(__xludf.DUMMYFUNCTION("""COMPUTED_VALUE"""),FALSE)</f>
        <v>0</v>
      </c>
      <c r="O1610" s="20">
        <f>IFERROR(__xludf.DUMMYFUNCTION("""COMPUTED_VALUE"""),53.9008132249033)</f>
        <v>53.90081322</v>
      </c>
      <c r="P1610" s="20">
        <f>IFERROR(__xludf.DUMMYFUNCTION("""COMPUTED_VALUE"""),40431.0)</f>
        <v>40431</v>
      </c>
      <c r="Q1610" s="20">
        <f>IFERROR(__xludf.DUMMYFUNCTION("""COMPUTED_VALUE"""),75010.0)</f>
        <v>75010</v>
      </c>
    </row>
    <row r="1611">
      <c r="A1611" s="20">
        <f>IFERROR(__xludf.DUMMYFUNCTION("""COMPUTED_VALUE"""),1733.0)</f>
        <v>1733</v>
      </c>
      <c r="B1611" s="20" t="str">
        <f>IFERROR(__xludf.DUMMYFUNCTION("""COMPUTED_VALUE"""),"Maximum Number of Visible Points")</f>
        <v>Maximum Number of Visible Points</v>
      </c>
      <c r="C1611" s="20" t="str">
        <f>IFERROR(__xludf.DUMMYFUNCTION("""COMPUTED_VALUE"""),"maximum-number-of-visible-points")</f>
        <v>maximum-number-of-visible-points</v>
      </c>
      <c r="D1611" s="20" t="b">
        <f>IFERROR(__xludf.DUMMYFUNCTION("""COMPUTED_VALUE"""),FALSE)</f>
        <v>0</v>
      </c>
      <c r="E1611" s="20" t="str">
        <f>IFERROR(__xludf.DUMMYFUNCTION("""COMPUTED_VALUE"""),"Hard")</f>
        <v>Hard</v>
      </c>
      <c r="F1611" s="20">
        <f>IFERROR(__xludf.DUMMYFUNCTION("""COMPUTED_VALUE"""),478.0)</f>
        <v>478</v>
      </c>
      <c r="G1611" s="20">
        <f>IFERROR(__xludf.DUMMYFUNCTION("""COMPUTED_VALUE"""),678.0)</f>
        <v>678</v>
      </c>
      <c r="H1611" s="20" t="str">
        <f>IFERROR(__xludf.DUMMYFUNCTION("""COMPUTED_VALUE"""),"Algorithms")</f>
        <v>Algorithms</v>
      </c>
      <c r="I1611" s="20">
        <f>IFERROR(__xludf.DUMMYFUNCTION("""COMPUTED_VALUE"""),0.374)</f>
        <v>0.374</v>
      </c>
      <c r="J1611" s="20">
        <f>IFERROR(__xludf.DUMMYFUNCTION("""COMPUTED_VALUE"""),1610.0)</f>
        <v>1610</v>
      </c>
      <c r="K1611" s="20" t="b">
        <f>IFERROR(__xludf.DUMMYFUNCTION("""COMPUTED_VALUE"""),FALSE)</f>
        <v>0</v>
      </c>
      <c r="L1611" s="20" t="str">
        <f>IFERROR(__xludf.DUMMYFUNCTION("""COMPUTED_VALUE"""),"Array;Math;Geometry;Sliding Window;Sorting;")</f>
        <v>Array;Math;Geometry;Sliding Window;Sorting;</v>
      </c>
      <c r="M1611" s="20" t="b">
        <f>IFERROR(__xludf.DUMMYFUNCTION("""COMPUTED_VALUE"""),FALSE)</f>
        <v>0</v>
      </c>
      <c r="N1611" s="20" t="b">
        <f>IFERROR(__xludf.DUMMYFUNCTION("""COMPUTED_VALUE"""),FALSE)</f>
        <v>0</v>
      </c>
      <c r="O1611" s="20">
        <f>IFERROR(__xludf.DUMMYFUNCTION("""COMPUTED_VALUE"""),37.3729518378104)</f>
        <v>37.37295184</v>
      </c>
      <c r="P1611" s="20">
        <f>IFERROR(__xludf.DUMMYFUNCTION("""COMPUTED_VALUE"""),34601.0)</f>
        <v>34601</v>
      </c>
      <c r="Q1611" s="20">
        <f>IFERROR(__xludf.DUMMYFUNCTION("""COMPUTED_VALUE"""),92583.0)</f>
        <v>92583</v>
      </c>
    </row>
    <row r="1612">
      <c r="A1612" s="20">
        <f>IFERROR(__xludf.DUMMYFUNCTION("""COMPUTED_VALUE"""),1732.0)</f>
        <v>1732</v>
      </c>
      <c r="B1612" s="20" t="str">
        <f>IFERROR(__xludf.DUMMYFUNCTION("""COMPUTED_VALUE"""),"Minimum One Bit Operations to Make Integers Zero")</f>
        <v>Minimum One Bit Operations to Make Integers Zero</v>
      </c>
      <c r="C1612" s="20" t="str">
        <f>IFERROR(__xludf.DUMMYFUNCTION("""COMPUTED_VALUE"""),"minimum-one-bit-operations-to-make-integers-zero")</f>
        <v>minimum-one-bit-operations-to-make-integers-zero</v>
      </c>
      <c r="D1612" s="20" t="b">
        <f>IFERROR(__xludf.DUMMYFUNCTION("""COMPUTED_VALUE"""),FALSE)</f>
        <v>0</v>
      </c>
      <c r="E1612" s="20" t="str">
        <f>IFERROR(__xludf.DUMMYFUNCTION("""COMPUTED_VALUE"""),"Hard")</f>
        <v>Hard</v>
      </c>
      <c r="F1612" s="20">
        <f>IFERROR(__xludf.DUMMYFUNCTION("""COMPUTED_VALUE"""),365.0)</f>
        <v>365</v>
      </c>
      <c r="G1612" s="20">
        <f>IFERROR(__xludf.DUMMYFUNCTION("""COMPUTED_VALUE"""),325.0)</f>
        <v>325</v>
      </c>
      <c r="H1612" s="20" t="str">
        <f>IFERROR(__xludf.DUMMYFUNCTION("""COMPUTED_VALUE"""),"Algorithms")</f>
        <v>Algorithms</v>
      </c>
      <c r="I1612" s="20">
        <f>IFERROR(__xludf.DUMMYFUNCTION("""COMPUTED_VALUE"""),0.634)</f>
        <v>0.634</v>
      </c>
      <c r="J1612" s="20">
        <f>IFERROR(__xludf.DUMMYFUNCTION("""COMPUTED_VALUE"""),1611.0)</f>
        <v>1611</v>
      </c>
      <c r="K1612" s="20" t="b">
        <f>IFERROR(__xludf.DUMMYFUNCTION("""COMPUTED_VALUE"""),FALSE)</f>
        <v>0</v>
      </c>
      <c r="L1612" s="20" t="str">
        <f>IFERROR(__xludf.DUMMYFUNCTION("""COMPUTED_VALUE"""),"Dynamic Programming;Bit Manipulation;Memoization;")</f>
        <v>Dynamic Programming;Bit Manipulation;Memoization;</v>
      </c>
      <c r="M1612" s="20" t="b">
        <f>IFERROR(__xludf.DUMMYFUNCTION("""COMPUTED_VALUE"""),FALSE)</f>
        <v>0</v>
      </c>
      <c r="N1612" s="20" t="b">
        <f>IFERROR(__xludf.DUMMYFUNCTION("""COMPUTED_VALUE"""),FALSE)</f>
        <v>0</v>
      </c>
      <c r="O1612" s="20">
        <f>IFERROR(__xludf.DUMMYFUNCTION("""COMPUTED_VALUE"""),63.4170591313448)</f>
        <v>63.41705913</v>
      </c>
      <c r="P1612" s="20">
        <f>IFERROR(__xludf.DUMMYFUNCTION("""COMPUTED_VALUE"""),12119.0)</f>
        <v>12119</v>
      </c>
      <c r="Q1612" s="20">
        <f>IFERROR(__xludf.DUMMYFUNCTION("""COMPUTED_VALUE"""),19110.0)</f>
        <v>19110</v>
      </c>
    </row>
    <row r="1613">
      <c r="A1613" s="20">
        <f>IFERROR(__xludf.DUMMYFUNCTION("""COMPUTED_VALUE"""),1750.0)</f>
        <v>1750</v>
      </c>
      <c r="B1613" s="20" t="str">
        <f>IFERROR(__xludf.DUMMYFUNCTION("""COMPUTED_VALUE"""),"Check If Two Expression Trees are Equivalent")</f>
        <v>Check If Two Expression Trees are Equivalent</v>
      </c>
      <c r="C1613" s="20" t="str">
        <f>IFERROR(__xludf.DUMMYFUNCTION("""COMPUTED_VALUE"""),"check-if-two-expression-trees-are-equivalent")</f>
        <v>check-if-two-expression-trees-are-equivalent</v>
      </c>
      <c r="D1613" s="20" t="b">
        <f>IFERROR(__xludf.DUMMYFUNCTION("""COMPUTED_VALUE"""),TRUE)</f>
        <v>1</v>
      </c>
      <c r="E1613" s="20" t="str">
        <f>IFERROR(__xludf.DUMMYFUNCTION("""COMPUTED_VALUE"""),"Medium")</f>
        <v>Medium</v>
      </c>
      <c r="F1613" s="20">
        <f>IFERROR(__xludf.DUMMYFUNCTION("""COMPUTED_VALUE"""),118.0)</f>
        <v>118</v>
      </c>
      <c r="G1613" s="20">
        <f>IFERROR(__xludf.DUMMYFUNCTION("""COMPUTED_VALUE"""),21.0)</f>
        <v>21</v>
      </c>
      <c r="H1613" s="20" t="str">
        <f>IFERROR(__xludf.DUMMYFUNCTION("""COMPUTED_VALUE"""),"Algorithms")</f>
        <v>Algorithms</v>
      </c>
      <c r="I1613" s="20">
        <f>IFERROR(__xludf.DUMMYFUNCTION("""COMPUTED_VALUE"""),0.701)</f>
        <v>0.701</v>
      </c>
      <c r="J1613" s="20">
        <f>IFERROR(__xludf.DUMMYFUNCTION("""COMPUTED_VALUE"""),1612.0)</f>
        <v>1612</v>
      </c>
      <c r="K1613" s="20" t="b">
        <f>IFERROR(__xludf.DUMMYFUNCTION("""COMPUTED_VALUE"""),TRUE)</f>
        <v>1</v>
      </c>
      <c r="L1613" s="20" t="str">
        <f>IFERROR(__xludf.DUMMYFUNCTION("""COMPUTED_VALUE"""),"Tree;Depth-First Search;Binary Tree;")</f>
        <v>Tree;Depth-First Search;Binary Tree;</v>
      </c>
      <c r="M1613" s="20" t="b">
        <f>IFERROR(__xludf.DUMMYFUNCTION("""COMPUTED_VALUE"""),FALSE)</f>
        <v>0</v>
      </c>
      <c r="N1613" s="20" t="b">
        <f>IFERROR(__xludf.DUMMYFUNCTION("""COMPUTED_VALUE"""),FALSE)</f>
        <v>0</v>
      </c>
      <c r="O1613" s="20">
        <f>IFERROR(__xludf.DUMMYFUNCTION("""COMPUTED_VALUE"""),70.1207958313595)</f>
        <v>70.12079583</v>
      </c>
      <c r="P1613" s="20">
        <f>IFERROR(__xludf.DUMMYFUNCTION("""COMPUTED_VALUE"""),5921.0)</f>
        <v>5921</v>
      </c>
      <c r="Q1613" s="20">
        <f>IFERROR(__xludf.DUMMYFUNCTION("""COMPUTED_VALUE"""),8444.0)</f>
        <v>8444</v>
      </c>
    </row>
    <row r="1614">
      <c r="A1614" s="20">
        <f>IFERROR(__xludf.DUMMYFUNCTION("""COMPUTED_VALUE"""),1759.0)</f>
        <v>1759</v>
      </c>
      <c r="B1614" s="20" t="str">
        <f>IFERROR(__xludf.DUMMYFUNCTION("""COMPUTED_VALUE"""),"Find the Missing IDs")</f>
        <v>Find the Missing IDs</v>
      </c>
      <c r="C1614" s="20" t="str">
        <f>IFERROR(__xludf.DUMMYFUNCTION("""COMPUTED_VALUE"""),"find-the-missing-ids")</f>
        <v>find-the-missing-ids</v>
      </c>
      <c r="D1614" s="20" t="b">
        <f>IFERROR(__xludf.DUMMYFUNCTION("""COMPUTED_VALUE"""),TRUE)</f>
        <v>1</v>
      </c>
      <c r="E1614" s="20" t="str">
        <f>IFERROR(__xludf.DUMMYFUNCTION("""COMPUTED_VALUE"""),"Medium")</f>
        <v>Medium</v>
      </c>
      <c r="F1614" s="20">
        <f>IFERROR(__xludf.DUMMYFUNCTION("""COMPUTED_VALUE"""),182.0)</f>
        <v>182</v>
      </c>
      <c r="G1614" s="20">
        <f>IFERROR(__xludf.DUMMYFUNCTION("""COMPUTED_VALUE"""),25.0)</f>
        <v>25</v>
      </c>
      <c r="H1614" s="20" t="str">
        <f>IFERROR(__xludf.DUMMYFUNCTION("""COMPUTED_VALUE"""),"Database")</f>
        <v>Database</v>
      </c>
      <c r="I1614" s="20">
        <f>IFERROR(__xludf.DUMMYFUNCTION("""COMPUTED_VALUE"""),0.759)</f>
        <v>0.759</v>
      </c>
      <c r="J1614" s="20">
        <f>IFERROR(__xludf.DUMMYFUNCTION("""COMPUTED_VALUE"""),1613.0)</f>
        <v>1613</v>
      </c>
      <c r="K1614" s="20" t="b">
        <f>IFERROR(__xludf.DUMMYFUNCTION("""COMPUTED_VALUE"""),TRUE)</f>
        <v>1</v>
      </c>
      <c r="L1614" s="20" t="str">
        <f>IFERROR(__xludf.DUMMYFUNCTION("""COMPUTED_VALUE"""),"Database;")</f>
        <v>Database;</v>
      </c>
      <c r="M1614" s="20" t="b">
        <f>IFERROR(__xludf.DUMMYFUNCTION("""COMPUTED_VALUE"""),FALSE)</f>
        <v>0</v>
      </c>
      <c r="N1614" s="20" t="b">
        <f>IFERROR(__xludf.DUMMYFUNCTION("""COMPUTED_VALUE"""),FALSE)</f>
        <v>0</v>
      </c>
      <c r="O1614" s="20">
        <f>IFERROR(__xludf.DUMMYFUNCTION("""COMPUTED_VALUE"""),75.927225611402)</f>
        <v>75.92722561</v>
      </c>
      <c r="P1614" s="20">
        <f>IFERROR(__xludf.DUMMYFUNCTION("""COMPUTED_VALUE"""),14064.0)</f>
        <v>14064</v>
      </c>
      <c r="Q1614" s="20">
        <f>IFERROR(__xludf.DUMMYFUNCTION("""COMPUTED_VALUE"""),18523.0)</f>
        <v>18523</v>
      </c>
    </row>
    <row r="1615">
      <c r="A1615" s="20">
        <f>IFERROR(__xludf.DUMMYFUNCTION("""COMPUTED_VALUE"""),1737.0)</f>
        <v>1737</v>
      </c>
      <c r="B1615" s="20" t="str">
        <f>IFERROR(__xludf.DUMMYFUNCTION("""COMPUTED_VALUE"""),"Maximum Nesting Depth of the Parentheses")</f>
        <v>Maximum Nesting Depth of the Parentheses</v>
      </c>
      <c r="C1615" s="20" t="str">
        <f>IFERROR(__xludf.DUMMYFUNCTION("""COMPUTED_VALUE"""),"maximum-nesting-depth-of-the-parentheses")</f>
        <v>maximum-nesting-depth-of-the-parentheses</v>
      </c>
      <c r="D1615" s="20" t="b">
        <f>IFERROR(__xludf.DUMMYFUNCTION("""COMPUTED_VALUE"""),FALSE)</f>
        <v>0</v>
      </c>
      <c r="E1615" s="20" t="str">
        <f>IFERROR(__xludf.DUMMYFUNCTION("""COMPUTED_VALUE"""),"Easy")</f>
        <v>Easy</v>
      </c>
      <c r="F1615" s="20">
        <f>IFERROR(__xludf.DUMMYFUNCTION("""COMPUTED_VALUE"""),1232.0)</f>
        <v>1232</v>
      </c>
      <c r="G1615" s="20">
        <f>IFERROR(__xludf.DUMMYFUNCTION("""COMPUTED_VALUE"""),218.0)</f>
        <v>218</v>
      </c>
      <c r="H1615" s="20" t="str">
        <f>IFERROR(__xludf.DUMMYFUNCTION("""COMPUTED_VALUE"""),"Algorithms")</f>
        <v>Algorithms</v>
      </c>
      <c r="I1615" s="20">
        <f>IFERROR(__xludf.DUMMYFUNCTION("""COMPUTED_VALUE"""),0.825)</f>
        <v>0.825</v>
      </c>
      <c r="J1615" s="20">
        <f>IFERROR(__xludf.DUMMYFUNCTION("""COMPUTED_VALUE"""),1614.0)</f>
        <v>1614</v>
      </c>
      <c r="K1615" s="20" t="b">
        <f>IFERROR(__xludf.DUMMYFUNCTION("""COMPUTED_VALUE"""),FALSE)</f>
        <v>0</v>
      </c>
      <c r="L1615" s="20" t="str">
        <f>IFERROR(__xludf.DUMMYFUNCTION("""COMPUTED_VALUE"""),"String;Stack;")</f>
        <v>String;Stack;</v>
      </c>
      <c r="M1615" s="20" t="b">
        <f>IFERROR(__xludf.DUMMYFUNCTION("""COMPUTED_VALUE"""),FALSE)</f>
        <v>0</v>
      </c>
      <c r="N1615" s="20" t="b">
        <f>IFERROR(__xludf.DUMMYFUNCTION("""COMPUTED_VALUE"""),FALSE)</f>
        <v>0</v>
      </c>
      <c r="O1615" s="20">
        <f>IFERROR(__xludf.DUMMYFUNCTION("""COMPUTED_VALUE"""),82.5463695183321)</f>
        <v>82.54636952</v>
      </c>
      <c r="P1615" s="20">
        <f>IFERROR(__xludf.DUMMYFUNCTION("""COMPUTED_VALUE"""),114821.0)</f>
        <v>114821</v>
      </c>
      <c r="Q1615" s="20">
        <f>IFERROR(__xludf.DUMMYFUNCTION("""COMPUTED_VALUE"""),139097.0)</f>
        <v>139097</v>
      </c>
    </row>
    <row r="1616">
      <c r="A1616" s="20">
        <f>IFERROR(__xludf.DUMMYFUNCTION("""COMPUTED_VALUE"""),1738.0)</f>
        <v>1738</v>
      </c>
      <c r="B1616" s="20" t="str">
        <f>IFERROR(__xludf.DUMMYFUNCTION("""COMPUTED_VALUE"""),"Maximal Network Rank")</f>
        <v>Maximal Network Rank</v>
      </c>
      <c r="C1616" s="20" t="str">
        <f>IFERROR(__xludf.DUMMYFUNCTION("""COMPUTED_VALUE"""),"maximal-network-rank")</f>
        <v>maximal-network-rank</v>
      </c>
      <c r="D1616" s="20" t="b">
        <f>IFERROR(__xludf.DUMMYFUNCTION("""COMPUTED_VALUE"""),FALSE)</f>
        <v>0</v>
      </c>
      <c r="E1616" s="20" t="str">
        <f>IFERROR(__xludf.DUMMYFUNCTION("""COMPUTED_VALUE"""),"Medium")</f>
        <v>Medium</v>
      </c>
      <c r="F1616" s="20">
        <f>IFERROR(__xludf.DUMMYFUNCTION("""COMPUTED_VALUE"""),1000.0)</f>
        <v>1000</v>
      </c>
      <c r="G1616" s="20">
        <f>IFERROR(__xludf.DUMMYFUNCTION("""COMPUTED_VALUE"""),180.0)</f>
        <v>180</v>
      </c>
      <c r="H1616" s="20" t="str">
        <f>IFERROR(__xludf.DUMMYFUNCTION("""COMPUTED_VALUE"""),"Algorithms")</f>
        <v>Algorithms</v>
      </c>
      <c r="I1616" s="20">
        <f>IFERROR(__xludf.DUMMYFUNCTION("""COMPUTED_VALUE"""),0.582)</f>
        <v>0.582</v>
      </c>
      <c r="J1616" s="20">
        <f>IFERROR(__xludf.DUMMYFUNCTION("""COMPUTED_VALUE"""),1615.0)</f>
        <v>1615</v>
      </c>
      <c r="K1616" s="20" t="b">
        <f>IFERROR(__xludf.DUMMYFUNCTION("""COMPUTED_VALUE"""),FALSE)</f>
        <v>0</v>
      </c>
      <c r="L1616" s="20" t="str">
        <f>IFERROR(__xludf.DUMMYFUNCTION("""COMPUTED_VALUE"""),"Graph;")</f>
        <v>Graph;</v>
      </c>
      <c r="M1616" s="20" t="b">
        <f>IFERROR(__xludf.DUMMYFUNCTION("""COMPUTED_VALUE"""),FALSE)</f>
        <v>0</v>
      </c>
      <c r="N1616" s="20" t="b">
        <f>IFERROR(__xludf.DUMMYFUNCTION("""COMPUTED_VALUE"""),FALSE)</f>
        <v>0</v>
      </c>
      <c r="O1616" s="20">
        <f>IFERROR(__xludf.DUMMYFUNCTION("""COMPUTED_VALUE"""),58.1878355670314)</f>
        <v>58.18783557</v>
      </c>
      <c r="P1616" s="20">
        <f>IFERROR(__xludf.DUMMYFUNCTION("""COMPUTED_VALUE"""),56789.0)</f>
        <v>56789</v>
      </c>
      <c r="Q1616" s="20">
        <f>IFERROR(__xludf.DUMMYFUNCTION("""COMPUTED_VALUE"""),97593.0)</f>
        <v>97593</v>
      </c>
    </row>
    <row r="1617">
      <c r="A1617" s="20">
        <f>IFERROR(__xludf.DUMMYFUNCTION("""COMPUTED_VALUE"""),1739.0)</f>
        <v>1739</v>
      </c>
      <c r="B1617" s="20" t="str">
        <f>IFERROR(__xludf.DUMMYFUNCTION("""COMPUTED_VALUE"""),"Split Two Strings to Make Palindrome")</f>
        <v>Split Two Strings to Make Palindrome</v>
      </c>
      <c r="C1617" s="20" t="str">
        <f>IFERROR(__xludf.DUMMYFUNCTION("""COMPUTED_VALUE"""),"split-two-strings-to-make-palindrome")</f>
        <v>split-two-strings-to-make-palindrome</v>
      </c>
      <c r="D1617" s="20" t="b">
        <f>IFERROR(__xludf.DUMMYFUNCTION("""COMPUTED_VALUE"""),FALSE)</f>
        <v>0</v>
      </c>
      <c r="E1617" s="20" t="str">
        <f>IFERROR(__xludf.DUMMYFUNCTION("""COMPUTED_VALUE"""),"Medium")</f>
        <v>Medium</v>
      </c>
      <c r="F1617" s="20">
        <f>IFERROR(__xludf.DUMMYFUNCTION("""COMPUTED_VALUE"""),604.0)</f>
        <v>604</v>
      </c>
      <c r="G1617" s="20">
        <f>IFERROR(__xludf.DUMMYFUNCTION("""COMPUTED_VALUE"""),222.0)</f>
        <v>222</v>
      </c>
      <c r="H1617" s="20" t="str">
        <f>IFERROR(__xludf.DUMMYFUNCTION("""COMPUTED_VALUE"""),"Algorithms")</f>
        <v>Algorithms</v>
      </c>
      <c r="I1617" s="20">
        <f>IFERROR(__xludf.DUMMYFUNCTION("""COMPUTED_VALUE"""),0.314)</f>
        <v>0.314</v>
      </c>
      <c r="J1617" s="20">
        <f>IFERROR(__xludf.DUMMYFUNCTION("""COMPUTED_VALUE"""),1616.0)</f>
        <v>1616</v>
      </c>
      <c r="K1617" s="20" t="b">
        <f>IFERROR(__xludf.DUMMYFUNCTION("""COMPUTED_VALUE"""),FALSE)</f>
        <v>0</v>
      </c>
      <c r="L1617" s="20" t="str">
        <f>IFERROR(__xludf.DUMMYFUNCTION("""COMPUTED_VALUE"""),"Two Pointers;String;")</f>
        <v>Two Pointers;String;</v>
      </c>
      <c r="M1617" s="20" t="b">
        <f>IFERROR(__xludf.DUMMYFUNCTION("""COMPUTED_VALUE"""),FALSE)</f>
        <v>0</v>
      </c>
      <c r="N1617" s="20" t="b">
        <f>IFERROR(__xludf.DUMMYFUNCTION("""COMPUTED_VALUE"""),FALSE)</f>
        <v>0</v>
      </c>
      <c r="O1617" s="20">
        <f>IFERROR(__xludf.DUMMYFUNCTION("""COMPUTED_VALUE"""),31.3691338531408)</f>
        <v>31.36913385</v>
      </c>
      <c r="P1617" s="20">
        <f>IFERROR(__xludf.DUMMYFUNCTION("""COMPUTED_VALUE"""),19271.0)</f>
        <v>19271</v>
      </c>
      <c r="Q1617" s="20">
        <f>IFERROR(__xludf.DUMMYFUNCTION("""COMPUTED_VALUE"""),61430.0)</f>
        <v>61430</v>
      </c>
    </row>
    <row r="1618">
      <c r="A1618" s="20">
        <f>IFERROR(__xludf.DUMMYFUNCTION("""COMPUTED_VALUE"""),1740.0)</f>
        <v>1740</v>
      </c>
      <c r="B1618" s="20" t="str">
        <f>IFERROR(__xludf.DUMMYFUNCTION("""COMPUTED_VALUE"""),"Count Subtrees With Max Distance Between Cities")</f>
        <v>Count Subtrees With Max Distance Between Cities</v>
      </c>
      <c r="C1618" s="20" t="str">
        <f>IFERROR(__xludf.DUMMYFUNCTION("""COMPUTED_VALUE"""),"count-subtrees-with-max-distance-between-cities")</f>
        <v>count-subtrees-with-max-distance-between-cities</v>
      </c>
      <c r="D1618" s="20" t="b">
        <f>IFERROR(__xludf.DUMMYFUNCTION("""COMPUTED_VALUE"""),FALSE)</f>
        <v>0</v>
      </c>
      <c r="E1618" s="20" t="str">
        <f>IFERROR(__xludf.DUMMYFUNCTION("""COMPUTED_VALUE"""),"Hard")</f>
        <v>Hard</v>
      </c>
      <c r="F1618" s="20">
        <f>IFERROR(__xludf.DUMMYFUNCTION("""COMPUTED_VALUE"""),407.0)</f>
        <v>407</v>
      </c>
      <c r="G1618" s="20">
        <f>IFERROR(__xludf.DUMMYFUNCTION("""COMPUTED_VALUE"""),34.0)</f>
        <v>34</v>
      </c>
      <c r="H1618" s="20" t="str">
        <f>IFERROR(__xludf.DUMMYFUNCTION("""COMPUTED_VALUE"""),"Algorithms")</f>
        <v>Algorithms</v>
      </c>
      <c r="I1618" s="20">
        <f>IFERROR(__xludf.DUMMYFUNCTION("""COMPUTED_VALUE"""),0.659)</f>
        <v>0.659</v>
      </c>
      <c r="J1618" s="20">
        <f>IFERROR(__xludf.DUMMYFUNCTION("""COMPUTED_VALUE"""),1617.0)</f>
        <v>1617</v>
      </c>
      <c r="K1618" s="20" t="b">
        <f>IFERROR(__xludf.DUMMYFUNCTION("""COMPUTED_VALUE"""),FALSE)</f>
        <v>0</v>
      </c>
      <c r="L1618" s="20" t="str">
        <f>IFERROR(__xludf.DUMMYFUNCTION("""COMPUTED_VALUE"""),"Dynamic Programming;Bit Manipulation;Tree;Enumeration;Bitmask;")</f>
        <v>Dynamic Programming;Bit Manipulation;Tree;Enumeration;Bitmask;</v>
      </c>
      <c r="M1618" s="20" t="b">
        <f>IFERROR(__xludf.DUMMYFUNCTION("""COMPUTED_VALUE"""),FALSE)</f>
        <v>0</v>
      </c>
      <c r="N1618" s="20" t="b">
        <f>IFERROR(__xludf.DUMMYFUNCTION("""COMPUTED_VALUE"""),FALSE)</f>
        <v>0</v>
      </c>
      <c r="O1618" s="20">
        <f>IFERROR(__xludf.DUMMYFUNCTION("""COMPUTED_VALUE"""),65.9189329637969)</f>
        <v>65.91893296</v>
      </c>
      <c r="P1618" s="20">
        <f>IFERROR(__xludf.DUMMYFUNCTION("""COMPUTED_VALUE"""),7611.0)</f>
        <v>7611</v>
      </c>
      <c r="Q1618" s="20">
        <f>IFERROR(__xludf.DUMMYFUNCTION("""COMPUTED_VALUE"""),11546.0)</f>
        <v>11546</v>
      </c>
    </row>
    <row r="1619">
      <c r="A1619" s="20">
        <f>IFERROR(__xludf.DUMMYFUNCTION("""COMPUTED_VALUE"""),1384.0)</f>
        <v>1384</v>
      </c>
      <c r="B1619" s="20" t="str">
        <f>IFERROR(__xludf.DUMMYFUNCTION("""COMPUTED_VALUE"""),"Maximum Font to Fit a Sentence in a Screen")</f>
        <v>Maximum Font to Fit a Sentence in a Screen</v>
      </c>
      <c r="C1619" s="20" t="str">
        <f>IFERROR(__xludf.DUMMYFUNCTION("""COMPUTED_VALUE"""),"maximum-font-to-fit-a-sentence-in-a-screen")</f>
        <v>maximum-font-to-fit-a-sentence-in-a-screen</v>
      </c>
      <c r="D1619" s="20" t="b">
        <f>IFERROR(__xludf.DUMMYFUNCTION("""COMPUTED_VALUE"""),TRUE)</f>
        <v>1</v>
      </c>
      <c r="E1619" s="20" t="str">
        <f>IFERROR(__xludf.DUMMYFUNCTION("""COMPUTED_VALUE"""),"Medium")</f>
        <v>Medium</v>
      </c>
      <c r="F1619" s="20">
        <f>IFERROR(__xludf.DUMMYFUNCTION("""COMPUTED_VALUE"""),98.0)</f>
        <v>98</v>
      </c>
      <c r="G1619" s="20">
        <f>IFERROR(__xludf.DUMMYFUNCTION("""COMPUTED_VALUE"""),20.0)</f>
        <v>20</v>
      </c>
      <c r="H1619" s="20" t="str">
        <f>IFERROR(__xludf.DUMMYFUNCTION("""COMPUTED_VALUE"""),"Algorithms")</f>
        <v>Algorithms</v>
      </c>
      <c r="I1619" s="20">
        <f>IFERROR(__xludf.DUMMYFUNCTION("""COMPUTED_VALUE"""),0.593)</f>
        <v>0.593</v>
      </c>
      <c r="J1619" s="20">
        <f>IFERROR(__xludf.DUMMYFUNCTION("""COMPUTED_VALUE"""),1618.0)</f>
        <v>1618</v>
      </c>
      <c r="K1619" s="20" t="b">
        <f>IFERROR(__xludf.DUMMYFUNCTION("""COMPUTED_VALUE"""),TRUE)</f>
        <v>1</v>
      </c>
      <c r="L1619" s="20" t="str">
        <f>IFERROR(__xludf.DUMMYFUNCTION("""COMPUTED_VALUE"""),"Array;String;Binary Search;Interactive;")</f>
        <v>Array;String;Binary Search;Interactive;</v>
      </c>
      <c r="M1619" s="20" t="b">
        <f>IFERROR(__xludf.DUMMYFUNCTION("""COMPUTED_VALUE"""),FALSE)</f>
        <v>0</v>
      </c>
      <c r="N1619" s="20" t="b">
        <f>IFERROR(__xludf.DUMMYFUNCTION("""COMPUTED_VALUE"""),FALSE)</f>
        <v>0</v>
      </c>
      <c r="O1619" s="20">
        <f>IFERROR(__xludf.DUMMYFUNCTION("""COMPUTED_VALUE"""),59.2559074912016)</f>
        <v>59.25590749</v>
      </c>
      <c r="P1619" s="20">
        <f>IFERROR(__xludf.DUMMYFUNCTION("""COMPUTED_VALUE"""),5893.0)</f>
        <v>5893</v>
      </c>
      <c r="Q1619" s="20">
        <f>IFERROR(__xludf.DUMMYFUNCTION("""COMPUTED_VALUE"""),9945.0)</f>
        <v>9945</v>
      </c>
    </row>
    <row r="1620">
      <c r="A1620" s="20">
        <f>IFERROR(__xludf.DUMMYFUNCTION("""COMPUTED_VALUE"""),1210.0)</f>
        <v>1210</v>
      </c>
      <c r="B1620" s="20" t="str">
        <f>IFERROR(__xludf.DUMMYFUNCTION("""COMPUTED_VALUE"""),"Mean of Array After Removing Some Elements")</f>
        <v>Mean of Array After Removing Some Elements</v>
      </c>
      <c r="C1620" s="20" t="str">
        <f>IFERROR(__xludf.DUMMYFUNCTION("""COMPUTED_VALUE"""),"mean-of-array-after-removing-some-elements")</f>
        <v>mean-of-array-after-removing-some-elements</v>
      </c>
      <c r="D1620" s="20" t="b">
        <f>IFERROR(__xludf.DUMMYFUNCTION("""COMPUTED_VALUE"""),FALSE)</f>
        <v>0</v>
      </c>
      <c r="E1620" s="20" t="str">
        <f>IFERROR(__xludf.DUMMYFUNCTION("""COMPUTED_VALUE"""),"Easy")</f>
        <v>Easy</v>
      </c>
      <c r="F1620" s="20">
        <f>IFERROR(__xludf.DUMMYFUNCTION("""COMPUTED_VALUE"""),358.0)</f>
        <v>358</v>
      </c>
      <c r="G1620" s="20">
        <f>IFERROR(__xludf.DUMMYFUNCTION("""COMPUTED_VALUE"""),95.0)</f>
        <v>95</v>
      </c>
      <c r="H1620" s="20" t="str">
        <f>IFERROR(__xludf.DUMMYFUNCTION("""COMPUTED_VALUE"""),"Algorithms")</f>
        <v>Algorithms</v>
      </c>
      <c r="I1620" s="20">
        <f>IFERROR(__xludf.DUMMYFUNCTION("""COMPUTED_VALUE"""),0.649)</f>
        <v>0.649</v>
      </c>
      <c r="J1620" s="20">
        <f>IFERROR(__xludf.DUMMYFUNCTION("""COMPUTED_VALUE"""),1619.0)</f>
        <v>1619</v>
      </c>
      <c r="K1620" s="20" t="b">
        <f>IFERROR(__xludf.DUMMYFUNCTION("""COMPUTED_VALUE"""),FALSE)</f>
        <v>0</v>
      </c>
      <c r="L1620" s="20" t="str">
        <f>IFERROR(__xludf.DUMMYFUNCTION("""COMPUTED_VALUE"""),"Array;Sorting;")</f>
        <v>Array;Sorting;</v>
      </c>
      <c r="M1620" s="20" t="b">
        <f>IFERROR(__xludf.DUMMYFUNCTION("""COMPUTED_VALUE"""),FALSE)</f>
        <v>0</v>
      </c>
      <c r="N1620" s="20" t="b">
        <f>IFERROR(__xludf.DUMMYFUNCTION("""COMPUTED_VALUE"""),FALSE)</f>
        <v>0</v>
      </c>
      <c r="O1620" s="20">
        <f>IFERROR(__xludf.DUMMYFUNCTION("""COMPUTED_VALUE"""),64.8997043583304)</f>
        <v>64.89970436</v>
      </c>
      <c r="P1620" s="20">
        <f>IFERROR(__xludf.DUMMYFUNCTION("""COMPUTED_VALUE"""),40831.0)</f>
        <v>40831</v>
      </c>
      <c r="Q1620" s="20">
        <f>IFERROR(__xludf.DUMMYFUNCTION("""COMPUTED_VALUE"""),62914.0)</f>
        <v>62914</v>
      </c>
    </row>
    <row r="1621">
      <c r="A1621" s="20">
        <f>IFERROR(__xludf.DUMMYFUNCTION("""COMPUTED_VALUE"""),1726.0)</f>
        <v>1726</v>
      </c>
      <c r="B1621" s="20" t="str">
        <f>IFERROR(__xludf.DUMMYFUNCTION("""COMPUTED_VALUE"""),"Coordinate With Maximum Network Quality")</f>
        <v>Coordinate With Maximum Network Quality</v>
      </c>
      <c r="C1621" s="20" t="str">
        <f>IFERROR(__xludf.DUMMYFUNCTION("""COMPUTED_VALUE"""),"coordinate-with-maximum-network-quality")</f>
        <v>coordinate-with-maximum-network-quality</v>
      </c>
      <c r="D1621" s="20" t="b">
        <f>IFERROR(__xludf.DUMMYFUNCTION("""COMPUTED_VALUE"""),FALSE)</f>
        <v>0</v>
      </c>
      <c r="E1621" s="20" t="str">
        <f>IFERROR(__xludf.DUMMYFUNCTION("""COMPUTED_VALUE"""),"Medium")</f>
        <v>Medium</v>
      </c>
      <c r="F1621" s="20">
        <f>IFERROR(__xludf.DUMMYFUNCTION("""COMPUTED_VALUE"""),64.0)</f>
        <v>64</v>
      </c>
      <c r="G1621" s="20">
        <f>IFERROR(__xludf.DUMMYFUNCTION("""COMPUTED_VALUE"""),237.0)</f>
        <v>237</v>
      </c>
      <c r="H1621" s="20" t="str">
        <f>IFERROR(__xludf.DUMMYFUNCTION("""COMPUTED_VALUE"""),"Algorithms")</f>
        <v>Algorithms</v>
      </c>
      <c r="I1621" s="20">
        <f>IFERROR(__xludf.DUMMYFUNCTION("""COMPUTED_VALUE"""),0.377)</f>
        <v>0.377</v>
      </c>
      <c r="J1621" s="20">
        <f>IFERROR(__xludf.DUMMYFUNCTION("""COMPUTED_VALUE"""),1620.0)</f>
        <v>1620</v>
      </c>
      <c r="K1621" s="20" t="b">
        <f>IFERROR(__xludf.DUMMYFUNCTION("""COMPUTED_VALUE"""),FALSE)</f>
        <v>0</v>
      </c>
      <c r="L1621" s="20" t="str">
        <f>IFERROR(__xludf.DUMMYFUNCTION("""COMPUTED_VALUE"""),"Array;Enumeration;")</f>
        <v>Array;Enumeration;</v>
      </c>
      <c r="M1621" s="20" t="b">
        <f>IFERROR(__xludf.DUMMYFUNCTION("""COMPUTED_VALUE"""),FALSE)</f>
        <v>0</v>
      </c>
      <c r="N1621" s="20" t="b">
        <f>IFERROR(__xludf.DUMMYFUNCTION("""COMPUTED_VALUE"""),FALSE)</f>
        <v>0</v>
      </c>
      <c r="O1621" s="20">
        <f>IFERROR(__xludf.DUMMYFUNCTION("""COMPUTED_VALUE"""),37.6951092611862)</f>
        <v>37.69510926</v>
      </c>
      <c r="P1621" s="20">
        <f>IFERROR(__xludf.DUMMYFUNCTION("""COMPUTED_VALUE"""),7245.0)</f>
        <v>7245</v>
      </c>
      <c r="Q1621" s="20">
        <f>IFERROR(__xludf.DUMMYFUNCTION("""COMPUTED_VALUE"""),19220.0)</f>
        <v>19220</v>
      </c>
    </row>
    <row r="1622">
      <c r="A1622" s="20">
        <f>IFERROR(__xludf.DUMMYFUNCTION("""COMPUTED_VALUE"""),1725.0)</f>
        <v>1725</v>
      </c>
      <c r="B1622" s="20" t="str">
        <f>IFERROR(__xludf.DUMMYFUNCTION("""COMPUTED_VALUE"""),"Number of Sets of K Non-Overlapping Line Segments")</f>
        <v>Number of Sets of K Non-Overlapping Line Segments</v>
      </c>
      <c r="C1622" s="20" t="str">
        <f>IFERROR(__xludf.DUMMYFUNCTION("""COMPUTED_VALUE"""),"number-of-sets-of-k-non-overlapping-line-segments")</f>
        <v>number-of-sets-of-k-non-overlapping-line-segments</v>
      </c>
      <c r="D1622" s="20" t="b">
        <f>IFERROR(__xludf.DUMMYFUNCTION("""COMPUTED_VALUE"""),FALSE)</f>
        <v>0</v>
      </c>
      <c r="E1622" s="20" t="str">
        <f>IFERROR(__xludf.DUMMYFUNCTION("""COMPUTED_VALUE"""),"Medium")</f>
        <v>Medium</v>
      </c>
      <c r="F1622" s="20">
        <f>IFERROR(__xludf.DUMMYFUNCTION("""COMPUTED_VALUE"""),380.0)</f>
        <v>380</v>
      </c>
      <c r="G1622" s="20">
        <f>IFERROR(__xludf.DUMMYFUNCTION("""COMPUTED_VALUE"""),40.0)</f>
        <v>40</v>
      </c>
      <c r="H1622" s="20" t="str">
        <f>IFERROR(__xludf.DUMMYFUNCTION("""COMPUTED_VALUE"""),"Algorithms")</f>
        <v>Algorithms</v>
      </c>
      <c r="I1622" s="20">
        <f>IFERROR(__xludf.DUMMYFUNCTION("""COMPUTED_VALUE"""),0.421)</f>
        <v>0.421</v>
      </c>
      <c r="J1622" s="20">
        <f>IFERROR(__xludf.DUMMYFUNCTION("""COMPUTED_VALUE"""),1621.0)</f>
        <v>1621</v>
      </c>
      <c r="K1622" s="20" t="b">
        <f>IFERROR(__xludf.DUMMYFUNCTION("""COMPUTED_VALUE"""),FALSE)</f>
        <v>0</v>
      </c>
      <c r="L1622" s="20" t="str">
        <f>IFERROR(__xludf.DUMMYFUNCTION("""COMPUTED_VALUE"""),"Math;Dynamic Programming;")</f>
        <v>Math;Dynamic Programming;</v>
      </c>
      <c r="M1622" s="20" t="b">
        <f>IFERROR(__xludf.DUMMYFUNCTION("""COMPUTED_VALUE"""),FALSE)</f>
        <v>0</v>
      </c>
      <c r="N1622" s="20" t="b">
        <f>IFERROR(__xludf.DUMMYFUNCTION("""COMPUTED_VALUE"""),FALSE)</f>
        <v>0</v>
      </c>
      <c r="O1622" s="20">
        <f>IFERROR(__xludf.DUMMYFUNCTION("""COMPUTED_VALUE"""),42.1270866989768)</f>
        <v>42.1270867</v>
      </c>
      <c r="P1622" s="20">
        <f>IFERROR(__xludf.DUMMYFUNCTION("""COMPUTED_VALUE"""),7823.0)</f>
        <v>7823</v>
      </c>
      <c r="Q1622" s="20">
        <f>IFERROR(__xludf.DUMMYFUNCTION("""COMPUTED_VALUE"""),18570.0)</f>
        <v>18570</v>
      </c>
    </row>
    <row r="1623">
      <c r="A1623" s="20">
        <f>IFERROR(__xludf.DUMMYFUNCTION("""COMPUTED_VALUE"""),1728.0)</f>
        <v>1728</v>
      </c>
      <c r="B1623" s="20" t="str">
        <f>IFERROR(__xludf.DUMMYFUNCTION("""COMPUTED_VALUE"""),"Fancy Sequence")</f>
        <v>Fancy Sequence</v>
      </c>
      <c r="C1623" s="20" t="str">
        <f>IFERROR(__xludf.DUMMYFUNCTION("""COMPUTED_VALUE"""),"fancy-sequence")</f>
        <v>fancy-sequence</v>
      </c>
      <c r="D1623" s="20" t="b">
        <f>IFERROR(__xludf.DUMMYFUNCTION("""COMPUTED_VALUE"""),FALSE)</f>
        <v>0</v>
      </c>
      <c r="E1623" s="20" t="str">
        <f>IFERROR(__xludf.DUMMYFUNCTION("""COMPUTED_VALUE"""),"Hard")</f>
        <v>Hard</v>
      </c>
      <c r="F1623" s="20">
        <f>IFERROR(__xludf.DUMMYFUNCTION("""COMPUTED_VALUE"""),311.0)</f>
        <v>311</v>
      </c>
      <c r="G1623" s="20">
        <f>IFERROR(__xludf.DUMMYFUNCTION("""COMPUTED_VALUE"""),104.0)</f>
        <v>104</v>
      </c>
      <c r="H1623" s="20" t="str">
        <f>IFERROR(__xludf.DUMMYFUNCTION("""COMPUTED_VALUE"""),"Algorithms")</f>
        <v>Algorithms</v>
      </c>
      <c r="I1623" s="20">
        <f>IFERROR(__xludf.DUMMYFUNCTION("""COMPUTED_VALUE"""),0.16)</f>
        <v>0.16</v>
      </c>
      <c r="J1623" s="20">
        <f>IFERROR(__xludf.DUMMYFUNCTION("""COMPUTED_VALUE"""),1622.0)</f>
        <v>1622</v>
      </c>
      <c r="K1623" s="20" t="b">
        <f>IFERROR(__xludf.DUMMYFUNCTION("""COMPUTED_VALUE"""),FALSE)</f>
        <v>0</v>
      </c>
      <c r="L1623" s="20" t="str">
        <f>IFERROR(__xludf.DUMMYFUNCTION("""COMPUTED_VALUE"""),"Math;Design;Segment Tree;")</f>
        <v>Math;Design;Segment Tree;</v>
      </c>
      <c r="M1623" s="20" t="b">
        <f>IFERROR(__xludf.DUMMYFUNCTION("""COMPUTED_VALUE"""),FALSE)</f>
        <v>0</v>
      </c>
      <c r="N1623" s="20" t="b">
        <f>IFERROR(__xludf.DUMMYFUNCTION("""COMPUTED_VALUE"""),FALSE)</f>
        <v>0</v>
      </c>
      <c r="O1623" s="20">
        <f>IFERROR(__xludf.DUMMYFUNCTION("""COMPUTED_VALUE"""),15.980018262878)</f>
        <v>15.98001826</v>
      </c>
      <c r="P1623" s="20">
        <f>IFERROR(__xludf.DUMMYFUNCTION("""COMPUTED_VALUE"""),8925.0)</f>
        <v>8925</v>
      </c>
      <c r="Q1623" s="20">
        <f>IFERROR(__xludf.DUMMYFUNCTION("""COMPUTED_VALUE"""),55851.0)</f>
        <v>55851</v>
      </c>
    </row>
    <row r="1624">
      <c r="A1624" s="20">
        <f>IFERROR(__xludf.DUMMYFUNCTION("""COMPUTED_VALUE"""),1763.0)</f>
        <v>1763</v>
      </c>
      <c r="B1624" s="20" t="str">
        <f>IFERROR(__xludf.DUMMYFUNCTION("""COMPUTED_VALUE"""),"All Valid Triplets That Can Represent a Country")</f>
        <v>All Valid Triplets That Can Represent a Country</v>
      </c>
      <c r="C1624" s="20" t="str">
        <f>IFERROR(__xludf.DUMMYFUNCTION("""COMPUTED_VALUE"""),"all-valid-triplets-that-can-represent-a-country")</f>
        <v>all-valid-triplets-that-can-represent-a-country</v>
      </c>
      <c r="D1624" s="20" t="b">
        <f>IFERROR(__xludf.DUMMYFUNCTION("""COMPUTED_VALUE"""),TRUE)</f>
        <v>1</v>
      </c>
      <c r="E1624" s="20" t="str">
        <f>IFERROR(__xludf.DUMMYFUNCTION("""COMPUTED_VALUE"""),"Easy")</f>
        <v>Easy</v>
      </c>
      <c r="F1624" s="20">
        <f>IFERROR(__xludf.DUMMYFUNCTION("""COMPUTED_VALUE"""),60.0)</f>
        <v>60</v>
      </c>
      <c r="G1624" s="20">
        <f>IFERROR(__xludf.DUMMYFUNCTION("""COMPUTED_VALUE"""),115.0)</f>
        <v>115</v>
      </c>
      <c r="H1624" s="20" t="str">
        <f>IFERROR(__xludf.DUMMYFUNCTION("""COMPUTED_VALUE"""),"Database")</f>
        <v>Database</v>
      </c>
      <c r="I1624" s="20">
        <f>IFERROR(__xludf.DUMMYFUNCTION("""COMPUTED_VALUE"""),0.877)</f>
        <v>0.877</v>
      </c>
      <c r="J1624" s="20">
        <f>IFERROR(__xludf.DUMMYFUNCTION("""COMPUTED_VALUE"""),1623.0)</f>
        <v>1623</v>
      </c>
      <c r="K1624" s="20" t="b">
        <f>IFERROR(__xludf.DUMMYFUNCTION("""COMPUTED_VALUE"""),TRUE)</f>
        <v>1</v>
      </c>
      <c r="L1624" s="20" t="str">
        <f>IFERROR(__xludf.DUMMYFUNCTION("""COMPUTED_VALUE"""),"Database;")</f>
        <v>Database;</v>
      </c>
      <c r="M1624" s="20" t="b">
        <f>IFERROR(__xludf.DUMMYFUNCTION("""COMPUTED_VALUE"""),FALSE)</f>
        <v>0</v>
      </c>
      <c r="N1624" s="20" t="b">
        <f>IFERROR(__xludf.DUMMYFUNCTION("""COMPUTED_VALUE"""),FALSE)</f>
        <v>0</v>
      </c>
      <c r="O1624" s="20">
        <f>IFERROR(__xludf.DUMMYFUNCTION("""COMPUTED_VALUE"""),87.7046478408966)</f>
        <v>87.70464784</v>
      </c>
      <c r="P1624" s="20">
        <f>IFERROR(__xludf.DUMMYFUNCTION("""COMPUTED_VALUE"""),15964.0)</f>
        <v>15964</v>
      </c>
      <c r="Q1624" s="20">
        <f>IFERROR(__xludf.DUMMYFUNCTION("""COMPUTED_VALUE"""),18202.0)</f>
        <v>18202</v>
      </c>
    </row>
    <row r="1625">
      <c r="A1625" s="20">
        <f>IFERROR(__xludf.DUMMYFUNCTION("""COMPUTED_VALUE"""),1746.0)</f>
        <v>1746</v>
      </c>
      <c r="B1625" s="20" t="str">
        <f>IFERROR(__xludf.DUMMYFUNCTION("""COMPUTED_VALUE"""),"Largest Substring Between Two Equal Characters")</f>
        <v>Largest Substring Between Two Equal Characters</v>
      </c>
      <c r="C1625" s="20" t="str">
        <f>IFERROR(__xludf.DUMMYFUNCTION("""COMPUTED_VALUE"""),"largest-substring-between-two-equal-characters")</f>
        <v>largest-substring-between-two-equal-characters</v>
      </c>
      <c r="D1625" s="20" t="b">
        <f>IFERROR(__xludf.DUMMYFUNCTION("""COMPUTED_VALUE"""),FALSE)</f>
        <v>0</v>
      </c>
      <c r="E1625" s="20" t="str">
        <f>IFERROR(__xludf.DUMMYFUNCTION("""COMPUTED_VALUE"""),"Easy")</f>
        <v>Easy</v>
      </c>
      <c r="F1625" s="20">
        <f>IFERROR(__xludf.DUMMYFUNCTION("""COMPUTED_VALUE"""),501.0)</f>
        <v>501</v>
      </c>
      <c r="G1625" s="20">
        <f>IFERROR(__xludf.DUMMYFUNCTION("""COMPUTED_VALUE"""),29.0)</f>
        <v>29</v>
      </c>
      <c r="H1625" s="20" t="str">
        <f>IFERROR(__xludf.DUMMYFUNCTION("""COMPUTED_VALUE"""),"Algorithms")</f>
        <v>Algorithms</v>
      </c>
      <c r="I1625" s="20">
        <f>IFERROR(__xludf.DUMMYFUNCTION("""COMPUTED_VALUE"""),0.591)</f>
        <v>0.591</v>
      </c>
      <c r="J1625" s="20">
        <f>IFERROR(__xludf.DUMMYFUNCTION("""COMPUTED_VALUE"""),1624.0)</f>
        <v>1624</v>
      </c>
      <c r="K1625" s="20" t="b">
        <f>IFERROR(__xludf.DUMMYFUNCTION("""COMPUTED_VALUE"""),FALSE)</f>
        <v>0</v>
      </c>
      <c r="L1625" s="20" t="str">
        <f>IFERROR(__xludf.DUMMYFUNCTION("""COMPUTED_VALUE"""),"Hash Table;String;")</f>
        <v>Hash Table;String;</v>
      </c>
      <c r="M1625" s="20" t="b">
        <f>IFERROR(__xludf.DUMMYFUNCTION("""COMPUTED_VALUE"""),FALSE)</f>
        <v>0</v>
      </c>
      <c r="N1625" s="20" t="b">
        <f>IFERROR(__xludf.DUMMYFUNCTION("""COMPUTED_VALUE"""),FALSE)</f>
        <v>0</v>
      </c>
      <c r="O1625" s="20">
        <f>IFERROR(__xludf.DUMMYFUNCTION("""COMPUTED_VALUE"""),59.0734353395225)</f>
        <v>59.07343534</v>
      </c>
      <c r="P1625" s="20">
        <f>IFERROR(__xludf.DUMMYFUNCTION("""COMPUTED_VALUE"""),38878.0)</f>
        <v>38878</v>
      </c>
      <c r="Q1625" s="20">
        <f>IFERROR(__xludf.DUMMYFUNCTION("""COMPUTED_VALUE"""),65813.0)</f>
        <v>65813</v>
      </c>
    </row>
    <row r="1626">
      <c r="A1626" s="20">
        <f>IFERROR(__xludf.DUMMYFUNCTION("""COMPUTED_VALUE"""),1747.0)</f>
        <v>1747</v>
      </c>
      <c r="B1626" s="20" t="str">
        <f>IFERROR(__xludf.DUMMYFUNCTION("""COMPUTED_VALUE"""),"Lexicographically Smallest String After Applying Operations")</f>
        <v>Lexicographically Smallest String After Applying Operations</v>
      </c>
      <c r="C1626" s="20" t="str">
        <f>IFERROR(__xludf.DUMMYFUNCTION("""COMPUTED_VALUE"""),"lexicographically-smallest-string-after-applying-operations")</f>
        <v>lexicographically-smallest-string-after-applying-operations</v>
      </c>
      <c r="D1626" s="20" t="b">
        <f>IFERROR(__xludf.DUMMYFUNCTION("""COMPUTED_VALUE"""),FALSE)</f>
        <v>0</v>
      </c>
      <c r="E1626" s="20" t="str">
        <f>IFERROR(__xludf.DUMMYFUNCTION("""COMPUTED_VALUE"""),"Medium")</f>
        <v>Medium</v>
      </c>
      <c r="F1626" s="20">
        <f>IFERROR(__xludf.DUMMYFUNCTION("""COMPUTED_VALUE"""),285.0)</f>
        <v>285</v>
      </c>
      <c r="G1626" s="20">
        <f>IFERROR(__xludf.DUMMYFUNCTION("""COMPUTED_VALUE"""),246.0)</f>
        <v>246</v>
      </c>
      <c r="H1626" s="20" t="str">
        <f>IFERROR(__xludf.DUMMYFUNCTION("""COMPUTED_VALUE"""),"Algorithms")</f>
        <v>Algorithms</v>
      </c>
      <c r="I1626" s="20">
        <f>IFERROR(__xludf.DUMMYFUNCTION("""COMPUTED_VALUE"""),0.659)</f>
        <v>0.659</v>
      </c>
      <c r="J1626" s="20">
        <f>IFERROR(__xludf.DUMMYFUNCTION("""COMPUTED_VALUE"""),1625.0)</f>
        <v>1625</v>
      </c>
      <c r="K1626" s="20" t="b">
        <f>IFERROR(__xludf.DUMMYFUNCTION("""COMPUTED_VALUE"""),FALSE)</f>
        <v>0</v>
      </c>
      <c r="L1626" s="20" t="str">
        <f>IFERROR(__xludf.DUMMYFUNCTION("""COMPUTED_VALUE"""),"String;Breadth-First Search;")</f>
        <v>String;Breadth-First Search;</v>
      </c>
      <c r="M1626" s="20" t="b">
        <f>IFERROR(__xludf.DUMMYFUNCTION("""COMPUTED_VALUE"""),FALSE)</f>
        <v>0</v>
      </c>
      <c r="N1626" s="20" t="b">
        <f>IFERROR(__xludf.DUMMYFUNCTION("""COMPUTED_VALUE"""),FALSE)</f>
        <v>0</v>
      </c>
      <c r="O1626" s="20">
        <f>IFERROR(__xludf.DUMMYFUNCTION("""COMPUTED_VALUE"""),65.9014932025852)</f>
        <v>65.9014932</v>
      </c>
      <c r="P1626" s="20">
        <f>IFERROR(__xludf.DUMMYFUNCTION("""COMPUTED_VALUE"""),11828.0)</f>
        <v>11828</v>
      </c>
      <c r="Q1626" s="20">
        <f>IFERROR(__xludf.DUMMYFUNCTION("""COMPUTED_VALUE"""),17948.0)</f>
        <v>17948</v>
      </c>
    </row>
    <row r="1627">
      <c r="A1627" s="20">
        <f>IFERROR(__xludf.DUMMYFUNCTION("""COMPUTED_VALUE"""),1748.0)</f>
        <v>1748</v>
      </c>
      <c r="B1627" s="20" t="str">
        <f>IFERROR(__xludf.DUMMYFUNCTION("""COMPUTED_VALUE"""),"Best Team With No Conflicts")</f>
        <v>Best Team With No Conflicts</v>
      </c>
      <c r="C1627" s="20" t="str">
        <f>IFERROR(__xludf.DUMMYFUNCTION("""COMPUTED_VALUE"""),"best-team-with-no-conflicts")</f>
        <v>best-team-with-no-conflicts</v>
      </c>
      <c r="D1627" s="20" t="b">
        <f>IFERROR(__xludf.DUMMYFUNCTION("""COMPUTED_VALUE"""),FALSE)</f>
        <v>0</v>
      </c>
      <c r="E1627" s="20" t="str">
        <f>IFERROR(__xludf.DUMMYFUNCTION("""COMPUTED_VALUE"""),"Medium")</f>
        <v>Medium</v>
      </c>
      <c r="F1627" s="20">
        <f>IFERROR(__xludf.DUMMYFUNCTION("""COMPUTED_VALUE"""),1009.0)</f>
        <v>1009</v>
      </c>
      <c r="G1627" s="20">
        <f>IFERROR(__xludf.DUMMYFUNCTION("""COMPUTED_VALUE"""),31.0)</f>
        <v>31</v>
      </c>
      <c r="H1627" s="20" t="str">
        <f>IFERROR(__xludf.DUMMYFUNCTION("""COMPUTED_VALUE"""),"Algorithms")</f>
        <v>Algorithms</v>
      </c>
      <c r="I1627" s="20">
        <f>IFERROR(__xludf.DUMMYFUNCTION("""COMPUTED_VALUE"""),0.412)</f>
        <v>0.412</v>
      </c>
      <c r="J1627" s="20">
        <f>IFERROR(__xludf.DUMMYFUNCTION("""COMPUTED_VALUE"""),1626.0)</f>
        <v>1626</v>
      </c>
      <c r="K1627" s="20" t="b">
        <f>IFERROR(__xludf.DUMMYFUNCTION("""COMPUTED_VALUE"""),FALSE)</f>
        <v>0</v>
      </c>
      <c r="L1627" s="20" t="str">
        <f>IFERROR(__xludf.DUMMYFUNCTION("""COMPUTED_VALUE"""),"Array;Dynamic Programming;Sorting;")</f>
        <v>Array;Dynamic Programming;Sorting;</v>
      </c>
      <c r="M1627" s="20" t="b">
        <f>IFERROR(__xludf.DUMMYFUNCTION("""COMPUTED_VALUE"""),TRUE)</f>
        <v>1</v>
      </c>
      <c r="N1627" s="20" t="b">
        <f>IFERROR(__xludf.DUMMYFUNCTION("""COMPUTED_VALUE"""),FALSE)</f>
        <v>0</v>
      </c>
      <c r="O1627" s="20">
        <f>IFERROR(__xludf.DUMMYFUNCTION("""COMPUTED_VALUE"""),41.1664057665004)</f>
        <v>41.16640577</v>
      </c>
      <c r="P1627" s="20">
        <f>IFERROR(__xludf.DUMMYFUNCTION("""COMPUTED_VALUE"""),22616.0)</f>
        <v>22616</v>
      </c>
      <c r="Q1627" s="20">
        <f>IFERROR(__xludf.DUMMYFUNCTION("""COMPUTED_VALUE"""),54934.0)</f>
        <v>54934</v>
      </c>
    </row>
    <row r="1628">
      <c r="A1628" s="20">
        <f>IFERROR(__xludf.DUMMYFUNCTION("""COMPUTED_VALUE"""),1223.0)</f>
        <v>1223</v>
      </c>
      <c r="B1628" s="20" t="str">
        <f>IFERROR(__xludf.DUMMYFUNCTION("""COMPUTED_VALUE"""),"Graph Connectivity With Threshold")</f>
        <v>Graph Connectivity With Threshold</v>
      </c>
      <c r="C1628" s="20" t="str">
        <f>IFERROR(__xludf.DUMMYFUNCTION("""COMPUTED_VALUE"""),"graph-connectivity-with-threshold")</f>
        <v>graph-connectivity-with-threshold</v>
      </c>
      <c r="D1628" s="20" t="b">
        <f>IFERROR(__xludf.DUMMYFUNCTION("""COMPUTED_VALUE"""),FALSE)</f>
        <v>0</v>
      </c>
      <c r="E1628" s="20" t="str">
        <f>IFERROR(__xludf.DUMMYFUNCTION("""COMPUTED_VALUE"""),"Hard")</f>
        <v>Hard</v>
      </c>
      <c r="F1628" s="20">
        <f>IFERROR(__xludf.DUMMYFUNCTION("""COMPUTED_VALUE"""),439.0)</f>
        <v>439</v>
      </c>
      <c r="G1628" s="20">
        <f>IFERROR(__xludf.DUMMYFUNCTION("""COMPUTED_VALUE"""),26.0)</f>
        <v>26</v>
      </c>
      <c r="H1628" s="20" t="str">
        <f>IFERROR(__xludf.DUMMYFUNCTION("""COMPUTED_VALUE"""),"Algorithms")</f>
        <v>Algorithms</v>
      </c>
      <c r="I1628" s="20">
        <f>IFERROR(__xludf.DUMMYFUNCTION("""COMPUTED_VALUE"""),0.461)</f>
        <v>0.461</v>
      </c>
      <c r="J1628" s="20">
        <f>IFERROR(__xludf.DUMMYFUNCTION("""COMPUTED_VALUE"""),1627.0)</f>
        <v>1627</v>
      </c>
      <c r="K1628" s="20" t="b">
        <f>IFERROR(__xludf.DUMMYFUNCTION("""COMPUTED_VALUE"""),FALSE)</f>
        <v>0</v>
      </c>
      <c r="L1628" s="20" t="str">
        <f>IFERROR(__xludf.DUMMYFUNCTION("""COMPUTED_VALUE"""),"Array;Math;Union Find;")</f>
        <v>Array;Math;Union Find;</v>
      </c>
      <c r="M1628" s="20" t="b">
        <f>IFERROR(__xludf.DUMMYFUNCTION("""COMPUTED_VALUE"""),FALSE)</f>
        <v>0</v>
      </c>
      <c r="N1628" s="20" t="b">
        <f>IFERROR(__xludf.DUMMYFUNCTION("""COMPUTED_VALUE"""),FALSE)</f>
        <v>0</v>
      </c>
      <c r="O1628" s="20">
        <f>IFERROR(__xludf.DUMMYFUNCTION("""COMPUTED_VALUE"""),46.0640485068125)</f>
        <v>46.06404851</v>
      </c>
      <c r="P1628" s="20">
        <f>IFERROR(__xludf.DUMMYFUNCTION("""COMPUTED_VALUE"""),13219.0)</f>
        <v>13219</v>
      </c>
      <c r="Q1628" s="20">
        <f>IFERROR(__xludf.DUMMYFUNCTION("""COMPUTED_VALUE"""),28697.0)</f>
        <v>28697</v>
      </c>
    </row>
    <row r="1629">
      <c r="A1629" s="20">
        <f>IFERROR(__xludf.DUMMYFUNCTION("""COMPUTED_VALUE"""),1768.0)</f>
        <v>1768</v>
      </c>
      <c r="B1629" s="20" t="str">
        <f>IFERROR(__xludf.DUMMYFUNCTION("""COMPUTED_VALUE"""),"Design an Expression Tree With Evaluate Function")</f>
        <v>Design an Expression Tree With Evaluate Function</v>
      </c>
      <c r="C1629" s="20" t="str">
        <f>IFERROR(__xludf.DUMMYFUNCTION("""COMPUTED_VALUE"""),"design-an-expression-tree-with-evaluate-function")</f>
        <v>design-an-expression-tree-with-evaluate-function</v>
      </c>
      <c r="D1629" s="20" t="b">
        <f>IFERROR(__xludf.DUMMYFUNCTION("""COMPUTED_VALUE"""),TRUE)</f>
        <v>1</v>
      </c>
      <c r="E1629" s="20" t="str">
        <f>IFERROR(__xludf.DUMMYFUNCTION("""COMPUTED_VALUE"""),"Medium")</f>
        <v>Medium</v>
      </c>
      <c r="F1629" s="20">
        <f>IFERROR(__xludf.DUMMYFUNCTION("""COMPUTED_VALUE"""),467.0)</f>
        <v>467</v>
      </c>
      <c r="G1629" s="20">
        <f>IFERROR(__xludf.DUMMYFUNCTION("""COMPUTED_VALUE"""),69.0)</f>
        <v>69</v>
      </c>
      <c r="H1629" s="20" t="str">
        <f>IFERROR(__xludf.DUMMYFUNCTION("""COMPUTED_VALUE"""),"Algorithms")</f>
        <v>Algorithms</v>
      </c>
      <c r="I1629" s="20">
        <f>IFERROR(__xludf.DUMMYFUNCTION("""COMPUTED_VALUE"""),0.828)</f>
        <v>0.828</v>
      </c>
      <c r="J1629" s="20">
        <f>IFERROR(__xludf.DUMMYFUNCTION("""COMPUTED_VALUE"""),1628.0)</f>
        <v>1628</v>
      </c>
      <c r="K1629" s="20" t="b">
        <f>IFERROR(__xludf.DUMMYFUNCTION("""COMPUTED_VALUE"""),TRUE)</f>
        <v>1</v>
      </c>
      <c r="L1629" s="20" t="str">
        <f>IFERROR(__xludf.DUMMYFUNCTION("""COMPUTED_VALUE"""),"Math;Stack;Tree;Design;Binary Tree;")</f>
        <v>Math;Stack;Tree;Design;Binary Tree;</v>
      </c>
      <c r="M1629" s="20" t="b">
        <f>IFERROR(__xludf.DUMMYFUNCTION("""COMPUTED_VALUE"""),FALSE)</f>
        <v>0</v>
      </c>
      <c r="N1629" s="20" t="b">
        <f>IFERROR(__xludf.DUMMYFUNCTION("""COMPUTED_VALUE"""),FALSE)</f>
        <v>0</v>
      </c>
      <c r="O1629" s="20">
        <f>IFERROR(__xludf.DUMMYFUNCTION("""COMPUTED_VALUE"""),82.7702343389938)</f>
        <v>82.77023434</v>
      </c>
      <c r="P1629" s="20">
        <f>IFERROR(__xludf.DUMMYFUNCTION("""COMPUTED_VALUE"""),23346.0)</f>
        <v>23346</v>
      </c>
      <c r="Q1629" s="20">
        <f>IFERROR(__xludf.DUMMYFUNCTION("""COMPUTED_VALUE"""),28203.0)</f>
        <v>28203</v>
      </c>
    </row>
    <row r="1630">
      <c r="A1630" s="20">
        <f>IFERROR(__xludf.DUMMYFUNCTION("""COMPUTED_VALUE"""),1751.0)</f>
        <v>1751</v>
      </c>
      <c r="B1630" s="20" t="str">
        <f>IFERROR(__xludf.DUMMYFUNCTION("""COMPUTED_VALUE"""),"Slowest Key")</f>
        <v>Slowest Key</v>
      </c>
      <c r="C1630" s="20" t="str">
        <f>IFERROR(__xludf.DUMMYFUNCTION("""COMPUTED_VALUE"""),"slowest-key")</f>
        <v>slowest-key</v>
      </c>
      <c r="D1630" s="20" t="b">
        <f>IFERROR(__xludf.DUMMYFUNCTION("""COMPUTED_VALUE"""),FALSE)</f>
        <v>0</v>
      </c>
      <c r="E1630" s="20" t="str">
        <f>IFERROR(__xludf.DUMMYFUNCTION("""COMPUTED_VALUE"""),"Easy")</f>
        <v>Easy</v>
      </c>
      <c r="F1630" s="20">
        <f>IFERROR(__xludf.DUMMYFUNCTION("""COMPUTED_VALUE"""),638.0)</f>
        <v>638</v>
      </c>
      <c r="G1630" s="20">
        <f>IFERROR(__xludf.DUMMYFUNCTION("""COMPUTED_VALUE"""),93.0)</f>
        <v>93</v>
      </c>
      <c r="H1630" s="20" t="str">
        <f>IFERROR(__xludf.DUMMYFUNCTION("""COMPUTED_VALUE"""),"Algorithms")</f>
        <v>Algorithms</v>
      </c>
      <c r="I1630" s="20">
        <f>IFERROR(__xludf.DUMMYFUNCTION("""COMPUTED_VALUE"""),0.593)</f>
        <v>0.593</v>
      </c>
      <c r="J1630" s="20">
        <f>IFERROR(__xludf.DUMMYFUNCTION("""COMPUTED_VALUE"""),1629.0)</f>
        <v>1629</v>
      </c>
      <c r="K1630" s="20" t="b">
        <f>IFERROR(__xludf.DUMMYFUNCTION("""COMPUTED_VALUE"""),FALSE)</f>
        <v>0</v>
      </c>
      <c r="L1630" s="20" t="str">
        <f>IFERROR(__xludf.DUMMYFUNCTION("""COMPUTED_VALUE"""),"Array;String;")</f>
        <v>Array;String;</v>
      </c>
      <c r="M1630" s="20" t="b">
        <f>IFERROR(__xludf.DUMMYFUNCTION("""COMPUTED_VALUE"""),TRUE)</f>
        <v>1</v>
      </c>
      <c r="N1630" s="20" t="b">
        <f>IFERROR(__xludf.DUMMYFUNCTION("""COMPUTED_VALUE"""),FALSE)</f>
        <v>0</v>
      </c>
      <c r="O1630" s="20">
        <f>IFERROR(__xludf.DUMMYFUNCTION("""COMPUTED_VALUE"""),59.3234294887319)</f>
        <v>59.32342949</v>
      </c>
      <c r="P1630" s="20">
        <f>IFERROR(__xludf.DUMMYFUNCTION("""COMPUTED_VALUE"""),85736.0)</f>
        <v>85736</v>
      </c>
      <c r="Q1630" s="20">
        <f>IFERROR(__xludf.DUMMYFUNCTION("""COMPUTED_VALUE"""),144523.0)</f>
        <v>144523</v>
      </c>
    </row>
    <row r="1631">
      <c r="A1631" s="20">
        <f>IFERROR(__xludf.DUMMYFUNCTION("""COMPUTED_VALUE"""),1752.0)</f>
        <v>1752</v>
      </c>
      <c r="B1631" s="20" t="str">
        <f>IFERROR(__xludf.DUMMYFUNCTION("""COMPUTED_VALUE"""),"Arithmetic Subarrays")</f>
        <v>Arithmetic Subarrays</v>
      </c>
      <c r="C1631" s="20" t="str">
        <f>IFERROR(__xludf.DUMMYFUNCTION("""COMPUTED_VALUE"""),"arithmetic-subarrays")</f>
        <v>arithmetic-subarrays</v>
      </c>
      <c r="D1631" s="20" t="b">
        <f>IFERROR(__xludf.DUMMYFUNCTION("""COMPUTED_VALUE"""),FALSE)</f>
        <v>0</v>
      </c>
      <c r="E1631" s="20" t="str">
        <f>IFERROR(__xludf.DUMMYFUNCTION("""COMPUTED_VALUE"""),"Medium")</f>
        <v>Medium</v>
      </c>
      <c r="F1631" s="20">
        <f>IFERROR(__xludf.DUMMYFUNCTION("""COMPUTED_VALUE"""),871.0)</f>
        <v>871</v>
      </c>
      <c r="G1631" s="20">
        <f>IFERROR(__xludf.DUMMYFUNCTION("""COMPUTED_VALUE"""),93.0)</f>
        <v>93</v>
      </c>
      <c r="H1631" s="20" t="str">
        <f>IFERROR(__xludf.DUMMYFUNCTION("""COMPUTED_VALUE"""),"Algorithms")</f>
        <v>Algorithms</v>
      </c>
      <c r="I1631" s="20">
        <f>IFERROR(__xludf.DUMMYFUNCTION("""COMPUTED_VALUE"""),0.801)</f>
        <v>0.801</v>
      </c>
      <c r="J1631" s="20">
        <f>IFERROR(__xludf.DUMMYFUNCTION("""COMPUTED_VALUE"""),1630.0)</f>
        <v>1630</v>
      </c>
      <c r="K1631" s="20" t="b">
        <f>IFERROR(__xludf.DUMMYFUNCTION("""COMPUTED_VALUE"""),FALSE)</f>
        <v>0</v>
      </c>
      <c r="L1631" s="20" t="str">
        <f>IFERROR(__xludf.DUMMYFUNCTION("""COMPUTED_VALUE"""),"Array;Sorting;")</f>
        <v>Array;Sorting;</v>
      </c>
      <c r="M1631" s="20" t="b">
        <f>IFERROR(__xludf.DUMMYFUNCTION("""COMPUTED_VALUE"""),FALSE)</f>
        <v>0</v>
      </c>
      <c r="N1631" s="20" t="b">
        <f>IFERROR(__xludf.DUMMYFUNCTION("""COMPUTED_VALUE"""),FALSE)</f>
        <v>0</v>
      </c>
      <c r="O1631" s="20">
        <f>IFERROR(__xludf.DUMMYFUNCTION("""COMPUTED_VALUE"""),80.0716795003726)</f>
        <v>80.0716795</v>
      </c>
      <c r="P1631" s="20">
        <f>IFERROR(__xludf.DUMMYFUNCTION("""COMPUTED_VALUE"""),45128.0)</f>
        <v>45128</v>
      </c>
      <c r="Q1631" s="20">
        <f>IFERROR(__xludf.DUMMYFUNCTION("""COMPUTED_VALUE"""),56360.0)</f>
        <v>56360</v>
      </c>
    </row>
    <row r="1632">
      <c r="A1632" s="20">
        <f>IFERROR(__xludf.DUMMYFUNCTION("""COMPUTED_VALUE"""),1753.0)</f>
        <v>1753</v>
      </c>
      <c r="B1632" s="20" t="str">
        <f>IFERROR(__xludf.DUMMYFUNCTION("""COMPUTED_VALUE"""),"Path With Minimum Effort")</f>
        <v>Path With Minimum Effort</v>
      </c>
      <c r="C1632" s="20" t="str">
        <f>IFERROR(__xludf.DUMMYFUNCTION("""COMPUTED_VALUE"""),"path-with-minimum-effort")</f>
        <v>path-with-minimum-effort</v>
      </c>
      <c r="D1632" s="20" t="b">
        <f>IFERROR(__xludf.DUMMYFUNCTION("""COMPUTED_VALUE"""),FALSE)</f>
        <v>0</v>
      </c>
      <c r="E1632" s="20" t="str">
        <f>IFERROR(__xludf.DUMMYFUNCTION("""COMPUTED_VALUE"""),"Medium")</f>
        <v>Medium</v>
      </c>
      <c r="F1632" s="20">
        <f>IFERROR(__xludf.DUMMYFUNCTION("""COMPUTED_VALUE"""),3847.0)</f>
        <v>3847</v>
      </c>
      <c r="G1632" s="20">
        <f>IFERROR(__xludf.DUMMYFUNCTION("""COMPUTED_VALUE"""),150.0)</f>
        <v>150</v>
      </c>
      <c r="H1632" s="20" t="str">
        <f>IFERROR(__xludf.DUMMYFUNCTION("""COMPUTED_VALUE"""),"Algorithms")</f>
        <v>Algorithms</v>
      </c>
      <c r="I1632" s="20">
        <f>IFERROR(__xludf.DUMMYFUNCTION("""COMPUTED_VALUE"""),0.554)</f>
        <v>0.554</v>
      </c>
      <c r="J1632" s="20">
        <f>IFERROR(__xludf.DUMMYFUNCTION("""COMPUTED_VALUE"""),1631.0)</f>
        <v>1631</v>
      </c>
      <c r="K1632" s="20" t="b">
        <f>IFERROR(__xludf.DUMMYFUNCTION("""COMPUTED_VALUE"""),FALSE)</f>
        <v>0</v>
      </c>
      <c r="L1632" s="20" t="str">
        <f>IFERROR(__xludf.DUMMYFUNCTION("""COMPUTED_VALUE"""),"Array;Binary Search;Depth-First Search;Breadth-First Search;Union Find;Heap (Priority Queue);Matrix;")</f>
        <v>Array;Binary Search;Depth-First Search;Breadth-First Search;Union Find;Heap (Priority Queue);Matrix;</v>
      </c>
      <c r="M1632" s="20" t="b">
        <f>IFERROR(__xludf.DUMMYFUNCTION("""COMPUTED_VALUE"""),TRUE)</f>
        <v>1</v>
      </c>
      <c r="N1632" s="20" t="b">
        <f>IFERROR(__xludf.DUMMYFUNCTION("""COMPUTED_VALUE"""),FALSE)</f>
        <v>0</v>
      </c>
      <c r="O1632" s="20">
        <f>IFERROR(__xludf.DUMMYFUNCTION("""COMPUTED_VALUE"""),55.4087647095319)</f>
        <v>55.40876471</v>
      </c>
      <c r="P1632" s="20">
        <f>IFERROR(__xludf.DUMMYFUNCTION("""COMPUTED_VALUE"""),133959.0)</f>
        <v>133959</v>
      </c>
      <c r="Q1632" s="20">
        <f>IFERROR(__xludf.DUMMYFUNCTION("""COMPUTED_VALUE"""),241765.0)</f>
        <v>241765</v>
      </c>
    </row>
    <row r="1633">
      <c r="A1633" s="20">
        <f>IFERROR(__xludf.DUMMYFUNCTION("""COMPUTED_VALUE"""),1257.0)</f>
        <v>1257</v>
      </c>
      <c r="B1633" s="20" t="str">
        <f>IFERROR(__xludf.DUMMYFUNCTION("""COMPUTED_VALUE"""),"Rank Transform of a Matrix")</f>
        <v>Rank Transform of a Matrix</v>
      </c>
      <c r="C1633" s="20" t="str">
        <f>IFERROR(__xludf.DUMMYFUNCTION("""COMPUTED_VALUE"""),"rank-transform-of-a-matrix")</f>
        <v>rank-transform-of-a-matrix</v>
      </c>
      <c r="D1633" s="20" t="b">
        <f>IFERROR(__xludf.DUMMYFUNCTION("""COMPUTED_VALUE"""),FALSE)</f>
        <v>0</v>
      </c>
      <c r="E1633" s="20" t="str">
        <f>IFERROR(__xludf.DUMMYFUNCTION("""COMPUTED_VALUE"""),"Hard")</f>
        <v>Hard</v>
      </c>
      <c r="F1633" s="20">
        <f>IFERROR(__xludf.DUMMYFUNCTION("""COMPUTED_VALUE"""),733.0)</f>
        <v>733</v>
      </c>
      <c r="G1633" s="20">
        <f>IFERROR(__xludf.DUMMYFUNCTION("""COMPUTED_VALUE"""),49.0)</f>
        <v>49</v>
      </c>
      <c r="H1633" s="20" t="str">
        <f>IFERROR(__xludf.DUMMYFUNCTION("""COMPUTED_VALUE"""),"Algorithms")</f>
        <v>Algorithms</v>
      </c>
      <c r="I1633" s="20">
        <f>IFERROR(__xludf.DUMMYFUNCTION("""COMPUTED_VALUE"""),0.41)</f>
        <v>0.41</v>
      </c>
      <c r="J1633" s="20">
        <f>IFERROR(__xludf.DUMMYFUNCTION("""COMPUTED_VALUE"""),1632.0)</f>
        <v>1632</v>
      </c>
      <c r="K1633" s="20" t="b">
        <f>IFERROR(__xludf.DUMMYFUNCTION("""COMPUTED_VALUE"""),FALSE)</f>
        <v>0</v>
      </c>
      <c r="L1633" s="20" t="str">
        <f>IFERROR(__xludf.DUMMYFUNCTION("""COMPUTED_VALUE"""),"Array;Greedy;Union Find;Graph;Topological Sort;Matrix;")</f>
        <v>Array;Greedy;Union Find;Graph;Topological Sort;Matrix;</v>
      </c>
      <c r="M1633" s="20" t="b">
        <f>IFERROR(__xludf.DUMMYFUNCTION("""COMPUTED_VALUE"""),TRUE)</f>
        <v>1</v>
      </c>
      <c r="N1633" s="20" t="b">
        <f>IFERROR(__xludf.DUMMYFUNCTION("""COMPUTED_VALUE"""),FALSE)</f>
        <v>0</v>
      </c>
      <c r="O1633" s="20">
        <f>IFERROR(__xludf.DUMMYFUNCTION("""COMPUTED_VALUE"""),41.0075577356266)</f>
        <v>41.00755774</v>
      </c>
      <c r="P1633" s="20">
        <f>IFERROR(__xludf.DUMMYFUNCTION("""COMPUTED_VALUE"""),19479.0)</f>
        <v>19479</v>
      </c>
      <c r="Q1633" s="20">
        <f>IFERROR(__xludf.DUMMYFUNCTION("""COMPUTED_VALUE"""),47501.0)</f>
        <v>47501</v>
      </c>
    </row>
    <row r="1634">
      <c r="A1634" s="20">
        <f>IFERROR(__xludf.DUMMYFUNCTION("""COMPUTED_VALUE"""),1773.0)</f>
        <v>1773</v>
      </c>
      <c r="B1634" s="20" t="str">
        <f>IFERROR(__xludf.DUMMYFUNCTION("""COMPUTED_VALUE"""),"Percentage of Users Attended a Contest")</f>
        <v>Percentage of Users Attended a Contest</v>
      </c>
      <c r="C1634" s="20" t="str">
        <f>IFERROR(__xludf.DUMMYFUNCTION("""COMPUTED_VALUE"""),"percentage-of-users-attended-a-contest")</f>
        <v>percentage-of-users-attended-a-contest</v>
      </c>
      <c r="D1634" s="20" t="b">
        <f>IFERROR(__xludf.DUMMYFUNCTION("""COMPUTED_VALUE"""),TRUE)</f>
        <v>1</v>
      </c>
      <c r="E1634" s="20" t="str">
        <f>IFERROR(__xludf.DUMMYFUNCTION("""COMPUTED_VALUE"""),"Easy")</f>
        <v>Easy</v>
      </c>
      <c r="F1634" s="20">
        <f>IFERROR(__xludf.DUMMYFUNCTION("""COMPUTED_VALUE"""),85.0)</f>
        <v>85</v>
      </c>
      <c r="G1634" s="20">
        <f>IFERROR(__xludf.DUMMYFUNCTION("""COMPUTED_VALUE"""),21.0)</f>
        <v>21</v>
      </c>
      <c r="H1634" s="20" t="str">
        <f>IFERROR(__xludf.DUMMYFUNCTION("""COMPUTED_VALUE"""),"Database")</f>
        <v>Database</v>
      </c>
      <c r="I1634" s="20">
        <f>IFERROR(__xludf.DUMMYFUNCTION("""COMPUTED_VALUE"""),0.683)</f>
        <v>0.683</v>
      </c>
      <c r="J1634" s="20">
        <f>IFERROR(__xludf.DUMMYFUNCTION("""COMPUTED_VALUE"""),1633.0)</f>
        <v>1633</v>
      </c>
      <c r="K1634" s="20" t="b">
        <f>IFERROR(__xludf.DUMMYFUNCTION("""COMPUTED_VALUE"""),TRUE)</f>
        <v>1</v>
      </c>
      <c r="L1634" s="20" t="str">
        <f>IFERROR(__xludf.DUMMYFUNCTION("""COMPUTED_VALUE"""),"Database;")</f>
        <v>Database;</v>
      </c>
      <c r="M1634" s="20" t="b">
        <f>IFERROR(__xludf.DUMMYFUNCTION("""COMPUTED_VALUE"""),FALSE)</f>
        <v>0</v>
      </c>
      <c r="N1634" s="20" t="b">
        <f>IFERROR(__xludf.DUMMYFUNCTION("""COMPUTED_VALUE"""),FALSE)</f>
        <v>0</v>
      </c>
      <c r="O1634" s="20">
        <f>IFERROR(__xludf.DUMMYFUNCTION("""COMPUTED_VALUE"""),68.3107150091148)</f>
        <v>68.31071501</v>
      </c>
      <c r="P1634" s="20">
        <f>IFERROR(__xludf.DUMMYFUNCTION("""COMPUTED_VALUE"""),20235.0)</f>
        <v>20235</v>
      </c>
      <c r="Q1634" s="20">
        <f>IFERROR(__xludf.DUMMYFUNCTION("""COMPUTED_VALUE"""),29622.0)</f>
        <v>29622</v>
      </c>
    </row>
    <row r="1635">
      <c r="A1635" s="20">
        <f>IFERROR(__xludf.DUMMYFUNCTION("""COMPUTED_VALUE"""),1774.0)</f>
        <v>1774</v>
      </c>
      <c r="B1635" s="20" t="str">
        <f>IFERROR(__xludf.DUMMYFUNCTION("""COMPUTED_VALUE"""),"Add Two Polynomials Represented as Linked Lists")</f>
        <v>Add Two Polynomials Represented as Linked Lists</v>
      </c>
      <c r="C1635" s="20" t="str">
        <f>IFERROR(__xludf.DUMMYFUNCTION("""COMPUTED_VALUE"""),"add-two-polynomials-represented-as-linked-lists")</f>
        <v>add-two-polynomials-represented-as-linked-lists</v>
      </c>
      <c r="D1635" s="20" t="b">
        <f>IFERROR(__xludf.DUMMYFUNCTION("""COMPUTED_VALUE"""),TRUE)</f>
        <v>1</v>
      </c>
      <c r="E1635" s="20" t="str">
        <f>IFERROR(__xludf.DUMMYFUNCTION("""COMPUTED_VALUE"""),"Medium")</f>
        <v>Medium</v>
      </c>
      <c r="F1635" s="20">
        <f>IFERROR(__xludf.DUMMYFUNCTION("""COMPUTED_VALUE"""),118.0)</f>
        <v>118</v>
      </c>
      <c r="G1635" s="20">
        <f>IFERROR(__xludf.DUMMYFUNCTION("""COMPUTED_VALUE"""),9.0)</f>
        <v>9</v>
      </c>
      <c r="H1635" s="20" t="str">
        <f>IFERROR(__xludf.DUMMYFUNCTION("""COMPUTED_VALUE"""),"Algorithms")</f>
        <v>Algorithms</v>
      </c>
      <c r="I1635" s="20">
        <f>IFERROR(__xludf.DUMMYFUNCTION("""COMPUTED_VALUE"""),0.539)</f>
        <v>0.539</v>
      </c>
      <c r="J1635" s="20">
        <f>IFERROR(__xludf.DUMMYFUNCTION("""COMPUTED_VALUE"""),1634.0)</f>
        <v>1634</v>
      </c>
      <c r="K1635" s="20" t="b">
        <f>IFERROR(__xludf.DUMMYFUNCTION("""COMPUTED_VALUE"""),TRUE)</f>
        <v>1</v>
      </c>
      <c r="L1635" s="20" t="str">
        <f>IFERROR(__xludf.DUMMYFUNCTION("""COMPUTED_VALUE"""),"Linked List;Math;Two Pointers;")</f>
        <v>Linked List;Math;Two Pointers;</v>
      </c>
      <c r="M1635" s="20" t="b">
        <f>IFERROR(__xludf.DUMMYFUNCTION("""COMPUTED_VALUE"""),FALSE)</f>
        <v>0</v>
      </c>
      <c r="N1635" s="20" t="b">
        <f>IFERROR(__xludf.DUMMYFUNCTION("""COMPUTED_VALUE"""),FALSE)</f>
        <v>0</v>
      </c>
      <c r="O1635" s="20">
        <f>IFERROR(__xludf.DUMMYFUNCTION("""COMPUTED_VALUE"""),53.8820082567585)</f>
        <v>53.88200826</v>
      </c>
      <c r="P1635" s="20">
        <f>IFERROR(__xludf.DUMMYFUNCTION("""COMPUTED_VALUE"""),8092.0)</f>
        <v>8092</v>
      </c>
      <c r="Q1635" s="20">
        <f>IFERROR(__xludf.DUMMYFUNCTION("""COMPUTED_VALUE"""),15018.0)</f>
        <v>15018</v>
      </c>
    </row>
    <row r="1636">
      <c r="A1636" s="20">
        <f>IFERROR(__xludf.DUMMYFUNCTION("""COMPUTED_VALUE"""),1779.0)</f>
        <v>1779</v>
      </c>
      <c r="B1636" s="20" t="str">
        <f>IFERROR(__xludf.DUMMYFUNCTION("""COMPUTED_VALUE"""),"Hopper Company Queries I")</f>
        <v>Hopper Company Queries I</v>
      </c>
      <c r="C1636" s="20" t="str">
        <f>IFERROR(__xludf.DUMMYFUNCTION("""COMPUTED_VALUE"""),"hopper-company-queries-i")</f>
        <v>hopper-company-queries-i</v>
      </c>
      <c r="D1636" s="20" t="b">
        <f>IFERROR(__xludf.DUMMYFUNCTION("""COMPUTED_VALUE"""),TRUE)</f>
        <v>1</v>
      </c>
      <c r="E1636" s="20" t="str">
        <f>IFERROR(__xludf.DUMMYFUNCTION("""COMPUTED_VALUE"""),"Hard")</f>
        <v>Hard</v>
      </c>
      <c r="F1636" s="20">
        <f>IFERROR(__xludf.DUMMYFUNCTION("""COMPUTED_VALUE"""),77.0)</f>
        <v>77</v>
      </c>
      <c r="G1636" s="20">
        <f>IFERROR(__xludf.DUMMYFUNCTION("""COMPUTED_VALUE"""),28.0)</f>
        <v>28</v>
      </c>
      <c r="H1636" s="20" t="str">
        <f>IFERROR(__xludf.DUMMYFUNCTION("""COMPUTED_VALUE"""),"Database")</f>
        <v>Database</v>
      </c>
      <c r="I1636" s="20">
        <f>IFERROR(__xludf.DUMMYFUNCTION("""COMPUTED_VALUE"""),0.529)</f>
        <v>0.529</v>
      </c>
      <c r="J1636" s="20">
        <f>IFERROR(__xludf.DUMMYFUNCTION("""COMPUTED_VALUE"""),1635.0)</f>
        <v>1635</v>
      </c>
      <c r="K1636" s="20" t="b">
        <f>IFERROR(__xludf.DUMMYFUNCTION("""COMPUTED_VALUE"""),TRUE)</f>
        <v>1</v>
      </c>
      <c r="L1636" s="20" t="str">
        <f>IFERROR(__xludf.DUMMYFUNCTION("""COMPUTED_VALUE"""),"Database;")</f>
        <v>Database;</v>
      </c>
      <c r="M1636" s="20" t="b">
        <f>IFERROR(__xludf.DUMMYFUNCTION("""COMPUTED_VALUE"""),FALSE)</f>
        <v>0</v>
      </c>
      <c r="N1636" s="20" t="b">
        <f>IFERROR(__xludf.DUMMYFUNCTION("""COMPUTED_VALUE"""),FALSE)</f>
        <v>0</v>
      </c>
      <c r="O1636" s="20">
        <f>IFERROR(__xludf.DUMMYFUNCTION("""COMPUTED_VALUE"""),52.8988503845835)</f>
        <v>52.89885038</v>
      </c>
      <c r="P1636" s="20">
        <f>IFERROR(__xludf.DUMMYFUNCTION("""COMPUTED_VALUE"""),6394.0)</f>
        <v>6394</v>
      </c>
      <c r="Q1636" s="20">
        <f>IFERROR(__xludf.DUMMYFUNCTION("""COMPUTED_VALUE"""),12089.0)</f>
        <v>12089</v>
      </c>
    </row>
    <row r="1637">
      <c r="A1637" s="20">
        <f>IFERROR(__xludf.DUMMYFUNCTION("""COMPUTED_VALUE"""),1741.0)</f>
        <v>1741</v>
      </c>
      <c r="B1637" s="20" t="str">
        <f>IFERROR(__xludf.DUMMYFUNCTION("""COMPUTED_VALUE"""),"Sort Array by Increasing Frequency")</f>
        <v>Sort Array by Increasing Frequency</v>
      </c>
      <c r="C1637" s="20" t="str">
        <f>IFERROR(__xludf.DUMMYFUNCTION("""COMPUTED_VALUE"""),"sort-array-by-increasing-frequency")</f>
        <v>sort-array-by-increasing-frequency</v>
      </c>
      <c r="D1637" s="20" t="b">
        <f>IFERROR(__xludf.DUMMYFUNCTION("""COMPUTED_VALUE"""),FALSE)</f>
        <v>0</v>
      </c>
      <c r="E1637" s="20" t="str">
        <f>IFERROR(__xludf.DUMMYFUNCTION("""COMPUTED_VALUE"""),"Easy")</f>
        <v>Easy</v>
      </c>
      <c r="F1637" s="20">
        <f>IFERROR(__xludf.DUMMYFUNCTION("""COMPUTED_VALUE"""),2062.0)</f>
        <v>2062</v>
      </c>
      <c r="G1637" s="20">
        <f>IFERROR(__xludf.DUMMYFUNCTION("""COMPUTED_VALUE"""),81.0)</f>
        <v>81</v>
      </c>
      <c r="H1637" s="20" t="str">
        <f>IFERROR(__xludf.DUMMYFUNCTION("""COMPUTED_VALUE"""),"Algorithms")</f>
        <v>Algorithms</v>
      </c>
      <c r="I1637" s="20">
        <f>IFERROR(__xludf.DUMMYFUNCTION("""COMPUTED_VALUE"""),0.689)</f>
        <v>0.689</v>
      </c>
      <c r="J1637" s="20">
        <f>IFERROR(__xludf.DUMMYFUNCTION("""COMPUTED_VALUE"""),1636.0)</f>
        <v>1636</v>
      </c>
      <c r="K1637" s="20" t="b">
        <f>IFERROR(__xludf.DUMMYFUNCTION("""COMPUTED_VALUE"""),FALSE)</f>
        <v>0</v>
      </c>
      <c r="L1637" s="20" t="str">
        <f>IFERROR(__xludf.DUMMYFUNCTION("""COMPUTED_VALUE"""),"Array;Hash Table;Sorting;")</f>
        <v>Array;Hash Table;Sorting;</v>
      </c>
      <c r="M1637" s="20" t="b">
        <f>IFERROR(__xludf.DUMMYFUNCTION("""COMPUTED_VALUE"""),FALSE)</f>
        <v>0</v>
      </c>
      <c r="N1637" s="20" t="b">
        <f>IFERROR(__xludf.DUMMYFUNCTION("""COMPUTED_VALUE"""),FALSE)</f>
        <v>0</v>
      </c>
      <c r="O1637" s="20">
        <f>IFERROR(__xludf.DUMMYFUNCTION("""COMPUTED_VALUE"""),68.9073314638613)</f>
        <v>68.90733146</v>
      </c>
      <c r="P1637" s="20">
        <f>IFERROR(__xludf.DUMMYFUNCTION("""COMPUTED_VALUE"""),85022.0)</f>
        <v>85022</v>
      </c>
      <c r="Q1637" s="20">
        <f>IFERROR(__xludf.DUMMYFUNCTION("""COMPUTED_VALUE"""),123386.0)</f>
        <v>123386</v>
      </c>
    </row>
    <row r="1638">
      <c r="A1638" s="20">
        <f>IFERROR(__xludf.DUMMYFUNCTION("""COMPUTED_VALUE"""),1742.0)</f>
        <v>1742</v>
      </c>
      <c r="B1638" s="20" t="str">
        <f>IFERROR(__xludf.DUMMYFUNCTION("""COMPUTED_VALUE"""),"Widest Vertical Area Between Two Points Containing No Points")</f>
        <v>Widest Vertical Area Between Two Points Containing No Points</v>
      </c>
      <c r="C1638" s="20" t="str">
        <f>IFERROR(__xludf.DUMMYFUNCTION("""COMPUTED_VALUE"""),"widest-vertical-area-between-two-points-containing-no-points")</f>
        <v>widest-vertical-area-between-two-points-containing-no-points</v>
      </c>
      <c r="D1638" s="20" t="b">
        <f>IFERROR(__xludf.DUMMYFUNCTION("""COMPUTED_VALUE"""),FALSE)</f>
        <v>0</v>
      </c>
      <c r="E1638" s="20" t="str">
        <f>IFERROR(__xludf.DUMMYFUNCTION("""COMPUTED_VALUE"""),"Medium")</f>
        <v>Medium</v>
      </c>
      <c r="F1638" s="20">
        <f>IFERROR(__xludf.DUMMYFUNCTION("""COMPUTED_VALUE"""),254.0)</f>
        <v>254</v>
      </c>
      <c r="G1638" s="20">
        <f>IFERROR(__xludf.DUMMYFUNCTION("""COMPUTED_VALUE"""),634.0)</f>
        <v>634</v>
      </c>
      <c r="H1638" s="20" t="str">
        <f>IFERROR(__xludf.DUMMYFUNCTION("""COMPUTED_VALUE"""),"Algorithms")</f>
        <v>Algorithms</v>
      </c>
      <c r="I1638" s="20">
        <f>IFERROR(__xludf.DUMMYFUNCTION("""COMPUTED_VALUE"""),0.842)</f>
        <v>0.842</v>
      </c>
      <c r="J1638" s="20">
        <f>IFERROR(__xludf.DUMMYFUNCTION("""COMPUTED_VALUE"""),1637.0)</f>
        <v>1637</v>
      </c>
      <c r="K1638" s="20" t="b">
        <f>IFERROR(__xludf.DUMMYFUNCTION("""COMPUTED_VALUE"""),FALSE)</f>
        <v>0</v>
      </c>
      <c r="L1638" s="20" t="str">
        <f>IFERROR(__xludf.DUMMYFUNCTION("""COMPUTED_VALUE"""),"Array;Sorting;")</f>
        <v>Array;Sorting;</v>
      </c>
      <c r="M1638" s="20" t="b">
        <f>IFERROR(__xludf.DUMMYFUNCTION("""COMPUTED_VALUE"""),FALSE)</f>
        <v>0</v>
      </c>
      <c r="N1638" s="20" t="b">
        <f>IFERROR(__xludf.DUMMYFUNCTION("""COMPUTED_VALUE"""),FALSE)</f>
        <v>0</v>
      </c>
      <c r="O1638" s="20">
        <f>IFERROR(__xludf.DUMMYFUNCTION("""COMPUTED_VALUE"""),84.242156017796)</f>
        <v>84.24215602</v>
      </c>
      <c r="P1638" s="20">
        <f>IFERROR(__xludf.DUMMYFUNCTION("""COMPUTED_VALUE"""),36164.0)</f>
        <v>36164</v>
      </c>
      <c r="Q1638" s="20">
        <f>IFERROR(__xludf.DUMMYFUNCTION("""COMPUTED_VALUE"""),42929.0)</f>
        <v>42929</v>
      </c>
    </row>
    <row r="1639">
      <c r="A1639" s="20">
        <f>IFERROR(__xludf.DUMMYFUNCTION("""COMPUTED_VALUE"""),1743.0)</f>
        <v>1743</v>
      </c>
      <c r="B1639" s="20" t="str">
        <f>IFERROR(__xludf.DUMMYFUNCTION("""COMPUTED_VALUE"""),"Count Substrings That Differ by One Character")</f>
        <v>Count Substrings That Differ by One Character</v>
      </c>
      <c r="C1639" s="20" t="str">
        <f>IFERROR(__xludf.DUMMYFUNCTION("""COMPUTED_VALUE"""),"count-substrings-that-differ-by-one-character")</f>
        <v>count-substrings-that-differ-by-one-character</v>
      </c>
      <c r="D1639" s="20" t="b">
        <f>IFERROR(__xludf.DUMMYFUNCTION("""COMPUTED_VALUE"""),FALSE)</f>
        <v>0</v>
      </c>
      <c r="E1639" s="20" t="str">
        <f>IFERROR(__xludf.DUMMYFUNCTION("""COMPUTED_VALUE"""),"Medium")</f>
        <v>Medium</v>
      </c>
      <c r="F1639" s="20">
        <f>IFERROR(__xludf.DUMMYFUNCTION("""COMPUTED_VALUE"""),913.0)</f>
        <v>913</v>
      </c>
      <c r="G1639" s="20">
        <f>IFERROR(__xludf.DUMMYFUNCTION("""COMPUTED_VALUE"""),295.0)</f>
        <v>295</v>
      </c>
      <c r="H1639" s="20" t="str">
        <f>IFERROR(__xludf.DUMMYFUNCTION("""COMPUTED_VALUE"""),"Algorithms")</f>
        <v>Algorithms</v>
      </c>
      <c r="I1639" s="20">
        <f>IFERROR(__xludf.DUMMYFUNCTION("""COMPUTED_VALUE"""),0.714)</f>
        <v>0.714</v>
      </c>
      <c r="J1639" s="20">
        <f>IFERROR(__xludf.DUMMYFUNCTION("""COMPUTED_VALUE"""),1638.0)</f>
        <v>1638</v>
      </c>
      <c r="K1639" s="20" t="b">
        <f>IFERROR(__xludf.DUMMYFUNCTION("""COMPUTED_VALUE"""),FALSE)</f>
        <v>0</v>
      </c>
      <c r="L1639" s="20" t="str">
        <f>IFERROR(__xludf.DUMMYFUNCTION("""COMPUTED_VALUE"""),"Hash Table;String;Dynamic Programming;")</f>
        <v>Hash Table;String;Dynamic Programming;</v>
      </c>
      <c r="M1639" s="20" t="b">
        <f>IFERROR(__xludf.DUMMYFUNCTION("""COMPUTED_VALUE"""),FALSE)</f>
        <v>0</v>
      </c>
      <c r="N1639" s="20" t="b">
        <f>IFERROR(__xludf.DUMMYFUNCTION("""COMPUTED_VALUE"""),FALSE)</f>
        <v>0</v>
      </c>
      <c r="O1639" s="20">
        <f>IFERROR(__xludf.DUMMYFUNCTION("""COMPUTED_VALUE"""),71.3641239194901)</f>
        <v>71.36412392</v>
      </c>
      <c r="P1639" s="20">
        <f>IFERROR(__xludf.DUMMYFUNCTION("""COMPUTED_VALUE"""),22621.0)</f>
        <v>22621</v>
      </c>
      <c r="Q1639" s="20">
        <f>IFERROR(__xludf.DUMMYFUNCTION("""COMPUTED_VALUE"""),31698.0)</f>
        <v>31698</v>
      </c>
    </row>
    <row r="1640">
      <c r="A1640" s="20">
        <f>IFERROR(__xludf.DUMMYFUNCTION("""COMPUTED_VALUE"""),1744.0)</f>
        <v>1744</v>
      </c>
      <c r="B1640" s="20" t="str">
        <f>IFERROR(__xludf.DUMMYFUNCTION("""COMPUTED_VALUE"""),"Number of Ways to Form a Target String Given a Dictionary")</f>
        <v>Number of Ways to Form a Target String Given a Dictionary</v>
      </c>
      <c r="C1640" s="20" t="str">
        <f>IFERROR(__xludf.DUMMYFUNCTION("""COMPUTED_VALUE"""),"number-of-ways-to-form-a-target-string-given-a-dictionary")</f>
        <v>number-of-ways-to-form-a-target-string-given-a-dictionary</v>
      </c>
      <c r="D1640" s="20" t="b">
        <f>IFERROR(__xludf.DUMMYFUNCTION("""COMPUTED_VALUE"""),FALSE)</f>
        <v>0</v>
      </c>
      <c r="E1640" s="20" t="str">
        <f>IFERROR(__xludf.DUMMYFUNCTION("""COMPUTED_VALUE"""),"Hard")</f>
        <v>Hard</v>
      </c>
      <c r="F1640" s="20">
        <f>IFERROR(__xludf.DUMMYFUNCTION("""COMPUTED_VALUE"""),375.0)</f>
        <v>375</v>
      </c>
      <c r="G1640" s="20">
        <f>IFERROR(__xludf.DUMMYFUNCTION("""COMPUTED_VALUE"""),16.0)</f>
        <v>16</v>
      </c>
      <c r="H1640" s="20" t="str">
        <f>IFERROR(__xludf.DUMMYFUNCTION("""COMPUTED_VALUE"""),"Algorithms")</f>
        <v>Algorithms</v>
      </c>
      <c r="I1640" s="20">
        <f>IFERROR(__xludf.DUMMYFUNCTION("""COMPUTED_VALUE"""),0.431)</f>
        <v>0.431</v>
      </c>
      <c r="J1640" s="20">
        <f>IFERROR(__xludf.DUMMYFUNCTION("""COMPUTED_VALUE"""),1639.0)</f>
        <v>1639</v>
      </c>
      <c r="K1640" s="20" t="b">
        <f>IFERROR(__xludf.DUMMYFUNCTION("""COMPUTED_VALUE"""),FALSE)</f>
        <v>0</v>
      </c>
      <c r="L1640" s="20" t="str">
        <f>IFERROR(__xludf.DUMMYFUNCTION("""COMPUTED_VALUE"""),"Array;String;Dynamic Programming;")</f>
        <v>Array;String;Dynamic Programming;</v>
      </c>
      <c r="M1640" s="20" t="b">
        <f>IFERROR(__xludf.DUMMYFUNCTION("""COMPUTED_VALUE"""),FALSE)</f>
        <v>0</v>
      </c>
      <c r="N1640" s="20" t="b">
        <f>IFERROR(__xludf.DUMMYFUNCTION("""COMPUTED_VALUE"""),FALSE)</f>
        <v>0</v>
      </c>
      <c r="O1640" s="20">
        <f>IFERROR(__xludf.DUMMYFUNCTION("""COMPUTED_VALUE"""),43.1115486151505)</f>
        <v>43.11154862</v>
      </c>
      <c r="P1640" s="20">
        <f>IFERROR(__xludf.DUMMYFUNCTION("""COMPUTED_VALUE"""),9635.0)</f>
        <v>9635</v>
      </c>
      <c r="Q1640" s="20">
        <f>IFERROR(__xludf.DUMMYFUNCTION("""COMPUTED_VALUE"""),22349.0)</f>
        <v>22349</v>
      </c>
    </row>
    <row r="1641">
      <c r="A1641" s="20">
        <f>IFERROR(__xludf.DUMMYFUNCTION("""COMPUTED_VALUE"""),1760.0)</f>
        <v>1760</v>
      </c>
      <c r="B1641" s="20" t="str">
        <f>IFERROR(__xludf.DUMMYFUNCTION("""COMPUTED_VALUE"""),"Check Array Formation Through Concatenation")</f>
        <v>Check Array Formation Through Concatenation</v>
      </c>
      <c r="C1641" s="20" t="str">
        <f>IFERROR(__xludf.DUMMYFUNCTION("""COMPUTED_VALUE"""),"check-array-formation-through-concatenation")</f>
        <v>check-array-formation-through-concatenation</v>
      </c>
      <c r="D1641" s="20" t="b">
        <f>IFERROR(__xludf.DUMMYFUNCTION("""COMPUTED_VALUE"""),FALSE)</f>
        <v>0</v>
      </c>
      <c r="E1641" s="20" t="str">
        <f>IFERROR(__xludf.DUMMYFUNCTION("""COMPUTED_VALUE"""),"Easy")</f>
        <v>Easy</v>
      </c>
      <c r="F1641" s="20">
        <f>IFERROR(__xludf.DUMMYFUNCTION("""COMPUTED_VALUE"""),766.0)</f>
        <v>766</v>
      </c>
      <c r="G1641" s="20">
        <f>IFERROR(__xludf.DUMMYFUNCTION("""COMPUTED_VALUE"""),125.0)</f>
        <v>125</v>
      </c>
      <c r="H1641" s="20" t="str">
        <f>IFERROR(__xludf.DUMMYFUNCTION("""COMPUTED_VALUE"""),"Algorithms")</f>
        <v>Algorithms</v>
      </c>
      <c r="I1641" s="20">
        <f>IFERROR(__xludf.DUMMYFUNCTION("""COMPUTED_VALUE"""),0.562)</f>
        <v>0.562</v>
      </c>
      <c r="J1641" s="20">
        <f>IFERROR(__xludf.DUMMYFUNCTION("""COMPUTED_VALUE"""),1640.0)</f>
        <v>1640</v>
      </c>
      <c r="K1641" s="20" t="b">
        <f>IFERROR(__xludf.DUMMYFUNCTION("""COMPUTED_VALUE"""),FALSE)</f>
        <v>0</v>
      </c>
      <c r="L1641" s="20" t="str">
        <f>IFERROR(__xludf.DUMMYFUNCTION("""COMPUTED_VALUE"""),"Array;Hash Table;")</f>
        <v>Array;Hash Table;</v>
      </c>
      <c r="M1641" s="20" t="b">
        <f>IFERROR(__xludf.DUMMYFUNCTION("""COMPUTED_VALUE"""),TRUE)</f>
        <v>1</v>
      </c>
      <c r="N1641" s="20" t="b">
        <f>IFERROR(__xludf.DUMMYFUNCTION("""COMPUTED_VALUE"""),FALSE)</f>
        <v>0</v>
      </c>
      <c r="O1641" s="20">
        <f>IFERROR(__xludf.DUMMYFUNCTION("""COMPUTED_VALUE"""),56.1502325653269)</f>
        <v>56.15023257</v>
      </c>
      <c r="P1641" s="20">
        <f>IFERROR(__xludf.DUMMYFUNCTION("""COMPUTED_VALUE"""),72673.0)</f>
        <v>72673</v>
      </c>
      <c r="Q1641" s="20">
        <f>IFERROR(__xludf.DUMMYFUNCTION("""COMPUTED_VALUE"""),129426.0)</f>
        <v>129426</v>
      </c>
    </row>
    <row r="1642">
      <c r="A1642" s="20">
        <f>IFERROR(__xludf.DUMMYFUNCTION("""COMPUTED_VALUE"""),1761.0)</f>
        <v>1761</v>
      </c>
      <c r="B1642" s="20" t="str">
        <f>IFERROR(__xludf.DUMMYFUNCTION("""COMPUTED_VALUE"""),"Count Sorted Vowel Strings")</f>
        <v>Count Sorted Vowel Strings</v>
      </c>
      <c r="C1642" s="20" t="str">
        <f>IFERROR(__xludf.DUMMYFUNCTION("""COMPUTED_VALUE"""),"count-sorted-vowel-strings")</f>
        <v>count-sorted-vowel-strings</v>
      </c>
      <c r="D1642" s="20" t="b">
        <f>IFERROR(__xludf.DUMMYFUNCTION("""COMPUTED_VALUE"""),FALSE)</f>
        <v>0</v>
      </c>
      <c r="E1642" s="20" t="str">
        <f>IFERROR(__xludf.DUMMYFUNCTION("""COMPUTED_VALUE"""),"Medium")</f>
        <v>Medium</v>
      </c>
      <c r="F1642" s="20">
        <f>IFERROR(__xludf.DUMMYFUNCTION("""COMPUTED_VALUE"""),3275.0)</f>
        <v>3275</v>
      </c>
      <c r="G1642" s="20">
        <f>IFERROR(__xludf.DUMMYFUNCTION("""COMPUTED_VALUE"""),71.0)</f>
        <v>71</v>
      </c>
      <c r="H1642" s="20" t="str">
        <f>IFERROR(__xludf.DUMMYFUNCTION("""COMPUTED_VALUE"""),"Algorithms")</f>
        <v>Algorithms</v>
      </c>
      <c r="I1642" s="20">
        <f>IFERROR(__xludf.DUMMYFUNCTION("""COMPUTED_VALUE"""),0.772)</f>
        <v>0.772</v>
      </c>
      <c r="J1642" s="20">
        <f>IFERROR(__xludf.DUMMYFUNCTION("""COMPUTED_VALUE"""),1641.0)</f>
        <v>1641</v>
      </c>
      <c r="K1642" s="20" t="b">
        <f>IFERROR(__xludf.DUMMYFUNCTION("""COMPUTED_VALUE"""),FALSE)</f>
        <v>0</v>
      </c>
      <c r="L1642" s="20" t="str">
        <f>IFERROR(__xludf.DUMMYFUNCTION("""COMPUTED_VALUE"""),"Dynamic Programming;")</f>
        <v>Dynamic Programming;</v>
      </c>
      <c r="M1642" s="20" t="b">
        <f>IFERROR(__xludf.DUMMYFUNCTION("""COMPUTED_VALUE"""),TRUE)</f>
        <v>1</v>
      </c>
      <c r="N1642" s="20" t="b">
        <f>IFERROR(__xludf.DUMMYFUNCTION("""COMPUTED_VALUE"""),FALSE)</f>
        <v>0</v>
      </c>
      <c r="O1642" s="20">
        <f>IFERROR(__xludf.DUMMYFUNCTION("""COMPUTED_VALUE"""),77.2442999440866)</f>
        <v>77.24429994</v>
      </c>
      <c r="P1642" s="20">
        <f>IFERROR(__xludf.DUMMYFUNCTION("""COMPUTED_VALUE"""),149201.0)</f>
        <v>149201</v>
      </c>
      <c r="Q1642" s="20">
        <f>IFERROR(__xludf.DUMMYFUNCTION("""COMPUTED_VALUE"""),193154.0)</f>
        <v>193154</v>
      </c>
    </row>
    <row r="1643">
      <c r="A1643" s="20">
        <f>IFERROR(__xludf.DUMMYFUNCTION("""COMPUTED_VALUE"""),1762.0)</f>
        <v>1762</v>
      </c>
      <c r="B1643" s="20" t="str">
        <f>IFERROR(__xludf.DUMMYFUNCTION("""COMPUTED_VALUE"""),"Furthest Building You Can Reach")</f>
        <v>Furthest Building You Can Reach</v>
      </c>
      <c r="C1643" s="20" t="str">
        <f>IFERROR(__xludf.DUMMYFUNCTION("""COMPUTED_VALUE"""),"furthest-building-you-can-reach")</f>
        <v>furthest-building-you-can-reach</v>
      </c>
      <c r="D1643" s="20" t="b">
        <f>IFERROR(__xludf.DUMMYFUNCTION("""COMPUTED_VALUE"""),FALSE)</f>
        <v>0</v>
      </c>
      <c r="E1643" s="20" t="str">
        <f>IFERROR(__xludf.DUMMYFUNCTION("""COMPUTED_VALUE"""),"Medium")</f>
        <v>Medium</v>
      </c>
      <c r="F1643" s="20">
        <f>IFERROR(__xludf.DUMMYFUNCTION("""COMPUTED_VALUE"""),4047.0)</f>
        <v>4047</v>
      </c>
      <c r="G1643" s="20">
        <f>IFERROR(__xludf.DUMMYFUNCTION("""COMPUTED_VALUE"""),85.0)</f>
        <v>85</v>
      </c>
      <c r="H1643" s="20" t="str">
        <f>IFERROR(__xludf.DUMMYFUNCTION("""COMPUTED_VALUE"""),"Algorithms")</f>
        <v>Algorithms</v>
      </c>
      <c r="I1643" s="20">
        <f>IFERROR(__xludf.DUMMYFUNCTION("""COMPUTED_VALUE"""),0.483)</f>
        <v>0.483</v>
      </c>
      <c r="J1643" s="20">
        <f>IFERROR(__xludf.DUMMYFUNCTION("""COMPUTED_VALUE"""),1642.0)</f>
        <v>1642</v>
      </c>
      <c r="K1643" s="20" t="b">
        <f>IFERROR(__xludf.DUMMYFUNCTION("""COMPUTED_VALUE"""),FALSE)</f>
        <v>0</v>
      </c>
      <c r="L1643" s="20" t="str">
        <f>IFERROR(__xludf.DUMMYFUNCTION("""COMPUTED_VALUE"""),"Array;Greedy;Heap (Priority Queue);")</f>
        <v>Array;Greedy;Heap (Priority Queue);</v>
      </c>
      <c r="M1643" s="20" t="b">
        <f>IFERROR(__xludf.DUMMYFUNCTION("""COMPUTED_VALUE"""),TRUE)</f>
        <v>1</v>
      </c>
      <c r="N1643" s="20" t="b">
        <f>IFERROR(__xludf.DUMMYFUNCTION("""COMPUTED_VALUE"""),FALSE)</f>
        <v>0</v>
      </c>
      <c r="O1643" s="20">
        <f>IFERROR(__xludf.DUMMYFUNCTION("""COMPUTED_VALUE"""),48.2867020172808)</f>
        <v>48.28670202</v>
      </c>
      <c r="P1643" s="20">
        <f>IFERROR(__xludf.DUMMYFUNCTION("""COMPUTED_VALUE"""),109366.0)</f>
        <v>109366</v>
      </c>
      <c r="Q1643" s="20">
        <f>IFERROR(__xludf.DUMMYFUNCTION("""COMPUTED_VALUE"""),226493.0)</f>
        <v>226493</v>
      </c>
    </row>
    <row r="1644">
      <c r="A1644" s="20">
        <f>IFERROR(__xludf.DUMMYFUNCTION("""COMPUTED_VALUE"""),489.0)</f>
        <v>489</v>
      </c>
      <c r="B1644" s="20" t="str">
        <f>IFERROR(__xludf.DUMMYFUNCTION("""COMPUTED_VALUE"""),"Kth Smallest Instructions")</f>
        <v>Kth Smallest Instructions</v>
      </c>
      <c r="C1644" s="20" t="str">
        <f>IFERROR(__xludf.DUMMYFUNCTION("""COMPUTED_VALUE"""),"kth-smallest-instructions")</f>
        <v>kth-smallest-instructions</v>
      </c>
      <c r="D1644" s="20" t="b">
        <f>IFERROR(__xludf.DUMMYFUNCTION("""COMPUTED_VALUE"""),FALSE)</f>
        <v>0</v>
      </c>
      <c r="E1644" s="20" t="str">
        <f>IFERROR(__xludf.DUMMYFUNCTION("""COMPUTED_VALUE"""),"Hard")</f>
        <v>Hard</v>
      </c>
      <c r="F1644" s="20">
        <f>IFERROR(__xludf.DUMMYFUNCTION("""COMPUTED_VALUE"""),435.0)</f>
        <v>435</v>
      </c>
      <c r="G1644" s="20">
        <f>IFERROR(__xludf.DUMMYFUNCTION("""COMPUTED_VALUE"""),6.0)</f>
        <v>6</v>
      </c>
      <c r="H1644" s="20" t="str">
        <f>IFERROR(__xludf.DUMMYFUNCTION("""COMPUTED_VALUE"""),"Algorithms")</f>
        <v>Algorithms</v>
      </c>
      <c r="I1644" s="20">
        <f>IFERROR(__xludf.DUMMYFUNCTION("""COMPUTED_VALUE"""),0.469)</f>
        <v>0.469</v>
      </c>
      <c r="J1644" s="20">
        <f>IFERROR(__xludf.DUMMYFUNCTION("""COMPUTED_VALUE"""),1643.0)</f>
        <v>1643</v>
      </c>
      <c r="K1644" s="20" t="b">
        <f>IFERROR(__xludf.DUMMYFUNCTION("""COMPUTED_VALUE"""),FALSE)</f>
        <v>0</v>
      </c>
      <c r="L1644" s="20" t="str">
        <f>IFERROR(__xludf.DUMMYFUNCTION("""COMPUTED_VALUE"""),"Array;Math;Dynamic Programming;Combinatorics;")</f>
        <v>Array;Math;Dynamic Programming;Combinatorics;</v>
      </c>
      <c r="M1644" s="20" t="b">
        <f>IFERROR(__xludf.DUMMYFUNCTION("""COMPUTED_VALUE"""),FALSE)</f>
        <v>0</v>
      </c>
      <c r="N1644" s="20" t="b">
        <f>IFERROR(__xludf.DUMMYFUNCTION("""COMPUTED_VALUE"""),FALSE)</f>
        <v>0</v>
      </c>
      <c r="O1644" s="20">
        <f>IFERROR(__xludf.DUMMYFUNCTION("""COMPUTED_VALUE"""),46.9042871385842)</f>
        <v>46.90428714</v>
      </c>
      <c r="P1644" s="20">
        <f>IFERROR(__xludf.DUMMYFUNCTION("""COMPUTED_VALUE"""),9409.0)</f>
        <v>9409</v>
      </c>
      <c r="Q1644" s="20">
        <f>IFERROR(__xludf.DUMMYFUNCTION("""COMPUTED_VALUE"""),20060.0)</f>
        <v>20060</v>
      </c>
    </row>
    <row r="1645">
      <c r="A1645" s="20">
        <f>IFERROR(__xludf.DUMMYFUNCTION("""COMPUTED_VALUE"""),1780.0)</f>
        <v>1780</v>
      </c>
      <c r="B1645" s="20" t="str">
        <f>IFERROR(__xludf.DUMMYFUNCTION("""COMPUTED_VALUE"""),"Lowest Common Ancestor of a Binary Tree II")</f>
        <v>Lowest Common Ancestor of a Binary Tree II</v>
      </c>
      <c r="C1645" s="20" t="str">
        <f>IFERROR(__xludf.DUMMYFUNCTION("""COMPUTED_VALUE"""),"lowest-common-ancestor-of-a-binary-tree-ii")</f>
        <v>lowest-common-ancestor-of-a-binary-tree-ii</v>
      </c>
      <c r="D1645" s="20" t="b">
        <f>IFERROR(__xludf.DUMMYFUNCTION("""COMPUTED_VALUE"""),TRUE)</f>
        <v>1</v>
      </c>
      <c r="E1645" s="20" t="str">
        <f>IFERROR(__xludf.DUMMYFUNCTION("""COMPUTED_VALUE"""),"Medium")</f>
        <v>Medium</v>
      </c>
      <c r="F1645" s="20">
        <f>IFERROR(__xludf.DUMMYFUNCTION("""COMPUTED_VALUE"""),512.0)</f>
        <v>512</v>
      </c>
      <c r="G1645" s="20">
        <f>IFERROR(__xludf.DUMMYFUNCTION("""COMPUTED_VALUE"""),25.0)</f>
        <v>25</v>
      </c>
      <c r="H1645" s="20" t="str">
        <f>IFERROR(__xludf.DUMMYFUNCTION("""COMPUTED_VALUE"""),"Algorithms")</f>
        <v>Algorithms</v>
      </c>
      <c r="I1645" s="20">
        <f>IFERROR(__xludf.DUMMYFUNCTION("""COMPUTED_VALUE"""),0.595)</f>
        <v>0.595</v>
      </c>
      <c r="J1645" s="20">
        <f>IFERROR(__xludf.DUMMYFUNCTION("""COMPUTED_VALUE"""),1644.0)</f>
        <v>1644</v>
      </c>
      <c r="K1645" s="20" t="b">
        <f>IFERROR(__xludf.DUMMYFUNCTION("""COMPUTED_VALUE"""),TRUE)</f>
        <v>1</v>
      </c>
      <c r="L1645" s="20" t="str">
        <f>IFERROR(__xludf.DUMMYFUNCTION("""COMPUTED_VALUE"""),"Tree;Depth-First Search;Binary Tree;")</f>
        <v>Tree;Depth-First Search;Binary Tree;</v>
      </c>
      <c r="M1645" s="20" t="b">
        <f>IFERROR(__xludf.DUMMYFUNCTION("""COMPUTED_VALUE"""),FALSE)</f>
        <v>0</v>
      </c>
      <c r="N1645" s="20" t="b">
        <f>IFERROR(__xludf.DUMMYFUNCTION("""COMPUTED_VALUE"""),FALSE)</f>
        <v>0</v>
      </c>
      <c r="O1645" s="20">
        <f>IFERROR(__xludf.DUMMYFUNCTION("""COMPUTED_VALUE"""),59.4916877012794)</f>
        <v>59.4916877</v>
      </c>
      <c r="P1645" s="20">
        <f>IFERROR(__xludf.DUMMYFUNCTION("""COMPUTED_VALUE"""),54680.0)</f>
        <v>54680</v>
      </c>
      <c r="Q1645" s="20">
        <f>IFERROR(__xludf.DUMMYFUNCTION("""COMPUTED_VALUE"""),91912.0)</f>
        <v>91912</v>
      </c>
    </row>
    <row r="1646">
      <c r="A1646" s="20">
        <f>IFERROR(__xludf.DUMMYFUNCTION("""COMPUTED_VALUE"""),1785.0)</f>
        <v>1785</v>
      </c>
      <c r="B1646" s="20" t="str">
        <f>IFERROR(__xludf.DUMMYFUNCTION("""COMPUTED_VALUE"""),"Hopper Company Queries II")</f>
        <v>Hopper Company Queries II</v>
      </c>
      <c r="C1646" s="20" t="str">
        <f>IFERROR(__xludf.DUMMYFUNCTION("""COMPUTED_VALUE"""),"hopper-company-queries-ii")</f>
        <v>hopper-company-queries-ii</v>
      </c>
      <c r="D1646" s="20" t="b">
        <f>IFERROR(__xludf.DUMMYFUNCTION("""COMPUTED_VALUE"""),TRUE)</f>
        <v>1</v>
      </c>
      <c r="E1646" s="20" t="str">
        <f>IFERROR(__xludf.DUMMYFUNCTION("""COMPUTED_VALUE"""),"Hard")</f>
        <v>Hard</v>
      </c>
      <c r="F1646" s="20">
        <f>IFERROR(__xludf.DUMMYFUNCTION("""COMPUTED_VALUE"""),50.0)</f>
        <v>50</v>
      </c>
      <c r="G1646" s="20">
        <f>IFERROR(__xludf.DUMMYFUNCTION("""COMPUTED_VALUE"""),13.0)</f>
        <v>13</v>
      </c>
      <c r="H1646" s="20" t="str">
        <f>IFERROR(__xludf.DUMMYFUNCTION("""COMPUTED_VALUE"""),"Database")</f>
        <v>Database</v>
      </c>
      <c r="I1646" s="20">
        <f>IFERROR(__xludf.DUMMYFUNCTION("""COMPUTED_VALUE"""),0.388)</f>
        <v>0.388</v>
      </c>
      <c r="J1646" s="20">
        <f>IFERROR(__xludf.DUMMYFUNCTION("""COMPUTED_VALUE"""),1645.0)</f>
        <v>1645</v>
      </c>
      <c r="K1646" s="20" t="b">
        <f>IFERROR(__xludf.DUMMYFUNCTION("""COMPUTED_VALUE"""),TRUE)</f>
        <v>1</v>
      </c>
      <c r="L1646" s="20" t="str">
        <f>IFERROR(__xludf.DUMMYFUNCTION("""COMPUTED_VALUE"""),"Database;")</f>
        <v>Database;</v>
      </c>
      <c r="M1646" s="20" t="b">
        <f>IFERROR(__xludf.DUMMYFUNCTION("""COMPUTED_VALUE"""),FALSE)</f>
        <v>0</v>
      </c>
      <c r="N1646" s="20" t="b">
        <f>IFERROR(__xludf.DUMMYFUNCTION("""COMPUTED_VALUE"""),FALSE)</f>
        <v>0</v>
      </c>
      <c r="O1646" s="20">
        <f>IFERROR(__xludf.DUMMYFUNCTION("""COMPUTED_VALUE"""),38.8486312399355)</f>
        <v>38.84863124</v>
      </c>
      <c r="P1646" s="20">
        <f>IFERROR(__xludf.DUMMYFUNCTION("""COMPUTED_VALUE"""),4824.0)</f>
        <v>4824</v>
      </c>
      <c r="Q1646" s="20">
        <f>IFERROR(__xludf.DUMMYFUNCTION("""COMPUTED_VALUE"""),12419.0)</f>
        <v>12419</v>
      </c>
    </row>
    <row r="1647">
      <c r="A1647" s="20">
        <f>IFERROR(__xludf.DUMMYFUNCTION("""COMPUTED_VALUE"""),1769.0)</f>
        <v>1769</v>
      </c>
      <c r="B1647" s="20" t="str">
        <f>IFERROR(__xludf.DUMMYFUNCTION("""COMPUTED_VALUE"""),"Get Maximum in Generated Array")</f>
        <v>Get Maximum in Generated Array</v>
      </c>
      <c r="C1647" s="20" t="str">
        <f>IFERROR(__xludf.DUMMYFUNCTION("""COMPUTED_VALUE"""),"get-maximum-in-generated-array")</f>
        <v>get-maximum-in-generated-array</v>
      </c>
      <c r="D1647" s="20" t="b">
        <f>IFERROR(__xludf.DUMMYFUNCTION("""COMPUTED_VALUE"""),FALSE)</f>
        <v>0</v>
      </c>
      <c r="E1647" s="20" t="str">
        <f>IFERROR(__xludf.DUMMYFUNCTION("""COMPUTED_VALUE"""),"Easy")</f>
        <v>Easy</v>
      </c>
      <c r="F1647" s="20">
        <f>IFERROR(__xludf.DUMMYFUNCTION("""COMPUTED_VALUE"""),545.0)</f>
        <v>545</v>
      </c>
      <c r="G1647" s="20">
        <f>IFERROR(__xludf.DUMMYFUNCTION("""COMPUTED_VALUE"""),738.0)</f>
        <v>738</v>
      </c>
      <c r="H1647" s="20" t="str">
        <f>IFERROR(__xludf.DUMMYFUNCTION("""COMPUTED_VALUE"""),"Algorithms")</f>
        <v>Algorithms</v>
      </c>
      <c r="I1647" s="20">
        <f>IFERROR(__xludf.DUMMYFUNCTION("""COMPUTED_VALUE"""),0.502)</f>
        <v>0.502</v>
      </c>
      <c r="J1647" s="20">
        <f>IFERROR(__xludf.DUMMYFUNCTION("""COMPUTED_VALUE"""),1646.0)</f>
        <v>1646</v>
      </c>
      <c r="K1647" s="20" t="b">
        <f>IFERROR(__xludf.DUMMYFUNCTION("""COMPUTED_VALUE"""),FALSE)</f>
        <v>0</v>
      </c>
      <c r="L1647" s="20" t="str">
        <f>IFERROR(__xludf.DUMMYFUNCTION("""COMPUTED_VALUE"""),"Array;Dynamic Programming;Simulation;")</f>
        <v>Array;Dynamic Programming;Simulation;</v>
      </c>
      <c r="M1647" s="20" t="b">
        <f>IFERROR(__xludf.DUMMYFUNCTION("""COMPUTED_VALUE"""),TRUE)</f>
        <v>1</v>
      </c>
      <c r="N1647" s="20" t="b">
        <f>IFERROR(__xludf.DUMMYFUNCTION("""COMPUTED_VALUE"""),FALSE)</f>
        <v>0</v>
      </c>
      <c r="O1647" s="20">
        <f>IFERROR(__xludf.DUMMYFUNCTION("""COMPUTED_VALUE"""),50.1711522555195)</f>
        <v>50.17115226</v>
      </c>
      <c r="P1647" s="20">
        <f>IFERROR(__xludf.DUMMYFUNCTION("""COMPUTED_VALUE"""),78852.0)</f>
        <v>78852</v>
      </c>
      <c r="Q1647" s="20">
        <f>IFERROR(__xludf.DUMMYFUNCTION("""COMPUTED_VALUE"""),157166.0)</f>
        <v>157166</v>
      </c>
    </row>
    <row r="1648">
      <c r="A1648" s="20">
        <f>IFERROR(__xludf.DUMMYFUNCTION("""COMPUTED_VALUE"""),1770.0)</f>
        <v>1770</v>
      </c>
      <c r="B1648" s="20" t="str">
        <f>IFERROR(__xludf.DUMMYFUNCTION("""COMPUTED_VALUE"""),"Minimum Deletions to Make Character Frequencies Unique")</f>
        <v>Minimum Deletions to Make Character Frequencies Unique</v>
      </c>
      <c r="C1648" s="20" t="str">
        <f>IFERROR(__xludf.DUMMYFUNCTION("""COMPUTED_VALUE"""),"minimum-deletions-to-make-character-frequencies-unique")</f>
        <v>minimum-deletions-to-make-character-frequencies-unique</v>
      </c>
      <c r="D1648" s="20" t="b">
        <f>IFERROR(__xludf.DUMMYFUNCTION("""COMPUTED_VALUE"""),FALSE)</f>
        <v>0</v>
      </c>
      <c r="E1648" s="20" t="str">
        <f>IFERROR(__xludf.DUMMYFUNCTION("""COMPUTED_VALUE"""),"Medium")</f>
        <v>Medium</v>
      </c>
      <c r="F1648" s="20">
        <f>IFERROR(__xludf.DUMMYFUNCTION("""COMPUTED_VALUE"""),3173.0)</f>
        <v>3173</v>
      </c>
      <c r="G1648" s="20">
        <f>IFERROR(__xludf.DUMMYFUNCTION("""COMPUTED_VALUE"""),49.0)</f>
        <v>49</v>
      </c>
      <c r="H1648" s="20" t="str">
        <f>IFERROR(__xludf.DUMMYFUNCTION("""COMPUTED_VALUE"""),"Algorithms")</f>
        <v>Algorithms</v>
      </c>
      <c r="I1648" s="20">
        <f>IFERROR(__xludf.DUMMYFUNCTION("""COMPUTED_VALUE"""),0.592)</f>
        <v>0.592</v>
      </c>
      <c r="J1648" s="20">
        <f>IFERROR(__xludf.DUMMYFUNCTION("""COMPUTED_VALUE"""),1647.0)</f>
        <v>1647</v>
      </c>
      <c r="K1648" s="20" t="b">
        <f>IFERROR(__xludf.DUMMYFUNCTION("""COMPUTED_VALUE"""),FALSE)</f>
        <v>0</v>
      </c>
      <c r="L1648" s="20" t="str">
        <f>IFERROR(__xludf.DUMMYFUNCTION("""COMPUTED_VALUE"""),"Hash Table;String;Greedy;Sorting;")</f>
        <v>Hash Table;String;Greedy;Sorting;</v>
      </c>
      <c r="M1648" s="20" t="b">
        <f>IFERROR(__xludf.DUMMYFUNCTION("""COMPUTED_VALUE"""),TRUE)</f>
        <v>1</v>
      </c>
      <c r="N1648" s="20" t="b">
        <f>IFERROR(__xludf.DUMMYFUNCTION("""COMPUTED_VALUE"""),FALSE)</f>
        <v>0</v>
      </c>
      <c r="O1648" s="20">
        <f>IFERROR(__xludf.DUMMYFUNCTION("""COMPUTED_VALUE"""),59.1882553665379)</f>
        <v>59.18825537</v>
      </c>
      <c r="P1648" s="20">
        <f>IFERROR(__xludf.DUMMYFUNCTION("""COMPUTED_VALUE"""),165823.0)</f>
        <v>165823</v>
      </c>
      <c r="Q1648" s="20">
        <f>IFERROR(__xludf.DUMMYFUNCTION("""COMPUTED_VALUE"""),280162.0)</f>
        <v>280162</v>
      </c>
    </row>
    <row r="1649">
      <c r="A1649" s="20">
        <f>IFERROR(__xludf.DUMMYFUNCTION("""COMPUTED_VALUE"""),1771.0)</f>
        <v>1771</v>
      </c>
      <c r="B1649" s="20" t="str">
        <f>IFERROR(__xludf.DUMMYFUNCTION("""COMPUTED_VALUE"""),"Sell Diminishing-Valued Colored Balls")</f>
        <v>Sell Diminishing-Valued Colored Balls</v>
      </c>
      <c r="C1649" s="20" t="str">
        <f>IFERROR(__xludf.DUMMYFUNCTION("""COMPUTED_VALUE"""),"sell-diminishing-valued-colored-balls")</f>
        <v>sell-diminishing-valued-colored-balls</v>
      </c>
      <c r="D1649" s="20" t="b">
        <f>IFERROR(__xludf.DUMMYFUNCTION("""COMPUTED_VALUE"""),FALSE)</f>
        <v>0</v>
      </c>
      <c r="E1649" s="20" t="str">
        <f>IFERROR(__xludf.DUMMYFUNCTION("""COMPUTED_VALUE"""),"Medium")</f>
        <v>Medium</v>
      </c>
      <c r="F1649" s="20">
        <f>IFERROR(__xludf.DUMMYFUNCTION("""COMPUTED_VALUE"""),907.0)</f>
        <v>907</v>
      </c>
      <c r="G1649" s="20">
        <f>IFERROR(__xludf.DUMMYFUNCTION("""COMPUTED_VALUE"""),347.0)</f>
        <v>347</v>
      </c>
      <c r="H1649" s="20" t="str">
        <f>IFERROR(__xludf.DUMMYFUNCTION("""COMPUTED_VALUE"""),"Algorithms")</f>
        <v>Algorithms</v>
      </c>
      <c r="I1649" s="20">
        <f>IFERROR(__xludf.DUMMYFUNCTION("""COMPUTED_VALUE"""),0.304)</f>
        <v>0.304</v>
      </c>
      <c r="J1649" s="20">
        <f>IFERROR(__xludf.DUMMYFUNCTION("""COMPUTED_VALUE"""),1648.0)</f>
        <v>1648</v>
      </c>
      <c r="K1649" s="20" t="b">
        <f>IFERROR(__xludf.DUMMYFUNCTION("""COMPUTED_VALUE"""),FALSE)</f>
        <v>0</v>
      </c>
      <c r="L1649" s="20" t="str">
        <f>IFERROR(__xludf.DUMMYFUNCTION("""COMPUTED_VALUE"""),"Array;Math;Binary Search;Greedy;Sorting;Heap (Priority Queue);")</f>
        <v>Array;Math;Binary Search;Greedy;Sorting;Heap (Priority Queue);</v>
      </c>
      <c r="M1649" s="20" t="b">
        <f>IFERROR(__xludf.DUMMYFUNCTION("""COMPUTED_VALUE"""),FALSE)</f>
        <v>0</v>
      </c>
      <c r="N1649" s="20" t="b">
        <f>IFERROR(__xludf.DUMMYFUNCTION("""COMPUTED_VALUE"""),FALSE)</f>
        <v>0</v>
      </c>
      <c r="O1649" s="20">
        <f>IFERROR(__xludf.DUMMYFUNCTION("""COMPUTED_VALUE"""),30.4381966695247)</f>
        <v>30.43819667</v>
      </c>
      <c r="P1649" s="20">
        <f>IFERROR(__xludf.DUMMYFUNCTION("""COMPUTED_VALUE"""),33724.0)</f>
        <v>33724</v>
      </c>
      <c r="Q1649" s="20">
        <f>IFERROR(__xludf.DUMMYFUNCTION("""COMPUTED_VALUE"""),110795.0)</f>
        <v>110795</v>
      </c>
    </row>
    <row r="1650">
      <c r="A1650" s="20">
        <f>IFERROR(__xludf.DUMMYFUNCTION("""COMPUTED_VALUE"""),1772.0)</f>
        <v>1772</v>
      </c>
      <c r="B1650" s="20" t="str">
        <f>IFERROR(__xludf.DUMMYFUNCTION("""COMPUTED_VALUE"""),"Create Sorted Array through Instructions")</f>
        <v>Create Sorted Array through Instructions</v>
      </c>
      <c r="C1650" s="20" t="str">
        <f>IFERROR(__xludf.DUMMYFUNCTION("""COMPUTED_VALUE"""),"create-sorted-array-through-instructions")</f>
        <v>create-sorted-array-through-instructions</v>
      </c>
      <c r="D1650" s="20" t="b">
        <f>IFERROR(__xludf.DUMMYFUNCTION("""COMPUTED_VALUE"""),FALSE)</f>
        <v>0</v>
      </c>
      <c r="E1650" s="20" t="str">
        <f>IFERROR(__xludf.DUMMYFUNCTION("""COMPUTED_VALUE"""),"Hard")</f>
        <v>Hard</v>
      </c>
      <c r="F1650" s="20">
        <f>IFERROR(__xludf.DUMMYFUNCTION("""COMPUTED_VALUE"""),549.0)</f>
        <v>549</v>
      </c>
      <c r="G1650" s="20">
        <f>IFERROR(__xludf.DUMMYFUNCTION("""COMPUTED_VALUE"""),72.0)</f>
        <v>72</v>
      </c>
      <c r="H1650" s="20" t="str">
        <f>IFERROR(__xludf.DUMMYFUNCTION("""COMPUTED_VALUE"""),"Algorithms")</f>
        <v>Algorithms</v>
      </c>
      <c r="I1650" s="20">
        <f>IFERROR(__xludf.DUMMYFUNCTION("""COMPUTED_VALUE"""),0.373)</f>
        <v>0.373</v>
      </c>
      <c r="J1650" s="20">
        <f>IFERROR(__xludf.DUMMYFUNCTION("""COMPUTED_VALUE"""),1649.0)</f>
        <v>1649</v>
      </c>
      <c r="K1650" s="20" t="b">
        <f>IFERROR(__xludf.DUMMYFUNCTION("""COMPUTED_VALUE"""),FALSE)</f>
        <v>0</v>
      </c>
      <c r="L1650" s="20" t="str">
        <f>IFERROR(__xludf.DUMMYFUNCTION("""COMPUTED_VALUE"""),"Array;Binary Search;Divide and Conquer;Binary Indexed Tree;Segment Tree;Merge Sort;Ordered Set;")</f>
        <v>Array;Binary Search;Divide and Conquer;Binary Indexed Tree;Segment Tree;Merge Sort;Ordered Set;</v>
      </c>
      <c r="M1650" s="20" t="b">
        <f>IFERROR(__xludf.DUMMYFUNCTION("""COMPUTED_VALUE"""),TRUE)</f>
        <v>1</v>
      </c>
      <c r="N1650" s="20" t="b">
        <f>IFERROR(__xludf.DUMMYFUNCTION("""COMPUTED_VALUE"""),FALSE)</f>
        <v>0</v>
      </c>
      <c r="O1650" s="20">
        <f>IFERROR(__xludf.DUMMYFUNCTION("""COMPUTED_VALUE"""),37.2581772315873)</f>
        <v>37.25817723</v>
      </c>
      <c r="P1650" s="20">
        <f>IFERROR(__xludf.DUMMYFUNCTION("""COMPUTED_VALUE"""),21859.0)</f>
        <v>21859</v>
      </c>
      <c r="Q1650" s="20">
        <f>IFERROR(__xludf.DUMMYFUNCTION("""COMPUTED_VALUE"""),58669.0)</f>
        <v>58669</v>
      </c>
    </row>
    <row r="1651">
      <c r="A1651" s="20">
        <f>IFERROR(__xludf.DUMMYFUNCTION("""COMPUTED_VALUE"""),1790.0)</f>
        <v>1790</v>
      </c>
      <c r="B1651" s="20" t="str">
        <f>IFERROR(__xludf.DUMMYFUNCTION("""COMPUTED_VALUE"""),"Lowest Common Ancestor of a Binary Tree III")</f>
        <v>Lowest Common Ancestor of a Binary Tree III</v>
      </c>
      <c r="C1651" s="20" t="str">
        <f>IFERROR(__xludf.DUMMYFUNCTION("""COMPUTED_VALUE"""),"lowest-common-ancestor-of-a-binary-tree-iii")</f>
        <v>lowest-common-ancestor-of-a-binary-tree-iii</v>
      </c>
      <c r="D1651" s="20" t="b">
        <f>IFERROR(__xludf.DUMMYFUNCTION("""COMPUTED_VALUE"""),TRUE)</f>
        <v>1</v>
      </c>
      <c r="E1651" s="20" t="str">
        <f>IFERROR(__xludf.DUMMYFUNCTION("""COMPUTED_VALUE"""),"Medium")</f>
        <v>Medium</v>
      </c>
      <c r="F1651" s="20">
        <f>IFERROR(__xludf.DUMMYFUNCTION("""COMPUTED_VALUE"""),1117.0)</f>
        <v>1117</v>
      </c>
      <c r="G1651" s="20">
        <f>IFERROR(__xludf.DUMMYFUNCTION("""COMPUTED_VALUE"""),37.0)</f>
        <v>37</v>
      </c>
      <c r="H1651" s="20" t="str">
        <f>IFERROR(__xludf.DUMMYFUNCTION("""COMPUTED_VALUE"""),"Algorithms")</f>
        <v>Algorithms</v>
      </c>
      <c r="I1651" s="20">
        <f>IFERROR(__xludf.DUMMYFUNCTION("""COMPUTED_VALUE"""),0.773)</f>
        <v>0.773</v>
      </c>
      <c r="J1651" s="20">
        <f>IFERROR(__xludf.DUMMYFUNCTION("""COMPUTED_VALUE"""),1650.0)</f>
        <v>1650</v>
      </c>
      <c r="K1651" s="20" t="b">
        <f>IFERROR(__xludf.DUMMYFUNCTION("""COMPUTED_VALUE"""),TRUE)</f>
        <v>1</v>
      </c>
      <c r="L1651" s="20" t="str">
        <f>IFERROR(__xludf.DUMMYFUNCTION("""COMPUTED_VALUE"""),"Hash Table;Tree;Binary Tree;")</f>
        <v>Hash Table;Tree;Binary Tree;</v>
      </c>
      <c r="M1651" s="20" t="b">
        <f>IFERROR(__xludf.DUMMYFUNCTION("""COMPUTED_VALUE"""),FALSE)</f>
        <v>0</v>
      </c>
      <c r="N1651" s="20" t="b">
        <f>IFERROR(__xludf.DUMMYFUNCTION("""COMPUTED_VALUE"""),FALSE)</f>
        <v>0</v>
      </c>
      <c r="O1651" s="20">
        <f>IFERROR(__xludf.DUMMYFUNCTION("""COMPUTED_VALUE"""),77.2969454181272)</f>
        <v>77.29694542</v>
      </c>
      <c r="P1651" s="20">
        <f>IFERROR(__xludf.DUMMYFUNCTION("""COMPUTED_VALUE"""),154362.0)</f>
        <v>154362</v>
      </c>
      <c r="Q1651" s="20">
        <f>IFERROR(__xludf.DUMMYFUNCTION("""COMPUTED_VALUE"""),199700.0)</f>
        <v>199700</v>
      </c>
    </row>
    <row r="1652">
      <c r="A1652" s="20">
        <f>IFERROR(__xludf.DUMMYFUNCTION("""COMPUTED_VALUE"""),1795.0)</f>
        <v>1795</v>
      </c>
      <c r="B1652" s="20" t="str">
        <f>IFERROR(__xludf.DUMMYFUNCTION("""COMPUTED_VALUE"""),"Hopper Company Queries III")</f>
        <v>Hopper Company Queries III</v>
      </c>
      <c r="C1652" s="20" t="str">
        <f>IFERROR(__xludf.DUMMYFUNCTION("""COMPUTED_VALUE"""),"hopper-company-queries-iii")</f>
        <v>hopper-company-queries-iii</v>
      </c>
      <c r="D1652" s="20" t="b">
        <f>IFERROR(__xludf.DUMMYFUNCTION("""COMPUTED_VALUE"""),TRUE)</f>
        <v>1</v>
      </c>
      <c r="E1652" s="20" t="str">
        <f>IFERROR(__xludf.DUMMYFUNCTION("""COMPUTED_VALUE"""),"Hard")</f>
        <v>Hard</v>
      </c>
      <c r="F1652" s="20">
        <f>IFERROR(__xludf.DUMMYFUNCTION("""COMPUTED_VALUE"""),23.0)</f>
        <v>23</v>
      </c>
      <c r="G1652" s="20">
        <f>IFERROR(__xludf.DUMMYFUNCTION("""COMPUTED_VALUE"""),53.0)</f>
        <v>53</v>
      </c>
      <c r="H1652" s="20" t="str">
        <f>IFERROR(__xludf.DUMMYFUNCTION("""COMPUTED_VALUE"""),"Database")</f>
        <v>Database</v>
      </c>
      <c r="I1652" s="20">
        <f>IFERROR(__xludf.DUMMYFUNCTION("""COMPUTED_VALUE"""),0.68)</f>
        <v>0.68</v>
      </c>
      <c r="J1652" s="20">
        <f>IFERROR(__xludf.DUMMYFUNCTION("""COMPUTED_VALUE"""),1651.0)</f>
        <v>1651</v>
      </c>
      <c r="K1652" s="20" t="b">
        <f>IFERROR(__xludf.DUMMYFUNCTION("""COMPUTED_VALUE"""),TRUE)</f>
        <v>1</v>
      </c>
      <c r="L1652" s="20" t="str">
        <f>IFERROR(__xludf.DUMMYFUNCTION("""COMPUTED_VALUE"""),"Database;")</f>
        <v>Database;</v>
      </c>
      <c r="M1652" s="20" t="b">
        <f>IFERROR(__xludf.DUMMYFUNCTION("""COMPUTED_VALUE"""),FALSE)</f>
        <v>0</v>
      </c>
      <c r="N1652" s="20" t="b">
        <f>IFERROR(__xludf.DUMMYFUNCTION("""COMPUTED_VALUE"""),FALSE)</f>
        <v>0</v>
      </c>
      <c r="O1652" s="20">
        <f>IFERROR(__xludf.DUMMYFUNCTION("""COMPUTED_VALUE"""),68.009768009768)</f>
        <v>68.00976801</v>
      </c>
      <c r="P1652" s="20">
        <f>IFERROR(__xludf.DUMMYFUNCTION("""COMPUTED_VALUE"""),5012.0)</f>
        <v>5012</v>
      </c>
      <c r="Q1652" s="20">
        <f>IFERROR(__xludf.DUMMYFUNCTION("""COMPUTED_VALUE"""),7370.0)</f>
        <v>7370</v>
      </c>
    </row>
    <row r="1653">
      <c r="A1653" s="20">
        <f>IFERROR(__xludf.DUMMYFUNCTION("""COMPUTED_VALUE"""),1755.0)</f>
        <v>1755</v>
      </c>
      <c r="B1653" s="20" t="str">
        <f>IFERROR(__xludf.DUMMYFUNCTION("""COMPUTED_VALUE"""),"Defuse the Bomb")</f>
        <v>Defuse the Bomb</v>
      </c>
      <c r="C1653" s="20" t="str">
        <f>IFERROR(__xludf.DUMMYFUNCTION("""COMPUTED_VALUE"""),"defuse-the-bomb")</f>
        <v>defuse-the-bomb</v>
      </c>
      <c r="D1653" s="20" t="b">
        <f>IFERROR(__xludf.DUMMYFUNCTION("""COMPUTED_VALUE"""),FALSE)</f>
        <v>0</v>
      </c>
      <c r="E1653" s="20" t="str">
        <f>IFERROR(__xludf.DUMMYFUNCTION("""COMPUTED_VALUE"""),"Easy")</f>
        <v>Easy</v>
      </c>
      <c r="F1653" s="20">
        <f>IFERROR(__xludf.DUMMYFUNCTION("""COMPUTED_VALUE"""),535.0)</f>
        <v>535</v>
      </c>
      <c r="G1653" s="20">
        <f>IFERROR(__xludf.DUMMYFUNCTION("""COMPUTED_VALUE"""),52.0)</f>
        <v>52</v>
      </c>
      <c r="H1653" s="20" t="str">
        <f>IFERROR(__xludf.DUMMYFUNCTION("""COMPUTED_VALUE"""),"Algorithms")</f>
        <v>Algorithms</v>
      </c>
      <c r="I1653" s="20">
        <f>IFERROR(__xludf.DUMMYFUNCTION("""COMPUTED_VALUE"""),0.614)</f>
        <v>0.614</v>
      </c>
      <c r="J1653" s="20">
        <f>IFERROR(__xludf.DUMMYFUNCTION("""COMPUTED_VALUE"""),1652.0)</f>
        <v>1652</v>
      </c>
      <c r="K1653" s="20" t="b">
        <f>IFERROR(__xludf.DUMMYFUNCTION("""COMPUTED_VALUE"""),FALSE)</f>
        <v>0</v>
      </c>
      <c r="L1653" s="20" t="str">
        <f>IFERROR(__xludf.DUMMYFUNCTION("""COMPUTED_VALUE"""),"Array;")</f>
        <v>Array;</v>
      </c>
      <c r="M1653" s="20" t="b">
        <f>IFERROR(__xludf.DUMMYFUNCTION("""COMPUTED_VALUE"""),FALSE)</f>
        <v>0</v>
      </c>
      <c r="N1653" s="20" t="b">
        <f>IFERROR(__xludf.DUMMYFUNCTION("""COMPUTED_VALUE"""),FALSE)</f>
        <v>0</v>
      </c>
      <c r="O1653" s="20">
        <f>IFERROR(__xludf.DUMMYFUNCTION("""COMPUTED_VALUE"""),61.3596720739577)</f>
        <v>61.35967207</v>
      </c>
      <c r="P1653" s="20">
        <f>IFERROR(__xludf.DUMMYFUNCTION("""COMPUTED_VALUE"""),28142.0)</f>
        <v>28142</v>
      </c>
      <c r="Q1653" s="20">
        <f>IFERROR(__xludf.DUMMYFUNCTION("""COMPUTED_VALUE"""),45864.0)</f>
        <v>45864</v>
      </c>
    </row>
    <row r="1654">
      <c r="A1654" s="20">
        <f>IFERROR(__xludf.DUMMYFUNCTION("""COMPUTED_VALUE"""),1756.0)</f>
        <v>1756</v>
      </c>
      <c r="B1654" s="20" t="str">
        <f>IFERROR(__xludf.DUMMYFUNCTION("""COMPUTED_VALUE"""),"Minimum Deletions to Make String Balanced")</f>
        <v>Minimum Deletions to Make String Balanced</v>
      </c>
      <c r="C1654" s="20" t="str">
        <f>IFERROR(__xludf.DUMMYFUNCTION("""COMPUTED_VALUE"""),"minimum-deletions-to-make-string-balanced")</f>
        <v>minimum-deletions-to-make-string-balanced</v>
      </c>
      <c r="D1654" s="20" t="b">
        <f>IFERROR(__xludf.DUMMYFUNCTION("""COMPUTED_VALUE"""),FALSE)</f>
        <v>0</v>
      </c>
      <c r="E1654" s="20" t="str">
        <f>IFERROR(__xludf.DUMMYFUNCTION("""COMPUTED_VALUE"""),"Medium")</f>
        <v>Medium</v>
      </c>
      <c r="F1654" s="20">
        <f>IFERROR(__xludf.DUMMYFUNCTION("""COMPUTED_VALUE"""),1018.0)</f>
        <v>1018</v>
      </c>
      <c r="G1654" s="20">
        <f>IFERROR(__xludf.DUMMYFUNCTION("""COMPUTED_VALUE"""),28.0)</f>
        <v>28</v>
      </c>
      <c r="H1654" s="20" t="str">
        <f>IFERROR(__xludf.DUMMYFUNCTION("""COMPUTED_VALUE"""),"Algorithms")</f>
        <v>Algorithms</v>
      </c>
      <c r="I1654" s="20">
        <f>IFERROR(__xludf.DUMMYFUNCTION("""COMPUTED_VALUE"""),0.589)</f>
        <v>0.589</v>
      </c>
      <c r="J1654" s="20">
        <f>IFERROR(__xludf.DUMMYFUNCTION("""COMPUTED_VALUE"""),1653.0)</f>
        <v>1653</v>
      </c>
      <c r="K1654" s="20" t="b">
        <f>IFERROR(__xludf.DUMMYFUNCTION("""COMPUTED_VALUE"""),FALSE)</f>
        <v>0</v>
      </c>
      <c r="L1654" s="20" t="str">
        <f>IFERROR(__xludf.DUMMYFUNCTION("""COMPUTED_VALUE"""),"String;Dynamic Programming;Stack;")</f>
        <v>String;Dynamic Programming;Stack;</v>
      </c>
      <c r="M1654" s="20" t="b">
        <f>IFERROR(__xludf.DUMMYFUNCTION("""COMPUTED_VALUE"""),FALSE)</f>
        <v>0</v>
      </c>
      <c r="N1654" s="20" t="b">
        <f>IFERROR(__xludf.DUMMYFUNCTION("""COMPUTED_VALUE"""),FALSE)</f>
        <v>0</v>
      </c>
      <c r="O1654" s="20">
        <f>IFERROR(__xludf.DUMMYFUNCTION("""COMPUTED_VALUE"""),58.9138513194876)</f>
        <v>58.91385132</v>
      </c>
      <c r="P1654" s="20">
        <f>IFERROR(__xludf.DUMMYFUNCTION("""COMPUTED_VALUE"""),31232.0)</f>
        <v>31232</v>
      </c>
      <c r="Q1654" s="20">
        <f>IFERROR(__xludf.DUMMYFUNCTION("""COMPUTED_VALUE"""),53013.0)</f>
        <v>53013</v>
      </c>
    </row>
    <row r="1655">
      <c r="A1655" s="20">
        <f>IFERROR(__xludf.DUMMYFUNCTION("""COMPUTED_VALUE"""),1757.0)</f>
        <v>1757</v>
      </c>
      <c r="B1655" s="20" t="str">
        <f>IFERROR(__xludf.DUMMYFUNCTION("""COMPUTED_VALUE"""),"Minimum Jumps to Reach Home")</f>
        <v>Minimum Jumps to Reach Home</v>
      </c>
      <c r="C1655" s="20" t="str">
        <f>IFERROR(__xludf.DUMMYFUNCTION("""COMPUTED_VALUE"""),"minimum-jumps-to-reach-home")</f>
        <v>minimum-jumps-to-reach-home</v>
      </c>
      <c r="D1655" s="20" t="b">
        <f>IFERROR(__xludf.DUMMYFUNCTION("""COMPUTED_VALUE"""),FALSE)</f>
        <v>0</v>
      </c>
      <c r="E1655" s="20" t="str">
        <f>IFERROR(__xludf.DUMMYFUNCTION("""COMPUTED_VALUE"""),"Medium")</f>
        <v>Medium</v>
      </c>
      <c r="F1655" s="20">
        <f>IFERROR(__xludf.DUMMYFUNCTION("""COMPUTED_VALUE"""),1186.0)</f>
        <v>1186</v>
      </c>
      <c r="G1655" s="20">
        <f>IFERROR(__xludf.DUMMYFUNCTION("""COMPUTED_VALUE"""),222.0)</f>
        <v>222</v>
      </c>
      <c r="H1655" s="20" t="str">
        <f>IFERROR(__xludf.DUMMYFUNCTION("""COMPUTED_VALUE"""),"Algorithms")</f>
        <v>Algorithms</v>
      </c>
      <c r="I1655" s="20">
        <f>IFERROR(__xludf.DUMMYFUNCTION("""COMPUTED_VALUE"""),0.288)</f>
        <v>0.288</v>
      </c>
      <c r="J1655" s="20">
        <f>IFERROR(__xludf.DUMMYFUNCTION("""COMPUTED_VALUE"""),1654.0)</f>
        <v>1654</v>
      </c>
      <c r="K1655" s="20" t="b">
        <f>IFERROR(__xludf.DUMMYFUNCTION("""COMPUTED_VALUE"""),FALSE)</f>
        <v>0</v>
      </c>
      <c r="L1655" s="20" t="str">
        <f>IFERROR(__xludf.DUMMYFUNCTION("""COMPUTED_VALUE"""),"Array;Dynamic Programming;Breadth-First Search;")</f>
        <v>Array;Dynamic Programming;Breadth-First Search;</v>
      </c>
      <c r="M1655" s="20" t="b">
        <f>IFERROR(__xludf.DUMMYFUNCTION("""COMPUTED_VALUE"""),FALSE)</f>
        <v>0</v>
      </c>
      <c r="N1655" s="20" t="b">
        <f>IFERROR(__xludf.DUMMYFUNCTION("""COMPUTED_VALUE"""),FALSE)</f>
        <v>0</v>
      </c>
      <c r="O1655" s="20">
        <f>IFERROR(__xludf.DUMMYFUNCTION("""COMPUTED_VALUE"""),28.7664619263471)</f>
        <v>28.76646193</v>
      </c>
      <c r="P1655" s="20">
        <f>IFERROR(__xludf.DUMMYFUNCTION("""COMPUTED_VALUE"""),32175.0)</f>
        <v>32175</v>
      </c>
      <c r="Q1655" s="20">
        <f>IFERROR(__xludf.DUMMYFUNCTION("""COMPUTED_VALUE"""),111849.0)</f>
        <v>111849</v>
      </c>
    </row>
    <row r="1656">
      <c r="A1656" s="20">
        <f>IFERROR(__xludf.DUMMYFUNCTION("""COMPUTED_VALUE"""),1758.0)</f>
        <v>1758</v>
      </c>
      <c r="B1656" s="20" t="str">
        <f>IFERROR(__xludf.DUMMYFUNCTION("""COMPUTED_VALUE"""),"Distribute Repeating Integers")</f>
        <v>Distribute Repeating Integers</v>
      </c>
      <c r="C1656" s="20" t="str">
        <f>IFERROR(__xludf.DUMMYFUNCTION("""COMPUTED_VALUE"""),"distribute-repeating-integers")</f>
        <v>distribute-repeating-integers</v>
      </c>
      <c r="D1656" s="20" t="b">
        <f>IFERROR(__xludf.DUMMYFUNCTION("""COMPUTED_VALUE"""),FALSE)</f>
        <v>0</v>
      </c>
      <c r="E1656" s="20" t="str">
        <f>IFERROR(__xludf.DUMMYFUNCTION("""COMPUTED_VALUE"""),"Hard")</f>
        <v>Hard</v>
      </c>
      <c r="F1656" s="20">
        <f>IFERROR(__xludf.DUMMYFUNCTION("""COMPUTED_VALUE"""),283.0)</f>
        <v>283</v>
      </c>
      <c r="G1656" s="20">
        <f>IFERROR(__xludf.DUMMYFUNCTION("""COMPUTED_VALUE"""),18.0)</f>
        <v>18</v>
      </c>
      <c r="H1656" s="20" t="str">
        <f>IFERROR(__xludf.DUMMYFUNCTION("""COMPUTED_VALUE"""),"Algorithms")</f>
        <v>Algorithms</v>
      </c>
      <c r="I1656" s="20">
        <f>IFERROR(__xludf.DUMMYFUNCTION("""COMPUTED_VALUE"""),0.39)</f>
        <v>0.39</v>
      </c>
      <c r="J1656" s="20">
        <f>IFERROR(__xludf.DUMMYFUNCTION("""COMPUTED_VALUE"""),1655.0)</f>
        <v>1655</v>
      </c>
      <c r="K1656" s="20" t="b">
        <f>IFERROR(__xludf.DUMMYFUNCTION("""COMPUTED_VALUE"""),FALSE)</f>
        <v>0</v>
      </c>
      <c r="L1656" s="20" t="str">
        <f>IFERROR(__xludf.DUMMYFUNCTION("""COMPUTED_VALUE"""),"Array;Dynamic Programming;Backtracking;Bit Manipulation;Bitmask;")</f>
        <v>Array;Dynamic Programming;Backtracking;Bit Manipulation;Bitmask;</v>
      </c>
      <c r="M1656" s="20" t="b">
        <f>IFERROR(__xludf.DUMMYFUNCTION("""COMPUTED_VALUE"""),FALSE)</f>
        <v>0</v>
      </c>
      <c r="N1656" s="20" t="b">
        <f>IFERROR(__xludf.DUMMYFUNCTION("""COMPUTED_VALUE"""),FALSE)</f>
        <v>0</v>
      </c>
      <c r="O1656" s="20">
        <f>IFERROR(__xludf.DUMMYFUNCTION("""COMPUTED_VALUE"""),39.0424401013983)</f>
        <v>39.0424401</v>
      </c>
      <c r="P1656" s="20">
        <f>IFERROR(__xludf.DUMMYFUNCTION("""COMPUTED_VALUE"""),9549.0)</f>
        <v>9549</v>
      </c>
      <c r="Q1656" s="20">
        <f>IFERROR(__xludf.DUMMYFUNCTION("""COMPUTED_VALUE"""),24456.0)</f>
        <v>24456</v>
      </c>
    </row>
    <row r="1657">
      <c r="A1657" s="20">
        <f>IFERROR(__xludf.DUMMYFUNCTION("""COMPUTED_VALUE"""),1775.0)</f>
        <v>1775</v>
      </c>
      <c r="B1657" s="20" t="str">
        <f>IFERROR(__xludf.DUMMYFUNCTION("""COMPUTED_VALUE"""),"Design an Ordered Stream")</f>
        <v>Design an Ordered Stream</v>
      </c>
      <c r="C1657" s="20" t="str">
        <f>IFERROR(__xludf.DUMMYFUNCTION("""COMPUTED_VALUE"""),"design-an-ordered-stream")</f>
        <v>design-an-ordered-stream</v>
      </c>
      <c r="D1657" s="20" t="b">
        <f>IFERROR(__xludf.DUMMYFUNCTION("""COMPUTED_VALUE"""),FALSE)</f>
        <v>0</v>
      </c>
      <c r="E1657" s="20" t="str">
        <f>IFERROR(__xludf.DUMMYFUNCTION("""COMPUTED_VALUE"""),"Easy")</f>
        <v>Easy</v>
      </c>
      <c r="F1657" s="20">
        <f>IFERROR(__xludf.DUMMYFUNCTION("""COMPUTED_VALUE"""),350.0)</f>
        <v>350</v>
      </c>
      <c r="G1657" s="20">
        <f>IFERROR(__xludf.DUMMYFUNCTION("""COMPUTED_VALUE"""),2583.0)</f>
        <v>2583</v>
      </c>
      <c r="H1657" s="20" t="str">
        <f>IFERROR(__xludf.DUMMYFUNCTION("""COMPUTED_VALUE"""),"Algorithms")</f>
        <v>Algorithms</v>
      </c>
      <c r="I1657" s="20">
        <f>IFERROR(__xludf.DUMMYFUNCTION("""COMPUTED_VALUE"""),0.854)</f>
        <v>0.854</v>
      </c>
      <c r="J1657" s="20">
        <f>IFERROR(__xludf.DUMMYFUNCTION("""COMPUTED_VALUE"""),1656.0)</f>
        <v>1656</v>
      </c>
      <c r="K1657" s="20" t="b">
        <f>IFERROR(__xludf.DUMMYFUNCTION("""COMPUTED_VALUE"""),FALSE)</f>
        <v>0</v>
      </c>
      <c r="L1657" s="20" t="str">
        <f>IFERROR(__xludf.DUMMYFUNCTION("""COMPUTED_VALUE"""),"Array;Hash Table;Design;Data Stream;")</f>
        <v>Array;Hash Table;Design;Data Stream;</v>
      </c>
      <c r="M1657" s="20" t="b">
        <f>IFERROR(__xludf.DUMMYFUNCTION("""COMPUTED_VALUE"""),FALSE)</f>
        <v>0</v>
      </c>
      <c r="N1657" s="20" t="b">
        <f>IFERROR(__xludf.DUMMYFUNCTION("""COMPUTED_VALUE"""),FALSE)</f>
        <v>0</v>
      </c>
      <c r="O1657" s="20">
        <f>IFERROR(__xludf.DUMMYFUNCTION("""COMPUTED_VALUE"""),85.4379733835423)</f>
        <v>85.43797338</v>
      </c>
      <c r="P1657" s="20">
        <f>IFERROR(__xludf.DUMMYFUNCTION("""COMPUTED_VALUE"""),59897.0)</f>
        <v>59897</v>
      </c>
      <c r="Q1657" s="20">
        <f>IFERROR(__xludf.DUMMYFUNCTION("""COMPUTED_VALUE"""),70105.0)</f>
        <v>70105</v>
      </c>
    </row>
    <row r="1658">
      <c r="A1658" s="20">
        <f>IFERROR(__xludf.DUMMYFUNCTION("""COMPUTED_VALUE"""),1777.0)</f>
        <v>1777</v>
      </c>
      <c r="B1658" s="20" t="str">
        <f>IFERROR(__xludf.DUMMYFUNCTION("""COMPUTED_VALUE"""),"Determine if Two Strings Are Close")</f>
        <v>Determine if Two Strings Are Close</v>
      </c>
      <c r="C1658" s="20" t="str">
        <f>IFERROR(__xludf.DUMMYFUNCTION("""COMPUTED_VALUE"""),"determine-if-two-strings-are-close")</f>
        <v>determine-if-two-strings-are-close</v>
      </c>
      <c r="D1658" s="20" t="b">
        <f>IFERROR(__xludf.DUMMYFUNCTION("""COMPUTED_VALUE"""),FALSE)</f>
        <v>0</v>
      </c>
      <c r="E1658" s="20" t="str">
        <f>IFERROR(__xludf.DUMMYFUNCTION("""COMPUTED_VALUE"""),"Medium")</f>
        <v>Medium</v>
      </c>
      <c r="F1658" s="20">
        <f>IFERROR(__xludf.DUMMYFUNCTION("""COMPUTED_VALUE"""),2073.0)</f>
        <v>2073</v>
      </c>
      <c r="G1658" s="20">
        <f>IFERROR(__xludf.DUMMYFUNCTION("""COMPUTED_VALUE"""),94.0)</f>
        <v>94</v>
      </c>
      <c r="H1658" s="20" t="str">
        <f>IFERROR(__xludf.DUMMYFUNCTION("""COMPUTED_VALUE"""),"Algorithms")</f>
        <v>Algorithms</v>
      </c>
      <c r="I1658" s="20">
        <f>IFERROR(__xludf.DUMMYFUNCTION("""COMPUTED_VALUE"""),0.564)</f>
        <v>0.564</v>
      </c>
      <c r="J1658" s="20">
        <f>IFERROR(__xludf.DUMMYFUNCTION("""COMPUTED_VALUE"""),1657.0)</f>
        <v>1657</v>
      </c>
      <c r="K1658" s="20" t="b">
        <f>IFERROR(__xludf.DUMMYFUNCTION("""COMPUTED_VALUE"""),FALSE)</f>
        <v>0</v>
      </c>
      <c r="L1658" s="20" t="str">
        <f>IFERROR(__xludf.DUMMYFUNCTION("""COMPUTED_VALUE"""),"Hash Table;String;Sorting;")</f>
        <v>Hash Table;String;Sorting;</v>
      </c>
      <c r="M1658" s="20" t="b">
        <f>IFERROR(__xludf.DUMMYFUNCTION("""COMPUTED_VALUE"""),TRUE)</f>
        <v>1</v>
      </c>
      <c r="N1658" s="20" t="b">
        <f>IFERROR(__xludf.DUMMYFUNCTION("""COMPUTED_VALUE"""),FALSE)</f>
        <v>0</v>
      </c>
      <c r="O1658" s="20">
        <f>IFERROR(__xludf.DUMMYFUNCTION("""COMPUTED_VALUE"""),56.4125089783965)</f>
        <v>56.41250898</v>
      </c>
      <c r="P1658" s="20">
        <f>IFERROR(__xludf.DUMMYFUNCTION("""COMPUTED_VALUE"""),102101.0)</f>
        <v>102101</v>
      </c>
      <c r="Q1658" s="20">
        <f>IFERROR(__xludf.DUMMYFUNCTION("""COMPUTED_VALUE"""),180990.0)</f>
        <v>180990</v>
      </c>
    </row>
    <row r="1659">
      <c r="A1659" s="20">
        <f>IFERROR(__xludf.DUMMYFUNCTION("""COMPUTED_VALUE"""),1776.0)</f>
        <v>1776</v>
      </c>
      <c r="B1659" s="20" t="str">
        <f>IFERROR(__xludf.DUMMYFUNCTION("""COMPUTED_VALUE"""),"Minimum Operations to Reduce X to Zero")</f>
        <v>Minimum Operations to Reduce X to Zero</v>
      </c>
      <c r="C1659" s="20" t="str">
        <f>IFERROR(__xludf.DUMMYFUNCTION("""COMPUTED_VALUE"""),"minimum-operations-to-reduce-x-to-zero")</f>
        <v>minimum-operations-to-reduce-x-to-zero</v>
      </c>
      <c r="D1659" s="20" t="b">
        <f>IFERROR(__xludf.DUMMYFUNCTION("""COMPUTED_VALUE"""),FALSE)</f>
        <v>0</v>
      </c>
      <c r="E1659" s="20" t="str">
        <f>IFERROR(__xludf.DUMMYFUNCTION("""COMPUTED_VALUE"""),"Medium")</f>
        <v>Medium</v>
      </c>
      <c r="F1659" s="20">
        <f>IFERROR(__xludf.DUMMYFUNCTION("""COMPUTED_VALUE"""),3797.0)</f>
        <v>3797</v>
      </c>
      <c r="G1659" s="20">
        <f>IFERROR(__xludf.DUMMYFUNCTION("""COMPUTED_VALUE"""),80.0)</f>
        <v>80</v>
      </c>
      <c r="H1659" s="20" t="str">
        <f>IFERROR(__xludf.DUMMYFUNCTION("""COMPUTED_VALUE"""),"Algorithms")</f>
        <v>Algorithms</v>
      </c>
      <c r="I1659" s="20">
        <f>IFERROR(__xludf.DUMMYFUNCTION("""COMPUTED_VALUE"""),0.376)</f>
        <v>0.376</v>
      </c>
      <c r="J1659" s="20">
        <f>IFERROR(__xludf.DUMMYFUNCTION("""COMPUTED_VALUE"""),1658.0)</f>
        <v>1658</v>
      </c>
      <c r="K1659" s="20" t="b">
        <f>IFERROR(__xludf.DUMMYFUNCTION("""COMPUTED_VALUE"""),FALSE)</f>
        <v>0</v>
      </c>
      <c r="L1659" s="20" t="str">
        <f>IFERROR(__xludf.DUMMYFUNCTION("""COMPUTED_VALUE"""),"Array;Hash Table;Binary Search;Sliding Window;Prefix Sum;")</f>
        <v>Array;Hash Table;Binary Search;Sliding Window;Prefix Sum;</v>
      </c>
      <c r="M1659" s="20" t="b">
        <f>IFERROR(__xludf.DUMMYFUNCTION("""COMPUTED_VALUE"""),TRUE)</f>
        <v>1</v>
      </c>
      <c r="N1659" s="20" t="b">
        <f>IFERROR(__xludf.DUMMYFUNCTION("""COMPUTED_VALUE"""),FALSE)</f>
        <v>0</v>
      </c>
      <c r="O1659" s="20">
        <f>IFERROR(__xludf.DUMMYFUNCTION("""COMPUTED_VALUE"""),37.5931385310321)</f>
        <v>37.59313853</v>
      </c>
      <c r="P1659" s="20">
        <f>IFERROR(__xludf.DUMMYFUNCTION("""COMPUTED_VALUE"""),106860.0)</f>
        <v>106860</v>
      </c>
      <c r="Q1659" s="20">
        <f>IFERROR(__xludf.DUMMYFUNCTION("""COMPUTED_VALUE"""),284253.0)</f>
        <v>284253</v>
      </c>
    </row>
    <row r="1660">
      <c r="A1660" s="20">
        <f>IFERROR(__xludf.DUMMYFUNCTION("""COMPUTED_VALUE"""),1778.0)</f>
        <v>1778</v>
      </c>
      <c r="B1660" s="20" t="str">
        <f>IFERROR(__xludf.DUMMYFUNCTION("""COMPUTED_VALUE"""),"Maximize Grid Happiness")</f>
        <v>Maximize Grid Happiness</v>
      </c>
      <c r="C1660" s="20" t="str">
        <f>IFERROR(__xludf.DUMMYFUNCTION("""COMPUTED_VALUE"""),"maximize-grid-happiness")</f>
        <v>maximize-grid-happiness</v>
      </c>
      <c r="D1660" s="20" t="b">
        <f>IFERROR(__xludf.DUMMYFUNCTION("""COMPUTED_VALUE"""),FALSE)</f>
        <v>0</v>
      </c>
      <c r="E1660" s="20" t="str">
        <f>IFERROR(__xludf.DUMMYFUNCTION("""COMPUTED_VALUE"""),"Hard")</f>
        <v>Hard</v>
      </c>
      <c r="F1660" s="20">
        <f>IFERROR(__xludf.DUMMYFUNCTION("""COMPUTED_VALUE"""),270.0)</f>
        <v>270</v>
      </c>
      <c r="G1660" s="20">
        <f>IFERROR(__xludf.DUMMYFUNCTION("""COMPUTED_VALUE"""),47.0)</f>
        <v>47</v>
      </c>
      <c r="H1660" s="20" t="str">
        <f>IFERROR(__xludf.DUMMYFUNCTION("""COMPUTED_VALUE"""),"Algorithms")</f>
        <v>Algorithms</v>
      </c>
      <c r="I1660" s="20">
        <f>IFERROR(__xludf.DUMMYFUNCTION("""COMPUTED_VALUE"""),0.383)</f>
        <v>0.383</v>
      </c>
      <c r="J1660" s="20">
        <f>IFERROR(__xludf.DUMMYFUNCTION("""COMPUTED_VALUE"""),1659.0)</f>
        <v>1659</v>
      </c>
      <c r="K1660" s="20" t="b">
        <f>IFERROR(__xludf.DUMMYFUNCTION("""COMPUTED_VALUE"""),FALSE)</f>
        <v>0</v>
      </c>
      <c r="L1660" s="20" t="str">
        <f>IFERROR(__xludf.DUMMYFUNCTION("""COMPUTED_VALUE"""),"Dynamic Programming;Bit Manipulation;Memoization;Bitmask;")</f>
        <v>Dynamic Programming;Bit Manipulation;Memoization;Bitmask;</v>
      </c>
      <c r="M1660" s="20" t="b">
        <f>IFERROR(__xludf.DUMMYFUNCTION("""COMPUTED_VALUE"""),FALSE)</f>
        <v>0</v>
      </c>
      <c r="N1660" s="20" t="b">
        <f>IFERROR(__xludf.DUMMYFUNCTION("""COMPUTED_VALUE"""),FALSE)</f>
        <v>0</v>
      </c>
      <c r="O1660" s="20">
        <f>IFERROR(__xludf.DUMMYFUNCTION("""COMPUTED_VALUE"""),38.2731958762886)</f>
        <v>38.27319588</v>
      </c>
      <c r="P1660" s="20">
        <f>IFERROR(__xludf.DUMMYFUNCTION("""COMPUTED_VALUE"""),4158.0)</f>
        <v>4158</v>
      </c>
      <c r="Q1660" s="20">
        <f>IFERROR(__xludf.DUMMYFUNCTION("""COMPUTED_VALUE"""),10864.0)</f>
        <v>10864</v>
      </c>
    </row>
    <row r="1661">
      <c r="A1661" s="20">
        <f>IFERROR(__xludf.DUMMYFUNCTION("""COMPUTED_VALUE"""),1796.0)</f>
        <v>1796</v>
      </c>
      <c r="B1661" s="20" t="str">
        <f>IFERROR(__xludf.DUMMYFUNCTION("""COMPUTED_VALUE"""),"Correct a Binary Tree")</f>
        <v>Correct a Binary Tree</v>
      </c>
      <c r="C1661" s="20" t="str">
        <f>IFERROR(__xludf.DUMMYFUNCTION("""COMPUTED_VALUE"""),"correct-a-binary-tree")</f>
        <v>correct-a-binary-tree</v>
      </c>
      <c r="D1661" s="20" t="b">
        <f>IFERROR(__xludf.DUMMYFUNCTION("""COMPUTED_VALUE"""),TRUE)</f>
        <v>1</v>
      </c>
      <c r="E1661" s="20" t="str">
        <f>IFERROR(__xludf.DUMMYFUNCTION("""COMPUTED_VALUE"""),"Medium")</f>
        <v>Medium</v>
      </c>
      <c r="F1661" s="20">
        <f>IFERROR(__xludf.DUMMYFUNCTION("""COMPUTED_VALUE"""),199.0)</f>
        <v>199</v>
      </c>
      <c r="G1661" s="20">
        <f>IFERROR(__xludf.DUMMYFUNCTION("""COMPUTED_VALUE"""),30.0)</f>
        <v>30</v>
      </c>
      <c r="H1661" s="20" t="str">
        <f>IFERROR(__xludf.DUMMYFUNCTION("""COMPUTED_VALUE"""),"Algorithms")</f>
        <v>Algorithms</v>
      </c>
      <c r="I1661" s="20">
        <f>IFERROR(__xludf.DUMMYFUNCTION("""COMPUTED_VALUE"""),0.724)</f>
        <v>0.724</v>
      </c>
      <c r="J1661" s="20">
        <f>IFERROR(__xludf.DUMMYFUNCTION("""COMPUTED_VALUE"""),1660.0)</f>
        <v>1660</v>
      </c>
      <c r="K1661" s="20" t="b">
        <f>IFERROR(__xludf.DUMMYFUNCTION("""COMPUTED_VALUE"""),TRUE)</f>
        <v>1</v>
      </c>
      <c r="L1661" s="20" t="str">
        <f>IFERROR(__xludf.DUMMYFUNCTION("""COMPUTED_VALUE"""),"Hash Table;Tree;Depth-First Search;Breadth-First Search;Binary Tree;")</f>
        <v>Hash Table;Tree;Depth-First Search;Breadth-First Search;Binary Tree;</v>
      </c>
      <c r="M1661" s="20" t="b">
        <f>IFERROR(__xludf.DUMMYFUNCTION("""COMPUTED_VALUE"""),FALSE)</f>
        <v>0</v>
      </c>
      <c r="N1661" s="20" t="b">
        <f>IFERROR(__xludf.DUMMYFUNCTION("""COMPUTED_VALUE"""),FALSE)</f>
        <v>0</v>
      </c>
      <c r="O1661" s="20">
        <f>IFERROR(__xludf.DUMMYFUNCTION("""COMPUTED_VALUE"""),72.4389174975347)</f>
        <v>72.4389175</v>
      </c>
      <c r="P1661" s="20">
        <f>IFERROR(__xludf.DUMMYFUNCTION("""COMPUTED_VALUE"""),13223.0)</f>
        <v>13223</v>
      </c>
      <c r="Q1661" s="20">
        <f>IFERROR(__xludf.DUMMYFUNCTION("""COMPUTED_VALUE"""),18254.0)</f>
        <v>18254</v>
      </c>
    </row>
    <row r="1662">
      <c r="A1662" s="20">
        <f>IFERROR(__xludf.DUMMYFUNCTION("""COMPUTED_VALUE"""),1801.0)</f>
        <v>1801</v>
      </c>
      <c r="B1662" s="20" t="str">
        <f>IFERROR(__xludf.DUMMYFUNCTION("""COMPUTED_VALUE"""),"Average Time of Process per Machine")</f>
        <v>Average Time of Process per Machine</v>
      </c>
      <c r="C1662" s="20" t="str">
        <f>IFERROR(__xludf.DUMMYFUNCTION("""COMPUTED_VALUE"""),"average-time-of-process-per-machine")</f>
        <v>average-time-of-process-per-machine</v>
      </c>
      <c r="D1662" s="20" t="b">
        <f>IFERROR(__xludf.DUMMYFUNCTION("""COMPUTED_VALUE"""),TRUE)</f>
        <v>1</v>
      </c>
      <c r="E1662" s="20" t="str">
        <f>IFERROR(__xludf.DUMMYFUNCTION("""COMPUTED_VALUE"""),"Easy")</f>
        <v>Easy</v>
      </c>
      <c r="F1662" s="20">
        <f>IFERROR(__xludf.DUMMYFUNCTION("""COMPUTED_VALUE"""),109.0)</f>
        <v>109</v>
      </c>
      <c r="G1662" s="20">
        <f>IFERROR(__xludf.DUMMYFUNCTION("""COMPUTED_VALUE"""),20.0)</f>
        <v>20</v>
      </c>
      <c r="H1662" s="20" t="str">
        <f>IFERROR(__xludf.DUMMYFUNCTION("""COMPUTED_VALUE"""),"Database")</f>
        <v>Database</v>
      </c>
      <c r="I1662" s="20">
        <f>IFERROR(__xludf.DUMMYFUNCTION("""COMPUTED_VALUE"""),0.791)</f>
        <v>0.791</v>
      </c>
      <c r="J1662" s="20">
        <f>IFERROR(__xludf.DUMMYFUNCTION("""COMPUTED_VALUE"""),1661.0)</f>
        <v>1661</v>
      </c>
      <c r="K1662" s="20" t="b">
        <f>IFERROR(__xludf.DUMMYFUNCTION("""COMPUTED_VALUE"""),TRUE)</f>
        <v>1</v>
      </c>
      <c r="L1662" s="20" t="str">
        <f>IFERROR(__xludf.DUMMYFUNCTION("""COMPUTED_VALUE"""),"Database;")</f>
        <v>Database;</v>
      </c>
      <c r="M1662" s="20" t="b">
        <f>IFERROR(__xludf.DUMMYFUNCTION("""COMPUTED_VALUE"""),FALSE)</f>
        <v>0</v>
      </c>
      <c r="N1662" s="20" t="b">
        <f>IFERROR(__xludf.DUMMYFUNCTION("""COMPUTED_VALUE"""),FALSE)</f>
        <v>0</v>
      </c>
      <c r="O1662" s="20">
        <f>IFERROR(__xludf.DUMMYFUNCTION("""COMPUTED_VALUE"""),79.1443850267379)</f>
        <v>79.14438503</v>
      </c>
      <c r="P1662" s="20">
        <f>IFERROR(__xludf.DUMMYFUNCTION("""COMPUTED_VALUE"""),19240.0)</f>
        <v>19240</v>
      </c>
      <c r="Q1662" s="20">
        <f>IFERROR(__xludf.DUMMYFUNCTION("""COMPUTED_VALUE"""),24310.0)</f>
        <v>24310</v>
      </c>
    </row>
    <row r="1663">
      <c r="A1663" s="20">
        <f>IFERROR(__xludf.DUMMYFUNCTION("""COMPUTED_VALUE"""),1781.0)</f>
        <v>1781</v>
      </c>
      <c r="B1663" s="20" t="str">
        <f>IFERROR(__xludf.DUMMYFUNCTION("""COMPUTED_VALUE"""),"Check If Two String Arrays are Equivalent")</f>
        <v>Check If Two String Arrays are Equivalent</v>
      </c>
      <c r="C1663" s="20" t="str">
        <f>IFERROR(__xludf.DUMMYFUNCTION("""COMPUTED_VALUE"""),"check-if-two-string-arrays-are-equivalent")</f>
        <v>check-if-two-string-arrays-are-equivalent</v>
      </c>
      <c r="D1663" s="20" t="b">
        <f>IFERROR(__xludf.DUMMYFUNCTION("""COMPUTED_VALUE"""),FALSE)</f>
        <v>0</v>
      </c>
      <c r="E1663" s="20" t="str">
        <f>IFERROR(__xludf.DUMMYFUNCTION("""COMPUTED_VALUE"""),"Easy")</f>
        <v>Easy</v>
      </c>
      <c r="F1663" s="20">
        <f>IFERROR(__xludf.DUMMYFUNCTION("""COMPUTED_VALUE"""),1941.0)</f>
        <v>1941</v>
      </c>
      <c r="G1663" s="20">
        <f>IFERROR(__xludf.DUMMYFUNCTION("""COMPUTED_VALUE"""),170.0)</f>
        <v>170</v>
      </c>
      <c r="H1663" s="20" t="str">
        <f>IFERROR(__xludf.DUMMYFUNCTION("""COMPUTED_VALUE"""),"Algorithms")</f>
        <v>Algorithms</v>
      </c>
      <c r="I1663" s="20">
        <f>IFERROR(__xludf.DUMMYFUNCTION("""COMPUTED_VALUE"""),0.833)</f>
        <v>0.833</v>
      </c>
      <c r="J1663" s="20">
        <f>IFERROR(__xludf.DUMMYFUNCTION("""COMPUTED_VALUE"""),1662.0)</f>
        <v>1662</v>
      </c>
      <c r="K1663" s="20" t="b">
        <f>IFERROR(__xludf.DUMMYFUNCTION("""COMPUTED_VALUE"""),FALSE)</f>
        <v>0</v>
      </c>
      <c r="L1663" s="20" t="str">
        <f>IFERROR(__xludf.DUMMYFUNCTION("""COMPUTED_VALUE"""),"Array;String;")</f>
        <v>Array;String;</v>
      </c>
      <c r="M1663" s="20" t="b">
        <f>IFERROR(__xludf.DUMMYFUNCTION("""COMPUTED_VALUE"""),TRUE)</f>
        <v>1</v>
      </c>
      <c r="N1663" s="20" t="b">
        <f>IFERROR(__xludf.DUMMYFUNCTION("""COMPUTED_VALUE"""),FALSE)</f>
        <v>0</v>
      </c>
      <c r="O1663" s="20">
        <f>IFERROR(__xludf.DUMMYFUNCTION("""COMPUTED_VALUE"""),83.3071827346339)</f>
        <v>83.30718273</v>
      </c>
      <c r="P1663" s="20">
        <f>IFERROR(__xludf.DUMMYFUNCTION("""COMPUTED_VALUE"""),251131.0)</f>
        <v>251131</v>
      </c>
      <c r="Q1663" s="20">
        <f>IFERROR(__xludf.DUMMYFUNCTION("""COMPUTED_VALUE"""),301452.0)</f>
        <v>301452</v>
      </c>
    </row>
    <row r="1664">
      <c r="A1664" s="20">
        <f>IFERROR(__xludf.DUMMYFUNCTION("""COMPUTED_VALUE"""),1782.0)</f>
        <v>1782</v>
      </c>
      <c r="B1664" s="20" t="str">
        <f>IFERROR(__xludf.DUMMYFUNCTION("""COMPUTED_VALUE"""),"Smallest String With A Given Numeric Value")</f>
        <v>Smallest String With A Given Numeric Value</v>
      </c>
      <c r="C1664" s="20" t="str">
        <f>IFERROR(__xludf.DUMMYFUNCTION("""COMPUTED_VALUE"""),"smallest-string-with-a-given-numeric-value")</f>
        <v>smallest-string-with-a-given-numeric-value</v>
      </c>
      <c r="D1664" s="20" t="b">
        <f>IFERROR(__xludf.DUMMYFUNCTION("""COMPUTED_VALUE"""),FALSE)</f>
        <v>0</v>
      </c>
      <c r="E1664" s="20" t="str">
        <f>IFERROR(__xludf.DUMMYFUNCTION("""COMPUTED_VALUE"""),"Medium")</f>
        <v>Medium</v>
      </c>
      <c r="F1664" s="20">
        <f>IFERROR(__xludf.DUMMYFUNCTION("""COMPUTED_VALUE"""),1680.0)</f>
        <v>1680</v>
      </c>
      <c r="G1664" s="20">
        <f>IFERROR(__xludf.DUMMYFUNCTION("""COMPUTED_VALUE"""),54.0)</f>
        <v>54</v>
      </c>
      <c r="H1664" s="20" t="str">
        <f>IFERROR(__xludf.DUMMYFUNCTION("""COMPUTED_VALUE"""),"Algorithms")</f>
        <v>Algorithms</v>
      </c>
      <c r="I1664" s="20">
        <f>IFERROR(__xludf.DUMMYFUNCTION("""COMPUTED_VALUE"""),0.668)</f>
        <v>0.668</v>
      </c>
      <c r="J1664" s="20">
        <f>IFERROR(__xludf.DUMMYFUNCTION("""COMPUTED_VALUE"""),1663.0)</f>
        <v>1663</v>
      </c>
      <c r="K1664" s="20" t="b">
        <f>IFERROR(__xludf.DUMMYFUNCTION("""COMPUTED_VALUE"""),FALSE)</f>
        <v>0</v>
      </c>
      <c r="L1664" s="20" t="str">
        <f>IFERROR(__xludf.DUMMYFUNCTION("""COMPUTED_VALUE"""),"String;Greedy;")</f>
        <v>String;Greedy;</v>
      </c>
      <c r="M1664" s="20" t="b">
        <f>IFERROR(__xludf.DUMMYFUNCTION("""COMPUTED_VALUE"""),TRUE)</f>
        <v>1</v>
      </c>
      <c r="N1664" s="20" t="b">
        <f>IFERROR(__xludf.DUMMYFUNCTION("""COMPUTED_VALUE"""),FALSE)</f>
        <v>0</v>
      </c>
      <c r="O1664" s="20">
        <f>IFERROR(__xludf.DUMMYFUNCTION("""COMPUTED_VALUE"""),66.8370971141311)</f>
        <v>66.83709711</v>
      </c>
      <c r="P1664" s="20">
        <f>IFERROR(__xludf.DUMMYFUNCTION("""COMPUTED_VALUE"""),85623.0)</f>
        <v>85623</v>
      </c>
      <c r="Q1664" s="20">
        <f>IFERROR(__xludf.DUMMYFUNCTION("""COMPUTED_VALUE"""),128105.0)</f>
        <v>128105</v>
      </c>
    </row>
    <row r="1665">
      <c r="A1665" s="20">
        <f>IFERROR(__xludf.DUMMYFUNCTION("""COMPUTED_VALUE"""),1783.0)</f>
        <v>1783</v>
      </c>
      <c r="B1665" s="20" t="str">
        <f>IFERROR(__xludf.DUMMYFUNCTION("""COMPUTED_VALUE"""),"Ways to Make a Fair Array")</f>
        <v>Ways to Make a Fair Array</v>
      </c>
      <c r="C1665" s="20" t="str">
        <f>IFERROR(__xludf.DUMMYFUNCTION("""COMPUTED_VALUE"""),"ways-to-make-a-fair-array")</f>
        <v>ways-to-make-a-fair-array</v>
      </c>
      <c r="D1665" s="20" t="b">
        <f>IFERROR(__xludf.DUMMYFUNCTION("""COMPUTED_VALUE"""),FALSE)</f>
        <v>0</v>
      </c>
      <c r="E1665" s="20" t="str">
        <f>IFERROR(__xludf.DUMMYFUNCTION("""COMPUTED_VALUE"""),"Medium")</f>
        <v>Medium</v>
      </c>
      <c r="F1665" s="20">
        <f>IFERROR(__xludf.DUMMYFUNCTION("""COMPUTED_VALUE"""),1060.0)</f>
        <v>1060</v>
      </c>
      <c r="G1665" s="20">
        <f>IFERROR(__xludf.DUMMYFUNCTION("""COMPUTED_VALUE"""),30.0)</f>
        <v>30</v>
      </c>
      <c r="H1665" s="20" t="str">
        <f>IFERROR(__xludf.DUMMYFUNCTION("""COMPUTED_VALUE"""),"Algorithms")</f>
        <v>Algorithms</v>
      </c>
      <c r="I1665" s="20">
        <f>IFERROR(__xludf.DUMMYFUNCTION("""COMPUTED_VALUE"""),0.633)</f>
        <v>0.633</v>
      </c>
      <c r="J1665" s="20">
        <f>IFERROR(__xludf.DUMMYFUNCTION("""COMPUTED_VALUE"""),1664.0)</f>
        <v>1664</v>
      </c>
      <c r="K1665" s="20" t="b">
        <f>IFERROR(__xludf.DUMMYFUNCTION("""COMPUTED_VALUE"""),FALSE)</f>
        <v>0</v>
      </c>
      <c r="L1665" s="20" t="str">
        <f>IFERROR(__xludf.DUMMYFUNCTION("""COMPUTED_VALUE"""),"Array;Dynamic Programming;")</f>
        <v>Array;Dynamic Programming;</v>
      </c>
      <c r="M1665" s="20" t="b">
        <f>IFERROR(__xludf.DUMMYFUNCTION("""COMPUTED_VALUE"""),FALSE)</f>
        <v>0</v>
      </c>
      <c r="N1665" s="20" t="b">
        <f>IFERROR(__xludf.DUMMYFUNCTION("""COMPUTED_VALUE"""),FALSE)</f>
        <v>0</v>
      </c>
      <c r="O1665" s="20">
        <f>IFERROR(__xludf.DUMMYFUNCTION("""COMPUTED_VALUE"""),63.3315628734563)</f>
        <v>63.33156287</v>
      </c>
      <c r="P1665" s="20">
        <f>IFERROR(__xludf.DUMMYFUNCTION("""COMPUTED_VALUE"""),28617.0)</f>
        <v>28617</v>
      </c>
      <c r="Q1665" s="20">
        <f>IFERROR(__xludf.DUMMYFUNCTION("""COMPUTED_VALUE"""),45185.0)</f>
        <v>45185</v>
      </c>
    </row>
    <row r="1666">
      <c r="A1666" s="20">
        <f>IFERROR(__xludf.DUMMYFUNCTION("""COMPUTED_VALUE"""),1784.0)</f>
        <v>1784</v>
      </c>
      <c r="B1666" s="20" t="str">
        <f>IFERROR(__xludf.DUMMYFUNCTION("""COMPUTED_VALUE"""),"Minimum Initial Energy to Finish Tasks")</f>
        <v>Minimum Initial Energy to Finish Tasks</v>
      </c>
      <c r="C1666" s="20" t="str">
        <f>IFERROR(__xludf.DUMMYFUNCTION("""COMPUTED_VALUE"""),"minimum-initial-energy-to-finish-tasks")</f>
        <v>minimum-initial-energy-to-finish-tasks</v>
      </c>
      <c r="D1666" s="20" t="b">
        <f>IFERROR(__xludf.DUMMYFUNCTION("""COMPUTED_VALUE"""),FALSE)</f>
        <v>0</v>
      </c>
      <c r="E1666" s="20" t="str">
        <f>IFERROR(__xludf.DUMMYFUNCTION("""COMPUTED_VALUE"""),"Hard")</f>
        <v>Hard</v>
      </c>
      <c r="F1666" s="20">
        <f>IFERROR(__xludf.DUMMYFUNCTION("""COMPUTED_VALUE"""),459.0)</f>
        <v>459</v>
      </c>
      <c r="G1666" s="20">
        <f>IFERROR(__xludf.DUMMYFUNCTION("""COMPUTED_VALUE"""),32.0)</f>
        <v>32</v>
      </c>
      <c r="H1666" s="20" t="str">
        <f>IFERROR(__xludf.DUMMYFUNCTION("""COMPUTED_VALUE"""),"Algorithms")</f>
        <v>Algorithms</v>
      </c>
      <c r="I1666" s="20">
        <f>IFERROR(__xludf.DUMMYFUNCTION("""COMPUTED_VALUE"""),0.562)</f>
        <v>0.562</v>
      </c>
      <c r="J1666" s="20">
        <f>IFERROR(__xludf.DUMMYFUNCTION("""COMPUTED_VALUE"""),1665.0)</f>
        <v>1665</v>
      </c>
      <c r="K1666" s="20" t="b">
        <f>IFERROR(__xludf.DUMMYFUNCTION("""COMPUTED_VALUE"""),FALSE)</f>
        <v>0</v>
      </c>
      <c r="L1666" s="20" t="str">
        <f>IFERROR(__xludf.DUMMYFUNCTION("""COMPUTED_VALUE"""),"Array;Greedy;Sorting;")</f>
        <v>Array;Greedy;Sorting;</v>
      </c>
      <c r="M1666" s="20" t="b">
        <f>IFERROR(__xludf.DUMMYFUNCTION("""COMPUTED_VALUE"""),FALSE)</f>
        <v>0</v>
      </c>
      <c r="N1666" s="20" t="b">
        <f>IFERROR(__xludf.DUMMYFUNCTION("""COMPUTED_VALUE"""),FALSE)</f>
        <v>0</v>
      </c>
      <c r="O1666" s="20">
        <f>IFERROR(__xludf.DUMMYFUNCTION("""COMPUTED_VALUE"""),56.1723246309116)</f>
        <v>56.17232463</v>
      </c>
      <c r="P1666" s="20">
        <f>IFERROR(__xludf.DUMMYFUNCTION("""COMPUTED_VALUE"""),13469.0)</f>
        <v>13469</v>
      </c>
      <c r="Q1666" s="20">
        <f>IFERROR(__xludf.DUMMYFUNCTION("""COMPUTED_VALUE"""),23978.0)</f>
        <v>23978</v>
      </c>
    </row>
    <row r="1667">
      <c r="A1667" s="20">
        <f>IFERROR(__xludf.DUMMYFUNCTION("""COMPUTED_VALUE"""),1810.0)</f>
        <v>1810</v>
      </c>
      <c r="B1667" s="20" t="str">
        <f>IFERROR(__xludf.DUMMYFUNCTION("""COMPUTED_VALUE"""),"Change the Root of a Binary Tree")</f>
        <v>Change the Root of a Binary Tree</v>
      </c>
      <c r="C1667" s="20" t="str">
        <f>IFERROR(__xludf.DUMMYFUNCTION("""COMPUTED_VALUE"""),"change-the-root-of-a-binary-tree")</f>
        <v>change-the-root-of-a-binary-tree</v>
      </c>
      <c r="D1667" s="20" t="b">
        <f>IFERROR(__xludf.DUMMYFUNCTION("""COMPUTED_VALUE"""),TRUE)</f>
        <v>1</v>
      </c>
      <c r="E1667" s="20" t="str">
        <f>IFERROR(__xludf.DUMMYFUNCTION("""COMPUTED_VALUE"""),"Medium")</f>
        <v>Medium</v>
      </c>
      <c r="F1667" s="20">
        <f>IFERROR(__xludf.DUMMYFUNCTION("""COMPUTED_VALUE"""),49.0)</f>
        <v>49</v>
      </c>
      <c r="G1667" s="20">
        <f>IFERROR(__xludf.DUMMYFUNCTION("""COMPUTED_VALUE"""),135.0)</f>
        <v>135</v>
      </c>
      <c r="H1667" s="20" t="str">
        <f>IFERROR(__xludf.DUMMYFUNCTION("""COMPUTED_VALUE"""),"Algorithms")</f>
        <v>Algorithms</v>
      </c>
      <c r="I1667" s="20">
        <f>IFERROR(__xludf.DUMMYFUNCTION("""COMPUTED_VALUE"""),0.696)</f>
        <v>0.696</v>
      </c>
      <c r="J1667" s="20">
        <f>IFERROR(__xludf.DUMMYFUNCTION("""COMPUTED_VALUE"""),1666.0)</f>
        <v>1666</v>
      </c>
      <c r="K1667" s="20" t="b">
        <f>IFERROR(__xludf.DUMMYFUNCTION("""COMPUTED_VALUE"""),TRUE)</f>
        <v>1</v>
      </c>
      <c r="L1667" s="20" t="str">
        <f>IFERROR(__xludf.DUMMYFUNCTION("""COMPUTED_VALUE"""),"Tree;Depth-First Search;Binary Tree;")</f>
        <v>Tree;Depth-First Search;Binary Tree;</v>
      </c>
      <c r="M1667" s="20" t="b">
        <f>IFERROR(__xludf.DUMMYFUNCTION("""COMPUTED_VALUE"""),FALSE)</f>
        <v>0</v>
      </c>
      <c r="N1667" s="20" t="b">
        <f>IFERROR(__xludf.DUMMYFUNCTION("""COMPUTED_VALUE"""),FALSE)</f>
        <v>0</v>
      </c>
      <c r="O1667" s="20">
        <f>IFERROR(__xludf.DUMMYFUNCTION("""COMPUTED_VALUE"""),69.5540748334187)</f>
        <v>69.55407483</v>
      </c>
      <c r="P1667" s="20">
        <f>IFERROR(__xludf.DUMMYFUNCTION("""COMPUTED_VALUE"""),2714.0)</f>
        <v>2714</v>
      </c>
      <c r="Q1667" s="20">
        <f>IFERROR(__xludf.DUMMYFUNCTION("""COMPUTED_VALUE"""),3902.0)</f>
        <v>3902</v>
      </c>
    </row>
    <row r="1668">
      <c r="A1668" s="20">
        <f>IFERROR(__xludf.DUMMYFUNCTION("""COMPUTED_VALUE"""),1811.0)</f>
        <v>1811</v>
      </c>
      <c r="B1668" s="20" t="str">
        <f>IFERROR(__xludf.DUMMYFUNCTION("""COMPUTED_VALUE"""),"Fix Names in a Table")</f>
        <v>Fix Names in a Table</v>
      </c>
      <c r="C1668" s="20" t="str">
        <f>IFERROR(__xludf.DUMMYFUNCTION("""COMPUTED_VALUE"""),"fix-names-in-a-table")</f>
        <v>fix-names-in-a-table</v>
      </c>
      <c r="D1668" s="20" t="b">
        <f>IFERROR(__xludf.DUMMYFUNCTION("""COMPUTED_VALUE"""),FALSE)</f>
        <v>0</v>
      </c>
      <c r="E1668" s="20" t="str">
        <f>IFERROR(__xludf.DUMMYFUNCTION("""COMPUTED_VALUE"""),"Easy")</f>
        <v>Easy</v>
      </c>
      <c r="F1668" s="20">
        <f>IFERROR(__xludf.DUMMYFUNCTION("""COMPUTED_VALUE"""),446.0)</f>
        <v>446</v>
      </c>
      <c r="G1668" s="20">
        <f>IFERROR(__xludf.DUMMYFUNCTION("""COMPUTED_VALUE"""),69.0)</f>
        <v>69</v>
      </c>
      <c r="H1668" s="20" t="str">
        <f>IFERROR(__xludf.DUMMYFUNCTION("""COMPUTED_VALUE"""),"Database")</f>
        <v>Database</v>
      </c>
      <c r="I1668" s="20">
        <f>IFERROR(__xludf.DUMMYFUNCTION("""COMPUTED_VALUE"""),0.665)</f>
        <v>0.665</v>
      </c>
      <c r="J1668" s="20">
        <f>IFERROR(__xludf.DUMMYFUNCTION("""COMPUTED_VALUE"""),1667.0)</f>
        <v>1667</v>
      </c>
      <c r="K1668" s="20" t="b">
        <f>IFERROR(__xludf.DUMMYFUNCTION("""COMPUTED_VALUE"""),FALSE)</f>
        <v>0</v>
      </c>
      <c r="L1668" s="20" t="str">
        <f>IFERROR(__xludf.DUMMYFUNCTION("""COMPUTED_VALUE"""),"Database;")</f>
        <v>Database;</v>
      </c>
      <c r="M1668" s="20" t="b">
        <f>IFERROR(__xludf.DUMMYFUNCTION("""COMPUTED_VALUE"""),FALSE)</f>
        <v>0</v>
      </c>
      <c r="N1668" s="20" t="b">
        <f>IFERROR(__xludf.DUMMYFUNCTION("""COMPUTED_VALUE"""),FALSE)</f>
        <v>0</v>
      </c>
      <c r="O1668" s="20">
        <f>IFERROR(__xludf.DUMMYFUNCTION("""COMPUTED_VALUE"""),66.5292802936952)</f>
        <v>66.52928029</v>
      </c>
      <c r="P1668" s="20">
        <f>IFERROR(__xludf.DUMMYFUNCTION("""COMPUTED_VALUE"""),78285.0)</f>
        <v>78285</v>
      </c>
      <c r="Q1668" s="20">
        <f>IFERROR(__xludf.DUMMYFUNCTION("""COMPUTED_VALUE"""),117671.0)</f>
        <v>117671</v>
      </c>
    </row>
    <row r="1669">
      <c r="A1669" s="20">
        <f>IFERROR(__xludf.DUMMYFUNCTION("""COMPUTED_VALUE"""),1764.0)</f>
        <v>1764</v>
      </c>
      <c r="B1669" s="20" t="str">
        <f>IFERROR(__xludf.DUMMYFUNCTION("""COMPUTED_VALUE"""),"Maximum Repeating Substring")</f>
        <v>Maximum Repeating Substring</v>
      </c>
      <c r="C1669" s="20" t="str">
        <f>IFERROR(__xludf.DUMMYFUNCTION("""COMPUTED_VALUE"""),"maximum-repeating-substring")</f>
        <v>maximum-repeating-substring</v>
      </c>
      <c r="D1669" s="20" t="b">
        <f>IFERROR(__xludf.DUMMYFUNCTION("""COMPUTED_VALUE"""),FALSE)</f>
        <v>0</v>
      </c>
      <c r="E1669" s="20" t="str">
        <f>IFERROR(__xludf.DUMMYFUNCTION("""COMPUTED_VALUE"""),"Easy")</f>
        <v>Easy</v>
      </c>
      <c r="F1669" s="20">
        <f>IFERROR(__xludf.DUMMYFUNCTION("""COMPUTED_VALUE"""),502.0)</f>
        <v>502</v>
      </c>
      <c r="G1669" s="20">
        <f>IFERROR(__xludf.DUMMYFUNCTION("""COMPUTED_VALUE"""),173.0)</f>
        <v>173</v>
      </c>
      <c r="H1669" s="20" t="str">
        <f>IFERROR(__xludf.DUMMYFUNCTION("""COMPUTED_VALUE"""),"Algorithms")</f>
        <v>Algorithms</v>
      </c>
      <c r="I1669" s="20">
        <f>IFERROR(__xludf.DUMMYFUNCTION("""COMPUTED_VALUE"""),0.396)</f>
        <v>0.396</v>
      </c>
      <c r="J1669" s="20">
        <f>IFERROR(__xludf.DUMMYFUNCTION("""COMPUTED_VALUE"""),1668.0)</f>
        <v>1668</v>
      </c>
      <c r="K1669" s="20" t="b">
        <f>IFERROR(__xludf.DUMMYFUNCTION("""COMPUTED_VALUE"""),FALSE)</f>
        <v>0</v>
      </c>
      <c r="L1669" s="20" t="str">
        <f>IFERROR(__xludf.DUMMYFUNCTION("""COMPUTED_VALUE"""),"String;String Matching;")</f>
        <v>String;String Matching;</v>
      </c>
      <c r="M1669" s="20" t="b">
        <f>IFERROR(__xludf.DUMMYFUNCTION("""COMPUTED_VALUE"""),FALSE)</f>
        <v>0</v>
      </c>
      <c r="N1669" s="20" t="b">
        <f>IFERROR(__xludf.DUMMYFUNCTION("""COMPUTED_VALUE"""),FALSE)</f>
        <v>0</v>
      </c>
      <c r="O1669" s="20">
        <f>IFERROR(__xludf.DUMMYFUNCTION("""COMPUTED_VALUE"""),39.5717634670109)</f>
        <v>39.57176347</v>
      </c>
      <c r="P1669" s="20">
        <f>IFERROR(__xludf.DUMMYFUNCTION("""COMPUTED_VALUE"""),31565.0)</f>
        <v>31565</v>
      </c>
      <c r="Q1669" s="20">
        <f>IFERROR(__xludf.DUMMYFUNCTION("""COMPUTED_VALUE"""),79766.0)</f>
        <v>79766</v>
      </c>
    </row>
    <row r="1670">
      <c r="A1670" s="20">
        <f>IFERROR(__xludf.DUMMYFUNCTION("""COMPUTED_VALUE"""),1765.0)</f>
        <v>1765</v>
      </c>
      <c r="B1670" s="20" t="str">
        <f>IFERROR(__xludf.DUMMYFUNCTION("""COMPUTED_VALUE"""),"Merge In Between Linked Lists")</f>
        <v>Merge In Between Linked Lists</v>
      </c>
      <c r="C1670" s="20" t="str">
        <f>IFERROR(__xludf.DUMMYFUNCTION("""COMPUTED_VALUE"""),"merge-in-between-linked-lists")</f>
        <v>merge-in-between-linked-lists</v>
      </c>
      <c r="D1670" s="20" t="b">
        <f>IFERROR(__xludf.DUMMYFUNCTION("""COMPUTED_VALUE"""),FALSE)</f>
        <v>0</v>
      </c>
      <c r="E1670" s="20" t="str">
        <f>IFERROR(__xludf.DUMMYFUNCTION("""COMPUTED_VALUE"""),"Medium")</f>
        <v>Medium</v>
      </c>
      <c r="F1670" s="20">
        <f>IFERROR(__xludf.DUMMYFUNCTION("""COMPUTED_VALUE"""),1172.0)</f>
        <v>1172</v>
      </c>
      <c r="G1670" s="20">
        <f>IFERROR(__xludf.DUMMYFUNCTION("""COMPUTED_VALUE"""),153.0)</f>
        <v>153</v>
      </c>
      <c r="H1670" s="20" t="str">
        <f>IFERROR(__xludf.DUMMYFUNCTION("""COMPUTED_VALUE"""),"Algorithms")</f>
        <v>Algorithms</v>
      </c>
      <c r="I1670" s="20">
        <f>IFERROR(__xludf.DUMMYFUNCTION("""COMPUTED_VALUE"""),0.743)</f>
        <v>0.743</v>
      </c>
      <c r="J1670" s="20">
        <f>IFERROR(__xludf.DUMMYFUNCTION("""COMPUTED_VALUE"""),1669.0)</f>
        <v>1669</v>
      </c>
      <c r="K1670" s="20" t="b">
        <f>IFERROR(__xludf.DUMMYFUNCTION("""COMPUTED_VALUE"""),FALSE)</f>
        <v>0</v>
      </c>
      <c r="L1670" s="20" t="str">
        <f>IFERROR(__xludf.DUMMYFUNCTION("""COMPUTED_VALUE"""),"Linked List;")</f>
        <v>Linked List;</v>
      </c>
      <c r="M1670" s="20" t="b">
        <f>IFERROR(__xludf.DUMMYFUNCTION("""COMPUTED_VALUE"""),FALSE)</f>
        <v>0</v>
      </c>
      <c r="N1670" s="20" t="b">
        <f>IFERROR(__xludf.DUMMYFUNCTION("""COMPUTED_VALUE"""),FALSE)</f>
        <v>0</v>
      </c>
      <c r="O1670" s="20">
        <f>IFERROR(__xludf.DUMMYFUNCTION("""COMPUTED_VALUE"""),74.2920017512731)</f>
        <v>74.29200175</v>
      </c>
      <c r="P1670" s="20">
        <f>IFERROR(__xludf.DUMMYFUNCTION("""COMPUTED_VALUE"""),64480.0)</f>
        <v>64480</v>
      </c>
      <c r="Q1670" s="20">
        <f>IFERROR(__xludf.DUMMYFUNCTION("""COMPUTED_VALUE"""),86793.0)</f>
        <v>86793</v>
      </c>
    </row>
    <row r="1671">
      <c r="A1671" s="20">
        <f>IFERROR(__xludf.DUMMYFUNCTION("""COMPUTED_VALUE"""),1767.0)</f>
        <v>1767</v>
      </c>
      <c r="B1671" s="20" t="str">
        <f>IFERROR(__xludf.DUMMYFUNCTION("""COMPUTED_VALUE"""),"Design Front Middle Back Queue")</f>
        <v>Design Front Middle Back Queue</v>
      </c>
      <c r="C1671" s="20" t="str">
        <f>IFERROR(__xludf.DUMMYFUNCTION("""COMPUTED_VALUE"""),"design-front-middle-back-queue")</f>
        <v>design-front-middle-back-queue</v>
      </c>
      <c r="D1671" s="20" t="b">
        <f>IFERROR(__xludf.DUMMYFUNCTION("""COMPUTED_VALUE"""),FALSE)</f>
        <v>0</v>
      </c>
      <c r="E1671" s="20" t="str">
        <f>IFERROR(__xludf.DUMMYFUNCTION("""COMPUTED_VALUE"""),"Medium")</f>
        <v>Medium</v>
      </c>
      <c r="F1671" s="20">
        <f>IFERROR(__xludf.DUMMYFUNCTION("""COMPUTED_VALUE"""),572.0)</f>
        <v>572</v>
      </c>
      <c r="G1671" s="20">
        <f>IFERROR(__xludf.DUMMYFUNCTION("""COMPUTED_VALUE"""),83.0)</f>
        <v>83</v>
      </c>
      <c r="H1671" s="20" t="str">
        <f>IFERROR(__xludf.DUMMYFUNCTION("""COMPUTED_VALUE"""),"Algorithms")</f>
        <v>Algorithms</v>
      </c>
      <c r="I1671" s="20">
        <f>IFERROR(__xludf.DUMMYFUNCTION("""COMPUTED_VALUE"""),0.564)</f>
        <v>0.564</v>
      </c>
      <c r="J1671" s="20">
        <f>IFERROR(__xludf.DUMMYFUNCTION("""COMPUTED_VALUE"""),1670.0)</f>
        <v>1670</v>
      </c>
      <c r="K1671" s="20" t="b">
        <f>IFERROR(__xludf.DUMMYFUNCTION("""COMPUTED_VALUE"""),FALSE)</f>
        <v>0</v>
      </c>
      <c r="L1671" s="20" t="str">
        <f>IFERROR(__xludf.DUMMYFUNCTION("""COMPUTED_VALUE"""),"Array;Linked List;Design;Queue;Data Stream;")</f>
        <v>Array;Linked List;Design;Queue;Data Stream;</v>
      </c>
      <c r="M1671" s="20" t="b">
        <f>IFERROR(__xludf.DUMMYFUNCTION("""COMPUTED_VALUE"""),FALSE)</f>
        <v>0</v>
      </c>
      <c r="N1671" s="20" t="b">
        <f>IFERROR(__xludf.DUMMYFUNCTION("""COMPUTED_VALUE"""),FALSE)</f>
        <v>0</v>
      </c>
      <c r="O1671" s="20">
        <f>IFERROR(__xludf.DUMMYFUNCTION("""COMPUTED_VALUE"""),56.396866840731)</f>
        <v>56.39686684</v>
      </c>
      <c r="P1671" s="20">
        <f>IFERROR(__xludf.DUMMYFUNCTION("""COMPUTED_VALUE"""),18576.0)</f>
        <v>18576</v>
      </c>
      <c r="Q1671" s="20">
        <f>IFERROR(__xludf.DUMMYFUNCTION("""COMPUTED_VALUE"""),32938.0)</f>
        <v>32938</v>
      </c>
    </row>
    <row r="1672">
      <c r="A1672" s="20">
        <f>IFERROR(__xludf.DUMMYFUNCTION("""COMPUTED_VALUE"""),1766.0)</f>
        <v>1766</v>
      </c>
      <c r="B1672" s="20" t="str">
        <f>IFERROR(__xludf.DUMMYFUNCTION("""COMPUTED_VALUE"""),"Minimum Number of Removals to Make Mountain Array")</f>
        <v>Minimum Number of Removals to Make Mountain Array</v>
      </c>
      <c r="C1672" s="20" t="str">
        <f>IFERROR(__xludf.DUMMYFUNCTION("""COMPUTED_VALUE"""),"minimum-number-of-removals-to-make-mountain-array")</f>
        <v>minimum-number-of-removals-to-make-mountain-array</v>
      </c>
      <c r="D1672" s="20" t="b">
        <f>IFERROR(__xludf.DUMMYFUNCTION("""COMPUTED_VALUE"""),FALSE)</f>
        <v>0</v>
      </c>
      <c r="E1672" s="20" t="str">
        <f>IFERROR(__xludf.DUMMYFUNCTION("""COMPUTED_VALUE"""),"Hard")</f>
        <v>Hard</v>
      </c>
      <c r="F1672" s="20">
        <f>IFERROR(__xludf.DUMMYFUNCTION("""COMPUTED_VALUE"""),1149.0)</f>
        <v>1149</v>
      </c>
      <c r="G1672" s="20">
        <f>IFERROR(__xludf.DUMMYFUNCTION("""COMPUTED_VALUE"""),18.0)</f>
        <v>18</v>
      </c>
      <c r="H1672" s="20" t="str">
        <f>IFERROR(__xludf.DUMMYFUNCTION("""COMPUTED_VALUE"""),"Algorithms")</f>
        <v>Algorithms</v>
      </c>
      <c r="I1672" s="20">
        <f>IFERROR(__xludf.DUMMYFUNCTION("""COMPUTED_VALUE"""),0.425)</f>
        <v>0.425</v>
      </c>
      <c r="J1672" s="20">
        <f>IFERROR(__xludf.DUMMYFUNCTION("""COMPUTED_VALUE"""),1671.0)</f>
        <v>1671</v>
      </c>
      <c r="K1672" s="20" t="b">
        <f>IFERROR(__xludf.DUMMYFUNCTION("""COMPUTED_VALUE"""),FALSE)</f>
        <v>0</v>
      </c>
      <c r="L1672" s="20" t="str">
        <f>IFERROR(__xludf.DUMMYFUNCTION("""COMPUTED_VALUE"""),"Array;Binary Search;Dynamic Programming;Greedy;")</f>
        <v>Array;Binary Search;Dynamic Programming;Greedy;</v>
      </c>
      <c r="M1672" s="20" t="b">
        <f>IFERROR(__xludf.DUMMYFUNCTION("""COMPUTED_VALUE"""),FALSE)</f>
        <v>0</v>
      </c>
      <c r="N1672" s="20" t="b">
        <f>IFERROR(__xludf.DUMMYFUNCTION("""COMPUTED_VALUE"""),FALSE)</f>
        <v>0</v>
      </c>
      <c r="O1672" s="20">
        <f>IFERROR(__xludf.DUMMYFUNCTION("""COMPUTED_VALUE"""),42.4825864108292)</f>
        <v>42.48258641</v>
      </c>
      <c r="P1672" s="20">
        <f>IFERROR(__xludf.DUMMYFUNCTION("""COMPUTED_VALUE"""),19395.0)</f>
        <v>19395</v>
      </c>
      <c r="Q1672" s="20">
        <f>IFERROR(__xludf.DUMMYFUNCTION("""COMPUTED_VALUE"""),45654.0)</f>
        <v>45654</v>
      </c>
    </row>
    <row r="1673">
      <c r="A1673" s="20">
        <f>IFERROR(__xludf.DUMMYFUNCTION("""COMPUTED_VALUE"""),1791.0)</f>
        <v>1791</v>
      </c>
      <c r="B1673" s="20" t="str">
        <f>IFERROR(__xludf.DUMMYFUNCTION("""COMPUTED_VALUE"""),"Richest Customer Wealth")</f>
        <v>Richest Customer Wealth</v>
      </c>
      <c r="C1673" s="20" t="str">
        <f>IFERROR(__xludf.DUMMYFUNCTION("""COMPUTED_VALUE"""),"richest-customer-wealth")</f>
        <v>richest-customer-wealth</v>
      </c>
      <c r="D1673" s="20" t="b">
        <f>IFERROR(__xludf.DUMMYFUNCTION("""COMPUTED_VALUE"""),FALSE)</f>
        <v>0</v>
      </c>
      <c r="E1673" s="20" t="str">
        <f>IFERROR(__xludf.DUMMYFUNCTION("""COMPUTED_VALUE"""),"Easy")</f>
        <v>Easy</v>
      </c>
      <c r="F1673" s="20">
        <f>IFERROR(__xludf.DUMMYFUNCTION("""COMPUTED_VALUE"""),2919.0)</f>
        <v>2919</v>
      </c>
      <c r="G1673" s="20">
        <f>IFERROR(__xludf.DUMMYFUNCTION("""COMPUTED_VALUE"""),305.0)</f>
        <v>305</v>
      </c>
      <c r="H1673" s="20" t="str">
        <f>IFERROR(__xludf.DUMMYFUNCTION("""COMPUTED_VALUE"""),"Algorithms")</f>
        <v>Algorithms</v>
      </c>
      <c r="I1673" s="20">
        <f>IFERROR(__xludf.DUMMYFUNCTION("""COMPUTED_VALUE"""),0.881)</f>
        <v>0.881</v>
      </c>
      <c r="J1673" s="20">
        <f>IFERROR(__xludf.DUMMYFUNCTION("""COMPUTED_VALUE"""),1672.0)</f>
        <v>1672</v>
      </c>
      <c r="K1673" s="20" t="b">
        <f>IFERROR(__xludf.DUMMYFUNCTION("""COMPUTED_VALUE"""),FALSE)</f>
        <v>0</v>
      </c>
      <c r="L1673" s="20" t="str">
        <f>IFERROR(__xludf.DUMMYFUNCTION("""COMPUTED_VALUE"""),"Array;Matrix;")</f>
        <v>Array;Matrix;</v>
      </c>
      <c r="M1673" s="20" t="b">
        <f>IFERROR(__xludf.DUMMYFUNCTION("""COMPUTED_VALUE"""),TRUE)</f>
        <v>1</v>
      </c>
      <c r="N1673" s="20" t="b">
        <f>IFERROR(__xludf.DUMMYFUNCTION("""COMPUTED_VALUE"""),TRUE)</f>
        <v>1</v>
      </c>
      <c r="O1673" s="20">
        <f>IFERROR(__xludf.DUMMYFUNCTION("""COMPUTED_VALUE"""),88.130696861746)</f>
        <v>88.13069686</v>
      </c>
      <c r="P1673" s="20">
        <f>IFERROR(__xludf.DUMMYFUNCTION("""COMPUTED_VALUE"""),493286.0)</f>
        <v>493286</v>
      </c>
      <c r="Q1673" s="20">
        <f>IFERROR(__xludf.DUMMYFUNCTION("""COMPUTED_VALUE"""),559717.0)</f>
        <v>559717</v>
      </c>
    </row>
    <row r="1674">
      <c r="A1674" s="20">
        <f>IFERROR(__xludf.DUMMYFUNCTION("""COMPUTED_VALUE"""),1792.0)</f>
        <v>1792</v>
      </c>
      <c r="B1674" s="20" t="str">
        <f>IFERROR(__xludf.DUMMYFUNCTION("""COMPUTED_VALUE"""),"Find the Most Competitive Subsequence")</f>
        <v>Find the Most Competitive Subsequence</v>
      </c>
      <c r="C1674" s="20" t="str">
        <f>IFERROR(__xludf.DUMMYFUNCTION("""COMPUTED_VALUE"""),"find-the-most-competitive-subsequence")</f>
        <v>find-the-most-competitive-subsequence</v>
      </c>
      <c r="D1674" s="20" t="b">
        <f>IFERROR(__xludf.DUMMYFUNCTION("""COMPUTED_VALUE"""),FALSE)</f>
        <v>0</v>
      </c>
      <c r="E1674" s="20" t="str">
        <f>IFERROR(__xludf.DUMMYFUNCTION("""COMPUTED_VALUE"""),"Medium")</f>
        <v>Medium</v>
      </c>
      <c r="F1674" s="20">
        <f>IFERROR(__xludf.DUMMYFUNCTION("""COMPUTED_VALUE"""),1607.0)</f>
        <v>1607</v>
      </c>
      <c r="G1674" s="20">
        <f>IFERROR(__xludf.DUMMYFUNCTION("""COMPUTED_VALUE"""),78.0)</f>
        <v>78</v>
      </c>
      <c r="H1674" s="20" t="str">
        <f>IFERROR(__xludf.DUMMYFUNCTION("""COMPUTED_VALUE"""),"Algorithms")</f>
        <v>Algorithms</v>
      </c>
      <c r="I1674" s="20">
        <f>IFERROR(__xludf.DUMMYFUNCTION("""COMPUTED_VALUE"""),0.493)</f>
        <v>0.493</v>
      </c>
      <c r="J1674" s="20">
        <f>IFERROR(__xludf.DUMMYFUNCTION("""COMPUTED_VALUE"""),1673.0)</f>
        <v>1673</v>
      </c>
      <c r="K1674" s="20" t="b">
        <f>IFERROR(__xludf.DUMMYFUNCTION("""COMPUTED_VALUE"""),FALSE)</f>
        <v>0</v>
      </c>
      <c r="L1674" s="20" t="str">
        <f>IFERROR(__xludf.DUMMYFUNCTION("""COMPUTED_VALUE"""),"Array;Stack;Greedy;Monotonic Stack;")</f>
        <v>Array;Stack;Greedy;Monotonic Stack;</v>
      </c>
      <c r="M1674" s="20" t="b">
        <f>IFERROR(__xludf.DUMMYFUNCTION("""COMPUTED_VALUE"""),TRUE)</f>
        <v>1</v>
      </c>
      <c r="N1674" s="20" t="b">
        <f>IFERROR(__xludf.DUMMYFUNCTION("""COMPUTED_VALUE"""),FALSE)</f>
        <v>0</v>
      </c>
      <c r="O1674" s="20">
        <f>IFERROR(__xludf.DUMMYFUNCTION("""COMPUTED_VALUE"""),49.2786636294608)</f>
        <v>49.27866363</v>
      </c>
      <c r="P1674" s="20">
        <f>IFERROR(__xludf.DUMMYFUNCTION("""COMPUTED_VALUE"""),49322.0)</f>
        <v>49322</v>
      </c>
      <c r="Q1674" s="20">
        <f>IFERROR(__xludf.DUMMYFUNCTION("""COMPUTED_VALUE"""),100088.0)</f>
        <v>100088</v>
      </c>
    </row>
    <row r="1675">
      <c r="A1675" s="20">
        <f>IFERROR(__xludf.DUMMYFUNCTION("""COMPUTED_VALUE"""),1793.0)</f>
        <v>1793</v>
      </c>
      <c r="B1675" s="20" t="str">
        <f>IFERROR(__xludf.DUMMYFUNCTION("""COMPUTED_VALUE"""),"Minimum Moves to Make Array Complementary")</f>
        <v>Minimum Moves to Make Array Complementary</v>
      </c>
      <c r="C1675" s="20" t="str">
        <f>IFERROR(__xludf.DUMMYFUNCTION("""COMPUTED_VALUE"""),"minimum-moves-to-make-array-complementary")</f>
        <v>minimum-moves-to-make-array-complementary</v>
      </c>
      <c r="D1675" s="20" t="b">
        <f>IFERROR(__xludf.DUMMYFUNCTION("""COMPUTED_VALUE"""),FALSE)</f>
        <v>0</v>
      </c>
      <c r="E1675" s="20" t="str">
        <f>IFERROR(__xludf.DUMMYFUNCTION("""COMPUTED_VALUE"""),"Medium")</f>
        <v>Medium</v>
      </c>
      <c r="F1675" s="20">
        <f>IFERROR(__xludf.DUMMYFUNCTION("""COMPUTED_VALUE"""),541.0)</f>
        <v>541</v>
      </c>
      <c r="G1675" s="20">
        <f>IFERROR(__xludf.DUMMYFUNCTION("""COMPUTED_VALUE"""),67.0)</f>
        <v>67</v>
      </c>
      <c r="H1675" s="20" t="str">
        <f>IFERROR(__xludf.DUMMYFUNCTION("""COMPUTED_VALUE"""),"Algorithms")</f>
        <v>Algorithms</v>
      </c>
      <c r="I1675" s="20">
        <f>IFERROR(__xludf.DUMMYFUNCTION("""COMPUTED_VALUE"""),0.386)</f>
        <v>0.386</v>
      </c>
      <c r="J1675" s="20">
        <f>IFERROR(__xludf.DUMMYFUNCTION("""COMPUTED_VALUE"""),1674.0)</f>
        <v>1674</v>
      </c>
      <c r="K1675" s="20" t="b">
        <f>IFERROR(__xludf.DUMMYFUNCTION("""COMPUTED_VALUE"""),FALSE)</f>
        <v>0</v>
      </c>
      <c r="L1675" s="20" t="str">
        <f>IFERROR(__xludf.DUMMYFUNCTION("""COMPUTED_VALUE"""),"Array;Hash Table;Prefix Sum;")</f>
        <v>Array;Hash Table;Prefix Sum;</v>
      </c>
      <c r="M1675" s="20" t="b">
        <f>IFERROR(__xludf.DUMMYFUNCTION("""COMPUTED_VALUE"""),FALSE)</f>
        <v>0</v>
      </c>
      <c r="N1675" s="20" t="b">
        <f>IFERROR(__xludf.DUMMYFUNCTION("""COMPUTED_VALUE"""),FALSE)</f>
        <v>0</v>
      </c>
      <c r="O1675" s="20">
        <f>IFERROR(__xludf.DUMMYFUNCTION("""COMPUTED_VALUE"""),38.6372413793103)</f>
        <v>38.63724138</v>
      </c>
      <c r="P1675" s="20">
        <f>IFERROR(__xludf.DUMMYFUNCTION("""COMPUTED_VALUE"""),7003.0)</f>
        <v>7003</v>
      </c>
      <c r="Q1675" s="20">
        <f>IFERROR(__xludf.DUMMYFUNCTION("""COMPUTED_VALUE"""),18125.0)</f>
        <v>18125</v>
      </c>
    </row>
    <row r="1676">
      <c r="A1676" s="20">
        <f>IFERROR(__xludf.DUMMYFUNCTION("""COMPUTED_VALUE"""),1794.0)</f>
        <v>1794</v>
      </c>
      <c r="B1676" s="20" t="str">
        <f>IFERROR(__xludf.DUMMYFUNCTION("""COMPUTED_VALUE"""),"Minimize Deviation in Array")</f>
        <v>Minimize Deviation in Array</v>
      </c>
      <c r="C1676" s="20" t="str">
        <f>IFERROR(__xludf.DUMMYFUNCTION("""COMPUTED_VALUE"""),"minimize-deviation-in-array")</f>
        <v>minimize-deviation-in-array</v>
      </c>
      <c r="D1676" s="20" t="b">
        <f>IFERROR(__xludf.DUMMYFUNCTION("""COMPUTED_VALUE"""),FALSE)</f>
        <v>0</v>
      </c>
      <c r="E1676" s="20" t="str">
        <f>IFERROR(__xludf.DUMMYFUNCTION("""COMPUTED_VALUE"""),"Hard")</f>
        <v>Hard</v>
      </c>
      <c r="F1676" s="20">
        <f>IFERROR(__xludf.DUMMYFUNCTION("""COMPUTED_VALUE"""),1687.0)</f>
        <v>1687</v>
      </c>
      <c r="G1676" s="20">
        <f>IFERROR(__xludf.DUMMYFUNCTION("""COMPUTED_VALUE"""),88.0)</f>
        <v>88</v>
      </c>
      <c r="H1676" s="20" t="str">
        <f>IFERROR(__xludf.DUMMYFUNCTION("""COMPUTED_VALUE"""),"Algorithms")</f>
        <v>Algorithms</v>
      </c>
      <c r="I1676" s="20">
        <f>IFERROR(__xludf.DUMMYFUNCTION("""COMPUTED_VALUE"""),0.52)</f>
        <v>0.52</v>
      </c>
      <c r="J1676" s="20">
        <f>IFERROR(__xludf.DUMMYFUNCTION("""COMPUTED_VALUE"""),1675.0)</f>
        <v>1675</v>
      </c>
      <c r="K1676" s="20" t="b">
        <f>IFERROR(__xludf.DUMMYFUNCTION("""COMPUTED_VALUE"""),FALSE)</f>
        <v>0</v>
      </c>
      <c r="L1676" s="20" t="str">
        <f>IFERROR(__xludf.DUMMYFUNCTION("""COMPUTED_VALUE"""),"Array;Greedy;Heap (Priority Queue);Ordered Set;")</f>
        <v>Array;Greedy;Heap (Priority Queue);Ordered Set;</v>
      </c>
      <c r="M1676" s="20" t="b">
        <f>IFERROR(__xludf.DUMMYFUNCTION("""COMPUTED_VALUE"""),TRUE)</f>
        <v>1</v>
      </c>
      <c r="N1676" s="20" t="b">
        <f>IFERROR(__xludf.DUMMYFUNCTION("""COMPUTED_VALUE"""),FALSE)</f>
        <v>0</v>
      </c>
      <c r="O1676" s="20">
        <f>IFERROR(__xludf.DUMMYFUNCTION("""COMPUTED_VALUE"""),52.0040034051952)</f>
        <v>52.00400341</v>
      </c>
      <c r="P1676" s="20">
        <f>IFERROR(__xludf.DUMMYFUNCTION("""COMPUTED_VALUE"""),45205.0)</f>
        <v>45205</v>
      </c>
      <c r="Q1676" s="20">
        <f>IFERROR(__xludf.DUMMYFUNCTION("""COMPUTED_VALUE"""),86926.0)</f>
        <v>86926</v>
      </c>
    </row>
    <row r="1677">
      <c r="A1677" s="20">
        <f>IFERROR(__xludf.DUMMYFUNCTION("""COMPUTED_VALUE"""),1816.0)</f>
        <v>1816</v>
      </c>
      <c r="B1677" s="20" t="str">
        <f>IFERROR(__xludf.DUMMYFUNCTION("""COMPUTED_VALUE"""),"Lowest Common Ancestor of a Binary Tree IV")</f>
        <v>Lowest Common Ancestor of a Binary Tree IV</v>
      </c>
      <c r="C1677" s="20" t="str">
        <f>IFERROR(__xludf.DUMMYFUNCTION("""COMPUTED_VALUE"""),"lowest-common-ancestor-of-a-binary-tree-iv")</f>
        <v>lowest-common-ancestor-of-a-binary-tree-iv</v>
      </c>
      <c r="D1677" s="20" t="b">
        <f>IFERROR(__xludf.DUMMYFUNCTION("""COMPUTED_VALUE"""),TRUE)</f>
        <v>1</v>
      </c>
      <c r="E1677" s="20" t="str">
        <f>IFERROR(__xludf.DUMMYFUNCTION("""COMPUTED_VALUE"""),"Medium")</f>
        <v>Medium</v>
      </c>
      <c r="F1677" s="20">
        <f>IFERROR(__xludf.DUMMYFUNCTION("""COMPUTED_VALUE"""),353.0)</f>
        <v>353</v>
      </c>
      <c r="G1677" s="20">
        <f>IFERROR(__xludf.DUMMYFUNCTION("""COMPUTED_VALUE"""),13.0)</f>
        <v>13</v>
      </c>
      <c r="H1677" s="20" t="str">
        <f>IFERROR(__xludf.DUMMYFUNCTION("""COMPUTED_VALUE"""),"Algorithms")</f>
        <v>Algorithms</v>
      </c>
      <c r="I1677" s="20">
        <f>IFERROR(__xludf.DUMMYFUNCTION("""COMPUTED_VALUE"""),0.792)</f>
        <v>0.792</v>
      </c>
      <c r="J1677" s="20">
        <f>IFERROR(__xludf.DUMMYFUNCTION("""COMPUTED_VALUE"""),1676.0)</f>
        <v>1676</v>
      </c>
      <c r="K1677" s="20" t="b">
        <f>IFERROR(__xludf.DUMMYFUNCTION("""COMPUTED_VALUE"""),TRUE)</f>
        <v>1</v>
      </c>
      <c r="L1677" s="20" t="str">
        <f>IFERROR(__xludf.DUMMYFUNCTION("""COMPUTED_VALUE"""),"Tree;Depth-First Search;Binary Tree;")</f>
        <v>Tree;Depth-First Search;Binary Tree;</v>
      </c>
      <c r="M1677" s="20" t="b">
        <f>IFERROR(__xludf.DUMMYFUNCTION("""COMPUTED_VALUE"""),FALSE)</f>
        <v>0</v>
      </c>
      <c r="N1677" s="20" t="b">
        <f>IFERROR(__xludf.DUMMYFUNCTION("""COMPUTED_VALUE"""),FALSE)</f>
        <v>0</v>
      </c>
      <c r="O1677" s="20">
        <f>IFERROR(__xludf.DUMMYFUNCTION("""COMPUTED_VALUE"""),79.2448425782731)</f>
        <v>79.24484258</v>
      </c>
      <c r="P1677" s="20">
        <f>IFERROR(__xludf.DUMMYFUNCTION("""COMPUTED_VALUE"""),27158.0)</f>
        <v>27158</v>
      </c>
      <c r="Q1677" s="20">
        <f>IFERROR(__xludf.DUMMYFUNCTION("""COMPUTED_VALUE"""),34271.0)</f>
        <v>34271</v>
      </c>
    </row>
    <row r="1678">
      <c r="A1678" s="20">
        <f>IFERROR(__xludf.DUMMYFUNCTION("""COMPUTED_VALUE"""),1821.0)</f>
        <v>1821</v>
      </c>
      <c r="B1678" s="20" t="str">
        <f>IFERROR(__xludf.DUMMYFUNCTION("""COMPUTED_VALUE"""),"Product's Worth Over Invoices")</f>
        <v>Product's Worth Over Invoices</v>
      </c>
      <c r="C1678" s="20" t="str">
        <f>IFERROR(__xludf.DUMMYFUNCTION("""COMPUTED_VALUE"""),"products-worth-over-invoices")</f>
        <v>products-worth-over-invoices</v>
      </c>
      <c r="D1678" s="20" t="b">
        <f>IFERROR(__xludf.DUMMYFUNCTION("""COMPUTED_VALUE"""),TRUE)</f>
        <v>1</v>
      </c>
      <c r="E1678" s="20" t="str">
        <f>IFERROR(__xludf.DUMMYFUNCTION("""COMPUTED_VALUE"""),"Easy")</f>
        <v>Easy</v>
      </c>
      <c r="F1678" s="20">
        <f>IFERROR(__xludf.DUMMYFUNCTION("""COMPUTED_VALUE"""),30.0)</f>
        <v>30</v>
      </c>
      <c r="G1678" s="20">
        <f>IFERROR(__xludf.DUMMYFUNCTION("""COMPUTED_VALUE"""),121.0)</f>
        <v>121</v>
      </c>
      <c r="H1678" s="20" t="str">
        <f>IFERROR(__xludf.DUMMYFUNCTION("""COMPUTED_VALUE"""),"Database")</f>
        <v>Database</v>
      </c>
      <c r="I1678" s="20">
        <f>IFERROR(__xludf.DUMMYFUNCTION("""COMPUTED_VALUE"""),0.39)</f>
        <v>0.39</v>
      </c>
      <c r="J1678" s="20">
        <f>IFERROR(__xludf.DUMMYFUNCTION("""COMPUTED_VALUE"""),1677.0)</f>
        <v>1677</v>
      </c>
      <c r="K1678" s="20" t="b">
        <f>IFERROR(__xludf.DUMMYFUNCTION("""COMPUTED_VALUE"""),TRUE)</f>
        <v>1</v>
      </c>
      <c r="L1678" s="20" t="str">
        <f>IFERROR(__xludf.DUMMYFUNCTION("""COMPUTED_VALUE"""),"Database;")</f>
        <v>Database;</v>
      </c>
      <c r="M1678" s="20" t="b">
        <f>IFERROR(__xludf.DUMMYFUNCTION("""COMPUTED_VALUE"""),FALSE)</f>
        <v>0</v>
      </c>
      <c r="N1678" s="20" t="b">
        <f>IFERROR(__xludf.DUMMYFUNCTION("""COMPUTED_VALUE"""),FALSE)</f>
        <v>0</v>
      </c>
      <c r="O1678" s="20">
        <f>IFERROR(__xludf.DUMMYFUNCTION("""COMPUTED_VALUE"""),38.9983844911147)</f>
        <v>38.99838449</v>
      </c>
      <c r="P1678" s="20">
        <f>IFERROR(__xludf.DUMMYFUNCTION("""COMPUTED_VALUE"""),13277.0)</f>
        <v>13277</v>
      </c>
      <c r="Q1678" s="20">
        <f>IFERROR(__xludf.DUMMYFUNCTION("""COMPUTED_VALUE"""),34045.0)</f>
        <v>34045</v>
      </c>
    </row>
    <row r="1679">
      <c r="A1679" s="20">
        <f>IFERROR(__xludf.DUMMYFUNCTION("""COMPUTED_VALUE"""),1797.0)</f>
        <v>1797</v>
      </c>
      <c r="B1679" s="20" t="str">
        <f>IFERROR(__xludf.DUMMYFUNCTION("""COMPUTED_VALUE"""),"Goal Parser Interpretation")</f>
        <v>Goal Parser Interpretation</v>
      </c>
      <c r="C1679" s="20" t="str">
        <f>IFERROR(__xludf.DUMMYFUNCTION("""COMPUTED_VALUE"""),"goal-parser-interpretation")</f>
        <v>goal-parser-interpretation</v>
      </c>
      <c r="D1679" s="20" t="b">
        <f>IFERROR(__xludf.DUMMYFUNCTION("""COMPUTED_VALUE"""),FALSE)</f>
        <v>0</v>
      </c>
      <c r="E1679" s="20" t="str">
        <f>IFERROR(__xludf.DUMMYFUNCTION("""COMPUTED_VALUE"""),"Easy")</f>
        <v>Easy</v>
      </c>
      <c r="F1679" s="20">
        <f>IFERROR(__xludf.DUMMYFUNCTION("""COMPUTED_VALUE"""),1095.0)</f>
        <v>1095</v>
      </c>
      <c r="G1679" s="20">
        <f>IFERROR(__xludf.DUMMYFUNCTION("""COMPUTED_VALUE"""),75.0)</f>
        <v>75</v>
      </c>
      <c r="H1679" s="20" t="str">
        <f>IFERROR(__xludf.DUMMYFUNCTION("""COMPUTED_VALUE"""),"Algorithms")</f>
        <v>Algorithms</v>
      </c>
      <c r="I1679" s="20">
        <f>IFERROR(__xludf.DUMMYFUNCTION("""COMPUTED_VALUE"""),0.862)</f>
        <v>0.862</v>
      </c>
      <c r="J1679" s="20">
        <f>IFERROR(__xludf.DUMMYFUNCTION("""COMPUTED_VALUE"""),1678.0)</f>
        <v>1678</v>
      </c>
      <c r="K1679" s="20" t="b">
        <f>IFERROR(__xludf.DUMMYFUNCTION("""COMPUTED_VALUE"""),FALSE)</f>
        <v>0</v>
      </c>
      <c r="L1679" s="20" t="str">
        <f>IFERROR(__xludf.DUMMYFUNCTION("""COMPUTED_VALUE"""),"String;")</f>
        <v>String;</v>
      </c>
      <c r="M1679" s="20" t="b">
        <f>IFERROR(__xludf.DUMMYFUNCTION("""COMPUTED_VALUE"""),FALSE)</f>
        <v>0</v>
      </c>
      <c r="N1679" s="20" t="b">
        <f>IFERROR(__xludf.DUMMYFUNCTION("""COMPUTED_VALUE"""),FALSE)</f>
        <v>0</v>
      </c>
      <c r="O1679" s="20">
        <f>IFERROR(__xludf.DUMMYFUNCTION("""COMPUTED_VALUE"""),86.174233977075)</f>
        <v>86.17423398</v>
      </c>
      <c r="P1679" s="20">
        <f>IFERROR(__xludf.DUMMYFUNCTION("""COMPUTED_VALUE"""),154567.0)</f>
        <v>154567</v>
      </c>
      <c r="Q1679" s="20">
        <f>IFERROR(__xludf.DUMMYFUNCTION("""COMPUTED_VALUE"""),179366.0)</f>
        <v>179366</v>
      </c>
    </row>
    <row r="1680">
      <c r="A1680" s="20">
        <f>IFERROR(__xludf.DUMMYFUNCTION("""COMPUTED_VALUE"""),1798.0)</f>
        <v>1798</v>
      </c>
      <c r="B1680" s="20" t="str">
        <f>IFERROR(__xludf.DUMMYFUNCTION("""COMPUTED_VALUE"""),"Max Number of K-Sum Pairs")</f>
        <v>Max Number of K-Sum Pairs</v>
      </c>
      <c r="C1680" s="20" t="str">
        <f>IFERROR(__xludf.DUMMYFUNCTION("""COMPUTED_VALUE"""),"max-number-of-k-sum-pairs")</f>
        <v>max-number-of-k-sum-pairs</v>
      </c>
      <c r="D1680" s="20" t="b">
        <f>IFERROR(__xludf.DUMMYFUNCTION("""COMPUTED_VALUE"""),FALSE)</f>
        <v>0</v>
      </c>
      <c r="E1680" s="20" t="str">
        <f>IFERROR(__xludf.DUMMYFUNCTION("""COMPUTED_VALUE"""),"Medium")</f>
        <v>Medium</v>
      </c>
      <c r="F1680" s="20">
        <f>IFERROR(__xludf.DUMMYFUNCTION("""COMPUTED_VALUE"""),2023.0)</f>
        <v>2023</v>
      </c>
      <c r="G1680" s="20">
        <f>IFERROR(__xludf.DUMMYFUNCTION("""COMPUTED_VALUE"""),47.0)</f>
        <v>47</v>
      </c>
      <c r="H1680" s="20" t="str">
        <f>IFERROR(__xludf.DUMMYFUNCTION("""COMPUTED_VALUE"""),"Algorithms")</f>
        <v>Algorithms</v>
      </c>
      <c r="I1680" s="20">
        <f>IFERROR(__xludf.DUMMYFUNCTION("""COMPUTED_VALUE"""),0.573)</f>
        <v>0.573</v>
      </c>
      <c r="J1680" s="20">
        <f>IFERROR(__xludf.DUMMYFUNCTION("""COMPUTED_VALUE"""),1679.0)</f>
        <v>1679</v>
      </c>
      <c r="K1680" s="20" t="b">
        <f>IFERROR(__xludf.DUMMYFUNCTION("""COMPUTED_VALUE"""),FALSE)</f>
        <v>0</v>
      </c>
      <c r="L1680" s="20" t="str">
        <f>IFERROR(__xludf.DUMMYFUNCTION("""COMPUTED_VALUE"""),"Array;Hash Table;Two Pointers;Sorting;")</f>
        <v>Array;Hash Table;Two Pointers;Sorting;</v>
      </c>
      <c r="M1680" s="20" t="b">
        <f>IFERROR(__xludf.DUMMYFUNCTION("""COMPUTED_VALUE"""),TRUE)</f>
        <v>1</v>
      </c>
      <c r="N1680" s="20" t="b">
        <f>IFERROR(__xludf.DUMMYFUNCTION("""COMPUTED_VALUE"""),FALSE)</f>
        <v>0</v>
      </c>
      <c r="O1680" s="20">
        <f>IFERROR(__xludf.DUMMYFUNCTION("""COMPUTED_VALUE"""),57.3245914945838)</f>
        <v>57.32459149</v>
      </c>
      <c r="P1680" s="20">
        <f>IFERROR(__xludf.DUMMYFUNCTION("""COMPUTED_VALUE"""),118647.0)</f>
        <v>118647</v>
      </c>
      <c r="Q1680" s="20">
        <f>IFERROR(__xludf.DUMMYFUNCTION("""COMPUTED_VALUE"""),206974.0)</f>
        <v>206974</v>
      </c>
    </row>
    <row r="1681">
      <c r="A1681" s="20">
        <f>IFERROR(__xludf.DUMMYFUNCTION("""COMPUTED_VALUE"""),1800.0)</f>
        <v>1800</v>
      </c>
      <c r="B1681" s="20" t="str">
        <f>IFERROR(__xludf.DUMMYFUNCTION("""COMPUTED_VALUE"""),"Concatenation of Consecutive Binary Numbers")</f>
        <v>Concatenation of Consecutive Binary Numbers</v>
      </c>
      <c r="C1681" s="20" t="str">
        <f>IFERROR(__xludf.DUMMYFUNCTION("""COMPUTED_VALUE"""),"concatenation-of-consecutive-binary-numbers")</f>
        <v>concatenation-of-consecutive-binary-numbers</v>
      </c>
      <c r="D1681" s="20" t="b">
        <f>IFERROR(__xludf.DUMMYFUNCTION("""COMPUTED_VALUE"""),FALSE)</f>
        <v>0</v>
      </c>
      <c r="E1681" s="20" t="str">
        <f>IFERROR(__xludf.DUMMYFUNCTION("""COMPUTED_VALUE"""),"Medium")</f>
        <v>Medium</v>
      </c>
      <c r="F1681" s="20">
        <f>IFERROR(__xludf.DUMMYFUNCTION("""COMPUTED_VALUE"""),1344.0)</f>
        <v>1344</v>
      </c>
      <c r="G1681" s="20">
        <f>IFERROR(__xludf.DUMMYFUNCTION("""COMPUTED_VALUE"""),421.0)</f>
        <v>421</v>
      </c>
      <c r="H1681" s="20" t="str">
        <f>IFERROR(__xludf.DUMMYFUNCTION("""COMPUTED_VALUE"""),"Algorithms")</f>
        <v>Algorithms</v>
      </c>
      <c r="I1681" s="20">
        <f>IFERROR(__xludf.DUMMYFUNCTION("""COMPUTED_VALUE"""),0.57)</f>
        <v>0.57</v>
      </c>
      <c r="J1681" s="20">
        <f>IFERROR(__xludf.DUMMYFUNCTION("""COMPUTED_VALUE"""),1680.0)</f>
        <v>1680</v>
      </c>
      <c r="K1681" s="20" t="b">
        <f>IFERROR(__xludf.DUMMYFUNCTION("""COMPUTED_VALUE"""),FALSE)</f>
        <v>0</v>
      </c>
      <c r="L1681" s="20" t="str">
        <f>IFERROR(__xludf.DUMMYFUNCTION("""COMPUTED_VALUE"""),"Math;Bit Manipulation;Simulation;")</f>
        <v>Math;Bit Manipulation;Simulation;</v>
      </c>
      <c r="M1681" s="20" t="b">
        <f>IFERROR(__xludf.DUMMYFUNCTION("""COMPUTED_VALUE"""),TRUE)</f>
        <v>1</v>
      </c>
      <c r="N1681" s="20" t="b">
        <f>IFERROR(__xludf.DUMMYFUNCTION("""COMPUTED_VALUE"""),FALSE)</f>
        <v>0</v>
      </c>
      <c r="O1681" s="20">
        <f>IFERROR(__xludf.DUMMYFUNCTION("""COMPUTED_VALUE"""),56.9631991887275)</f>
        <v>56.96319919</v>
      </c>
      <c r="P1681" s="20">
        <f>IFERROR(__xludf.DUMMYFUNCTION("""COMPUTED_VALUE"""),85381.0)</f>
        <v>85381</v>
      </c>
      <c r="Q1681" s="20">
        <f>IFERROR(__xludf.DUMMYFUNCTION("""COMPUTED_VALUE"""),149888.0)</f>
        <v>149888</v>
      </c>
    </row>
    <row r="1682">
      <c r="A1682" s="20">
        <f>IFERROR(__xludf.DUMMYFUNCTION("""COMPUTED_VALUE"""),1799.0)</f>
        <v>1799</v>
      </c>
      <c r="B1682" s="20" t="str">
        <f>IFERROR(__xludf.DUMMYFUNCTION("""COMPUTED_VALUE"""),"Minimum Incompatibility")</f>
        <v>Minimum Incompatibility</v>
      </c>
      <c r="C1682" s="20" t="str">
        <f>IFERROR(__xludf.DUMMYFUNCTION("""COMPUTED_VALUE"""),"minimum-incompatibility")</f>
        <v>minimum-incompatibility</v>
      </c>
      <c r="D1682" s="20" t="b">
        <f>IFERROR(__xludf.DUMMYFUNCTION("""COMPUTED_VALUE"""),FALSE)</f>
        <v>0</v>
      </c>
      <c r="E1682" s="20" t="str">
        <f>IFERROR(__xludf.DUMMYFUNCTION("""COMPUTED_VALUE"""),"Hard")</f>
        <v>Hard</v>
      </c>
      <c r="F1682" s="20">
        <f>IFERROR(__xludf.DUMMYFUNCTION("""COMPUTED_VALUE"""),225.0)</f>
        <v>225</v>
      </c>
      <c r="G1682" s="20">
        <f>IFERROR(__xludf.DUMMYFUNCTION("""COMPUTED_VALUE"""),87.0)</f>
        <v>87</v>
      </c>
      <c r="H1682" s="20" t="str">
        <f>IFERROR(__xludf.DUMMYFUNCTION("""COMPUTED_VALUE"""),"Algorithms")</f>
        <v>Algorithms</v>
      </c>
      <c r="I1682" s="20">
        <f>IFERROR(__xludf.DUMMYFUNCTION("""COMPUTED_VALUE"""),0.374)</f>
        <v>0.374</v>
      </c>
      <c r="J1682" s="20">
        <f>IFERROR(__xludf.DUMMYFUNCTION("""COMPUTED_VALUE"""),1681.0)</f>
        <v>1681</v>
      </c>
      <c r="K1682" s="20" t="b">
        <f>IFERROR(__xludf.DUMMYFUNCTION("""COMPUTED_VALUE"""),FALSE)</f>
        <v>0</v>
      </c>
      <c r="L1682" s="20" t="str">
        <f>IFERROR(__xludf.DUMMYFUNCTION("""COMPUTED_VALUE"""),"Array;Dynamic Programming;Bit Manipulation;Bitmask;")</f>
        <v>Array;Dynamic Programming;Bit Manipulation;Bitmask;</v>
      </c>
      <c r="M1682" s="20" t="b">
        <f>IFERROR(__xludf.DUMMYFUNCTION("""COMPUTED_VALUE"""),FALSE)</f>
        <v>0</v>
      </c>
      <c r="N1682" s="20" t="b">
        <f>IFERROR(__xludf.DUMMYFUNCTION("""COMPUTED_VALUE"""),FALSE)</f>
        <v>0</v>
      </c>
      <c r="O1682" s="20">
        <f>IFERROR(__xludf.DUMMYFUNCTION("""COMPUTED_VALUE"""),37.3927958833619)</f>
        <v>37.39279588</v>
      </c>
      <c r="P1682" s="20">
        <f>IFERROR(__xludf.DUMMYFUNCTION("""COMPUTED_VALUE"""),6540.0)</f>
        <v>6540</v>
      </c>
      <c r="Q1682" s="20">
        <f>IFERROR(__xludf.DUMMYFUNCTION("""COMPUTED_VALUE"""),17490.0)</f>
        <v>17490</v>
      </c>
    </row>
    <row r="1683">
      <c r="A1683" s="20">
        <f>IFERROR(__xludf.DUMMYFUNCTION("""COMPUTED_VALUE"""),1822.0)</f>
        <v>1822</v>
      </c>
      <c r="B1683" s="20" t="str">
        <f>IFERROR(__xludf.DUMMYFUNCTION("""COMPUTED_VALUE"""),"Longest Palindromic Subsequence II")</f>
        <v>Longest Palindromic Subsequence II</v>
      </c>
      <c r="C1683" s="20" t="str">
        <f>IFERROR(__xludf.DUMMYFUNCTION("""COMPUTED_VALUE"""),"longest-palindromic-subsequence-ii")</f>
        <v>longest-palindromic-subsequence-ii</v>
      </c>
      <c r="D1683" s="20" t="b">
        <f>IFERROR(__xludf.DUMMYFUNCTION("""COMPUTED_VALUE"""),TRUE)</f>
        <v>1</v>
      </c>
      <c r="E1683" s="20" t="str">
        <f>IFERROR(__xludf.DUMMYFUNCTION("""COMPUTED_VALUE"""),"Medium")</f>
        <v>Medium</v>
      </c>
      <c r="F1683" s="20">
        <f>IFERROR(__xludf.DUMMYFUNCTION("""COMPUTED_VALUE"""),130.0)</f>
        <v>130</v>
      </c>
      <c r="G1683" s="20">
        <f>IFERROR(__xludf.DUMMYFUNCTION("""COMPUTED_VALUE"""),26.0)</f>
        <v>26</v>
      </c>
      <c r="H1683" s="20" t="str">
        <f>IFERROR(__xludf.DUMMYFUNCTION("""COMPUTED_VALUE"""),"Algorithms")</f>
        <v>Algorithms</v>
      </c>
      <c r="I1683" s="20">
        <f>IFERROR(__xludf.DUMMYFUNCTION("""COMPUTED_VALUE"""),0.494)</f>
        <v>0.494</v>
      </c>
      <c r="J1683" s="20">
        <f>IFERROR(__xludf.DUMMYFUNCTION("""COMPUTED_VALUE"""),1682.0)</f>
        <v>1682</v>
      </c>
      <c r="K1683" s="20" t="b">
        <f>IFERROR(__xludf.DUMMYFUNCTION("""COMPUTED_VALUE"""),TRUE)</f>
        <v>1</v>
      </c>
      <c r="L1683" s="20" t="str">
        <f>IFERROR(__xludf.DUMMYFUNCTION("""COMPUTED_VALUE"""),"String;Dynamic Programming;")</f>
        <v>String;Dynamic Programming;</v>
      </c>
      <c r="M1683" s="20" t="b">
        <f>IFERROR(__xludf.DUMMYFUNCTION("""COMPUTED_VALUE"""),FALSE)</f>
        <v>0</v>
      </c>
      <c r="N1683" s="20" t="b">
        <f>IFERROR(__xludf.DUMMYFUNCTION("""COMPUTED_VALUE"""),FALSE)</f>
        <v>0</v>
      </c>
      <c r="O1683" s="20">
        <f>IFERROR(__xludf.DUMMYFUNCTION("""COMPUTED_VALUE"""),49.4069289489136)</f>
        <v>49.40692895</v>
      </c>
      <c r="P1683" s="20">
        <f>IFERROR(__xludf.DUMMYFUNCTION("""COMPUTED_VALUE"""),4207.0)</f>
        <v>4207</v>
      </c>
      <c r="Q1683" s="20">
        <f>IFERROR(__xludf.DUMMYFUNCTION("""COMPUTED_VALUE"""),8515.0)</f>
        <v>8515</v>
      </c>
    </row>
    <row r="1684">
      <c r="A1684" s="20">
        <f>IFERROR(__xludf.DUMMYFUNCTION("""COMPUTED_VALUE"""),1827.0)</f>
        <v>1827</v>
      </c>
      <c r="B1684" s="20" t="str">
        <f>IFERROR(__xludf.DUMMYFUNCTION("""COMPUTED_VALUE"""),"Invalid Tweets")</f>
        <v>Invalid Tweets</v>
      </c>
      <c r="C1684" s="20" t="str">
        <f>IFERROR(__xludf.DUMMYFUNCTION("""COMPUTED_VALUE"""),"invalid-tweets")</f>
        <v>invalid-tweets</v>
      </c>
      <c r="D1684" s="20" t="b">
        <f>IFERROR(__xludf.DUMMYFUNCTION("""COMPUTED_VALUE"""),TRUE)</f>
        <v>1</v>
      </c>
      <c r="E1684" s="20" t="str">
        <f>IFERROR(__xludf.DUMMYFUNCTION("""COMPUTED_VALUE"""),"Easy")</f>
        <v>Easy</v>
      </c>
      <c r="F1684" s="20">
        <f>IFERROR(__xludf.DUMMYFUNCTION("""COMPUTED_VALUE"""),73.0)</f>
        <v>73</v>
      </c>
      <c r="G1684" s="20">
        <f>IFERROR(__xludf.DUMMYFUNCTION("""COMPUTED_VALUE"""),78.0)</f>
        <v>78</v>
      </c>
      <c r="H1684" s="20" t="str">
        <f>IFERROR(__xludf.DUMMYFUNCTION("""COMPUTED_VALUE"""),"Database")</f>
        <v>Database</v>
      </c>
      <c r="I1684" s="20">
        <f>IFERROR(__xludf.DUMMYFUNCTION("""COMPUTED_VALUE"""),0.909)</f>
        <v>0.909</v>
      </c>
      <c r="J1684" s="20">
        <f>IFERROR(__xludf.DUMMYFUNCTION("""COMPUTED_VALUE"""),1683.0)</f>
        <v>1683</v>
      </c>
      <c r="K1684" s="20" t="b">
        <f>IFERROR(__xludf.DUMMYFUNCTION("""COMPUTED_VALUE"""),TRUE)</f>
        <v>1</v>
      </c>
      <c r="L1684" s="20" t="str">
        <f>IFERROR(__xludf.DUMMYFUNCTION("""COMPUTED_VALUE"""),"Database;")</f>
        <v>Database;</v>
      </c>
      <c r="M1684" s="20" t="b">
        <f>IFERROR(__xludf.DUMMYFUNCTION("""COMPUTED_VALUE"""),FALSE)</f>
        <v>0</v>
      </c>
      <c r="N1684" s="20" t="b">
        <f>IFERROR(__xludf.DUMMYFUNCTION("""COMPUTED_VALUE"""),FALSE)</f>
        <v>0</v>
      </c>
      <c r="O1684" s="20">
        <f>IFERROR(__xludf.DUMMYFUNCTION("""COMPUTED_VALUE"""),90.8962264150943)</f>
        <v>90.89622642</v>
      </c>
      <c r="P1684" s="20">
        <f>IFERROR(__xludf.DUMMYFUNCTION("""COMPUTED_VALUE"""),21197.0)</f>
        <v>21197</v>
      </c>
      <c r="Q1684" s="20">
        <f>IFERROR(__xludf.DUMMYFUNCTION("""COMPUTED_VALUE"""),23320.0)</f>
        <v>23320</v>
      </c>
    </row>
    <row r="1685">
      <c r="A1685" s="20">
        <f>IFERROR(__xludf.DUMMYFUNCTION("""COMPUTED_VALUE"""),1786.0)</f>
        <v>1786</v>
      </c>
      <c r="B1685" s="20" t="str">
        <f>IFERROR(__xludf.DUMMYFUNCTION("""COMPUTED_VALUE"""),"Count the Number of Consistent Strings")</f>
        <v>Count the Number of Consistent Strings</v>
      </c>
      <c r="C1685" s="20" t="str">
        <f>IFERROR(__xludf.DUMMYFUNCTION("""COMPUTED_VALUE"""),"count-the-number-of-consistent-strings")</f>
        <v>count-the-number-of-consistent-strings</v>
      </c>
      <c r="D1685" s="20" t="b">
        <f>IFERROR(__xludf.DUMMYFUNCTION("""COMPUTED_VALUE"""),FALSE)</f>
        <v>0</v>
      </c>
      <c r="E1685" s="20" t="str">
        <f>IFERROR(__xludf.DUMMYFUNCTION("""COMPUTED_VALUE"""),"Easy")</f>
        <v>Easy</v>
      </c>
      <c r="F1685" s="20">
        <f>IFERROR(__xludf.DUMMYFUNCTION("""COMPUTED_VALUE"""),1257.0)</f>
        <v>1257</v>
      </c>
      <c r="G1685" s="20">
        <f>IFERROR(__xludf.DUMMYFUNCTION("""COMPUTED_VALUE"""),53.0)</f>
        <v>53</v>
      </c>
      <c r="H1685" s="20" t="str">
        <f>IFERROR(__xludf.DUMMYFUNCTION("""COMPUTED_VALUE"""),"Algorithms")</f>
        <v>Algorithms</v>
      </c>
      <c r="I1685" s="20">
        <f>IFERROR(__xludf.DUMMYFUNCTION("""COMPUTED_VALUE"""),0.82)</f>
        <v>0.82</v>
      </c>
      <c r="J1685" s="20">
        <f>IFERROR(__xludf.DUMMYFUNCTION("""COMPUTED_VALUE"""),1684.0)</f>
        <v>1684</v>
      </c>
      <c r="K1685" s="20" t="b">
        <f>IFERROR(__xludf.DUMMYFUNCTION("""COMPUTED_VALUE"""),FALSE)</f>
        <v>0</v>
      </c>
      <c r="L1685" s="20" t="str">
        <f>IFERROR(__xludf.DUMMYFUNCTION("""COMPUTED_VALUE"""),"Array;Hash Table;String;Bit Manipulation;")</f>
        <v>Array;Hash Table;String;Bit Manipulation;</v>
      </c>
      <c r="M1685" s="20" t="b">
        <f>IFERROR(__xludf.DUMMYFUNCTION("""COMPUTED_VALUE"""),FALSE)</f>
        <v>0</v>
      </c>
      <c r="N1685" s="20" t="b">
        <f>IFERROR(__xludf.DUMMYFUNCTION("""COMPUTED_VALUE"""),FALSE)</f>
        <v>0</v>
      </c>
      <c r="O1685" s="20">
        <f>IFERROR(__xludf.DUMMYFUNCTION("""COMPUTED_VALUE"""),81.9871959758781)</f>
        <v>81.98719598</v>
      </c>
      <c r="P1685" s="20">
        <f>IFERROR(__xludf.DUMMYFUNCTION("""COMPUTED_VALUE"""),114744.0)</f>
        <v>114744</v>
      </c>
      <c r="Q1685" s="20">
        <f>IFERROR(__xludf.DUMMYFUNCTION("""COMPUTED_VALUE"""),139954.0)</f>
        <v>139954</v>
      </c>
    </row>
    <row r="1686">
      <c r="A1686" s="20">
        <f>IFERROR(__xludf.DUMMYFUNCTION("""COMPUTED_VALUE"""),1787.0)</f>
        <v>1787</v>
      </c>
      <c r="B1686" s="20" t="str">
        <f>IFERROR(__xludf.DUMMYFUNCTION("""COMPUTED_VALUE"""),"Sum of Absolute Differences in a Sorted Array")</f>
        <v>Sum of Absolute Differences in a Sorted Array</v>
      </c>
      <c r="C1686" s="20" t="str">
        <f>IFERROR(__xludf.DUMMYFUNCTION("""COMPUTED_VALUE"""),"sum-of-absolute-differences-in-a-sorted-array")</f>
        <v>sum-of-absolute-differences-in-a-sorted-array</v>
      </c>
      <c r="D1686" s="20" t="b">
        <f>IFERROR(__xludf.DUMMYFUNCTION("""COMPUTED_VALUE"""),FALSE)</f>
        <v>0</v>
      </c>
      <c r="E1686" s="20" t="str">
        <f>IFERROR(__xludf.DUMMYFUNCTION("""COMPUTED_VALUE"""),"Medium")</f>
        <v>Medium</v>
      </c>
      <c r="F1686" s="20">
        <f>IFERROR(__xludf.DUMMYFUNCTION("""COMPUTED_VALUE"""),912.0)</f>
        <v>912</v>
      </c>
      <c r="G1686" s="20">
        <f>IFERROR(__xludf.DUMMYFUNCTION("""COMPUTED_VALUE"""),27.0)</f>
        <v>27</v>
      </c>
      <c r="H1686" s="20" t="str">
        <f>IFERROR(__xludf.DUMMYFUNCTION("""COMPUTED_VALUE"""),"Algorithms")</f>
        <v>Algorithms</v>
      </c>
      <c r="I1686" s="20">
        <f>IFERROR(__xludf.DUMMYFUNCTION("""COMPUTED_VALUE"""),0.647)</f>
        <v>0.647</v>
      </c>
      <c r="J1686" s="20">
        <f>IFERROR(__xludf.DUMMYFUNCTION("""COMPUTED_VALUE"""),1685.0)</f>
        <v>1685</v>
      </c>
      <c r="K1686" s="20" t="b">
        <f>IFERROR(__xludf.DUMMYFUNCTION("""COMPUTED_VALUE"""),FALSE)</f>
        <v>0</v>
      </c>
      <c r="L1686" s="20" t="str">
        <f>IFERROR(__xludf.DUMMYFUNCTION("""COMPUTED_VALUE"""),"Array;Math;Prefix Sum;")</f>
        <v>Array;Math;Prefix Sum;</v>
      </c>
      <c r="M1686" s="20" t="b">
        <f>IFERROR(__xludf.DUMMYFUNCTION("""COMPUTED_VALUE"""),FALSE)</f>
        <v>0</v>
      </c>
      <c r="N1686" s="20" t="b">
        <f>IFERROR(__xludf.DUMMYFUNCTION("""COMPUTED_VALUE"""),FALSE)</f>
        <v>0</v>
      </c>
      <c r="O1686" s="20">
        <f>IFERROR(__xludf.DUMMYFUNCTION("""COMPUTED_VALUE"""),64.6926420366345)</f>
        <v>64.69264204</v>
      </c>
      <c r="P1686" s="20">
        <f>IFERROR(__xludf.DUMMYFUNCTION("""COMPUTED_VALUE"""),25005.0)</f>
        <v>25005</v>
      </c>
      <c r="Q1686" s="20">
        <f>IFERROR(__xludf.DUMMYFUNCTION("""COMPUTED_VALUE"""),38650.0)</f>
        <v>38650</v>
      </c>
    </row>
    <row r="1687">
      <c r="A1687" s="20">
        <f>IFERROR(__xludf.DUMMYFUNCTION("""COMPUTED_VALUE"""),1788.0)</f>
        <v>1788</v>
      </c>
      <c r="B1687" s="20" t="str">
        <f>IFERROR(__xludf.DUMMYFUNCTION("""COMPUTED_VALUE"""),"Stone Game VI")</f>
        <v>Stone Game VI</v>
      </c>
      <c r="C1687" s="20" t="str">
        <f>IFERROR(__xludf.DUMMYFUNCTION("""COMPUTED_VALUE"""),"stone-game-vi")</f>
        <v>stone-game-vi</v>
      </c>
      <c r="D1687" s="20" t="b">
        <f>IFERROR(__xludf.DUMMYFUNCTION("""COMPUTED_VALUE"""),FALSE)</f>
        <v>0</v>
      </c>
      <c r="E1687" s="20" t="str">
        <f>IFERROR(__xludf.DUMMYFUNCTION("""COMPUTED_VALUE"""),"Medium")</f>
        <v>Medium</v>
      </c>
      <c r="F1687" s="20">
        <f>IFERROR(__xludf.DUMMYFUNCTION("""COMPUTED_VALUE"""),621.0)</f>
        <v>621</v>
      </c>
      <c r="G1687" s="20">
        <f>IFERROR(__xludf.DUMMYFUNCTION("""COMPUTED_VALUE"""),49.0)</f>
        <v>49</v>
      </c>
      <c r="H1687" s="20" t="str">
        <f>IFERROR(__xludf.DUMMYFUNCTION("""COMPUTED_VALUE"""),"Algorithms")</f>
        <v>Algorithms</v>
      </c>
      <c r="I1687" s="20">
        <f>IFERROR(__xludf.DUMMYFUNCTION("""COMPUTED_VALUE"""),0.545)</f>
        <v>0.545</v>
      </c>
      <c r="J1687" s="20">
        <f>IFERROR(__xludf.DUMMYFUNCTION("""COMPUTED_VALUE"""),1686.0)</f>
        <v>1686</v>
      </c>
      <c r="K1687" s="20" t="b">
        <f>IFERROR(__xludf.DUMMYFUNCTION("""COMPUTED_VALUE"""),FALSE)</f>
        <v>0</v>
      </c>
      <c r="L1687" s="20" t="str">
        <f>IFERROR(__xludf.DUMMYFUNCTION("""COMPUTED_VALUE"""),"Array;Math;Greedy;Sorting;Heap (Priority Queue);Game Theory;")</f>
        <v>Array;Math;Greedy;Sorting;Heap (Priority Queue);Game Theory;</v>
      </c>
      <c r="M1687" s="20" t="b">
        <f>IFERROR(__xludf.DUMMYFUNCTION("""COMPUTED_VALUE"""),FALSE)</f>
        <v>0</v>
      </c>
      <c r="N1687" s="20" t="b">
        <f>IFERROR(__xludf.DUMMYFUNCTION("""COMPUTED_VALUE"""),FALSE)</f>
        <v>0</v>
      </c>
      <c r="O1687" s="20">
        <f>IFERROR(__xludf.DUMMYFUNCTION("""COMPUTED_VALUE"""),54.4661605556452)</f>
        <v>54.46616056</v>
      </c>
      <c r="P1687" s="20">
        <f>IFERROR(__xludf.DUMMYFUNCTION("""COMPUTED_VALUE"""),13488.0)</f>
        <v>13488</v>
      </c>
      <c r="Q1687" s="20">
        <f>IFERROR(__xludf.DUMMYFUNCTION("""COMPUTED_VALUE"""),24764.0)</f>
        <v>24764</v>
      </c>
    </row>
    <row r="1688">
      <c r="A1688" s="20">
        <f>IFERROR(__xludf.DUMMYFUNCTION("""COMPUTED_VALUE"""),1789.0)</f>
        <v>1789</v>
      </c>
      <c r="B1688" s="20" t="str">
        <f>IFERROR(__xludf.DUMMYFUNCTION("""COMPUTED_VALUE"""),"Delivering Boxes from Storage to Ports")</f>
        <v>Delivering Boxes from Storage to Ports</v>
      </c>
      <c r="C1688" s="20" t="str">
        <f>IFERROR(__xludf.DUMMYFUNCTION("""COMPUTED_VALUE"""),"delivering-boxes-from-storage-to-ports")</f>
        <v>delivering-boxes-from-storage-to-ports</v>
      </c>
      <c r="D1688" s="20" t="b">
        <f>IFERROR(__xludf.DUMMYFUNCTION("""COMPUTED_VALUE"""),FALSE)</f>
        <v>0</v>
      </c>
      <c r="E1688" s="20" t="str">
        <f>IFERROR(__xludf.DUMMYFUNCTION("""COMPUTED_VALUE"""),"Hard")</f>
        <v>Hard</v>
      </c>
      <c r="F1688" s="20">
        <f>IFERROR(__xludf.DUMMYFUNCTION("""COMPUTED_VALUE"""),311.0)</f>
        <v>311</v>
      </c>
      <c r="G1688" s="20">
        <f>IFERROR(__xludf.DUMMYFUNCTION("""COMPUTED_VALUE"""),23.0)</f>
        <v>23</v>
      </c>
      <c r="H1688" s="20" t="str">
        <f>IFERROR(__xludf.DUMMYFUNCTION("""COMPUTED_VALUE"""),"Algorithms")</f>
        <v>Algorithms</v>
      </c>
      <c r="I1688" s="20">
        <f>IFERROR(__xludf.DUMMYFUNCTION("""COMPUTED_VALUE"""),0.387)</f>
        <v>0.387</v>
      </c>
      <c r="J1688" s="20">
        <f>IFERROR(__xludf.DUMMYFUNCTION("""COMPUTED_VALUE"""),1687.0)</f>
        <v>1687</v>
      </c>
      <c r="K1688" s="20" t="b">
        <f>IFERROR(__xludf.DUMMYFUNCTION("""COMPUTED_VALUE"""),FALSE)</f>
        <v>0</v>
      </c>
      <c r="L1688" s="20" t="str">
        <f>IFERROR(__xludf.DUMMYFUNCTION("""COMPUTED_VALUE"""),"Array;Dynamic Programming;Segment Tree;Queue;Heap (Priority Queue);Monotonic Queue;")</f>
        <v>Array;Dynamic Programming;Segment Tree;Queue;Heap (Priority Queue);Monotonic Queue;</v>
      </c>
      <c r="M1688" s="20" t="b">
        <f>IFERROR(__xludf.DUMMYFUNCTION("""COMPUTED_VALUE"""),FALSE)</f>
        <v>0</v>
      </c>
      <c r="N1688" s="20" t="b">
        <f>IFERROR(__xludf.DUMMYFUNCTION("""COMPUTED_VALUE"""),FALSE)</f>
        <v>0</v>
      </c>
      <c r="O1688" s="20">
        <f>IFERROR(__xludf.DUMMYFUNCTION("""COMPUTED_VALUE"""),38.6986021417477)</f>
        <v>38.69860214</v>
      </c>
      <c r="P1688" s="20">
        <f>IFERROR(__xludf.DUMMYFUNCTION("""COMPUTED_VALUE"""),4734.0)</f>
        <v>4734</v>
      </c>
      <c r="Q1688" s="20">
        <f>IFERROR(__xludf.DUMMYFUNCTION("""COMPUTED_VALUE"""),12233.0)</f>
        <v>12233</v>
      </c>
    </row>
    <row r="1689">
      <c r="A1689" s="20">
        <f>IFERROR(__xludf.DUMMYFUNCTION("""COMPUTED_VALUE"""),1806.0)</f>
        <v>1806</v>
      </c>
      <c r="B1689" s="20" t="str">
        <f>IFERROR(__xludf.DUMMYFUNCTION("""COMPUTED_VALUE"""),"Count of Matches in Tournament")</f>
        <v>Count of Matches in Tournament</v>
      </c>
      <c r="C1689" s="20" t="str">
        <f>IFERROR(__xludf.DUMMYFUNCTION("""COMPUTED_VALUE"""),"count-of-matches-in-tournament")</f>
        <v>count-of-matches-in-tournament</v>
      </c>
      <c r="D1689" s="20" t="b">
        <f>IFERROR(__xludf.DUMMYFUNCTION("""COMPUTED_VALUE"""),FALSE)</f>
        <v>0</v>
      </c>
      <c r="E1689" s="20" t="str">
        <f>IFERROR(__xludf.DUMMYFUNCTION("""COMPUTED_VALUE"""),"Easy")</f>
        <v>Easy</v>
      </c>
      <c r="F1689" s="20">
        <f>IFERROR(__xludf.DUMMYFUNCTION("""COMPUTED_VALUE"""),792.0)</f>
        <v>792</v>
      </c>
      <c r="G1689" s="20">
        <f>IFERROR(__xludf.DUMMYFUNCTION("""COMPUTED_VALUE"""),136.0)</f>
        <v>136</v>
      </c>
      <c r="H1689" s="20" t="str">
        <f>IFERROR(__xludf.DUMMYFUNCTION("""COMPUTED_VALUE"""),"Algorithms")</f>
        <v>Algorithms</v>
      </c>
      <c r="I1689" s="20">
        <f>IFERROR(__xludf.DUMMYFUNCTION("""COMPUTED_VALUE"""),0.832)</f>
        <v>0.832</v>
      </c>
      <c r="J1689" s="20">
        <f>IFERROR(__xludf.DUMMYFUNCTION("""COMPUTED_VALUE"""),1688.0)</f>
        <v>1688</v>
      </c>
      <c r="K1689" s="20" t="b">
        <f>IFERROR(__xludf.DUMMYFUNCTION("""COMPUTED_VALUE"""),FALSE)</f>
        <v>0</v>
      </c>
      <c r="L1689" s="20" t="str">
        <f>IFERROR(__xludf.DUMMYFUNCTION("""COMPUTED_VALUE"""),"Math;Simulation;")</f>
        <v>Math;Simulation;</v>
      </c>
      <c r="M1689" s="20" t="b">
        <f>IFERROR(__xludf.DUMMYFUNCTION("""COMPUTED_VALUE"""),FALSE)</f>
        <v>0</v>
      </c>
      <c r="N1689" s="20" t="b">
        <f>IFERROR(__xludf.DUMMYFUNCTION("""COMPUTED_VALUE"""),FALSE)</f>
        <v>0</v>
      </c>
      <c r="O1689" s="20">
        <f>IFERROR(__xludf.DUMMYFUNCTION("""COMPUTED_VALUE"""),83.2234848120387)</f>
        <v>83.22348481</v>
      </c>
      <c r="P1689" s="20">
        <f>IFERROR(__xludf.DUMMYFUNCTION("""COMPUTED_VALUE"""),86492.0)</f>
        <v>86492</v>
      </c>
      <c r="Q1689" s="20">
        <f>IFERROR(__xludf.DUMMYFUNCTION("""COMPUTED_VALUE"""),103926.0)</f>
        <v>103926</v>
      </c>
    </row>
    <row r="1690">
      <c r="A1690" s="20">
        <f>IFERROR(__xludf.DUMMYFUNCTION("""COMPUTED_VALUE"""),1807.0)</f>
        <v>1807</v>
      </c>
      <c r="B1690" s="20" t="str">
        <f>IFERROR(__xludf.DUMMYFUNCTION("""COMPUTED_VALUE"""),"Partitioning Into Minimum Number Of Deci-Binary Numbers")</f>
        <v>Partitioning Into Minimum Number Of Deci-Binary Numbers</v>
      </c>
      <c r="C1690" s="20" t="str">
        <f>IFERROR(__xludf.DUMMYFUNCTION("""COMPUTED_VALUE"""),"partitioning-into-minimum-number-of-deci-binary-numbers")</f>
        <v>partitioning-into-minimum-number-of-deci-binary-numbers</v>
      </c>
      <c r="D1690" s="20" t="b">
        <f>IFERROR(__xludf.DUMMYFUNCTION("""COMPUTED_VALUE"""),FALSE)</f>
        <v>0</v>
      </c>
      <c r="E1690" s="20" t="str">
        <f>IFERROR(__xludf.DUMMYFUNCTION("""COMPUTED_VALUE"""),"Medium")</f>
        <v>Medium</v>
      </c>
      <c r="F1690" s="20">
        <f>IFERROR(__xludf.DUMMYFUNCTION("""COMPUTED_VALUE"""),1963.0)</f>
        <v>1963</v>
      </c>
      <c r="G1690" s="20">
        <f>IFERROR(__xludf.DUMMYFUNCTION("""COMPUTED_VALUE"""),1259.0)</f>
        <v>1259</v>
      </c>
      <c r="H1690" s="20" t="str">
        <f>IFERROR(__xludf.DUMMYFUNCTION("""COMPUTED_VALUE"""),"Algorithms")</f>
        <v>Algorithms</v>
      </c>
      <c r="I1690" s="20">
        <f>IFERROR(__xludf.DUMMYFUNCTION("""COMPUTED_VALUE"""),0.895)</f>
        <v>0.895</v>
      </c>
      <c r="J1690" s="20">
        <f>IFERROR(__xludf.DUMMYFUNCTION("""COMPUTED_VALUE"""),1689.0)</f>
        <v>1689</v>
      </c>
      <c r="K1690" s="20" t="b">
        <f>IFERROR(__xludf.DUMMYFUNCTION("""COMPUTED_VALUE"""),FALSE)</f>
        <v>0</v>
      </c>
      <c r="L1690" s="20" t="str">
        <f>IFERROR(__xludf.DUMMYFUNCTION("""COMPUTED_VALUE"""),"String;Greedy;")</f>
        <v>String;Greedy;</v>
      </c>
      <c r="M1690" s="20" t="b">
        <f>IFERROR(__xludf.DUMMYFUNCTION("""COMPUTED_VALUE"""),TRUE)</f>
        <v>1</v>
      </c>
      <c r="N1690" s="20" t="b">
        <f>IFERROR(__xludf.DUMMYFUNCTION("""COMPUTED_VALUE"""),FALSE)</f>
        <v>0</v>
      </c>
      <c r="O1690" s="20">
        <f>IFERROR(__xludf.DUMMYFUNCTION("""COMPUTED_VALUE"""),89.4821458791673)</f>
        <v>89.48214588</v>
      </c>
      <c r="P1690" s="20">
        <f>IFERROR(__xludf.DUMMYFUNCTION("""COMPUTED_VALUE"""),158623.0)</f>
        <v>158623</v>
      </c>
      <c r="Q1690" s="20">
        <f>IFERROR(__xludf.DUMMYFUNCTION("""COMPUTED_VALUE"""),177244.0)</f>
        <v>177244</v>
      </c>
    </row>
    <row r="1691">
      <c r="A1691" s="20">
        <f>IFERROR(__xludf.DUMMYFUNCTION("""COMPUTED_VALUE"""),1808.0)</f>
        <v>1808</v>
      </c>
      <c r="B1691" s="20" t="str">
        <f>IFERROR(__xludf.DUMMYFUNCTION("""COMPUTED_VALUE"""),"Stone Game VII")</f>
        <v>Stone Game VII</v>
      </c>
      <c r="C1691" s="20" t="str">
        <f>IFERROR(__xludf.DUMMYFUNCTION("""COMPUTED_VALUE"""),"stone-game-vii")</f>
        <v>stone-game-vii</v>
      </c>
      <c r="D1691" s="20" t="b">
        <f>IFERROR(__xludf.DUMMYFUNCTION("""COMPUTED_VALUE"""),FALSE)</f>
        <v>0</v>
      </c>
      <c r="E1691" s="20" t="str">
        <f>IFERROR(__xludf.DUMMYFUNCTION("""COMPUTED_VALUE"""),"Medium")</f>
        <v>Medium</v>
      </c>
      <c r="F1691" s="20">
        <f>IFERROR(__xludf.DUMMYFUNCTION("""COMPUTED_VALUE"""),806.0)</f>
        <v>806</v>
      </c>
      <c r="G1691" s="20">
        <f>IFERROR(__xludf.DUMMYFUNCTION("""COMPUTED_VALUE"""),139.0)</f>
        <v>139</v>
      </c>
      <c r="H1691" s="20" t="str">
        <f>IFERROR(__xludf.DUMMYFUNCTION("""COMPUTED_VALUE"""),"Algorithms")</f>
        <v>Algorithms</v>
      </c>
      <c r="I1691" s="20">
        <f>IFERROR(__xludf.DUMMYFUNCTION("""COMPUTED_VALUE"""),0.584)</f>
        <v>0.584</v>
      </c>
      <c r="J1691" s="20">
        <f>IFERROR(__xludf.DUMMYFUNCTION("""COMPUTED_VALUE"""),1690.0)</f>
        <v>1690</v>
      </c>
      <c r="K1691" s="20" t="b">
        <f>IFERROR(__xludf.DUMMYFUNCTION("""COMPUTED_VALUE"""),FALSE)</f>
        <v>0</v>
      </c>
      <c r="L1691" s="20" t="str">
        <f>IFERROR(__xludf.DUMMYFUNCTION("""COMPUTED_VALUE"""),"Array;Math;Dynamic Programming;Game Theory;")</f>
        <v>Array;Math;Dynamic Programming;Game Theory;</v>
      </c>
      <c r="M1691" s="20" t="b">
        <f>IFERROR(__xludf.DUMMYFUNCTION("""COMPUTED_VALUE"""),TRUE)</f>
        <v>1</v>
      </c>
      <c r="N1691" s="20" t="b">
        <f>IFERROR(__xludf.DUMMYFUNCTION("""COMPUTED_VALUE"""),FALSE)</f>
        <v>0</v>
      </c>
      <c r="O1691" s="20">
        <f>IFERROR(__xludf.DUMMYFUNCTION("""COMPUTED_VALUE"""),58.3944799061424)</f>
        <v>58.39447991</v>
      </c>
      <c r="P1691" s="20">
        <f>IFERROR(__xludf.DUMMYFUNCTION("""COMPUTED_VALUE"""),29366.0)</f>
        <v>29366</v>
      </c>
      <c r="Q1691" s="20">
        <f>IFERROR(__xludf.DUMMYFUNCTION("""COMPUTED_VALUE"""),50289.0)</f>
        <v>50289</v>
      </c>
    </row>
    <row r="1692">
      <c r="A1692" s="20">
        <f>IFERROR(__xludf.DUMMYFUNCTION("""COMPUTED_VALUE"""),1367.0)</f>
        <v>1367</v>
      </c>
      <c r="B1692" s="20" t="str">
        <f>IFERROR(__xludf.DUMMYFUNCTION("""COMPUTED_VALUE"""),"Maximum Height by Stacking Cuboids ")</f>
        <v>Maximum Height by Stacking Cuboids </v>
      </c>
      <c r="C1692" s="20" t="str">
        <f>IFERROR(__xludf.DUMMYFUNCTION("""COMPUTED_VALUE"""),"maximum-height-by-stacking-cuboids")</f>
        <v>maximum-height-by-stacking-cuboids</v>
      </c>
      <c r="D1692" s="20" t="b">
        <f>IFERROR(__xludf.DUMMYFUNCTION("""COMPUTED_VALUE"""),FALSE)</f>
        <v>0</v>
      </c>
      <c r="E1692" s="20" t="str">
        <f>IFERROR(__xludf.DUMMYFUNCTION("""COMPUTED_VALUE"""),"Hard")</f>
        <v>Hard</v>
      </c>
      <c r="F1692" s="20">
        <f>IFERROR(__xludf.DUMMYFUNCTION("""COMPUTED_VALUE"""),768.0)</f>
        <v>768</v>
      </c>
      <c r="G1692" s="20">
        <f>IFERROR(__xludf.DUMMYFUNCTION("""COMPUTED_VALUE"""),22.0)</f>
        <v>22</v>
      </c>
      <c r="H1692" s="20" t="str">
        <f>IFERROR(__xludf.DUMMYFUNCTION("""COMPUTED_VALUE"""),"Algorithms")</f>
        <v>Algorithms</v>
      </c>
      <c r="I1692" s="20">
        <f>IFERROR(__xludf.DUMMYFUNCTION("""COMPUTED_VALUE"""),0.543)</f>
        <v>0.543</v>
      </c>
      <c r="J1692" s="20">
        <f>IFERROR(__xludf.DUMMYFUNCTION("""COMPUTED_VALUE"""),1691.0)</f>
        <v>1691</v>
      </c>
      <c r="K1692" s="20" t="b">
        <f>IFERROR(__xludf.DUMMYFUNCTION("""COMPUTED_VALUE"""),FALSE)</f>
        <v>0</v>
      </c>
      <c r="L1692" s="20" t="str">
        <f>IFERROR(__xludf.DUMMYFUNCTION("""COMPUTED_VALUE"""),"Array;Dynamic Programming;Sorting;")</f>
        <v>Array;Dynamic Programming;Sorting;</v>
      </c>
      <c r="M1692" s="20" t="b">
        <f>IFERROR(__xludf.DUMMYFUNCTION("""COMPUTED_VALUE"""),FALSE)</f>
        <v>0</v>
      </c>
      <c r="N1692" s="20" t="b">
        <f>IFERROR(__xludf.DUMMYFUNCTION("""COMPUTED_VALUE"""),FALSE)</f>
        <v>0</v>
      </c>
      <c r="O1692" s="20">
        <f>IFERROR(__xludf.DUMMYFUNCTION("""COMPUTED_VALUE"""),54.3025700142401)</f>
        <v>54.30257001</v>
      </c>
      <c r="P1692" s="20">
        <f>IFERROR(__xludf.DUMMYFUNCTION("""COMPUTED_VALUE"""),16015.0)</f>
        <v>16015</v>
      </c>
      <c r="Q1692" s="20">
        <f>IFERROR(__xludf.DUMMYFUNCTION("""COMPUTED_VALUE"""),29493.0)</f>
        <v>29493</v>
      </c>
    </row>
    <row r="1693">
      <c r="A1693" s="20">
        <f>IFERROR(__xludf.DUMMYFUNCTION("""COMPUTED_VALUE"""),1828.0)</f>
        <v>1828</v>
      </c>
      <c r="B1693" s="20" t="str">
        <f>IFERROR(__xludf.DUMMYFUNCTION("""COMPUTED_VALUE"""),"Count Ways to Distribute Candies")</f>
        <v>Count Ways to Distribute Candies</v>
      </c>
      <c r="C1693" s="20" t="str">
        <f>IFERROR(__xludf.DUMMYFUNCTION("""COMPUTED_VALUE"""),"count-ways-to-distribute-candies")</f>
        <v>count-ways-to-distribute-candies</v>
      </c>
      <c r="D1693" s="20" t="b">
        <f>IFERROR(__xludf.DUMMYFUNCTION("""COMPUTED_VALUE"""),TRUE)</f>
        <v>1</v>
      </c>
      <c r="E1693" s="20" t="str">
        <f>IFERROR(__xludf.DUMMYFUNCTION("""COMPUTED_VALUE"""),"Hard")</f>
        <v>Hard</v>
      </c>
      <c r="F1693" s="20">
        <f>IFERROR(__xludf.DUMMYFUNCTION("""COMPUTED_VALUE"""),60.0)</f>
        <v>60</v>
      </c>
      <c r="G1693" s="20">
        <f>IFERROR(__xludf.DUMMYFUNCTION("""COMPUTED_VALUE"""),7.0)</f>
        <v>7</v>
      </c>
      <c r="H1693" s="20" t="str">
        <f>IFERROR(__xludf.DUMMYFUNCTION("""COMPUTED_VALUE"""),"Algorithms")</f>
        <v>Algorithms</v>
      </c>
      <c r="I1693" s="20">
        <f>IFERROR(__xludf.DUMMYFUNCTION("""COMPUTED_VALUE"""),0.624)</f>
        <v>0.624</v>
      </c>
      <c r="J1693" s="20">
        <f>IFERROR(__xludf.DUMMYFUNCTION("""COMPUTED_VALUE"""),1692.0)</f>
        <v>1692</v>
      </c>
      <c r="K1693" s="20" t="b">
        <f>IFERROR(__xludf.DUMMYFUNCTION("""COMPUTED_VALUE"""),TRUE)</f>
        <v>1</v>
      </c>
      <c r="L1693" s="20" t="str">
        <f>IFERROR(__xludf.DUMMYFUNCTION("""COMPUTED_VALUE"""),"Dynamic Programming;")</f>
        <v>Dynamic Programming;</v>
      </c>
      <c r="M1693" s="20" t="b">
        <f>IFERROR(__xludf.DUMMYFUNCTION("""COMPUTED_VALUE"""),FALSE)</f>
        <v>0</v>
      </c>
      <c r="N1693" s="20" t="b">
        <f>IFERROR(__xludf.DUMMYFUNCTION("""COMPUTED_VALUE"""),FALSE)</f>
        <v>0</v>
      </c>
      <c r="O1693" s="20">
        <f>IFERROR(__xludf.DUMMYFUNCTION("""COMPUTED_VALUE"""),62.382037097299)</f>
        <v>62.3820371</v>
      </c>
      <c r="P1693" s="20">
        <f>IFERROR(__xludf.DUMMYFUNCTION("""COMPUTED_VALUE"""),1917.0)</f>
        <v>1917</v>
      </c>
      <c r="Q1693" s="20">
        <f>IFERROR(__xludf.DUMMYFUNCTION("""COMPUTED_VALUE"""),3073.0)</f>
        <v>3073</v>
      </c>
    </row>
    <row r="1694">
      <c r="A1694" s="20">
        <f>IFERROR(__xludf.DUMMYFUNCTION("""COMPUTED_VALUE"""),1837.0)</f>
        <v>1837</v>
      </c>
      <c r="B1694" s="20" t="str">
        <f>IFERROR(__xludf.DUMMYFUNCTION("""COMPUTED_VALUE"""),"Daily Leads and Partners")</f>
        <v>Daily Leads and Partners</v>
      </c>
      <c r="C1694" s="20" t="str">
        <f>IFERROR(__xludf.DUMMYFUNCTION("""COMPUTED_VALUE"""),"daily-leads-and-partners")</f>
        <v>daily-leads-and-partners</v>
      </c>
      <c r="D1694" s="20" t="b">
        <f>IFERROR(__xludf.DUMMYFUNCTION("""COMPUTED_VALUE"""),FALSE)</f>
        <v>0</v>
      </c>
      <c r="E1694" s="20" t="str">
        <f>IFERROR(__xludf.DUMMYFUNCTION("""COMPUTED_VALUE"""),"Easy")</f>
        <v>Easy</v>
      </c>
      <c r="F1694" s="20">
        <f>IFERROR(__xludf.DUMMYFUNCTION("""COMPUTED_VALUE"""),308.0)</f>
        <v>308</v>
      </c>
      <c r="G1694" s="20">
        <f>IFERROR(__xludf.DUMMYFUNCTION("""COMPUTED_VALUE"""),26.0)</f>
        <v>26</v>
      </c>
      <c r="H1694" s="20" t="str">
        <f>IFERROR(__xludf.DUMMYFUNCTION("""COMPUTED_VALUE"""),"Database")</f>
        <v>Database</v>
      </c>
      <c r="I1694" s="20">
        <f>IFERROR(__xludf.DUMMYFUNCTION("""COMPUTED_VALUE"""),0.897)</f>
        <v>0.897</v>
      </c>
      <c r="J1694" s="20">
        <f>IFERROR(__xludf.DUMMYFUNCTION("""COMPUTED_VALUE"""),1693.0)</f>
        <v>1693</v>
      </c>
      <c r="K1694" s="20" t="b">
        <f>IFERROR(__xludf.DUMMYFUNCTION("""COMPUTED_VALUE"""),FALSE)</f>
        <v>0</v>
      </c>
      <c r="L1694" s="20" t="str">
        <f>IFERROR(__xludf.DUMMYFUNCTION("""COMPUTED_VALUE"""),"Database;")</f>
        <v>Database;</v>
      </c>
      <c r="M1694" s="20" t="b">
        <f>IFERROR(__xludf.DUMMYFUNCTION("""COMPUTED_VALUE"""),FALSE)</f>
        <v>0</v>
      </c>
      <c r="N1694" s="20" t="b">
        <f>IFERROR(__xludf.DUMMYFUNCTION("""COMPUTED_VALUE"""),FALSE)</f>
        <v>0</v>
      </c>
      <c r="O1694" s="20">
        <f>IFERROR(__xludf.DUMMYFUNCTION("""COMPUTED_VALUE"""),89.7415830340975)</f>
        <v>89.74158303</v>
      </c>
      <c r="P1694" s="20">
        <f>IFERROR(__xludf.DUMMYFUNCTION("""COMPUTED_VALUE"""),58481.0)</f>
        <v>58481</v>
      </c>
      <c r="Q1694" s="20">
        <f>IFERROR(__xludf.DUMMYFUNCTION("""COMPUTED_VALUE"""),65166.0)</f>
        <v>65166</v>
      </c>
    </row>
    <row r="1695">
      <c r="A1695" s="20">
        <f>IFERROR(__xludf.DUMMYFUNCTION("""COMPUTED_VALUE"""),1812.0)</f>
        <v>1812</v>
      </c>
      <c r="B1695" s="20" t="str">
        <f>IFERROR(__xludf.DUMMYFUNCTION("""COMPUTED_VALUE"""),"Reformat Phone Number")</f>
        <v>Reformat Phone Number</v>
      </c>
      <c r="C1695" s="20" t="str">
        <f>IFERROR(__xludf.DUMMYFUNCTION("""COMPUTED_VALUE"""),"reformat-phone-number")</f>
        <v>reformat-phone-number</v>
      </c>
      <c r="D1695" s="20" t="b">
        <f>IFERROR(__xludf.DUMMYFUNCTION("""COMPUTED_VALUE"""),FALSE)</f>
        <v>0</v>
      </c>
      <c r="E1695" s="20" t="str">
        <f>IFERROR(__xludf.DUMMYFUNCTION("""COMPUTED_VALUE"""),"Easy")</f>
        <v>Easy</v>
      </c>
      <c r="F1695" s="20">
        <f>IFERROR(__xludf.DUMMYFUNCTION("""COMPUTED_VALUE"""),258.0)</f>
        <v>258</v>
      </c>
      <c r="G1695" s="20">
        <f>IFERROR(__xludf.DUMMYFUNCTION("""COMPUTED_VALUE"""),179.0)</f>
        <v>179</v>
      </c>
      <c r="H1695" s="20" t="str">
        <f>IFERROR(__xludf.DUMMYFUNCTION("""COMPUTED_VALUE"""),"Algorithms")</f>
        <v>Algorithms</v>
      </c>
      <c r="I1695" s="20">
        <f>IFERROR(__xludf.DUMMYFUNCTION("""COMPUTED_VALUE"""),0.65)</f>
        <v>0.65</v>
      </c>
      <c r="J1695" s="20">
        <f>IFERROR(__xludf.DUMMYFUNCTION("""COMPUTED_VALUE"""),1694.0)</f>
        <v>1694</v>
      </c>
      <c r="K1695" s="20" t="b">
        <f>IFERROR(__xludf.DUMMYFUNCTION("""COMPUTED_VALUE"""),FALSE)</f>
        <v>0</v>
      </c>
      <c r="L1695" s="20" t="str">
        <f>IFERROR(__xludf.DUMMYFUNCTION("""COMPUTED_VALUE"""),"String;")</f>
        <v>String;</v>
      </c>
      <c r="M1695" s="20" t="b">
        <f>IFERROR(__xludf.DUMMYFUNCTION("""COMPUTED_VALUE"""),FALSE)</f>
        <v>0</v>
      </c>
      <c r="N1695" s="20" t="b">
        <f>IFERROR(__xludf.DUMMYFUNCTION("""COMPUTED_VALUE"""),FALSE)</f>
        <v>0</v>
      </c>
      <c r="O1695" s="20">
        <f>IFERROR(__xludf.DUMMYFUNCTION("""COMPUTED_VALUE"""),65.0002237837354)</f>
        <v>65.00022378</v>
      </c>
      <c r="P1695" s="20">
        <f>IFERROR(__xludf.DUMMYFUNCTION("""COMPUTED_VALUE"""),29046.0)</f>
        <v>29046</v>
      </c>
      <c r="Q1695" s="20">
        <f>IFERROR(__xludf.DUMMYFUNCTION("""COMPUTED_VALUE"""),44686.0)</f>
        <v>44686</v>
      </c>
    </row>
    <row r="1696">
      <c r="A1696" s="20">
        <f>IFERROR(__xludf.DUMMYFUNCTION("""COMPUTED_VALUE"""),1813.0)</f>
        <v>1813</v>
      </c>
      <c r="B1696" s="20" t="str">
        <f>IFERROR(__xludf.DUMMYFUNCTION("""COMPUTED_VALUE"""),"Maximum Erasure Value")</f>
        <v>Maximum Erasure Value</v>
      </c>
      <c r="C1696" s="20" t="str">
        <f>IFERROR(__xludf.DUMMYFUNCTION("""COMPUTED_VALUE"""),"maximum-erasure-value")</f>
        <v>maximum-erasure-value</v>
      </c>
      <c r="D1696" s="20" t="b">
        <f>IFERROR(__xludf.DUMMYFUNCTION("""COMPUTED_VALUE"""),FALSE)</f>
        <v>0</v>
      </c>
      <c r="E1696" s="20" t="str">
        <f>IFERROR(__xludf.DUMMYFUNCTION("""COMPUTED_VALUE"""),"Medium")</f>
        <v>Medium</v>
      </c>
      <c r="F1696" s="20">
        <f>IFERROR(__xludf.DUMMYFUNCTION("""COMPUTED_VALUE"""),2412.0)</f>
        <v>2412</v>
      </c>
      <c r="G1696" s="20">
        <f>IFERROR(__xludf.DUMMYFUNCTION("""COMPUTED_VALUE"""),42.0)</f>
        <v>42</v>
      </c>
      <c r="H1696" s="20" t="str">
        <f>IFERROR(__xludf.DUMMYFUNCTION("""COMPUTED_VALUE"""),"Algorithms")</f>
        <v>Algorithms</v>
      </c>
      <c r="I1696" s="20">
        <f>IFERROR(__xludf.DUMMYFUNCTION("""COMPUTED_VALUE"""),0.576)</f>
        <v>0.576</v>
      </c>
      <c r="J1696" s="20">
        <f>IFERROR(__xludf.DUMMYFUNCTION("""COMPUTED_VALUE"""),1695.0)</f>
        <v>1695</v>
      </c>
      <c r="K1696" s="20" t="b">
        <f>IFERROR(__xludf.DUMMYFUNCTION("""COMPUTED_VALUE"""),FALSE)</f>
        <v>0</v>
      </c>
      <c r="L1696" s="20" t="str">
        <f>IFERROR(__xludf.DUMMYFUNCTION("""COMPUTED_VALUE"""),"Array;Hash Table;Sliding Window;")</f>
        <v>Array;Hash Table;Sliding Window;</v>
      </c>
      <c r="M1696" s="20" t="b">
        <f>IFERROR(__xludf.DUMMYFUNCTION("""COMPUTED_VALUE"""),TRUE)</f>
        <v>1</v>
      </c>
      <c r="N1696" s="20" t="b">
        <f>IFERROR(__xludf.DUMMYFUNCTION("""COMPUTED_VALUE"""),FALSE)</f>
        <v>0</v>
      </c>
      <c r="O1696" s="20">
        <f>IFERROR(__xludf.DUMMYFUNCTION("""COMPUTED_VALUE"""),57.6415498292728)</f>
        <v>57.64154983</v>
      </c>
      <c r="P1696" s="20">
        <f>IFERROR(__xludf.DUMMYFUNCTION("""COMPUTED_VALUE"""),105001.0)</f>
        <v>105001</v>
      </c>
      <c r="Q1696" s="20">
        <f>IFERROR(__xludf.DUMMYFUNCTION("""COMPUTED_VALUE"""),182162.0)</f>
        <v>182162</v>
      </c>
    </row>
    <row r="1697">
      <c r="A1697" s="20">
        <f>IFERROR(__xludf.DUMMYFUNCTION("""COMPUTED_VALUE"""),1814.0)</f>
        <v>1814</v>
      </c>
      <c r="B1697" s="20" t="str">
        <f>IFERROR(__xludf.DUMMYFUNCTION("""COMPUTED_VALUE"""),"Jump Game VI")</f>
        <v>Jump Game VI</v>
      </c>
      <c r="C1697" s="20" t="str">
        <f>IFERROR(__xludf.DUMMYFUNCTION("""COMPUTED_VALUE"""),"jump-game-vi")</f>
        <v>jump-game-vi</v>
      </c>
      <c r="D1697" s="20" t="b">
        <f>IFERROR(__xludf.DUMMYFUNCTION("""COMPUTED_VALUE"""),FALSE)</f>
        <v>0</v>
      </c>
      <c r="E1697" s="20" t="str">
        <f>IFERROR(__xludf.DUMMYFUNCTION("""COMPUTED_VALUE"""),"Medium")</f>
        <v>Medium</v>
      </c>
      <c r="F1697" s="20">
        <f>IFERROR(__xludf.DUMMYFUNCTION("""COMPUTED_VALUE"""),2994.0)</f>
        <v>2994</v>
      </c>
      <c r="G1697" s="20">
        <f>IFERROR(__xludf.DUMMYFUNCTION("""COMPUTED_VALUE"""),105.0)</f>
        <v>105</v>
      </c>
      <c r="H1697" s="20" t="str">
        <f>IFERROR(__xludf.DUMMYFUNCTION("""COMPUTED_VALUE"""),"Algorithms")</f>
        <v>Algorithms</v>
      </c>
      <c r="I1697" s="20">
        <f>IFERROR(__xludf.DUMMYFUNCTION("""COMPUTED_VALUE"""),0.463)</f>
        <v>0.463</v>
      </c>
      <c r="J1697" s="20">
        <f>IFERROR(__xludf.DUMMYFUNCTION("""COMPUTED_VALUE"""),1696.0)</f>
        <v>1696</v>
      </c>
      <c r="K1697" s="20" t="b">
        <f>IFERROR(__xludf.DUMMYFUNCTION("""COMPUTED_VALUE"""),FALSE)</f>
        <v>0</v>
      </c>
      <c r="L1697" s="20" t="str">
        <f>IFERROR(__xludf.DUMMYFUNCTION("""COMPUTED_VALUE"""),"Array;Dynamic Programming;Queue;Sliding Window;Heap (Priority Queue);Monotonic Queue;")</f>
        <v>Array;Dynamic Programming;Queue;Sliding Window;Heap (Priority Queue);Monotonic Queue;</v>
      </c>
      <c r="M1697" s="20" t="b">
        <f>IFERROR(__xludf.DUMMYFUNCTION("""COMPUTED_VALUE"""),TRUE)</f>
        <v>1</v>
      </c>
      <c r="N1697" s="20" t="b">
        <f>IFERROR(__xludf.DUMMYFUNCTION("""COMPUTED_VALUE"""),FALSE)</f>
        <v>0</v>
      </c>
      <c r="O1697" s="20">
        <f>IFERROR(__xludf.DUMMYFUNCTION("""COMPUTED_VALUE"""),46.2667166482481)</f>
        <v>46.26671665</v>
      </c>
      <c r="P1697" s="20">
        <f>IFERROR(__xludf.DUMMYFUNCTION("""COMPUTED_VALUE"""),95036.0)</f>
        <v>95036</v>
      </c>
      <c r="Q1697" s="20">
        <f>IFERROR(__xludf.DUMMYFUNCTION("""COMPUTED_VALUE"""),205409.0)</f>
        <v>205409</v>
      </c>
    </row>
    <row r="1698">
      <c r="A1698" s="20">
        <f>IFERROR(__xludf.DUMMYFUNCTION("""COMPUTED_VALUE"""),1815.0)</f>
        <v>1815</v>
      </c>
      <c r="B1698" s="20" t="str">
        <f>IFERROR(__xludf.DUMMYFUNCTION("""COMPUTED_VALUE"""),"Checking Existence of Edge Length Limited Paths")</f>
        <v>Checking Existence of Edge Length Limited Paths</v>
      </c>
      <c r="C1698" s="20" t="str">
        <f>IFERROR(__xludf.DUMMYFUNCTION("""COMPUTED_VALUE"""),"checking-existence-of-edge-length-limited-paths")</f>
        <v>checking-existence-of-edge-length-limited-paths</v>
      </c>
      <c r="D1698" s="20" t="b">
        <f>IFERROR(__xludf.DUMMYFUNCTION("""COMPUTED_VALUE"""),FALSE)</f>
        <v>0</v>
      </c>
      <c r="E1698" s="20" t="str">
        <f>IFERROR(__xludf.DUMMYFUNCTION("""COMPUTED_VALUE"""),"Hard")</f>
        <v>Hard</v>
      </c>
      <c r="F1698" s="20">
        <f>IFERROR(__xludf.DUMMYFUNCTION("""COMPUTED_VALUE"""),645.0)</f>
        <v>645</v>
      </c>
      <c r="G1698" s="20">
        <f>IFERROR(__xludf.DUMMYFUNCTION("""COMPUTED_VALUE"""),13.0)</f>
        <v>13</v>
      </c>
      <c r="H1698" s="20" t="str">
        <f>IFERROR(__xludf.DUMMYFUNCTION("""COMPUTED_VALUE"""),"Algorithms")</f>
        <v>Algorithms</v>
      </c>
      <c r="I1698" s="20">
        <f>IFERROR(__xludf.DUMMYFUNCTION("""COMPUTED_VALUE"""),0.504)</f>
        <v>0.504</v>
      </c>
      <c r="J1698" s="20">
        <f>IFERROR(__xludf.DUMMYFUNCTION("""COMPUTED_VALUE"""),1697.0)</f>
        <v>1697</v>
      </c>
      <c r="K1698" s="20" t="b">
        <f>IFERROR(__xludf.DUMMYFUNCTION("""COMPUTED_VALUE"""),FALSE)</f>
        <v>0</v>
      </c>
      <c r="L1698" s="20" t="str">
        <f>IFERROR(__xludf.DUMMYFUNCTION("""COMPUTED_VALUE"""),"Array;Union Find;Graph;Sorting;")</f>
        <v>Array;Union Find;Graph;Sorting;</v>
      </c>
      <c r="M1698" s="20" t="b">
        <f>IFERROR(__xludf.DUMMYFUNCTION("""COMPUTED_VALUE"""),FALSE)</f>
        <v>0</v>
      </c>
      <c r="N1698" s="20" t="b">
        <f>IFERROR(__xludf.DUMMYFUNCTION("""COMPUTED_VALUE"""),FALSE)</f>
        <v>0</v>
      </c>
      <c r="O1698" s="20">
        <f>IFERROR(__xludf.DUMMYFUNCTION("""COMPUTED_VALUE"""),50.4330040471735)</f>
        <v>50.43300405</v>
      </c>
      <c r="P1698" s="20">
        <f>IFERROR(__xludf.DUMMYFUNCTION("""COMPUTED_VALUE"""),11589.0)</f>
        <v>11589</v>
      </c>
      <c r="Q1698" s="20">
        <f>IFERROR(__xludf.DUMMYFUNCTION("""COMPUTED_VALUE"""),22979.0)</f>
        <v>22979</v>
      </c>
    </row>
    <row r="1699">
      <c r="A1699" s="20">
        <f>IFERROR(__xludf.DUMMYFUNCTION("""COMPUTED_VALUE"""),1838.0)</f>
        <v>1838</v>
      </c>
      <c r="B1699" s="20" t="str">
        <f>IFERROR(__xludf.DUMMYFUNCTION("""COMPUTED_VALUE"""),"Number of Distinct Substrings in a String")</f>
        <v>Number of Distinct Substrings in a String</v>
      </c>
      <c r="C1699" s="20" t="str">
        <f>IFERROR(__xludf.DUMMYFUNCTION("""COMPUTED_VALUE"""),"number-of-distinct-substrings-in-a-string")</f>
        <v>number-of-distinct-substrings-in-a-string</v>
      </c>
      <c r="D1699" s="20" t="b">
        <f>IFERROR(__xludf.DUMMYFUNCTION("""COMPUTED_VALUE"""),TRUE)</f>
        <v>1</v>
      </c>
      <c r="E1699" s="20" t="str">
        <f>IFERROR(__xludf.DUMMYFUNCTION("""COMPUTED_VALUE"""),"Medium")</f>
        <v>Medium</v>
      </c>
      <c r="F1699" s="20">
        <f>IFERROR(__xludf.DUMMYFUNCTION("""COMPUTED_VALUE"""),157.0)</f>
        <v>157</v>
      </c>
      <c r="G1699" s="20">
        <f>IFERROR(__xludf.DUMMYFUNCTION("""COMPUTED_VALUE"""),39.0)</f>
        <v>39</v>
      </c>
      <c r="H1699" s="20" t="str">
        <f>IFERROR(__xludf.DUMMYFUNCTION("""COMPUTED_VALUE"""),"Algorithms")</f>
        <v>Algorithms</v>
      </c>
      <c r="I1699" s="20">
        <f>IFERROR(__xludf.DUMMYFUNCTION("""COMPUTED_VALUE"""),0.633)</f>
        <v>0.633</v>
      </c>
      <c r="J1699" s="20">
        <f>IFERROR(__xludf.DUMMYFUNCTION("""COMPUTED_VALUE"""),1698.0)</f>
        <v>1698</v>
      </c>
      <c r="K1699" s="20" t="b">
        <f>IFERROR(__xludf.DUMMYFUNCTION("""COMPUTED_VALUE"""),TRUE)</f>
        <v>1</v>
      </c>
      <c r="L1699" s="20" t="str">
        <f>IFERROR(__xludf.DUMMYFUNCTION("""COMPUTED_VALUE"""),"String;Trie;Rolling Hash;Suffix Array;Hash Function;")</f>
        <v>String;Trie;Rolling Hash;Suffix Array;Hash Function;</v>
      </c>
      <c r="M1699" s="20" t="b">
        <f>IFERROR(__xludf.DUMMYFUNCTION("""COMPUTED_VALUE"""),FALSE)</f>
        <v>0</v>
      </c>
      <c r="N1699" s="20" t="b">
        <f>IFERROR(__xludf.DUMMYFUNCTION("""COMPUTED_VALUE"""),FALSE)</f>
        <v>0</v>
      </c>
      <c r="O1699" s="20">
        <f>IFERROR(__xludf.DUMMYFUNCTION("""COMPUTED_VALUE"""),63.3194809600542)</f>
        <v>63.31948096</v>
      </c>
      <c r="P1699" s="20">
        <f>IFERROR(__xludf.DUMMYFUNCTION("""COMPUTED_VALUE"""),7466.0)</f>
        <v>7466</v>
      </c>
      <c r="Q1699" s="20">
        <f>IFERROR(__xludf.DUMMYFUNCTION("""COMPUTED_VALUE"""),11791.0)</f>
        <v>11791</v>
      </c>
    </row>
    <row r="1700">
      <c r="A1700" s="20">
        <f>IFERROR(__xludf.DUMMYFUNCTION("""COMPUTED_VALUE"""),1842.0)</f>
        <v>1842</v>
      </c>
      <c r="B1700" s="20" t="str">
        <f>IFERROR(__xludf.DUMMYFUNCTION("""COMPUTED_VALUE"""),"Number of Calls Between Two Persons")</f>
        <v>Number of Calls Between Two Persons</v>
      </c>
      <c r="C1700" s="20" t="str">
        <f>IFERROR(__xludf.DUMMYFUNCTION("""COMPUTED_VALUE"""),"number-of-calls-between-two-persons")</f>
        <v>number-of-calls-between-two-persons</v>
      </c>
      <c r="D1700" s="20" t="b">
        <f>IFERROR(__xludf.DUMMYFUNCTION("""COMPUTED_VALUE"""),TRUE)</f>
        <v>1</v>
      </c>
      <c r="E1700" s="20" t="str">
        <f>IFERROR(__xludf.DUMMYFUNCTION("""COMPUTED_VALUE"""),"Medium")</f>
        <v>Medium</v>
      </c>
      <c r="F1700" s="20">
        <f>IFERROR(__xludf.DUMMYFUNCTION("""COMPUTED_VALUE"""),212.0)</f>
        <v>212</v>
      </c>
      <c r="G1700" s="20">
        <f>IFERROR(__xludf.DUMMYFUNCTION("""COMPUTED_VALUE"""),11.0)</f>
        <v>11</v>
      </c>
      <c r="H1700" s="20" t="str">
        <f>IFERROR(__xludf.DUMMYFUNCTION("""COMPUTED_VALUE"""),"Database")</f>
        <v>Database</v>
      </c>
      <c r="I1700" s="20">
        <f>IFERROR(__xludf.DUMMYFUNCTION("""COMPUTED_VALUE"""),0.85)</f>
        <v>0.85</v>
      </c>
      <c r="J1700" s="20">
        <f>IFERROR(__xludf.DUMMYFUNCTION("""COMPUTED_VALUE"""),1699.0)</f>
        <v>1699</v>
      </c>
      <c r="K1700" s="20" t="b">
        <f>IFERROR(__xludf.DUMMYFUNCTION("""COMPUTED_VALUE"""),TRUE)</f>
        <v>1</v>
      </c>
      <c r="L1700" s="20" t="str">
        <f>IFERROR(__xludf.DUMMYFUNCTION("""COMPUTED_VALUE"""),"Database;")</f>
        <v>Database;</v>
      </c>
      <c r="M1700" s="20" t="b">
        <f>IFERROR(__xludf.DUMMYFUNCTION("""COMPUTED_VALUE"""),FALSE)</f>
        <v>0</v>
      </c>
      <c r="N1700" s="20" t="b">
        <f>IFERROR(__xludf.DUMMYFUNCTION("""COMPUTED_VALUE"""),FALSE)</f>
        <v>0</v>
      </c>
      <c r="O1700" s="20">
        <f>IFERROR(__xludf.DUMMYFUNCTION("""COMPUTED_VALUE"""),85.0485833503545)</f>
        <v>85.04858335</v>
      </c>
      <c r="P1700" s="20">
        <f>IFERROR(__xludf.DUMMYFUNCTION("""COMPUTED_VALUE"""),29147.0)</f>
        <v>29147</v>
      </c>
      <c r="Q1700" s="20">
        <f>IFERROR(__xludf.DUMMYFUNCTION("""COMPUTED_VALUE"""),34271.0)</f>
        <v>34271</v>
      </c>
    </row>
    <row r="1701">
      <c r="A1701" s="20">
        <f>IFERROR(__xludf.DUMMYFUNCTION("""COMPUTED_VALUE"""),1802.0)</f>
        <v>1802</v>
      </c>
      <c r="B1701" s="20" t="str">
        <f>IFERROR(__xludf.DUMMYFUNCTION("""COMPUTED_VALUE"""),"Number of Students Unable to Eat Lunch")</f>
        <v>Number of Students Unable to Eat Lunch</v>
      </c>
      <c r="C1701" s="20" t="str">
        <f>IFERROR(__xludf.DUMMYFUNCTION("""COMPUTED_VALUE"""),"number-of-students-unable-to-eat-lunch")</f>
        <v>number-of-students-unable-to-eat-lunch</v>
      </c>
      <c r="D1701" s="20" t="b">
        <f>IFERROR(__xludf.DUMMYFUNCTION("""COMPUTED_VALUE"""),FALSE)</f>
        <v>0</v>
      </c>
      <c r="E1701" s="20" t="str">
        <f>IFERROR(__xludf.DUMMYFUNCTION("""COMPUTED_VALUE"""),"Easy")</f>
        <v>Easy</v>
      </c>
      <c r="F1701" s="20">
        <f>IFERROR(__xludf.DUMMYFUNCTION("""COMPUTED_VALUE"""),1128.0)</f>
        <v>1128</v>
      </c>
      <c r="G1701" s="20">
        <f>IFERROR(__xludf.DUMMYFUNCTION("""COMPUTED_VALUE"""),69.0)</f>
        <v>69</v>
      </c>
      <c r="H1701" s="20" t="str">
        <f>IFERROR(__xludf.DUMMYFUNCTION("""COMPUTED_VALUE"""),"Algorithms")</f>
        <v>Algorithms</v>
      </c>
      <c r="I1701" s="20">
        <f>IFERROR(__xludf.DUMMYFUNCTION("""COMPUTED_VALUE"""),0.68)</f>
        <v>0.68</v>
      </c>
      <c r="J1701" s="20">
        <f>IFERROR(__xludf.DUMMYFUNCTION("""COMPUTED_VALUE"""),1700.0)</f>
        <v>1700</v>
      </c>
      <c r="K1701" s="20" t="b">
        <f>IFERROR(__xludf.DUMMYFUNCTION("""COMPUTED_VALUE"""),FALSE)</f>
        <v>0</v>
      </c>
      <c r="L1701" s="20" t="str">
        <f>IFERROR(__xludf.DUMMYFUNCTION("""COMPUTED_VALUE"""),"Array;Stack;Queue;Simulation;")</f>
        <v>Array;Stack;Queue;Simulation;</v>
      </c>
      <c r="M1701" s="20" t="b">
        <f>IFERROR(__xludf.DUMMYFUNCTION("""COMPUTED_VALUE"""),FALSE)</f>
        <v>0</v>
      </c>
      <c r="N1701" s="20" t="b">
        <f>IFERROR(__xludf.DUMMYFUNCTION("""COMPUTED_VALUE"""),FALSE)</f>
        <v>0</v>
      </c>
      <c r="O1701" s="20">
        <f>IFERROR(__xludf.DUMMYFUNCTION("""COMPUTED_VALUE"""),68.0429822624567)</f>
        <v>68.04298226</v>
      </c>
      <c r="P1701" s="20">
        <f>IFERROR(__xludf.DUMMYFUNCTION("""COMPUTED_VALUE"""),55470.0)</f>
        <v>55470</v>
      </c>
      <c r="Q1701" s="20">
        <f>IFERROR(__xludf.DUMMYFUNCTION("""COMPUTED_VALUE"""),81522.0)</f>
        <v>81522</v>
      </c>
    </row>
    <row r="1702">
      <c r="A1702" s="20">
        <f>IFERROR(__xludf.DUMMYFUNCTION("""COMPUTED_VALUE"""),1803.0)</f>
        <v>1803</v>
      </c>
      <c r="B1702" s="20" t="str">
        <f>IFERROR(__xludf.DUMMYFUNCTION("""COMPUTED_VALUE"""),"Average Waiting Time")</f>
        <v>Average Waiting Time</v>
      </c>
      <c r="C1702" s="20" t="str">
        <f>IFERROR(__xludf.DUMMYFUNCTION("""COMPUTED_VALUE"""),"average-waiting-time")</f>
        <v>average-waiting-time</v>
      </c>
      <c r="D1702" s="20" t="b">
        <f>IFERROR(__xludf.DUMMYFUNCTION("""COMPUTED_VALUE"""),FALSE)</f>
        <v>0</v>
      </c>
      <c r="E1702" s="20" t="str">
        <f>IFERROR(__xludf.DUMMYFUNCTION("""COMPUTED_VALUE"""),"Medium")</f>
        <v>Medium</v>
      </c>
      <c r="F1702" s="20">
        <f>IFERROR(__xludf.DUMMYFUNCTION("""COMPUTED_VALUE"""),408.0)</f>
        <v>408</v>
      </c>
      <c r="G1702" s="20">
        <f>IFERROR(__xludf.DUMMYFUNCTION("""COMPUTED_VALUE"""),45.0)</f>
        <v>45</v>
      </c>
      <c r="H1702" s="20" t="str">
        <f>IFERROR(__xludf.DUMMYFUNCTION("""COMPUTED_VALUE"""),"Algorithms")</f>
        <v>Algorithms</v>
      </c>
      <c r="I1702" s="20">
        <f>IFERROR(__xludf.DUMMYFUNCTION("""COMPUTED_VALUE"""),0.626)</f>
        <v>0.626</v>
      </c>
      <c r="J1702" s="20">
        <f>IFERROR(__xludf.DUMMYFUNCTION("""COMPUTED_VALUE"""),1701.0)</f>
        <v>1701</v>
      </c>
      <c r="K1702" s="20" t="b">
        <f>IFERROR(__xludf.DUMMYFUNCTION("""COMPUTED_VALUE"""),FALSE)</f>
        <v>0</v>
      </c>
      <c r="L1702" s="20" t="str">
        <f>IFERROR(__xludf.DUMMYFUNCTION("""COMPUTED_VALUE"""),"Array;Simulation;")</f>
        <v>Array;Simulation;</v>
      </c>
      <c r="M1702" s="20" t="b">
        <f>IFERROR(__xludf.DUMMYFUNCTION("""COMPUTED_VALUE"""),FALSE)</f>
        <v>0</v>
      </c>
      <c r="N1702" s="20" t="b">
        <f>IFERROR(__xludf.DUMMYFUNCTION("""COMPUTED_VALUE"""),FALSE)</f>
        <v>0</v>
      </c>
      <c r="O1702" s="20">
        <f>IFERROR(__xludf.DUMMYFUNCTION("""COMPUTED_VALUE"""),62.5897492543908)</f>
        <v>62.58974925</v>
      </c>
      <c r="P1702" s="20">
        <f>IFERROR(__xludf.DUMMYFUNCTION("""COMPUTED_VALUE"""),22665.0)</f>
        <v>22665</v>
      </c>
      <c r="Q1702" s="20">
        <f>IFERROR(__xludf.DUMMYFUNCTION("""COMPUTED_VALUE"""),36212.0)</f>
        <v>36212</v>
      </c>
    </row>
    <row r="1703">
      <c r="A1703" s="20">
        <f>IFERROR(__xludf.DUMMYFUNCTION("""COMPUTED_VALUE"""),1804.0)</f>
        <v>1804</v>
      </c>
      <c r="B1703" s="20" t="str">
        <f>IFERROR(__xludf.DUMMYFUNCTION("""COMPUTED_VALUE"""),"Maximum Binary String After Change")</f>
        <v>Maximum Binary String After Change</v>
      </c>
      <c r="C1703" s="20" t="str">
        <f>IFERROR(__xludf.DUMMYFUNCTION("""COMPUTED_VALUE"""),"maximum-binary-string-after-change")</f>
        <v>maximum-binary-string-after-change</v>
      </c>
      <c r="D1703" s="20" t="b">
        <f>IFERROR(__xludf.DUMMYFUNCTION("""COMPUTED_VALUE"""),FALSE)</f>
        <v>0</v>
      </c>
      <c r="E1703" s="20" t="str">
        <f>IFERROR(__xludf.DUMMYFUNCTION("""COMPUTED_VALUE"""),"Medium")</f>
        <v>Medium</v>
      </c>
      <c r="F1703" s="20">
        <f>IFERROR(__xludf.DUMMYFUNCTION("""COMPUTED_VALUE"""),407.0)</f>
        <v>407</v>
      </c>
      <c r="G1703" s="20">
        <f>IFERROR(__xludf.DUMMYFUNCTION("""COMPUTED_VALUE"""),41.0)</f>
        <v>41</v>
      </c>
      <c r="H1703" s="20" t="str">
        <f>IFERROR(__xludf.DUMMYFUNCTION("""COMPUTED_VALUE"""),"Algorithms")</f>
        <v>Algorithms</v>
      </c>
      <c r="I1703" s="20">
        <f>IFERROR(__xludf.DUMMYFUNCTION("""COMPUTED_VALUE"""),0.462)</f>
        <v>0.462</v>
      </c>
      <c r="J1703" s="20">
        <f>IFERROR(__xludf.DUMMYFUNCTION("""COMPUTED_VALUE"""),1702.0)</f>
        <v>1702</v>
      </c>
      <c r="K1703" s="20" t="b">
        <f>IFERROR(__xludf.DUMMYFUNCTION("""COMPUTED_VALUE"""),FALSE)</f>
        <v>0</v>
      </c>
      <c r="L1703" s="20" t="str">
        <f>IFERROR(__xludf.DUMMYFUNCTION("""COMPUTED_VALUE"""),"String;Greedy;")</f>
        <v>String;Greedy;</v>
      </c>
      <c r="M1703" s="20" t="b">
        <f>IFERROR(__xludf.DUMMYFUNCTION("""COMPUTED_VALUE"""),FALSE)</f>
        <v>0</v>
      </c>
      <c r="N1703" s="20" t="b">
        <f>IFERROR(__xludf.DUMMYFUNCTION("""COMPUTED_VALUE"""),FALSE)</f>
        <v>0</v>
      </c>
      <c r="O1703" s="20">
        <f>IFERROR(__xludf.DUMMYFUNCTION("""COMPUTED_VALUE"""),46.2205081669691)</f>
        <v>46.22050817</v>
      </c>
      <c r="P1703" s="20">
        <f>IFERROR(__xludf.DUMMYFUNCTION("""COMPUTED_VALUE"""),10187.0)</f>
        <v>10187</v>
      </c>
      <c r="Q1703" s="20">
        <f>IFERROR(__xludf.DUMMYFUNCTION("""COMPUTED_VALUE"""),22040.0)</f>
        <v>22040</v>
      </c>
    </row>
    <row r="1704">
      <c r="A1704" s="20">
        <f>IFERROR(__xludf.DUMMYFUNCTION("""COMPUTED_VALUE"""),1805.0)</f>
        <v>1805</v>
      </c>
      <c r="B1704" s="20" t="str">
        <f>IFERROR(__xludf.DUMMYFUNCTION("""COMPUTED_VALUE"""),"Minimum Adjacent Swaps for K Consecutive Ones")</f>
        <v>Minimum Adjacent Swaps for K Consecutive Ones</v>
      </c>
      <c r="C1704" s="20" t="str">
        <f>IFERROR(__xludf.DUMMYFUNCTION("""COMPUTED_VALUE"""),"minimum-adjacent-swaps-for-k-consecutive-ones")</f>
        <v>minimum-adjacent-swaps-for-k-consecutive-ones</v>
      </c>
      <c r="D1704" s="20" t="b">
        <f>IFERROR(__xludf.DUMMYFUNCTION("""COMPUTED_VALUE"""),FALSE)</f>
        <v>0</v>
      </c>
      <c r="E1704" s="20" t="str">
        <f>IFERROR(__xludf.DUMMYFUNCTION("""COMPUTED_VALUE"""),"Hard")</f>
        <v>Hard</v>
      </c>
      <c r="F1704" s="20">
        <f>IFERROR(__xludf.DUMMYFUNCTION("""COMPUTED_VALUE"""),559.0)</f>
        <v>559</v>
      </c>
      <c r="G1704" s="20">
        <f>IFERROR(__xludf.DUMMYFUNCTION("""COMPUTED_VALUE"""),21.0)</f>
        <v>21</v>
      </c>
      <c r="H1704" s="20" t="str">
        <f>IFERROR(__xludf.DUMMYFUNCTION("""COMPUTED_VALUE"""),"Algorithms")</f>
        <v>Algorithms</v>
      </c>
      <c r="I1704" s="20">
        <f>IFERROR(__xludf.DUMMYFUNCTION("""COMPUTED_VALUE"""),0.425)</f>
        <v>0.425</v>
      </c>
      <c r="J1704" s="20">
        <f>IFERROR(__xludf.DUMMYFUNCTION("""COMPUTED_VALUE"""),1703.0)</f>
        <v>1703</v>
      </c>
      <c r="K1704" s="20" t="b">
        <f>IFERROR(__xludf.DUMMYFUNCTION("""COMPUTED_VALUE"""),FALSE)</f>
        <v>0</v>
      </c>
      <c r="L1704" s="20" t="str">
        <f>IFERROR(__xludf.DUMMYFUNCTION("""COMPUTED_VALUE"""),"Array;Greedy;Sliding Window;Prefix Sum;")</f>
        <v>Array;Greedy;Sliding Window;Prefix Sum;</v>
      </c>
      <c r="M1704" s="20" t="b">
        <f>IFERROR(__xludf.DUMMYFUNCTION("""COMPUTED_VALUE"""),FALSE)</f>
        <v>0</v>
      </c>
      <c r="N1704" s="20" t="b">
        <f>IFERROR(__xludf.DUMMYFUNCTION("""COMPUTED_VALUE"""),FALSE)</f>
        <v>0</v>
      </c>
      <c r="O1704" s="20">
        <f>IFERROR(__xludf.DUMMYFUNCTION("""COMPUTED_VALUE"""),42.4641467185584)</f>
        <v>42.46414672</v>
      </c>
      <c r="P1704" s="20">
        <f>IFERROR(__xludf.DUMMYFUNCTION("""COMPUTED_VALUE"""),7965.0)</f>
        <v>7965</v>
      </c>
      <c r="Q1704" s="20">
        <f>IFERROR(__xludf.DUMMYFUNCTION("""COMPUTED_VALUE"""),18757.0)</f>
        <v>18757</v>
      </c>
    </row>
    <row r="1705">
      <c r="A1705" s="20">
        <f>IFERROR(__xludf.DUMMYFUNCTION("""COMPUTED_VALUE"""),1823.0)</f>
        <v>1823</v>
      </c>
      <c r="B1705" s="20" t="str">
        <f>IFERROR(__xludf.DUMMYFUNCTION("""COMPUTED_VALUE"""),"Determine if String Halves Are Alike")</f>
        <v>Determine if String Halves Are Alike</v>
      </c>
      <c r="C1705" s="20" t="str">
        <f>IFERROR(__xludf.DUMMYFUNCTION("""COMPUTED_VALUE"""),"determine-if-string-halves-are-alike")</f>
        <v>determine-if-string-halves-are-alike</v>
      </c>
      <c r="D1705" s="20" t="b">
        <f>IFERROR(__xludf.DUMMYFUNCTION("""COMPUTED_VALUE"""),FALSE)</f>
        <v>0</v>
      </c>
      <c r="E1705" s="20" t="str">
        <f>IFERROR(__xludf.DUMMYFUNCTION("""COMPUTED_VALUE"""),"Easy")</f>
        <v>Easy</v>
      </c>
      <c r="F1705" s="20">
        <f>IFERROR(__xludf.DUMMYFUNCTION("""COMPUTED_VALUE"""),1569.0)</f>
        <v>1569</v>
      </c>
      <c r="G1705" s="20">
        <f>IFERROR(__xludf.DUMMYFUNCTION("""COMPUTED_VALUE"""),79.0)</f>
        <v>79</v>
      </c>
      <c r="H1705" s="20" t="str">
        <f>IFERROR(__xludf.DUMMYFUNCTION("""COMPUTED_VALUE"""),"Algorithms")</f>
        <v>Algorithms</v>
      </c>
      <c r="I1705" s="20">
        <f>IFERROR(__xludf.DUMMYFUNCTION("""COMPUTED_VALUE"""),0.779)</f>
        <v>0.779</v>
      </c>
      <c r="J1705" s="20">
        <f>IFERROR(__xludf.DUMMYFUNCTION("""COMPUTED_VALUE"""),1704.0)</f>
        <v>1704</v>
      </c>
      <c r="K1705" s="20" t="b">
        <f>IFERROR(__xludf.DUMMYFUNCTION("""COMPUTED_VALUE"""),FALSE)</f>
        <v>0</v>
      </c>
      <c r="L1705" s="20" t="str">
        <f>IFERROR(__xludf.DUMMYFUNCTION("""COMPUTED_VALUE"""),"String;Counting;")</f>
        <v>String;Counting;</v>
      </c>
      <c r="M1705" s="20" t="b">
        <f>IFERROR(__xludf.DUMMYFUNCTION("""COMPUTED_VALUE"""),TRUE)</f>
        <v>1</v>
      </c>
      <c r="N1705" s="20" t="b">
        <f>IFERROR(__xludf.DUMMYFUNCTION("""COMPUTED_VALUE"""),FALSE)</f>
        <v>0</v>
      </c>
      <c r="O1705" s="20">
        <f>IFERROR(__xludf.DUMMYFUNCTION("""COMPUTED_VALUE"""),77.9081215186771)</f>
        <v>77.90812152</v>
      </c>
      <c r="P1705" s="20">
        <f>IFERROR(__xludf.DUMMYFUNCTION("""COMPUTED_VALUE"""),178048.0)</f>
        <v>178048</v>
      </c>
      <c r="Q1705" s="20">
        <f>IFERROR(__xludf.DUMMYFUNCTION("""COMPUTED_VALUE"""),228537.0)</f>
        <v>228537</v>
      </c>
    </row>
    <row r="1706">
      <c r="A1706" s="20">
        <f>IFERROR(__xludf.DUMMYFUNCTION("""COMPUTED_VALUE"""),1824.0)</f>
        <v>1824</v>
      </c>
      <c r="B1706" s="20" t="str">
        <f>IFERROR(__xludf.DUMMYFUNCTION("""COMPUTED_VALUE"""),"Maximum Number of Eaten Apples")</f>
        <v>Maximum Number of Eaten Apples</v>
      </c>
      <c r="C1706" s="20" t="str">
        <f>IFERROR(__xludf.DUMMYFUNCTION("""COMPUTED_VALUE"""),"maximum-number-of-eaten-apples")</f>
        <v>maximum-number-of-eaten-apples</v>
      </c>
      <c r="D1706" s="20" t="b">
        <f>IFERROR(__xludf.DUMMYFUNCTION("""COMPUTED_VALUE"""),FALSE)</f>
        <v>0</v>
      </c>
      <c r="E1706" s="20" t="str">
        <f>IFERROR(__xludf.DUMMYFUNCTION("""COMPUTED_VALUE"""),"Medium")</f>
        <v>Medium</v>
      </c>
      <c r="F1706" s="20">
        <f>IFERROR(__xludf.DUMMYFUNCTION("""COMPUTED_VALUE"""),654.0)</f>
        <v>654</v>
      </c>
      <c r="G1706" s="20">
        <f>IFERROR(__xludf.DUMMYFUNCTION("""COMPUTED_VALUE"""),165.0)</f>
        <v>165</v>
      </c>
      <c r="H1706" s="20" t="str">
        <f>IFERROR(__xludf.DUMMYFUNCTION("""COMPUTED_VALUE"""),"Algorithms")</f>
        <v>Algorithms</v>
      </c>
      <c r="I1706" s="20">
        <f>IFERROR(__xludf.DUMMYFUNCTION("""COMPUTED_VALUE"""),0.377)</f>
        <v>0.377</v>
      </c>
      <c r="J1706" s="20">
        <f>IFERROR(__xludf.DUMMYFUNCTION("""COMPUTED_VALUE"""),1705.0)</f>
        <v>1705</v>
      </c>
      <c r="K1706" s="20" t="b">
        <f>IFERROR(__xludf.DUMMYFUNCTION("""COMPUTED_VALUE"""),FALSE)</f>
        <v>0</v>
      </c>
      <c r="L1706" s="20" t="str">
        <f>IFERROR(__xludf.DUMMYFUNCTION("""COMPUTED_VALUE"""),"Array;Greedy;Heap (Priority Queue);")</f>
        <v>Array;Greedy;Heap (Priority Queue);</v>
      </c>
      <c r="M1706" s="20" t="b">
        <f>IFERROR(__xludf.DUMMYFUNCTION("""COMPUTED_VALUE"""),FALSE)</f>
        <v>0</v>
      </c>
      <c r="N1706" s="20" t="b">
        <f>IFERROR(__xludf.DUMMYFUNCTION("""COMPUTED_VALUE"""),FALSE)</f>
        <v>0</v>
      </c>
      <c r="O1706" s="20">
        <f>IFERROR(__xludf.DUMMYFUNCTION("""COMPUTED_VALUE"""),37.7219866493135)</f>
        <v>37.72198665</v>
      </c>
      <c r="P1706" s="20">
        <f>IFERROR(__xludf.DUMMYFUNCTION("""COMPUTED_VALUE"""),17970.0)</f>
        <v>17970</v>
      </c>
      <c r="Q1706" s="20">
        <f>IFERROR(__xludf.DUMMYFUNCTION("""COMPUTED_VALUE"""),47638.0)</f>
        <v>47638</v>
      </c>
    </row>
    <row r="1707">
      <c r="A1707" s="20">
        <f>IFERROR(__xludf.DUMMYFUNCTION("""COMPUTED_VALUE"""),1324.0)</f>
        <v>1324</v>
      </c>
      <c r="B1707" s="20" t="str">
        <f>IFERROR(__xludf.DUMMYFUNCTION("""COMPUTED_VALUE"""),"Where Will the Ball Fall")</f>
        <v>Where Will the Ball Fall</v>
      </c>
      <c r="C1707" s="20" t="str">
        <f>IFERROR(__xludf.DUMMYFUNCTION("""COMPUTED_VALUE"""),"where-will-the-ball-fall")</f>
        <v>where-will-the-ball-fall</v>
      </c>
      <c r="D1707" s="20" t="b">
        <f>IFERROR(__xludf.DUMMYFUNCTION("""COMPUTED_VALUE"""),FALSE)</f>
        <v>0</v>
      </c>
      <c r="E1707" s="20" t="str">
        <f>IFERROR(__xludf.DUMMYFUNCTION("""COMPUTED_VALUE"""),"Medium")</f>
        <v>Medium</v>
      </c>
      <c r="F1707" s="20">
        <f>IFERROR(__xludf.DUMMYFUNCTION("""COMPUTED_VALUE"""),2638.0)</f>
        <v>2638</v>
      </c>
      <c r="G1707" s="20">
        <f>IFERROR(__xludf.DUMMYFUNCTION("""COMPUTED_VALUE"""),153.0)</f>
        <v>153</v>
      </c>
      <c r="H1707" s="20" t="str">
        <f>IFERROR(__xludf.DUMMYFUNCTION("""COMPUTED_VALUE"""),"Algorithms")</f>
        <v>Algorithms</v>
      </c>
      <c r="I1707" s="20">
        <f>IFERROR(__xludf.DUMMYFUNCTION("""COMPUTED_VALUE"""),0.716)</f>
        <v>0.716</v>
      </c>
      <c r="J1707" s="20">
        <f>IFERROR(__xludf.DUMMYFUNCTION("""COMPUTED_VALUE"""),1706.0)</f>
        <v>1706</v>
      </c>
      <c r="K1707" s="20" t="b">
        <f>IFERROR(__xludf.DUMMYFUNCTION("""COMPUTED_VALUE"""),FALSE)</f>
        <v>0</v>
      </c>
      <c r="L1707" s="20" t="str">
        <f>IFERROR(__xludf.DUMMYFUNCTION("""COMPUTED_VALUE"""),"Array;Dynamic Programming;Depth-First Search;Matrix;Simulation;")</f>
        <v>Array;Dynamic Programming;Depth-First Search;Matrix;Simulation;</v>
      </c>
      <c r="M1707" s="20" t="b">
        <f>IFERROR(__xludf.DUMMYFUNCTION("""COMPUTED_VALUE"""),TRUE)</f>
        <v>1</v>
      </c>
      <c r="N1707" s="20" t="b">
        <f>IFERROR(__xludf.DUMMYFUNCTION("""COMPUTED_VALUE"""),FALSE)</f>
        <v>0</v>
      </c>
      <c r="O1707" s="20">
        <f>IFERROR(__xludf.DUMMYFUNCTION("""COMPUTED_VALUE"""),71.6311877911484)</f>
        <v>71.63118779</v>
      </c>
      <c r="P1707" s="20">
        <f>IFERROR(__xludf.DUMMYFUNCTION("""COMPUTED_VALUE"""),113635.0)</f>
        <v>113635</v>
      </c>
      <c r="Q1707" s="20">
        <f>IFERROR(__xludf.DUMMYFUNCTION("""COMPUTED_VALUE"""),158639.0)</f>
        <v>158639</v>
      </c>
    </row>
    <row r="1708">
      <c r="A1708" s="20">
        <f>IFERROR(__xludf.DUMMYFUNCTION("""COMPUTED_VALUE"""),1826.0)</f>
        <v>1826</v>
      </c>
      <c r="B1708" s="20" t="str">
        <f>IFERROR(__xludf.DUMMYFUNCTION("""COMPUTED_VALUE"""),"Maximum XOR With an Element From Array")</f>
        <v>Maximum XOR With an Element From Array</v>
      </c>
      <c r="C1708" s="20" t="str">
        <f>IFERROR(__xludf.DUMMYFUNCTION("""COMPUTED_VALUE"""),"maximum-xor-with-an-element-from-array")</f>
        <v>maximum-xor-with-an-element-from-array</v>
      </c>
      <c r="D1708" s="20" t="b">
        <f>IFERROR(__xludf.DUMMYFUNCTION("""COMPUTED_VALUE"""),FALSE)</f>
        <v>0</v>
      </c>
      <c r="E1708" s="20" t="str">
        <f>IFERROR(__xludf.DUMMYFUNCTION("""COMPUTED_VALUE"""),"Hard")</f>
        <v>Hard</v>
      </c>
      <c r="F1708" s="20">
        <f>IFERROR(__xludf.DUMMYFUNCTION("""COMPUTED_VALUE"""),833.0)</f>
        <v>833</v>
      </c>
      <c r="G1708" s="20">
        <f>IFERROR(__xludf.DUMMYFUNCTION("""COMPUTED_VALUE"""),27.0)</f>
        <v>27</v>
      </c>
      <c r="H1708" s="20" t="str">
        <f>IFERROR(__xludf.DUMMYFUNCTION("""COMPUTED_VALUE"""),"Algorithms")</f>
        <v>Algorithms</v>
      </c>
      <c r="I1708" s="20">
        <f>IFERROR(__xludf.DUMMYFUNCTION("""COMPUTED_VALUE"""),0.444)</f>
        <v>0.444</v>
      </c>
      <c r="J1708" s="20">
        <f>IFERROR(__xludf.DUMMYFUNCTION("""COMPUTED_VALUE"""),1707.0)</f>
        <v>1707</v>
      </c>
      <c r="K1708" s="20" t="b">
        <f>IFERROR(__xludf.DUMMYFUNCTION("""COMPUTED_VALUE"""),FALSE)</f>
        <v>0</v>
      </c>
      <c r="L1708" s="20" t="str">
        <f>IFERROR(__xludf.DUMMYFUNCTION("""COMPUTED_VALUE"""),"Array;Bit Manipulation;Trie;")</f>
        <v>Array;Bit Manipulation;Trie;</v>
      </c>
      <c r="M1708" s="20" t="b">
        <f>IFERROR(__xludf.DUMMYFUNCTION("""COMPUTED_VALUE"""),FALSE)</f>
        <v>0</v>
      </c>
      <c r="N1708" s="20" t="b">
        <f>IFERROR(__xludf.DUMMYFUNCTION("""COMPUTED_VALUE"""),FALSE)</f>
        <v>0</v>
      </c>
      <c r="O1708" s="20">
        <f>IFERROR(__xludf.DUMMYFUNCTION("""COMPUTED_VALUE"""),44.4333551295729)</f>
        <v>44.43335513</v>
      </c>
      <c r="P1708" s="20">
        <f>IFERROR(__xludf.DUMMYFUNCTION("""COMPUTED_VALUE"""),12911.0)</f>
        <v>12911</v>
      </c>
      <c r="Q1708" s="20">
        <f>IFERROR(__xludf.DUMMYFUNCTION("""COMPUTED_VALUE"""),29057.0)</f>
        <v>29057</v>
      </c>
    </row>
    <row r="1709">
      <c r="A1709" s="20">
        <f>IFERROR(__xludf.DUMMYFUNCTION("""COMPUTED_VALUE"""),1847.0)</f>
        <v>1847</v>
      </c>
      <c r="B1709" s="20" t="str">
        <f>IFERROR(__xludf.DUMMYFUNCTION("""COMPUTED_VALUE"""),"Largest Subarray Length K")</f>
        <v>Largest Subarray Length K</v>
      </c>
      <c r="C1709" s="20" t="str">
        <f>IFERROR(__xludf.DUMMYFUNCTION("""COMPUTED_VALUE"""),"largest-subarray-length-k")</f>
        <v>largest-subarray-length-k</v>
      </c>
      <c r="D1709" s="20" t="b">
        <f>IFERROR(__xludf.DUMMYFUNCTION("""COMPUTED_VALUE"""),TRUE)</f>
        <v>1</v>
      </c>
      <c r="E1709" s="20" t="str">
        <f>IFERROR(__xludf.DUMMYFUNCTION("""COMPUTED_VALUE"""),"Easy")</f>
        <v>Easy</v>
      </c>
      <c r="F1709" s="20">
        <f>IFERROR(__xludf.DUMMYFUNCTION("""COMPUTED_VALUE"""),85.0)</f>
        <v>85</v>
      </c>
      <c r="G1709" s="20">
        <f>IFERROR(__xludf.DUMMYFUNCTION("""COMPUTED_VALUE"""),102.0)</f>
        <v>102</v>
      </c>
      <c r="H1709" s="20" t="str">
        <f>IFERROR(__xludf.DUMMYFUNCTION("""COMPUTED_VALUE"""),"Algorithms")</f>
        <v>Algorithms</v>
      </c>
      <c r="I1709" s="20">
        <f>IFERROR(__xludf.DUMMYFUNCTION("""COMPUTED_VALUE"""),0.638)</f>
        <v>0.638</v>
      </c>
      <c r="J1709" s="20">
        <f>IFERROR(__xludf.DUMMYFUNCTION("""COMPUTED_VALUE"""),1708.0)</f>
        <v>1708</v>
      </c>
      <c r="K1709" s="20" t="b">
        <f>IFERROR(__xludf.DUMMYFUNCTION("""COMPUTED_VALUE"""),TRUE)</f>
        <v>1</v>
      </c>
      <c r="L1709" s="20" t="str">
        <f>IFERROR(__xludf.DUMMYFUNCTION("""COMPUTED_VALUE"""),"Array;Greedy;")</f>
        <v>Array;Greedy;</v>
      </c>
      <c r="M1709" s="20" t="b">
        <f>IFERROR(__xludf.DUMMYFUNCTION("""COMPUTED_VALUE"""),FALSE)</f>
        <v>0</v>
      </c>
      <c r="N1709" s="20" t="b">
        <f>IFERROR(__xludf.DUMMYFUNCTION("""COMPUTED_VALUE"""),FALSE)</f>
        <v>0</v>
      </c>
      <c r="O1709" s="20">
        <f>IFERROR(__xludf.DUMMYFUNCTION("""COMPUTED_VALUE"""),63.8033904725826)</f>
        <v>63.80339047</v>
      </c>
      <c r="P1709" s="20">
        <f>IFERROR(__xludf.DUMMYFUNCTION("""COMPUTED_VALUE"""),6737.0)</f>
        <v>6737</v>
      </c>
      <c r="Q1709" s="20">
        <f>IFERROR(__xludf.DUMMYFUNCTION("""COMPUTED_VALUE"""),10559.0)</f>
        <v>10559</v>
      </c>
    </row>
    <row r="1710">
      <c r="A1710" s="20">
        <f>IFERROR(__xludf.DUMMYFUNCTION("""COMPUTED_VALUE"""),1852.0)</f>
        <v>1852</v>
      </c>
      <c r="B1710" s="20" t="str">
        <f>IFERROR(__xludf.DUMMYFUNCTION("""COMPUTED_VALUE"""),"Biggest Window Between Visits")</f>
        <v>Biggest Window Between Visits</v>
      </c>
      <c r="C1710" s="20" t="str">
        <f>IFERROR(__xludf.DUMMYFUNCTION("""COMPUTED_VALUE"""),"biggest-window-between-visits")</f>
        <v>biggest-window-between-visits</v>
      </c>
      <c r="D1710" s="20" t="b">
        <f>IFERROR(__xludf.DUMMYFUNCTION("""COMPUTED_VALUE"""),TRUE)</f>
        <v>1</v>
      </c>
      <c r="E1710" s="20" t="str">
        <f>IFERROR(__xludf.DUMMYFUNCTION("""COMPUTED_VALUE"""),"Medium")</f>
        <v>Medium</v>
      </c>
      <c r="F1710" s="20">
        <f>IFERROR(__xludf.DUMMYFUNCTION("""COMPUTED_VALUE"""),156.0)</f>
        <v>156</v>
      </c>
      <c r="G1710" s="20">
        <f>IFERROR(__xludf.DUMMYFUNCTION("""COMPUTED_VALUE"""),11.0)</f>
        <v>11</v>
      </c>
      <c r="H1710" s="20" t="str">
        <f>IFERROR(__xludf.DUMMYFUNCTION("""COMPUTED_VALUE"""),"Database")</f>
        <v>Database</v>
      </c>
      <c r="I1710" s="20">
        <f>IFERROR(__xludf.DUMMYFUNCTION("""COMPUTED_VALUE"""),0.77)</f>
        <v>0.77</v>
      </c>
      <c r="J1710" s="20">
        <f>IFERROR(__xludf.DUMMYFUNCTION("""COMPUTED_VALUE"""),1709.0)</f>
        <v>1709</v>
      </c>
      <c r="K1710" s="20" t="b">
        <f>IFERROR(__xludf.DUMMYFUNCTION("""COMPUTED_VALUE"""),TRUE)</f>
        <v>1</v>
      </c>
      <c r="L1710" s="20" t="str">
        <f>IFERROR(__xludf.DUMMYFUNCTION("""COMPUTED_VALUE"""),"Database;")</f>
        <v>Database;</v>
      </c>
      <c r="M1710" s="20" t="b">
        <f>IFERROR(__xludf.DUMMYFUNCTION("""COMPUTED_VALUE"""),FALSE)</f>
        <v>0</v>
      </c>
      <c r="N1710" s="20" t="b">
        <f>IFERROR(__xludf.DUMMYFUNCTION("""COMPUTED_VALUE"""),FALSE)</f>
        <v>0</v>
      </c>
      <c r="O1710" s="20">
        <f>IFERROR(__xludf.DUMMYFUNCTION("""COMPUTED_VALUE"""),77.0209315290659)</f>
        <v>77.02093153</v>
      </c>
      <c r="P1710" s="20">
        <f>IFERROR(__xludf.DUMMYFUNCTION("""COMPUTED_VALUE"""),15197.0)</f>
        <v>15197</v>
      </c>
      <c r="Q1710" s="20">
        <f>IFERROR(__xludf.DUMMYFUNCTION("""COMPUTED_VALUE"""),19731.0)</f>
        <v>19731</v>
      </c>
    </row>
    <row r="1711">
      <c r="A1711" s="20">
        <f>IFERROR(__xludf.DUMMYFUNCTION("""COMPUTED_VALUE"""),1829.0)</f>
        <v>1829</v>
      </c>
      <c r="B1711" s="20" t="str">
        <f>IFERROR(__xludf.DUMMYFUNCTION("""COMPUTED_VALUE"""),"Maximum Units on a Truck")</f>
        <v>Maximum Units on a Truck</v>
      </c>
      <c r="C1711" s="20" t="str">
        <f>IFERROR(__xludf.DUMMYFUNCTION("""COMPUTED_VALUE"""),"maximum-units-on-a-truck")</f>
        <v>maximum-units-on-a-truck</v>
      </c>
      <c r="D1711" s="20" t="b">
        <f>IFERROR(__xludf.DUMMYFUNCTION("""COMPUTED_VALUE"""),FALSE)</f>
        <v>0</v>
      </c>
      <c r="E1711" s="20" t="str">
        <f>IFERROR(__xludf.DUMMYFUNCTION("""COMPUTED_VALUE"""),"Easy")</f>
        <v>Easy</v>
      </c>
      <c r="F1711" s="20">
        <f>IFERROR(__xludf.DUMMYFUNCTION("""COMPUTED_VALUE"""),3259.0)</f>
        <v>3259</v>
      </c>
      <c r="G1711" s="20">
        <f>IFERROR(__xludf.DUMMYFUNCTION("""COMPUTED_VALUE"""),185.0)</f>
        <v>185</v>
      </c>
      <c r="H1711" s="20" t="str">
        <f>IFERROR(__xludf.DUMMYFUNCTION("""COMPUTED_VALUE"""),"Algorithms")</f>
        <v>Algorithms</v>
      </c>
      <c r="I1711" s="20">
        <f>IFERROR(__xludf.DUMMYFUNCTION("""COMPUTED_VALUE"""),0.739)</f>
        <v>0.739</v>
      </c>
      <c r="J1711" s="20">
        <f>IFERROR(__xludf.DUMMYFUNCTION("""COMPUTED_VALUE"""),1710.0)</f>
        <v>1710</v>
      </c>
      <c r="K1711" s="20" t="b">
        <f>IFERROR(__xludf.DUMMYFUNCTION("""COMPUTED_VALUE"""),FALSE)</f>
        <v>0</v>
      </c>
      <c r="L1711" s="20" t="str">
        <f>IFERROR(__xludf.DUMMYFUNCTION("""COMPUTED_VALUE"""),"Array;Greedy;Sorting;")</f>
        <v>Array;Greedy;Sorting;</v>
      </c>
      <c r="M1711" s="20" t="b">
        <f>IFERROR(__xludf.DUMMYFUNCTION("""COMPUTED_VALUE"""),TRUE)</f>
        <v>1</v>
      </c>
      <c r="N1711" s="20" t="b">
        <f>IFERROR(__xludf.DUMMYFUNCTION("""COMPUTED_VALUE"""),FALSE)</f>
        <v>0</v>
      </c>
      <c r="O1711" s="20">
        <f>IFERROR(__xludf.DUMMYFUNCTION("""COMPUTED_VALUE"""),73.8583863797698)</f>
        <v>73.85838638</v>
      </c>
      <c r="P1711" s="20">
        <f>IFERROR(__xludf.DUMMYFUNCTION("""COMPUTED_VALUE"""),253869.0)</f>
        <v>253869</v>
      </c>
      <c r="Q1711" s="20">
        <f>IFERROR(__xludf.DUMMYFUNCTION("""COMPUTED_VALUE"""),343724.0)</f>
        <v>343724</v>
      </c>
    </row>
    <row r="1712">
      <c r="A1712" s="20">
        <f>IFERROR(__xludf.DUMMYFUNCTION("""COMPUTED_VALUE"""),1830.0)</f>
        <v>1830</v>
      </c>
      <c r="B1712" s="20" t="str">
        <f>IFERROR(__xludf.DUMMYFUNCTION("""COMPUTED_VALUE"""),"Count Good Meals")</f>
        <v>Count Good Meals</v>
      </c>
      <c r="C1712" s="20" t="str">
        <f>IFERROR(__xludf.DUMMYFUNCTION("""COMPUTED_VALUE"""),"count-good-meals")</f>
        <v>count-good-meals</v>
      </c>
      <c r="D1712" s="20" t="b">
        <f>IFERROR(__xludf.DUMMYFUNCTION("""COMPUTED_VALUE"""),FALSE)</f>
        <v>0</v>
      </c>
      <c r="E1712" s="20" t="str">
        <f>IFERROR(__xludf.DUMMYFUNCTION("""COMPUTED_VALUE"""),"Medium")</f>
        <v>Medium</v>
      </c>
      <c r="F1712" s="20">
        <f>IFERROR(__xludf.DUMMYFUNCTION("""COMPUTED_VALUE"""),777.0)</f>
        <v>777</v>
      </c>
      <c r="G1712" s="20">
        <f>IFERROR(__xludf.DUMMYFUNCTION("""COMPUTED_VALUE"""),219.0)</f>
        <v>219</v>
      </c>
      <c r="H1712" s="20" t="str">
        <f>IFERROR(__xludf.DUMMYFUNCTION("""COMPUTED_VALUE"""),"Algorithms")</f>
        <v>Algorithms</v>
      </c>
      <c r="I1712" s="20">
        <f>IFERROR(__xludf.DUMMYFUNCTION("""COMPUTED_VALUE"""),0.291)</f>
        <v>0.291</v>
      </c>
      <c r="J1712" s="20">
        <f>IFERROR(__xludf.DUMMYFUNCTION("""COMPUTED_VALUE"""),1711.0)</f>
        <v>1711</v>
      </c>
      <c r="K1712" s="20" t="b">
        <f>IFERROR(__xludf.DUMMYFUNCTION("""COMPUTED_VALUE"""),FALSE)</f>
        <v>0</v>
      </c>
      <c r="L1712" s="20" t="str">
        <f>IFERROR(__xludf.DUMMYFUNCTION("""COMPUTED_VALUE"""),"Array;Hash Table;")</f>
        <v>Array;Hash Table;</v>
      </c>
      <c r="M1712" s="20" t="b">
        <f>IFERROR(__xludf.DUMMYFUNCTION("""COMPUTED_VALUE"""),FALSE)</f>
        <v>0</v>
      </c>
      <c r="N1712" s="20" t="b">
        <f>IFERROR(__xludf.DUMMYFUNCTION("""COMPUTED_VALUE"""),FALSE)</f>
        <v>0</v>
      </c>
      <c r="O1712" s="20">
        <f>IFERROR(__xludf.DUMMYFUNCTION("""COMPUTED_VALUE"""),29.1127799305762)</f>
        <v>29.11277993</v>
      </c>
      <c r="P1712" s="20">
        <f>IFERROR(__xludf.DUMMYFUNCTION("""COMPUTED_VALUE"""),30275.0)</f>
        <v>30275</v>
      </c>
      <c r="Q1712" s="20">
        <f>IFERROR(__xludf.DUMMYFUNCTION("""COMPUTED_VALUE"""),103996.0)</f>
        <v>103996</v>
      </c>
    </row>
    <row r="1713">
      <c r="A1713" s="20">
        <f>IFERROR(__xludf.DUMMYFUNCTION("""COMPUTED_VALUE"""),1831.0)</f>
        <v>1831</v>
      </c>
      <c r="B1713" s="20" t="str">
        <f>IFERROR(__xludf.DUMMYFUNCTION("""COMPUTED_VALUE"""),"Ways to Split Array Into Three Subarrays")</f>
        <v>Ways to Split Array Into Three Subarrays</v>
      </c>
      <c r="C1713" s="20" t="str">
        <f>IFERROR(__xludf.DUMMYFUNCTION("""COMPUTED_VALUE"""),"ways-to-split-array-into-three-subarrays")</f>
        <v>ways-to-split-array-into-three-subarrays</v>
      </c>
      <c r="D1713" s="20" t="b">
        <f>IFERROR(__xludf.DUMMYFUNCTION("""COMPUTED_VALUE"""),FALSE)</f>
        <v>0</v>
      </c>
      <c r="E1713" s="20" t="str">
        <f>IFERROR(__xludf.DUMMYFUNCTION("""COMPUTED_VALUE"""),"Medium")</f>
        <v>Medium</v>
      </c>
      <c r="F1713" s="20">
        <f>IFERROR(__xludf.DUMMYFUNCTION("""COMPUTED_VALUE"""),1105.0)</f>
        <v>1105</v>
      </c>
      <c r="G1713" s="20">
        <f>IFERROR(__xludf.DUMMYFUNCTION("""COMPUTED_VALUE"""),88.0)</f>
        <v>88</v>
      </c>
      <c r="H1713" s="20" t="str">
        <f>IFERROR(__xludf.DUMMYFUNCTION("""COMPUTED_VALUE"""),"Algorithms")</f>
        <v>Algorithms</v>
      </c>
      <c r="I1713" s="20">
        <f>IFERROR(__xludf.DUMMYFUNCTION("""COMPUTED_VALUE"""),0.326)</f>
        <v>0.326</v>
      </c>
      <c r="J1713" s="20">
        <f>IFERROR(__xludf.DUMMYFUNCTION("""COMPUTED_VALUE"""),1712.0)</f>
        <v>1712</v>
      </c>
      <c r="K1713" s="20" t="b">
        <f>IFERROR(__xludf.DUMMYFUNCTION("""COMPUTED_VALUE"""),FALSE)</f>
        <v>0</v>
      </c>
      <c r="L1713" s="20" t="str">
        <f>IFERROR(__xludf.DUMMYFUNCTION("""COMPUTED_VALUE"""),"Array;Two Pointers;Binary Search;Prefix Sum;")</f>
        <v>Array;Two Pointers;Binary Search;Prefix Sum;</v>
      </c>
      <c r="M1713" s="20" t="b">
        <f>IFERROR(__xludf.DUMMYFUNCTION("""COMPUTED_VALUE"""),FALSE)</f>
        <v>0</v>
      </c>
      <c r="N1713" s="20" t="b">
        <f>IFERROR(__xludf.DUMMYFUNCTION("""COMPUTED_VALUE"""),FALSE)</f>
        <v>0</v>
      </c>
      <c r="O1713" s="20">
        <f>IFERROR(__xludf.DUMMYFUNCTION("""COMPUTED_VALUE"""),32.598550038998)</f>
        <v>32.59855004</v>
      </c>
      <c r="P1713" s="20">
        <f>IFERROR(__xludf.DUMMYFUNCTION("""COMPUTED_VALUE"""),25494.0)</f>
        <v>25494</v>
      </c>
      <c r="Q1713" s="20">
        <f>IFERROR(__xludf.DUMMYFUNCTION("""COMPUTED_VALUE"""),78208.0)</f>
        <v>78208</v>
      </c>
    </row>
    <row r="1714">
      <c r="A1714" s="20">
        <f>IFERROR(__xludf.DUMMYFUNCTION("""COMPUTED_VALUE"""),1832.0)</f>
        <v>1832</v>
      </c>
      <c r="B1714" s="20" t="str">
        <f>IFERROR(__xludf.DUMMYFUNCTION("""COMPUTED_VALUE"""),"Minimum Operations to Make a Subsequence")</f>
        <v>Minimum Operations to Make a Subsequence</v>
      </c>
      <c r="C1714" s="20" t="str">
        <f>IFERROR(__xludf.DUMMYFUNCTION("""COMPUTED_VALUE"""),"minimum-operations-to-make-a-subsequence")</f>
        <v>minimum-operations-to-make-a-subsequence</v>
      </c>
      <c r="D1714" s="20" t="b">
        <f>IFERROR(__xludf.DUMMYFUNCTION("""COMPUTED_VALUE"""),FALSE)</f>
        <v>0</v>
      </c>
      <c r="E1714" s="20" t="str">
        <f>IFERROR(__xludf.DUMMYFUNCTION("""COMPUTED_VALUE"""),"Hard")</f>
        <v>Hard</v>
      </c>
      <c r="F1714" s="20">
        <f>IFERROR(__xludf.DUMMYFUNCTION("""COMPUTED_VALUE"""),532.0)</f>
        <v>532</v>
      </c>
      <c r="G1714" s="20">
        <f>IFERROR(__xludf.DUMMYFUNCTION("""COMPUTED_VALUE"""),9.0)</f>
        <v>9</v>
      </c>
      <c r="H1714" s="20" t="str">
        <f>IFERROR(__xludf.DUMMYFUNCTION("""COMPUTED_VALUE"""),"Algorithms")</f>
        <v>Algorithms</v>
      </c>
      <c r="I1714" s="20">
        <f>IFERROR(__xludf.DUMMYFUNCTION("""COMPUTED_VALUE"""),0.491)</f>
        <v>0.491</v>
      </c>
      <c r="J1714" s="20">
        <f>IFERROR(__xludf.DUMMYFUNCTION("""COMPUTED_VALUE"""),1713.0)</f>
        <v>1713</v>
      </c>
      <c r="K1714" s="20" t="b">
        <f>IFERROR(__xludf.DUMMYFUNCTION("""COMPUTED_VALUE"""),FALSE)</f>
        <v>0</v>
      </c>
      <c r="L1714" s="20" t="str">
        <f>IFERROR(__xludf.DUMMYFUNCTION("""COMPUTED_VALUE"""),"Array;Hash Table;Binary Search;Greedy;")</f>
        <v>Array;Hash Table;Binary Search;Greedy;</v>
      </c>
      <c r="M1714" s="20" t="b">
        <f>IFERROR(__xludf.DUMMYFUNCTION("""COMPUTED_VALUE"""),FALSE)</f>
        <v>0</v>
      </c>
      <c r="N1714" s="20" t="b">
        <f>IFERROR(__xludf.DUMMYFUNCTION("""COMPUTED_VALUE"""),FALSE)</f>
        <v>0</v>
      </c>
      <c r="O1714" s="20">
        <f>IFERROR(__xludf.DUMMYFUNCTION("""COMPUTED_VALUE"""),49.0545983441485)</f>
        <v>49.05459834</v>
      </c>
      <c r="P1714" s="20">
        <f>IFERROR(__xludf.DUMMYFUNCTION("""COMPUTED_VALUE"""),8769.0)</f>
        <v>8769</v>
      </c>
      <c r="Q1714" s="20">
        <f>IFERROR(__xludf.DUMMYFUNCTION("""COMPUTED_VALUE"""),17876.0)</f>
        <v>17876</v>
      </c>
    </row>
    <row r="1715">
      <c r="A1715" s="20">
        <f>IFERROR(__xludf.DUMMYFUNCTION("""COMPUTED_VALUE"""),1809.0)</f>
        <v>1809</v>
      </c>
      <c r="B1715" s="20" t="str">
        <f>IFERROR(__xludf.DUMMYFUNCTION("""COMPUTED_VALUE"""),"Sum Of Special Evenly-Spaced Elements In Array")</f>
        <v>Sum Of Special Evenly-Spaced Elements In Array</v>
      </c>
      <c r="C1715" s="20" t="str">
        <f>IFERROR(__xludf.DUMMYFUNCTION("""COMPUTED_VALUE"""),"sum-of-special-evenly-spaced-elements-in-array")</f>
        <v>sum-of-special-evenly-spaced-elements-in-array</v>
      </c>
      <c r="D1715" s="20" t="b">
        <f>IFERROR(__xludf.DUMMYFUNCTION("""COMPUTED_VALUE"""),TRUE)</f>
        <v>1</v>
      </c>
      <c r="E1715" s="20" t="str">
        <f>IFERROR(__xludf.DUMMYFUNCTION("""COMPUTED_VALUE"""),"Hard")</f>
        <v>Hard</v>
      </c>
      <c r="F1715" s="20">
        <f>IFERROR(__xludf.DUMMYFUNCTION("""COMPUTED_VALUE"""),23.0)</f>
        <v>23</v>
      </c>
      <c r="G1715" s="20">
        <f>IFERROR(__xludf.DUMMYFUNCTION("""COMPUTED_VALUE"""),21.0)</f>
        <v>21</v>
      </c>
      <c r="H1715" s="20" t="str">
        <f>IFERROR(__xludf.DUMMYFUNCTION("""COMPUTED_VALUE"""),"Algorithms")</f>
        <v>Algorithms</v>
      </c>
      <c r="I1715" s="20">
        <f>IFERROR(__xludf.DUMMYFUNCTION("""COMPUTED_VALUE"""),0.495)</f>
        <v>0.495</v>
      </c>
      <c r="J1715" s="20">
        <f>IFERROR(__xludf.DUMMYFUNCTION("""COMPUTED_VALUE"""),1714.0)</f>
        <v>1714</v>
      </c>
      <c r="K1715" s="20" t="b">
        <f>IFERROR(__xludf.DUMMYFUNCTION("""COMPUTED_VALUE"""),TRUE)</f>
        <v>1</v>
      </c>
      <c r="L1715" s="20" t="str">
        <f>IFERROR(__xludf.DUMMYFUNCTION("""COMPUTED_VALUE"""),"Array;Dynamic Programming;")</f>
        <v>Array;Dynamic Programming;</v>
      </c>
      <c r="M1715" s="20" t="b">
        <f>IFERROR(__xludf.DUMMYFUNCTION("""COMPUTED_VALUE"""),FALSE)</f>
        <v>0</v>
      </c>
      <c r="N1715" s="20" t="b">
        <f>IFERROR(__xludf.DUMMYFUNCTION("""COMPUTED_VALUE"""),FALSE)</f>
        <v>0</v>
      </c>
      <c r="O1715" s="20">
        <f>IFERROR(__xludf.DUMMYFUNCTION("""COMPUTED_VALUE"""),49.479402444545)</f>
        <v>49.47940244</v>
      </c>
      <c r="P1715" s="20">
        <f>IFERROR(__xludf.DUMMYFUNCTION("""COMPUTED_VALUE"""),1093.0)</f>
        <v>1093</v>
      </c>
      <c r="Q1715" s="20">
        <f>IFERROR(__xludf.DUMMYFUNCTION("""COMPUTED_VALUE"""),2209.0)</f>
        <v>2209</v>
      </c>
    </row>
    <row r="1716">
      <c r="A1716" s="20">
        <f>IFERROR(__xludf.DUMMYFUNCTION("""COMPUTED_VALUE"""),1862.0)</f>
        <v>1862</v>
      </c>
      <c r="B1716" s="20" t="str">
        <f>IFERROR(__xludf.DUMMYFUNCTION("""COMPUTED_VALUE"""),"Count Apples and Oranges")</f>
        <v>Count Apples and Oranges</v>
      </c>
      <c r="C1716" s="20" t="str">
        <f>IFERROR(__xludf.DUMMYFUNCTION("""COMPUTED_VALUE"""),"count-apples-and-oranges")</f>
        <v>count-apples-and-oranges</v>
      </c>
      <c r="D1716" s="20" t="b">
        <f>IFERROR(__xludf.DUMMYFUNCTION("""COMPUTED_VALUE"""),TRUE)</f>
        <v>1</v>
      </c>
      <c r="E1716" s="20" t="str">
        <f>IFERROR(__xludf.DUMMYFUNCTION("""COMPUTED_VALUE"""),"Medium")</f>
        <v>Medium</v>
      </c>
      <c r="F1716" s="20">
        <f>IFERROR(__xludf.DUMMYFUNCTION("""COMPUTED_VALUE"""),64.0)</f>
        <v>64</v>
      </c>
      <c r="G1716" s="20">
        <f>IFERROR(__xludf.DUMMYFUNCTION("""COMPUTED_VALUE"""),17.0)</f>
        <v>17</v>
      </c>
      <c r="H1716" s="20" t="str">
        <f>IFERROR(__xludf.DUMMYFUNCTION("""COMPUTED_VALUE"""),"Database")</f>
        <v>Database</v>
      </c>
      <c r="I1716" s="20">
        <f>IFERROR(__xludf.DUMMYFUNCTION("""COMPUTED_VALUE"""),0.768)</f>
        <v>0.768</v>
      </c>
      <c r="J1716" s="20">
        <f>IFERROR(__xludf.DUMMYFUNCTION("""COMPUTED_VALUE"""),1715.0)</f>
        <v>1715</v>
      </c>
      <c r="K1716" s="20" t="b">
        <f>IFERROR(__xludf.DUMMYFUNCTION("""COMPUTED_VALUE"""),TRUE)</f>
        <v>1</v>
      </c>
      <c r="L1716" s="20" t="str">
        <f>IFERROR(__xludf.DUMMYFUNCTION("""COMPUTED_VALUE"""),"Database;")</f>
        <v>Database;</v>
      </c>
      <c r="M1716" s="20" t="b">
        <f>IFERROR(__xludf.DUMMYFUNCTION("""COMPUTED_VALUE"""),FALSE)</f>
        <v>0</v>
      </c>
      <c r="N1716" s="20" t="b">
        <f>IFERROR(__xludf.DUMMYFUNCTION("""COMPUTED_VALUE"""),FALSE)</f>
        <v>0</v>
      </c>
      <c r="O1716" s="20">
        <f>IFERROR(__xludf.DUMMYFUNCTION("""COMPUTED_VALUE"""),76.7822282059912)</f>
        <v>76.78222821</v>
      </c>
      <c r="P1716" s="20">
        <f>IFERROR(__xludf.DUMMYFUNCTION("""COMPUTED_VALUE"""),11406.0)</f>
        <v>11406</v>
      </c>
      <c r="Q1716" s="20">
        <f>IFERROR(__xludf.DUMMYFUNCTION("""COMPUTED_VALUE"""),14855.0)</f>
        <v>14855</v>
      </c>
    </row>
    <row r="1717">
      <c r="A1717" s="20">
        <f>IFERROR(__xludf.DUMMYFUNCTION("""COMPUTED_VALUE"""),1817.0)</f>
        <v>1817</v>
      </c>
      <c r="B1717" s="20" t="str">
        <f>IFERROR(__xludf.DUMMYFUNCTION("""COMPUTED_VALUE"""),"Calculate Money in Leetcode Bank")</f>
        <v>Calculate Money in Leetcode Bank</v>
      </c>
      <c r="C1717" s="20" t="str">
        <f>IFERROR(__xludf.DUMMYFUNCTION("""COMPUTED_VALUE"""),"calculate-money-in-leetcode-bank")</f>
        <v>calculate-money-in-leetcode-bank</v>
      </c>
      <c r="D1717" s="20" t="b">
        <f>IFERROR(__xludf.DUMMYFUNCTION("""COMPUTED_VALUE"""),FALSE)</f>
        <v>0</v>
      </c>
      <c r="E1717" s="20" t="str">
        <f>IFERROR(__xludf.DUMMYFUNCTION("""COMPUTED_VALUE"""),"Easy")</f>
        <v>Easy</v>
      </c>
      <c r="F1717" s="20">
        <f>IFERROR(__xludf.DUMMYFUNCTION("""COMPUTED_VALUE"""),514.0)</f>
        <v>514</v>
      </c>
      <c r="G1717" s="20">
        <f>IFERROR(__xludf.DUMMYFUNCTION("""COMPUTED_VALUE"""),16.0)</f>
        <v>16</v>
      </c>
      <c r="H1717" s="20" t="str">
        <f>IFERROR(__xludf.DUMMYFUNCTION("""COMPUTED_VALUE"""),"Algorithms")</f>
        <v>Algorithms</v>
      </c>
      <c r="I1717" s="20">
        <f>IFERROR(__xludf.DUMMYFUNCTION("""COMPUTED_VALUE"""),0.654)</f>
        <v>0.654</v>
      </c>
      <c r="J1717" s="20">
        <f>IFERROR(__xludf.DUMMYFUNCTION("""COMPUTED_VALUE"""),1716.0)</f>
        <v>1716</v>
      </c>
      <c r="K1717" s="20" t="b">
        <f>IFERROR(__xludf.DUMMYFUNCTION("""COMPUTED_VALUE"""),FALSE)</f>
        <v>0</v>
      </c>
      <c r="L1717" s="20" t="str">
        <f>IFERROR(__xludf.DUMMYFUNCTION("""COMPUTED_VALUE"""),"Math;")</f>
        <v>Math;</v>
      </c>
      <c r="M1717" s="20" t="b">
        <f>IFERROR(__xludf.DUMMYFUNCTION("""COMPUTED_VALUE"""),FALSE)</f>
        <v>0</v>
      </c>
      <c r="N1717" s="20" t="b">
        <f>IFERROR(__xludf.DUMMYFUNCTION("""COMPUTED_VALUE"""),FALSE)</f>
        <v>0</v>
      </c>
      <c r="O1717" s="20">
        <f>IFERROR(__xludf.DUMMYFUNCTION("""COMPUTED_VALUE"""),65.3891264728703)</f>
        <v>65.38912647</v>
      </c>
      <c r="P1717" s="20">
        <f>IFERROR(__xludf.DUMMYFUNCTION("""COMPUTED_VALUE"""),36238.0)</f>
        <v>36238</v>
      </c>
      <c r="Q1717" s="20">
        <f>IFERROR(__xludf.DUMMYFUNCTION("""COMPUTED_VALUE"""),55419.0)</f>
        <v>55419</v>
      </c>
    </row>
    <row r="1718">
      <c r="A1718" s="20">
        <f>IFERROR(__xludf.DUMMYFUNCTION("""COMPUTED_VALUE"""),1818.0)</f>
        <v>1818</v>
      </c>
      <c r="B1718" s="20" t="str">
        <f>IFERROR(__xludf.DUMMYFUNCTION("""COMPUTED_VALUE"""),"Maximum Score From Removing Substrings")</f>
        <v>Maximum Score From Removing Substrings</v>
      </c>
      <c r="C1718" s="20" t="str">
        <f>IFERROR(__xludf.DUMMYFUNCTION("""COMPUTED_VALUE"""),"maximum-score-from-removing-substrings")</f>
        <v>maximum-score-from-removing-substrings</v>
      </c>
      <c r="D1718" s="20" t="b">
        <f>IFERROR(__xludf.DUMMYFUNCTION("""COMPUTED_VALUE"""),FALSE)</f>
        <v>0</v>
      </c>
      <c r="E1718" s="20" t="str">
        <f>IFERROR(__xludf.DUMMYFUNCTION("""COMPUTED_VALUE"""),"Medium")</f>
        <v>Medium</v>
      </c>
      <c r="F1718" s="20">
        <f>IFERROR(__xludf.DUMMYFUNCTION("""COMPUTED_VALUE"""),513.0)</f>
        <v>513</v>
      </c>
      <c r="G1718" s="20">
        <f>IFERROR(__xludf.DUMMYFUNCTION("""COMPUTED_VALUE"""),28.0)</f>
        <v>28</v>
      </c>
      <c r="H1718" s="20" t="str">
        <f>IFERROR(__xludf.DUMMYFUNCTION("""COMPUTED_VALUE"""),"Algorithms")</f>
        <v>Algorithms</v>
      </c>
      <c r="I1718" s="20">
        <f>IFERROR(__xludf.DUMMYFUNCTION("""COMPUTED_VALUE"""),0.461)</f>
        <v>0.461</v>
      </c>
      <c r="J1718" s="20">
        <f>IFERROR(__xludf.DUMMYFUNCTION("""COMPUTED_VALUE"""),1717.0)</f>
        <v>1717</v>
      </c>
      <c r="K1718" s="20" t="b">
        <f>IFERROR(__xludf.DUMMYFUNCTION("""COMPUTED_VALUE"""),FALSE)</f>
        <v>0</v>
      </c>
      <c r="L1718" s="20" t="str">
        <f>IFERROR(__xludf.DUMMYFUNCTION("""COMPUTED_VALUE"""),"String;Stack;Greedy;")</f>
        <v>String;Stack;Greedy;</v>
      </c>
      <c r="M1718" s="20" t="b">
        <f>IFERROR(__xludf.DUMMYFUNCTION("""COMPUTED_VALUE"""),FALSE)</f>
        <v>0</v>
      </c>
      <c r="N1718" s="20" t="b">
        <f>IFERROR(__xludf.DUMMYFUNCTION("""COMPUTED_VALUE"""),FALSE)</f>
        <v>0</v>
      </c>
      <c r="O1718" s="20">
        <f>IFERROR(__xludf.DUMMYFUNCTION("""COMPUTED_VALUE"""),46.0765550239234)</f>
        <v>46.07655502</v>
      </c>
      <c r="P1718" s="20">
        <f>IFERROR(__xludf.DUMMYFUNCTION("""COMPUTED_VALUE"""),11556.0)</f>
        <v>11556</v>
      </c>
      <c r="Q1718" s="20">
        <f>IFERROR(__xludf.DUMMYFUNCTION("""COMPUTED_VALUE"""),25080.0)</f>
        <v>25080</v>
      </c>
    </row>
    <row r="1719">
      <c r="A1719" s="20">
        <f>IFERROR(__xludf.DUMMYFUNCTION("""COMPUTED_VALUE"""),1819.0)</f>
        <v>1819</v>
      </c>
      <c r="B1719" s="20" t="str">
        <f>IFERROR(__xludf.DUMMYFUNCTION("""COMPUTED_VALUE"""),"Construct the Lexicographically Largest Valid Sequence")</f>
        <v>Construct the Lexicographically Largest Valid Sequence</v>
      </c>
      <c r="C1719" s="20" t="str">
        <f>IFERROR(__xludf.DUMMYFUNCTION("""COMPUTED_VALUE"""),"construct-the-lexicographically-largest-valid-sequence")</f>
        <v>construct-the-lexicographically-largest-valid-sequence</v>
      </c>
      <c r="D1719" s="20" t="b">
        <f>IFERROR(__xludf.DUMMYFUNCTION("""COMPUTED_VALUE"""),FALSE)</f>
        <v>0</v>
      </c>
      <c r="E1719" s="20" t="str">
        <f>IFERROR(__xludf.DUMMYFUNCTION("""COMPUTED_VALUE"""),"Medium")</f>
        <v>Medium</v>
      </c>
      <c r="F1719" s="20">
        <f>IFERROR(__xludf.DUMMYFUNCTION("""COMPUTED_VALUE"""),446.0)</f>
        <v>446</v>
      </c>
      <c r="G1719" s="20">
        <f>IFERROR(__xludf.DUMMYFUNCTION("""COMPUTED_VALUE"""),38.0)</f>
        <v>38</v>
      </c>
      <c r="H1719" s="20" t="str">
        <f>IFERROR(__xludf.DUMMYFUNCTION("""COMPUTED_VALUE"""),"Algorithms")</f>
        <v>Algorithms</v>
      </c>
      <c r="I1719" s="20">
        <f>IFERROR(__xludf.DUMMYFUNCTION("""COMPUTED_VALUE"""),0.517)</f>
        <v>0.517</v>
      </c>
      <c r="J1719" s="20">
        <f>IFERROR(__xludf.DUMMYFUNCTION("""COMPUTED_VALUE"""),1718.0)</f>
        <v>1718</v>
      </c>
      <c r="K1719" s="20" t="b">
        <f>IFERROR(__xludf.DUMMYFUNCTION("""COMPUTED_VALUE"""),FALSE)</f>
        <v>0</v>
      </c>
      <c r="L1719" s="20" t="str">
        <f>IFERROR(__xludf.DUMMYFUNCTION("""COMPUTED_VALUE"""),"Array;Backtracking;")</f>
        <v>Array;Backtracking;</v>
      </c>
      <c r="M1719" s="20" t="b">
        <f>IFERROR(__xludf.DUMMYFUNCTION("""COMPUTED_VALUE"""),FALSE)</f>
        <v>0</v>
      </c>
      <c r="N1719" s="20" t="b">
        <f>IFERROR(__xludf.DUMMYFUNCTION("""COMPUTED_VALUE"""),FALSE)</f>
        <v>0</v>
      </c>
      <c r="O1719" s="20">
        <f>IFERROR(__xludf.DUMMYFUNCTION("""COMPUTED_VALUE"""),51.7413441955193)</f>
        <v>51.7413442</v>
      </c>
      <c r="P1719" s="20">
        <f>IFERROR(__xludf.DUMMYFUNCTION("""COMPUTED_VALUE"""),10162.0)</f>
        <v>10162</v>
      </c>
      <c r="Q1719" s="20">
        <f>IFERROR(__xludf.DUMMYFUNCTION("""COMPUTED_VALUE"""),19640.0)</f>
        <v>19640</v>
      </c>
    </row>
    <row r="1720">
      <c r="A1720" s="20">
        <f>IFERROR(__xludf.DUMMYFUNCTION("""COMPUTED_VALUE"""),1820.0)</f>
        <v>1820</v>
      </c>
      <c r="B1720" s="20" t="str">
        <f>IFERROR(__xludf.DUMMYFUNCTION("""COMPUTED_VALUE"""),"Number Of Ways To Reconstruct A Tree")</f>
        <v>Number Of Ways To Reconstruct A Tree</v>
      </c>
      <c r="C1720" s="20" t="str">
        <f>IFERROR(__xludf.DUMMYFUNCTION("""COMPUTED_VALUE"""),"number-of-ways-to-reconstruct-a-tree")</f>
        <v>number-of-ways-to-reconstruct-a-tree</v>
      </c>
      <c r="D1720" s="20" t="b">
        <f>IFERROR(__xludf.DUMMYFUNCTION("""COMPUTED_VALUE"""),FALSE)</f>
        <v>0</v>
      </c>
      <c r="E1720" s="20" t="str">
        <f>IFERROR(__xludf.DUMMYFUNCTION("""COMPUTED_VALUE"""),"Hard")</f>
        <v>Hard</v>
      </c>
      <c r="F1720" s="20">
        <f>IFERROR(__xludf.DUMMYFUNCTION("""COMPUTED_VALUE"""),176.0)</f>
        <v>176</v>
      </c>
      <c r="G1720" s="20">
        <f>IFERROR(__xludf.DUMMYFUNCTION("""COMPUTED_VALUE"""),124.0)</f>
        <v>124</v>
      </c>
      <c r="H1720" s="20" t="str">
        <f>IFERROR(__xludf.DUMMYFUNCTION("""COMPUTED_VALUE"""),"Algorithms")</f>
        <v>Algorithms</v>
      </c>
      <c r="I1720" s="20">
        <f>IFERROR(__xludf.DUMMYFUNCTION("""COMPUTED_VALUE"""),0.431)</f>
        <v>0.431</v>
      </c>
      <c r="J1720" s="20">
        <f>IFERROR(__xludf.DUMMYFUNCTION("""COMPUTED_VALUE"""),1719.0)</f>
        <v>1719</v>
      </c>
      <c r="K1720" s="20" t="b">
        <f>IFERROR(__xludf.DUMMYFUNCTION("""COMPUTED_VALUE"""),FALSE)</f>
        <v>0</v>
      </c>
      <c r="L1720" s="20" t="str">
        <f>IFERROR(__xludf.DUMMYFUNCTION("""COMPUTED_VALUE"""),"Tree;Graph;")</f>
        <v>Tree;Graph;</v>
      </c>
      <c r="M1720" s="20" t="b">
        <f>IFERROR(__xludf.DUMMYFUNCTION("""COMPUTED_VALUE"""),FALSE)</f>
        <v>0</v>
      </c>
      <c r="N1720" s="20" t="b">
        <f>IFERROR(__xludf.DUMMYFUNCTION("""COMPUTED_VALUE"""),FALSE)</f>
        <v>0</v>
      </c>
      <c r="O1720" s="20">
        <f>IFERROR(__xludf.DUMMYFUNCTION("""COMPUTED_VALUE"""),43.1070387338608)</f>
        <v>43.10703873</v>
      </c>
      <c r="P1720" s="20">
        <f>IFERROR(__xludf.DUMMYFUNCTION("""COMPUTED_VALUE"""),3105.0)</f>
        <v>3105</v>
      </c>
      <c r="Q1720" s="20">
        <f>IFERROR(__xludf.DUMMYFUNCTION("""COMPUTED_VALUE"""),7203.0)</f>
        <v>7203</v>
      </c>
    </row>
    <row r="1721">
      <c r="A1721" s="20">
        <f>IFERROR(__xludf.DUMMYFUNCTION("""COMPUTED_VALUE"""),1839.0)</f>
        <v>1839</v>
      </c>
      <c r="B1721" s="20" t="str">
        <f>IFERROR(__xludf.DUMMYFUNCTION("""COMPUTED_VALUE"""),"Decode XORed Array")</f>
        <v>Decode XORed Array</v>
      </c>
      <c r="C1721" s="20" t="str">
        <f>IFERROR(__xludf.DUMMYFUNCTION("""COMPUTED_VALUE"""),"decode-xored-array")</f>
        <v>decode-xored-array</v>
      </c>
      <c r="D1721" s="20" t="b">
        <f>IFERROR(__xludf.DUMMYFUNCTION("""COMPUTED_VALUE"""),FALSE)</f>
        <v>0</v>
      </c>
      <c r="E1721" s="20" t="str">
        <f>IFERROR(__xludf.DUMMYFUNCTION("""COMPUTED_VALUE"""),"Easy")</f>
        <v>Easy</v>
      </c>
      <c r="F1721" s="20">
        <f>IFERROR(__xludf.DUMMYFUNCTION("""COMPUTED_VALUE"""),1128.0)</f>
        <v>1128</v>
      </c>
      <c r="G1721" s="20">
        <f>IFERROR(__xludf.DUMMYFUNCTION("""COMPUTED_VALUE"""),173.0)</f>
        <v>173</v>
      </c>
      <c r="H1721" s="20" t="str">
        <f>IFERROR(__xludf.DUMMYFUNCTION("""COMPUTED_VALUE"""),"Algorithms")</f>
        <v>Algorithms</v>
      </c>
      <c r="I1721" s="20">
        <f>IFERROR(__xludf.DUMMYFUNCTION("""COMPUTED_VALUE"""),0.86)</f>
        <v>0.86</v>
      </c>
      <c r="J1721" s="20">
        <f>IFERROR(__xludf.DUMMYFUNCTION("""COMPUTED_VALUE"""),1720.0)</f>
        <v>1720</v>
      </c>
      <c r="K1721" s="20" t="b">
        <f>IFERROR(__xludf.DUMMYFUNCTION("""COMPUTED_VALUE"""),FALSE)</f>
        <v>0</v>
      </c>
      <c r="L1721" s="20" t="str">
        <f>IFERROR(__xludf.DUMMYFUNCTION("""COMPUTED_VALUE"""),"Array;Bit Manipulation;")</f>
        <v>Array;Bit Manipulation;</v>
      </c>
      <c r="M1721" s="20" t="b">
        <f>IFERROR(__xludf.DUMMYFUNCTION("""COMPUTED_VALUE"""),FALSE)</f>
        <v>0</v>
      </c>
      <c r="N1721" s="20" t="b">
        <f>IFERROR(__xludf.DUMMYFUNCTION("""COMPUTED_VALUE"""),FALSE)</f>
        <v>0</v>
      </c>
      <c r="O1721" s="20">
        <f>IFERROR(__xludf.DUMMYFUNCTION("""COMPUTED_VALUE"""),85.9527921704087)</f>
        <v>85.95279217</v>
      </c>
      <c r="P1721" s="20">
        <f>IFERROR(__xludf.DUMMYFUNCTION("""COMPUTED_VALUE"""),98537.0)</f>
        <v>98537</v>
      </c>
      <c r="Q1721" s="20">
        <f>IFERROR(__xludf.DUMMYFUNCTION("""COMPUTED_VALUE"""),114641.0)</f>
        <v>114641</v>
      </c>
    </row>
    <row r="1722">
      <c r="A1722" s="20">
        <f>IFERROR(__xludf.DUMMYFUNCTION("""COMPUTED_VALUE"""),528.0)</f>
        <v>528</v>
      </c>
      <c r="B1722" s="20" t="str">
        <f>IFERROR(__xludf.DUMMYFUNCTION("""COMPUTED_VALUE"""),"Swapping Nodes in a Linked List")</f>
        <v>Swapping Nodes in a Linked List</v>
      </c>
      <c r="C1722" s="20" t="str">
        <f>IFERROR(__xludf.DUMMYFUNCTION("""COMPUTED_VALUE"""),"swapping-nodes-in-a-linked-list")</f>
        <v>swapping-nodes-in-a-linked-list</v>
      </c>
      <c r="D1722" s="20" t="b">
        <f>IFERROR(__xludf.DUMMYFUNCTION("""COMPUTED_VALUE"""),FALSE)</f>
        <v>0</v>
      </c>
      <c r="E1722" s="20" t="str">
        <f>IFERROR(__xludf.DUMMYFUNCTION("""COMPUTED_VALUE"""),"Medium")</f>
        <v>Medium</v>
      </c>
      <c r="F1722" s="20">
        <f>IFERROR(__xludf.DUMMYFUNCTION("""COMPUTED_VALUE"""),3486.0)</f>
        <v>3486</v>
      </c>
      <c r="G1722" s="20">
        <f>IFERROR(__xludf.DUMMYFUNCTION("""COMPUTED_VALUE"""),121.0)</f>
        <v>121</v>
      </c>
      <c r="H1722" s="20" t="str">
        <f>IFERROR(__xludf.DUMMYFUNCTION("""COMPUTED_VALUE"""),"Algorithms")</f>
        <v>Algorithms</v>
      </c>
      <c r="I1722" s="20">
        <f>IFERROR(__xludf.DUMMYFUNCTION("""COMPUTED_VALUE"""),0.676)</f>
        <v>0.676</v>
      </c>
      <c r="J1722" s="20">
        <f>IFERROR(__xludf.DUMMYFUNCTION("""COMPUTED_VALUE"""),1721.0)</f>
        <v>1721</v>
      </c>
      <c r="K1722" s="20" t="b">
        <f>IFERROR(__xludf.DUMMYFUNCTION("""COMPUTED_VALUE"""),FALSE)</f>
        <v>0</v>
      </c>
      <c r="L1722" s="20" t="str">
        <f>IFERROR(__xludf.DUMMYFUNCTION("""COMPUTED_VALUE"""),"Linked List;Two Pointers;")</f>
        <v>Linked List;Two Pointers;</v>
      </c>
      <c r="M1722" s="20" t="b">
        <f>IFERROR(__xludf.DUMMYFUNCTION("""COMPUTED_VALUE"""),TRUE)</f>
        <v>1</v>
      </c>
      <c r="N1722" s="20" t="b">
        <f>IFERROR(__xludf.DUMMYFUNCTION("""COMPUTED_VALUE"""),FALSE)</f>
        <v>0</v>
      </c>
      <c r="O1722" s="20">
        <f>IFERROR(__xludf.DUMMYFUNCTION("""COMPUTED_VALUE"""),67.5738160404744)</f>
        <v>67.57381604</v>
      </c>
      <c r="P1722" s="20">
        <f>IFERROR(__xludf.DUMMYFUNCTION("""COMPUTED_VALUE"""),195536.0)</f>
        <v>195536</v>
      </c>
      <c r="Q1722" s="20">
        <f>IFERROR(__xludf.DUMMYFUNCTION("""COMPUTED_VALUE"""),289366.0)</f>
        <v>289366</v>
      </c>
    </row>
    <row r="1723">
      <c r="A1723" s="20">
        <f>IFERROR(__xludf.DUMMYFUNCTION("""COMPUTED_VALUE"""),1840.0)</f>
        <v>1840</v>
      </c>
      <c r="B1723" s="20" t="str">
        <f>IFERROR(__xludf.DUMMYFUNCTION("""COMPUTED_VALUE"""),"Minimize Hamming Distance After Swap Operations")</f>
        <v>Minimize Hamming Distance After Swap Operations</v>
      </c>
      <c r="C1723" s="20" t="str">
        <f>IFERROR(__xludf.DUMMYFUNCTION("""COMPUTED_VALUE"""),"minimize-hamming-distance-after-swap-operations")</f>
        <v>minimize-hamming-distance-after-swap-operations</v>
      </c>
      <c r="D1723" s="20" t="b">
        <f>IFERROR(__xludf.DUMMYFUNCTION("""COMPUTED_VALUE"""),FALSE)</f>
        <v>0</v>
      </c>
      <c r="E1723" s="20" t="str">
        <f>IFERROR(__xludf.DUMMYFUNCTION("""COMPUTED_VALUE"""),"Medium")</f>
        <v>Medium</v>
      </c>
      <c r="F1723" s="20">
        <f>IFERROR(__xludf.DUMMYFUNCTION("""COMPUTED_VALUE"""),709.0)</f>
        <v>709</v>
      </c>
      <c r="G1723" s="20">
        <f>IFERROR(__xludf.DUMMYFUNCTION("""COMPUTED_VALUE"""),21.0)</f>
        <v>21</v>
      </c>
      <c r="H1723" s="20" t="str">
        <f>IFERROR(__xludf.DUMMYFUNCTION("""COMPUTED_VALUE"""),"Algorithms")</f>
        <v>Algorithms</v>
      </c>
      <c r="I1723" s="20">
        <f>IFERROR(__xludf.DUMMYFUNCTION("""COMPUTED_VALUE"""),0.487)</f>
        <v>0.487</v>
      </c>
      <c r="J1723" s="20">
        <f>IFERROR(__xludf.DUMMYFUNCTION("""COMPUTED_VALUE"""),1722.0)</f>
        <v>1722</v>
      </c>
      <c r="K1723" s="20" t="b">
        <f>IFERROR(__xludf.DUMMYFUNCTION("""COMPUTED_VALUE"""),FALSE)</f>
        <v>0</v>
      </c>
      <c r="L1723" s="20" t="str">
        <f>IFERROR(__xludf.DUMMYFUNCTION("""COMPUTED_VALUE"""),"Array;Depth-First Search;Union Find;")</f>
        <v>Array;Depth-First Search;Union Find;</v>
      </c>
      <c r="M1723" s="20" t="b">
        <f>IFERROR(__xludf.DUMMYFUNCTION("""COMPUTED_VALUE"""),FALSE)</f>
        <v>0</v>
      </c>
      <c r="N1723" s="20" t="b">
        <f>IFERROR(__xludf.DUMMYFUNCTION("""COMPUTED_VALUE"""),FALSE)</f>
        <v>0</v>
      </c>
      <c r="O1723" s="20">
        <f>IFERROR(__xludf.DUMMYFUNCTION("""COMPUTED_VALUE"""),48.6951601091804)</f>
        <v>48.69516011</v>
      </c>
      <c r="P1723" s="20">
        <f>IFERROR(__xludf.DUMMYFUNCTION("""COMPUTED_VALUE"""),14629.0)</f>
        <v>14629</v>
      </c>
      <c r="Q1723" s="20">
        <f>IFERROR(__xludf.DUMMYFUNCTION("""COMPUTED_VALUE"""),30042.0)</f>
        <v>30042</v>
      </c>
    </row>
    <row r="1724">
      <c r="A1724" s="20">
        <f>IFERROR(__xludf.DUMMYFUNCTION("""COMPUTED_VALUE"""),1825.0)</f>
        <v>1825</v>
      </c>
      <c r="B1724" s="20" t="str">
        <f>IFERROR(__xludf.DUMMYFUNCTION("""COMPUTED_VALUE"""),"Find Minimum Time to Finish All Jobs")</f>
        <v>Find Minimum Time to Finish All Jobs</v>
      </c>
      <c r="C1724" s="20" t="str">
        <f>IFERROR(__xludf.DUMMYFUNCTION("""COMPUTED_VALUE"""),"find-minimum-time-to-finish-all-jobs")</f>
        <v>find-minimum-time-to-finish-all-jobs</v>
      </c>
      <c r="D1724" s="20" t="b">
        <f>IFERROR(__xludf.DUMMYFUNCTION("""COMPUTED_VALUE"""),FALSE)</f>
        <v>0</v>
      </c>
      <c r="E1724" s="20" t="str">
        <f>IFERROR(__xludf.DUMMYFUNCTION("""COMPUTED_VALUE"""),"Hard")</f>
        <v>Hard</v>
      </c>
      <c r="F1724" s="20">
        <f>IFERROR(__xludf.DUMMYFUNCTION("""COMPUTED_VALUE"""),750.0)</f>
        <v>750</v>
      </c>
      <c r="G1724" s="20">
        <f>IFERROR(__xludf.DUMMYFUNCTION("""COMPUTED_VALUE"""),20.0)</f>
        <v>20</v>
      </c>
      <c r="H1724" s="20" t="str">
        <f>IFERROR(__xludf.DUMMYFUNCTION("""COMPUTED_VALUE"""),"Algorithms")</f>
        <v>Algorithms</v>
      </c>
      <c r="I1724" s="20">
        <f>IFERROR(__xludf.DUMMYFUNCTION("""COMPUTED_VALUE"""),0.426)</f>
        <v>0.426</v>
      </c>
      <c r="J1724" s="20">
        <f>IFERROR(__xludf.DUMMYFUNCTION("""COMPUTED_VALUE"""),1723.0)</f>
        <v>1723</v>
      </c>
      <c r="K1724" s="20" t="b">
        <f>IFERROR(__xludf.DUMMYFUNCTION("""COMPUTED_VALUE"""),FALSE)</f>
        <v>0</v>
      </c>
      <c r="L1724" s="20" t="str">
        <f>IFERROR(__xludf.DUMMYFUNCTION("""COMPUTED_VALUE"""),"Array;Dynamic Programming;Backtracking;Bit Manipulation;Bitmask;")</f>
        <v>Array;Dynamic Programming;Backtracking;Bit Manipulation;Bitmask;</v>
      </c>
      <c r="M1724" s="20" t="b">
        <f>IFERROR(__xludf.DUMMYFUNCTION("""COMPUTED_VALUE"""),FALSE)</f>
        <v>0</v>
      </c>
      <c r="N1724" s="20" t="b">
        <f>IFERROR(__xludf.DUMMYFUNCTION("""COMPUTED_VALUE"""),FALSE)</f>
        <v>0</v>
      </c>
      <c r="O1724" s="20">
        <f>IFERROR(__xludf.DUMMYFUNCTION("""COMPUTED_VALUE"""),42.6282820787044)</f>
        <v>42.62828208</v>
      </c>
      <c r="P1724" s="20">
        <f>IFERROR(__xludf.DUMMYFUNCTION("""COMPUTED_VALUE"""),19531.0)</f>
        <v>19531</v>
      </c>
      <c r="Q1724" s="20">
        <f>IFERROR(__xludf.DUMMYFUNCTION("""COMPUTED_VALUE"""),45817.0)</f>
        <v>45817</v>
      </c>
    </row>
    <row r="1725">
      <c r="A1725" s="20">
        <f>IFERROR(__xludf.DUMMYFUNCTION("""COMPUTED_VALUE"""),1865.0)</f>
        <v>1865</v>
      </c>
      <c r="B1725" s="20" t="str">
        <f>IFERROR(__xludf.DUMMYFUNCTION("""COMPUTED_VALUE"""),"Checking Existence of Edge Length Limited Paths II")</f>
        <v>Checking Existence of Edge Length Limited Paths II</v>
      </c>
      <c r="C1725" s="20" t="str">
        <f>IFERROR(__xludf.DUMMYFUNCTION("""COMPUTED_VALUE"""),"checking-existence-of-edge-length-limited-paths-ii")</f>
        <v>checking-existence-of-edge-length-limited-paths-ii</v>
      </c>
      <c r="D1725" s="20" t="b">
        <f>IFERROR(__xludf.DUMMYFUNCTION("""COMPUTED_VALUE"""),TRUE)</f>
        <v>1</v>
      </c>
      <c r="E1725" s="20" t="str">
        <f>IFERROR(__xludf.DUMMYFUNCTION("""COMPUTED_VALUE"""),"Hard")</f>
        <v>Hard</v>
      </c>
      <c r="F1725" s="20">
        <f>IFERROR(__xludf.DUMMYFUNCTION("""COMPUTED_VALUE"""),65.0)</f>
        <v>65</v>
      </c>
      <c r="G1725" s="20">
        <f>IFERROR(__xludf.DUMMYFUNCTION("""COMPUTED_VALUE"""),7.0)</f>
        <v>7</v>
      </c>
      <c r="H1725" s="20" t="str">
        <f>IFERROR(__xludf.DUMMYFUNCTION("""COMPUTED_VALUE"""),"Algorithms")</f>
        <v>Algorithms</v>
      </c>
      <c r="I1725" s="20">
        <f>IFERROR(__xludf.DUMMYFUNCTION("""COMPUTED_VALUE"""),0.511)</f>
        <v>0.511</v>
      </c>
      <c r="J1725" s="20">
        <f>IFERROR(__xludf.DUMMYFUNCTION("""COMPUTED_VALUE"""),1724.0)</f>
        <v>1724</v>
      </c>
      <c r="K1725" s="20" t="b">
        <f>IFERROR(__xludf.DUMMYFUNCTION("""COMPUTED_VALUE"""),TRUE)</f>
        <v>1</v>
      </c>
      <c r="L1725" s="20" t="str">
        <f>IFERROR(__xludf.DUMMYFUNCTION("""COMPUTED_VALUE"""),"Union Find;Graph;Minimum Spanning Tree;")</f>
        <v>Union Find;Graph;Minimum Spanning Tree;</v>
      </c>
      <c r="M1725" s="20" t="b">
        <f>IFERROR(__xludf.DUMMYFUNCTION("""COMPUTED_VALUE"""),FALSE)</f>
        <v>0</v>
      </c>
      <c r="N1725" s="20" t="b">
        <f>IFERROR(__xludf.DUMMYFUNCTION("""COMPUTED_VALUE"""),FALSE)</f>
        <v>0</v>
      </c>
      <c r="O1725" s="20">
        <f>IFERROR(__xludf.DUMMYFUNCTION("""COMPUTED_VALUE"""),51.0590015128593)</f>
        <v>51.05900151</v>
      </c>
      <c r="P1725" s="20">
        <f>IFERROR(__xludf.DUMMYFUNCTION("""COMPUTED_VALUE"""),2025.0)</f>
        <v>2025</v>
      </c>
      <c r="Q1725" s="20">
        <f>IFERROR(__xludf.DUMMYFUNCTION("""COMPUTED_VALUE"""),3966.0)</f>
        <v>3966</v>
      </c>
    </row>
    <row r="1726">
      <c r="A1726" s="20">
        <f>IFERROR(__xludf.DUMMYFUNCTION("""COMPUTED_VALUE"""),1843.0)</f>
        <v>1843</v>
      </c>
      <c r="B1726" s="20" t="str">
        <f>IFERROR(__xludf.DUMMYFUNCTION("""COMPUTED_VALUE"""),"Number Of Rectangles That Can Form The Largest Square")</f>
        <v>Number Of Rectangles That Can Form The Largest Square</v>
      </c>
      <c r="C1726" s="20" t="str">
        <f>IFERROR(__xludf.DUMMYFUNCTION("""COMPUTED_VALUE"""),"number-of-rectangles-that-can-form-the-largest-square")</f>
        <v>number-of-rectangles-that-can-form-the-largest-square</v>
      </c>
      <c r="D1726" s="20" t="b">
        <f>IFERROR(__xludf.DUMMYFUNCTION("""COMPUTED_VALUE"""),FALSE)</f>
        <v>0</v>
      </c>
      <c r="E1726" s="20" t="str">
        <f>IFERROR(__xludf.DUMMYFUNCTION("""COMPUTED_VALUE"""),"Easy")</f>
        <v>Easy</v>
      </c>
      <c r="F1726" s="20">
        <f>IFERROR(__xludf.DUMMYFUNCTION("""COMPUTED_VALUE"""),444.0)</f>
        <v>444</v>
      </c>
      <c r="G1726" s="20">
        <f>IFERROR(__xludf.DUMMYFUNCTION("""COMPUTED_VALUE"""),46.0)</f>
        <v>46</v>
      </c>
      <c r="H1726" s="20" t="str">
        <f>IFERROR(__xludf.DUMMYFUNCTION("""COMPUTED_VALUE"""),"Algorithms")</f>
        <v>Algorithms</v>
      </c>
      <c r="I1726" s="20">
        <f>IFERROR(__xludf.DUMMYFUNCTION("""COMPUTED_VALUE"""),0.787)</f>
        <v>0.787</v>
      </c>
      <c r="J1726" s="20">
        <f>IFERROR(__xludf.DUMMYFUNCTION("""COMPUTED_VALUE"""),1725.0)</f>
        <v>1725</v>
      </c>
      <c r="K1726" s="20" t="b">
        <f>IFERROR(__xludf.DUMMYFUNCTION("""COMPUTED_VALUE"""),FALSE)</f>
        <v>0</v>
      </c>
      <c r="L1726" s="20" t="str">
        <f>IFERROR(__xludf.DUMMYFUNCTION("""COMPUTED_VALUE"""),"Array;")</f>
        <v>Array;</v>
      </c>
      <c r="M1726" s="20" t="b">
        <f>IFERROR(__xludf.DUMMYFUNCTION("""COMPUTED_VALUE"""),FALSE)</f>
        <v>0</v>
      </c>
      <c r="N1726" s="20" t="b">
        <f>IFERROR(__xludf.DUMMYFUNCTION("""COMPUTED_VALUE"""),FALSE)</f>
        <v>0</v>
      </c>
      <c r="O1726" s="20">
        <f>IFERROR(__xludf.DUMMYFUNCTION("""COMPUTED_VALUE"""),78.6941009282496)</f>
        <v>78.69410093</v>
      </c>
      <c r="P1726" s="20">
        <f>IFERROR(__xludf.DUMMYFUNCTION("""COMPUTED_VALUE"""),52052.0)</f>
        <v>52052</v>
      </c>
      <c r="Q1726" s="20">
        <f>IFERROR(__xludf.DUMMYFUNCTION("""COMPUTED_VALUE"""),66145.0)</f>
        <v>66145</v>
      </c>
    </row>
    <row r="1727">
      <c r="A1727" s="20">
        <f>IFERROR(__xludf.DUMMYFUNCTION("""COMPUTED_VALUE"""),1364.0)</f>
        <v>1364</v>
      </c>
      <c r="B1727" s="20" t="str">
        <f>IFERROR(__xludf.DUMMYFUNCTION("""COMPUTED_VALUE"""),"Tuple with Same Product")</f>
        <v>Tuple with Same Product</v>
      </c>
      <c r="C1727" s="20" t="str">
        <f>IFERROR(__xludf.DUMMYFUNCTION("""COMPUTED_VALUE"""),"tuple-with-same-product")</f>
        <v>tuple-with-same-product</v>
      </c>
      <c r="D1727" s="20" t="b">
        <f>IFERROR(__xludf.DUMMYFUNCTION("""COMPUTED_VALUE"""),FALSE)</f>
        <v>0</v>
      </c>
      <c r="E1727" s="20" t="str">
        <f>IFERROR(__xludf.DUMMYFUNCTION("""COMPUTED_VALUE"""),"Medium")</f>
        <v>Medium</v>
      </c>
      <c r="F1727" s="20">
        <f>IFERROR(__xludf.DUMMYFUNCTION("""COMPUTED_VALUE"""),514.0)</f>
        <v>514</v>
      </c>
      <c r="G1727" s="20">
        <f>IFERROR(__xludf.DUMMYFUNCTION("""COMPUTED_VALUE"""),24.0)</f>
        <v>24</v>
      </c>
      <c r="H1727" s="20" t="str">
        <f>IFERROR(__xludf.DUMMYFUNCTION("""COMPUTED_VALUE"""),"Algorithms")</f>
        <v>Algorithms</v>
      </c>
      <c r="I1727" s="20">
        <f>IFERROR(__xludf.DUMMYFUNCTION("""COMPUTED_VALUE"""),0.608)</f>
        <v>0.608</v>
      </c>
      <c r="J1727" s="20">
        <f>IFERROR(__xludf.DUMMYFUNCTION("""COMPUTED_VALUE"""),1726.0)</f>
        <v>1726</v>
      </c>
      <c r="K1727" s="20" t="b">
        <f>IFERROR(__xludf.DUMMYFUNCTION("""COMPUTED_VALUE"""),FALSE)</f>
        <v>0</v>
      </c>
      <c r="L1727" s="20" t="str">
        <f>IFERROR(__xludf.DUMMYFUNCTION("""COMPUTED_VALUE"""),"Array;Hash Table;")</f>
        <v>Array;Hash Table;</v>
      </c>
      <c r="M1727" s="20" t="b">
        <f>IFERROR(__xludf.DUMMYFUNCTION("""COMPUTED_VALUE"""),FALSE)</f>
        <v>0</v>
      </c>
      <c r="N1727" s="20" t="b">
        <f>IFERROR(__xludf.DUMMYFUNCTION("""COMPUTED_VALUE"""),FALSE)</f>
        <v>0</v>
      </c>
      <c r="O1727" s="20">
        <f>IFERROR(__xludf.DUMMYFUNCTION("""COMPUTED_VALUE"""),60.8369923161361)</f>
        <v>60.83699232</v>
      </c>
      <c r="P1727" s="20">
        <f>IFERROR(__xludf.DUMMYFUNCTION("""COMPUTED_VALUE"""),22167.0)</f>
        <v>22167</v>
      </c>
      <c r="Q1727" s="20">
        <f>IFERROR(__xludf.DUMMYFUNCTION("""COMPUTED_VALUE"""),36438.0)</f>
        <v>36438</v>
      </c>
    </row>
    <row r="1728">
      <c r="A1728" s="20">
        <f>IFERROR(__xludf.DUMMYFUNCTION("""COMPUTED_VALUE"""),1845.0)</f>
        <v>1845</v>
      </c>
      <c r="B1728" s="20" t="str">
        <f>IFERROR(__xludf.DUMMYFUNCTION("""COMPUTED_VALUE"""),"Largest Submatrix With Rearrangements")</f>
        <v>Largest Submatrix With Rearrangements</v>
      </c>
      <c r="C1728" s="20" t="str">
        <f>IFERROR(__xludf.DUMMYFUNCTION("""COMPUTED_VALUE"""),"largest-submatrix-with-rearrangements")</f>
        <v>largest-submatrix-with-rearrangements</v>
      </c>
      <c r="D1728" s="20" t="b">
        <f>IFERROR(__xludf.DUMMYFUNCTION("""COMPUTED_VALUE"""),FALSE)</f>
        <v>0</v>
      </c>
      <c r="E1728" s="20" t="str">
        <f>IFERROR(__xludf.DUMMYFUNCTION("""COMPUTED_VALUE"""),"Medium")</f>
        <v>Medium</v>
      </c>
      <c r="F1728" s="20">
        <f>IFERROR(__xludf.DUMMYFUNCTION("""COMPUTED_VALUE"""),847.0)</f>
        <v>847</v>
      </c>
      <c r="G1728" s="20">
        <f>IFERROR(__xludf.DUMMYFUNCTION("""COMPUTED_VALUE"""),20.0)</f>
        <v>20</v>
      </c>
      <c r="H1728" s="20" t="str">
        <f>IFERROR(__xludf.DUMMYFUNCTION("""COMPUTED_VALUE"""),"Algorithms")</f>
        <v>Algorithms</v>
      </c>
      <c r="I1728" s="20">
        <f>IFERROR(__xludf.DUMMYFUNCTION("""COMPUTED_VALUE"""),0.611)</f>
        <v>0.611</v>
      </c>
      <c r="J1728" s="20">
        <f>IFERROR(__xludf.DUMMYFUNCTION("""COMPUTED_VALUE"""),1727.0)</f>
        <v>1727</v>
      </c>
      <c r="K1728" s="20" t="b">
        <f>IFERROR(__xludf.DUMMYFUNCTION("""COMPUTED_VALUE"""),FALSE)</f>
        <v>0</v>
      </c>
      <c r="L1728" s="20" t="str">
        <f>IFERROR(__xludf.DUMMYFUNCTION("""COMPUTED_VALUE"""),"Array;Greedy;Sorting;Matrix;")</f>
        <v>Array;Greedy;Sorting;Matrix;</v>
      </c>
      <c r="M1728" s="20" t="b">
        <f>IFERROR(__xludf.DUMMYFUNCTION("""COMPUTED_VALUE"""),FALSE)</f>
        <v>0</v>
      </c>
      <c r="N1728" s="20" t="b">
        <f>IFERROR(__xludf.DUMMYFUNCTION("""COMPUTED_VALUE"""),FALSE)</f>
        <v>0</v>
      </c>
      <c r="O1728" s="20">
        <f>IFERROR(__xludf.DUMMYFUNCTION("""COMPUTED_VALUE"""),61.131192855624)</f>
        <v>61.13119286</v>
      </c>
      <c r="P1728" s="20">
        <f>IFERROR(__xludf.DUMMYFUNCTION("""COMPUTED_VALUE"""),14375.0)</f>
        <v>14375</v>
      </c>
      <c r="Q1728" s="20">
        <f>IFERROR(__xludf.DUMMYFUNCTION("""COMPUTED_VALUE"""),23515.0)</f>
        <v>23515</v>
      </c>
    </row>
    <row r="1729">
      <c r="A1729" s="20">
        <f>IFERROR(__xludf.DUMMYFUNCTION("""COMPUTED_VALUE"""),1727.0)</f>
        <v>1727</v>
      </c>
      <c r="B1729" s="20" t="str">
        <f>IFERROR(__xludf.DUMMYFUNCTION("""COMPUTED_VALUE"""),"Cat and Mouse II")</f>
        <v>Cat and Mouse II</v>
      </c>
      <c r="C1729" s="20" t="str">
        <f>IFERROR(__xludf.DUMMYFUNCTION("""COMPUTED_VALUE"""),"cat-and-mouse-ii")</f>
        <v>cat-and-mouse-ii</v>
      </c>
      <c r="D1729" s="20" t="b">
        <f>IFERROR(__xludf.DUMMYFUNCTION("""COMPUTED_VALUE"""),FALSE)</f>
        <v>0</v>
      </c>
      <c r="E1729" s="20" t="str">
        <f>IFERROR(__xludf.DUMMYFUNCTION("""COMPUTED_VALUE"""),"Hard")</f>
        <v>Hard</v>
      </c>
      <c r="F1729" s="20">
        <f>IFERROR(__xludf.DUMMYFUNCTION("""COMPUTED_VALUE"""),219.0)</f>
        <v>219</v>
      </c>
      <c r="G1729" s="20">
        <f>IFERROR(__xludf.DUMMYFUNCTION("""COMPUTED_VALUE"""),35.0)</f>
        <v>35</v>
      </c>
      <c r="H1729" s="20" t="str">
        <f>IFERROR(__xludf.DUMMYFUNCTION("""COMPUTED_VALUE"""),"Algorithms")</f>
        <v>Algorithms</v>
      </c>
      <c r="I1729" s="20">
        <f>IFERROR(__xludf.DUMMYFUNCTION("""COMPUTED_VALUE"""),0.402)</f>
        <v>0.402</v>
      </c>
      <c r="J1729" s="20">
        <f>IFERROR(__xludf.DUMMYFUNCTION("""COMPUTED_VALUE"""),1728.0)</f>
        <v>1728</v>
      </c>
      <c r="K1729" s="20" t="b">
        <f>IFERROR(__xludf.DUMMYFUNCTION("""COMPUTED_VALUE"""),FALSE)</f>
        <v>0</v>
      </c>
      <c r="L1729" s="20" t="str">
        <f>IFERROR(__xludf.DUMMYFUNCTION("""COMPUTED_VALUE"""),"Array;Math;Dynamic Programming;Graph;Topological Sort;Memoization;Matrix;Game Theory;")</f>
        <v>Array;Math;Dynamic Programming;Graph;Topological Sort;Memoization;Matrix;Game Theory;</v>
      </c>
      <c r="M1729" s="20" t="b">
        <f>IFERROR(__xludf.DUMMYFUNCTION("""COMPUTED_VALUE"""),FALSE)</f>
        <v>0</v>
      </c>
      <c r="N1729" s="20" t="b">
        <f>IFERROR(__xludf.DUMMYFUNCTION("""COMPUTED_VALUE"""),FALSE)</f>
        <v>0</v>
      </c>
      <c r="O1729" s="20">
        <f>IFERROR(__xludf.DUMMYFUNCTION("""COMPUTED_VALUE"""),40.1928555774709)</f>
        <v>40.19285558</v>
      </c>
      <c r="P1729" s="20">
        <f>IFERROR(__xludf.DUMMYFUNCTION("""COMPUTED_VALUE"""),5502.0)</f>
        <v>5502</v>
      </c>
      <c r="Q1729" s="20">
        <f>IFERROR(__xludf.DUMMYFUNCTION("""COMPUTED_VALUE"""),13689.0)</f>
        <v>13689</v>
      </c>
    </row>
    <row r="1730">
      <c r="A1730" s="20">
        <f>IFERROR(__xludf.DUMMYFUNCTION("""COMPUTED_VALUE"""),1877.0)</f>
        <v>1877</v>
      </c>
      <c r="B1730" s="20" t="str">
        <f>IFERROR(__xludf.DUMMYFUNCTION("""COMPUTED_VALUE"""),"Find Followers Count")</f>
        <v>Find Followers Count</v>
      </c>
      <c r="C1730" s="20" t="str">
        <f>IFERROR(__xludf.DUMMYFUNCTION("""COMPUTED_VALUE"""),"find-followers-count")</f>
        <v>find-followers-count</v>
      </c>
      <c r="D1730" s="20" t="b">
        <f>IFERROR(__xludf.DUMMYFUNCTION("""COMPUTED_VALUE"""),FALSE)</f>
        <v>0</v>
      </c>
      <c r="E1730" s="20" t="str">
        <f>IFERROR(__xludf.DUMMYFUNCTION("""COMPUTED_VALUE"""),"Easy")</f>
        <v>Easy</v>
      </c>
      <c r="F1730" s="20">
        <f>IFERROR(__xludf.DUMMYFUNCTION("""COMPUTED_VALUE"""),218.0)</f>
        <v>218</v>
      </c>
      <c r="G1730" s="20">
        <f>IFERROR(__xludf.DUMMYFUNCTION("""COMPUTED_VALUE"""),16.0)</f>
        <v>16</v>
      </c>
      <c r="H1730" s="20" t="str">
        <f>IFERROR(__xludf.DUMMYFUNCTION("""COMPUTED_VALUE"""),"Database")</f>
        <v>Database</v>
      </c>
      <c r="I1730" s="20">
        <f>IFERROR(__xludf.DUMMYFUNCTION("""COMPUTED_VALUE"""),0.714)</f>
        <v>0.714</v>
      </c>
      <c r="J1730" s="20">
        <f>IFERROR(__xludf.DUMMYFUNCTION("""COMPUTED_VALUE"""),1729.0)</f>
        <v>1729</v>
      </c>
      <c r="K1730" s="20" t="b">
        <f>IFERROR(__xludf.DUMMYFUNCTION("""COMPUTED_VALUE"""),FALSE)</f>
        <v>0</v>
      </c>
      <c r="L1730" s="20" t="str">
        <f>IFERROR(__xludf.DUMMYFUNCTION("""COMPUTED_VALUE"""),"Database;")</f>
        <v>Database;</v>
      </c>
      <c r="M1730" s="20" t="b">
        <f>IFERROR(__xludf.DUMMYFUNCTION("""COMPUTED_VALUE"""),FALSE)</f>
        <v>0</v>
      </c>
      <c r="N1730" s="20" t="b">
        <f>IFERROR(__xludf.DUMMYFUNCTION("""COMPUTED_VALUE"""),FALSE)</f>
        <v>0</v>
      </c>
      <c r="O1730" s="20">
        <f>IFERROR(__xludf.DUMMYFUNCTION("""COMPUTED_VALUE"""),71.3689719626168)</f>
        <v>71.36897196</v>
      </c>
      <c r="P1730" s="20">
        <f>IFERROR(__xludf.DUMMYFUNCTION("""COMPUTED_VALUE"""),47727.0)</f>
        <v>47727</v>
      </c>
      <c r="Q1730" s="20">
        <f>IFERROR(__xludf.DUMMYFUNCTION("""COMPUTED_VALUE"""),66874.0)</f>
        <v>66874</v>
      </c>
    </row>
    <row r="1731">
      <c r="A1731" s="20">
        <f>IFERROR(__xludf.DUMMYFUNCTION("""COMPUTED_VALUE"""),550.0)</f>
        <v>550</v>
      </c>
      <c r="B1731" s="20" t="str">
        <f>IFERROR(__xludf.DUMMYFUNCTION("""COMPUTED_VALUE"""),"Shortest Path to Get Food")</f>
        <v>Shortest Path to Get Food</v>
      </c>
      <c r="C1731" s="20" t="str">
        <f>IFERROR(__xludf.DUMMYFUNCTION("""COMPUTED_VALUE"""),"shortest-path-to-get-food")</f>
        <v>shortest-path-to-get-food</v>
      </c>
      <c r="D1731" s="20" t="b">
        <f>IFERROR(__xludf.DUMMYFUNCTION("""COMPUTED_VALUE"""),TRUE)</f>
        <v>1</v>
      </c>
      <c r="E1731" s="20" t="str">
        <f>IFERROR(__xludf.DUMMYFUNCTION("""COMPUTED_VALUE"""),"Medium")</f>
        <v>Medium</v>
      </c>
      <c r="F1731" s="20">
        <f>IFERROR(__xludf.DUMMYFUNCTION("""COMPUTED_VALUE"""),574.0)</f>
        <v>574</v>
      </c>
      <c r="G1731" s="20">
        <f>IFERROR(__xludf.DUMMYFUNCTION("""COMPUTED_VALUE"""),33.0)</f>
        <v>33</v>
      </c>
      <c r="H1731" s="20" t="str">
        <f>IFERROR(__xludf.DUMMYFUNCTION("""COMPUTED_VALUE"""),"Algorithms")</f>
        <v>Algorithms</v>
      </c>
      <c r="I1731" s="20">
        <f>IFERROR(__xludf.DUMMYFUNCTION("""COMPUTED_VALUE"""),0.541)</f>
        <v>0.541</v>
      </c>
      <c r="J1731" s="20">
        <f>IFERROR(__xludf.DUMMYFUNCTION("""COMPUTED_VALUE"""),1730.0)</f>
        <v>1730</v>
      </c>
      <c r="K1731" s="20" t="b">
        <f>IFERROR(__xludf.DUMMYFUNCTION("""COMPUTED_VALUE"""),TRUE)</f>
        <v>1</v>
      </c>
      <c r="L1731" s="20" t="str">
        <f>IFERROR(__xludf.DUMMYFUNCTION("""COMPUTED_VALUE"""),"Array;Breadth-First Search;Matrix;")</f>
        <v>Array;Breadth-First Search;Matrix;</v>
      </c>
      <c r="M1731" s="20" t="b">
        <f>IFERROR(__xludf.DUMMYFUNCTION("""COMPUTED_VALUE"""),FALSE)</f>
        <v>0</v>
      </c>
      <c r="N1731" s="20" t="b">
        <f>IFERROR(__xludf.DUMMYFUNCTION("""COMPUTED_VALUE"""),FALSE)</f>
        <v>0</v>
      </c>
      <c r="O1731" s="20">
        <f>IFERROR(__xludf.DUMMYFUNCTION("""COMPUTED_VALUE"""),54.1240685265929)</f>
        <v>54.12406853</v>
      </c>
      <c r="P1731" s="20">
        <f>IFERROR(__xludf.DUMMYFUNCTION("""COMPUTED_VALUE"""),50770.0)</f>
        <v>50770</v>
      </c>
      <c r="Q1731" s="20">
        <f>IFERROR(__xludf.DUMMYFUNCTION("""COMPUTED_VALUE"""),93803.0)</f>
        <v>93803</v>
      </c>
    </row>
    <row r="1732">
      <c r="A1732" s="20">
        <f>IFERROR(__xludf.DUMMYFUNCTION("""COMPUTED_VALUE"""),1882.0)</f>
        <v>1882</v>
      </c>
      <c r="B1732" s="20" t="str">
        <f>IFERROR(__xludf.DUMMYFUNCTION("""COMPUTED_VALUE"""),"The Number of Employees Which Report to Each Employee")</f>
        <v>The Number of Employees Which Report to Each Employee</v>
      </c>
      <c r="C1732" s="20" t="str">
        <f>IFERROR(__xludf.DUMMYFUNCTION("""COMPUTED_VALUE"""),"the-number-of-employees-which-report-to-each-employee")</f>
        <v>the-number-of-employees-which-report-to-each-employee</v>
      </c>
      <c r="D1732" s="20" t="b">
        <f>IFERROR(__xludf.DUMMYFUNCTION("""COMPUTED_VALUE"""),TRUE)</f>
        <v>1</v>
      </c>
      <c r="E1732" s="20" t="str">
        <f>IFERROR(__xludf.DUMMYFUNCTION("""COMPUTED_VALUE"""),"Easy")</f>
        <v>Easy</v>
      </c>
      <c r="F1732" s="20">
        <f>IFERROR(__xludf.DUMMYFUNCTION("""COMPUTED_VALUE"""),87.0)</f>
        <v>87</v>
      </c>
      <c r="G1732" s="20">
        <f>IFERROR(__xludf.DUMMYFUNCTION("""COMPUTED_VALUE"""),28.0)</f>
        <v>28</v>
      </c>
      <c r="H1732" s="20" t="str">
        <f>IFERROR(__xludf.DUMMYFUNCTION("""COMPUTED_VALUE"""),"Database")</f>
        <v>Database</v>
      </c>
      <c r="I1732" s="20">
        <f>IFERROR(__xludf.DUMMYFUNCTION("""COMPUTED_VALUE"""),0.501)</f>
        <v>0.501</v>
      </c>
      <c r="J1732" s="20">
        <f>IFERROR(__xludf.DUMMYFUNCTION("""COMPUTED_VALUE"""),1731.0)</f>
        <v>1731</v>
      </c>
      <c r="K1732" s="20" t="b">
        <f>IFERROR(__xludf.DUMMYFUNCTION("""COMPUTED_VALUE"""),TRUE)</f>
        <v>1</v>
      </c>
      <c r="L1732" s="20" t="str">
        <f>IFERROR(__xludf.DUMMYFUNCTION("""COMPUTED_VALUE"""),"Database;")</f>
        <v>Database;</v>
      </c>
      <c r="M1732" s="20" t="b">
        <f>IFERROR(__xludf.DUMMYFUNCTION("""COMPUTED_VALUE"""),FALSE)</f>
        <v>0</v>
      </c>
      <c r="N1732" s="20" t="b">
        <f>IFERROR(__xludf.DUMMYFUNCTION("""COMPUTED_VALUE"""),FALSE)</f>
        <v>0</v>
      </c>
      <c r="O1732" s="20">
        <f>IFERROR(__xludf.DUMMYFUNCTION("""COMPUTED_VALUE"""),50.100591166548)</f>
        <v>50.10059117</v>
      </c>
      <c r="P1732" s="20">
        <f>IFERROR(__xludf.DUMMYFUNCTION("""COMPUTED_VALUE"""),16187.0)</f>
        <v>16187</v>
      </c>
      <c r="Q1732" s="20">
        <f>IFERROR(__xludf.DUMMYFUNCTION("""COMPUTED_VALUE"""),32309.0)</f>
        <v>32309</v>
      </c>
    </row>
    <row r="1733">
      <c r="A1733" s="20">
        <f>IFERROR(__xludf.DUMMYFUNCTION("""COMPUTED_VALUE"""),1833.0)</f>
        <v>1833</v>
      </c>
      <c r="B1733" s="20" t="str">
        <f>IFERROR(__xludf.DUMMYFUNCTION("""COMPUTED_VALUE"""),"Find the Highest Altitude")</f>
        <v>Find the Highest Altitude</v>
      </c>
      <c r="C1733" s="20" t="str">
        <f>IFERROR(__xludf.DUMMYFUNCTION("""COMPUTED_VALUE"""),"find-the-highest-altitude")</f>
        <v>find-the-highest-altitude</v>
      </c>
      <c r="D1733" s="20" t="b">
        <f>IFERROR(__xludf.DUMMYFUNCTION("""COMPUTED_VALUE"""),FALSE)</f>
        <v>0</v>
      </c>
      <c r="E1733" s="20" t="str">
        <f>IFERROR(__xludf.DUMMYFUNCTION("""COMPUTED_VALUE"""),"Easy")</f>
        <v>Easy</v>
      </c>
      <c r="F1733" s="20">
        <f>IFERROR(__xludf.DUMMYFUNCTION("""COMPUTED_VALUE"""),1141.0)</f>
        <v>1141</v>
      </c>
      <c r="G1733" s="20">
        <f>IFERROR(__xludf.DUMMYFUNCTION("""COMPUTED_VALUE"""),96.0)</f>
        <v>96</v>
      </c>
      <c r="H1733" s="20" t="str">
        <f>IFERROR(__xludf.DUMMYFUNCTION("""COMPUTED_VALUE"""),"Algorithms")</f>
        <v>Algorithms</v>
      </c>
      <c r="I1733" s="20">
        <f>IFERROR(__xludf.DUMMYFUNCTION("""COMPUTED_VALUE"""),0.787)</f>
        <v>0.787</v>
      </c>
      <c r="J1733" s="20">
        <f>IFERROR(__xludf.DUMMYFUNCTION("""COMPUTED_VALUE"""),1732.0)</f>
        <v>1732</v>
      </c>
      <c r="K1733" s="20" t="b">
        <f>IFERROR(__xludf.DUMMYFUNCTION("""COMPUTED_VALUE"""),FALSE)</f>
        <v>0</v>
      </c>
      <c r="L1733" s="20" t="str">
        <f>IFERROR(__xludf.DUMMYFUNCTION("""COMPUTED_VALUE"""),"Array;Prefix Sum;")</f>
        <v>Array;Prefix Sum;</v>
      </c>
      <c r="M1733" s="20" t="b">
        <f>IFERROR(__xludf.DUMMYFUNCTION("""COMPUTED_VALUE"""),FALSE)</f>
        <v>0</v>
      </c>
      <c r="N1733" s="20" t="b">
        <f>IFERROR(__xludf.DUMMYFUNCTION("""COMPUTED_VALUE"""),FALSE)</f>
        <v>0</v>
      </c>
      <c r="O1733" s="20">
        <f>IFERROR(__xludf.DUMMYFUNCTION("""COMPUTED_VALUE"""),78.7466533337634)</f>
        <v>78.74665333</v>
      </c>
      <c r="P1733" s="20">
        <f>IFERROR(__xludf.DUMMYFUNCTION("""COMPUTED_VALUE"""),97640.0)</f>
        <v>97640</v>
      </c>
      <c r="Q1733" s="20">
        <f>IFERROR(__xludf.DUMMYFUNCTION("""COMPUTED_VALUE"""),123992.0)</f>
        <v>123992</v>
      </c>
    </row>
    <row r="1734">
      <c r="A1734" s="20">
        <f>IFERROR(__xludf.DUMMYFUNCTION("""COMPUTED_VALUE"""),1834.0)</f>
        <v>1834</v>
      </c>
      <c r="B1734" s="20" t="str">
        <f>IFERROR(__xludf.DUMMYFUNCTION("""COMPUTED_VALUE"""),"Minimum Number of People to Teach")</f>
        <v>Minimum Number of People to Teach</v>
      </c>
      <c r="C1734" s="20" t="str">
        <f>IFERROR(__xludf.DUMMYFUNCTION("""COMPUTED_VALUE"""),"minimum-number-of-people-to-teach")</f>
        <v>minimum-number-of-people-to-teach</v>
      </c>
      <c r="D1734" s="20" t="b">
        <f>IFERROR(__xludf.DUMMYFUNCTION("""COMPUTED_VALUE"""),FALSE)</f>
        <v>0</v>
      </c>
      <c r="E1734" s="20" t="str">
        <f>IFERROR(__xludf.DUMMYFUNCTION("""COMPUTED_VALUE"""),"Medium")</f>
        <v>Medium</v>
      </c>
      <c r="F1734" s="20">
        <f>IFERROR(__xludf.DUMMYFUNCTION("""COMPUTED_VALUE"""),167.0)</f>
        <v>167</v>
      </c>
      <c r="G1734" s="20">
        <f>IFERROR(__xludf.DUMMYFUNCTION("""COMPUTED_VALUE"""),335.0)</f>
        <v>335</v>
      </c>
      <c r="H1734" s="20" t="str">
        <f>IFERROR(__xludf.DUMMYFUNCTION("""COMPUTED_VALUE"""),"Algorithms")</f>
        <v>Algorithms</v>
      </c>
      <c r="I1734" s="20">
        <f>IFERROR(__xludf.DUMMYFUNCTION("""COMPUTED_VALUE"""),0.419)</f>
        <v>0.419</v>
      </c>
      <c r="J1734" s="20">
        <f>IFERROR(__xludf.DUMMYFUNCTION("""COMPUTED_VALUE"""),1733.0)</f>
        <v>1733</v>
      </c>
      <c r="K1734" s="20" t="b">
        <f>IFERROR(__xludf.DUMMYFUNCTION("""COMPUTED_VALUE"""),FALSE)</f>
        <v>0</v>
      </c>
      <c r="L1734" s="20" t="str">
        <f>IFERROR(__xludf.DUMMYFUNCTION("""COMPUTED_VALUE"""),"Array;Greedy;")</f>
        <v>Array;Greedy;</v>
      </c>
      <c r="M1734" s="20" t="b">
        <f>IFERROR(__xludf.DUMMYFUNCTION("""COMPUTED_VALUE"""),FALSE)</f>
        <v>0</v>
      </c>
      <c r="N1734" s="20" t="b">
        <f>IFERROR(__xludf.DUMMYFUNCTION("""COMPUTED_VALUE"""),FALSE)</f>
        <v>0</v>
      </c>
      <c r="O1734" s="20">
        <f>IFERROR(__xludf.DUMMYFUNCTION("""COMPUTED_VALUE"""),41.863715783343)</f>
        <v>41.86371578</v>
      </c>
      <c r="P1734" s="20">
        <f>IFERROR(__xludf.DUMMYFUNCTION("""COMPUTED_VALUE"""),7188.0)</f>
        <v>7188</v>
      </c>
      <c r="Q1734" s="20">
        <f>IFERROR(__xludf.DUMMYFUNCTION("""COMPUTED_VALUE"""),17170.0)</f>
        <v>17170</v>
      </c>
    </row>
    <row r="1735">
      <c r="A1735" s="20">
        <f>IFERROR(__xludf.DUMMYFUNCTION("""COMPUTED_VALUE"""),1835.0)</f>
        <v>1835</v>
      </c>
      <c r="B1735" s="20" t="str">
        <f>IFERROR(__xludf.DUMMYFUNCTION("""COMPUTED_VALUE"""),"Decode XORed Permutation")</f>
        <v>Decode XORed Permutation</v>
      </c>
      <c r="C1735" s="20" t="str">
        <f>IFERROR(__xludf.DUMMYFUNCTION("""COMPUTED_VALUE"""),"decode-xored-permutation")</f>
        <v>decode-xored-permutation</v>
      </c>
      <c r="D1735" s="20" t="b">
        <f>IFERROR(__xludf.DUMMYFUNCTION("""COMPUTED_VALUE"""),FALSE)</f>
        <v>0</v>
      </c>
      <c r="E1735" s="20" t="str">
        <f>IFERROR(__xludf.DUMMYFUNCTION("""COMPUTED_VALUE"""),"Medium")</f>
        <v>Medium</v>
      </c>
      <c r="F1735" s="20">
        <f>IFERROR(__xludf.DUMMYFUNCTION("""COMPUTED_VALUE"""),613.0)</f>
        <v>613</v>
      </c>
      <c r="G1735" s="20">
        <f>IFERROR(__xludf.DUMMYFUNCTION("""COMPUTED_VALUE"""),20.0)</f>
        <v>20</v>
      </c>
      <c r="H1735" s="20" t="str">
        <f>IFERROR(__xludf.DUMMYFUNCTION("""COMPUTED_VALUE"""),"Algorithms")</f>
        <v>Algorithms</v>
      </c>
      <c r="I1735" s="20">
        <f>IFERROR(__xludf.DUMMYFUNCTION("""COMPUTED_VALUE"""),0.625)</f>
        <v>0.625</v>
      </c>
      <c r="J1735" s="20">
        <f>IFERROR(__xludf.DUMMYFUNCTION("""COMPUTED_VALUE"""),1734.0)</f>
        <v>1734</v>
      </c>
      <c r="K1735" s="20" t="b">
        <f>IFERROR(__xludf.DUMMYFUNCTION("""COMPUTED_VALUE"""),FALSE)</f>
        <v>0</v>
      </c>
      <c r="L1735" s="20" t="str">
        <f>IFERROR(__xludf.DUMMYFUNCTION("""COMPUTED_VALUE"""),"Array;Bit Manipulation;")</f>
        <v>Array;Bit Manipulation;</v>
      </c>
      <c r="M1735" s="20" t="b">
        <f>IFERROR(__xludf.DUMMYFUNCTION("""COMPUTED_VALUE"""),FALSE)</f>
        <v>0</v>
      </c>
      <c r="N1735" s="20" t="b">
        <f>IFERROR(__xludf.DUMMYFUNCTION("""COMPUTED_VALUE"""),FALSE)</f>
        <v>0</v>
      </c>
      <c r="O1735" s="20">
        <f>IFERROR(__xludf.DUMMYFUNCTION("""COMPUTED_VALUE"""),62.4715230316163)</f>
        <v>62.47152303</v>
      </c>
      <c r="P1735" s="20">
        <f>IFERROR(__xludf.DUMMYFUNCTION("""COMPUTED_VALUE"""),11243.0)</f>
        <v>11243</v>
      </c>
      <c r="Q1735" s="20">
        <f>IFERROR(__xludf.DUMMYFUNCTION("""COMPUTED_VALUE"""),17997.0)</f>
        <v>17997</v>
      </c>
    </row>
    <row r="1736">
      <c r="A1736" s="20">
        <f>IFERROR(__xludf.DUMMYFUNCTION("""COMPUTED_VALUE"""),1836.0)</f>
        <v>1836</v>
      </c>
      <c r="B1736" s="20" t="str">
        <f>IFERROR(__xludf.DUMMYFUNCTION("""COMPUTED_VALUE"""),"Count Ways to Make Array With Product")</f>
        <v>Count Ways to Make Array With Product</v>
      </c>
      <c r="C1736" s="20" t="str">
        <f>IFERROR(__xludf.DUMMYFUNCTION("""COMPUTED_VALUE"""),"count-ways-to-make-array-with-product")</f>
        <v>count-ways-to-make-array-with-product</v>
      </c>
      <c r="D1736" s="20" t="b">
        <f>IFERROR(__xludf.DUMMYFUNCTION("""COMPUTED_VALUE"""),FALSE)</f>
        <v>0</v>
      </c>
      <c r="E1736" s="20" t="str">
        <f>IFERROR(__xludf.DUMMYFUNCTION("""COMPUTED_VALUE"""),"Hard")</f>
        <v>Hard</v>
      </c>
      <c r="F1736" s="20">
        <f>IFERROR(__xludf.DUMMYFUNCTION("""COMPUTED_VALUE"""),211.0)</f>
        <v>211</v>
      </c>
      <c r="G1736" s="20">
        <f>IFERROR(__xludf.DUMMYFUNCTION("""COMPUTED_VALUE"""),30.0)</f>
        <v>30</v>
      </c>
      <c r="H1736" s="20" t="str">
        <f>IFERROR(__xludf.DUMMYFUNCTION("""COMPUTED_VALUE"""),"Algorithms")</f>
        <v>Algorithms</v>
      </c>
      <c r="I1736" s="20">
        <f>IFERROR(__xludf.DUMMYFUNCTION("""COMPUTED_VALUE"""),0.504)</f>
        <v>0.504</v>
      </c>
      <c r="J1736" s="20">
        <f>IFERROR(__xludf.DUMMYFUNCTION("""COMPUTED_VALUE"""),1735.0)</f>
        <v>1735</v>
      </c>
      <c r="K1736" s="20" t="b">
        <f>IFERROR(__xludf.DUMMYFUNCTION("""COMPUTED_VALUE"""),FALSE)</f>
        <v>0</v>
      </c>
      <c r="L1736" s="20" t="str">
        <f>IFERROR(__xludf.DUMMYFUNCTION("""COMPUTED_VALUE"""),"Array;Math;Dynamic Programming;Combinatorics;Number Theory;")</f>
        <v>Array;Math;Dynamic Programming;Combinatorics;Number Theory;</v>
      </c>
      <c r="M1736" s="20" t="b">
        <f>IFERROR(__xludf.DUMMYFUNCTION("""COMPUTED_VALUE"""),FALSE)</f>
        <v>0</v>
      </c>
      <c r="N1736" s="20" t="b">
        <f>IFERROR(__xludf.DUMMYFUNCTION("""COMPUTED_VALUE"""),FALSE)</f>
        <v>0</v>
      </c>
      <c r="O1736" s="20">
        <f>IFERROR(__xludf.DUMMYFUNCTION("""COMPUTED_VALUE"""),50.4290822407628)</f>
        <v>50.42908224</v>
      </c>
      <c r="P1736" s="20">
        <f>IFERROR(__xludf.DUMMYFUNCTION("""COMPUTED_VALUE"""),4230.0)</f>
        <v>4230</v>
      </c>
      <c r="Q1736" s="20">
        <f>IFERROR(__xludf.DUMMYFUNCTION("""COMPUTED_VALUE"""),8385.0)</f>
        <v>8385</v>
      </c>
    </row>
    <row r="1737">
      <c r="A1737" s="20">
        <f>IFERROR(__xludf.DUMMYFUNCTION("""COMPUTED_VALUE"""),1858.0)</f>
        <v>1858</v>
      </c>
      <c r="B1737" s="20" t="str">
        <f>IFERROR(__xludf.DUMMYFUNCTION("""COMPUTED_VALUE"""),"Latest Time by Replacing Hidden Digits")</f>
        <v>Latest Time by Replacing Hidden Digits</v>
      </c>
      <c r="C1737" s="20" t="str">
        <f>IFERROR(__xludf.DUMMYFUNCTION("""COMPUTED_VALUE"""),"latest-time-by-replacing-hidden-digits")</f>
        <v>latest-time-by-replacing-hidden-digits</v>
      </c>
      <c r="D1737" s="20" t="b">
        <f>IFERROR(__xludf.DUMMYFUNCTION("""COMPUTED_VALUE"""),FALSE)</f>
        <v>0</v>
      </c>
      <c r="E1737" s="20" t="str">
        <f>IFERROR(__xludf.DUMMYFUNCTION("""COMPUTED_VALUE"""),"Easy")</f>
        <v>Easy</v>
      </c>
      <c r="F1737" s="20">
        <f>IFERROR(__xludf.DUMMYFUNCTION("""COMPUTED_VALUE"""),274.0)</f>
        <v>274</v>
      </c>
      <c r="G1737" s="20">
        <f>IFERROR(__xludf.DUMMYFUNCTION("""COMPUTED_VALUE"""),138.0)</f>
        <v>138</v>
      </c>
      <c r="H1737" s="20" t="str">
        <f>IFERROR(__xludf.DUMMYFUNCTION("""COMPUTED_VALUE"""),"Algorithms")</f>
        <v>Algorithms</v>
      </c>
      <c r="I1737" s="20">
        <f>IFERROR(__xludf.DUMMYFUNCTION("""COMPUTED_VALUE"""),0.423)</f>
        <v>0.423</v>
      </c>
      <c r="J1737" s="20">
        <f>IFERROR(__xludf.DUMMYFUNCTION("""COMPUTED_VALUE"""),1736.0)</f>
        <v>1736</v>
      </c>
      <c r="K1737" s="20" t="b">
        <f>IFERROR(__xludf.DUMMYFUNCTION("""COMPUTED_VALUE"""),FALSE)</f>
        <v>0</v>
      </c>
      <c r="L1737" s="20" t="str">
        <f>IFERROR(__xludf.DUMMYFUNCTION("""COMPUTED_VALUE"""),"String;Greedy;")</f>
        <v>String;Greedy;</v>
      </c>
      <c r="M1737" s="20" t="b">
        <f>IFERROR(__xludf.DUMMYFUNCTION("""COMPUTED_VALUE"""),FALSE)</f>
        <v>0</v>
      </c>
      <c r="N1737" s="20" t="b">
        <f>IFERROR(__xludf.DUMMYFUNCTION("""COMPUTED_VALUE"""),FALSE)</f>
        <v>0</v>
      </c>
      <c r="O1737" s="20">
        <f>IFERROR(__xludf.DUMMYFUNCTION("""COMPUTED_VALUE"""),42.285507724708)</f>
        <v>42.28550772</v>
      </c>
      <c r="P1737" s="20">
        <f>IFERROR(__xludf.DUMMYFUNCTION("""COMPUTED_VALUE"""),26904.0)</f>
        <v>26904</v>
      </c>
      <c r="Q1737" s="20">
        <f>IFERROR(__xludf.DUMMYFUNCTION("""COMPUTED_VALUE"""),63626.0)</f>
        <v>63626</v>
      </c>
    </row>
    <row r="1738">
      <c r="A1738" s="20">
        <f>IFERROR(__xludf.DUMMYFUNCTION("""COMPUTED_VALUE"""),1859.0)</f>
        <v>1859</v>
      </c>
      <c r="B1738" s="20" t="str">
        <f>IFERROR(__xludf.DUMMYFUNCTION("""COMPUTED_VALUE"""),"Change Minimum Characters to Satisfy One of Three Conditions")</f>
        <v>Change Minimum Characters to Satisfy One of Three Conditions</v>
      </c>
      <c r="C1738" s="20" t="str">
        <f>IFERROR(__xludf.DUMMYFUNCTION("""COMPUTED_VALUE"""),"change-minimum-characters-to-satisfy-one-of-three-conditions")</f>
        <v>change-minimum-characters-to-satisfy-one-of-three-conditions</v>
      </c>
      <c r="D1738" s="20" t="b">
        <f>IFERROR(__xludf.DUMMYFUNCTION("""COMPUTED_VALUE"""),FALSE)</f>
        <v>0</v>
      </c>
      <c r="E1738" s="20" t="str">
        <f>IFERROR(__xludf.DUMMYFUNCTION("""COMPUTED_VALUE"""),"Medium")</f>
        <v>Medium</v>
      </c>
      <c r="F1738" s="20">
        <f>IFERROR(__xludf.DUMMYFUNCTION("""COMPUTED_VALUE"""),271.0)</f>
        <v>271</v>
      </c>
      <c r="G1738" s="20">
        <f>IFERROR(__xludf.DUMMYFUNCTION("""COMPUTED_VALUE"""),298.0)</f>
        <v>298</v>
      </c>
      <c r="H1738" s="20" t="str">
        <f>IFERROR(__xludf.DUMMYFUNCTION("""COMPUTED_VALUE"""),"Algorithms")</f>
        <v>Algorithms</v>
      </c>
      <c r="I1738" s="20">
        <f>IFERROR(__xludf.DUMMYFUNCTION("""COMPUTED_VALUE"""),0.353)</f>
        <v>0.353</v>
      </c>
      <c r="J1738" s="20">
        <f>IFERROR(__xludf.DUMMYFUNCTION("""COMPUTED_VALUE"""),1737.0)</f>
        <v>1737</v>
      </c>
      <c r="K1738" s="20" t="b">
        <f>IFERROR(__xludf.DUMMYFUNCTION("""COMPUTED_VALUE"""),FALSE)</f>
        <v>0</v>
      </c>
      <c r="L1738" s="20" t="str">
        <f>IFERROR(__xludf.DUMMYFUNCTION("""COMPUTED_VALUE"""),"Hash Table;String;Counting;Prefix Sum;")</f>
        <v>Hash Table;String;Counting;Prefix Sum;</v>
      </c>
      <c r="M1738" s="20" t="b">
        <f>IFERROR(__xludf.DUMMYFUNCTION("""COMPUTED_VALUE"""),FALSE)</f>
        <v>0</v>
      </c>
      <c r="N1738" s="20" t="b">
        <f>IFERROR(__xludf.DUMMYFUNCTION("""COMPUTED_VALUE"""),FALSE)</f>
        <v>0</v>
      </c>
      <c r="O1738" s="20">
        <f>IFERROR(__xludf.DUMMYFUNCTION("""COMPUTED_VALUE"""),35.3010437881873)</f>
        <v>35.30104379</v>
      </c>
      <c r="P1738" s="20">
        <f>IFERROR(__xludf.DUMMYFUNCTION("""COMPUTED_VALUE"""),11090.0)</f>
        <v>11090</v>
      </c>
      <c r="Q1738" s="20">
        <f>IFERROR(__xludf.DUMMYFUNCTION("""COMPUTED_VALUE"""),31421.0)</f>
        <v>31421</v>
      </c>
    </row>
    <row r="1739">
      <c r="A1739" s="20">
        <f>IFERROR(__xludf.DUMMYFUNCTION("""COMPUTED_VALUE"""),1860.0)</f>
        <v>1860</v>
      </c>
      <c r="B1739" s="20" t="str">
        <f>IFERROR(__xludf.DUMMYFUNCTION("""COMPUTED_VALUE"""),"Find Kth Largest XOR Coordinate Value")</f>
        <v>Find Kth Largest XOR Coordinate Value</v>
      </c>
      <c r="C1739" s="20" t="str">
        <f>IFERROR(__xludf.DUMMYFUNCTION("""COMPUTED_VALUE"""),"find-kth-largest-xor-coordinate-value")</f>
        <v>find-kth-largest-xor-coordinate-value</v>
      </c>
      <c r="D1739" s="20" t="b">
        <f>IFERROR(__xludf.DUMMYFUNCTION("""COMPUTED_VALUE"""),FALSE)</f>
        <v>0</v>
      </c>
      <c r="E1739" s="20" t="str">
        <f>IFERROR(__xludf.DUMMYFUNCTION("""COMPUTED_VALUE"""),"Medium")</f>
        <v>Medium</v>
      </c>
      <c r="F1739" s="20">
        <f>IFERROR(__xludf.DUMMYFUNCTION("""COMPUTED_VALUE"""),403.0)</f>
        <v>403</v>
      </c>
      <c r="G1739" s="20">
        <f>IFERROR(__xludf.DUMMYFUNCTION("""COMPUTED_VALUE"""),57.0)</f>
        <v>57</v>
      </c>
      <c r="H1739" s="20" t="str">
        <f>IFERROR(__xludf.DUMMYFUNCTION("""COMPUTED_VALUE"""),"Algorithms")</f>
        <v>Algorithms</v>
      </c>
      <c r="I1739" s="20">
        <f>IFERROR(__xludf.DUMMYFUNCTION("""COMPUTED_VALUE"""),0.611)</f>
        <v>0.611</v>
      </c>
      <c r="J1739" s="20">
        <f>IFERROR(__xludf.DUMMYFUNCTION("""COMPUTED_VALUE"""),1738.0)</f>
        <v>1738</v>
      </c>
      <c r="K1739" s="20" t="b">
        <f>IFERROR(__xludf.DUMMYFUNCTION("""COMPUTED_VALUE"""),FALSE)</f>
        <v>0</v>
      </c>
      <c r="L1739" s="20" t="str">
        <f>IFERROR(__xludf.DUMMYFUNCTION("""COMPUTED_VALUE"""),"Array;Divide and Conquer;Bit Manipulation;Heap (Priority Queue);Matrix;Prefix Sum;Quickselect;")</f>
        <v>Array;Divide and Conquer;Bit Manipulation;Heap (Priority Queue);Matrix;Prefix Sum;Quickselect;</v>
      </c>
      <c r="M1739" s="20" t="b">
        <f>IFERROR(__xludf.DUMMYFUNCTION("""COMPUTED_VALUE"""),FALSE)</f>
        <v>0</v>
      </c>
      <c r="N1739" s="20" t="b">
        <f>IFERROR(__xludf.DUMMYFUNCTION("""COMPUTED_VALUE"""),FALSE)</f>
        <v>0</v>
      </c>
      <c r="O1739" s="20">
        <f>IFERROR(__xludf.DUMMYFUNCTION("""COMPUTED_VALUE"""),61.1079646017699)</f>
        <v>61.1079646</v>
      </c>
      <c r="P1739" s="20">
        <f>IFERROR(__xludf.DUMMYFUNCTION("""COMPUTED_VALUE"""),17263.0)</f>
        <v>17263</v>
      </c>
      <c r="Q1739" s="20">
        <f>IFERROR(__xludf.DUMMYFUNCTION("""COMPUTED_VALUE"""),28247.0)</f>
        <v>28247</v>
      </c>
    </row>
    <row r="1740">
      <c r="A1740" s="20">
        <f>IFERROR(__xludf.DUMMYFUNCTION("""COMPUTED_VALUE"""),1861.0)</f>
        <v>1861</v>
      </c>
      <c r="B1740" s="20" t="str">
        <f>IFERROR(__xludf.DUMMYFUNCTION("""COMPUTED_VALUE"""),"Building Boxes")</f>
        <v>Building Boxes</v>
      </c>
      <c r="C1740" s="20" t="str">
        <f>IFERROR(__xludf.DUMMYFUNCTION("""COMPUTED_VALUE"""),"building-boxes")</f>
        <v>building-boxes</v>
      </c>
      <c r="D1740" s="20" t="b">
        <f>IFERROR(__xludf.DUMMYFUNCTION("""COMPUTED_VALUE"""),FALSE)</f>
        <v>0</v>
      </c>
      <c r="E1740" s="20" t="str">
        <f>IFERROR(__xludf.DUMMYFUNCTION("""COMPUTED_VALUE"""),"Hard")</f>
        <v>Hard</v>
      </c>
      <c r="F1740" s="20">
        <f>IFERROR(__xludf.DUMMYFUNCTION("""COMPUTED_VALUE"""),243.0)</f>
        <v>243</v>
      </c>
      <c r="G1740" s="20">
        <f>IFERROR(__xludf.DUMMYFUNCTION("""COMPUTED_VALUE"""),40.0)</f>
        <v>40</v>
      </c>
      <c r="H1740" s="20" t="str">
        <f>IFERROR(__xludf.DUMMYFUNCTION("""COMPUTED_VALUE"""),"Algorithms")</f>
        <v>Algorithms</v>
      </c>
      <c r="I1740" s="20">
        <f>IFERROR(__xludf.DUMMYFUNCTION("""COMPUTED_VALUE"""),0.52)</f>
        <v>0.52</v>
      </c>
      <c r="J1740" s="20">
        <f>IFERROR(__xludf.DUMMYFUNCTION("""COMPUTED_VALUE"""),1739.0)</f>
        <v>1739</v>
      </c>
      <c r="K1740" s="20" t="b">
        <f>IFERROR(__xludf.DUMMYFUNCTION("""COMPUTED_VALUE"""),FALSE)</f>
        <v>0</v>
      </c>
      <c r="L1740" s="20" t="str">
        <f>IFERROR(__xludf.DUMMYFUNCTION("""COMPUTED_VALUE"""),"Math;Binary Search;Greedy;")</f>
        <v>Math;Binary Search;Greedy;</v>
      </c>
      <c r="M1740" s="20" t="b">
        <f>IFERROR(__xludf.DUMMYFUNCTION("""COMPUTED_VALUE"""),FALSE)</f>
        <v>0</v>
      </c>
      <c r="N1740" s="20" t="b">
        <f>IFERROR(__xludf.DUMMYFUNCTION("""COMPUTED_VALUE"""),FALSE)</f>
        <v>0</v>
      </c>
      <c r="O1740" s="20">
        <f>IFERROR(__xludf.DUMMYFUNCTION("""COMPUTED_VALUE"""),52.0366598778004)</f>
        <v>52.03665988</v>
      </c>
      <c r="P1740" s="20">
        <f>IFERROR(__xludf.DUMMYFUNCTION("""COMPUTED_VALUE"""),5621.0)</f>
        <v>5621</v>
      </c>
      <c r="Q1740" s="20">
        <f>IFERROR(__xludf.DUMMYFUNCTION("""COMPUTED_VALUE"""),10802.0)</f>
        <v>10802</v>
      </c>
    </row>
    <row r="1741">
      <c r="A1741" s="20">
        <f>IFERROR(__xludf.DUMMYFUNCTION("""COMPUTED_VALUE"""),1883.0)</f>
        <v>1883</v>
      </c>
      <c r="B1741" s="20" t="str">
        <f>IFERROR(__xludf.DUMMYFUNCTION("""COMPUTED_VALUE"""),"Find Distance in a Binary Tree")</f>
        <v>Find Distance in a Binary Tree</v>
      </c>
      <c r="C1741" s="20" t="str">
        <f>IFERROR(__xludf.DUMMYFUNCTION("""COMPUTED_VALUE"""),"find-distance-in-a-binary-tree")</f>
        <v>find-distance-in-a-binary-tree</v>
      </c>
      <c r="D1741" s="20" t="b">
        <f>IFERROR(__xludf.DUMMYFUNCTION("""COMPUTED_VALUE"""),TRUE)</f>
        <v>1</v>
      </c>
      <c r="E1741" s="20" t="str">
        <f>IFERROR(__xludf.DUMMYFUNCTION("""COMPUTED_VALUE"""),"Medium")</f>
        <v>Medium</v>
      </c>
      <c r="F1741" s="20">
        <f>IFERROR(__xludf.DUMMYFUNCTION("""COMPUTED_VALUE"""),340.0)</f>
        <v>340</v>
      </c>
      <c r="G1741" s="20">
        <f>IFERROR(__xludf.DUMMYFUNCTION("""COMPUTED_VALUE"""),12.0)</f>
        <v>12</v>
      </c>
      <c r="H1741" s="20" t="str">
        <f>IFERROR(__xludf.DUMMYFUNCTION("""COMPUTED_VALUE"""),"Algorithms")</f>
        <v>Algorithms</v>
      </c>
      <c r="I1741" s="20">
        <f>IFERROR(__xludf.DUMMYFUNCTION("""COMPUTED_VALUE"""),0.689)</f>
        <v>0.689</v>
      </c>
      <c r="J1741" s="20">
        <f>IFERROR(__xludf.DUMMYFUNCTION("""COMPUTED_VALUE"""),1740.0)</f>
        <v>1740</v>
      </c>
      <c r="K1741" s="20" t="b">
        <f>IFERROR(__xludf.DUMMYFUNCTION("""COMPUTED_VALUE"""),TRUE)</f>
        <v>1</v>
      </c>
      <c r="L1741" s="20" t="str">
        <f>IFERROR(__xludf.DUMMYFUNCTION("""COMPUTED_VALUE"""),"Hash Table;Tree;Depth-First Search;Breadth-First Search;Binary Tree;")</f>
        <v>Hash Table;Tree;Depth-First Search;Breadth-First Search;Binary Tree;</v>
      </c>
      <c r="M1741" s="20" t="b">
        <f>IFERROR(__xludf.DUMMYFUNCTION("""COMPUTED_VALUE"""),FALSE)</f>
        <v>0</v>
      </c>
      <c r="N1741" s="20" t="b">
        <f>IFERROR(__xludf.DUMMYFUNCTION("""COMPUTED_VALUE"""),FALSE)</f>
        <v>0</v>
      </c>
      <c r="O1741" s="20">
        <f>IFERROR(__xludf.DUMMYFUNCTION("""COMPUTED_VALUE"""),68.861526039564)</f>
        <v>68.86152604</v>
      </c>
      <c r="P1741" s="20">
        <f>IFERROR(__xludf.DUMMYFUNCTION("""COMPUTED_VALUE"""),17057.0)</f>
        <v>17057</v>
      </c>
      <c r="Q1741" s="20">
        <f>IFERROR(__xludf.DUMMYFUNCTION("""COMPUTED_VALUE"""),24770.0)</f>
        <v>24770</v>
      </c>
    </row>
    <row r="1742">
      <c r="A1742" s="20">
        <f>IFERROR(__xludf.DUMMYFUNCTION("""COMPUTED_VALUE"""),1892.0)</f>
        <v>1892</v>
      </c>
      <c r="B1742" s="20" t="str">
        <f>IFERROR(__xludf.DUMMYFUNCTION("""COMPUTED_VALUE"""),"Find Total Time Spent by Each Employee")</f>
        <v>Find Total Time Spent by Each Employee</v>
      </c>
      <c r="C1742" s="20" t="str">
        <f>IFERROR(__xludf.DUMMYFUNCTION("""COMPUTED_VALUE"""),"find-total-time-spent-by-each-employee")</f>
        <v>find-total-time-spent-by-each-employee</v>
      </c>
      <c r="D1742" s="20" t="b">
        <f>IFERROR(__xludf.DUMMYFUNCTION("""COMPUTED_VALUE"""),FALSE)</f>
        <v>0</v>
      </c>
      <c r="E1742" s="20" t="str">
        <f>IFERROR(__xludf.DUMMYFUNCTION("""COMPUTED_VALUE"""),"Easy")</f>
        <v>Easy</v>
      </c>
      <c r="F1742" s="20">
        <f>IFERROR(__xludf.DUMMYFUNCTION("""COMPUTED_VALUE"""),409.0)</f>
        <v>409</v>
      </c>
      <c r="G1742" s="20">
        <f>IFERROR(__xludf.DUMMYFUNCTION("""COMPUTED_VALUE"""),8.0)</f>
        <v>8</v>
      </c>
      <c r="H1742" s="20" t="str">
        <f>IFERROR(__xludf.DUMMYFUNCTION("""COMPUTED_VALUE"""),"Database")</f>
        <v>Database</v>
      </c>
      <c r="I1742" s="20">
        <f>IFERROR(__xludf.DUMMYFUNCTION("""COMPUTED_VALUE"""),0.913)</f>
        <v>0.913</v>
      </c>
      <c r="J1742" s="20">
        <f>IFERROR(__xludf.DUMMYFUNCTION("""COMPUTED_VALUE"""),1741.0)</f>
        <v>1741</v>
      </c>
      <c r="K1742" s="20" t="b">
        <f>IFERROR(__xludf.DUMMYFUNCTION("""COMPUTED_VALUE"""),FALSE)</f>
        <v>0</v>
      </c>
      <c r="L1742" s="20" t="str">
        <f>IFERROR(__xludf.DUMMYFUNCTION("""COMPUTED_VALUE"""),"Database;")</f>
        <v>Database;</v>
      </c>
      <c r="M1742" s="20" t="b">
        <f>IFERROR(__xludf.DUMMYFUNCTION("""COMPUTED_VALUE"""),FALSE)</f>
        <v>0</v>
      </c>
      <c r="N1742" s="20" t="b">
        <f>IFERROR(__xludf.DUMMYFUNCTION("""COMPUTED_VALUE"""),FALSE)</f>
        <v>0</v>
      </c>
      <c r="O1742" s="20">
        <f>IFERROR(__xludf.DUMMYFUNCTION("""COMPUTED_VALUE"""),91.298874089758)</f>
        <v>91.29887409</v>
      </c>
      <c r="P1742" s="20">
        <f>IFERROR(__xludf.DUMMYFUNCTION("""COMPUTED_VALUE"""),63814.0)</f>
        <v>63814</v>
      </c>
      <c r="Q1742" s="20">
        <f>IFERROR(__xludf.DUMMYFUNCTION("""COMPUTED_VALUE"""),69896.0)</f>
        <v>69896</v>
      </c>
    </row>
    <row r="1743">
      <c r="A1743" s="20">
        <f>IFERROR(__xludf.DUMMYFUNCTION("""COMPUTED_VALUE"""),1844.0)</f>
        <v>1844</v>
      </c>
      <c r="B1743" s="20" t="str">
        <f>IFERROR(__xludf.DUMMYFUNCTION("""COMPUTED_VALUE"""),"Maximum Number of Balls in a Box")</f>
        <v>Maximum Number of Balls in a Box</v>
      </c>
      <c r="C1743" s="20" t="str">
        <f>IFERROR(__xludf.DUMMYFUNCTION("""COMPUTED_VALUE"""),"maximum-number-of-balls-in-a-box")</f>
        <v>maximum-number-of-balls-in-a-box</v>
      </c>
      <c r="D1743" s="20" t="b">
        <f>IFERROR(__xludf.DUMMYFUNCTION("""COMPUTED_VALUE"""),FALSE)</f>
        <v>0</v>
      </c>
      <c r="E1743" s="20" t="str">
        <f>IFERROR(__xludf.DUMMYFUNCTION("""COMPUTED_VALUE"""),"Easy")</f>
        <v>Easy</v>
      </c>
      <c r="F1743" s="20">
        <f>IFERROR(__xludf.DUMMYFUNCTION("""COMPUTED_VALUE"""),479.0)</f>
        <v>479</v>
      </c>
      <c r="G1743" s="20">
        <f>IFERROR(__xludf.DUMMYFUNCTION("""COMPUTED_VALUE"""),112.0)</f>
        <v>112</v>
      </c>
      <c r="H1743" s="20" t="str">
        <f>IFERROR(__xludf.DUMMYFUNCTION("""COMPUTED_VALUE"""),"Algorithms")</f>
        <v>Algorithms</v>
      </c>
      <c r="I1743" s="20">
        <f>IFERROR(__xludf.DUMMYFUNCTION("""COMPUTED_VALUE"""),0.738)</f>
        <v>0.738</v>
      </c>
      <c r="J1743" s="20">
        <f>IFERROR(__xludf.DUMMYFUNCTION("""COMPUTED_VALUE"""),1742.0)</f>
        <v>1742</v>
      </c>
      <c r="K1743" s="20" t="b">
        <f>IFERROR(__xludf.DUMMYFUNCTION("""COMPUTED_VALUE"""),FALSE)</f>
        <v>0</v>
      </c>
      <c r="L1743" s="20" t="str">
        <f>IFERROR(__xludf.DUMMYFUNCTION("""COMPUTED_VALUE"""),"Hash Table;Math;Counting;")</f>
        <v>Hash Table;Math;Counting;</v>
      </c>
      <c r="M1743" s="20" t="b">
        <f>IFERROR(__xludf.DUMMYFUNCTION("""COMPUTED_VALUE"""),FALSE)</f>
        <v>0</v>
      </c>
      <c r="N1743" s="20" t="b">
        <f>IFERROR(__xludf.DUMMYFUNCTION("""COMPUTED_VALUE"""),FALSE)</f>
        <v>0</v>
      </c>
      <c r="O1743" s="20">
        <f>IFERROR(__xludf.DUMMYFUNCTION("""COMPUTED_VALUE"""),73.8372997355731)</f>
        <v>73.83729974</v>
      </c>
      <c r="P1743" s="20">
        <f>IFERROR(__xludf.DUMMYFUNCTION("""COMPUTED_VALUE"""),47468.0)</f>
        <v>47468</v>
      </c>
      <c r="Q1743" s="20">
        <f>IFERROR(__xludf.DUMMYFUNCTION("""COMPUTED_VALUE"""),64287.0)</f>
        <v>64287</v>
      </c>
    </row>
    <row r="1744">
      <c r="A1744" s="20">
        <f>IFERROR(__xludf.DUMMYFUNCTION("""COMPUTED_VALUE"""),1866.0)</f>
        <v>1866</v>
      </c>
      <c r="B1744" s="20" t="str">
        <f>IFERROR(__xludf.DUMMYFUNCTION("""COMPUTED_VALUE"""),"Restore the Array From Adjacent Pairs")</f>
        <v>Restore the Array From Adjacent Pairs</v>
      </c>
      <c r="C1744" s="20" t="str">
        <f>IFERROR(__xludf.DUMMYFUNCTION("""COMPUTED_VALUE"""),"restore-the-array-from-adjacent-pairs")</f>
        <v>restore-the-array-from-adjacent-pairs</v>
      </c>
      <c r="D1744" s="20" t="b">
        <f>IFERROR(__xludf.DUMMYFUNCTION("""COMPUTED_VALUE"""),FALSE)</f>
        <v>0</v>
      </c>
      <c r="E1744" s="20" t="str">
        <f>IFERROR(__xludf.DUMMYFUNCTION("""COMPUTED_VALUE"""),"Medium")</f>
        <v>Medium</v>
      </c>
      <c r="F1744" s="20">
        <f>IFERROR(__xludf.DUMMYFUNCTION("""COMPUTED_VALUE"""),821.0)</f>
        <v>821</v>
      </c>
      <c r="G1744" s="20">
        <f>IFERROR(__xludf.DUMMYFUNCTION("""COMPUTED_VALUE"""),16.0)</f>
        <v>16</v>
      </c>
      <c r="H1744" s="20" t="str">
        <f>IFERROR(__xludf.DUMMYFUNCTION("""COMPUTED_VALUE"""),"Algorithms")</f>
        <v>Algorithms</v>
      </c>
      <c r="I1744" s="20">
        <f>IFERROR(__xludf.DUMMYFUNCTION("""COMPUTED_VALUE"""),0.687)</f>
        <v>0.687</v>
      </c>
      <c r="J1744" s="20">
        <f>IFERROR(__xludf.DUMMYFUNCTION("""COMPUTED_VALUE"""),1743.0)</f>
        <v>1743</v>
      </c>
      <c r="K1744" s="20" t="b">
        <f>IFERROR(__xludf.DUMMYFUNCTION("""COMPUTED_VALUE"""),FALSE)</f>
        <v>0</v>
      </c>
      <c r="L1744" s="20" t="str">
        <f>IFERROR(__xludf.DUMMYFUNCTION("""COMPUTED_VALUE"""),"Array;Hash Table;")</f>
        <v>Array;Hash Table;</v>
      </c>
      <c r="M1744" s="20" t="b">
        <f>IFERROR(__xludf.DUMMYFUNCTION("""COMPUTED_VALUE"""),FALSE)</f>
        <v>0</v>
      </c>
      <c r="N1744" s="20" t="b">
        <f>IFERROR(__xludf.DUMMYFUNCTION("""COMPUTED_VALUE"""),FALSE)</f>
        <v>0</v>
      </c>
      <c r="O1744" s="20">
        <f>IFERROR(__xludf.DUMMYFUNCTION("""COMPUTED_VALUE"""),68.6580862735053)</f>
        <v>68.65808627</v>
      </c>
      <c r="P1744" s="20">
        <f>IFERROR(__xludf.DUMMYFUNCTION("""COMPUTED_VALUE"""),32167.0)</f>
        <v>32167</v>
      </c>
      <c r="Q1744" s="20">
        <f>IFERROR(__xludf.DUMMYFUNCTION("""COMPUTED_VALUE"""),46851.0)</f>
        <v>46851</v>
      </c>
    </row>
    <row r="1745">
      <c r="A1745" s="20">
        <f>IFERROR(__xludf.DUMMYFUNCTION("""COMPUTED_VALUE"""),1872.0)</f>
        <v>1872</v>
      </c>
      <c r="B1745" s="20" t="str">
        <f>IFERROR(__xludf.DUMMYFUNCTION("""COMPUTED_VALUE"""),"Can You Eat Your Favorite Candy on Your Favorite Day?")</f>
        <v>Can You Eat Your Favorite Candy on Your Favorite Day?</v>
      </c>
      <c r="C1745" s="20" t="str">
        <f>IFERROR(__xludf.DUMMYFUNCTION("""COMPUTED_VALUE"""),"can-you-eat-your-favorite-candy-on-your-favorite-day")</f>
        <v>can-you-eat-your-favorite-candy-on-your-favorite-day</v>
      </c>
      <c r="D1745" s="20" t="b">
        <f>IFERROR(__xludf.DUMMYFUNCTION("""COMPUTED_VALUE"""),FALSE)</f>
        <v>0</v>
      </c>
      <c r="E1745" s="20" t="str">
        <f>IFERROR(__xludf.DUMMYFUNCTION("""COMPUTED_VALUE"""),"Medium")</f>
        <v>Medium</v>
      </c>
      <c r="F1745" s="20">
        <f>IFERROR(__xludf.DUMMYFUNCTION("""COMPUTED_VALUE"""),101.0)</f>
        <v>101</v>
      </c>
      <c r="G1745" s="20">
        <f>IFERROR(__xludf.DUMMYFUNCTION("""COMPUTED_VALUE"""),291.0)</f>
        <v>291</v>
      </c>
      <c r="H1745" s="20" t="str">
        <f>IFERROR(__xludf.DUMMYFUNCTION("""COMPUTED_VALUE"""),"Algorithms")</f>
        <v>Algorithms</v>
      </c>
      <c r="I1745" s="20">
        <f>IFERROR(__xludf.DUMMYFUNCTION("""COMPUTED_VALUE"""),0.33)</f>
        <v>0.33</v>
      </c>
      <c r="J1745" s="20">
        <f>IFERROR(__xludf.DUMMYFUNCTION("""COMPUTED_VALUE"""),1744.0)</f>
        <v>1744</v>
      </c>
      <c r="K1745" s="20" t="b">
        <f>IFERROR(__xludf.DUMMYFUNCTION("""COMPUTED_VALUE"""),FALSE)</f>
        <v>0</v>
      </c>
      <c r="L1745" s="20" t="str">
        <f>IFERROR(__xludf.DUMMYFUNCTION("""COMPUTED_VALUE"""),"Array;Prefix Sum;")</f>
        <v>Array;Prefix Sum;</v>
      </c>
      <c r="M1745" s="20" t="b">
        <f>IFERROR(__xludf.DUMMYFUNCTION("""COMPUTED_VALUE"""),FALSE)</f>
        <v>0</v>
      </c>
      <c r="N1745" s="20" t="b">
        <f>IFERROR(__xludf.DUMMYFUNCTION("""COMPUTED_VALUE"""),FALSE)</f>
        <v>0</v>
      </c>
      <c r="O1745" s="20">
        <f>IFERROR(__xludf.DUMMYFUNCTION("""COMPUTED_VALUE"""),32.9758308157099)</f>
        <v>32.97583082</v>
      </c>
      <c r="P1745" s="20">
        <f>IFERROR(__xludf.DUMMYFUNCTION("""COMPUTED_VALUE"""),8732.0)</f>
        <v>8732</v>
      </c>
      <c r="Q1745" s="20">
        <f>IFERROR(__xludf.DUMMYFUNCTION("""COMPUTED_VALUE"""),26480.0)</f>
        <v>26480</v>
      </c>
    </row>
    <row r="1746">
      <c r="A1746" s="20">
        <f>IFERROR(__xludf.DUMMYFUNCTION("""COMPUTED_VALUE"""),1871.0)</f>
        <v>1871</v>
      </c>
      <c r="B1746" s="20" t="str">
        <f>IFERROR(__xludf.DUMMYFUNCTION("""COMPUTED_VALUE"""),"Palindrome Partitioning IV")</f>
        <v>Palindrome Partitioning IV</v>
      </c>
      <c r="C1746" s="20" t="str">
        <f>IFERROR(__xludf.DUMMYFUNCTION("""COMPUTED_VALUE"""),"palindrome-partitioning-iv")</f>
        <v>palindrome-partitioning-iv</v>
      </c>
      <c r="D1746" s="20" t="b">
        <f>IFERROR(__xludf.DUMMYFUNCTION("""COMPUTED_VALUE"""),FALSE)</f>
        <v>0</v>
      </c>
      <c r="E1746" s="20" t="str">
        <f>IFERROR(__xludf.DUMMYFUNCTION("""COMPUTED_VALUE"""),"Hard")</f>
        <v>Hard</v>
      </c>
      <c r="F1746" s="20">
        <f>IFERROR(__xludf.DUMMYFUNCTION("""COMPUTED_VALUE"""),723.0)</f>
        <v>723</v>
      </c>
      <c r="G1746" s="20">
        <f>IFERROR(__xludf.DUMMYFUNCTION("""COMPUTED_VALUE"""),20.0)</f>
        <v>20</v>
      </c>
      <c r="H1746" s="20" t="str">
        <f>IFERROR(__xludf.DUMMYFUNCTION("""COMPUTED_VALUE"""),"Algorithms")</f>
        <v>Algorithms</v>
      </c>
      <c r="I1746" s="20">
        <f>IFERROR(__xludf.DUMMYFUNCTION("""COMPUTED_VALUE"""),0.458)</f>
        <v>0.458</v>
      </c>
      <c r="J1746" s="20">
        <f>IFERROR(__xludf.DUMMYFUNCTION("""COMPUTED_VALUE"""),1745.0)</f>
        <v>1745</v>
      </c>
      <c r="K1746" s="20" t="b">
        <f>IFERROR(__xludf.DUMMYFUNCTION("""COMPUTED_VALUE"""),FALSE)</f>
        <v>0</v>
      </c>
      <c r="L1746" s="20" t="str">
        <f>IFERROR(__xludf.DUMMYFUNCTION("""COMPUTED_VALUE"""),"String;Dynamic Programming;")</f>
        <v>String;Dynamic Programming;</v>
      </c>
      <c r="M1746" s="20" t="b">
        <f>IFERROR(__xludf.DUMMYFUNCTION("""COMPUTED_VALUE"""),FALSE)</f>
        <v>0</v>
      </c>
      <c r="N1746" s="20" t="b">
        <f>IFERROR(__xludf.DUMMYFUNCTION("""COMPUTED_VALUE"""),FALSE)</f>
        <v>0</v>
      </c>
      <c r="O1746" s="20">
        <f>IFERROR(__xludf.DUMMYFUNCTION("""COMPUTED_VALUE"""),45.8175756369426)</f>
        <v>45.81757564</v>
      </c>
      <c r="P1746" s="20">
        <f>IFERROR(__xludf.DUMMYFUNCTION("""COMPUTED_VALUE"""),18415.0)</f>
        <v>18415</v>
      </c>
      <c r="Q1746" s="20">
        <f>IFERROR(__xludf.DUMMYFUNCTION("""COMPUTED_VALUE"""),40189.0)</f>
        <v>40189</v>
      </c>
    </row>
    <row r="1747">
      <c r="A1747" s="20">
        <f>IFERROR(__xludf.DUMMYFUNCTION("""COMPUTED_VALUE"""),1893.0)</f>
        <v>1893</v>
      </c>
      <c r="B1747" s="20" t="str">
        <f>IFERROR(__xludf.DUMMYFUNCTION("""COMPUTED_VALUE"""),"Maximum Subarray Sum After One Operation")</f>
        <v>Maximum Subarray Sum After One Operation</v>
      </c>
      <c r="C1747" s="20" t="str">
        <f>IFERROR(__xludf.DUMMYFUNCTION("""COMPUTED_VALUE"""),"maximum-subarray-sum-after-one-operation")</f>
        <v>maximum-subarray-sum-after-one-operation</v>
      </c>
      <c r="D1747" s="20" t="b">
        <f>IFERROR(__xludf.DUMMYFUNCTION("""COMPUTED_VALUE"""),TRUE)</f>
        <v>1</v>
      </c>
      <c r="E1747" s="20" t="str">
        <f>IFERROR(__xludf.DUMMYFUNCTION("""COMPUTED_VALUE"""),"Medium")</f>
        <v>Medium</v>
      </c>
      <c r="F1747" s="20">
        <f>IFERROR(__xludf.DUMMYFUNCTION("""COMPUTED_VALUE"""),246.0)</f>
        <v>246</v>
      </c>
      <c r="G1747" s="20">
        <f>IFERROR(__xludf.DUMMYFUNCTION("""COMPUTED_VALUE"""),5.0)</f>
        <v>5</v>
      </c>
      <c r="H1747" s="20" t="str">
        <f>IFERROR(__xludf.DUMMYFUNCTION("""COMPUTED_VALUE"""),"Algorithms")</f>
        <v>Algorithms</v>
      </c>
      <c r="I1747" s="20">
        <f>IFERROR(__xludf.DUMMYFUNCTION("""COMPUTED_VALUE"""),0.623)</f>
        <v>0.623</v>
      </c>
      <c r="J1747" s="20">
        <f>IFERROR(__xludf.DUMMYFUNCTION("""COMPUTED_VALUE"""),1746.0)</f>
        <v>1746</v>
      </c>
      <c r="K1747" s="20" t="b">
        <f>IFERROR(__xludf.DUMMYFUNCTION("""COMPUTED_VALUE"""),TRUE)</f>
        <v>1</v>
      </c>
      <c r="L1747" s="20" t="str">
        <f>IFERROR(__xludf.DUMMYFUNCTION("""COMPUTED_VALUE"""),"Array;Dynamic Programming;")</f>
        <v>Array;Dynamic Programming;</v>
      </c>
      <c r="M1747" s="20" t="b">
        <f>IFERROR(__xludf.DUMMYFUNCTION("""COMPUTED_VALUE"""),FALSE)</f>
        <v>0</v>
      </c>
      <c r="N1747" s="20" t="b">
        <f>IFERROR(__xludf.DUMMYFUNCTION("""COMPUTED_VALUE"""),FALSE)</f>
        <v>0</v>
      </c>
      <c r="O1747" s="20">
        <f>IFERROR(__xludf.DUMMYFUNCTION("""COMPUTED_VALUE"""),62.2550647625373)</f>
        <v>62.25506476</v>
      </c>
      <c r="P1747" s="20">
        <f>IFERROR(__xludf.DUMMYFUNCTION("""COMPUTED_VALUE"""),7498.0)</f>
        <v>7498</v>
      </c>
      <c r="Q1747" s="20">
        <f>IFERROR(__xludf.DUMMYFUNCTION("""COMPUTED_VALUE"""),12044.0)</f>
        <v>12044</v>
      </c>
    </row>
    <row r="1748">
      <c r="A1748" s="20">
        <f>IFERROR(__xludf.DUMMYFUNCTION("""COMPUTED_VALUE"""),1898.0)</f>
        <v>1898</v>
      </c>
      <c r="B1748" s="20" t="str">
        <f>IFERROR(__xludf.DUMMYFUNCTION("""COMPUTED_VALUE"""),"Leetflex Banned Accounts")</f>
        <v>Leetflex Banned Accounts</v>
      </c>
      <c r="C1748" s="20" t="str">
        <f>IFERROR(__xludf.DUMMYFUNCTION("""COMPUTED_VALUE"""),"leetflex-banned-accounts")</f>
        <v>leetflex-banned-accounts</v>
      </c>
      <c r="D1748" s="20" t="b">
        <f>IFERROR(__xludf.DUMMYFUNCTION("""COMPUTED_VALUE"""),TRUE)</f>
        <v>1</v>
      </c>
      <c r="E1748" s="20" t="str">
        <f>IFERROR(__xludf.DUMMYFUNCTION("""COMPUTED_VALUE"""),"Medium")</f>
        <v>Medium</v>
      </c>
      <c r="F1748" s="20">
        <f>IFERROR(__xludf.DUMMYFUNCTION("""COMPUTED_VALUE"""),119.0)</f>
        <v>119</v>
      </c>
      <c r="G1748" s="20">
        <f>IFERROR(__xludf.DUMMYFUNCTION("""COMPUTED_VALUE"""),7.0)</f>
        <v>7</v>
      </c>
      <c r="H1748" s="20" t="str">
        <f>IFERROR(__xludf.DUMMYFUNCTION("""COMPUTED_VALUE"""),"Database")</f>
        <v>Database</v>
      </c>
      <c r="I1748" s="20">
        <f>IFERROR(__xludf.DUMMYFUNCTION("""COMPUTED_VALUE"""),0.681)</f>
        <v>0.681</v>
      </c>
      <c r="J1748" s="20">
        <f>IFERROR(__xludf.DUMMYFUNCTION("""COMPUTED_VALUE"""),1747.0)</f>
        <v>1747</v>
      </c>
      <c r="K1748" s="20" t="b">
        <f>IFERROR(__xludf.DUMMYFUNCTION("""COMPUTED_VALUE"""),TRUE)</f>
        <v>1</v>
      </c>
      <c r="L1748" s="20" t="str">
        <f>IFERROR(__xludf.DUMMYFUNCTION("""COMPUTED_VALUE"""),"Database;")</f>
        <v>Database;</v>
      </c>
      <c r="M1748" s="20" t="b">
        <f>IFERROR(__xludf.DUMMYFUNCTION("""COMPUTED_VALUE"""),FALSE)</f>
        <v>0</v>
      </c>
      <c r="N1748" s="20" t="b">
        <f>IFERROR(__xludf.DUMMYFUNCTION("""COMPUTED_VALUE"""),FALSE)</f>
        <v>0</v>
      </c>
      <c r="O1748" s="20">
        <f>IFERROR(__xludf.DUMMYFUNCTION("""COMPUTED_VALUE"""),68.1096457201965)</f>
        <v>68.10964572</v>
      </c>
      <c r="P1748" s="20">
        <f>IFERROR(__xludf.DUMMYFUNCTION("""COMPUTED_VALUE"""),13168.0)</f>
        <v>13168</v>
      </c>
      <c r="Q1748" s="20">
        <f>IFERROR(__xludf.DUMMYFUNCTION("""COMPUTED_VALUE"""),19334.0)</f>
        <v>19334</v>
      </c>
    </row>
    <row r="1749">
      <c r="A1749" s="20">
        <f>IFERROR(__xludf.DUMMYFUNCTION("""COMPUTED_VALUE"""),1848.0)</f>
        <v>1848</v>
      </c>
      <c r="B1749" s="20" t="str">
        <f>IFERROR(__xludf.DUMMYFUNCTION("""COMPUTED_VALUE"""),"Sum of Unique Elements")</f>
        <v>Sum of Unique Elements</v>
      </c>
      <c r="C1749" s="20" t="str">
        <f>IFERROR(__xludf.DUMMYFUNCTION("""COMPUTED_VALUE"""),"sum-of-unique-elements")</f>
        <v>sum-of-unique-elements</v>
      </c>
      <c r="D1749" s="20" t="b">
        <f>IFERROR(__xludf.DUMMYFUNCTION("""COMPUTED_VALUE"""),FALSE)</f>
        <v>0</v>
      </c>
      <c r="E1749" s="20" t="str">
        <f>IFERROR(__xludf.DUMMYFUNCTION("""COMPUTED_VALUE"""),"Easy")</f>
        <v>Easy</v>
      </c>
      <c r="F1749" s="20">
        <f>IFERROR(__xludf.DUMMYFUNCTION("""COMPUTED_VALUE"""),1030.0)</f>
        <v>1030</v>
      </c>
      <c r="G1749" s="20">
        <f>IFERROR(__xludf.DUMMYFUNCTION("""COMPUTED_VALUE"""),22.0)</f>
        <v>22</v>
      </c>
      <c r="H1749" s="20" t="str">
        <f>IFERROR(__xludf.DUMMYFUNCTION("""COMPUTED_VALUE"""),"Algorithms")</f>
        <v>Algorithms</v>
      </c>
      <c r="I1749" s="20">
        <f>IFERROR(__xludf.DUMMYFUNCTION("""COMPUTED_VALUE"""),0.758)</f>
        <v>0.758</v>
      </c>
      <c r="J1749" s="20">
        <f>IFERROR(__xludf.DUMMYFUNCTION("""COMPUTED_VALUE"""),1748.0)</f>
        <v>1748</v>
      </c>
      <c r="K1749" s="20" t="b">
        <f>IFERROR(__xludf.DUMMYFUNCTION("""COMPUTED_VALUE"""),FALSE)</f>
        <v>0</v>
      </c>
      <c r="L1749" s="20" t="str">
        <f>IFERROR(__xludf.DUMMYFUNCTION("""COMPUTED_VALUE"""),"Array;Hash Table;Counting;")</f>
        <v>Array;Hash Table;Counting;</v>
      </c>
      <c r="M1749" s="20" t="b">
        <f>IFERROR(__xludf.DUMMYFUNCTION("""COMPUTED_VALUE"""),FALSE)</f>
        <v>0</v>
      </c>
      <c r="N1749" s="20" t="b">
        <f>IFERROR(__xludf.DUMMYFUNCTION("""COMPUTED_VALUE"""),FALSE)</f>
        <v>0</v>
      </c>
      <c r="O1749" s="20">
        <f>IFERROR(__xludf.DUMMYFUNCTION("""COMPUTED_VALUE"""),75.785754557414)</f>
        <v>75.78575456</v>
      </c>
      <c r="P1749" s="20">
        <f>IFERROR(__xludf.DUMMYFUNCTION("""COMPUTED_VALUE"""),100813.0)</f>
        <v>100813</v>
      </c>
      <c r="Q1749" s="20">
        <f>IFERROR(__xludf.DUMMYFUNCTION("""COMPUTED_VALUE"""),133024.0)</f>
        <v>133024</v>
      </c>
    </row>
    <row r="1750">
      <c r="A1750" s="20">
        <f>IFERROR(__xludf.DUMMYFUNCTION("""COMPUTED_VALUE"""),1849.0)</f>
        <v>1849</v>
      </c>
      <c r="B1750" s="20" t="str">
        <f>IFERROR(__xludf.DUMMYFUNCTION("""COMPUTED_VALUE"""),"Maximum Absolute Sum of Any Subarray")</f>
        <v>Maximum Absolute Sum of Any Subarray</v>
      </c>
      <c r="C1750" s="20" t="str">
        <f>IFERROR(__xludf.DUMMYFUNCTION("""COMPUTED_VALUE"""),"maximum-absolute-sum-of-any-subarray")</f>
        <v>maximum-absolute-sum-of-any-subarray</v>
      </c>
      <c r="D1750" s="20" t="b">
        <f>IFERROR(__xludf.DUMMYFUNCTION("""COMPUTED_VALUE"""),FALSE)</f>
        <v>0</v>
      </c>
      <c r="E1750" s="20" t="str">
        <f>IFERROR(__xludf.DUMMYFUNCTION("""COMPUTED_VALUE"""),"Medium")</f>
        <v>Medium</v>
      </c>
      <c r="F1750" s="20">
        <f>IFERROR(__xludf.DUMMYFUNCTION("""COMPUTED_VALUE"""),976.0)</f>
        <v>976</v>
      </c>
      <c r="G1750" s="20">
        <f>IFERROR(__xludf.DUMMYFUNCTION("""COMPUTED_VALUE"""),15.0)</f>
        <v>15</v>
      </c>
      <c r="H1750" s="20" t="str">
        <f>IFERROR(__xludf.DUMMYFUNCTION("""COMPUTED_VALUE"""),"Algorithms")</f>
        <v>Algorithms</v>
      </c>
      <c r="I1750" s="20">
        <f>IFERROR(__xludf.DUMMYFUNCTION("""COMPUTED_VALUE"""),0.584)</f>
        <v>0.584</v>
      </c>
      <c r="J1750" s="20">
        <f>IFERROR(__xludf.DUMMYFUNCTION("""COMPUTED_VALUE"""),1749.0)</f>
        <v>1749</v>
      </c>
      <c r="K1750" s="20" t="b">
        <f>IFERROR(__xludf.DUMMYFUNCTION("""COMPUTED_VALUE"""),FALSE)</f>
        <v>0</v>
      </c>
      <c r="L1750" s="20" t="str">
        <f>IFERROR(__xludf.DUMMYFUNCTION("""COMPUTED_VALUE"""),"Array;Dynamic Programming;")</f>
        <v>Array;Dynamic Programming;</v>
      </c>
      <c r="M1750" s="20" t="b">
        <f>IFERROR(__xludf.DUMMYFUNCTION("""COMPUTED_VALUE"""),FALSE)</f>
        <v>0</v>
      </c>
      <c r="N1750" s="20" t="b">
        <f>IFERROR(__xludf.DUMMYFUNCTION("""COMPUTED_VALUE"""),FALSE)</f>
        <v>0</v>
      </c>
      <c r="O1750" s="20">
        <f>IFERROR(__xludf.DUMMYFUNCTION("""COMPUTED_VALUE"""),58.3606757830809)</f>
        <v>58.36067578</v>
      </c>
      <c r="P1750" s="20">
        <f>IFERROR(__xludf.DUMMYFUNCTION("""COMPUTED_VALUE"""),28636.0)</f>
        <v>28636</v>
      </c>
      <c r="Q1750" s="20">
        <f>IFERROR(__xludf.DUMMYFUNCTION("""COMPUTED_VALUE"""),49068.0)</f>
        <v>49068</v>
      </c>
    </row>
    <row r="1751">
      <c r="A1751" s="20">
        <f>IFERROR(__xludf.DUMMYFUNCTION("""COMPUTED_VALUE"""),1850.0)</f>
        <v>1850</v>
      </c>
      <c r="B1751" s="20" t="str">
        <f>IFERROR(__xludf.DUMMYFUNCTION("""COMPUTED_VALUE"""),"Minimum Length of String After Deleting Similar Ends")</f>
        <v>Minimum Length of String After Deleting Similar Ends</v>
      </c>
      <c r="C1751" s="20" t="str">
        <f>IFERROR(__xludf.DUMMYFUNCTION("""COMPUTED_VALUE"""),"minimum-length-of-string-after-deleting-similar-ends")</f>
        <v>minimum-length-of-string-after-deleting-similar-ends</v>
      </c>
      <c r="D1751" s="20" t="b">
        <f>IFERROR(__xludf.DUMMYFUNCTION("""COMPUTED_VALUE"""),FALSE)</f>
        <v>0</v>
      </c>
      <c r="E1751" s="20" t="str">
        <f>IFERROR(__xludf.DUMMYFUNCTION("""COMPUTED_VALUE"""),"Medium")</f>
        <v>Medium</v>
      </c>
      <c r="F1751" s="20">
        <f>IFERROR(__xludf.DUMMYFUNCTION("""COMPUTED_VALUE"""),357.0)</f>
        <v>357</v>
      </c>
      <c r="G1751" s="20">
        <f>IFERROR(__xludf.DUMMYFUNCTION("""COMPUTED_VALUE"""),23.0)</f>
        <v>23</v>
      </c>
      <c r="H1751" s="20" t="str">
        <f>IFERROR(__xludf.DUMMYFUNCTION("""COMPUTED_VALUE"""),"Algorithms")</f>
        <v>Algorithms</v>
      </c>
      <c r="I1751" s="20">
        <f>IFERROR(__xludf.DUMMYFUNCTION("""COMPUTED_VALUE"""),0.436)</f>
        <v>0.436</v>
      </c>
      <c r="J1751" s="20">
        <f>IFERROR(__xludf.DUMMYFUNCTION("""COMPUTED_VALUE"""),1750.0)</f>
        <v>1750</v>
      </c>
      <c r="K1751" s="20" t="b">
        <f>IFERROR(__xludf.DUMMYFUNCTION("""COMPUTED_VALUE"""),FALSE)</f>
        <v>0</v>
      </c>
      <c r="L1751" s="20" t="str">
        <f>IFERROR(__xludf.DUMMYFUNCTION("""COMPUTED_VALUE"""),"Two Pointers;String;")</f>
        <v>Two Pointers;String;</v>
      </c>
      <c r="M1751" s="20" t="b">
        <f>IFERROR(__xludf.DUMMYFUNCTION("""COMPUTED_VALUE"""),FALSE)</f>
        <v>0</v>
      </c>
      <c r="N1751" s="20" t="b">
        <f>IFERROR(__xludf.DUMMYFUNCTION("""COMPUTED_VALUE"""),FALSE)</f>
        <v>0</v>
      </c>
      <c r="O1751" s="20">
        <f>IFERROR(__xludf.DUMMYFUNCTION("""COMPUTED_VALUE"""),43.6219751138705)</f>
        <v>43.62197511</v>
      </c>
      <c r="P1751" s="20">
        <f>IFERROR(__xludf.DUMMYFUNCTION("""COMPUTED_VALUE"""),17143.0)</f>
        <v>17143</v>
      </c>
      <c r="Q1751" s="20">
        <f>IFERROR(__xludf.DUMMYFUNCTION("""COMPUTED_VALUE"""),39299.0)</f>
        <v>39299</v>
      </c>
    </row>
    <row r="1752">
      <c r="A1752" s="20">
        <f>IFERROR(__xludf.DUMMYFUNCTION("""COMPUTED_VALUE"""),1851.0)</f>
        <v>1851</v>
      </c>
      <c r="B1752" s="20" t="str">
        <f>IFERROR(__xludf.DUMMYFUNCTION("""COMPUTED_VALUE"""),"Maximum Number of Events That Can Be Attended II")</f>
        <v>Maximum Number of Events That Can Be Attended II</v>
      </c>
      <c r="C1752" s="20" t="str">
        <f>IFERROR(__xludf.DUMMYFUNCTION("""COMPUTED_VALUE"""),"maximum-number-of-events-that-can-be-attended-ii")</f>
        <v>maximum-number-of-events-that-can-be-attended-ii</v>
      </c>
      <c r="D1752" s="20" t="b">
        <f>IFERROR(__xludf.DUMMYFUNCTION("""COMPUTED_VALUE"""),FALSE)</f>
        <v>0</v>
      </c>
      <c r="E1752" s="20" t="str">
        <f>IFERROR(__xludf.DUMMYFUNCTION("""COMPUTED_VALUE"""),"Hard")</f>
        <v>Hard</v>
      </c>
      <c r="F1752" s="20">
        <f>IFERROR(__xludf.DUMMYFUNCTION("""COMPUTED_VALUE"""),662.0)</f>
        <v>662</v>
      </c>
      <c r="G1752" s="20">
        <f>IFERROR(__xludf.DUMMYFUNCTION("""COMPUTED_VALUE"""),12.0)</f>
        <v>12</v>
      </c>
      <c r="H1752" s="20" t="str">
        <f>IFERROR(__xludf.DUMMYFUNCTION("""COMPUTED_VALUE"""),"Algorithms")</f>
        <v>Algorithms</v>
      </c>
      <c r="I1752" s="20">
        <f>IFERROR(__xludf.DUMMYFUNCTION("""COMPUTED_VALUE"""),0.563)</f>
        <v>0.563</v>
      </c>
      <c r="J1752" s="20">
        <f>IFERROR(__xludf.DUMMYFUNCTION("""COMPUTED_VALUE"""),1751.0)</f>
        <v>1751</v>
      </c>
      <c r="K1752" s="20" t="b">
        <f>IFERROR(__xludf.DUMMYFUNCTION("""COMPUTED_VALUE"""),FALSE)</f>
        <v>0</v>
      </c>
      <c r="L1752" s="20" t="str">
        <f>IFERROR(__xludf.DUMMYFUNCTION("""COMPUTED_VALUE"""),"Array;Binary Search;Dynamic Programming;")</f>
        <v>Array;Binary Search;Dynamic Programming;</v>
      </c>
      <c r="M1752" s="20" t="b">
        <f>IFERROR(__xludf.DUMMYFUNCTION("""COMPUTED_VALUE"""),FALSE)</f>
        <v>0</v>
      </c>
      <c r="N1752" s="20" t="b">
        <f>IFERROR(__xludf.DUMMYFUNCTION("""COMPUTED_VALUE"""),FALSE)</f>
        <v>0</v>
      </c>
      <c r="O1752" s="20">
        <f>IFERROR(__xludf.DUMMYFUNCTION("""COMPUTED_VALUE"""),56.290401356049)</f>
        <v>56.29040136</v>
      </c>
      <c r="P1752" s="20">
        <f>IFERROR(__xludf.DUMMYFUNCTION("""COMPUTED_VALUE"""),19593.0)</f>
        <v>19593</v>
      </c>
      <c r="Q1752" s="20">
        <f>IFERROR(__xludf.DUMMYFUNCTION("""COMPUTED_VALUE"""),34807.0)</f>
        <v>34807</v>
      </c>
    </row>
    <row r="1753">
      <c r="A1753" s="20">
        <f>IFERROR(__xludf.DUMMYFUNCTION("""COMPUTED_VALUE"""),1878.0)</f>
        <v>1878</v>
      </c>
      <c r="B1753" s="20" t="str">
        <f>IFERROR(__xludf.DUMMYFUNCTION("""COMPUTED_VALUE"""),"Check if Array Is Sorted and Rotated")</f>
        <v>Check if Array Is Sorted and Rotated</v>
      </c>
      <c r="C1753" s="20" t="str">
        <f>IFERROR(__xludf.DUMMYFUNCTION("""COMPUTED_VALUE"""),"check-if-array-is-sorted-and-rotated")</f>
        <v>check-if-array-is-sorted-and-rotated</v>
      </c>
      <c r="D1753" s="20" t="b">
        <f>IFERROR(__xludf.DUMMYFUNCTION("""COMPUTED_VALUE"""),FALSE)</f>
        <v>0</v>
      </c>
      <c r="E1753" s="20" t="str">
        <f>IFERROR(__xludf.DUMMYFUNCTION("""COMPUTED_VALUE"""),"Easy")</f>
        <v>Easy</v>
      </c>
      <c r="F1753" s="20">
        <f>IFERROR(__xludf.DUMMYFUNCTION("""COMPUTED_VALUE"""),1293.0)</f>
        <v>1293</v>
      </c>
      <c r="G1753" s="20">
        <f>IFERROR(__xludf.DUMMYFUNCTION("""COMPUTED_VALUE"""),64.0)</f>
        <v>64</v>
      </c>
      <c r="H1753" s="20" t="str">
        <f>IFERROR(__xludf.DUMMYFUNCTION("""COMPUTED_VALUE"""),"Algorithms")</f>
        <v>Algorithms</v>
      </c>
      <c r="I1753" s="20">
        <f>IFERROR(__xludf.DUMMYFUNCTION("""COMPUTED_VALUE"""),0.495)</f>
        <v>0.495</v>
      </c>
      <c r="J1753" s="20">
        <f>IFERROR(__xludf.DUMMYFUNCTION("""COMPUTED_VALUE"""),1752.0)</f>
        <v>1752</v>
      </c>
      <c r="K1753" s="20" t="b">
        <f>IFERROR(__xludf.DUMMYFUNCTION("""COMPUTED_VALUE"""),FALSE)</f>
        <v>0</v>
      </c>
      <c r="L1753" s="20" t="str">
        <f>IFERROR(__xludf.DUMMYFUNCTION("""COMPUTED_VALUE"""),"Array;")</f>
        <v>Array;</v>
      </c>
      <c r="M1753" s="20" t="b">
        <f>IFERROR(__xludf.DUMMYFUNCTION("""COMPUTED_VALUE"""),FALSE)</f>
        <v>0</v>
      </c>
      <c r="N1753" s="20" t="b">
        <f>IFERROR(__xludf.DUMMYFUNCTION("""COMPUTED_VALUE"""),FALSE)</f>
        <v>0</v>
      </c>
      <c r="O1753" s="20">
        <f>IFERROR(__xludf.DUMMYFUNCTION("""COMPUTED_VALUE"""),49.5090077336869)</f>
        <v>49.50900773</v>
      </c>
      <c r="P1753" s="20">
        <f>IFERROR(__xludf.DUMMYFUNCTION("""COMPUTED_VALUE"""),66445.0)</f>
        <v>66445</v>
      </c>
      <c r="Q1753" s="20">
        <f>IFERROR(__xludf.DUMMYFUNCTION("""COMPUTED_VALUE"""),134209.0)</f>
        <v>134209</v>
      </c>
    </row>
    <row r="1754">
      <c r="A1754" s="20">
        <f>IFERROR(__xludf.DUMMYFUNCTION("""COMPUTED_VALUE"""),1879.0)</f>
        <v>1879</v>
      </c>
      <c r="B1754" s="20" t="str">
        <f>IFERROR(__xludf.DUMMYFUNCTION("""COMPUTED_VALUE"""),"Maximum Score From Removing Stones")</f>
        <v>Maximum Score From Removing Stones</v>
      </c>
      <c r="C1754" s="20" t="str">
        <f>IFERROR(__xludf.DUMMYFUNCTION("""COMPUTED_VALUE"""),"maximum-score-from-removing-stones")</f>
        <v>maximum-score-from-removing-stones</v>
      </c>
      <c r="D1754" s="20" t="b">
        <f>IFERROR(__xludf.DUMMYFUNCTION("""COMPUTED_VALUE"""),FALSE)</f>
        <v>0</v>
      </c>
      <c r="E1754" s="20" t="str">
        <f>IFERROR(__xludf.DUMMYFUNCTION("""COMPUTED_VALUE"""),"Medium")</f>
        <v>Medium</v>
      </c>
      <c r="F1754" s="20">
        <f>IFERROR(__xludf.DUMMYFUNCTION("""COMPUTED_VALUE"""),690.0)</f>
        <v>690</v>
      </c>
      <c r="G1754" s="20">
        <f>IFERROR(__xludf.DUMMYFUNCTION("""COMPUTED_VALUE"""),43.0)</f>
        <v>43</v>
      </c>
      <c r="H1754" s="20" t="str">
        <f>IFERROR(__xludf.DUMMYFUNCTION("""COMPUTED_VALUE"""),"Algorithms")</f>
        <v>Algorithms</v>
      </c>
      <c r="I1754" s="20">
        <f>IFERROR(__xludf.DUMMYFUNCTION("""COMPUTED_VALUE"""),0.663)</f>
        <v>0.663</v>
      </c>
      <c r="J1754" s="20">
        <f>IFERROR(__xludf.DUMMYFUNCTION("""COMPUTED_VALUE"""),1753.0)</f>
        <v>1753</v>
      </c>
      <c r="K1754" s="20" t="b">
        <f>IFERROR(__xludf.DUMMYFUNCTION("""COMPUTED_VALUE"""),FALSE)</f>
        <v>0</v>
      </c>
      <c r="L1754" s="20" t="str">
        <f>IFERROR(__xludf.DUMMYFUNCTION("""COMPUTED_VALUE"""),"Math;Greedy;Heap (Priority Queue);")</f>
        <v>Math;Greedy;Heap (Priority Queue);</v>
      </c>
      <c r="M1754" s="20" t="b">
        <f>IFERROR(__xludf.DUMMYFUNCTION("""COMPUTED_VALUE"""),FALSE)</f>
        <v>0</v>
      </c>
      <c r="N1754" s="20" t="b">
        <f>IFERROR(__xludf.DUMMYFUNCTION("""COMPUTED_VALUE"""),FALSE)</f>
        <v>0</v>
      </c>
      <c r="O1754" s="20">
        <f>IFERROR(__xludf.DUMMYFUNCTION("""COMPUTED_VALUE"""),66.3326653306613)</f>
        <v>66.33266533</v>
      </c>
      <c r="P1754" s="20">
        <f>IFERROR(__xludf.DUMMYFUNCTION("""COMPUTED_VALUE"""),28135.0)</f>
        <v>28135</v>
      </c>
      <c r="Q1754" s="20">
        <f>IFERROR(__xludf.DUMMYFUNCTION("""COMPUTED_VALUE"""),42415.0)</f>
        <v>42415</v>
      </c>
    </row>
    <row r="1755">
      <c r="A1755" s="20">
        <f>IFERROR(__xludf.DUMMYFUNCTION("""COMPUTED_VALUE"""),1880.0)</f>
        <v>1880</v>
      </c>
      <c r="B1755" s="20" t="str">
        <f>IFERROR(__xludf.DUMMYFUNCTION("""COMPUTED_VALUE"""),"Largest Merge Of Two Strings")</f>
        <v>Largest Merge Of Two Strings</v>
      </c>
      <c r="C1755" s="20" t="str">
        <f>IFERROR(__xludf.DUMMYFUNCTION("""COMPUTED_VALUE"""),"largest-merge-of-two-strings")</f>
        <v>largest-merge-of-two-strings</v>
      </c>
      <c r="D1755" s="20" t="b">
        <f>IFERROR(__xludf.DUMMYFUNCTION("""COMPUTED_VALUE"""),FALSE)</f>
        <v>0</v>
      </c>
      <c r="E1755" s="20" t="str">
        <f>IFERROR(__xludf.DUMMYFUNCTION("""COMPUTED_VALUE"""),"Medium")</f>
        <v>Medium</v>
      </c>
      <c r="F1755" s="20">
        <f>IFERROR(__xludf.DUMMYFUNCTION("""COMPUTED_VALUE"""),410.0)</f>
        <v>410</v>
      </c>
      <c r="G1755" s="20">
        <f>IFERROR(__xludf.DUMMYFUNCTION("""COMPUTED_VALUE"""),60.0)</f>
        <v>60</v>
      </c>
      <c r="H1755" s="20" t="str">
        <f>IFERROR(__xludf.DUMMYFUNCTION("""COMPUTED_VALUE"""),"Algorithms")</f>
        <v>Algorithms</v>
      </c>
      <c r="I1755" s="20">
        <f>IFERROR(__xludf.DUMMYFUNCTION("""COMPUTED_VALUE"""),0.452)</f>
        <v>0.452</v>
      </c>
      <c r="J1755" s="20">
        <f>IFERROR(__xludf.DUMMYFUNCTION("""COMPUTED_VALUE"""),1754.0)</f>
        <v>1754</v>
      </c>
      <c r="K1755" s="20" t="b">
        <f>IFERROR(__xludf.DUMMYFUNCTION("""COMPUTED_VALUE"""),FALSE)</f>
        <v>0</v>
      </c>
      <c r="L1755" s="20" t="str">
        <f>IFERROR(__xludf.DUMMYFUNCTION("""COMPUTED_VALUE"""),"Two Pointers;String;Greedy;")</f>
        <v>Two Pointers;String;Greedy;</v>
      </c>
      <c r="M1755" s="20" t="b">
        <f>IFERROR(__xludf.DUMMYFUNCTION("""COMPUTED_VALUE"""),FALSE)</f>
        <v>0</v>
      </c>
      <c r="N1755" s="20" t="b">
        <f>IFERROR(__xludf.DUMMYFUNCTION("""COMPUTED_VALUE"""),FALSE)</f>
        <v>0</v>
      </c>
      <c r="O1755" s="20">
        <f>IFERROR(__xludf.DUMMYFUNCTION("""COMPUTED_VALUE"""),45.2441327218775)</f>
        <v>45.24413272</v>
      </c>
      <c r="P1755" s="20">
        <f>IFERROR(__xludf.DUMMYFUNCTION("""COMPUTED_VALUE"""),16771.0)</f>
        <v>16771</v>
      </c>
      <c r="Q1755" s="20">
        <f>IFERROR(__xludf.DUMMYFUNCTION("""COMPUTED_VALUE"""),37068.0)</f>
        <v>37068</v>
      </c>
    </row>
    <row r="1756">
      <c r="A1756" s="20">
        <f>IFERROR(__xludf.DUMMYFUNCTION("""COMPUTED_VALUE"""),1881.0)</f>
        <v>1881</v>
      </c>
      <c r="B1756" s="20" t="str">
        <f>IFERROR(__xludf.DUMMYFUNCTION("""COMPUTED_VALUE"""),"Closest Subsequence Sum")</f>
        <v>Closest Subsequence Sum</v>
      </c>
      <c r="C1756" s="20" t="str">
        <f>IFERROR(__xludf.DUMMYFUNCTION("""COMPUTED_VALUE"""),"closest-subsequence-sum")</f>
        <v>closest-subsequence-sum</v>
      </c>
      <c r="D1756" s="20" t="b">
        <f>IFERROR(__xludf.DUMMYFUNCTION("""COMPUTED_VALUE"""),FALSE)</f>
        <v>0</v>
      </c>
      <c r="E1756" s="20" t="str">
        <f>IFERROR(__xludf.DUMMYFUNCTION("""COMPUTED_VALUE"""),"Hard")</f>
        <v>Hard</v>
      </c>
      <c r="F1756" s="20">
        <f>IFERROR(__xludf.DUMMYFUNCTION("""COMPUTED_VALUE"""),614.0)</f>
        <v>614</v>
      </c>
      <c r="G1756" s="20">
        <f>IFERROR(__xludf.DUMMYFUNCTION("""COMPUTED_VALUE"""),60.0)</f>
        <v>60</v>
      </c>
      <c r="H1756" s="20" t="str">
        <f>IFERROR(__xludf.DUMMYFUNCTION("""COMPUTED_VALUE"""),"Algorithms")</f>
        <v>Algorithms</v>
      </c>
      <c r="I1756" s="20">
        <f>IFERROR(__xludf.DUMMYFUNCTION("""COMPUTED_VALUE"""),0.365)</f>
        <v>0.365</v>
      </c>
      <c r="J1756" s="20">
        <f>IFERROR(__xludf.DUMMYFUNCTION("""COMPUTED_VALUE"""),1755.0)</f>
        <v>1755</v>
      </c>
      <c r="K1756" s="20" t="b">
        <f>IFERROR(__xludf.DUMMYFUNCTION("""COMPUTED_VALUE"""),FALSE)</f>
        <v>0</v>
      </c>
      <c r="L1756" s="20" t="str">
        <f>IFERROR(__xludf.DUMMYFUNCTION("""COMPUTED_VALUE"""),"Array;Two Pointers;Dynamic Programming;Bit Manipulation;Bitmask;")</f>
        <v>Array;Two Pointers;Dynamic Programming;Bit Manipulation;Bitmask;</v>
      </c>
      <c r="M1756" s="20" t="b">
        <f>IFERROR(__xludf.DUMMYFUNCTION("""COMPUTED_VALUE"""),FALSE)</f>
        <v>0</v>
      </c>
      <c r="N1756" s="20" t="b">
        <f>IFERROR(__xludf.DUMMYFUNCTION("""COMPUTED_VALUE"""),FALSE)</f>
        <v>0</v>
      </c>
      <c r="O1756" s="20">
        <f>IFERROR(__xludf.DUMMYFUNCTION("""COMPUTED_VALUE"""),36.4807849550286)</f>
        <v>36.48078496</v>
      </c>
      <c r="P1756" s="20">
        <f>IFERROR(__xludf.DUMMYFUNCTION("""COMPUTED_VALUE"""),11153.0)</f>
        <v>11153</v>
      </c>
      <c r="Q1756" s="20">
        <f>IFERROR(__xludf.DUMMYFUNCTION("""COMPUTED_VALUE"""),30574.0)</f>
        <v>30574</v>
      </c>
    </row>
    <row r="1757">
      <c r="A1757" s="20">
        <f>IFERROR(__xludf.DUMMYFUNCTION("""COMPUTED_VALUE"""),1903.0)</f>
        <v>1903</v>
      </c>
      <c r="B1757" s="20" t="str">
        <f>IFERROR(__xludf.DUMMYFUNCTION("""COMPUTED_VALUE"""),"Design Most Recently Used Queue")</f>
        <v>Design Most Recently Used Queue</v>
      </c>
      <c r="C1757" s="20" t="str">
        <f>IFERROR(__xludf.DUMMYFUNCTION("""COMPUTED_VALUE"""),"design-most-recently-used-queue")</f>
        <v>design-most-recently-used-queue</v>
      </c>
      <c r="D1757" s="20" t="b">
        <f>IFERROR(__xludf.DUMMYFUNCTION("""COMPUTED_VALUE"""),TRUE)</f>
        <v>1</v>
      </c>
      <c r="E1757" s="20" t="str">
        <f>IFERROR(__xludf.DUMMYFUNCTION("""COMPUTED_VALUE"""),"Medium")</f>
        <v>Medium</v>
      </c>
      <c r="F1757" s="20">
        <f>IFERROR(__xludf.DUMMYFUNCTION("""COMPUTED_VALUE"""),208.0)</f>
        <v>208</v>
      </c>
      <c r="G1757" s="20">
        <f>IFERROR(__xludf.DUMMYFUNCTION("""COMPUTED_VALUE"""),15.0)</f>
        <v>15</v>
      </c>
      <c r="H1757" s="20" t="str">
        <f>IFERROR(__xludf.DUMMYFUNCTION("""COMPUTED_VALUE"""),"Algorithms")</f>
        <v>Algorithms</v>
      </c>
      <c r="I1757" s="20">
        <f>IFERROR(__xludf.DUMMYFUNCTION("""COMPUTED_VALUE"""),0.787)</f>
        <v>0.787</v>
      </c>
      <c r="J1757" s="20">
        <f>IFERROR(__xludf.DUMMYFUNCTION("""COMPUTED_VALUE"""),1756.0)</f>
        <v>1756</v>
      </c>
      <c r="K1757" s="20" t="b">
        <f>IFERROR(__xludf.DUMMYFUNCTION("""COMPUTED_VALUE"""),TRUE)</f>
        <v>1</v>
      </c>
      <c r="L1757" s="20" t="str">
        <f>IFERROR(__xludf.DUMMYFUNCTION("""COMPUTED_VALUE"""),"Array;Hash Table;Stack;Design;Binary Indexed Tree;Ordered Set;")</f>
        <v>Array;Hash Table;Stack;Design;Binary Indexed Tree;Ordered Set;</v>
      </c>
      <c r="M1757" s="20" t="b">
        <f>IFERROR(__xludf.DUMMYFUNCTION("""COMPUTED_VALUE"""),FALSE)</f>
        <v>0</v>
      </c>
      <c r="N1757" s="20" t="b">
        <f>IFERROR(__xludf.DUMMYFUNCTION("""COMPUTED_VALUE"""),FALSE)</f>
        <v>0</v>
      </c>
      <c r="O1757" s="20">
        <f>IFERROR(__xludf.DUMMYFUNCTION("""COMPUTED_VALUE"""),78.7120913745569)</f>
        <v>78.71209137</v>
      </c>
      <c r="P1757" s="20">
        <f>IFERROR(__xludf.DUMMYFUNCTION("""COMPUTED_VALUE"""),7994.0)</f>
        <v>7994</v>
      </c>
      <c r="Q1757" s="20">
        <f>IFERROR(__xludf.DUMMYFUNCTION("""COMPUTED_VALUE"""),10156.0)</f>
        <v>10156</v>
      </c>
    </row>
    <row r="1758">
      <c r="A1758" s="20">
        <f>IFERROR(__xludf.DUMMYFUNCTION("""COMPUTED_VALUE"""),1908.0)</f>
        <v>1908</v>
      </c>
      <c r="B1758" s="20" t="str">
        <f>IFERROR(__xludf.DUMMYFUNCTION("""COMPUTED_VALUE"""),"Recyclable and Low Fat Products")</f>
        <v>Recyclable and Low Fat Products</v>
      </c>
      <c r="C1758" s="20" t="str">
        <f>IFERROR(__xludf.DUMMYFUNCTION("""COMPUTED_VALUE"""),"recyclable-and-low-fat-products")</f>
        <v>recyclable-and-low-fat-products</v>
      </c>
      <c r="D1758" s="20" t="b">
        <f>IFERROR(__xludf.DUMMYFUNCTION("""COMPUTED_VALUE"""),FALSE)</f>
        <v>0</v>
      </c>
      <c r="E1758" s="20" t="str">
        <f>IFERROR(__xludf.DUMMYFUNCTION("""COMPUTED_VALUE"""),"Easy")</f>
        <v>Easy</v>
      </c>
      <c r="F1758" s="20">
        <f>IFERROR(__xludf.DUMMYFUNCTION("""COMPUTED_VALUE"""),708.0)</f>
        <v>708</v>
      </c>
      <c r="G1758" s="20">
        <f>IFERROR(__xludf.DUMMYFUNCTION("""COMPUTED_VALUE"""),69.0)</f>
        <v>69</v>
      </c>
      <c r="H1758" s="20" t="str">
        <f>IFERROR(__xludf.DUMMYFUNCTION("""COMPUTED_VALUE"""),"Database")</f>
        <v>Database</v>
      </c>
      <c r="I1758" s="20">
        <f>IFERROR(__xludf.DUMMYFUNCTION("""COMPUTED_VALUE"""),0.934)</f>
        <v>0.934</v>
      </c>
      <c r="J1758" s="20">
        <f>IFERROR(__xludf.DUMMYFUNCTION("""COMPUTED_VALUE"""),1757.0)</f>
        <v>1757</v>
      </c>
      <c r="K1758" s="20" t="b">
        <f>IFERROR(__xludf.DUMMYFUNCTION("""COMPUTED_VALUE"""),FALSE)</f>
        <v>0</v>
      </c>
      <c r="L1758" s="20" t="str">
        <f>IFERROR(__xludf.DUMMYFUNCTION("""COMPUTED_VALUE"""),"Database;")</f>
        <v>Database;</v>
      </c>
      <c r="M1758" s="20" t="b">
        <f>IFERROR(__xludf.DUMMYFUNCTION("""COMPUTED_VALUE"""),FALSE)</f>
        <v>0</v>
      </c>
      <c r="N1758" s="20" t="b">
        <f>IFERROR(__xludf.DUMMYFUNCTION("""COMPUTED_VALUE"""),FALSE)</f>
        <v>0</v>
      </c>
      <c r="O1758" s="20">
        <f>IFERROR(__xludf.DUMMYFUNCTION("""COMPUTED_VALUE"""),93.4249931935747)</f>
        <v>93.42499319</v>
      </c>
      <c r="P1758" s="20">
        <f>IFERROR(__xludf.DUMMYFUNCTION("""COMPUTED_VALUE"""),226468.0)</f>
        <v>226468</v>
      </c>
      <c r="Q1758" s="20">
        <f>IFERROR(__xludf.DUMMYFUNCTION("""COMPUTED_VALUE"""),242407.0)</f>
        <v>242407</v>
      </c>
    </row>
    <row r="1759">
      <c r="A1759" s="20">
        <f>IFERROR(__xludf.DUMMYFUNCTION("""COMPUTED_VALUE"""),1884.0)</f>
        <v>1884</v>
      </c>
      <c r="B1759" s="20" t="str">
        <f>IFERROR(__xludf.DUMMYFUNCTION("""COMPUTED_VALUE"""),"Minimum Changes To Make Alternating Binary String")</f>
        <v>Minimum Changes To Make Alternating Binary String</v>
      </c>
      <c r="C1759" s="20" t="str">
        <f>IFERROR(__xludf.DUMMYFUNCTION("""COMPUTED_VALUE"""),"minimum-changes-to-make-alternating-binary-string")</f>
        <v>minimum-changes-to-make-alternating-binary-string</v>
      </c>
      <c r="D1759" s="20" t="b">
        <f>IFERROR(__xludf.DUMMYFUNCTION("""COMPUTED_VALUE"""),FALSE)</f>
        <v>0</v>
      </c>
      <c r="E1759" s="20" t="str">
        <f>IFERROR(__xludf.DUMMYFUNCTION("""COMPUTED_VALUE"""),"Easy")</f>
        <v>Easy</v>
      </c>
      <c r="F1759" s="20">
        <f>IFERROR(__xludf.DUMMYFUNCTION("""COMPUTED_VALUE"""),477.0)</f>
        <v>477</v>
      </c>
      <c r="G1759" s="20">
        <f>IFERROR(__xludf.DUMMYFUNCTION("""COMPUTED_VALUE"""),16.0)</f>
        <v>16</v>
      </c>
      <c r="H1759" s="20" t="str">
        <f>IFERROR(__xludf.DUMMYFUNCTION("""COMPUTED_VALUE"""),"Algorithms")</f>
        <v>Algorithms</v>
      </c>
      <c r="I1759" s="20">
        <f>IFERROR(__xludf.DUMMYFUNCTION("""COMPUTED_VALUE"""),0.584)</f>
        <v>0.584</v>
      </c>
      <c r="J1759" s="20">
        <f>IFERROR(__xludf.DUMMYFUNCTION("""COMPUTED_VALUE"""),1758.0)</f>
        <v>1758</v>
      </c>
      <c r="K1759" s="20" t="b">
        <f>IFERROR(__xludf.DUMMYFUNCTION("""COMPUTED_VALUE"""),FALSE)</f>
        <v>0</v>
      </c>
      <c r="L1759" s="20" t="str">
        <f>IFERROR(__xludf.DUMMYFUNCTION("""COMPUTED_VALUE"""),"String;")</f>
        <v>String;</v>
      </c>
      <c r="M1759" s="20" t="b">
        <f>IFERROR(__xludf.DUMMYFUNCTION("""COMPUTED_VALUE"""),FALSE)</f>
        <v>0</v>
      </c>
      <c r="N1759" s="20" t="b">
        <f>IFERROR(__xludf.DUMMYFUNCTION("""COMPUTED_VALUE"""),FALSE)</f>
        <v>0</v>
      </c>
      <c r="O1759" s="20">
        <f>IFERROR(__xludf.DUMMYFUNCTION("""COMPUTED_VALUE"""),58.4029979821274)</f>
        <v>58.40299798</v>
      </c>
      <c r="P1759" s="20">
        <f>IFERROR(__xludf.DUMMYFUNCTION("""COMPUTED_VALUE"""),32416.0)</f>
        <v>32416</v>
      </c>
      <c r="Q1759" s="20">
        <f>IFERROR(__xludf.DUMMYFUNCTION("""COMPUTED_VALUE"""),55504.0)</f>
        <v>55504</v>
      </c>
    </row>
    <row r="1760">
      <c r="A1760" s="20">
        <f>IFERROR(__xludf.DUMMYFUNCTION("""COMPUTED_VALUE"""),1885.0)</f>
        <v>1885</v>
      </c>
      <c r="B1760" s="20" t="str">
        <f>IFERROR(__xludf.DUMMYFUNCTION("""COMPUTED_VALUE"""),"Count Number of Homogenous Substrings")</f>
        <v>Count Number of Homogenous Substrings</v>
      </c>
      <c r="C1760" s="20" t="str">
        <f>IFERROR(__xludf.DUMMYFUNCTION("""COMPUTED_VALUE"""),"count-number-of-homogenous-substrings")</f>
        <v>count-number-of-homogenous-substrings</v>
      </c>
      <c r="D1760" s="20" t="b">
        <f>IFERROR(__xludf.DUMMYFUNCTION("""COMPUTED_VALUE"""),FALSE)</f>
        <v>0</v>
      </c>
      <c r="E1760" s="20" t="str">
        <f>IFERROR(__xludf.DUMMYFUNCTION("""COMPUTED_VALUE"""),"Medium")</f>
        <v>Medium</v>
      </c>
      <c r="F1760" s="20">
        <f>IFERROR(__xludf.DUMMYFUNCTION("""COMPUTED_VALUE"""),532.0)</f>
        <v>532</v>
      </c>
      <c r="G1760" s="20">
        <f>IFERROR(__xludf.DUMMYFUNCTION("""COMPUTED_VALUE"""),42.0)</f>
        <v>42</v>
      </c>
      <c r="H1760" s="20" t="str">
        <f>IFERROR(__xludf.DUMMYFUNCTION("""COMPUTED_VALUE"""),"Algorithms")</f>
        <v>Algorithms</v>
      </c>
      <c r="I1760" s="20">
        <f>IFERROR(__xludf.DUMMYFUNCTION("""COMPUTED_VALUE"""),0.481)</f>
        <v>0.481</v>
      </c>
      <c r="J1760" s="20">
        <f>IFERROR(__xludf.DUMMYFUNCTION("""COMPUTED_VALUE"""),1759.0)</f>
        <v>1759</v>
      </c>
      <c r="K1760" s="20" t="b">
        <f>IFERROR(__xludf.DUMMYFUNCTION("""COMPUTED_VALUE"""),FALSE)</f>
        <v>0</v>
      </c>
      <c r="L1760" s="20" t="str">
        <f>IFERROR(__xludf.DUMMYFUNCTION("""COMPUTED_VALUE"""),"Math;String;")</f>
        <v>Math;String;</v>
      </c>
      <c r="M1760" s="20" t="b">
        <f>IFERROR(__xludf.DUMMYFUNCTION("""COMPUTED_VALUE"""),FALSE)</f>
        <v>0</v>
      </c>
      <c r="N1760" s="20" t="b">
        <f>IFERROR(__xludf.DUMMYFUNCTION("""COMPUTED_VALUE"""),FALSE)</f>
        <v>0</v>
      </c>
      <c r="O1760" s="20">
        <f>IFERROR(__xludf.DUMMYFUNCTION("""COMPUTED_VALUE"""),48.0754669358909)</f>
        <v>48.07546694</v>
      </c>
      <c r="P1760" s="20">
        <f>IFERROR(__xludf.DUMMYFUNCTION("""COMPUTED_VALUE"""),22857.0)</f>
        <v>22857</v>
      </c>
      <c r="Q1760" s="20">
        <f>IFERROR(__xludf.DUMMYFUNCTION("""COMPUTED_VALUE"""),47544.0)</f>
        <v>47544</v>
      </c>
    </row>
    <row r="1761">
      <c r="A1761" s="20">
        <f>IFERROR(__xludf.DUMMYFUNCTION("""COMPUTED_VALUE"""),1886.0)</f>
        <v>1886</v>
      </c>
      <c r="B1761" s="20" t="str">
        <f>IFERROR(__xludf.DUMMYFUNCTION("""COMPUTED_VALUE"""),"Minimum Limit of Balls in a Bag")</f>
        <v>Minimum Limit of Balls in a Bag</v>
      </c>
      <c r="C1761" s="20" t="str">
        <f>IFERROR(__xludf.DUMMYFUNCTION("""COMPUTED_VALUE"""),"minimum-limit-of-balls-in-a-bag")</f>
        <v>minimum-limit-of-balls-in-a-bag</v>
      </c>
      <c r="D1761" s="20" t="b">
        <f>IFERROR(__xludf.DUMMYFUNCTION("""COMPUTED_VALUE"""),FALSE)</f>
        <v>0</v>
      </c>
      <c r="E1761" s="20" t="str">
        <f>IFERROR(__xludf.DUMMYFUNCTION("""COMPUTED_VALUE"""),"Medium")</f>
        <v>Medium</v>
      </c>
      <c r="F1761" s="20">
        <f>IFERROR(__xludf.DUMMYFUNCTION("""COMPUTED_VALUE"""),1497.0)</f>
        <v>1497</v>
      </c>
      <c r="G1761" s="20">
        <f>IFERROR(__xludf.DUMMYFUNCTION("""COMPUTED_VALUE"""),40.0)</f>
        <v>40</v>
      </c>
      <c r="H1761" s="20" t="str">
        <f>IFERROR(__xludf.DUMMYFUNCTION("""COMPUTED_VALUE"""),"Algorithms")</f>
        <v>Algorithms</v>
      </c>
      <c r="I1761" s="20">
        <f>IFERROR(__xludf.DUMMYFUNCTION("""COMPUTED_VALUE"""),0.604)</f>
        <v>0.604</v>
      </c>
      <c r="J1761" s="20">
        <f>IFERROR(__xludf.DUMMYFUNCTION("""COMPUTED_VALUE"""),1760.0)</f>
        <v>1760</v>
      </c>
      <c r="K1761" s="20" t="b">
        <f>IFERROR(__xludf.DUMMYFUNCTION("""COMPUTED_VALUE"""),FALSE)</f>
        <v>0</v>
      </c>
      <c r="L1761" s="20" t="str">
        <f>IFERROR(__xludf.DUMMYFUNCTION("""COMPUTED_VALUE"""),"Array;Binary Search;")</f>
        <v>Array;Binary Search;</v>
      </c>
      <c r="M1761" s="20" t="b">
        <f>IFERROR(__xludf.DUMMYFUNCTION("""COMPUTED_VALUE"""),FALSE)</f>
        <v>0</v>
      </c>
      <c r="N1761" s="20" t="b">
        <f>IFERROR(__xludf.DUMMYFUNCTION("""COMPUTED_VALUE"""),FALSE)</f>
        <v>0</v>
      </c>
      <c r="O1761" s="20">
        <f>IFERROR(__xludf.DUMMYFUNCTION("""COMPUTED_VALUE"""),60.4409131602506)</f>
        <v>60.44091316</v>
      </c>
      <c r="P1761" s="20">
        <f>IFERROR(__xludf.DUMMYFUNCTION("""COMPUTED_VALUE"""),27005.0)</f>
        <v>27005</v>
      </c>
      <c r="Q1761" s="20">
        <f>IFERROR(__xludf.DUMMYFUNCTION("""COMPUTED_VALUE"""),44680.0)</f>
        <v>44680</v>
      </c>
    </row>
    <row r="1762">
      <c r="A1762" s="20">
        <f>IFERROR(__xludf.DUMMYFUNCTION("""COMPUTED_VALUE"""),1887.0)</f>
        <v>1887</v>
      </c>
      <c r="B1762" s="20" t="str">
        <f>IFERROR(__xludf.DUMMYFUNCTION("""COMPUTED_VALUE"""),"Minimum Degree of a Connected Trio in a Graph")</f>
        <v>Minimum Degree of a Connected Trio in a Graph</v>
      </c>
      <c r="C1762" s="20" t="str">
        <f>IFERROR(__xludf.DUMMYFUNCTION("""COMPUTED_VALUE"""),"minimum-degree-of-a-connected-trio-in-a-graph")</f>
        <v>minimum-degree-of-a-connected-trio-in-a-graph</v>
      </c>
      <c r="D1762" s="20" t="b">
        <f>IFERROR(__xludf.DUMMYFUNCTION("""COMPUTED_VALUE"""),FALSE)</f>
        <v>0</v>
      </c>
      <c r="E1762" s="20" t="str">
        <f>IFERROR(__xludf.DUMMYFUNCTION("""COMPUTED_VALUE"""),"Hard")</f>
        <v>Hard</v>
      </c>
      <c r="F1762" s="20">
        <f>IFERROR(__xludf.DUMMYFUNCTION("""COMPUTED_VALUE"""),260.0)</f>
        <v>260</v>
      </c>
      <c r="G1762" s="20">
        <f>IFERROR(__xludf.DUMMYFUNCTION("""COMPUTED_VALUE"""),260.0)</f>
        <v>260</v>
      </c>
      <c r="H1762" s="20" t="str">
        <f>IFERROR(__xludf.DUMMYFUNCTION("""COMPUTED_VALUE"""),"Algorithms")</f>
        <v>Algorithms</v>
      </c>
      <c r="I1762" s="20">
        <f>IFERROR(__xludf.DUMMYFUNCTION("""COMPUTED_VALUE"""),0.416)</f>
        <v>0.416</v>
      </c>
      <c r="J1762" s="20">
        <f>IFERROR(__xludf.DUMMYFUNCTION("""COMPUTED_VALUE"""),1761.0)</f>
        <v>1761</v>
      </c>
      <c r="K1762" s="20" t="b">
        <f>IFERROR(__xludf.DUMMYFUNCTION("""COMPUTED_VALUE"""),FALSE)</f>
        <v>0</v>
      </c>
      <c r="L1762" s="20" t="str">
        <f>IFERROR(__xludf.DUMMYFUNCTION("""COMPUTED_VALUE"""),"Graph;")</f>
        <v>Graph;</v>
      </c>
      <c r="M1762" s="20" t="b">
        <f>IFERROR(__xludf.DUMMYFUNCTION("""COMPUTED_VALUE"""),FALSE)</f>
        <v>0</v>
      </c>
      <c r="N1762" s="20" t="b">
        <f>IFERROR(__xludf.DUMMYFUNCTION("""COMPUTED_VALUE"""),FALSE)</f>
        <v>0</v>
      </c>
      <c r="O1762" s="20">
        <f>IFERROR(__xludf.DUMMYFUNCTION("""COMPUTED_VALUE"""),41.5727616867682)</f>
        <v>41.57276169</v>
      </c>
      <c r="P1762" s="20">
        <f>IFERROR(__xludf.DUMMYFUNCTION("""COMPUTED_VALUE"""),18889.0)</f>
        <v>18889</v>
      </c>
      <c r="Q1762" s="20">
        <f>IFERROR(__xludf.DUMMYFUNCTION("""COMPUTED_VALUE"""),45436.0)</f>
        <v>45436</v>
      </c>
    </row>
    <row r="1763">
      <c r="A1763" s="20">
        <f>IFERROR(__xludf.DUMMYFUNCTION("""COMPUTED_VALUE"""),1909.0)</f>
        <v>1909</v>
      </c>
      <c r="B1763" s="20" t="str">
        <f>IFERROR(__xludf.DUMMYFUNCTION("""COMPUTED_VALUE"""),"Buildings With an Ocean View")</f>
        <v>Buildings With an Ocean View</v>
      </c>
      <c r="C1763" s="20" t="str">
        <f>IFERROR(__xludf.DUMMYFUNCTION("""COMPUTED_VALUE"""),"buildings-with-an-ocean-view")</f>
        <v>buildings-with-an-ocean-view</v>
      </c>
      <c r="D1763" s="20" t="b">
        <f>IFERROR(__xludf.DUMMYFUNCTION("""COMPUTED_VALUE"""),TRUE)</f>
        <v>1</v>
      </c>
      <c r="E1763" s="20" t="str">
        <f>IFERROR(__xludf.DUMMYFUNCTION("""COMPUTED_VALUE"""),"Medium")</f>
        <v>Medium</v>
      </c>
      <c r="F1763" s="20">
        <f>IFERROR(__xludf.DUMMYFUNCTION("""COMPUTED_VALUE"""),974.0)</f>
        <v>974</v>
      </c>
      <c r="G1763" s="20">
        <f>IFERROR(__xludf.DUMMYFUNCTION("""COMPUTED_VALUE"""),127.0)</f>
        <v>127</v>
      </c>
      <c r="H1763" s="20" t="str">
        <f>IFERROR(__xludf.DUMMYFUNCTION("""COMPUTED_VALUE"""),"Algorithms")</f>
        <v>Algorithms</v>
      </c>
      <c r="I1763" s="20">
        <f>IFERROR(__xludf.DUMMYFUNCTION("""COMPUTED_VALUE"""),0.792)</f>
        <v>0.792</v>
      </c>
      <c r="J1763" s="20">
        <f>IFERROR(__xludf.DUMMYFUNCTION("""COMPUTED_VALUE"""),1762.0)</f>
        <v>1762</v>
      </c>
      <c r="K1763" s="20" t="b">
        <f>IFERROR(__xludf.DUMMYFUNCTION("""COMPUTED_VALUE"""),TRUE)</f>
        <v>1</v>
      </c>
      <c r="L1763" s="20" t="str">
        <f>IFERROR(__xludf.DUMMYFUNCTION("""COMPUTED_VALUE"""),"Array;Stack;Monotonic Stack;")</f>
        <v>Array;Stack;Monotonic Stack;</v>
      </c>
      <c r="M1763" s="20" t="b">
        <f>IFERROR(__xludf.DUMMYFUNCTION("""COMPUTED_VALUE"""),TRUE)</f>
        <v>1</v>
      </c>
      <c r="N1763" s="20" t="b">
        <f>IFERROR(__xludf.DUMMYFUNCTION("""COMPUTED_VALUE"""),FALSE)</f>
        <v>0</v>
      </c>
      <c r="O1763" s="20">
        <f>IFERROR(__xludf.DUMMYFUNCTION("""COMPUTED_VALUE"""),79.2319526283707)</f>
        <v>79.23195263</v>
      </c>
      <c r="P1763" s="20">
        <f>IFERROR(__xludf.DUMMYFUNCTION("""COMPUTED_VALUE"""),136480.0)</f>
        <v>136480</v>
      </c>
      <c r="Q1763" s="20">
        <f>IFERROR(__xludf.DUMMYFUNCTION("""COMPUTED_VALUE"""),172254.0)</f>
        <v>172254</v>
      </c>
    </row>
    <row r="1764">
      <c r="A1764" s="20">
        <f>IFERROR(__xludf.DUMMYFUNCTION("""COMPUTED_VALUE"""),1873.0)</f>
        <v>1873</v>
      </c>
      <c r="B1764" s="20" t="str">
        <f>IFERROR(__xludf.DUMMYFUNCTION("""COMPUTED_VALUE"""),"Longest Nice Substring")</f>
        <v>Longest Nice Substring</v>
      </c>
      <c r="C1764" s="20" t="str">
        <f>IFERROR(__xludf.DUMMYFUNCTION("""COMPUTED_VALUE"""),"longest-nice-substring")</f>
        <v>longest-nice-substring</v>
      </c>
      <c r="D1764" s="20" t="b">
        <f>IFERROR(__xludf.DUMMYFUNCTION("""COMPUTED_VALUE"""),FALSE)</f>
        <v>0</v>
      </c>
      <c r="E1764" s="20" t="str">
        <f>IFERROR(__xludf.DUMMYFUNCTION("""COMPUTED_VALUE"""),"Easy")</f>
        <v>Easy</v>
      </c>
      <c r="F1764" s="20">
        <f>IFERROR(__xludf.DUMMYFUNCTION("""COMPUTED_VALUE"""),886.0)</f>
        <v>886</v>
      </c>
      <c r="G1764" s="20">
        <f>IFERROR(__xludf.DUMMYFUNCTION("""COMPUTED_VALUE"""),629.0)</f>
        <v>629</v>
      </c>
      <c r="H1764" s="20" t="str">
        <f>IFERROR(__xludf.DUMMYFUNCTION("""COMPUTED_VALUE"""),"Algorithms")</f>
        <v>Algorithms</v>
      </c>
      <c r="I1764" s="20">
        <f>IFERROR(__xludf.DUMMYFUNCTION("""COMPUTED_VALUE"""),0.615)</f>
        <v>0.615</v>
      </c>
      <c r="J1764" s="20">
        <f>IFERROR(__xludf.DUMMYFUNCTION("""COMPUTED_VALUE"""),1763.0)</f>
        <v>1763</v>
      </c>
      <c r="K1764" s="20" t="b">
        <f>IFERROR(__xludf.DUMMYFUNCTION("""COMPUTED_VALUE"""),FALSE)</f>
        <v>0</v>
      </c>
      <c r="L1764" s="20" t="str">
        <f>IFERROR(__xludf.DUMMYFUNCTION("""COMPUTED_VALUE"""),"Hash Table;String;Divide and Conquer;Bit Manipulation;Sliding Window;")</f>
        <v>Hash Table;String;Divide and Conquer;Bit Manipulation;Sliding Window;</v>
      </c>
      <c r="M1764" s="20" t="b">
        <f>IFERROR(__xludf.DUMMYFUNCTION("""COMPUTED_VALUE"""),FALSE)</f>
        <v>0</v>
      </c>
      <c r="N1764" s="20" t="b">
        <f>IFERROR(__xludf.DUMMYFUNCTION("""COMPUTED_VALUE"""),FALSE)</f>
        <v>0</v>
      </c>
      <c r="O1764" s="20">
        <f>IFERROR(__xludf.DUMMYFUNCTION("""COMPUTED_VALUE"""),61.5034378513889)</f>
        <v>61.50343785</v>
      </c>
      <c r="P1764" s="20">
        <f>IFERROR(__xludf.DUMMYFUNCTION("""COMPUTED_VALUE"""),33365.0)</f>
        <v>33365</v>
      </c>
      <c r="Q1764" s="20">
        <f>IFERROR(__xludf.DUMMYFUNCTION("""COMPUTED_VALUE"""),54249.0)</f>
        <v>54249</v>
      </c>
    </row>
    <row r="1765">
      <c r="A1765" s="20">
        <f>IFERROR(__xludf.DUMMYFUNCTION("""COMPUTED_VALUE"""),1874.0)</f>
        <v>1874</v>
      </c>
      <c r="B1765" s="20" t="str">
        <f>IFERROR(__xludf.DUMMYFUNCTION("""COMPUTED_VALUE"""),"Form Array by Concatenating Subarrays of Another Array")</f>
        <v>Form Array by Concatenating Subarrays of Another Array</v>
      </c>
      <c r="C1765" s="20" t="str">
        <f>IFERROR(__xludf.DUMMYFUNCTION("""COMPUTED_VALUE"""),"form-array-by-concatenating-subarrays-of-another-array")</f>
        <v>form-array-by-concatenating-subarrays-of-another-array</v>
      </c>
      <c r="D1765" s="20" t="b">
        <f>IFERROR(__xludf.DUMMYFUNCTION("""COMPUTED_VALUE"""),FALSE)</f>
        <v>0</v>
      </c>
      <c r="E1765" s="20" t="str">
        <f>IFERROR(__xludf.DUMMYFUNCTION("""COMPUTED_VALUE"""),"Medium")</f>
        <v>Medium</v>
      </c>
      <c r="F1765" s="20">
        <f>IFERROR(__xludf.DUMMYFUNCTION("""COMPUTED_VALUE"""),256.0)</f>
        <v>256</v>
      </c>
      <c r="G1765" s="20">
        <f>IFERROR(__xludf.DUMMYFUNCTION("""COMPUTED_VALUE"""),33.0)</f>
        <v>33</v>
      </c>
      <c r="H1765" s="20" t="str">
        <f>IFERROR(__xludf.DUMMYFUNCTION("""COMPUTED_VALUE"""),"Algorithms")</f>
        <v>Algorithms</v>
      </c>
      <c r="I1765" s="20">
        <f>IFERROR(__xludf.DUMMYFUNCTION("""COMPUTED_VALUE"""),0.528)</f>
        <v>0.528</v>
      </c>
      <c r="J1765" s="20">
        <f>IFERROR(__xludf.DUMMYFUNCTION("""COMPUTED_VALUE"""),1764.0)</f>
        <v>1764</v>
      </c>
      <c r="K1765" s="20" t="b">
        <f>IFERROR(__xludf.DUMMYFUNCTION("""COMPUTED_VALUE"""),FALSE)</f>
        <v>0</v>
      </c>
      <c r="L1765" s="20" t="str">
        <f>IFERROR(__xludf.DUMMYFUNCTION("""COMPUTED_VALUE"""),"Array;Greedy;String Matching;")</f>
        <v>Array;Greedy;String Matching;</v>
      </c>
      <c r="M1765" s="20" t="b">
        <f>IFERROR(__xludf.DUMMYFUNCTION("""COMPUTED_VALUE"""),FALSE)</f>
        <v>0</v>
      </c>
      <c r="N1765" s="20" t="b">
        <f>IFERROR(__xludf.DUMMYFUNCTION("""COMPUTED_VALUE"""),FALSE)</f>
        <v>0</v>
      </c>
      <c r="O1765" s="20">
        <f>IFERROR(__xludf.DUMMYFUNCTION("""COMPUTED_VALUE"""),52.8221745413145)</f>
        <v>52.82217454</v>
      </c>
      <c r="P1765" s="20">
        <f>IFERROR(__xludf.DUMMYFUNCTION("""COMPUTED_VALUE"""),12063.0)</f>
        <v>12063</v>
      </c>
      <c r="Q1765" s="20">
        <f>IFERROR(__xludf.DUMMYFUNCTION("""COMPUTED_VALUE"""),22837.0)</f>
        <v>22837</v>
      </c>
    </row>
    <row r="1766">
      <c r="A1766" s="20">
        <f>IFERROR(__xludf.DUMMYFUNCTION("""COMPUTED_VALUE"""),1876.0)</f>
        <v>1876</v>
      </c>
      <c r="B1766" s="20" t="str">
        <f>IFERROR(__xludf.DUMMYFUNCTION("""COMPUTED_VALUE"""),"Map of Highest Peak")</f>
        <v>Map of Highest Peak</v>
      </c>
      <c r="C1766" s="20" t="str">
        <f>IFERROR(__xludf.DUMMYFUNCTION("""COMPUTED_VALUE"""),"map-of-highest-peak")</f>
        <v>map-of-highest-peak</v>
      </c>
      <c r="D1766" s="20" t="b">
        <f>IFERROR(__xludf.DUMMYFUNCTION("""COMPUTED_VALUE"""),FALSE)</f>
        <v>0</v>
      </c>
      <c r="E1766" s="20" t="str">
        <f>IFERROR(__xludf.DUMMYFUNCTION("""COMPUTED_VALUE"""),"Medium")</f>
        <v>Medium</v>
      </c>
      <c r="F1766" s="20">
        <f>IFERROR(__xludf.DUMMYFUNCTION("""COMPUTED_VALUE"""),639.0)</f>
        <v>639</v>
      </c>
      <c r="G1766" s="20">
        <f>IFERROR(__xludf.DUMMYFUNCTION("""COMPUTED_VALUE"""),43.0)</f>
        <v>43</v>
      </c>
      <c r="H1766" s="20" t="str">
        <f>IFERROR(__xludf.DUMMYFUNCTION("""COMPUTED_VALUE"""),"Algorithms")</f>
        <v>Algorithms</v>
      </c>
      <c r="I1766" s="20">
        <f>IFERROR(__xludf.DUMMYFUNCTION("""COMPUTED_VALUE"""),0.603)</f>
        <v>0.603</v>
      </c>
      <c r="J1766" s="20">
        <f>IFERROR(__xludf.DUMMYFUNCTION("""COMPUTED_VALUE"""),1765.0)</f>
        <v>1765</v>
      </c>
      <c r="K1766" s="20" t="b">
        <f>IFERROR(__xludf.DUMMYFUNCTION("""COMPUTED_VALUE"""),FALSE)</f>
        <v>0</v>
      </c>
      <c r="L1766" s="20" t="str">
        <f>IFERROR(__xludf.DUMMYFUNCTION("""COMPUTED_VALUE"""),"Array;Breadth-First Search;Matrix;")</f>
        <v>Array;Breadth-First Search;Matrix;</v>
      </c>
      <c r="M1766" s="20" t="b">
        <f>IFERROR(__xludf.DUMMYFUNCTION("""COMPUTED_VALUE"""),FALSE)</f>
        <v>0</v>
      </c>
      <c r="N1766" s="20" t="b">
        <f>IFERROR(__xludf.DUMMYFUNCTION("""COMPUTED_VALUE"""),FALSE)</f>
        <v>0</v>
      </c>
      <c r="O1766" s="20">
        <f>IFERROR(__xludf.DUMMYFUNCTION("""COMPUTED_VALUE"""),60.3185257505491)</f>
        <v>60.31852575</v>
      </c>
      <c r="P1766" s="20">
        <f>IFERROR(__xludf.DUMMYFUNCTION("""COMPUTED_VALUE"""),19770.0)</f>
        <v>19770</v>
      </c>
      <c r="Q1766" s="20">
        <f>IFERROR(__xludf.DUMMYFUNCTION("""COMPUTED_VALUE"""),32776.0)</f>
        <v>32776</v>
      </c>
    </row>
    <row r="1767">
      <c r="A1767" s="20">
        <f>IFERROR(__xludf.DUMMYFUNCTION("""COMPUTED_VALUE"""),1875.0)</f>
        <v>1875</v>
      </c>
      <c r="B1767" s="20" t="str">
        <f>IFERROR(__xludf.DUMMYFUNCTION("""COMPUTED_VALUE"""),"Tree of Coprimes")</f>
        <v>Tree of Coprimes</v>
      </c>
      <c r="C1767" s="20" t="str">
        <f>IFERROR(__xludf.DUMMYFUNCTION("""COMPUTED_VALUE"""),"tree-of-coprimes")</f>
        <v>tree-of-coprimes</v>
      </c>
      <c r="D1767" s="20" t="b">
        <f>IFERROR(__xludf.DUMMYFUNCTION("""COMPUTED_VALUE"""),FALSE)</f>
        <v>0</v>
      </c>
      <c r="E1767" s="20" t="str">
        <f>IFERROR(__xludf.DUMMYFUNCTION("""COMPUTED_VALUE"""),"Hard")</f>
        <v>Hard</v>
      </c>
      <c r="F1767" s="20">
        <f>IFERROR(__xludf.DUMMYFUNCTION("""COMPUTED_VALUE"""),325.0)</f>
        <v>325</v>
      </c>
      <c r="G1767" s="20">
        <f>IFERROR(__xludf.DUMMYFUNCTION("""COMPUTED_VALUE"""),23.0)</f>
        <v>23</v>
      </c>
      <c r="H1767" s="20" t="str">
        <f>IFERROR(__xludf.DUMMYFUNCTION("""COMPUTED_VALUE"""),"Algorithms")</f>
        <v>Algorithms</v>
      </c>
      <c r="I1767" s="20">
        <f>IFERROR(__xludf.DUMMYFUNCTION("""COMPUTED_VALUE"""),0.392)</f>
        <v>0.392</v>
      </c>
      <c r="J1767" s="20">
        <f>IFERROR(__xludf.DUMMYFUNCTION("""COMPUTED_VALUE"""),1766.0)</f>
        <v>1766</v>
      </c>
      <c r="K1767" s="20" t="b">
        <f>IFERROR(__xludf.DUMMYFUNCTION("""COMPUTED_VALUE"""),FALSE)</f>
        <v>0</v>
      </c>
      <c r="L1767" s="20" t="str">
        <f>IFERROR(__xludf.DUMMYFUNCTION("""COMPUTED_VALUE"""),"Math;Tree;Depth-First Search;Breadth-First Search;")</f>
        <v>Math;Tree;Depth-First Search;Breadth-First Search;</v>
      </c>
      <c r="M1767" s="20" t="b">
        <f>IFERROR(__xludf.DUMMYFUNCTION("""COMPUTED_VALUE"""),FALSE)</f>
        <v>0</v>
      </c>
      <c r="N1767" s="20" t="b">
        <f>IFERROR(__xludf.DUMMYFUNCTION("""COMPUTED_VALUE"""),FALSE)</f>
        <v>0</v>
      </c>
      <c r="O1767" s="20">
        <f>IFERROR(__xludf.DUMMYFUNCTION("""COMPUTED_VALUE"""),39.2373646209386)</f>
        <v>39.23736462</v>
      </c>
      <c r="P1767" s="20">
        <f>IFERROR(__xludf.DUMMYFUNCTION("""COMPUTED_VALUE"""),6956.0)</f>
        <v>6956</v>
      </c>
      <c r="Q1767" s="20">
        <f>IFERROR(__xludf.DUMMYFUNCTION("""COMPUTED_VALUE"""),17728.0)</f>
        <v>17728</v>
      </c>
    </row>
    <row r="1768">
      <c r="A1768" s="20">
        <f>IFERROR(__xludf.DUMMYFUNCTION("""COMPUTED_VALUE"""),1914.0)</f>
        <v>1914</v>
      </c>
      <c r="B1768" s="20" t="str">
        <f>IFERROR(__xludf.DUMMYFUNCTION("""COMPUTED_VALUE"""),"Find the Subtasks That Did Not Execute")</f>
        <v>Find the Subtasks That Did Not Execute</v>
      </c>
      <c r="C1768" s="20" t="str">
        <f>IFERROR(__xludf.DUMMYFUNCTION("""COMPUTED_VALUE"""),"find-the-subtasks-that-did-not-execute")</f>
        <v>find-the-subtasks-that-did-not-execute</v>
      </c>
      <c r="D1768" s="20" t="b">
        <f>IFERROR(__xludf.DUMMYFUNCTION("""COMPUTED_VALUE"""),TRUE)</f>
        <v>1</v>
      </c>
      <c r="E1768" s="20" t="str">
        <f>IFERROR(__xludf.DUMMYFUNCTION("""COMPUTED_VALUE"""),"Hard")</f>
        <v>Hard</v>
      </c>
      <c r="F1768" s="20">
        <f>IFERROR(__xludf.DUMMYFUNCTION("""COMPUTED_VALUE"""),117.0)</f>
        <v>117</v>
      </c>
      <c r="G1768" s="20">
        <f>IFERROR(__xludf.DUMMYFUNCTION("""COMPUTED_VALUE"""),11.0)</f>
        <v>11</v>
      </c>
      <c r="H1768" s="20" t="str">
        <f>IFERROR(__xludf.DUMMYFUNCTION("""COMPUTED_VALUE"""),"Database")</f>
        <v>Database</v>
      </c>
      <c r="I1768" s="20">
        <f>IFERROR(__xludf.DUMMYFUNCTION("""COMPUTED_VALUE"""),0.843)</f>
        <v>0.843</v>
      </c>
      <c r="J1768" s="20">
        <f>IFERROR(__xludf.DUMMYFUNCTION("""COMPUTED_VALUE"""),1767.0)</f>
        <v>1767</v>
      </c>
      <c r="K1768" s="20" t="b">
        <f>IFERROR(__xludf.DUMMYFUNCTION("""COMPUTED_VALUE"""),TRUE)</f>
        <v>1</v>
      </c>
      <c r="L1768" s="20" t="str">
        <f>IFERROR(__xludf.DUMMYFUNCTION("""COMPUTED_VALUE"""),"Database;")</f>
        <v>Database;</v>
      </c>
      <c r="M1768" s="20" t="b">
        <f>IFERROR(__xludf.DUMMYFUNCTION("""COMPUTED_VALUE"""),FALSE)</f>
        <v>0</v>
      </c>
      <c r="N1768" s="20" t="b">
        <f>IFERROR(__xludf.DUMMYFUNCTION("""COMPUTED_VALUE"""),FALSE)</f>
        <v>0</v>
      </c>
      <c r="O1768" s="20">
        <f>IFERROR(__xludf.DUMMYFUNCTION("""COMPUTED_VALUE"""),84.3181547972892)</f>
        <v>84.3181548</v>
      </c>
      <c r="P1768" s="20">
        <f>IFERROR(__xludf.DUMMYFUNCTION("""COMPUTED_VALUE"""),7092.0)</f>
        <v>7092</v>
      </c>
      <c r="Q1768" s="20">
        <f>IFERROR(__xludf.DUMMYFUNCTION("""COMPUTED_VALUE"""),8411.0)</f>
        <v>8411</v>
      </c>
    </row>
    <row r="1769">
      <c r="A1769" s="20">
        <f>IFERROR(__xludf.DUMMYFUNCTION("""COMPUTED_VALUE"""),1894.0)</f>
        <v>1894</v>
      </c>
      <c r="B1769" s="20" t="str">
        <f>IFERROR(__xludf.DUMMYFUNCTION("""COMPUTED_VALUE"""),"Merge Strings Alternately")</f>
        <v>Merge Strings Alternately</v>
      </c>
      <c r="C1769" s="20" t="str">
        <f>IFERROR(__xludf.DUMMYFUNCTION("""COMPUTED_VALUE"""),"merge-strings-alternately")</f>
        <v>merge-strings-alternately</v>
      </c>
      <c r="D1769" s="20" t="b">
        <f>IFERROR(__xludf.DUMMYFUNCTION("""COMPUTED_VALUE"""),FALSE)</f>
        <v>0</v>
      </c>
      <c r="E1769" s="20" t="str">
        <f>IFERROR(__xludf.DUMMYFUNCTION("""COMPUTED_VALUE"""),"Easy")</f>
        <v>Easy</v>
      </c>
      <c r="F1769" s="20">
        <f>IFERROR(__xludf.DUMMYFUNCTION("""COMPUTED_VALUE"""),850.0)</f>
        <v>850</v>
      </c>
      <c r="G1769" s="20">
        <f>IFERROR(__xludf.DUMMYFUNCTION("""COMPUTED_VALUE"""),16.0)</f>
        <v>16</v>
      </c>
      <c r="H1769" s="20" t="str">
        <f>IFERROR(__xludf.DUMMYFUNCTION("""COMPUTED_VALUE"""),"Algorithms")</f>
        <v>Algorithms</v>
      </c>
      <c r="I1769" s="20">
        <f>IFERROR(__xludf.DUMMYFUNCTION("""COMPUTED_VALUE"""),0.764)</f>
        <v>0.764</v>
      </c>
      <c r="J1769" s="20">
        <f>IFERROR(__xludf.DUMMYFUNCTION("""COMPUTED_VALUE"""),1768.0)</f>
        <v>1768</v>
      </c>
      <c r="K1769" s="20" t="b">
        <f>IFERROR(__xludf.DUMMYFUNCTION("""COMPUTED_VALUE"""),FALSE)</f>
        <v>0</v>
      </c>
      <c r="L1769" s="20" t="str">
        <f>IFERROR(__xludf.DUMMYFUNCTION("""COMPUTED_VALUE"""),"Two Pointers;String;")</f>
        <v>Two Pointers;String;</v>
      </c>
      <c r="M1769" s="20" t="b">
        <f>IFERROR(__xludf.DUMMYFUNCTION("""COMPUTED_VALUE"""),FALSE)</f>
        <v>0</v>
      </c>
      <c r="N1769" s="20" t="b">
        <f>IFERROR(__xludf.DUMMYFUNCTION("""COMPUTED_VALUE"""),FALSE)</f>
        <v>0</v>
      </c>
      <c r="O1769" s="20">
        <f>IFERROR(__xludf.DUMMYFUNCTION("""COMPUTED_VALUE"""),76.385360467517)</f>
        <v>76.38536047</v>
      </c>
      <c r="P1769" s="20">
        <f>IFERROR(__xludf.DUMMYFUNCTION("""COMPUTED_VALUE"""),85091.0)</f>
        <v>85091</v>
      </c>
      <c r="Q1769" s="20">
        <f>IFERROR(__xludf.DUMMYFUNCTION("""COMPUTED_VALUE"""),111397.0)</f>
        <v>111397</v>
      </c>
    </row>
    <row r="1770">
      <c r="A1770" s="20">
        <f>IFERROR(__xludf.DUMMYFUNCTION("""COMPUTED_VALUE"""),1895.0)</f>
        <v>1895</v>
      </c>
      <c r="B1770" s="20" t="str">
        <f>IFERROR(__xludf.DUMMYFUNCTION("""COMPUTED_VALUE"""),"Minimum Number of Operations to Move All Balls to Each Box")</f>
        <v>Minimum Number of Operations to Move All Balls to Each Box</v>
      </c>
      <c r="C1770" s="20" t="str">
        <f>IFERROR(__xludf.DUMMYFUNCTION("""COMPUTED_VALUE"""),"minimum-number-of-operations-to-move-all-balls-to-each-box")</f>
        <v>minimum-number-of-operations-to-move-all-balls-to-each-box</v>
      </c>
      <c r="D1770" s="20" t="b">
        <f>IFERROR(__xludf.DUMMYFUNCTION("""COMPUTED_VALUE"""),FALSE)</f>
        <v>0</v>
      </c>
      <c r="E1770" s="20" t="str">
        <f>IFERROR(__xludf.DUMMYFUNCTION("""COMPUTED_VALUE"""),"Medium")</f>
        <v>Medium</v>
      </c>
      <c r="F1770" s="20">
        <f>IFERROR(__xludf.DUMMYFUNCTION("""COMPUTED_VALUE"""),1765.0)</f>
        <v>1765</v>
      </c>
      <c r="G1770" s="20">
        <f>IFERROR(__xludf.DUMMYFUNCTION("""COMPUTED_VALUE"""),66.0)</f>
        <v>66</v>
      </c>
      <c r="H1770" s="20" t="str">
        <f>IFERROR(__xludf.DUMMYFUNCTION("""COMPUTED_VALUE"""),"Algorithms")</f>
        <v>Algorithms</v>
      </c>
      <c r="I1770" s="20">
        <f>IFERROR(__xludf.DUMMYFUNCTION("""COMPUTED_VALUE"""),0.852)</f>
        <v>0.852</v>
      </c>
      <c r="J1770" s="20">
        <f>IFERROR(__xludf.DUMMYFUNCTION("""COMPUTED_VALUE"""),1769.0)</f>
        <v>1769</v>
      </c>
      <c r="K1770" s="20" t="b">
        <f>IFERROR(__xludf.DUMMYFUNCTION("""COMPUTED_VALUE"""),FALSE)</f>
        <v>0</v>
      </c>
      <c r="L1770" s="20" t="str">
        <f>IFERROR(__xludf.DUMMYFUNCTION("""COMPUTED_VALUE"""),"Array;String;")</f>
        <v>Array;String;</v>
      </c>
      <c r="M1770" s="20" t="b">
        <f>IFERROR(__xludf.DUMMYFUNCTION("""COMPUTED_VALUE"""),FALSE)</f>
        <v>0</v>
      </c>
      <c r="N1770" s="20" t="b">
        <f>IFERROR(__xludf.DUMMYFUNCTION("""COMPUTED_VALUE"""),FALSE)</f>
        <v>0</v>
      </c>
      <c r="O1770" s="20">
        <f>IFERROR(__xludf.DUMMYFUNCTION("""COMPUTED_VALUE"""),85.1946259317198)</f>
        <v>85.19462593</v>
      </c>
      <c r="P1770" s="20">
        <f>IFERROR(__xludf.DUMMYFUNCTION("""COMPUTED_VALUE"""),92581.0)</f>
        <v>92581</v>
      </c>
      <c r="Q1770" s="20">
        <f>IFERROR(__xludf.DUMMYFUNCTION("""COMPUTED_VALUE"""),108670.0)</f>
        <v>108670</v>
      </c>
    </row>
    <row r="1771">
      <c r="A1771" s="20">
        <f>IFERROR(__xludf.DUMMYFUNCTION("""COMPUTED_VALUE"""),1896.0)</f>
        <v>1896</v>
      </c>
      <c r="B1771" s="20" t="str">
        <f>IFERROR(__xludf.DUMMYFUNCTION("""COMPUTED_VALUE"""),"Maximum Score from Performing Multiplication Operations")</f>
        <v>Maximum Score from Performing Multiplication Operations</v>
      </c>
      <c r="C1771" s="20" t="str">
        <f>IFERROR(__xludf.DUMMYFUNCTION("""COMPUTED_VALUE"""),"maximum-score-from-performing-multiplication-operations")</f>
        <v>maximum-score-from-performing-multiplication-operations</v>
      </c>
      <c r="D1771" s="20" t="b">
        <f>IFERROR(__xludf.DUMMYFUNCTION("""COMPUTED_VALUE"""),FALSE)</f>
        <v>0</v>
      </c>
      <c r="E1771" s="20" t="str">
        <f>IFERROR(__xludf.DUMMYFUNCTION("""COMPUTED_VALUE"""),"Hard")</f>
        <v>Hard</v>
      </c>
      <c r="F1771" s="20">
        <f>IFERROR(__xludf.DUMMYFUNCTION("""COMPUTED_VALUE"""),2274.0)</f>
        <v>2274</v>
      </c>
      <c r="G1771" s="20">
        <f>IFERROR(__xludf.DUMMYFUNCTION("""COMPUTED_VALUE"""),505.0)</f>
        <v>505</v>
      </c>
      <c r="H1771" s="20" t="str">
        <f>IFERROR(__xludf.DUMMYFUNCTION("""COMPUTED_VALUE"""),"Algorithms")</f>
        <v>Algorithms</v>
      </c>
      <c r="I1771" s="20">
        <f>IFERROR(__xludf.DUMMYFUNCTION("""COMPUTED_VALUE"""),0.368)</f>
        <v>0.368</v>
      </c>
      <c r="J1771" s="20">
        <f>IFERROR(__xludf.DUMMYFUNCTION("""COMPUTED_VALUE"""),1770.0)</f>
        <v>1770</v>
      </c>
      <c r="K1771" s="20" t="b">
        <f>IFERROR(__xludf.DUMMYFUNCTION("""COMPUTED_VALUE"""),FALSE)</f>
        <v>0</v>
      </c>
      <c r="L1771" s="20" t="str">
        <f>IFERROR(__xludf.DUMMYFUNCTION("""COMPUTED_VALUE"""),"Array;Dynamic Programming;")</f>
        <v>Array;Dynamic Programming;</v>
      </c>
      <c r="M1771" s="20" t="b">
        <f>IFERROR(__xludf.DUMMYFUNCTION("""COMPUTED_VALUE"""),TRUE)</f>
        <v>1</v>
      </c>
      <c r="N1771" s="20" t="b">
        <f>IFERROR(__xludf.DUMMYFUNCTION("""COMPUTED_VALUE"""),FALSE)</f>
        <v>0</v>
      </c>
      <c r="O1771" s="20">
        <f>IFERROR(__xludf.DUMMYFUNCTION("""COMPUTED_VALUE"""),36.8118217923791)</f>
        <v>36.81182179</v>
      </c>
      <c r="P1771" s="20">
        <f>IFERROR(__xludf.DUMMYFUNCTION("""COMPUTED_VALUE"""),88609.0)</f>
        <v>88609</v>
      </c>
      <c r="Q1771" s="20">
        <f>IFERROR(__xludf.DUMMYFUNCTION("""COMPUTED_VALUE"""),240708.0)</f>
        <v>240708</v>
      </c>
    </row>
    <row r="1772">
      <c r="A1772" s="20">
        <f>IFERROR(__xludf.DUMMYFUNCTION("""COMPUTED_VALUE"""),1897.0)</f>
        <v>1897</v>
      </c>
      <c r="B1772" s="20" t="str">
        <f>IFERROR(__xludf.DUMMYFUNCTION("""COMPUTED_VALUE"""),"Maximize Palindrome Length From Subsequences")</f>
        <v>Maximize Palindrome Length From Subsequences</v>
      </c>
      <c r="C1772" s="20" t="str">
        <f>IFERROR(__xludf.DUMMYFUNCTION("""COMPUTED_VALUE"""),"maximize-palindrome-length-from-subsequences")</f>
        <v>maximize-palindrome-length-from-subsequences</v>
      </c>
      <c r="D1772" s="20" t="b">
        <f>IFERROR(__xludf.DUMMYFUNCTION("""COMPUTED_VALUE"""),FALSE)</f>
        <v>0</v>
      </c>
      <c r="E1772" s="20" t="str">
        <f>IFERROR(__xludf.DUMMYFUNCTION("""COMPUTED_VALUE"""),"Hard")</f>
        <v>Hard</v>
      </c>
      <c r="F1772" s="20">
        <f>IFERROR(__xludf.DUMMYFUNCTION("""COMPUTED_VALUE"""),452.0)</f>
        <v>452</v>
      </c>
      <c r="G1772" s="20">
        <f>IFERROR(__xludf.DUMMYFUNCTION("""COMPUTED_VALUE"""),8.0)</f>
        <v>8</v>
      </c>
      <c r="H1772" s="20" t="str">
        <f>IFERROR(__xludf.DUMMYFUNCTION("""COMPUTED_VALUE"""),"Algorithms")</f>
        <v>Algorithms</v>
      </c>
      <c r="I1772" s="20">
        <f>IFERROR(__xludf.DUMMYFUNCTION("""COMPUTED_VALUE"""),0.352)</f>
        <v>0.352</v>
      </c>
      <c r="J1772" s="20">
        <f>IFERROR(__xludf.DUMMYFUNCTION("""COMPUTED_VALUE"""),1771.0)</f>
        <v>1771</v>
      </c>
      <c r="K1772" s="20" t="b">
        <f>IFERROR(__xludf.DUMMYFUNCTION("""COMPUTED_VALUE"""),FALSE)</f>
        <v>0</v>
      </c>
      <c r="L1772" s="20" t="str">
        <f>IFERROR(__xludf.DUMMYFUNCTION("""COMPUTED_VALUE"""),"String;Dynamic Programming;")</f>
        <v>String;Dynamic Programming;</v>
      </c>
      <c r="M1772" s="20" t="b">
        <f>IFERROR(__xludf.DUMMYFUNCTION("""COMPUTED_VALUE"""),FALSE)</f>
        <v>0</v>
      </c>
      <c r="N1772" s="20" t="b">
        <f>IFERROR(__xludf.DUMMYFUNCTION("""COMPUTED_VALUE"""),FALSE)</f>
        <v>0</v>
      </c>
      <c r="O1772" s="20">
        <f>IFERROR(__xludf.DUMMYFUNCTION("""COMPUTED_VALUE"""),35.2445597923737)</f>
        <v>35.24455979</v>
      </c>
      <c r="P1772" s="20">
        <f>IFERROR(__xludf.DUMMYFUNCTION("""COMPUTED_VALUE"""),8827.0)</f>
        <v>8827</v>
      </c>
      <c r="Q1772" s="20">
        <f>IFERROR(__xludf.DUMMYFUNCTION("""COMPUTED_VALUE"""),25045.0)</f>
        <v>25045</v>
      </c>
    </row>
    <row r="1773">
      <c r="A1773" s="20">
        <f>IFERROR(__xludf.DUMMYFUNCTION("""COMPUTED_VALUE"""),1919.0)</f>
        <v>1919</v>
      </c>
      <c r="B1773" s="20" t="str">
        <f>IFERROR(__xludf.DUMMYFUNCTION("""COMPUTED_VALUE"""),"Sort Features by Popularity")</f>
        <v>Sort Features by Popularity</v>
      </c>
      <c r="C1773" s="20" t="str">
        <f>IFERROR(__xludf.DUMMYFUNCTION("""COMPUTED_VALUE"""),"sort-features-by-popularity")</f>
        <v>sort-features-by-popularity</v>
      </c>
      <c r="D1773" s="20" t="b">
        <f>IFERROR(__xludf.DUMMYFUNCTION("""COMPUTED_VALUE"""),TRUE)</f>
        <v>1</v>
      </c>
      <c r="E1773" s="20" t="str">
        <f>IFERROR(__xludf.DUMMYFUNCTION("""COMPUTED_VALUE"""),"Medium")</f>
        <v>Medium</v>
      </c>
      <c r="F1773" s="20">
        <f>IFERROR(__xludf.DUMMYFUNCTION("""COMPUTED_VALUE"""),69.0)</f>
        <v>69</v>
      </c>
      <c r="G1773" s="20">
        <f>IFERROR(__xludf.DUMMYFUNCTION("""COMPUTED_VALUE"""),39.0)</f>
        <v>39</v>
      </c>
      <c r="H1773" s="20" t="str">
        <f>IFERROR(__xludf.DUMMYFUNCTION("""COMPUTED_VALUE"""),"Algorithms")</f>
        <v>Algorithms</v>
      </c>
      <c r="I1773" s="20">
        <f>IFERROR(__xludf.DUMMYFUNCTION("""COMPUTED_VALUE"""),0.649)</f>
        <v>0.649</v>
      </c>
      <c r="J1773" s="20">
        <f>IFERROR(__xludf.DUMMYFUNCTION("""COMPUTED_VALUE"""),1772.0)</f>
        <v>1772</v>
      </c>
      <c r="K1773" s="20" t="b">
        <f>IFERROR(__xludf.DUMMYFUNCTION("""COMPUTED_VALUE"""),TRUE)</f>
        <v>1</v>
      </c>
      <c r="L1773" s="20" t="str">
        <f>IFERROR(__xludf.DUMMYFUNCTION("""COMPUTED_VALUE"""),"Array;Hash Table;String;Sorting;")</f>
        <v>Array;Hash Table;String;Sorting;</v>
      </c>
      <c r="M1773" s="20" t="b">
        <f>IFERROR(__xludf.DUMMYFUNCTION("""COMPUTED_VALUE"""),FALSE)</f>
        <v>0</v>
      </c>
      <c r="N1773" s="20" t="b">
        <f>IFERROR(__xludf.DUMMYFUNCTION("""COMPUTED_VALUE"""),FALSE)</f>
        <v>0</v>
      </c>
      <c r="O1773" s="20">
        <f>IFERROR(__xludf.DUMMYFUNCTION("""COMPUTED_VALUE"""),64.9354256353284)</f>
        <v>64.93542564</v>
      </c>
      <c r="P1773" s="20">
        <f>IFERROR(__xludf.DUMMYFUNCTION("""COMPUTED_VALUE"""),4676.0)</f>
        <v>4676</v>
      </c>
      <c r="Q1773" s="20">
        <f>IFERROR(__xludf.DUMMYFUNCTION("""COMPUTED_VALUE"""),7201.0)</f>
        <v>7201</v>
      </c>
    </row>
    <row r="1774">
      <c r="A1774" s="20">
        <f>IFERROR(__xludf.DUMMYFUNCTION("""COMPUTED_VALUE"""),1899.0)</f>
        <v>1899</v>
      </c>
      <c r="B1774" s="20" t="str">
        <f>IFERROR(__xludf.DUMMYFUNCTION("""COMPUTED_VALUE"""),"Count Items Matching a Rule")</f>
        <v>Count Items Matching a Rule</v>
      </c>
      <c r="C1774" s="20" t="str">
        <f>IFERROR(__xludf.DUMMYFUNCTION("""COMPUTED_VALUE"""),"count-items-matching-a-rule")</f>
        <v>count-items-matching-a-rule</v>
      </c>
      <c r="D1774" s="20" t="b">
        <f>IFERROR(__xludf.DUMMYFUNCTION("""COMPUTED_VALUE"""),FALSE)</f>
        <v>0</v>
      </c>
      <c r="E1774" s="20" t="str">
        <f>IFERROR(__xludf.DUMMYFUNCTION("""COMPUTED_VALUE"""),"Easy")</f>
        <v>Easy</v>
      </c>
      <c r="F1774" s="20">
        <f>IFERROR(__xludf.DUMMYFUNCTION("""COMPUTED_VALUE"""),1311.0)</f>
        <v>1311</v>
      </c>
      <c r="G1774" s="20">
        <f>IFERROR(__xludf.DUMMYFUNCTION("""COMPUTED_VALUE"""),138.0)</f>
        <v>138</v>
      </c>
      <c r="H1774" s="20" t="str">
        <f>IFERROR(__xludf.DUMMYFUNCTION("""COMPUTED_VALUE"""),"Algorithms")</f>
        <v>Algorithms</v>
      </c>
      <c r="I1774" s="20">
        <f>IFERROR(__xludf.DUMMYFUNCTION("""COMPUTED_VALUE"""),0.843)</f>
        <v>0.843</v>
      </c>
      <c r="J1774" s="20">
        <f>IFERROR(__xludf.DUMMYFUNCTION("""COMPUTED_VALUE"""),1773.0)</f>
        <v>1773</v>
      </c>
      <c r="K1774" s="20" t="b">
        <f>IFERROR(__xludf.DUMMYFUNCTION("""COMPUTED_VALUE"""),FALSE)</f>
        <v>0</v>
      </c>
      <c r="L1774" s="20" t="str">
        <f>IFERROR(__xludf.DUMMYFUNCTION("""COMPUTED_VALUE"""),"Array;String;")</f>
        <v>Array;String;</v>
      </c>
      <c r="M1774" s="20" t="b">
        <f>IFERROR(__xludf.DUMMYFUNCTION("""COMPUTED_VALUE"""),FALSE)</f>
        <v>0</v>
      </c>
      <c r="N1774" s="20" t="b">
        <f>IFERROR(__xludf.DUMMYFUNCTION("""COMPUTED_VALUE"""),FALSE)</f>
        <v>0</v>
      </c>
      <c r="O1774" s="20">
        <f>IFERROR(__xludf.DUMMYFUNCTION("""COMPUTED_VALUE"""),84.2963783823278)</f>
        <v>84.29637838</v>
      </c>
      <c r="P1774" s="20">
        <f>IFERROR(__xludf.DUMMYFUNCTION("""COMPUTED_VALUE"""),138443.0)</f>
        <v>138443</v>
      </c>
      <c r="Q1774" s="20">
        <f>IFERROR(__xludf.DUMMYFUNCTION("""COMPUTED_VALUE"""),164234.0)</f>
        <v>164234</v>
      </c>
    </row>
    <row r="1775">
      <c r="A1775" s="20">
        <f>IFERROR(__xludf.DUMMYFUNCTION("""COMPUTED_VALUE"""),1900.0)</f>
        <v>1900</v>
      </c>
      <c r="B1775" s="20" t="str">
        <f>IFERROR(__xludf.DUMMYFUNCTION("""COMPUTED_VALUE"""),"Closest Dessert Cost")</f>
        <v>Closest Dessert Cost</v>
      </c>
      <c r="C1775" s="20" t="str">
        <f>IFERROR(__xludf.DUMMYFUNCTION("""COMPUTED_VALUE"""),"closest-dessert-cost")</f>
        <v>closest-dessert-cost</v>
      </c>
      <c r="D1775" s="20" t="b">
        <f>IFERROR(__xludf.DUMMYFUNCTION("""COMPUTED_VALUE"""),FALSE)</f>
        <v>0</v>
      </c>
      <c r="E1775" s="20" t="str">
        <f>IFERROR(__xludf.DUMMYFUNCTION("""COMPUTED_VALUE"""),"Medium")</f>
        <v>Medium</v>
      </c>
      <c r="F1775" s="20">
        <f>IFERROR(__xludf.DUMMYFUNCTION("""COMPUTED_VALUE"""),560.0)</f>
        <v>560</v>
      </c>
      <c r="G1775" s="20">
        <f>IFERROR(__xludf.DUMMYFUNCTION("""COMPUTED_VALUE"""),62.0)</f>
        <v>62</v>
      </c>
      <c r="H1775" s="20" t="str">
        <f>IFERROR(__xludf.DUMMYFUNCTION("""COMPUTED_VALUE"""),"Algorithms")</f>
        <v>Algorithms</v>
      </c>
      <c r="I1775" s="20">
        <f>IFERROR(__xludf.DUMMYFUNCTION("""COMPUTED_VALUE"""),0.47)</f>
        <v>0.47</v>
      </c>
      <c r="J1775" s="20">
        <f>IFERROR(__xludf.DUMMYFUNCTION("""COMPUTED_VALUE"""),1774.0)</f>
        <v>1774</v>
      </c>
      <c r="K1775" s="20" t="b">
        <f>IFERROR(__xludf.DUMMYFUNCTION("""COMPUTED_VALUE"""),FALSE)</f>
        <v>0</v>
      </c>
      <c r="L1775" s="20" t="str">
        <f>IFERROR(__xludf.DUMMYFUNCTION("""COMPUTED_VALUE"""),"Array;Dynamic Programming;Backtracking;")</f>
        <v>Array;Dynamic Programming;Backtracking;</v>
      </c>
      <c r="M1775" s="20" t="b">
        <f>IFERROR(__xludf.DUMMYFUNCTION("""COMPUTED_VALUE"""),FALSE)</f>
        <v>0</v>
      </c>
      <c r="N1775" s="20" t="b">
        <f>IFERROR(__xludf.DUMMYFUNCTION("""COMPUTED_VALUE"""),FALSE)</f>
        <v>0</v>
      </c>
      <c r="O1775" s="20">
        <f>IFERROR(__xludf.DUMMYFUNCTION("""COMPUTED_VALUE"""),47.0388329396162)</f>
        <v>47.03883294</v>
      </c>
      <c r="P1775" s="20">
        <f>IFERROR(__xludf.DUMMYFUNCTION("""COMPUTED_VALUE"""),22700.0)</f>
        <v>22700</v>
      </c>
      <c r="Q1775" s="20">
        <f>IFERROR(__xludf.DUMMYFUNCTION("""COMPUTED_VALUE"""),48258.0)</f>
        <v>48258</v>
      </c>
    </row>
    <row r="1776">
      <c r="A1776" s="20">
        <f>IFERROR(__xludf.DUMMYFUNCTION("""COMPUTED_VALUE"""),1901.0)</f>
        <v>1901</v>
      </c>
      <c r="B1776" s="20" t="str">
        <f>IFERROR(__xludf.DUMMYFUNCTION("""COMPUTED_VALUE"""),"Equal Sum Arrays With Minimum Number of Operations")</f>
        <v>Equal Sum Arrays With Minimum Number of Operations</v>
      </c>
      <c r="C1776" s="20" t="str">
        <f>IFERROR(__xludf.DUMMYFUNCTION("""COMPUTED_VALUE"""),"equal-sum-arrays-with-minimum-number-of-operations")</f>
        <v>equal-sum-arrays-with-minimum-number-of-operations</v>
      </c>
      <c r="D1776" s="20" t="b">
        <f>IFERROR(__xludf.DUMMYFUNCTION("""COMPUTED_VALUE"""),FALSE)</f>
        <v>0</v>
      </c>
      <c r="E1776" s="20" t="str">
        <f>IFERROR(__xludf.DUMMYFUNCTION("""COMPUTED_VALUE"""),"Medium")</f>
        <v>Medium</v>
      </c>
      <c r="F1776" s="20">
        <f>IFERROR(__xludf.DUMMYFUNCTION("""COMPUTED_VALUE"""),746.0)</f>
        <v>746</v>
      </c>
      <c r="G1776" s="20">
        <f>IFERROR(__xludf.DUMMYFUNCTION("""COMPUTED_VALUE"""),25.0)</f>
        <v>25</v>
      </c>
      <c r="H1776" s="20" t="str">
        <f>IFERROR(__xludf.DUMMYFUNCTION("""COMPUTED_VALUE"""),"Algorithms")</f>
        <v>Algorithms</v>
      </c>
      <c r="I1776" s="20">
        <f>IFERROR(__xludf.DUMMYFUNCTION("""COMPUTED_VALUE"""),0.528)</f>
        <v>0.528</v>
      </c>
      <c r="J1776" s="20">
        <f>IFERROR(__xludf.DUMMYFUNCTION("""COMPUTED_VALUE"""),1775.0)</f>
        <v>1775</v>
      </c>
      <c r="K1776" s="20" t="b">
        <f>IFERROR(__xludf.DUMMYFUNCTION("""COMPUTED_VALUE"""),FALSE)</f>
        <v>0</v>
      </c>
      <c r="L1776" s="20" t="str">
        <f>IFERROR(__xludf.DUMMYFUNCTION("""COMPUTED_VALUE"""),"Array;Hash Table;Greedy;Counting;")</f>
        <v>Array;Hash Table;Greedy;Counting;</v>
      </c>
      <c r="M1776" s="20" t="b">
        <f>IFERROR(__xludf.DUMMYFUNCTION("""COMPUTED_VALUE"""),FALSE)</f>
        <v>0</v>
      </c>
      <c r="N1776" s="20" t="b">
        <f>IFERROR(__xludf.DUMMYFUNCTION("""COMPUTED_VALUE"""),FALSE)</f>
        <v>0</v>
      </c>
      <c r="O1776" s="20">
        <f>IFERROR(__xludf.DUMMYFUNCTION("""COMPUTED_VALUE"""),52.8482669154964)</f>
        <v>52.84826692</v>
      </c>
      <c r="P1776" s="20">
        <f>IFERROR(__xludf.DUMMYFUNCTION("""COMPUTED_VALUE"""),23219.0)</f>
        <v>23219</v>
      </c>
      <c r="Q1776" s="20">
        <f>IFERROR(__xludf.DUMMYFUNCTION("""COMPUTED_VALUE"""),43937.0)</f>
        <v>43937</v>
      </c>
    </row>
    <row r="1777">
      <c r="A1777" s="20">
        <f>IFERROR(__xludf.DUMMYFUNCTION("""COMPUTED_VALUE"""),1902.0)</f>
        <v>1902</v>
      </c>
      <c r="B1777" s="20" t="str">
        <f>IFERROR(__xludf.DUMMYFUNCTION("""COMPUTED_VALUE"""),"Car Fleet II")</f>
        <v>Car Fleet II</v>
      </c>
      <c r="C1777" s="20" t="str">
        <f>IFERROR(__xludf.DUMMYFUNCTION("""COMPUTED_VALUE"""),"car-fleet-ii")</f>
        <v>car-fleet-ii</v>
      </c>
      <c r="D1777" s="20" t="b">
        <f>IFERROR(__xludf.DUMMYFUNCTION("""COMPUTED_VALUE"""),FALSE)</f>
        <v>0</v>
      </c>
      <c r="E1777" s="20" t="str">
        <f>IFERROR(__xludf.DUMMYFUNCTION("""COMPUTED_VALUE"""),"Hard")</f>
        <v>Hard</v>
      </c>
      <c r="F1777" s="20">
        <f>IFERROR(__xludf.DUMMYFUNCTION("""COMPUTED_VALUE"""),722.0)</f>
        <v>722</v>
      </c>
      <c r="G1777" s="20">
        <f>IFERROR(__xludf.DUMMYFUNCTION("""COMPUTED_VALUE"""),18.0)</f>
        <v>18</v>
      </c>
      <c r="H1777" s="20" t="str">
        <f>IFERROR(__xludf.DUMMYFUNCTION("""COMPUTED_VALUE"""),"Algorithms")</f>
        <v>Algorithms</v>
      </c>
      <c r="I1777" s="20">
        <f>IFERROR(__xludf.DUMMYFUNCTION("""COMPUTED_VALUE"""),0.535)</f>
        <v>0.535</v>
      </c>
      <c r="J1777" s="20">
        <f>IFERROR(__xludf.DUMMYFUNCTION("""COMPUTED_VALUE"""),1776.0)</f>
        <v>1776</v>
      </c>
      <c r="K1777" s="20" t="b">
        <f>IFERROR(__xludf.DUMMYFUNCTION("""COMPUTED_VALUE"""),FALSE)</f>
        <v>0</v>
      </c>
      <c r="L1777" s="20" t="str">
        <f>IFERROR(__xludf.DUMMYFUNCTION("""COMPUTED_VALUE"""),"Array;Math;Stack;Heap (Priority Queue);Monotonic Stack;")</f>
        <v>Array;Math;Stack;Heap (Priority Queue);Monotonic Stack;</v>
      </c>
      <c r="M1777" s="20" t="b">
        <f>IFERROR(__xludf.DUMMYFUNCTION("""COMPUTED_VALUE"""),FALSE)</f>
        <v>0</v>
      </c>
      <c r="N1777" s="20" t="b">
        <f>IFERROR(__xludf.DUMMYFUNCTION("""COMPUTED_VALUE"""),FALSE)</f>
        <v>0</v>
      </c>
      <c r="O1777" s="20">
        <f>IFERROR(__xludf.DUMMYFUNCTION("""COMPUTED_VALUE"""),53.4768043853415)</f>
        <v>53.47680439</v>
      </c>
      <c r="P1777" s="20">
        <f>IFERROR(__xludf.DUMMYFUNCTION("""COMPUTED_VALUE"""),21072.0)</f>
        <v>21072</v>
      </c>
      <c r="Q1777" s="20">
        <f>IFERROR(__xludf.DUMMYFUNCTION("""COMPUTED_VALUE"""),39404.0)</f>
        <v>39404</v>
      </c>
    </row>
    <row r="1778">
      <c r="A1778" s="20">
        <f>IFERROR(__xludf.DUMMYFUNCTION("""COMPUTED_VALUE"""),1926.0)</f>
        <v>1926</v>
      </c>
      <c r="B1778" s="20" t="str">
        <f>IFERROR(__xludf.DUMMYFUNCTION("""COMPUTED_VALUE"""),"Product's Price for Each Store")</f>
        <v>Product's Price for Each Store</v>
      </c>
      <c r="C1778" s="20" t="str">
        <f>IFERROR(__xludf.DUMMYFUNCTION("""COMPUTED_VALUE"""),"products-price-for-each-store")</f>
        <v>products-price-for-each-store</v>
      </c>
      <c r="D1778" s="20" t="b">
        <f>IFERROR(__xludf.DUMMYFUNCTION("""COMPUTED_VALUE"""),TRUE)</f>
        <v>1</v>
      </c>
      <c r="E1778" s="20" t="str">
        <f>IFERROR(__xludf.DUMMYFUNCTION("""COMPUTED_VALUE"""),"Easy")</f>
        <v>Easy</v>
      </c>
      <c r="F1778" s="20">
        <f>IFERROR(__xludf.DUMMYFUNCTION("""COMPUTED_VALUE"""),103.0)</f>
        <v>103</v>
      </c>
      <c r="G1778" s="20">
        <f>IFERROR(__xludf.DUMMYFUNCTION("""COMPUTED_VALUE"""),10.0)</f>
        <v>10</v>
      </c>
      <c r="H1778" s="20" t="str">
        <f>IFERROR(__xludf.DUMMYFUNCTION("""COMPUTED_VALUE"""),"Database")</f>
        <v>Database</v>
      </c>
      <c r="I1778" s="20">
        <f>IFERROR(__xludf.DUMMYFUNCTION("""COMPUTED_VALUE"""),0.854)</f>
        <v>0.854</v>
      </c>
      <c r="J1778" s="20">
        <f>IFERROR(__xludf.DUMMYFUNCTION("""COMPUTED_VALUE"""),1777.0)</f>
        <v>1777</v>
      </c>
      <c r="K1778" s="20" t="b">
        <f>IFERROR(__xludf.DUMMYFUNCTION("""COMPUTED_VALUE"""),TRUE)</f>
        <v>1</v>
      </c>
      <c r="L1778" s="20" t="str">
        <f>IFERROR(__xludf.DUMMYFUNCTION("""COMPUTED_VALUE"""),"Database;")</f>
        <v>Database;</v>
      </c>
      <c r="M1778" s="20" t="b">
        <f>IFERROR(__xludf.DUMMYFUNCTION("""COMPUTED_VALUE"""),FALSE)</f>
        <v>0</v>
      </c>
      <c r="N1778" s="20" t="b">
        <f>IFERROR(__xludf.DUMMYFUNCTION("""COMPUTED_VALUE"""),FALSE)</f>
        <v>0</v>
      </c>
      <c r="O1778" s="20">
        <f>IFERROR(__xludf.DUMMYFUNCTION("""COMPUTED_VALUE"""),85.385869259738)</f>
        <v>85.38586926</v>
      </c>
      <c r="P1778" s="20">
        <f>IFERROR(__xludf.DUMMYFUNCTION("""COMPUTED_VALUE"""),15191.0)</f>
        <v>15191</v>
      </c>
      <c r="Q1778" s="20">
        <f>IFERROR(__xludf.DUMMYFUNCTION("""COMPUTED_VALUE"""),17791.0)</f>
        <v>17791</v>
      </c>
    </row>
    <row r="1779">
      <c r="A1779" s="20">
        <f>IFERROR(__xludf.DUMMYFUNCTION("""COMPUTED_VALUE"""),1931.0)</f>
        <v>1931</v>
      </c>
      <c r="B1779" s="20" t="str">
        <f>IFERROR(__xludf.DUMMYFUNCTION("""COMPUTED_VALUE"""),"Shortest Path in a Hidden Grid")</f>
        <v>Shortest Path in a Hidden Grid</v>
      </c>
      <c r="C1779" s="20" t="str">
        <f>IFERROR(__xludf.DUMMYFUNCTION("""COMPUTED_VALUE"""),"shortest-path-in-a-hidden-grid")</f>
        <v>shortest-path-in-a-hidden-grid</v>
      </c>
      <c r="D1779" s="20" t="b">
        <f>IFERROR(__xludf.DUMMYFUNCTION("""COMPUTED_VALUE"""),TRUE)</f>
        <v>1</v>
      </c>
      <c r="E1779" s="20" t="str">
        <f>IFERROR(__xludf.DUMMYFUNCTION("""COMPUTED_VALUE"""),"Medium")</f>
        <v>Medium</v>
      </c>
      <c r="F1779" s="20">
        <f>IFERROR(__xludf.DUMMYFUNCTION("""COMPUTED_VALUE"""),134.0)</f>
        <v>134</v>
      </c>
      <c r="G1779" s="20">
        <f>IFERROR(__xludf.DUMMYFUNCTION("""COMPUTED_VALUE"""),57.0)</f>
        <v>57</v>
      </c>
      <c r="H1779" s="20" t="str">
        <f>IFERROR(__xludf.DUMMYFUNCTION("""COMPUTED_VALUE"""),"Algorithms")</f>
        <v>Algorithms</v>
      </c>
      <c r="I1779" s="20">
        <f>IFERROR(__xludf.DUMMYFUNCTION("""COMPUTED_VALUE"""),0.391)</f>
        <v>0.391</v>
      </c>
      <c r="J1779" s="20">
        <f>IFERROR(__xludf.DUMMYFUNCTION("""COMPUTED_VALUE"""),1778.0)</f>
        <v>1778</v>
      </c>
      <c r="K1779" s="20" t="b">
        <f>IFERROR(__xludf.DUMMYFUNCTION("""COMPUTED_VALUE"""),TRUE)</f>
        <v>1</v>
      </c>
      <c r="L1779" s="20" t="str">
        <f>IFERROR(__xludf.DUMMYFUNCTION("""COMPUTED_VALUE"""),"Depth-First Search;Breadth-First Search;Graph;Interactive;")</f>
        <v>Depth-First Search;Breadth-First Search;Graph;Interactive;</v>
      </c>
      <c r="M1779" s="20" t="b">
        <f>IFERROR(__xludf.DUMMYFUNCTION("""COMPUTED_VALUE"""),FALSE)</f>
        <v>0</v>
      </c>
      <c r="N1779" s="20" t="b">
        <f>IFERROR(__xludf.DUMMYFUNCTION("""COMPUTED_VALUE"""),FALSE)</f>
        <v>0</v>
      </c>
      <c r="O1779" s="20">
        <f>IFERROR(__xludf.DUMMYFUNCTION("""COMPUTED_VALUE"""),39.1216866415886)</f>
        <v>39.12168664</v>
      </c>
      <c r="P1779" s="20">
        <f>IFERROR(__xludf.DUMMYFUNCTION("""COMPUTED_VALUE"""),4472.0)</f>
        <v>4472</v>
      </c>
      <c r="Q1779" s="20">
        <f>IFERROR(__xludf.DUMMYFUNCTION("""COMPUTED_VALUE"""),11431.0)</f>
        <v>11431</v>
      </c>
    </row>
    <row r="1780">
      <c r="A1780" s="20">
        <f>IFERROR(__xludf.DUMMYFUNCTION("""COMPUTED_VALUE"""),1888.0)</f>
        <v>1888</v>
      </c>
      <c r="B1780" s="20" t="str">
        <f>IFERROR(__xludf.DUMMYFUNCTION("""COMPUTED_VALUE"""),"Find Nearest Point That Has the Same X or Y Coordinate")</f>
        <v>Find Nearest Point That Has the Same X or Y Coordinate</v>
      </c>
      <c r="C1780" s="20" t="str">
        <f>IFERROR(__xludf.DUMMYFUNCTION("""COMPUTED_VALUE"""),"find-nearest-point-that-has-the-same-x-or-y-coordinate")</f>
        <v>find-nearest-point-that-has-the-same-x-or-y-coordinate</v>
      </c>
      <c r="D1780" s="20" t="b">
        <f>IFERROR(__xludf.DUMMYFUNCTION("""COMPUTED_VALUE"""),FALSE)</f>
        <v>0</v>
      </c>
      <c r="E1780" s="20" t="str">
        <f>IFERROR(__xludf.DUMMYFUNCTION("""COMPUTED_VALUE"""),"Easy")</f>
        <v>Easy</v>
      </c>
      <c r="F1780" s="20">
        <f>IFERROR(__xludf.DUMMYFUNCTION("""COMPUTED_VALUE"""),645.0)</f>
        <v>645</v>
      </c>
      <c r="G1780" s="20">
        <f>IFERROR(__xludf.DUMMYFUNCTION("""COMPUTED_VALUE"""),129.0)</f>
        <v>129</v>
      </c>
      <c r="H1780" s="20" t="str">
        <f>IFERROR(__xludf.DUMMYFUNCTION("""COMPUTED_VALUE"""),"Algorithms")</f>
        <v>Algorithms</v>
      </c>
      <c r="I1780" s="20">
        <f>IFERROR(__xludf.DUMMYFUNCTION("""COMPUTED_VALUE"""),0.674)</f>
        <v>0.674</v>
      </c>
      <c r="J1780" s="20">
        <f>IFERROR(__xludf.DUMMYFUNCTION("""COMPUTED_VALUE"""),1779.0)</f>
        <v>1779</v>
      </c>
      <c r="K1780" s="20" t="b">
        <f>IFERROR(__xludf.DUMMYFUNCTION("""COMPUTED_VALUE"""),FALSE)</f>
        <v>0</v>
      </c>
      <c r="L1780" s="20" t="str">
        <f>IFERROR(__xludf.DUMMYFUNCTION("""COMPUTED_VALUE"""),"Array;")</f>
        <v>Array;</v>
      </c>
      <c r="M1780" s="20" t="b">
        <f>IFERROR(__xludf.DUMMYFUNCTION("""COMPUTED_VALUE"""),FALSE)</f>
        <v>0</v>
      </c>
      <c r="N1780" s="20" t="b">
        <f>IFERROR(__xludf.DUMMYFUNCTION("""COMPUTED_VALUE"""),FALSE)</f>
        <v>0</v>
      </c>
      <c r="O1780" s="20">
        <f>IFERROR(__xludf.DUMMYFUNCTION("""COMPUTED_VALUE"""),67.3952081277401)</f>
        <v>67.39520813</v>
      </c>
      <c r="P1780" s="20">
        <f>IFERROR(__xludf.DUMMYFUNCTION("""COMPUTED_VALUE"""),83317.0)</f>
        <v>83317</v>
      </c>
      <c r="Q1780" s="20">
        <f>IFERROR(__xludf.DUMMYFUNCTION("""COMPUTED_VALUE"""),123625.0)</f>
        <v>123625</v>
      </c>
    </row>
    <row r="1781">
      <c r="A1781" s="20">
        <f>IFERROR(__xludf.DUMMYFUNCTION("""COMPUTED_VALUE"""),1889.0)</f>
        <v>1889</v>
      </c>
      <c r="B1781" s="20" t="str">
        <f>IFERROR(__xludf.DUMMYFUNCTION("""COMPUTED_VALUE"""),"Check if Number is a Sum of Powers of Three")</f>
        <v>Check if Number is a Sum of Powers of Three</v>
      </c>
      <c r="C1781" s="20" t="str">
        <f>IFERROR(__xludf.DUMMYFUNCTION("""COMPUTED_VALUE"""),"check-if-number-is-a-sum-of-powers-of-three")</f>
        <v>check-if-number-is-a-sum-of-powers-of-three</v>
      </c>
      <c r="D1781" s="20" t="b">
        <f>IFERROR(__xludf.DUMMYFUNCTION("""COMPUTED_VALUE"""),FALSE)</f>
        <v>0</v>
      </c>
      <c r="E1781" s="20" t="str">
        <f>IFERROR(__xludf.DUMMYFUNCTION("""COMPUTED_VALUE"""),"Medium")</f>
        <v>Medium</v>
      </c>
      <c r="F1781" s="20">
        <f>IFERROR(__xludf.DUMMYFUNCTION("""COMPUTED_VALUE"""),776.0)</f>
        <v>776</v>
      </c>
      <c r="G1781" s="20">
        <f>IFERROR(__xludf.DUMMYFUNCTION("""COMPUTED_VALUE"""),27.0)</f>
        <v>27</v>
      </c>
      <c r="H1781" s="20" t="str">
        <f>IFERROR(__xludf.DUMMYFUNCTION("""COMPUTED_VALUE"""),"Algorithms")</f>
        <v>Algorithms</v>
      </c>
      <c r="I1781" s="20">
        <f>IFERROR(__xludf.DUMMYFUNCTION("""COMPUTED_VALUE"""),0.656)</f>
        <v>0.656</v>
      </c>
      <c r="J1781" s="20">
        <f>IFERROR(__xludf.DUMMYFUNCTION("""COMPUTED_VALUE"""),1780.0)</f>
        <v>1780</v>
      </c>
      <c r="K1781" s="20" t="b">
        <f>IFERROR(__xludf.DUMMYFUNCTION("""COMPUTED_VALUE"""),FALSE)</f>
        <v>0</v>
      </c>
      <c r="L1781" s="20" t="str">
        <f>IFERROR(__xludf.DUMMYFUNCTION("""COMPUTED_VALUE"""),"Math;")</f>
        <v>Math;</v>
      </c>
      <c r="M1781" s="20" t="b">
        <f>IFERROR(__xludf.DUMMYFUNCTION("""COMPUTED_VALUE"""),FALSE)</f>
        <v>0</v>
      </c>
      <c r="N1781" s="20" t="b">
        <f>IFERROR(__xludf.DUMMYFUNCTION("""COMPUTED_VALUE"""),FALSE)</f>
        <v>0</v>
      </c>
      <c r="O1781" s="20">
        <f>IFERROR(__xludf.DUMMYFUNCTION("""COMPUTED_VALUE"""),65.5687104526313)</f>
        <v>65.56871045</v>
      </c>
      <c r="P1781" s="20">
        <f>IFERROR(__xludf.DUMMYFUNCTION("""COMPUTED_VALUE"""),29740.0)</f>
        <v>29740</v>
      </c>
      <c r="Q1781" s="20">
        <f>IFERROR(__xludf.DUMMYFUNCTION("""COMPUTED_VALUE"""),45357.0)</f>
        <v>45357</v>
      </c>
    </row>
    <row r="1782">
      <c r="A1782" s="20">
        <f>IFERROR(__xludf.DUMMYFUNCTION("""COMPUTED_VALUE"""),1890.0)</f>
        <v>1890</v>
      </c>
      <c r="B1782" s="20" t="str">
        <f>IFERROR(__xludf.DUMMYFUNCTION("""COMPUTED_VALUE"""),"Sum of Beauty of All Substrings")</f>
        <v>Sum of Beauty of All Substrings</v>
      </c>
      <c r="C1782" s="20" t="str">
        <f>IFERROR(__xludf.DUMMYFUNCTION("""COMPUTED_VALUE"""),"sum-of-beauty-of-all-substrings")</f>
        <v>sum-of-beauty-of-all-substrings</v>
      </c>
      <c r="D1782" s="20" t="b">
        <f>IFERROR(__xludf.DUMMYFUNCTION("""COMPUTED_VALUE"""),FALSE)</f>
        <v>0</v>
      </c>
      <c r="E1782" s="20" t="str">
        <f>IFERROR(__xludf.DUMMYFUNCTION("""COMPUTED_VALUE"""),"Medium")</f>
        <v>Medium</v>
      </c>
      <c r="F1782" s="20">
        <f>IFERROR(__xludf.DUMMYFUNCTION("""COMPUTED_VALUE"""),504.0)</f>
        <v>504</v>
      </c>
      <c r="G1782" s="20">
        <f>IFERROR(__xludf.DUMMYFUNCTION("""COMPUTED_VALUE"""),113.0)</f>
        <v>113</v>
      </c>
      <c r="H1782" s="20" t="str">
        <f>IFERROR(__xludf.DUMMYFUNCTION("""COMPUTED_VALUE"""),"Algorithms")</f>
        <v>Algorithms</v>
      </c>
      <c r="I1782" s="20">
        <f>IFERROR(__xludf.DUMMYFUNCTION("""COMPUTED_VALUE"""),0.607)</f>
        <v>0.607</v>
      </c>
      <c r="J1782" s="20">
        <f>IFERROR(__xludf.DUMMYFUNCTION("""COMPUTED_VALUE"""),1781.0)</f>
        <v>1781</v>
      </c>
      <c r="K1782" s="20" t="b">
        <f>IFERROR(__xludf.DUMMYFUNCTION("""COMPUTED_VALUE"""),FALSE)</f>
        <v>0</v>
      </c>
      <c r="L1782" s="20" t="str">
        <f>IFERROR(__xludf.DUMMYFUNCTION("""COMPUTED_VALUE"""),"Hash Table;String;Counting;")</f>
        <v>Hash Table;String;Counting;</v>
      </c>
      <c r="M1782" s="20" t="b">
        <f>IFERROR(__xludf.DUMMYFUNCTION("""COMPUTED_VALUE"""),FALSE)</f>
        <v>0</v>
      </c>
      <c r="N1782" s="20" t="b">
        <f>IFERROR(__xludf.DUMMYFUNCTION("""COMPUTED_VALUE"""),FALSE)</f>
        <v>0</v>
      </c>
      <c r="O1782" s="20">
        <f>IFERROR(__xludf.DUMMYFUNCTION("""COMPUTED_VALUE"""),60.6669836310534)</f>
        <v>60.66698363</v>
      </c>
      <c r="P1782" s="20">
        <f>IFERROR(__xludf.DUMMYFUNCTION("""COMPUTED_VALUE"""),17864.0)</f>
        <v>17864</v>
      </c>
      <c r="Q1782" s="20">
        <f>IFERROR(__xludf.DUMMYFUNCTION("""COMPUTED_VALUE"""),29446.0)</f>
        <v>29446</v>
      </c>
    </row>
    <row r="1783">
      <c r="A1783" s="20">
        <f>IFERROR(__xludf.DUMMYFUNCTION("""COMPUTED_VALUE"""),1891.0)</f>
        <v>1891</v>
      </c>
      <c r="B1783" s="20" t="str">
        <f>IFERROR(__xludf.DUMMYFUNCTION("""COMPUTED_VALUE"""),"Count Pairs Of Nodes")</f>
        <v>Count Pairs Of Nodes</v>
      </c>
      <c r="C1783" s="20" t="str">
        <f>IFERROR(__xludf.DUMMYFUNCTION("""COMPUTED_VALUE"""),"count-pairs-of-nodes")</f>
        <v>count-pairs-of-nodes</v>
      </c>
      <c r="D1783" s="20" t="b">
        <f>IFERROR(__xludf.DUMMYFUNCTION("""COMPUTED_VALUE"""),FALSE)</f>
        <v>0</v>
      </c>
      <c r="E1783" s="20" t="str">
        <f>IFERROR(__xludf.DUMMYFUNCTION("""COMPUTED_VALUE"""),"Hard")</f>
        <v>Hard</v>
      </c>
      <c r="F1783" s="20">
        <f>IFERROR(__xludf.DUMMYFUNCTION("""COMPUTED_VALUE"""),246.0)</f>
        <v>246</v>
      </c>
      <c r="G1783" s="20">
        <f>IFERROR(__xludf.DUMMYFUNCTION("""COMPUTED_VALUE"""),142.0)</f>
        <v>142</v>
      </c>
      <c r="H1783" s="20" t="str">
        <f>IFERROR(__xludf.DUMMYFUNCTION("""COMPUTED_VALUE"""),"Algorithms")</f>
        <v>Algorithms</v>
      </c>
      <c r="I1783" s="20">
        <f>IFERROR(__xludf.DUMMYFUNCTION("""COMPUTED_VALUE"""),0.382)</f>
        <v>0.382</v>
      </c>
      <c r="J1783" s="20">
        <f>IFERROR(__xludf.DUMMYFUNCTION("""COMPUTED_VALUE"""),1782.0)</f>
        <v>1782</v>
      </c>
      <c r="K1783" s="20" t="b">
        <f>IFERROR(__xludf.DUMMYFUNCTION("""COMPUTED_VALUE"""),FALSE)</f>
        <v>0</v>
      </c>
      <c r="L1783" s="20" t="str">
        <f>IFERROR(__xludf.DUMMYFUNCTION("""COMPUTED_VALUE"""),"Two Pointers;Binary Search;Graph;")</f>
        <v>Two Pointers;Binary Search;Graph;</v>
      </c>
      <c r="M1783" s="20" t="b">
        <f>IFERROR(__xludf.DUMMYFUNCTION("""COMPUTED_VALUE"""),FALSE)</f>
        <v>0</v>
      </c>
      <c r="N1783" s="20" t="b">
        <f>IFERROR(__xludf.DUMMYFUNCTION("""COMPUTED_VALUE"""),FALSE)</f>
        <v>0</v>
      </c>
      <c r="O1783" s="20">
        <f>IFERROR(__xludf.DUMMYFUNCTION("""COMPUTED_VALUE"""),38.2245973428338)</f>
        <v>38.22459734</v>
      </c>
      <c r="P1783" s="20">
        <f>IFERROR(__xludf.DUMMYFUNCTION("""COMPUTED_VALUE"""),5150.0)</f>
        <v>5150</v>
      </c>
      <c r="Q1783" s="20">
        <f>IFERROR(__xludf.DUMMYFUNCTION("""COMPUTED_VALUE"""),13473.0)</f>
        <v>13473</v>
      </c>
    </row>
    <row r="1784">
      <c r="A1784" s="20">
        <f>IFERROR(__xludf.DUMMYFUNCTION("""COMPUTED_VALUE"""),1932.0)</f>
        <v>1932</v>
      </c>
      <c r="B1784" s="20" t="str">
        <f>IFERROR(__xludf.DUMMYFUNCTION("""COMPUTED_VALUE"""),"Grand Slam Titles")</f>
        <v>Grand Slam Titles</v>
      </c>
      <c r="C1784" s="20" t="str">
        <f>IFERROR(__xludf.DUMMYFUNCTION("""COMPUTED_VALUE"""),"grand-slam-titles")</f>
        <v>grand-slam-titles</v>
      </c>
      <c r="D1784" s="20" t="b">
        <f>IFERROR(__xludf.DUMMYFUNCTION("""COMPUTED_VALUE"""),TRUE)</f>
        <v>1</v>
      </c>
      <c r="E1784" s="20" t="str">
        <f>IFERROR(__xludf.DUMMYFUNCTION("""COMPUTED_VALUE"""),"Medium")</f>
        <v>Medium</v>
      </c>
      <c r="F1784" s="20">
        <f>IFERROR(__xludf.DUMMYFUNCTION("""COMPUTED_VALUE"""),172.0)</f>
        <v>172</v>
      </c>
      <c r="G1784" s="20">
        <f>IFERROR(__xludf.DUMMYFUNCTION("""COMPUTED_VALUE"""),4.0)</f>
        <v>4</v>
      </c>
      <c r="H1784" s="20" t="str">
        <f>IFERROR(__xludf.DUMMYFUNCTION("""COMPUTED_VALUE"""),"Database")</f>
        <v>Database</v>
      </c>
      <c r="I1784" s="20">
        <f>IFERROR(__xludf.DUMMYFUNCTION("""COMPUTED_VALUE"""),0.881)</f>
        <v>0.881</v>
      </c>
      <c r="J1784" s="20">
        <f>IFERROR(__xludf.DUMMYFUNCTION("""COMPUTED_VALUE"""),1783.0)</f>
        <v>1783</v>
      </c>
      <c r="K1784" s="20" t="b">
        <f>IFERROR(__xludf.DUMMYFUNCTION("""COMPUTED_VALUE"""),TRUE)</f>
        <v>1</v>
      </c>
      <c r="L1784" s="20" t="str">
        <f>IFERROR(__xludf.DUMMYFUNCTION("""COMPUTED_VALUE"""),"Database;")</f>
        <v>Database;</v>
      </c>
      <c r="M1784" s="20" t="b">
        <f>IFERROR(__xludf.DUMMYFUNCTION("""COMPUTED_VALUE"""),FALSE)</f>
        <v>0</v>
      </c>
      <c r="N1784" s="20" t="b">
        <f>IFERROR(__xludf.DUMMYFUNCTION("""COMPUTED_VALUE"""),FALSE)</f>
        <v>0</v>
      </c>
      <c r="O1784" s="20">
        <f>IFERROR(__xludf.DUMMYFUNCTION("""COMPUTED_VALUE"""),88.1002312200892)</f>
        <v>88.10023122</v>
      </c>
      <c r="P1784" s="20">
        <f>IFERROR(__xludf.DUMMYFUNCTION("""COMPUTED_VALUE"""),16384.0)</f>
        <v>16384</v>
      </c>
      <c r="Q1784" s="20">
        <f>IFERROR(__xludf.DUMMYFUNCTION("""COMPUTED_VALUE"""),18597.0)</f>
        <v>18597</v>
      </c>
    </row>
    <row r="1785">
      <c r="A1785" s="20">
        <f>IFERROR(__xludf.DUMMYFUNCTION("""COMPUTED_VALUE"""),1910.0)</f>
        <v>1910</v>
      </c>
      <c r="B1785" s="20" t="str">
        <f>IFERROR(__xludf.DUMMYFUNCTION("""COMPUTED_VALUE"""),"Check if Binary String Has at Most One Segment of Ones")</f>
        <v>Check if Binary String Has at Most One Segment of Ones</v>
      </c>
      <c r="C1785" s="20" t="str">
        <f>IFERROR(__xludf.DUMMYFUNCTION("""COMPUTED_VALUE"""),"check-if-binary-string-has-at-most-one-segment-of-ones")</f>
        <v>check-if-binary-string-has-at-most-one-segment-of-ones</v>
      </c>
      <c r="D1785" s="20" t="b">
        <f>IFERROR(__xludf.DUMMYFUNCTION("""COMPUTED_VALUE"""),FALSE)</f>
        <v>0</v>
      </c>
      <c r="E1785" s="20" t="str">
        <f>IFERROR(__xludf.DUMMYFUNCTION("""COMPUTED_VALUE"""),"Easy")</f>
        <v>Easy</v>
      </c>
      <c r="F1785" s="20">
        <f>IFERROR(__xludf.DUMMYFUNCTION("""COMPUTED_VALUE"""),234.0)</f>
        <v>234</v>
      </c>
      <c r="G1785" s="20">
        <f>IFERROR(__xludf.DUMMYFUNCTION("""COMPUTED_VALUE"""),715.0)</f>
        <v>715</v>
      </c>
      <c r="H1785" s="20" t="str">
        <f>IFERROR(__xludf.DUMMYFUNCTION("""COMPUTED_VALUE"""),"Algorithms")</f>
        <v>Algorithms</v>
      </c>
      <c r="I1785" s="20">
        <f>IFERROR(__xludf.DUMMYFUNCTION("""COMPUTED_VALUE"""),0.404)</f>
        <v>0.404</v>
      </c>
      <c r="J1785" s="20">
        <f>IFERROR(__xludf.DUMMYFUNCTION("""COMPUTED_VALUE"""),1784.0)</f>
        <v>1784</v>
      </c>
      <c r="K1785" s="20" t="b">
        <f>IFERROR(__xludf.DUMMYFUNCTION("""COMPUTED_VALUE"""),FALSE)</f>
        <v>0</v>
      </c>
      <c r="L1785" s="20" t="str">
        <f>IFERROR(__xludf.DUMMYFUNCTION("""COMPUTED_VALUE"""),"String;")</f>
        <v>String;</v>
      </c>
      <c r="M1785" s="20" t="b">
        <f>IFERROR(__xludf.DUMMYFUNCTION("""COMPUTED_VALUE"""),FALSE)</f>
        <v>0</v>
      </c>
      <c r="N1785" s="20" t="b">
        <f>IFERROR(__xludf.DUMMYFUNCTION("""COMPUTED_VALUE"""),FALSE)</f>
        <v>0</v>
      </c>
      <c r="O1785" s="20">
        <f>IFERROR(__xludf.DUMMYFUNCTION("""COMPUTED_VALUE"""),40.3858220412522)</f>
        <v>40.38582204</v>
      </c>
      <c r="P1785" s="20">
        <f>IFERROR(__xludf.DUMMYFUNCTION("""COMPUTED_VALUE"""),30251.0)</f>
        <v>30251</v>
      </c>
      <c r="Q1785" s="20">
        <f>IFERROR(__xludf.DUMMYFUNCTION("""COMPUTED_VALUE"""),74901.0)</f>
        <v>74901</v>
      </c>
    </row>
    <row r="1786">
      <c r="A1786" s="20">
        <f>IFERROR(__xludf.DUMMYFUNCTION("""COMPUTED_VALUE"""),1911.0)</f>
        <v>1911</v>
      </c>
      <c r="B1786" s="20" t="str">
        <f>IFERROR(__xludf.DUMMYFUNCTION("""COMPUTED_VALUE"""),"Minimum Elements to Add to Form a Given Sum")</f>
        <v>Minimum Elements to Add to Form a Given Sum</v>
      </c>
      <c r="C1786" s="20" t="str">
        <f>IFERROR(__xludf.DUMMYFUNCTION("""COMPUTED_VALUE"""),"minimum-elements-to-add-to-form-a-given-sum")</f>
        <v>minimum-elements-to-add-to-form-a-given-sum</v>
      </c>
      <c r="D1786" s="20" t="b">
        <f>IFERROR(__xludf.DUMMYFUNCTION("""COMPUTED_VALUE"""),FALSE)</f>
        <v>0</v>
      </c>
      <c r="E1786" s="20" t="str">
        <f>IFERROR(__xludf.DUMMYFUNCTION("""COMPUTED_VALUE"""),"Medium")</f>
        <v>Medium</v>
      </c>
      <c r="F1786" s="20">
        <f>IFERROR(__xludf.DUMMYFUNCTION("""COMPUTED_VALUE"""),192.0)</f>
        <v>192</v>
      </c>
      <c r="G1786" s="20">
        <f>IFERROR(__xludf.DUMMYFUNCTION("""COMPUTED_VALUE"""),165.0)</f>
        <v>165</v>
      </c>
      <c r="H1786" s="20" t="str">
        <f>IFERROR(__xludf.DUMMYFUNCTION("""COMPUTED_VALUE"""),"Algorithms")</f>
        <v>Algorithms</v>
      </c>
      <c r="I1786" s="20">
        <f>IFERROR(__xludf.DUMMYFUNCTION("""COMPUTED_VALUE"""),0.426)</f>
        <v>0.426</v>
      </c>
      <c r="J1786" s="20">
        <f>IFERROR(__xludf.DUMMYFUNCTION("""COMPUTED_VALUE"""),1785.0)</f>
        <v>1785</v>
      </c>
      <c r="K1786" s="20" t="b">
        <f>IFERROR(__xludf.DUMMYFUNCTION("""COMPUTED_VALUE"""),FALSE)</f>
        <v>0</v>
      </c>
      <c r="L1786" s="20" t="str">
        <f>IFERROR(__xludf.DUMMYFUNCTION("""COMPUTED_VALUE"""),"Array;Greedy;")</f>
        <v>Array;Greedy;</v>
      </c>
      <c r="M1786" s="20" t="b">
        <f>IFERROR(__xludf.DUMMYFUNCTION("""COMPUTED_VALUE"""),FALSE)</f>
        <v>0</v>
      </c>
      <c r="N1786" s="20" t="b">
        <f>IFERROR(__xludf.DUMMYFUNCTION("""COMPUTED_VALUE"""),FALSE)</f>
        <v>0</v>
      </c>
      <c r="O1786" s="20">
        <f>IFERROR(__xludf.DUMMYFUNCTION("""COMPUTED_VALUE"""),42.5787717466058)</f>
        <v>42.57877175</v>
      </c>
      <c r="P1786" s="20">
        <f>IFERROR(__xludf.DUMMYFUNCTION("""COMPUTED_VALUE"""),16716.0)</f>
        <v>16716</v>
      </c>
      <c r="Q1786" s="20">
        <f>IFERROR(__xludf.DUMMYFUNCTION("""COMPUTED_VALUE"""),39259.0)</f>
        <v>39259</v>
      </c>
    </row>
    <row r="1787">
      <c r="A1787" s="20">
        <f>IFERROR(__xludf.DUMMYFUNCTION("""COMPUTED_VALUE"""),1912.0)</f>
        <v>1912</v>
      </c>
      <c r="B1787" s="20" t="str">
        <f>IFERROR(__xludf.DUMMYFUNCTION("""COMPUTED_VALUE"""),"Number of Restricted Paths From First to Last Node")</f>
        <v>Number of Restricted Paths From First to Last Node</v>
      </c>
      <c r="C1787" s="20" t="str">
        <f>IFERROR(__xludf.DUMMYFUNCTION("""COMPUTED_VALUE"""),"number-of-restricted-paths-from-first-to-last-node")</f>
        <v>number-of-restricted-paths-from-first-to-last-node</v>
      </c>
      <c r="D1787" s="20" t="b">
        <f>IFERROR(__xludf.DUMMYFUNCTION("""COMPUTED_VALUE"""),FALSE)</f>
        <v>0</v>
      </c>
      <c r="E1787" s="20" t="str">
        <f>IFERROR(__xludf.DUMMYFUNCTION("""COMPUTED_VALUE"""),"Medium")</f>
        <v>Medium</v>
      </c>
      <c r="F1787" s="20">
        <f>IFERROR(__xludf.DUMMYFUNCTION("""COMPUTED_VALUE"""),802.0)</f>
        <v>802</v>
      </c>
      <c r="G1787" s="20">
        <f>IFERROR(__xludf.DUMMYFUNCTION("""COMPUTED_VALUE"""),144.0)</f>
        <v>144</v>
      </c>
      <c r="H1787" s="20" t="str">
        <f>IFERROR(__xludf.DUMMYFUNCTION("""COMPUTED_VALUE"""),"Algorithms")</f>
        <v>Algorithms</v>
      </c>
      <c r="I1787" s="20">
        <f>IFERROR(__xludf.DUMMYFUNCTION("""COMPUTED_VALUE"""),0.393)</f>
        <v>0.393</v>
      </c>
      <c r="J1787" s="20">
        <f>IFERROR(__xludf.DUMMYFUNCTION("""COMPUTED_VALUE"""),1786.0)</f>
        <v>1786</v>
      </c>
      <c r="K1787" s="20" t="b">
        <f>IFERROR(__xludf.DUMMYFUNCTION("""COMPUTED_VALUE"""),FALSE)</f>
        <v>0</v>
      </c>
      <c r="L1787" s="20" t="str">
        <f>IFERROR(__xludf.DUMMYFUNCTION("""COMPUTED_VALUE"""),"Dynamic Programming;Graph;Topological Sort;Heap (Priority Queue);Shortest Path;")</f>
        <v>Dynamic Programming;Graph;Topological Sort;Heap (Priority Queue);Shortest Path;</v>
      </c>
      <c r="M1787" s="20" t="b">
        <f>IFERROR(__xludf.DUMMYFUNCTION("""COMPUTED_VALUE"""),FALSE)</f>
        <v>0</v>
      </c>
      <c r="N1787" s="20" t="b">
        <f>IFERROR(__xludf.DUMMYFUNCTION("""COMPUTED_VALUE"""),FALSE)</f>
        <v>0</v>
      </c>
      <c r="O1787" s="20">
        <f>IFERROR(__xludf.DUMMYFUNCTION("""COMPUTED_VALUE"""),39.3380420123888)</f>
        <v>39.33804201</v>
      </c>
      <c r="P1787" s="20">
        <f>IFERROR(__xludf.DUMMYFUNCTION("""COMPUTED_VALUE"""),17210.0)</f>
        <v>17210</v>
      </c>
      <c r="Q1787" s="20">
        <f>IFERROR(__xludf.DUMMYFUNCTION("""COMPUTED_VALUE"""),43749.0)</f>
        <v>43749</v>
      </c>
    </row>
    <row r="1788">
      <c r="A1788" s="20">
        <f>IFERROR(__xludf.DUMMYFUNCTION("""COMPUTED_VALUE"""),1913.0)</f>
        <v>1913</v>
      </c>
      <c r="B1788" s="20" t="str">
        <f>IFERROR(__xludf.DUMMYFUNCTION("""COMPUTED_VALUE"""),"Make the XOR of All Segments Equal to Zero")</f>
        <v>Make the XOR of All Segments Equal to Zero</v>
      </c>
      <c r="C1788" s="20" t="str">
        <f>IFERROR(__xludf.DUMMYFUNCTION("""COMPUTED_VALUE"""),"make-the-xor-of-all-segments-equal-to-zero")</f>
        <v>make-the-xor-of-all-segments-equal-to-zero</v>
      </c>
      <c r="D1788" s="20" t="b">
        <f>IFERROR(__xludf.DUMMYFUNCTION("""COMPUTED_VALUE"""),FALSE)</f>
        <v>0</v>
      </c>
      <c r="E1788" s="20" t="str">
        <f>IFERROR(__xludf.DUMMYFUNCTION("""COMPUTED_VALUE"""),"Hard")</f>
        <v>Hard</v>
      </c>
      <c r="F1788" s="20">
        <f>IFERROR(__xludf.DUMMYFUNCTION("""COMPUTED_VALUE"""),327.0)</f>
        <v>327</v>
      </c>
      <c r="G1788" s="20">
        <f>IFERROR(__xludf.DUMMYFUNCTION("""COMPUTED_VALUE"""),19.0)</f>
        <v>19</v>
      </c>
      <c r="H1788" s="20" t="str">
        <f>IFERROR(__xludf.DUMMYFUNCTION("""COMPUTED_VALUE"""),"Algorithms")</f>
        <v>Algorithms</v>
      </c>
      <c r="I1788" s="20">
        <f>IFERROR(__xludf.DUMMYFUNCTION("""COMPUTED_VALUE"""),0.395)</f>
        <v>0.395</v>
      </c>
      <c r="J1788" s="20">
        <f>IFERROR(__xludf.DUMMYFUNCTION("""COMPUTED_VALUE"""),1787.0)</f>
        <v>1787</v>
      </c>
      <c r="K1788" s="20" t="b">
        <f>IFERROR(__xludf.DUMMYFUNCTION("""COMPUTED_VALUE"""),FALSE)</f>
        <v>0</v>
      </c>
      <c r="L1788" s="20" t="str">
        <f>IFERROR(__xludf.DUMMYFUNCTION("""COMPUTED_VALUE"""),"Array;Dynamic Programming;Bit Manipulation;")</f>
        <v>Array;Dynamic Programming;Bit Manipulation;</v>
      </c>
      <c r="M1788" s="20" t="b">
        <f>IFERROR(__xludf.DUMMYFUNCTION("""COMPUTED_VALUE"""),FALSE)</f>
        <v>0</v>
      </c>
      <c r="N1788" s="20" t="b">
        <f>IFERROR(__xludf.DUMMYFUNCTION("""COMPUTED_VALUE"""),FALSE)</f>
        <v>0</v>
      </c>
      <c r="O1788" s="20">
        <f>IFERROR(__xludf.DUMMYFUNCTION("""COMPUTED_VALUE"""),39.5405304445274)</f>
        <v>39.54053044</v>
      </c>
      <c r="P1788" s="20">
        <f>IFERROR(__xludf.DUMMYFUNCTION("""COMPUTED_VALUE"""),4234.0)</f>
        <v>4234</v>
      </c>
      <c r="Q1788" s="20">
        <f>IFERROR(__xludf.DUMMYFUNCTION("""COMPUTED_VALUE"""),10708.0)</f>
        <v>10708</v>
      </c>
    </row>
    <row r="1789">
      <c r="A1789" s="20">
        <f>IFERROR(__xludf.DUMMYFUNCTION("""COMPUTED_VALUE"""),1937.0)</f>
        <v>1937</v>
      </c>
      <c r="B1789" s="20" t="str">
        <f>IFERROR(__xludf.DUMMYFUNCTION("""COMPUTED_VALUE"""),"Maximize the Beauty of the Garden")</f>
        <v>Maximize the Beauty of the Garden</v>
      </c>
      <c r="C1789" s="20" t="str">
        <f>IFERROR(__xludf.DUMMYFUNCTION("""COMPUTED_VALUE"""),"maximize-the-beauty-of-the-garden")</f>
        <v>maximize-the-beauty-of-the-garden</v>
      </c>
      <c r="D1789" s="20" t="b">
        <f>IFERROR(__xludf.DUMMYFUNCTION("""COMPUTED_VALUE"""),TRUE)</f>
        <v>1</v>
      </c>
      <c r="E1789" s="20" t="str">
        <f>IFERROR(__xludf.DUMMYFUNCTION("""COMPUTED_VALUE"""),"Hard")</f>
        <v>Hard</v>
      </c>
      <c r="F1789" s="20">
        <f>IFERROR(__xludf.DUMMYFUNCTION("""COMPUTED_VALUE"""),61.0)</f>
        <v>61</v>
      </c>
      <c r="G1789" s="20">
        <f>IFERROR(__xludf.DUMMYFUNCTION("""COMPUTED_VALUE"""),5.0)</f>
        <v>5</v>
      </c>
      <c r="H1789" s="20" t="str">
        <f>IFERROR(__xludf.DUMMYFUNCTION("""COMPUTED_VALUE"""),"Algorithms")</f>
        <v>Algorithms</v>
      </c>
      <c r="I1789" s="20">
        <f>IFERROR(__xludf.DUMMYFUNCTION("""COMPUTED_VALUE"""),0.663)</f>
        <v>0.663</v>
      </c>
      <c r="J1789" s="20">
        <f>IFERROR(__xludf.DUMMYFUNCTION("""COMPUTED_VALUE"""),1788.0)</f>
        <v>1788</v>
      </c>
      <c r="K1789" s="20" t="b">
        <f>IFERROR(__xludf.DUMMYFUNCTION("""COMPUTED_VALUE"""),TRUE)</f>
        <v>1</v>
      </c>
      <c r="L1789" s="20" t="str">
        <f>IFERROR(__xludf.DUMMYFUNCTION("""COMPUTED_VALUE"""),"Array;Greedy;Prefix Sum;")</f>
        <v>Array;Greedy;Prefix Sum;</v>
      </c>
      <c r="M1789" s="20" t="b">
        <f>IFERROR(__xludf.DUMMYFUNCTION("""COMPUTED_VALUE"""),FALSE)</f>
        <v>0</v>
      </c>
      <c r="N1789" s="20" t="b">
        <f>IFERROR(__xludf.DUMMYFUNCTION("""COMPUTED_VALUE"""),FALSE)</f>
        <v>0</v>
      </c>
      <c r="O1789" s="20">
        <f>IFERROR(__xludf.DUMMYFUNCTION("""COMPUTED_VALUE"""),66.3191659983961)</f>
        <v>66.319166</v>
      </c>
      <c r="P1789" s="20">
        <f>IFERROR(__xludf.DUMMYFUNCTION("""COMPUTED_VALUE"""),1654.0)</f>
        <v>1654</v>
      </c>
      <c r="Q1789" s="20">
        <f>IFERROR(__xludf.DUMMYFUNCTION("""COMPUTED_VALUE"""),2494.0)</f>
        <v>2494</v>
      </c>
    </row>
    <row r="1790">
      <c r="A1790" s="20">
        <f>IFERROR(__xludf.DUMMYFUNCTION("""COMPUTED_VALUE"""),1942.0)</f>
        <v>1942</v>
      </c>
      <c r="B1790" s="20" t="str">
        <f>IFERROR(__xludf.DUMMYFUNCTION("""COMPUTED_VALUE"""),"Primary Department for Each Employee")</f>
        <v>Primary Department for Each Employee</v>
      </c>
      <c r="C1790" s="20" t="str">
        <f>IFERROR(__xludf.DUMMYFUNCTION("""COMPUTED_VALUE"""),"primary-department-for-each-employee")</f>
        <v>primary-department-for-each-employee</v>
      </c>
      <c r="D1790" s="20" t="b">
        <f>IFERROR(__xludf.DUMMYFUNCTION("""COMPUTED_VALUE"""),TRUE)</f>
        <v>1</v>
      </c>
      <c r="E1790" s="20" t="str">
        <f>IFERROR(__xludf.DUMMYFUNCTION("""COMPUTED_VALUE"""),"Easy")</f>
        <v>Easy</v>
      </c>
      <c r="F1790" s="20">
        <f>IFERROR(__xludf.DUMMYFUNCTION("""COMPUTED_VALUE"""),82.0)</f>
        <v>82</v>
      </c>
      <c r="G1790" s="20">
        <f>IFERROR(__xludf.DUMMYFUNCTION("""COMPUTED_VALUE"""),40.0)</f>
        <v>40</v>
      </c>
      <c r="H1790" s="20" t="str">
        <f>IFERROR(__xludf.DUMMYFUNCTION("""COMPUTED_VALUE"""),"Database")</f>
        <v>Database</v>
      </c>
      <c r="I1790" s="20">
        <f>IFERROR(__xludf.DUMMYFUNCTION("""COMPUTED_VALUE"""),0.799)</f>
        <v>0.799</v>
      </c>
      <c r="J1790" s="20">
        <f>IFERROR(__xludf.DUMMYFUNCTION("""COMPUTED_VALUE"""),1789.0)</f>
        <v>1789</v>
      </c>
      <c r="K1790" s="20" t="b">
        <f>IFERROR(__xludf.DUMMYFUNCTION("""COMPUTED_VALUE"""),TRUE)</f>
        <v>1</v>
      </c>
      <c r="L1790" s="20" t="str">
        <f>IFERROR(__xludf.DUMMYFUNCTION("""COMPUTED_VALUE"""),"Database;")</f>
        <v>Database;</v>
      </c>
      <c r="M1790" s="20" t="b">
        <f>IFERROR(__xludf.DUMMYFUNCTION("""COMPUTED_VALUE"""),FALSE)</f>
        <v>0</v>
      </c>
      <c r="N1790" s="20" t="b">
        <f>IFERROR(__xludf.DUMMYFUNCTION("""COMPUTED_VALUE"""),FALSE)</f>
        <v>0</v>
      </c>
      <c r="O1790" s="20">
        <f>IFERROR(__xludf.DUMMYFUNCTION("""COMPUTED_VALUE"""),79.8797279829146)</f>
        <v>79.87972798</v>
      </c>
      <c r="P1790" s="20">
        <f>IFERROR(__xludf.DUMMYFUNCTION("""COMPUTED_VALUE"""),14213.0)</f>
        <v>14213</v>
      </c>
      <c r="Q1790" s="20">
        <f>IFERROR(__xludf.DUMMYFUNCTION("""COMPUTED_VALUE"""),17793.0)</f>
        <v>17793</v>
      </c>
    </row>
    <row r="1791">
      <c r="A1791" s="20">
        <f>IFERROR(__xludf.DUMMYFUNCTION("""COMPUTED_VALUE"""),1915.0)</f>
        <v>1915</v>
      </c>
      <c r="B1791" s="20" t="str">
        <f>IFERROR(__xludf.DUMMYFUNCTION("""COMPUTED_VALUE"""),"Check if One String Swap Can Make Strings Equal")</f>
        <v>Check if One String Swap Can Make Strings Equal</v>
      </c>
      <c r="C1791" s="20" t="str">
        <f>IFERROR(__xludf.DUMMYFUNCTION("""COMPUTED_VALUE"""),"check-if-one-string-swap-can-make-strings-equal")</f>
        <v>check-if-one-string-swap-can-make-strings-equal</v>
      </c>
      <c r="D1791" s="20" t="b">
        <f>IFERROR(__xludf.DUMMYFUNCTION("""COMPUTED_VALUE"""),FALSE)</f>
        <v>0</v>
      </c>
      <c r="E1791" s="20" t="str">
        <f>IFERROR(__xludf.DUMMYFUNCTION("""COMPUTED_VALUE"""),"Easy")</f>
        <v>Easy</v>
      </c>
      <c r="F1791" s="20">
        <f>IFERROR(__xludf.DUMMYFUNCTION("""COMPUTED_VALUE"""),772.0)</f>
        <v>772</v>
      </c>
      <c r="G1791" s="20">
        <f>IFERROR(__xludf.DUMMYFUNCTION("""COMPUTED_VALUE"""),37.0)</f>
        <v>37</v>
      </c>
      <c r="H1791" s="20" t="str">
        <f>IFERROR(__xludf.DUMMYFUNCTION("""COMPUTED_VALUE"""),"Algorithms")</f>
        <v>Algorithms</v>
      </c>
      <c r="I1791" s="20">
        <f>IFERROR(__xludf.DUMMYFUNCTION("""COMPUTED_VALUE"""),0.456)</f>
        <v>0.456</v>
      </c>
      <c r="J1791" s="20">
        <f>IFERROR(__xludf.DUMMYFUNCTION("""COMPUTED_VALUE"""),1790.0)</f>
        <v>1790</v>
      </c>
      <c r="K1791" s="20" t="b">
        <f>IFERROR(__xludf.DUMMYFUNCTION("""COMPUTED_VALUE"""),FALSE)</f>
        <v>0</v>
      </c>
      <c r="L1791" s="20" t="str">
        <f>IFERROR(__xludf.DUMMYFUNCTION("""COMPUTED_VALUE"""),"Hash Table;String;Counting;")</f>
        <v>Hash Table;String;Counting;</v>
      </c>
      <c r="M1791" s="20" t="b">
        <f>IFERROR(__xludf.DUMMYFUNCTION("""COMPUTED_VALUE"""),FALSE)</f>
        <v>0</v>
      </c>
      <c r="N1791" s="20" t="b">
        <f>IFERROR(__xludf.DUMMYFUNCTION("""COMPUTED_VALUE"""),FALSE)</f>
        <v>0</v>
      </c>
      <c r="O1791" s="20">
        <f>IFERROR(__xludf.DUMMYFUNCTION("""COMPUTED_VALUE"""),45.6073756159593)</f>
        <v>45.60737562</v>
      </c>
      <c r="P1791" s="20">
        <f>IFERROR(__xludf.DUMMYFUNCTION("""COMPUTED_VALUE"""),71727.0)</f>
        <v>71727</v>
      </c>
      <c r="Q1791" s="20">
        <f>IFERROR(__xludf.DUMMYFUNCTION("""COMPUTED_VALUE"""),157269.0)</f>
        <v>157269</v>
      </c>
    </row>
    <row r="1792">
      <c r="A1792" s="20">
        <f>IFERROR(__xludf.DUMMYFUNCTION("""COMPUTED_VALUE"""),1916.0)</f>
        <v>1916</v>
      </c>
      <c r="B1792" s="20" t="str">
        <f>IFERROR(__xludf.DUMMYFUNCTION("""COMPUTED_VALUE"""),"Find Center of Star Graph")</f>
        <v>Find Center of Star Graph</v>
      </c>
      <c r="C1792" s="20" t="str">
        <f>IFERROR(__xludf.DUMMYFUNCTION("""COMPUTED_VALUE"""),"find-center-of-star-graph")</f>
        <v>find-center-of-star-graph</v>
      </c>
      <c r="D1792" s="20" t="b">
        <f>IFERROR(__xludf.DUMMYFUNCTION("""COMPUTED_VALUE"""),FALSE)</f>
        <v>0</v>
      </c>
      <c r="E1792" s="20" t="str">
        <f>IFERROR(__xludf.DUMMYFUNCTION("""COMPUTED_VALUE"""),"Easy")</f>
        <v>Easy</v>
      </c>
      <c r="F1792" s="20">
        <f>IFERROR(__xludf.DUMMYFUNCTION("""COMPUTED_VALUE"""),931.0)</f>
        <v>931</v>
      </c>
      <c r="G1792" s="20">
        <f>IFERROR(__xludf.DUMMYFUNCTION("""COMPUTED_VALUE"""),116.0)</f>
        <v>116</v>
      </c>
      <c r="H1792" s="20" t="str">
        <f>IFERROR(__xludf.DUMMYFUNCTION("""COMPUTED_VALUE"""),"Algorithms")</f>
        <v>Algorithms</v>
      </c>
      <c r="I1792" s="20">
        <f>IFERROR(__xludf.DUMMYFUNCTION("""COMPUTED_VALUE"""),0.836)</f>
        <v>0.836</v>
      </c>
      <c r="J1792" s="20">
        <f>IFERROR(__xludf.DUMMYFUNCTION("""COMPUTED_VALUE"""),1791.0)</f>
        <v>1791</v>
      </c>
      <c r="K1792" s="20" t="b">
        <f>IFERROR(__xludf.DUMMYFUNCTION("""COMPUTED_VALUE"""),FALSE)</f>
        <v>0</v>
      </c>
      <c r="L1792" s="20" t="str">
        <f>IFERROR(__xludf.DUMMYFUNCTION("""COMPUTED_VALUE"""),"Graph;")</f>
        <v>Graph;</v>
      </c>
      <c r="M1792" s="20" t="b">
        <f>IFERROR(__xludf.DUMMYFUNCTION("""COMPUTED_VALUE"""),FALSE)</f>
        <v>0</v>
      </c>
      <c r="N1792" s="20" t="b">
        <f>IFERROR(__xludf.DUMMYFUNCTION("""COMPUTED_VALUE"""),FALSE)</f>
        <v>0</v>
      </c>
      <c r="O1792" s="20">
        <f>IFERROR(__xludf.DUMMYFUNCTION("""COMPUTED_VALUE"""),83.5495672975445)</f>
        <v>83.5495673</v>
      </c>
      <c r="P1792" s="20">
        <f>IFERROR(__xludf.DUMMYFUNCTION("""COMPUTED_VALUE"""),118749.0)</f>
        <v>118749</v>
      </c>
      <c r="Q1792" s="20">
        <f>IFERROR(__xludf.DUMMYFUNCTION("""COMPUTED_VALUE"""),142128.0)</f>
        <v>142128</v>
      </c>
    </row>
    <row r="1793">
      <c r="A1793" s="20">
        <f>IFERROR(__xludf.DUMMYFUNCTION("""COMPUTED_VALUE"""),1917.0)</f>
        <v>1917</v>
      </c>
      <c r="B1793" s="20" t="str">
        <f>IFERROR(__xludf.DUMMYFUNCTION("""COMPUTED_VALUE"""),"Maximum Average Pass Ratio")</f>
        <v>Maximum Average Pass Ratio</v>
      </c>
      <c r="C1793" s="20" t="str">
        <f>IFERROR(__xludf.DUMMYFUNCTION("""COMPUTED_VALUE"""),"maximum-average-pass-ratio")</f>
        <v>maximum-average-pass-ratio</v>
      </c>
      <c r="D1793" s="20" t="b">
        <f>IFERROR(__xludf.DUMMYFUNCTION("""COMPUTED_VALUE"""),FALSE)</f>
        <v>0</v>
      </c>
      <c r="E1793" s="20" t="str">
        <f>IFERROR(__xludf.DUMMYFUNCTION("""COMPUTED_VALUE"""),"Medium")</f>
        <v>Medium</v>
      </c>
      <c r="F1793" s="20">
        <f>IFERROR(__xludf.DUMMYFUNCTION("""COMPUTED_VALUE"""),600.0)</f>
        <v>600</v>
      </c>
      <c r="G1793" s="20">
        <f>IFERROR(__xludf.DUMMYFUNCTION("""COMPUTED_VALUE"""),65.0)</f>
        <v>65</v>
      </c>
      <c r="H1793" s="20" t="str">
        <f>IFERROR(__xludf.DUMMYFUNCTION("""COMPUTED_VALUE"""),"Algorithms")</f>
        <v>Algorithms</v>
      </c>
      <c r="I1793" s="20">
        <f>IFERROR(__xludf.DUMMYFUNCTION("""COMPUTED_VALUE"""),0.521)</f>
        <v>0.521</v>
      </c>
      <c r="J1793" s="20">
        <f>IFERROR(__xludf.DUMMYFUNCTION("""COMPUTED_VALUE"""),1792.0)</f>
        <v>1792</v>
      </c>
      <c r="K1793" s="20" t="b">
        <f>IFERROR(__xludf.DUMMYFUNCTION("""COMPUTED_VALUE"""),FALSE)</f>
        <v>0</v>
      </c>
      <c r="L1793" s="20" t="str">
        <f>IFERROR(__xludf.DUMMYFUNCTION("""COMPUTED_VALUE"""),"Array;Greedy;Heap (Priority Queue);")</f>
        <v>Array;Greedy;Heap (Priority Queue);</v>
      </c>
      <c r="M1793" s="20" t="b">
        <f>IFERROR(__xludf.DUMMYFUNCTION("""COMPUTED_VALUE"""),FALSE)</f>
        <v>0</v>
      </c>
      <c r="N1793" s="20" t="b">
        <f>IFERROR(__xludf.DUMMYFUNCTION("""COMPUTED_VALUE"""),FALSE)</f>
        <v>0</v>
      </c>
      <c r="O1793" s="20">
        <f>IFERROR(__xludf.DUMMYFUNCTION("""COMPUTED_VALUE"""),52.1134497513588)</f>
        <v>52.11344975</v>
      </c>
      <c r="P1793" s="20">
        <f>IFERROR(__xludf.DUMMYFUNCTION("""COMPUTED_VALUE"""),18025.0)</f>
        <v>18025</v>
      </c>
      <c r="Q1793" s="20">
        <f>IFERROR(__xludf.DUMMYFUNCTION("""COMPUTED_VALUE"""),34588.0)</f>
        <v>34588</v>
      </c>
    </row>
    <row r="1794">
      <c r="A1794" s="20">
        <f>IFERROR(__xludf.DUMMYFUNCTION("""COMPUTED_VALUE"""),1918.0)</f>
        <v>1918</v>
      </c>
      <c r="B1794" s="20" t="str">
        <f>IFERROR(__xludf.DUMMYFUNCTION("""COMPUTED_VALUE"""),"Maximum Score of a Good Subarray")</f>
        <v>Maximum Score of a Good Subarray</v>
      </c>
      <c r="C1794" s="20" t="str">
        <f>IFERROR(__xludf.DUMMYFUNCTION("""COMPUTED_VALUE"""),"maximum-score-of-a-good-subarray")</f>
        <v>maximum-score-of-a-good-subarray</v>
      </c>
      <c r="D1794" s="20" t="b">
        <f>IFERROR(__xludf.DUMMYFUNCTION("""COMPUTED_VALUE"""),FALSE)</f>
        <v>0</v>
      </c>
      <c r="E1794" s="20" t="str">
        <f>IFERROR(__xludf.DUMMYFUNCTION("""COMPUTED_VALUE"""),"Hard")</f>
        <v>Hard</v>
      </c>
      <c r="F1794" s="20">
        <f>IFERROR(__xludf.DUMMYFUNCTION("""COMPUTED_VALUE"""),839.0)</f>
        <v>839</v>
      </c>
      <c r="G1794" s="20">
        <f>IFERROR(__xludf.DUMMYFUNCTION("""COMPUTED_VALUE"""),27.0)</f>
        <v>27</v>
      </c>
      <c r="H1794" s="20" t="str">
        <f>IFERROR(__xludf.DUMMYFUNCTION("""COMPUTED_VALUE"""),"Algorithms")</f>
        <v>Algorithms</v>
      </c>
      <c r="I1794" s="20">
        <f>IFERROR(__xludf.DUMMYFUNCTION("""COMPUTED_VALUE"""),0.535)</f>
        <v>0.535</v>
      </c>
      <c r="J1794" s="20">
        <f>IFERROR(__xludf.DUMMYFUNCTION("""COMPUTED_VALUE"""),1793.0)</f>
        <v>1793</v>
      </c>
      <c r="K1794" s="20" t="b">
        <f>IFERROR(__xludf.DUMMYFUNCTION("""COMPUTED_VALUE"""),FALSE)</f>
        <v>0</v>
      </c>
      <c r="L1794" s="20" t="str">
        <f>IFERROR(__xludf.DUMMYFUNCTION("""COMPUTED_VALUE"""),"Array;Two Pointers;Binary Search;Stack;Monotonic Stack;")</f>
        <v>Array;Two Pointers;Binary Search;Stack;Monotonic Stack;</v>
      </c>
      <c r="M1794" s="20" t="b">
        <f>IFERROR(__xludf.DUMMYFUNCTION("""COMPUTED_VALUE"""),FALSE)</f>
        <v>0</v>
      </c>
      <c r="N1794" s="20" t="b">
        <f>IFERROR(__xludf.DUMMYFUNCTION("""COMPUTED_VALUE"""),FALSE)</f>
        <v>0</v>
      </c>
      <c r="O1794" s="20">
        <f>IFERROR(__xludf.DUMMYFUNCTION("""COMPUTED_VALUE"""),53.5317816874873)</f>
        <v>53.53178169</v>
      </c>
      <c r="P1794" s="20">
        <f>IFERROR(__xludf.DUMMYFUNCTION("""COMPUTED_VALUE"""),18469.0)</f>
        <v>18469</v>
      </c>
      <c r="Q1794" s="20">
        <f>IFERROR(__xludf.DUMMYFUNCTION("""COMPUTED_VALUE"""),34501.0)</f>
        <v>34501</v>
      </c>
    </row>
    <row r="1795">
      <c r="A1795" s="20">
        <f>IFERROR(__xludf.DUMMYFUNCTION("""COMPUTED_VALUE"""),1943.0)</f>
        <v>1943</v>
      </c>
      <c r="B1795" s="20" t="str">
        <f>IFERROR(__xludf.DUMMYFUNCTION("""COMPUTED_VALUE"""),"Count Pairs of Equal Substrings With Minimum Difference")</f>
        <v>Count Pairs of Equal Substrings With Minimum Difference</v>
      </c>
      <c r="C1795" s="20" t="str">
        <f>IFERROR(__xludf.DUMMYFUNCTION("""COMPUTED_VALUE"""),"count-pairs-of-equal-substrings-with-minimum-difference")</f>
        <v>count-pairs-of-equal-substrings-with-minimum-difference</v>
      </c>
      <c r="D1795" s="20" t="b">
        <f>IFERROR(__xludf.DUMMYFUNCTION("""COMPUTED_VALUE"""),TRUE)</f>
        <v>1</v>
      </c>
      <c r="E1795" s="20" t="str">
        <f>IFERROR(__xludf.DUMMYFUNCTION("""COMPUTED_VALUE"""),"Medium")</f>
        <v>Medium</v>
      </c>
      <c r="F1795" s="20">
        <f>IFERROR(__xludf.DUMMYFUNCTION("""COMPUTED_VALUE"""),35.0)</f>
        <v>35</v>
      </c>
      <c r="G1795" s="20">
        <f>IFERROR(__xludf.DUMMYFUNCTION("""COMPUTED_VALUE"""),45.0)</f>
        <v>45</v>
      </c>
      <c r="H1795" s="20" t="str">
        <f>IFERROR(__xludf.DUMMYFUNCTION("""COMPUTED_VALUE"""),"Algorithms")</f>
        <v>Algorithms</v>
      </c>
      <c r="I1795" s="20">
        <f>IFERROR(__xludf.DUMMYFUNCTION("""COMPUTED_VALUE"""),0.653)</f>
        <v>0.653</v>
      </c>
      <c r="J1795" s="20">
        <f>IFERROR(__xludf.DUMMYFUNCTION("""COMPUTED_VALUE"""),1794.0)</f>
        <v>1794</v>
      </c>
      <c r="K1795" s="20" t="b">
        <f>IFERROR(__xludf.DUMMYFUNCTION("""COMPUTED_VALUE"""),TRUE)</f>
        <v>1</v>
      </c>
      <c r="L1795" s="20" t="str">
        <f>IFERROR(__xludf.DUMMYFUNCTION("""COMPUTED_VALUE"""),"Hash Table;String;Greedy;")</f>
        <v>Hash Table;String;Greedy;</v>
      </c>
      <c r="M1795" s="20" t="b">
        <f>IFERROR(__xludf.DUMMYFUNCTION("""COMPUTED_VALUE"""),FALSE)</f>
        <v>0</v>
      </c>
      <c r="N1795" s="20" t="b">
        <f>IFERROR(__xludf.DUMMYFUNCTION("""COMPUTED_VALUE"""),FALSE)</f>
        <v>0</v>
      </c>
      <c r="O1795" s="20">
        <f>IFERROR(__xludf.DUMMYFUNCTION("""COMPUTED_VALUE"""),65.2721547458389)</f>
        <v>65.27215475</v>
      </c>
      <c r="P1795" s="20">
        <f>IFERROR(__xludf.DUMMYFUNCTION("""COMPUTED_VALUE"""),1451.0)</f>
        <v>1451</v>
      </c>
      <c r="Q1795" s="20">
        <f>IFERROR(__xludf.DUMMYFUNCTION("""COMPUTED_VALUE"""),2223.0)</f>
        <v>2223</v>
      </c>
    </row>
    <row r="1796">
      <c r="A1796" s="20">
        <f>IFERROR(__xludf.DUMMYFUNCTION("""COMPUTED_VALUE"""),1948.0)</f>
        <v>1948</v>
      </c>
      <c r="B1796" s="20" t="str">
        <f>IFERROR(__xludf.DUMMYFUNCTION("""COMPUTED_VALUE"""),"Rearrange Products Table")</f>
        <v>Rearrange Products Table</v>
      </c>
      <c r="C1796" s="20" t="str">
        <f>IFERROR(__xludf.DUMMYFUNCTION("""COMPUTED_VALUE"""),"rearrange-products-table")</f>
        <v>rearrange-products-table</v>
      </c>
      <c r="D1796" s="20" t="b">
        <f>IFERROR(__xludf.DUMMYFUNCTION("""COMPUTED_VALUE"""),FALSE)</f>
        <v>0</v>
      </c>
      <c r="E1796" s="20" t="str">
        <f>IFERROR(__xludf.DUMMYFUNCTION("""COMPUTED_VALUE"""),"Easy")</f>
        <v>Easy</v>
      </c>
      <c r="F1796" s="20">
        <f>IFERROR(__xludf.DUMMYFUNCTION("""COMPUTED_VALUE"""),508.0)</f>
        <v>508</v>
      </c>
      <c r="G1796" s="20">
        <f>IFERROR(__xludf.DUMMYFUNCTION("""COMPUTED_VALUE"""),36.0)</f>
        <v>36</v>
      </c>
      <c r="H1796" s="20" t="str">
        <f>IFERROR(__xludf.DUMMYFUNCTION("""COMPUTED_VALUE"""),"Database")</f>
        <v>Database</v>
      </c>
      <c r="I1796" s="20">
        <f>IFERROR(__xludf.DUMMYFUNCTION("""COMPUTED_VALUE"""),0.884)</f>
        <v>0.884</v>
      </c>
      <c r="J1796" s="20">
        <f>IFERROR(__xludf.DUMMYFUNCTION("""COMPUTED_VALUE"""),1795.0)</f>
        <v>1795</v>
      </c>
      <c r="K1796" s="20" t="b">
        <f>IFERROR(__xludf.DUMMYFUNCTION("""COMPUTED_VALUE"""),FALSE)</f>
        <v>0</v>
      </c>
      <c r="L1796" s="20" t="str">
        <f>IFERROR(__xludf.DUMMYFUNCTION("""COMPUTED_VALUE"""),"Database;")</f>
        <v>Database;</v>
      </c>
      <c r="M1796" s="20" t="b">
        <f>IFERROR(__xludf.DUMMYFUNCTION("""COMPUTED_VALUE"""),FALSE)</f>
        <v>0</v>
      </c>
      <c r="N1796" s="20" t="b">
        <f>IFERROR(__xludf.DUMMYFUNCTION("""COMPUTED_VALUE"""),FALSE)</f>
        <v>0</v>
      </c>
      <c r="O1796" s="20">
        <f>IFERROR(__xludf.DUMMYFUNCTION("""COMPUTED_VALUE"""),88.37167255431)</f>
        <v>88.37167255</v>
      </c>
      <c r="P1796" s="20">
        <f>IFERROR(__xludf.DUMMYFUNCTION("""COMPUTED_VALUE"""),63540.0)</f>
        <v>63540</v>
      </c>
      <c r="Q1796" s="20">
        <f>IFERROR(__xludf.DUMMYFUNCTION("""COMPUTED_VALUE"""),71901.0)</f>
        <v>71901</v>
      </c>
    </row>
    <row r="1797">
      <c r="A1797" s="20">
        <f>IFERROR(__xludf.DUMMYFUNCTION("""COMPUTED_VALUE"""),1904.0)</f>
        <v>1904</v>
      </c>
      <c r="B1797" s="20" t="str">
        <f>IFERROR(__xludf.DUMMYFUNCTION("""COMPUTED_VALUE"""),"Second Largest Digit in a String")</f>
        <v>Second Largest Digit in a String</v>
      </c>
      <c r="C1797" s="20" t="str">
        <f>IFERROR(__xludf.DUMMYFUNCTION("""COMPUTED_VALUE"""),"second-largest-digit-in-a-string")</f>
        <v>second-largest-digit-in-a-string</v>
      </c>
      <c r="D1797" s="20" t="b">
        <f>IFERROR(__xludf.DUMMYFUNCTION("""COMPUTED_VALUE"""),FALSE)</f>
        <v>0</v>
      </c>
      <c r="E1797" s="20" t="str">
        <f>IFERROR(__xludf.DUMMYFUNCTION("""COMPUTED_VALUE"""),"Easy")</f>
        <v>Easy</v>
      </c>
      <c r="F1797" s="20">
        <f>IFERROR(__xludf.DUMMYFUNCTION("""COMPUTED_VALUE"""),368.0)</f>
        <v>368</v>
      </c>
      <c r="G1797" s="20">
        <f>IFERROR(__xludf.DUMMYFUNCTION("""COMPUTED_VALUE"""),98.0)</f>
        <v>98</v>
      </c>
      <c r="H1797" s="20" t="str">
        <f>IFERROR(__xludf.DUMMYFUNCTION("""COMPUTED_VALUE"""),"Algorithms")</f>
        <v>Algorithms</v>
      </c>
      <c r="I1797" s="20">
        <f>IFERROR(__xludf.DUMMYFUNCTION("""COMPUTED_VALUE"""),0.492)</f>
        <v>0.492</v>
      </c>
      <c r="J1797" s="20">
        <f>IFERROR(__xludf.DUMMYFUNCTION("""COMPUTED_VALUE"""),1796.0)</f>
        <v>1796</v>
      </c>
      <c r="K1797" s="20" t="b">
        <f>IFERROR(__xludf.DUMMYFUNCTION("""COMPUTED_VALUE"""),FALSE)</f>
        <v>0</v>
      </c>
      <c r="L1797" s="20" t="str">
        <f>IFERROR(__xludf.DUMMYFUNCTION("""COMPUTED_VALUE"""),"Hash Table;String;")</f>
        <v>Hash Table;String;</v>
      </c>
      <c r="M1797" s="20" t="b">
        <f>IFERROR(__xludf.DUMMYFUNCTION("""COMPUTED_VALUE"""),FALSE)</f>
        <v>0</v>
      </c>
      <c r="N1797" s="20" t="b">
        <f>IFERROR(__xludf.DUMMYFUNCTION("""COMPUTED_VALUE"""),FALSE)</f>
        <v>0</v>
      </c>
      <c r="O1797" s="20">
        <f>IFERROR(__xludf.DUMMYFUNCTION("""COMPUTED_VALUE"""),49.2019226726831)</f>
        <v>49.20192267</v>
      </c>
      <c r="P1797" s="20">
        <f>IFERROR(__xludf.DUMMYFUNCTION("""COMPUTED_VALUE"""),35106.0)</f>
        <v>35106</v>
      </c>
      <c r="Q1797" s="20">
        <f>IFERROR(__xludf.DUMMYFUNCTION("""COMPUTED_VALUE"""),71355.0)</f>
        <v>71355</v>
      </c>
    </row>
    <row r="1798">
      <c r="A1798" s="20">
        <f>IFERROR(__xludf.DUMMYFUNCTION("""COMPUTED_VALUE"""),1905.0)</f>
        <v>1905</v>
      </c>
      <c r="B1798" s="20" t="str">
        <f>IFERROR(__xludf.DUMMYFUNCTION("""COMPUTED_VALUE"""),"Design Authentication Manager")</f>
        <v>Design Authentication Manager</v>
      </c>
      <c r="C1798" s="20" t="str">
        <f>IFERROR(__xludf.DUMMYFUNCTION("""COMPUTED_VALUE"""),"design-authentication-manager")</f>
        <v>design-authentication-manager</v>
      </c>
      <c r="D1798" s="20" t="b">
        <f>IFERROR(__xludf.DUMMYFUNCTION("""COMPUTED_VALUE"""),FALSE)</f>
        <v>0</v>
      </c>
      <c r="E1798" s="20" t="str">
        <f>IFERROR(__xludf.DUMMYFUNCTION("""COMPUTED_VALUE"""),"Medium")</f>
        <v>Medium</v>
      </c>
      <c r="F1798" s="20">
        <f>IFERROR(__xludf.DUMMYFUNCTION("""COMPUTED_VALUE"""),238.0)</f>
        <v>238</v>
      </c>
      <c r="G1798" s="20">
        <f>IFERROR(__xludf.DUMMYFUNCTION("""COMPUTED_VALUE"""),36.0)</f>
        <v>36</v>
      </c>
      <c r="H1798" s="20" t="str">
        <f>IFERROR(__xludf.DUMMYFUNCTION("""COMPUTED_VALUE"""),"Algorithms")</f>
        <v>Algorithms</v>
      </c>
      <c r="I1798" s="20">
        <f>IFERROR(__xludf.DUMMYFUNCTION("""COMPUTED_VALUE"""),0.564)</f>
        <v>0.564</v>
      </c>
      <c r="J1798" s="20">
        <f>IFERROR(__xludf.DUMMYFUNCTION("""COMPUTED_VALUE"""),1797.0)</f>
        <v>1797</v>
      </c>
      <c r="K1798" s="20" t="b">
        <f>IFERROR(__xludf.DUMMYFUNCTION("""COMPUTED_VALUE"""),FALSE)</f>
        <v>0</v>
      </c>
      <c r="L1798" s="20" t="str">
        <f>IFERROR(__xludf.DUMMYFUNCTION("""COMPUTED_VALUE"""),"Hash Table;Design;")</f>
        <v>Hash Table;Design;</v>
      </c>
      <c r="M1798" s="20" t="b">
        <f>IFERROR(__xludf.DUMMYFUNCTION("""COMPUTED_VALUE"""),FALSE)</f>
        <v>0</v>
      </c>
      <c r="N1798" s="20" t="b">
        <f>IFERROR(__xludf.DUMMYFUNCTION("""COMPUTED_VALUE"""),FALSE)</f>
        <v>0</v>
      </c>
      <c r="O1798" s="20">
        <f>IFERROR(__xludf.DUMMYFUNCTION("""COMPUTED_VALUE"""),56.3692353913174)</f>
        <v>56.36923539</v>
      </c>
      <c r="P1798" s="20">
        <f>IFERROR(__xludf.DUMMYFUNCTION("""COMPUTED_VALUE"""),15010.0)</f>
        <v>15010</v>
      </c>
      <c r="Q1798" s="20">
        <f>IFERROR(__xludf.DUMMYFUNCTION("""COMPUTED_VALUE"""),26628.0)</f>
        <v>26628</v>
      </c>
    </row>
    <row r="1799">
      <c r="A1799" s="20">
        <f>IFERROR(__xludf.DUMMYFUNCTION("""COMPUTED_VALUE"""),1930.0)</f>
        <v>1930</v>
      </c>
      <c r="B1799" s="20" t="str">
        <f>IFERROR(__xludf.DUMMYFUNCTION("""COMPUTED_VALUE"""),"Maximum Number of Consecutive Values You Can Make")</f>
        <v>Maximum Number of Consecutive Values You Can Make</v>
      </c>
      <c r="C1799" s="20" t="str">
        <f>IFERROR(__xludf.DUMMYFUNCTION("""COMPUTED_VALUE"""),"maximum-number-of-consecutive-values-you-can-make")</f>
        <v>maximum-number-of-consecutive-values-you-can-make</v>
      </c>
      <c r="D1799" s="20" t="b">
        <f>IFERROR(__xludf.DUMMYFUNCTION("""COMPUTED_VALUE"""),FALSE)</f>
        <v>0</v>
      </c>
      <c r="E1799" s="20" t="str">
        <f>IFERROR(__xludf.DUMMYFUNCTION("""COMPUTED_VALUE"""),"Medium")</f>
        <v>Medium</v>
      </c>
      <c r="F1799" s="20">
        <f>IFERROR(__xludf.DUMMYFUNCTION("""COMPUTED_VALUE"""),593.0)</f>
        <v>593</v>
      </c>
      <c r="G1799" s="20">
        <f>IFERROR(__xludf.DUMMYFUNCTION("""COMPUTED_VALUE"""),43.0)</f>
        <v>43</v>
      </c>
      <c r="H1799" s="20" t="str">
        <f>IFERROR(__xludf.DUMMYFUNCTION("""COMPUTED_VALUE"""),"Algorithms")</f>
        <v>Algorithms</v>
      </c>
      <c r="I1799" s="20">
        <f>IFERROR(__xludf.DUMMYFUNCTION("""COMPUTED_VALUE"""),0.548)</f>
        <v>0.548</v>
      </c>
      <c r="J1799" s="20">
        <f>IFERROR(__xludf.DUMMYFUNCTION("""COMPUTED_VALUE"""),1798.0)</f>
        <v>1798</v>
      </c>
      <c r="K1799" s="20" t="b">
        <f>IFERROR(__xludf.DUMMYFUNCTION("""COMPUTED_VALUE"""),FALSE)</f>
        <v>0</v>
      </c>
      <c r="L1799" s="20" t="str">
        <f>IFERROR(__xludf.DUMMYFUNCTION("""COMPUTED_VALUE"""),"Array;Greedy;")</f>
        <v>Array;Greedy;</v>
      </c>
      <c r="M1799" s="20" t="b">
        <f>IFERROR(__xludf.DUMMYFUNCTION("""COMPUTED_VALUE"""),FALSE)</f>
        <v>0</v>
      </c>
      <c r="N1799" s="20" t="b">
        <f>IFERROR(__xludf.DUMMYFUNCTION("""COMPUTED_VALUE"""),FALSE)</f>
        <v>0</v>
      </c>
      <c r="O1799" s="20">
        <f>IFERROR(__xludf.DUMMYFUNCTION("""COMPUTED_VALUE"""),54.7962742241645)</f>
        <v>54.79627422</v>
      </c>
      <c r="P1799" s="20">
        <f>IFERROR(__xludf.DUMMYFUNCTION("""COMPUTED_VALUE"""),12413.0)</f>
        <v>12413</v>
      </c>
      <c r="Q1799" s="20">
        <f>IFERROR(__xludf.DUMMYFUNCTION("""COMPUTED_VALUE"""),22653.0)</f>
        <v>22653</v>
      </c>
    </row>
    <row r="1800">
      <c r="A1800" s="20">
        <f>IFERROR(__xludf.DUMMYFUNCTION("""COMPUTED_VALUE"""),1906.0)</f>
        <v>1906</v>
      </c>
      <c r="B1800" s="20" t="str">
        <f>IFERROR(__xludf.DUMMYFUNCTION("""COMPUTED_VALUE"""),"Maximize Score After N Operations")</f>
        <v>Maximize Score After N Operations</v>
      </c>
      <c r="C1800" s="20" t="str">
        <f>IFERROR(__xludf.DUMMYFUNCTION("""COMPUTED_VALUE"""),"maximize-score-after-n-operations")</f>
        <v>maximize-score-after-n-operations</v>
      </c>
      <c r="D1800" s="20" t="b">
        <f>IFERROR(__xludf.DUMMYFUNCTION("""COMPUTED_VALUE"""),FALSE)</f>
        <v>0</v>
      </c>
      <c r="E1800" s="20" t="str">
        <f>IFERROR(__xludf.DUMMYFUNCTION("""COMPUTED_VALUE"""),"Hard")</f>
        <v>Hard</v>
      </c>
      <c r="F1800" s="20">
        <f>IFERROR(__xludf.DUMMYFUNCTION("""COMPUTED_VALUE"""),504.0)</f>
        <v>504</v>
      </c>
      <c r="G1800" s="20">
        <f>IFERROR(__xludf.DUMMYFUNCTION("""COMPUTED_VALUE"""),45.0)</f>
        <v>45</v>
      </c>
      <c r="H1800" s="20" t="str">
        <f>IFERROR(__xludf.DUMMYFUNCTION("""COMPUTED_VALUE"""),"Algorithms")</f>
        <v>Algorithms</v>
      </c>
      <c r="I1800" s="20">
        <f>IFERROR(__xludf.DUMMYFUNCTION("""COMPUTED_VALUE"""),0.46)</f>
        <v>0.46</v>
      </c>
      <c r="J1800" s="20">
        <f>IFERROR(__xludf.DUMMYFUNCTION("""COMPUTED_VALUE"""),1799.0)</f>
        <v>1799</v>
      </c>
      <c r="K1800" s="20" t="b">
        <f>IFERROR(__xludf.DUMMYFUNCTION("""COMPUTED_VALUE"""),FALSE)</f>
        <v>0</v>
      </c>
      <c r="L1800" s="20" t="str">
        <f>IFERROR(__xludf.DUMMYFUNCTION("""COMPUTED_VALUE"""),"Array;Math;Dynamic Programming;Backtracking;Bit Manipulation;Number Theory;Bitmask;")</f>
        <v>Array;Math;Dynamic Programming;Backtracking;Bit Manipulation;Number Theory;Bitmask;</v>
      </c>
      <c r="M1800" s="20" t="b">
        <f>IFERROR(__xludf.DUMMYFUNCTION("""COMPUTED_VALUE"""),FALSE)</f>
        <v>0</v>
      </c>
      <c r="N1800" s="20" t="b">
        <f>IFERROR(__xludf.DUMMYFUNCTION("""COMPUTED_VALUE"""),FALSE)</f>
        <v>0</v>
      </c>
      <c r="O1800" s="20">
        <f>IFERROR(__xludf.DUMMYFUNCTION("""COMPUTED_VALUE"""),46.003120686551)</f>
        <v>46.00312069</v>
      </c>
      <c r="P1800" s="20">
        <f>IFERROR(__xludf.DUMMYFUNCTION("""COMPUTED_VALUE"""),15331.0)</f>
        <v>15331</v>
      </c>
      <c r="Q1800" s="20">
        <f>IFERROR(__xludf.DUMMYFUNCTION("""COMPUTED_VALUE"""),33326.0)</f>
        <v>33326</v>
      </c>
    </row>
    <row r="1801">
      <c r="A1801" s="20">
        <f>IFERROR(__xludf.DUMMYFUNCTION("""COMPUTED_VALUE"""),1927.0)</f>
        <v>1927</v>
      </c>
      <c r="B1801" s="20" t="str">
        <f>IFERROR(__xludf.DUMMYFUNCTION("""COMPUTED_VALUE"""),"Maximum Ascending Subarray Sum")</f>
        <v>Maximum Ascending Subarray Sum</v>
      </c>
      <c r="C1801" s="20" t="str">
        <f>IFERROR(__xludf.DUMMYFUNCTION("""COMPUTED_VALUE"""),"maximum-ascending-subarray-sum")</f>
        <v>maximum-ascending-subarray-sum</v>
      </c>
      <c r="D1801" s="20" t="b">
        <f>IFERROR(__xludf.DUMMYFUNCTION("""COMPUTED_VALUE"""),FALSE)</f>
        <v>0</v>
      </c>
      <c r="E1801" s="20" t="str">
        <f>IFERROR(__xludf.DUMMYFUNCTION("""COMPUTED_VALUE"""),"Easy")</f>
        <v>Easy</v>
      </c>
      <c r="F1801" s="20">
        <f>IFERROR(__xludf.DUMMYFUNCTION("""COMPUTED_VALUE"""),528.0)</f>
        <v>528</v>
      </c>
      <c r="G1801" s="20">
        <f>IFERROR(__xludf.DUMMYFUNCTION("""COMPUTED_VALUE"""),19.0)</f>
        <v>19</v>
      </c>
      <c r="H1801" s="20" t="str">
        <f>IFERROR(__xludf.DUMMYFUNCTION("""COMPUTED_VALUE"""),"Algorithms")</f>
        <v>Algorithms</v>
      </c>
      <c r="I1801" s="20">
        <f>IFERROR(__xludf.DUMMYFUNCTION("""COMPUTED_VALUE"""),0.636)</f>
        <v>0.636</v>
      </c>
      <c r="J1801" s="20">
        <f>IFERROR(__xludf.DUMMYFUNCTION("""COMPUTED_VALUE"""),1800.0)</f>
        <v>1800</v>
      </c>
      <c r="K1801" s="20" t="b">
        <f>IFERROR(__xludf.DUMMYFUNCTION("""COMPUTED_VALUE"""),FALSE)</f>
        <v>0</v>
      </c>
      <c r="L1801" s="20" t="str">
        <f>IFERROR(__xludf.DUMMYFUNCTION("""COMPUTED_VALUE"""),"Array;")</f>
        <v>Array;</v>
      </c>
      <c r="M1801" s="20" t="b">
        <f>IFERROR(__xludf.DUMMYFUNCTION("""COMPUTED_VALUE"""),FALSE)</f>
        <v>0</v>
      </c>
      <c r="N1801" s="20" t="b">
        <f>IFERROR(__xludf.DUMMYFUNCTION("""COMPUTED_VALUE"""),FALSE)</f>
        <v>0</v>
      </c>
      <c r="O1801" s="20">
        <f>IFERROR(__xludf.DUMMYFUNCTION("""COMPUTED_VALUE"""),63.5667649885659)</f>
        <v>63.56676499</v>
      </c>
      <c r="P1801" s="20">
        <f>IFERROR(__xludf.DUMMYFUNCTION("""COMPUTED_VALUE"""),38360.0)</f>
        <v>38360</v>
      </c>
      <c r="Q1801" s="20">
        <f>IFERROR(__xludf.DUMMYFUNCTION("""COMPUTED_VALUE"""),60346.0)</f>
        <v>60346</v>
      </c>
    </row>
    <row r="1802">
      <c r="A1802" s="20">
        <f>IFERROR(__xludf.DUMMYFUNCTION("""COMPUTED_VALUE"""),1928.0)</f>
        <v>1928</v>
      </c>
      <c r="B1802" s="20" t="str">
        <f>IFERROR(__xludf.DUMMYFUNCTION("""COMPUTED_VALUE"""),"Number of Orders in the Backlog")</f>
        <v>Number of Orders in the Backlog</v>
      </c>
      <c r="C1802" s="20" t="str">
        <f>IFERROR(__xludf.DUMMYFUNCTION("""COMPUTED_VALUE"""),"number-of-orders-in-the-backlog")</f>
        <v>number-of-orders-in-the-backlog</v>
      </c>
      <c r="D1802" s="20" t="b">
        <f>IFERROR(__xludf.DUMMYFUNCTION("""COMPUTED_VALUE"""),FALSE)</f>
        <v>0</v>
      </c>
      <c r="E1802" s="20" t="str">
        <f>IFERROR(__xludf.DUMMYFUNCTION("""COMPUTED_VALUE"""),"Medium")</f>
        <v>Medium</v>
      </c>
      <c r="F1802" s="20">
        <f>IFERROR(__xludf.DUMMYFUNCTION("""COMPUTED_VALUE"""),219.0)</f>
        <v>219</v>
      </c>
      <c r="G1802" s="20">
        <f>IFERROR(__xludf.DUMMYFUNCTION("""COMPUTED_VALUE"""),199.0)</f>
        <v>199</v>
      </c>
      <c r="H1802" s="20" t="str">
        <f>IFERROR(__xludf.DUMMYFUNCTION("""COMPUTED_VALUE"""),"Algorithms")</f>
        <v>Algorithms</v>
      </c>
      <c r="I1802" s="20">
        <f>IFERROR(__xludf.DUMMYFUNCTION("""COMPUTED_VALUE"""),0.475)</f>
        <v>0.475</v>
      </c>
      <c r="J1802" s="20">
        <f>IFERROR(__xludf.DUMMYFUNCTION("""COMPUTED_VALUE"""),1801.0)</f>
        <v>1801</v>
      </c>
      <c r="K1802" s="20" t="b">
        <f>IFERROR(__xludf.DUMMYFUNCTION("""COMPUTED_VALUE"""),FALSE)</f>
        <v>0</v>
      </c>
      <c r="L1802" s="20" t="str">
        <f>IFERROR(__xludf.DUMMYFUNCTION("""COMPUTED_VALUE"""),"Array;Heap (Priority Queue);Simulation;")</f>
        <v>Array;Heap (Priority Queue);Simulation;</v>
      </c>
      <c r="M1802" s="20" t="b">
        <f>IFERROR(__xludf.DUMMYFUNCTION("""COMPUTED_VALUE"""),FALSE)</f>
        <v>0</v>
      </c>
      <c r="N1802" s="20" t="b">
        <f>IFERROR(__xludf.DUMMYFUNCTION("""COMPUTED_VALUE"""),FALSE)</f>
        <v>0</v>
      </c>
      <c r="O1802" s="20">
        <f>IFERROR(__xludf.DUMMYFUNCTION("""COMPUTED_VALUE"""),47.4728832766715)</f>
        <v>47.47288328</v>
      </c>
      <c r="P1802" s="20">
        <f>IFERROR(__xludf.DUMMYFUNCTION("""COMPUTED_VALUE"""),14662.0)</f>
        <v>14662</v>
      </c>
      <c r="Q1802" s="20">
        <f>IFERROR(__xludf.DUMMYFUNCTION("""COMPUTED_VALUE"""),30885.0)</f>
        <v>30885</v>
      </c>
    </row>
    <row r="1803">
      <c r="A1803" s="20">
        <f>IFERROR(__xludf.DUMMYFUNCTION("""COMPUTED_VALUE"""),1929.0)</f>
        <v>1929</v>
      </c>
      <c r="B1803" s="20" t="str">
        <f>IFERROR(__xludf.DUMMYFUNCTION("""COMPUTED_VALUE"""),"Maximum Value at a Given Index in a Bounded Array")</f>
        <v>Maximum Value at a Given Index in a Bounded Array</v>
      </c>
      <c r="C1803" s="20" t="str">
        <f>IFERROR(__xludf.DUMMYFUNCTION("""COMPUTED_VALUE"""),"maximum-value-at-a-given-index-in-a-bounded-array")</f>
        <v>maximum-value-at-a-given-index-in-a-bounded-array</v>
      </c>
      <c r="D1803" s="20" t="b">
        <f>IFERROR(__xludf.DUMMYFUNCTION("""COMPUTED_VALUE"""),FALSE)</f>
        <v>0</v>
      </c>
      <c r="E1803" s="20" t="str">
        <f>IFERROR(__xludf.DUMMYFUNCTION("""COMPUTED_VALUE"""),"Medium")</f>
        <v>Medium</v>
      </c>
      <c r="F1803" s="20">
        <f>IFERROR(__xludf.DUMMYFUNCTION("""COMPUTED_VALUE"""),699.0)</f>
        <v>699</v>
      </c>
      <c r="G1803" s="20">
        <f>IFERROR(__xludf.DUMMYFUNCTION("""COMPUTED_VALUE"""),108.0)</f>
        <v>108</v>
      </c>
      <c r="H1803" s="20" t="str">
        <f>IFERROR(__xludf.DUMMYFUNCTION("""COMPUTED_VALUE"""),"Algorithms")</f>
        <v>Algorithms</v>
      </c>
      <c r="I1803" s="20">
        <f>IFERROR(__xludf.DUMMYFUNCTION("""COMPUTED_VALUE"""),0.32)</f>
        <v>0.32</v>
      </c>
      <c r="J1803" s="20">
        <f>IFERROR(__xludf.DUMMYFUNCTION("""COMPUTED_VALUE"""),1802.0)</f>
        <v>1802</v>
      </c>
      <c r="K1803" s="20" t="b">
        <f>IFERROR(__xludf.DUMMYFUNCTION("""COMPUTED_VALUE"""),FALSE)</f>
        <v>0</v>
      </c>
      <c r="L1803" s="20" t="str">
        <f>IFERROR(__xludf.DUMMYFUNCTION("""COMPUTED_VALUE"""),"Binary Search;Greedy;")</f>
        <v>Binary Search;Greedy;</v>
      </c>
      <c r="M1803" s="20" t="b">
        <f>IFERROR(__xludf.DUMMYFUNCTION("""COMPUTED_VALUE"""),FALSE)</f>
        <v>0</v>
      </c>
      <c r="N1803" s="20" t="b">
        <f>IFERROR(__xludf.DUMMYFUNCTION("""COMPUTED_VALUE"""),FALSE)</f>
        <v>0</v>
      </c>
      <c r="O1803" s="20">
        <f>IFERROR(__xludf.DUMMYFUNCTION("""COMPUTED_VALUE"""),31.9669421487603)</f>
        <v>31.96694215</v>
      </c>
      <c r="P1803" s="20">
        <f>IFERROR(__xludf.DUMMYFUNCTION("""COMPUTED_VALUE"""),14505.0)</f>
        <v>14505</v>
      </c>
      <c r="Q1803" s="20">
        <f>IFERROR(__xludf.DUMMYFUNCTION("""COMPUTED_VALUE"""),45375.0)</f>
        <v>45375</v>
      </c>
    </row>
    <row r="1804">
      <c r="A1804" s="20">
        <f>IFERROR(__xludf.DUMMYFUNCTION("""COMPUTED_VALUE"""),1907.0)</f>
        <v>1907</v>
      </c>
      <c r="B1804" s="20" t="str">
        <f>IFERROR(__xludf.DUMMYFUNCTION("""COMPUTED_VALUE"""),"Count Pairs With XOR in a Range")</f>
        <v>Count Pairs With XOR in a Range</v>
      </c>
      <c r="C1804" s="20" t="str">
        <f>IFERROR(__xludf.DUMMYFUNCTION("""COMPUTED_VALUE"""),"count-pairs-with-xor-in-a-range")</f>
        <v>count-pairs-with-xor-in-a-range</v>
      </c>
      <c r="D1804" s="20" t="b">
        <f>IFERROR(__xludf.DUMMYFUNCTION("""COMPUTED_VALUE"""),FALSE)</f>
        <v>0</v>
      </c>
      <c r="E1804" s="20" t="str">
        <f>IFERROR(__xludf.DUMMYFUNCTION("""COMPUTED_VALUE"""),"Hard")</f>
        <v>Hard</v>
      </c>
      <c r="F1804" s="20">
        <f>IFERROR(__xludf.DUMMYFUNCTION("""COMPUTED_VALUE"""),369.0)</f>
        <v>369</v>
      </c>
      <c r="G1804" s="20">
        <f>IFERROR(__xludf.DUMMYFUNCTION("""COMPUTED_VALUE"""),13.0)</f>
        <v>13</v>
      </c>
      <c r="H1804" s="20" t="str">
        <f>IFERROR(__xludf.DUMMYFUNCTION("""COMPUTED_VALUE"""),"Algorithms")</f>
        <v>Algorithms</v>
      </c>
      <c r="I1804" s="20">
        <f>IFERROR(__xludf.DUMMYFUNCTION("""COMPUTED_VALUE"""),0.467)</f>
        <v>0.467</v>
      </c>
      <c r="J1804" s="20">
        <f>IFERROR(__xludf.DUMMYFUNCTION("""COMPUTED_VALUE"""),1803.0)</f>
        <v>1803</v>
      </c>
      <c r="K1804" s="20" t="b">
        <f>IFERROR(__xludf.DUMMYFUNCTION("""COMPUTED_VALUE"""),FALSE)</f>
        <v>0</v>
      </c>
      <c r="L1804" s="20" t="str">
        <f>IFERROR(__xludf.DUMMYFUNCTION("""COMPUTED_VALUE"""),"Array;Bit Manipulation;Trie;")</f>
        <v>Array;Bit Manipulation;Trie;</v>
      </c>
      <c r="M1804" s="20" t="b">
        <f>IFERROR(__xludf.DUMMYFUNCTION("""COMPUTED_VALUE"""),FALSE)</f>
        <v>0</v>
      </c>
      <c r="N1804" s="20" t="b">
        <f>IFERROR(__xludf.DUMMYFUNCTION("""COMPUTED_VALUE"""),FALSE)</f>
        <v>0</v>
      </c>
      <c r="O1804" s="20">
        <f>IFERROR(__xludf.DUMMYFUNCTION("""COMPUTED_VALUE"""),46.7019342040006)</f>
        <v>46.7019342</v>
      </c>
      <c r="P1804" s="20">
        <f>IFERROR(__xludf.DUMMYFUNCTION("""COMPUTED_VALUE"""),5650.0)</f>
        <v>5650</v>
      </c>
      <c r="Q1804" s="20">
        <f>IFERROR(__xludf.DUMMYFUNCTION("""COMPUTED_VALUE"""),12098.0)</f>
        <v>12098</v>
      </c>
    </row>
    <row r="1805">
      <c r="A1805" s="20">
        <f>IFERROR(__xludf.DUMMYFUNCTION("""COMPUTED_VALUE"""),1949.0)</f>
        <v>1949</v>
      </c>
      <c r="B1805" s="20" t="str">
        <f>IFERROR(__xludf.DUMMYFUNCTION("""COMPUTED_VALUE"""),"Implement Trie II (Prefix Tree)")</f>
        <v>Implement Trie II (Prefix Tree)</v>
      </c>
      <c r="C1805" s="20" t="str">
        <f>IFERROR(__xludf.DUMMYFUNCTION("""COMPUTED_VALUE"""),"implement-trie-ii-prefix-tree")</f>
        <v>implement-trie-ii-prefix-tree</v>
      </c>
      <c r="D1805" s="20" t="b">
        <f>IFERROR(__xludf.DUMMYFUNCTION("""COMPUTED_VALUE"""),TRUE)</f>
        <v>1</v>
      </c>
      <c r="E1805" s="20" t="str">
        <f>IFERROR(__xludf.DUMMYFUNCTION("""COMPUTED_VALUE"""),"Medium")</f>
        <v>Medium</v>
      </c>
      <c r="F1805" s="20">
        <f>IFERROR(__xludf.DUMMYFUNCTION("""COMPUTED_VALUE"""),222.0)</f>
        <v>222</v>
      </c>
      <c r="G1805" s="20">
        <f>IFERROR(__xludf.DUMMYFUNCTION("""COMPUTED_VALUE"""),11.0)</f>
        <v>11</v>
      </c>
      <c r="H1805" s="20" t="str">
        <f>IFERROR(__xludf.DUMMYFUNCTION("""COMPUTED_VALUE"""),"Algorithms")</f>
        <v>Algorithms</v>
      </c>
      <c r="I1805" s="20">
        <f>IFERROR(__xludf.DUMMYFUNCTION("""COMPUTED_VALUE"""),0.596)</f>
        <v>0.596</v>
      </c>
      <c r="J1805" s="20">
        <f>IFERROR(__xludf.DUMMYFUNCTION("""COMPUTED_VALUE"""),1804.0)</f>
        <v>1804</v>
      </c>
      <c r="K1805" s="20" t="b">
        <f>IFERROR(__xludf.DUMMYFUNCTION("""COMPUTED_VALUE"""),TRUE)</f>
        <v>1</v>
      </c>
      <c r="L1805" s="20" t="str">
        <f>IFERROR(__xludf.DUMMYFUNCTION("""COMPUTED_VALUE"""),"Hash Table;String;Design;Trie;")</f>
        <v>Hash Table;String;Design;Trie;</v>
      </c>
      <c r="M1805" s="20" t="b">
        <f>IFERROR(__xludf.DUMMYFUNCTION("""COMPUTED_VALUE"""),FALSE)</f>
        <v>0</v>
      </c>
      <c r="N1805" s="20" t="b">
        <f>IFERROR(__xludf.DUMMYFUNCTION("""COMPUTED_VALUE"""),FALSE)</f>
        <v>0</v>
      </c>
      <c r="O1805" s="20">
        <f>IFERROR(__xludf.DUMMYFUNCTION("""COMPUTED_VALUE"""),59.6167691200088)</f>
        <v>59.61676912</v>
      </c>
      <c r="P1805" s="20">
        <f>IFERROR(__xludf.DUMMYFUNCTION("""COMPUTED_VALUE"""),10765.0)</f>
        <v>10765</v>
      </c>
      <c r="Q1805" s="20">
        <f>IFERROR(__xludf.DUMMYFUNCTION("""COMPUTED_VALUE"""),18057.0)</f>
        <v>18057</v>
      </c>
    </row>
    <row r="1806">
      <c r="A1806" s="20">
        <f>IFERROR(__xludf.DUMMYFUNCTION("""COMPUTED_VALUE"""),1933.0)</f>
        <v>1933</v>
      </c>
      <c r="B1806" s="20" t="str">
        <f>IFERROR(__xludf.DUMMYFUNCTION("""COMPUTED_VALUE"""),"Number of Different Integers in a String")</f>
        <v>Number of Different Integers in a String</v>
      </c>
      <c r="C1806" s="20" t="str">
        <f>IFERROR(__xludf.DUMMYFUNCTION("""COMPUTED_VALUE"""),"number-of-different-integers-in-a-string")</f>
        <v>number-of-different-integers-in-a-string</v>
      </c>
      <c r="D1806" s="20" t="b">
        <f>IFERROR(__xludf.DUMMYFUNCTION("""COMPUTED_VALUE"""),FALSE)</f>
        <v>0</v>
      </c>
      <c r="E1806" s="20" t="str">
        <f>IFERROR(__xludf.DUMMYFUNCTION("""COMPUTED_VALUE"""),"Easy")</f>
        <v>Easy</v>
      </c>
      <c r="F1806" s="20">
        <f>IFERROR(__xludf.DUMMYFUNCTION("""COMPUTED_VALUE"""),438.0)</f>
        <v>438</v>
      </c>
      <c r="G1806" s="20">
        <f>IFERROR(__xludf.DUMMYFUNCTION("""COMPUTED_VALUE"""),82.0)</f>
        <v>82</v>
      </c>
      <c r="H1806" s="20" t="str">
        <f>IFERROR(__xludf.DUMMYFUNCTION("""COMPUTED_VALUE"""),"Algorithms")</f>
        <v>Algorithms</v>
      </c>
      <c r="I1806" s="20">
        <f>IFERROR(__xludf.DUMMYFUNCTION("""COMPUTED_VALUE"""),0.363)</f>
        <v>0.363</v>
      </c>
      <c r="J1806" s="20">
        <f>IFERROR(__xludf.DUMMYFUNCTION("""COMPUTED_VALUE"""),1805.0)</f>
        <v>1805</v>
      </c>
      <c r="K1806" s="20" t="b">
        <f>IFERROR(__xludf.DUMMYFUNCTION("""COMPUTED_VALUE"""),FALSE)</f>
        <v>0</v>
      </c>
      <c r="L1806" s="20" t="str">
        <f>IFERROR(__xludf.DUMMYFUNCTION("""COMPUTED_VALUE"""),"Hash Table;String;")</f>
        <v>Hash Table;String;</v>
      </c>
      <c r="M1806" s="20" t="b">
        <f>IFERROR(__xludf.DUMMYFUNCTION("""COMPUTED_VALUE"""),FALSE)</f>
        <v>0</v>
      </c>
      <c r="N1806" s="20" t="b">
        <f>IFERROR(__xludf.DUMMYFUNCTION("""COMPUTED_VALUE"""),FALSE)</f>
        <v>0</v>
      </c>
      <c r="O1806" s="20">
        <f>IFERROR(__xludf.DUMMYFUNCTION("""COMPUTED_VALUE"""),36.3289133878773)</f>
        <v>36.32891339</v>
      </c>
      <c r="P1806" s="20">
        <f>IFERROR(__xludf.DUMMYFUNCTION("""COMPUTED_VALUE"""),33480.0)</f>
        <v>33480</v>
      </c>
      <c r="Q1806" s="20">
        <f>IFERROR(__xludf.DUMMYFUNCTION("""COMPUTED_VALUE"""),92158.0)</f>
        <v>92158</v>
      </c>
    </row>
    <row r="1807">
      <c r="A1807" s="20">
        <f>IFERROR(__xludf.DUMMYFUNCTION("""COMPUTED_VALUE"""),1935.0)</f>
        <v>1935</v>
      </c>
      <c r="B1807" s="20" t="str">
        <f>IFERROR(__xludf.DUMMYFUNCTION("""COMPUTED_VALUE"""),"Minimum Number of Operations to Reinitialize a Permutation")</f>
        <v>Minimum Number of Operations to Reinitialize a Permutation</v>
      </c>
      <c r="C1807" s="20" t="str">
        <f>IFERROR(__xludf.DUMMYFUNCTION("""COMPUTED_VALUE"""),"minimum-number-of-operations-to-reinitialize-a-permutation")</f>
        <v>minimum-number-of-operations-to-reinitialize-a-permutation</v>
      </c>
      <c r="D1807" s="20" t="b">
        <f>IFERROR(__xludf.DUMMYFUNCTION("""COMPUTED_VALUE"""),FALSE)</f>
        <v>0</v>
      </c>
      <c r="E1807" s="20" t="str">
        <f>IFERROR(__xludf.DUMMYFUNCTION("""COMPUTED_VALUE"""),"Medium")</f>
        <v>Medium</v>
      </c>
      <c r="F1807" s="20">
        <f>IFERROR(__xludf.DUMMYFUNCTION("""COMPUTED_VALUE"""),263.0)</f>
        <v>263</v>
      </c>
      <c r="G1807" s="20">
        <f>IFERROR(__xludf.DUMMYFUNCTION("""COMPUTED_VALUE"""),141.0)</f>
        <v>141</v>
      </c>
      <c r="H1807" s="20" t="str">
        <f>IFERROR(__xludf.DUMMYFUNCTION("""COMPUTED_VALUE"""),"Algorithms")</f>
        <v>Algorithms</v>
      </c>
      <c r="I1807" s="20">
        <f>IFERROR(__xludf.DUMMYFUNCTION("""COMPUTED_VALUE"""),0.716)</f>
        <v>0.716</v>
      </c>
      <c r="J1807" s="20">
        <f>IFERROR(__xludf.DUMMYFUNCTION("""COMPUTED_VALUE"""),1806.0)</f>
        <v>1806</v>
      </c>
      <c r="K1807" s="20" t="b">
        <f>IFERROR(__xludf.DUMMYFUNCTION("""COMPUTED_VALUE"""),FALSE)</f>
        <v>0</v>
      </c>
      <c r="L1807" s="20" t="str">
        <f>IFERROR(__xludf.DUMMYFUNCTION("""COMPUTED_VALUE"""),"Array;Math;Simulation;")</f>
        <v>Array;Math;Simulation;</v>
      </c>
      <c r="M1807" s="20" t="b">
        <f>IFERROR(__xludf.DUMMYFUNCTION("""COMPUTED_VALUE"""),FALSE)</f>
        <v>0</v>
      </c>
      <c r="N1807" s="20" t="b">
        <f>IFERROR(__xludf.DUMMYFUNCTION("""COMPUTED_VALUE"""),FALSE)</f>
        <v>0</v>
      </c>
      <c r="O1807" s="20">
        <f>IFERROR(__xludf.DUMMYFUNCTION("""COMPUTED_VALUE"""),71.5874910479828)</f>
        <v>71.58749105</v>
      </c>
      <c r="P1807" s="20">
        <f>IFERROR(__xludf.DUMMYFUNCTION("""COMPUTED_VALUE"""),14994.0)</f>
        <v>14994</v>
      </c>
      <c r="Q1807" s="20">
        <f>IFERROR(__xludf.DUMMYFUNCTION("""COMPUTED_VALUE"""),20945.0)</f>
        <v>20945</v>
      </c>
    </row>
    <row r="1808">
      <c r="A1808" s="20">
        <f>IFERROR(__xludf.DUMMYFUNCTION("""COMPUTED_VALUE"""),1934.0)</f>
        <v>1934</v>
      </c>
      <c r="B1808" s="20" t="str">
        <f>IFERROR(__xludf.DUMMYFUNCTION("""COMPUTED_VALUE"""),"Evaluate the Bracket Pairs of a String")</f>
        <v>Evaluate the Bracket Pairs of a String</v>
      </c>
      <c r="C1808" s="20" t="str">
        <f>IFERROR(__xludf.DUMMYFUNCTION("""COMPUTED_VALUE"""),"evaluate-the-bracket-pairs-of-a-string")</f>
        <v>evaluate-the-bracket-pairs-of-a-string</v>
      </c>
      <c r="D1808" s="20" t="b">
        <f>IFERROR(__xludf.DUMMYFUNCTION("""COMPUTED_VALUE"""),FALSE)</f>
        <v>0</v>
      </c>
      <c r="E1808" s="20" t="str">
        <f>IFERROR(__xludf.DUMMYFUNCTION("""COMPUTED_VALUE"""),"Medium")</f>
        <v>Medium</v>
      </c>
      <c r="F1808" s="20">
        <f>IFERROR(__xludf.DUMMYFUNCTION("""COMPUTED_VALUE"""),382.0)</f>
        <v>382</v>
      </c>
      <c r="G1808" s="20">
        <f>IFERROR(__xludf.DUMMYFUNCTION("""COMPUTED_VALUE"""),32.0)</f>
        <v>32</v>
      </c>
      <c r="H1808" s="20" t="str">
        <f>IFERROR(__xludf.DUMMYFUNCTION("""COMPUTED_VALUE"""),"Algorithms")</f>
        <v>Algorithms</v>
      </c>
      <c r="I1808" s="20">
        <f>IFERROR(__xludf.DUMMYFUNCTION("""COMPUTED_VALUE"""),0.667)</f>
        <v>0.667</v>
      </c>
      <c r="J1808" s="20">
        <f>IFERROR(__xludf.DUMMYFUNCTION("""COMPUTED_VALUE"""),1807.0)</f>
        <v>1807</v>
      </c>
      <c r="K1808" s="20" t="b">
        <f>IFERROR(__xludf.DUMMYFUNCTION("""COMPUTED_VALUE"""),FALSE)</f>
        <v>0</v>
      </c>
      <c r="L1808" s="20" t="str">
        <f>IFERROR(__xludf.DUMMYFUNCTION("""COMPUTED_VALUE"""),"Array;Hash Table;String;")</f>
        <v>Array;Hash Table;String;</v>
      </c>
      <c r="M1808" s="20" t="b">
        <f>IFERROR(__xludf.DUMMYFUNCTION("""COMPUTED_VALUE"""),FALSE)</f>
        <v>0</v>
      </c>
      <c r="N1808" s="20" t="b">
        <f>IFERROR(__xludf.DUMMYFUNCTION("""COMPUTED_VALUE"""),FALSE)</f>
        <v>0</v>
      </c>
      <c r="O1808" s="20">
        <f>IFERROR(__xludf.DUMMYFUNCTION("""COMPUTED_VALUE"""),66.7431525748642)</f>
        <v>66.74315257</v>
      </c>
      <c r="P1808" s="20">
        <f>IFERROR(__xludf.DUMMYFUNCTION("""COMPUTED_VALUE"""),22979.0)</f>
        <v>22979</v>
      </c>
      <c r="Q1808" s="20">
        <f>IFERROR(__xludf.DUMMYFUNCTION("""COMPUTED_VALUE"""),34429.0)</f>
        <v>34429</v>
      </c>
    </row>
    <row r="1809">
      <c r="A1809" s="20">
        <f>IFERROR(__xludf.DUMMYFUNCTION("""COMPUTED_VALUE"""),1936.0)</f>
        <v>1936</v>
      </c>
      <c r="B1809" s="20" t="str">
        <f>IFERROR(__xludf.DUMMYFUNCTION("""COMPUTED_VALUE"""),"Maximize Number of Nice Divisors")</f>
        <v>Maximize Number of Nice Divisors</v>
      </c>
      <c r="C1809" s="20" t="str">
        <f>IFERROR(__xludf.DUMMYFUNCTION("""COMPUTED_VALUE"""),"maximize-number-of-nice-divisors")</f>
        <v>maximize-number-of-nice-divisors</v>
      </c>
      <c r="D1809" s="20" t="b">
        <f>IFERROR(__xludf.DUMMYFUNCTION("""COMPUTED_VALUE"""),FALSE)</f>
        <v>0</v>
      </c>
      <c r="E1809" s="20" t="str">
        <f>IFERROR(__xludf.DUMMYFUNCTION("""COMPUTED_VALUE"""),"Hard")</f>
        <v>Hard</v>
      </c>
      <c r="F1809" s="20">
        <f>IFERROR(__xludf.DUMMYFUNCTION("""COMPUTED_VALUE"""),178.0)</f>
        <v>178</v>
      </c>
      <c r="G1809" s="20">
        <f>IFERROR(__xludf.DUMMYFUNCTION("""COMPUTED_VALUE"""),150.0)</f>
        <v>150</v>
      </c>
      <c r="H1809" s="20" t="str">
        <f>IFERROR(__xludf.DUMMYFUNCTION("""COMPUTED_VALUE"""),"Algorithms")</f>
        <v>Algorithms</v>
      </c>
      <c r="I1809" s="20">
        <f>IFERROR(__xludf.DUMMYFUNCTION("""COMPUTED_VALUE"""),0.314)</f>
        <v>0.314</v>
      </c>
      <c r="J1809" s="20">
        <f>IFERROR(__xludf.DUMMYFUNCTION("""COMPUTED_VALUE"""),1808.0)</f>
        <v>1808</v>
      </c>
      <c r="K1809" s="20" t="b">
        <f>IFERROR(__xludf.DUMMYFUNCTION("""COMPUTED_VALUE"""),FALSE)</f>
        <v>0</v>
      </c>
      <c r="L1809" s="20" t="str">
        <f>IFERROR(__xludf.DUMMYFUNCTION("""COMPUTED_VALUE"""),"Math;Recursion;")</f>
        <v>Math;Recursion;</v>
      </c>
      <c r="M1809" s="20" t="b">
        <f>IFERROR(__xludf.DUMMYFUNCTION("""COMPUTED_VALUE"""),FALSE)</f>
        <v>0</v>
      </c>
      <c r="N1809" s="20" t="b">
        <f>IFERROR(__xludf.DUMMYFUNCTION("""COMPUTED_VALUE"""),FALSE)</f>
        <v>0</v>
      </c>
      <c r="O1809" s="20">
        <f>IFERROR(__xludf.DUMMYFUNCTION("""COMPUTED_VALUE"""),31.3530958642122)</f>
        <v>31.35309586</v>
      </c>
      <c r="P1809" s="20">
        <f>IFERROR(__xludf.DUMMYFUNCTION("""COMPUTED_VALUE"""),5246.0)</f>
        <v>5246</v>
      </c>
      <c r="Q1809" s="20">
        <f>IFERROR(__xludf.DUMMYFUNCTION("""COMPUTED_VALUE"""),16732.0)</f>
        <v>16732</v>
      </c>
    </row>
    <row r="1810">
      <c r="A1810" s="20">
        <f>IFERROR(__xludf.DUMMYFUNCTION("""COMPUTED_VALUE"""),1958.0)</f>
        <v>1958</v>
      </c>
      <c r="B1810" s="20" t="str">
        <f>IFERROR(__xludf.DUMMYFUNCTION("""COMPUTED_VALUE"""),"Ad-Free Sessions")</f>
        <v>Ad-Free Sessions</v>
      </c>
      <c r="C1810" s="20" t="str">
        <f>IFERROR(__xludf.DUMMYFUNCTION("""COMPUTED_VALUE"""),"ad-free-sessions")</f>
        <v>ad-free-sessions</v>
      </c>
      <c r="D1810" s="20" t="b">
        <f>IFERROR(__xludf.DUMMYFUNCTION("""COMPUTED_VALUE"""),TRUE)</f>
        <v>1</v>
      </c>
      <c r="E1810" s="20" t="str">
        <f>IFERROR(__xludf.DUMMYFUNCTION("""COMPUTED_VALUE"""),"Easy")</f>
        <v>Easy</v>
      </c>
      <c r="F1810" s="20">
        <f>IFERROR(__xludf.DUMMYFUNCTION("""COMPUTED_VALUE"""),63.0)</f>
        <v>63</v>
      </c>
      <c r="G1810" s="20">
        <f>IFERROR(__xludf.DUMMYFUNCTION("""COMPUTED_VALUE"""),47.0)</f>
        <v>47</v>
      </c>
      <c r="H1810" s="20" t="str">
        <f>IFERROR(__xludf.DUMMYFUNCTION("""COMPUTED_VALUE"""),"Database")</f>
        <v>Database</v>
      </c>
      <c r="I1810" s="20">
        <f>IFERROR(__xludf.DUMMYFUNCTION("""COMPUTED_VALUE"""),0.598)</f>
        <v>0.598</v>
      </c>
      <c r="J1810" s="20">
        <f>IFERROR(__xludf.DUMMYFUNCTION("""COMPUTED_VALUE"""),1809.0)</f>
        <v>1809</v>
      </c>
      <c r="K1810" s="20" t="b">
        <f>IFERROR(__xludf.DUMMYFUNCTION("""COMPUTED_VALUE"""),TRUE)</f>
        <v>1</v>
      </c>
      <c r="L1810" s="20" t="str">
        <f>IFERROR(__xludf.DUMMYFUNCTION("""COMPUTED_VALUE"""),"Database;")</f>
        <v>Database;</v>
      </c>
      <c r="M1810" s="20" t="b">
        <f>IFERROR(__xludf.DUMMYFUNCTION("""COMPUTED_VALUE"""),FALSE)</f>
        <v>0</v>
      </c>
      <c r="N1810" s="20" t="b">
        <f>IFERROR(__xludf.DUMMYFUNCTION("""COMPUTED_VALUE"""),FALSE)</f>
        <v>0</v>
      </c>
      <c r="O1810" s="20">
        <f>IFERROR(__xludf.DUMMYFUNCTION("""COMPUTED_VALUE"""),59.7935028959959)</f>
        <v>59.7935029</v>
      </c>
      <c r="P1810" s="20">
        <f>IFERROR(__xludf.DUMMYFUNCTION("""COMPUTED_VALUE"""),11872.0)</f>
        <v>11872</v>
      </c>
      <c r="Q1810" s="20">
        <f>IFERROR(__xludf.DUMMYFUNCTION("""COMPUTED_VALUE"""),19855.0)</f>
        <v>19855</v>
      </c>
    </row>
    <row r="1811">
      <c r="A1811" s="20">
        <f>IFERROR(__xludf.DUMMYFUNCTION("""COMPUTED_VALUE"""),1959.0)</f>
        <v>1959</v>
      </c>
      <c r="B1811" s="20" t="str">
        <f>IFERROR(__xludf.DUMMYFUNCTION("""COMPUTED_VALUE"""),"Minimum Path Cost in a Hidden Grid")</f>
        <v>Minimum Path Cost in a Hidden Grid</v>
      </c>
      <c r="C1811" s="20" t="str">
        <f>IFERROR(__xludf.DUMMYFUNCTION("""COMPUTED_VALUE"""),"minimum-path-cost-in-a-hidden-grid")</f>
        <v>minimum-path-cost-in-a-hidden-grid</v>
      </c>
      <c r="D1811" s="20" t="b">
        <f>IFERROR(__xludf.DUMMYFUNCTION("""COMPUTED_VALUE"""),TRUE)</f>
        <v>1</v>
      </c>
      <c r="E1811" s="20" t="str">
        <f>IFERROR(__xludf.DUMMYFUNCTION("""COMPUTED_VALUE"""),"Medium")</f>
        <v>Medium</v>
      </c>
      <c r="F1811" s="20">
        <f>IFERROR(__xludf.DUMMYFUNCTION("""COMPUTED_VALUE"""),70.0)</f>
        <v>70</v>
      </c>
      <c r="G1811" s="20">
        <f>IFERROR(__xludf.DUMMYFUNCTION("""COMPUTED_VALUE"""),20.0)</f>
        <v>20</v>
      </c>
      <c r="H1811" s="20" t="str">
        <f>IFERROR(__xludf.DUMMYFUNCTION("""COMPUTED_VALUE"""),"Algorithms")</f>
        <v>Algorithms</v>
      </c>
      <c r="I1811" s="20">
        <f>IFERROR(__xludf.DUMMYFUNCTION("""COMPUTED_VALUE"""),0.542)</f>
        <v>0.542</v>
      </c>
      <c r="J1811" s="20">
        <f>IFERROR(__xludf.DUMMYFUNCTION("""COMPUTED_VALUE"""),1810.0)</f>
        <v>1810</v>
      </c>
      <c r="K1811" s="20" t="b">
        <f>IFERROR(__xludf.DUMMYFUNCTION("""COMPUTED_VALUE"""),TRUE)</f>
        <v>1</v>
      </c>
      <c r="L1811" s="20" t="str">
        <f>IFERROR(__xludf.DUMMYFUNCTION("""COMPUTED_VALUE"""),"Depth-First Search;Breadth-First Search;Graph;Heap (Priority Queue);Interactive;")</f>
        <v>Depth-First Search;Breadth-First Search;Graph;Heap (Priority Queue);Interactive;</v>
      </c>
      <c r="M1811" s="20" t="b">
        <f>IFERROR(__xludf.DUMMYFUNCTION("""COMPUTED_VALUE"""),FALSE)</f>
        <v>0</v>
      </c>
      <c r="N1811" s="20" t="b">
        <f>IFERROR(__xludf.DUMMYFUNCTION("""COMPUTED_VALUE"""),FALSE)</f>
        <v>0</v>
      </c>
      <c r="O1811" s="20">
        <f>IFERROR(__xludf.DUMMYFUNCTION("""COMPUTED_VALUE"""),54.1706846673095)</f>
        <v>54.17068467</v>
      </c>
      <c r="P1811" s="20">
        <f>IFERROR(__xludf.DUMMYFUNCTION("""COMPUTED_VALUE"""),2247.0)</f>
        <v>2247</v>
      </c>
      <c r="Q1811" s="20">
        <f>IFERROR(__xludf.DUMMYFUNCTION("""COMPUTED_VALUE"""),4148.0)</f>
        <v>4148</v>
      </c>
    </row>
    <row r="1812">
      <c r="A1812" s="20">
        <f>IFERROR(__xludf.DUMMYFUNCTION("""COMPUTED_VALUE"""),1964.0)</f>
        <v>1964</v>
      </c>
      <c r="B1812" s="20" t="str">
        <f>IFERROR(__xludf.DUMMYFUNCTION("""COMPUTED_VALUE"""),"Find Interview Candidates")</f>
        <v>Find Interview Candidates</v>
      </c>
      <c r="C1812" s="20" t="str">
        <f>IFERROR(__xludf.DUMMYFUNCTION("""COMPUTED_VALUE"""),"find-interview-candidates")</f>
        <v>find-interview-candidates</v>
      </c>
      <c r="D1812" s="20" t="b">
        <f>IFERROR(__xludf.DUMMYFUNCTION("""COMPUTED_VALUE"""),TRUE)</f>
        <v>1</v>
      </c>
      <c r="E1812" s="20" t="str">
        <f>IFERROR(__xludf.DUMMYFUNCTION("""COMPUTED_VALUE"""),"Medium")</f>
        <v>Medium</v>
      </c>
      <c r="F1812" s="20">
        <f>IFERROR(__xludf.DUMMYFUNCTION("""COMPUTED_VALUE"""),157.0)</f>
        <v>157</v>
      </c>
      <c r="G1812" s="20">
        <f>IFERROR(__xludf.DUMMYFUNCTION("""COMPUTED_VALUE"""),22.0)</f>
        <v>22</v>
      </c>
      <c r="H1812" s="20" t="str">
        <f>IFERROR(__xludf.DUMMYFUNCTION("""COMPUTED_VALUE"""),"Database")</f>
        <v>Database</v>
      </c>
      <c r="I1812" s="20">
        <f>IFERROR(__xludf.DUMMYFUNCTION("""COMPUTED_VALUE"""),0.65)</f>
        <v>0.65</v>
      </c>
      <c r="J1812" s="20">
        <f>IFERROR(__xludf.DUMMYFUNCTION("""COMPUTED_VALUE"""),1811.0)</f>
        <v>1811</v>
      </c>
      <c r="K1812" s="20" t="b">
        <f>IFERROR(__xludf.DUMMYFUNCTION("""COMPUTED_VALUE"""),TRUE)</f>
        <v>1</v>
      </c>
      <c r="L1812" s="20" t="str">
        <f>IFERROR(__xludf.DUMMYFUNCTION("""COMPUTED_VALUE"""),"Database;")</f>
        <v>Database;</v>
      </c>
      <c r="M1812" s="20" t="b">
        <f>IFERROR(__xludf.DUMMYFUNCTION("""COMPUTED_VALUE"""),FALSE)</f>
        <v>0</v>
      </c>
      <c r="N1812" s="20" t="b">
        <f>IFERROR(__xludf.DUMMYFUNCTION("""COMPUTED_VALUE"""),FALSE)</f>
        <v>0</v>
      </c>
      <c r="O1812" s="20">
        <f>IFERROR(__xludf.DUMMYFUNCTION("""COMPUTED_VALUE"""),64.9559299341738)</f>
        <v>64.95592993</v>
      </c>
      <c r="P1812" s="20">
        <f>IFERROR(__xludf.DUMMYFUNCTION("""COMPUTED_VALUE"""),11643.0)</f>
        <v>11643</v>
      </c>
      <c r="Q1812" s="20">
        <f>IFERROR(__xludf.DUMMYFUNCTION("""COMPUTED_VALUE"""),17925.0)</f>
        <v>17925</v>
      </c>
    </row>
    <row r="1813">
      <c r="A1813" s="20">
        <f>IFERROR(__xludf.DUMMYFUNCTION("""COMPUTED_VALUE"""),1920.0)</f>
        <v>1920</v>
      </c>
      <c r="B1813" s="20" t="str">
        <f>IFERROR(__xludf.DUMMYFUNCTION("""COMPUTED_VALUE"""),"Determine Color of a Chessboard Square")</f>
        <v>Determine Color of a Chessboard Square</v>
      </c>
      <c r="C1813" s="20" t="str">
        <f>IFERROR(__xludf.DUMMYFUNCTION("""COMPUTED_VALUE"""),"determine-color-of-a-chessboard-square")</f>
        <v>determine-color-of-a-chessboard-square</v>
      </c>
      <c r="D1813" s="20" t="b">
        <f>IFERROR(__xludf.DUMMYFUNCTION("""COMPUTED_VALUE"""),FALSE)</f>
        <v>0</v>
      </c>
      <c r="E1813" s="20" t="str">
        <f>IFERROR(__xludf.DUMMYFUNCTION("""COMPUTED_VALUE"""),"Easy")</f>
        <v>Easy</v>
      </c>
      <c r="F1813" s="20">
        <f>IFERROR(__xludf.DUMMYFUNCTION("""COMPUTED_VALUE"""),566.0)</f>
        <v>566</v>
      </c>
      <c r="G1813" s="20">
        <f>IFERROR(__xludf.DUMMYFUNCTION("""COMPUTED_VALUE"""),15.0)</f>
        <v>15</v>
      </c>
      <c r="H1813" s="20" t="str">
        <f>IFERROR(__xludf.DUMMYFUNCTION("""COMPUTED_VALUE"""),"Algorithms")</f>
        <v>Algorithms</v>
      </c>
      <c r="I1813" s="20">
        <f>IFERROR(__xludf.DUMMYFUNCTION("""COMPUTED_VALUE"""),0.776)</f>
        <v>0.776</v>
      </c>
      <c r="J1813" s="20">
        <f>IFERROR(__xludf.DUMMYFUNCTION("""COMPUTED_VALUE"""),1812.0)</f>
        <v>1812</v>
      </c>
      <c r="K1813" s="20" t="b">
        <f>IFERROR(__xludf.DUMMYFUNCTION("""COMPUTED_VALUE"""),FALSE)</f>
        <v>0</v>
      </c>
      <c r="L1813" s="20" t="str">
        <f>IFERROR(__xludf.DUMMYFUNCTION("""COMPUTED_VALUE"""),"Math;String;")</f>
        <v>Math;String;</v>
      </c>
      <c r="M1813" s="20" t="b">
        <f>IFERROR(__xludf.DUMMYFUNCTION("""COMPUTED_VALUE"""),FALSE)</f>
        <v>0</v>
      </c>
      <c r="N1813" s="20" t="b">
        <f>IFERROR(__xludf.DUMMYFUNCTION("""COMPUTED_VALUE"""),FALSE)</f>
        <v>0</v>
      </c>
      <c r="O1813" s="20">
        <f>IFERROR(__xludf.DUMMYFUNCTION("""COMPUTED_VALUE"""),77.5527763267062)</f>
        <v>77.55277633</v>
      </c>
      <c r="P1813" s="20">
        <f>IFERROR(__xludf.DUMMYFUNCTION("""COMPUTED_VALUE"""),50476.0)</f>
        <v>50476</v>
      </c>
      <c r="Q1813" s="20">
        <f>IFERROR(__xludf.DUMMYFUNCTION("""COMPUTED_VALUE"""),65086.0)</f>
        <v>65086</v>
      </c>
    </row>
    <row r="1814">
      <c r="A1814" s="20">
        <f>IFERROR(__xludf.DUMMYFUNCTION("""COMPUTED_VALUE"""),1923.0)</f>
        <v>1923</v>
      </c>
      <c r="B1814" s="20" t="str">
        <f>IFERROR(__xludf.DUMMYFUNCTION("""COMPUTED_VALUE"""),"Sentence Similarity III")</f>
        <v>Sentence Similarity III</v>
      </c>
      <c r="C1814" s="20" t="str">
        <f>IFERROR(__xludf.DUMMYFUNCTION("""COMPUTED_VALUE"""),"sentence-similarity-iii")</f>
        <v>sentence-similarity-iii</v>
      </c>
      <c r="D1814" s="20" t="b">
        <f>IFERROR(__xludf.DUMMYFUNCTION("""COMPUTED_VALUE"""),FALSE)</f>
        <v>0</v>
      </c>
      <c r="E1814" s="20" t="str">
        <f>IFERROR(__xludf.DUMMYFUNCTION("""COMPUTED_VALUE"""),"Medium")</f>
        <v>Medium</v>
      </c>
      <c r="F1814" s="20">
        <f>IFERROR(__xludf.DUMMYFUNCTION("""COMPUTED_VALUE"""),290.0)</f>
        <v>290</v>
      </c>
      <c r="G1814" s="20">
        <f>IFERROR(__xludf.DUMMYFUNCTION("""COMPUTED_VALUE"""),50.0)</f>
        <v>50</v>
      </c>
      <c r="H1814" s="20" t="str">
        <f>IFERROR(__xludf.DUMMYFUNCTION("""COMPUTED_VALUE"""),"Algorithms")</f>
        <v>Algorithms</v>
      </c>
      <c r="I1814" s="20">
        <f>IFERROR(__xludf.DUMMYFUNCTION("""COMPUTED_VALUE"""),0.331)</f>
        <v>0.331</v>
      </c>
      <c r="J1814" s="20">
        <f>IFERROR(__xludf.DUMMYFUNCTION("""COMPUTED_VALUE"""),1813.0)</f>
        <v>1813</v>
      </c>
      <c r="K1814" s="20" t="b">
        <f>IFERROR(__xludf.DUMMYFUNCTION("""COMPUTED_VALUE"""),FALSE)</f>
        <v>0</v>
      </c>
      <c r="L1814" s="20" t="str">
        <f>IFERROR(__xludf.DUMMYFUNCTION("""COMPUTED_VALUE"""),"Array;Two Pointers;String;")</f>
        <v>Array;Two Pointers;String;</v>
      </c>
      <c r="M1814" s="20" t="b">
        <f>IFERROR(__xludf.DUMMYFUNCTION("""COMPUTED_VALUE"""),FALSE)</f>
        <v>0</v>
      </c>
      <c r="N1814" s="20" t="b">
        <f>IFERROR(__xludf.DUMMYFUNCTION("""COMPUTED_VALUE"""),FALSE)</f>
        <v>0</v>
      </c>
      <c r="O1814" s="20">
        <f>IFERROR(__xludf.DUMMYFUNCTION("""COMPUTED_VALUE"""),33.116812523781)</f>
        <v>33.11681252</v>
      </c>
      <c r="P1814" s="20">
        <f>IFERROR(__xludf.DUMMYFUNCTION("""COMPUTED_VALUE"""),12185.0)</f>
        <v>12185</v>
      </c>
      <c r="Q1814" s="20">
        <f>IFERROR(__xludf.DUMMYFUNCTION("""COMPUTED_VALUE"""),36791.0)</f>
        <v>36791</v>
      </c>
    </row>
    <row r="1815">
      <c r="A1815" s="20">
        <f>IFERROR(__xludf.DUMMYFUNCTION("""COMPUTED_VALUE"""),1925.0)</f>
        <v>1925</v>
      </c>
      <c r="B1815" s="20" t="str">
        <f>IFERROR(__xludf.DUMMYFUNCTION("""COMPUTED_VALUE"""),"Count Nice Pairs in an Array")</f>
        <v>Count Nice Pairs in an Array</v>
      </c>
      <c r="C1815" s="20" t="str">
        <f>IFERROR(__xludf.DUMMYFUNCTION("""COMPUTED_VALUE"""),"count-nice-pairs-in-an-array")</f>
        <v>count-nice-pairs-in-an-array</v>
      </c>
      <c r="D1815" s="20" t="b">
        <f>IFERROR(__xludf.DUMMYFUNCTION("""COMPUTED_VALUE"""),FALSE)</f>
        <v>0</v>
      </c>
      <c r="E1815" s="20" t="str">
        <f>IFERROR(__xludf.DUMMYFUNCTION("""COMPUTED_VALUE"""),"Medium")</f>
        <v>Medium</v>
      </c>
      <c r="F1815" s="20">
        <f>IFERROR(__xludf.DUMMYFUNCTION("""COMPUTED_VALUE"""),618.0)</f>
        <v>618</v>
      </c>
      <c r="G1815" s="20">
        <f>IFERROR(__xludf.DUMMYFUNCTION("""COMPUTED_VALUE"""),27.0)</f>
        <v>27</v>
      </c>
      <c r="H1815" s="20" t="str">
        <f>IFERROR(__xludf.DUMMYFUNCTION("""COMPUTED_VALUE"""),"Algorithms")</f>
        <v>Algorithms</v>
      </c>
      <c r="I1815" s="20">
        <f>IFERROR(__xludf.DUMMYFUNCTION("""COMPUTED_VALUE"""),0.421)</f>
        <v>0.421</v>
      </c>
      <c r="J1815" s="20">
        <f>IFERROR(__xludf.DUMMYFUNCTION("""COMPUTED_VALUE"""),1814.0)</f>
        <v>1814</v>
      </c>
      <c r="K1815" s="20" t="b">
        <f>IFERROR(__xludf.DUMMYFUNCTION("""COMPUTED_VALUE"""),FALSE)</f>
        <v>0</v>
      </c>
      <c r="L1815" s="20" t="str">
        <f>IFERROR(__xludf.DUMMYFUNCTION("""COMPUTED_VALUE"""),"Array;Hash Table;Math;Counting;")</f>
        <v>Array;Hash Table;Math;Counting;</v>
      </c>
      <c r="M1815" s="20" t="b">
        <f>IFERROR(__xludf.DUMMYFUNCTION("""COMPUTED_VALUE"""),FALSE)</f>
        <v>0</v>
      </c>
      <c r="N1815" s="20" t="b">
        <f>IFERROR(__xludf.DUMMYFUNCTION("""COMPUTED_VALUE"""),FALSE)</f>
        <v>0</v>
      </c>
      <c r="O1815" s="20">
        <f>IFERROR(__xludf.DUMMYFUNCTION("""COMPUTED_VALUE"""),42.075697758922)</f>
        <v>42.07569776</v>
      </c>
      <c r="P1815" s="20">
        <f>IFERROR(__xludf.DUMMYFUNCTION("""COMPUTED_VALUE"""),21422.0)</f>
        <v>21422</v>
      </c>
      <c r="Q1815" s="20">
        <f>IFERROR(__xludf.DUMMYFUNCTION("""COMPUTED_VALUE"""),50913.0)</f>
        <v>50913</v>
      </c>
    </row>
    <row r="1816">
      <c r="A1816" s="20">
        <f>IFERROR(__xludf.DUMMYFUNCTION("""COMPUTED_VALUE"""),1924.0)</f>
        <v>1924</v>
      </c>
      <c r="B1816" s="20" t="str">
        <f>IFERROR(__xludf.DUMMYFUNCTION("""COMPUTED_VALUE"""),"Maximum Number of Groups Getting Fresh Donuts")</f>
        <v>Maximum Number of Groups Getting Fresh Donuts</v>
      </c>
      <c r="C1816" s="20" t="str">
        <f>IFERROR(__xludf.DUMMYFUNCTION("""COMPUTED_VALUE"""),"maximum-number-of-groups-getting-fresh-donuts")</f>
        <v>maximum-number-of-groups-getting-fresh-donuts</v>
      </c>
      <c r="D1816" s="20" t="b">
        <f>IFERROR(__xludf.DUMMYFUNCTION("""COMPUTED_VALUE"""),FALSE)</f>
        <v>0</v>
      </c>
      <c r="E1816" s="20" t="str">
        <f>IFERROR(__xludf.DUMMYFUNCTION("""COMPUTED_VALUE"""),"Hard")</f>
        <v>Hard</v>
      </c>
      <c r="F1816" s="20">
        <f>IFERROR(__xludf.DUMMYFUNCTION("""COMPUTED_VALUE"""),283.0)</f>
        <v>283</v>
      </c>
      <c r="G1816" s="20">
        <f>IFERROR(__xludf.DUMMYFUNCTION("""COMPUTED_VALUE"""),18.0)</f>
        <v>18</v>
      </c>
      <c r="H1816" s="20" t="str">
        <f>IFERROR(__xludf.DUMMYFUNCTION("""COMPUTED_VALUE"""),"Algorithms")</f>
        <v>Algorithms</v>
      </c>
      <c r="I1816" s="20">
        <f>IFERROR(__xludf.DUMMYFUNCTION("""COMPUTED_VALUE"""),0.401)</f>
        <v>0.401</v>
      </c>
      <c r="J1816" s="20">
        <f>IFERROR(__xludf.DUMMYFUNCTION("""COMPUTED_VALUE"""),1815.0)</f>
        <v>1815</v>
      </c>
      <c r="K1816" s="20" t="b">
        <f>IFERROR(__xludf.DUMMYFUNCTION("""COMPUTED_VALUE"""),FALSE)</f>
        <v>0</v>
      </c>
      <c r="L1816" s="20" t="str">
        <f>IFERROR(__xludf.DUMMYFUNCTION("""COMPUTED_VALUE"""),"Array;Dynamic Programming;Bit Manipulation;Memoization;Bitmask;")</f>
        <v>Array;Dynamic Programming;Bit Manipulation;Memoization;Bitmask;</v>
      </c>
      <c r="M1816" s="20" t="b">
        <f>IFERROR(__xludf.DUMMYFUNCTION("""COMPUTED_VALUE"""),FALSE)</f>
        <v>0</v>
      </c>
      <c r="N1816" s="20" t="b">
        <f>IFERROR(__xludf.DUMMYFUNCTION("""COMPUTED_VALUE"""),FALSE)</f>
        <v>0</v>
      </c>
      <c r="O1816" s="20">
        <f>IFERROR(__xludf.DUMMYFUNCTION("""COMPUTED_VALUE"""),40.1343540071863)</f>
        <v>40.13435401</v>
      </c>
      <c r="P1816" s="20">
        <f>IFERROR(__xludf.DUMMYFUNCTION("""COMPUTED_VALUE"""),5138.0)</f>
        <v>5138</v>
      </c>
      <c r="Q1816" s="20">
        <f>IFERROR(__xludf.DUMMYFUNCTION("""COMPUTED_VALUE"""),12802.0)</f>
        <v>12802</v>
      </c>
    </row>
    <row r="1817">
      <c r="A1817" s="20">
        <f>IFERROR(__xludf.DUMMYFUNCTION("""COMPUTED_VALUE"""),1944.0)</f>
        <v>1944</v>
      </c>
      <c r="B1817" s="20" t="str">
        <f>IFERROR(__xludf.DUMMYFUNCTION("""COMPUTED_VALUE"""),"Truncate Sentence")</f>
        <v>Truncate Sentence</v>
      </c>
      <c r="C1817" s="20" t="str">
        <f>IFERROR(__xludf.DUMMYFUNCTION("""COMPUTED_VALUE"""),"truncate-sentence")</f>
        <v>truncate-sentence</v>
      </c>
      <c r="D1817" s="20" t="b">
        <f>IFERROR(__xludf.DUMMYFUNCTION("""COMPUTED_VALUE"""),FALSE)</f>
        <v>0</v>
      </c>
      <c r="E1817" s="20" t="str">
        <f>IFERROR(__xludf.DUMMYFUNCTION("""COMPUTED_VALUE"""),"Easy")</f>
        <v>Easy</v>
      </c>
      <c r="F1817" s="20">
        <f>IFERROR(__xludf.DUMMYFUNCTION("""COMPUTED_VALUE"""),725.0)</f>
        <v>725</v>
      </c>
      <c r="G1817" s="20">
        <f>IFERROR(__xludf.DUMMYFUNCTION("""COMPUTED_VALUE"""),19.0)</f>
        <v>19</v>
      </c>
      <c r="H1817" s="20" t="str">
        <f>IFERROR(__xludf.DUMMYFUNCTION("""COMPUTED_VALUE"""),"Algorithms")</f>
        <v>Algorithms</v>
      </c>
      <c r="I1817" s="20">
        <f>IFERROR(__xludf.DUMMYFUNCTION("""COMPUTED_VALUE"""),0.823)</f>
        <v>0.823</v>
      </c>
      <c r="J1817" s="20">
        <f>IFERROR(__xludf.DUMMYFUNCTION("""COMPUTED_VALUE"""),1816.0)</f>
        <v>1816</v>
      </c>
      <c r="K1817" s="20" t="b">
        <f>IFERROR(__xludf.DUMMYFUNCTION("""COMPUTED_VALUE"""),FALSE)</f>
        <v>0</v>
      </c>
      <c r="L1817" s="20" t="str">
        <f>IFERROR(__xludf.DUMMYFUNCTION("""COMPUTED_VALUE"""),"Array;String;")</f>
        <v>Array;String;</v>
      </c>
      <c r="M1817" s="20" t="b">
        <f>IFERROR(__xludf.DUMMYFUNCTION("""COMPUTED_VALUE"""),FALSE)</f>
        <v>0</v>
      </c>
      <c r="N1817" s="20" t="b">
        <f>IFERROR(__xludf.DUMMYFUNCTION("""COMPUTED_VALUE"""),FALSE)</f>
        <v>0</v>
      </c>
      <c r="O1817" s="20">
        <f>IFERROR(__xludf.DUMMYFUNCTION("""COMPUTED_VALUE"""),82.3238519469243)</f>
        <v>82.32385195</v>
      </c>
      <c r="P1817" s="20">
        <f>IFERROR(__xludf.DUMMYFUNCTION("""COMPUTED_VALUE"""),87232.0)</f>
        <v>87232</v>
      </c>
      <c r="Q1817" s="20">
        <f>IFERROR(__xludf.DUMMYFUNCTION("""COMPUTED_VALUE"""),105962.0)</f>
        <v>105962</v>
      </c>
    </row>
    <row r="1818">
      <c r="A1818" s="20">
        <f>IFERROR(__xludf.DUMMYFUNCTION("""COMPUTED_VALUE"""),1945.0)</f>
        <v>1945</v>
      </c>
      <c r="B1818" s="20" t="str">
        <f>IFERROR(__xludf.DUMMYFUNCTION("""COMPUTED_VALUE"""),"Finding the Users Active Minutes")</f>
        <v>Finding the Users Active Minutes</v>
      </c>
      <c r="C1818" s="20" t="str">
        <f>IFERROR(__xludf.DUMMYFUNCTION("""COMPUTED_VALUE"""),"finding-the-users-active-minutes")</f>
        <v>finding-the-users-active-minutes</v>
      </c>
      <c r="D1818" s="20" t="b">
        <f>IFERROR(__xludf.DUMMYFUNCTION("""COMPUTED_VALUE"""),FALSE)</f>
        <v>0</v>
      </c>
      <c r="E1818" s="20" t="str">
        <f>IFERROR(__xludf.DUMMYFUNCTION("""COMPUTED_VALUE"""),"Medium")</f>
        <v>Medium</v>
      </c>
      <c r="F1818" s="20">
        <f>IFERROR(__xludf.DUMMYFUNCTION("""COMPUTED_VALUE"""),612.0)</f>
        <v>612</v>
      </c>
      <c r="G1818" s="20">
        <f>IFERROR(__xludf.DUMMYFUNCTION("""COMPUTED_VALUE"""),230.0)</f>
        <v>230</v>
      </c>
      <c r="H1818" s="20" t="str">
        <f>IFERROR(__xludf.DUMMYFUNCTION("""COMPUTED_VALUE"""),"Algorithms")</f>
        <v>Algorithms</v>
      </c>
      <c r="I1818" s="20">
        <f>IFERROR(__xludf.DUMMYFUNCTION("""COMPUTED_VALUE"""),0.806)</f>
        <v>0.806</v>
      </c>
      <c r="J1818" s="20">
        <f>IFERROR(__xludf.DUMMYFUNCTION("""COMPUTED_VALUE"""),1817.0)</f>
        <v>1817</v>
      </c>
      <c r="K1818" s="20" t="b">
        <f>IFERROR(__xludf.DUMMYFUNCTION("""COMPUTED_VALUE"""),FALSE)</f>
        <v>0</v>
      </c>
      <c r="L1818" s="20" t="str">
        <f>IFERROR(__xludf.DUMMYFUNCTION("""COMPUTED_VALUE"""),"Array;Hash Table;")</f>
        <v>Array;Hash Table;</v>
      </c>
      <c r="M1818" s="20" t="b">
        <f>IFERROR(__xludf.DUMMYFUNCTION("""COMPUTED_VALUE"""),FALSE)</f>
        <v>0</v>
      </c>
      <c r="N1818" s="20" t="b">
        <f>IFERROR(__xludf.DUMMYFUNCTION("""COMPUTED_VALUE"""),FALSE)</f>
        <v>0</v>
      </c>
      <c r="O1818" s="20">
        <f>IFERROR(__xludf.DUMMYFUNCTION("""COMPUTED_VALUE"""),80.563883871208)</f>
        <v>80.56388387</v>
      </c>
      <c r="P1818" s="20">
        <f>IFERROR(__xludf.DUMMYFUNCTION("""COMPUTED_VALUE"""),43262.0)</f>
        <v>43262</v>
      </c>
      <c r="Q1818" s="20">
        <f>IFERROR(__xludf.DUMMYFUNCTION("""COMPUTED_VALUE"""),53699.0)</f>
        <v>53699</v>
      </c>
    </row>
    <row r="1819">
      <c r="A1819" s="20">
        <f>IFERROR(__xludf.DUMMYFUNCTION("""COMPUTED_VALUE"""),1946.0)</f>
        <v>1946</v>
      </c>
      <c r="B1819" s="20" t="str">
        <f>IFERROR(__xludf.DUMMYFUNCTION("""COMPUTED_VALUE"""),"Minimum Absolute Sum Difference")</f>
        <v>Minimum Absolute Sum Difference</v>
      </c>
      <c r="C1819" s="20" t="str">
        <f>IFERROR(__xludf.DUMMYFUNCTION("""COMPUTED_VALUE"""),"minimum-absolute-sum-difference")</f>
        <v>minimum-absolute-sum-difference</v>
      </c>
      <c r="D1819" s="20" t="b">
        <f>IFERROR(__xludf.DUMMYFUNCTION("""COMPUTED_VALUE"""),FALSE)</f>
        <v>0</v>
      </c>
      <c r="E1819" s="20" t="str">
        <f>IFERROR(__xludf.DUMMYFUNCTION("""COMPUTED_VALUE"""),"Medium")</f>
        <v>Medium</v>
      </c>
      <c r="F1819" s="20">
        <f>IFERROR(__xludf.DUMMYFUNCTION("""COMPUTED_VALUE"""),790.0)</f>
        <v>790</v>
      </c>
      <c r="G1819" s="20">
        <f>IFERROR(__xludf.DUMMYFUNCTION("""COMPUTED_VALUE"""),62.0)</f>
        <v>62</v>
      </c>
      <c r="H1819" s="20" t="str">
        <f>IFERROR(__xludf.DUMMYFUNCTION("""COMPUTED_VALUE"""),"Algorithms")</f>
        <v>Algorithms</v>
      </c>
      <c r="I1819" s="20">
        <f>IFERROR(__xludf.DUMMYFUNCTION("""COMPUTED_VALUE"""),0.302)</f>
        <v>0.302</v>
      </c>
      <c r="J1819" s="20">
        <f>IFERROR(__xludf.DUMMYFUNCTION("""COMPUTED_VALUE"""),1818.0)</f>
        <v>1818</v>
      </c>
      <c r="K1819" s="20" t="b">
        <f>IFERROR(__xludf.DUMMYFUNCTION("""COMPUTED_VALUE"""),FALSE)</f>
        <v>0</v>
      </c>
      <c r="L1819" s="20" t="str">
        <f>IFERROR(__xludf.DUMMYFUNCTION("""COMPUTED_VALUE"""),"Array;Binary Search;Sorting;Ordered Set;")</f>
        <v>Array;Binary Search;Sorting;Ordered Set;</v>
      </c>
      <c r="M1819" s="20" t="b">
        <f>IFERROR(__xludf.DUMMYFUNCTION("""COMPUTED_VALUE"""),FALSE)</f>
        <v>0</v>
      </c>
      <c r="N1819" s="20" t="b">
        <f>IFERROR(__xludf.DUMMYFUNCTION("""COMPUTED_VALUE"""),FALSE)</f>
        <v>0</v>
      </c>
      <c r="O1819" s="20">
        <f>IFERROR(__xludf.DUMMYFUNCTION("""COMPUTED_VALUE"""),30.2259976544422)</f>
        <v>30.22599765</v>
      </c>
      <c r="P1819" s="20">
        <f>IFERROR(__xludf.DUMMYFUNCTION("""COMPUTED_VALUE"""),19072.0)</f>
        <v>19072</v>
      </c>
      <c r="Q1819" s="20">
        <f>IFERROR(__xludf.DUMMYFUNCTION("""COMPUTED_VALUE"""),63098.0)</f>
        <v>63098</v>
      </c>
    </row>
    <row r="1820">
      <c r="A1820" s="20">
        <f>IFERROR(__xludf.DUMMYFUNCTION("""COMPUTED_VALUE"""),1947.0)</f>
        <v>1947</v>
      </c>
      <c r="B1820" s="20" t="str">
        <f>IFERROR(__xludf.DUMMYFUNCTION("""COMPUTED_VALUE"""),"Number of Different Subsequences GCDs")</f>
        <v>Number of Different Subsequences GCDs</v>
      </c>
      <c r="C1820" s="20" t="str">
        <f>IFERROR(__xludf.DUMMYFUNCTION("""COMPUTED_VALUE"""),"number-of-different-subsequences-gcds")</f>
        <v>number-of-different-subsequences-gcds</v>
      </c>
      <c r="D1820" s="20" t="b">
        <f>IFERROR(__xludf.DUMMYFUNCTION("""COMPUTED_VALUE"""),FALSE)</f>
        <v>0</v>
      </c>
      <c r="E1820" s="20" t="str">
        <f>IFERROR(__xludf.DUMMYFUNCTION("""COMPUTED_VALUE"""),"Hard")</f>
        <v>Hard</v>
      </c>
      <c r="F1820" s="20">
        <f>IFERROR(__xludf.DUMMYFUNCTION("""COMPUTED_VALUE"""),325.0)</f>
        <v>325</v>
      </c>
      <c r="G1820" s="20">
        <f>IFERROR(__xludf.DUMMYFUNCTION("""COMPUTED_VALUE"""),35.0)</f>
        <v>35</v>
      </c>
      <c r="H1820" s="20" t="str">
        <f>IFERROR(__xludf.DUMMYFUNCTION("""COMPUTED_VALUE"""),"Algorithms")</f>
        <v>Algorithms</v>
      </c>
      <c r="I1820" s="20">
        <f>IFERROR(__xludf.DUMMYFUNCTION("""COMPUTED_VALUE"""),0.385)</f>
        <v>0.385</v>
      </c>
      <c r="J1820" s="20">
        <f>IFERROR(__xludf.DUMMYFUNCTION("""COMPUTED_VALUE"""),1819.0)</f>
        <v>1819</v>
      </c>
      <c r="K1820" s="20" t="b">
        <f>IFERROR(__xludf.DUMMYFUNCTION("""COMPUTED_VALUE"""),FALSE)</f>
        <v>0</v>
      </c>
      <c r="L1820" s="20" t="str">
        <f>IFERROR(__xludf.DUMMYFUNCTION("""COMPUTED_VALUE"""),"Array;Math;Counting;Number Theory;")</f>
        <v>Array;Math;Counting;Number Theory;</v>
      </c>
      <c r="M1820" s="20" t="b">
        <f>IFERROR(__xludf.DUMMYFUNCTION("""COMPUTED_VALUE"""),FALSE)</f>
        <v>0</v>
      </c>
      <c r="N1820" s="20" t="b">
        <f>IFERROR(__xludf.DUMMYFUNCTION("""COMPUTED_VALUE"""),FALSE)</f>
        <v>0</v>
      </c>
      <c r="O1820" s="20">
        <f>IFERROR(__xludf.DUMMYFUNCTION("""COMPUTED_VALUE"""),38.5023157189888)</f>
        <v>38.50231572</v>
      </c>
      <c r="P1820" s="20">
        <f>IFERROR(__xludf.DUMMYFUNCTION("""COMPUTED_VALUE"""),6900.0)</f>
        <v>6900</v>
      </c>
      <c r="Q1820" s="20">
        <f>IFERROR(__xludf.DUMMYFUNCTION("""COMPUTED_VALUE"""),17921.0)</f>
        <v>17921</v>
      </c>
    </row>
    <row r="1821">
      <c r="A1821" s="20">
        <f>IFERROR(__xludf.DUMMYFUNCTION("""COMPUTED_VALUE"""),1969.0)</f>
        <v>1969</v>
      </c>
      <c r="B1821" s="20" t="str">
        <f>IFERROR(__xludf.DUMMYFUNCTION("""COMPUTED_VALUE"""),"Maximum Number of Accepted Invitations")</f>
        <v>Maximum Number of Accepted Invitations</v>
      </c>
      <c r="C1821" s="20" t="str">
        <f>IFERROR(__xludf.DUMMYFUNCTION("""COMPUTED_VALUE"""),"maximum-number-of-accepted-invitations")</f>
        <v>maximum-number-of-accepted-invitations</v>
      </c>
      <c r="D1821" s="20" t="b">
        <f>IFERROR(__xludf.DUMMYFUNCTION("""COMPUTED_VALUE"""),TRUE)</f>
        <v>1</v>
      </c>
      <c r="E1821" s="20" t="str">
        <f>IFERROR(__xludf.DUMMYFUNCTION("""COMPUTED_VALUE"""),"Medium")</f>
        <v>Medium</v>
      </c>
      <c r="F1821" s="20">
        <f>IFERROR(__xludf.DUMMYFUNCTION("""COMPUTED_VALUE"""),155.0)</f>
        <v>155</v>
      </c>
      <c r="G1821" s="20">
        <f>IFERROR(__xludf.DUMMYFUNCTION("""COMPUTED_VALUE"""),47.0)</f>
        <v>47</v>
      </c>
      <c r="H1821" s="20" t="str">
        <f>IFERROR(__xludf.DUMMYFUNCTION("""COMPUTED_VALUE"""),"Algorithms")</f>
        <v>Algorithms</v>
      </c>
      <c r="I1821" s="20">
        <f>IFERROR(__xludf.DUMMYFUNCTION("""COMPUTED_VALUE"""),0.498)</f>
        <v>0.498</v>
      </c>
      <c r="J1821" s="20">
        <f>IFERROR(__xludf.DUMMYFUNCTION("""COMPUTED_VALUE"""),1820.0)</f>
        <v>1820</v>
      </c>
      <c r="K1821" s="20" t="b">
        <f>IFERROR(__xludf.DUMMYFUNCTION("""COMPUTED_VALUE"""),TRUE)</f>
        <v>1</v>
      </c>
      <c r="L1821" s="20" t="str">
        <f>IFERROR(__xludf.DUMMYFUNCTION("""COMPUTED_VALUE"""),"Array;Backtracking;Matrix;")</f>
        <v>Array;Backtracking;Matrix;</v>
      </c>
      <c r="M1821" s="20" t="b">
        <f>IFERROR(__xludf.DUMMYFUNCTION("""COMPUTED_VALUE"""),FALSE)</f>
        <v>0</v>
      </c>
      <c r="N1821" s="20" t="b">
        <f>IFERROR(__xludf.DUMMYFUNCTION("""COMPUTED_VALUE"""),FALSE)</f>
        <v>0</v>
      </c>
      <c r="O1821" s="20">
        <f>IFERROR(__xludf.DUMMYFUNCTION("""COMPUTED_VALUE"""),49.8257492781041)</f>
        <v>49.82574928</v>
      </c>
      <c r="P1821" s="20">
        <f>IFERROR(__xludf.DUMMYFUNCTION("""COMPUTED_VALUE"""),5004.0)</f>
        <v>5004</v>
      </c>
      <c r="Q1821" s="20">
        <f>IFERROR(__xludf.DUMMYFUNCTION("""COMPUTED_VALUE"""),10043.0)</f>
        <v>10043</v>
      </c>
    </row>
    <row r="1822">
      <c r="A1822" s="20">
        <f>IFERROR(__xludf.DUMMYFUNCTION("""COMPUTED_VALUE"""),1974.0)</f>
        <v>1974</v>
      </c>
      <c r="B1822" s="20" t="str">
        <f>IFERROR(__xludf.DUMMYFUNCTION("""COMPUTED_VALUE"""),"Find Customers With Positive Revenue this Year")</f>
        <v>Find Customers With Positive Revenue this Year</v>
      </c>
      <c r="C1822" s="20" t="str">
        <f>IFERROR(__xludf.DUMMYFUNCTION("""COMPUTED_VALUE"""),"find-customers-with-positive-revenue-this-year")</f>
        <v>find-customers-with-positive-revenue-this-year</v>
      </c>
      <c r="D1822" s="20" t="b">
        <f>IFERROR(__xludf.DUMMYFUNCTION("""COMPUTED_VALUE"""),TRUE)</f>
        <v>1</v>
      </c>
      <c r="E1822" s="20" t="str">
        <f>IFERROR(__xludf.DUMMYFUNCTION("""COMPUTED_VALUE"""),"Easy")</f>
        <v>Easy</v>
      </c>
      <c r="F1822" s="20">
        <f>IFERROR(__xludf.DUMMYFUNCTION("""COMPUTED_VALUE"""),35.0)</f>
        <v>35</v>
      </c>
      <c r="G1822" s="20">
        <f>IFERROR(__xludf.DUMMYFUNCTION("""COMPUTED_VALUE"""),19.0)</f>
        <v>19</v>
      </c>
      <c r="H1822" s="20" t="str">
        <f>IFERROR(__xludf.DUMMYFUNCTION("""COMPUTED_VALUE"""),"Database")</f>
        <v>Database</v>
      </c>
      <c r="I1822" s="20">
        <f>IFERROR(__xludf.DUMMYFUNCTION("""COMPUTED_VALUE"""),0.893)</f>
        <v>0.893</v>
      </c>
      <c r="J1822" s="20">
        <f>IFERROR(__xludf.DUMMYFUNCTION("""COMPUTED_VALUE"""),1821.0)</f>
        <v>1821</v>
      </c>
      <c r="K1822" s="20" t="b">
        <f>IFERROR(__xludf.DUMMYFUNCTION("""COMPUTED_VALUE"""),TRUE)</f>
        <v>1</v>
      </c>
      <c r="L1822" s="20" t="str">
        <f>IFERROR(__xludf.DUMMYFUNCTION("""COMPUTED_VALUE"""),"Database;")</f>
        <v>Database;</v>
      </c>
      <c r="M1822" s="20" t="b">
        <f>IFERROR(__xludf.DUMMYFUNCTION("""COMPUTED_VALUE"""),FALSE)</f>
        <v>0</v>
      </c>
      <c r="N1822" s="20" t="b">
        <f>IFERROR(__xludf.DUMMYFUNCTION("""COMPUTED_VALUE"""),FALSE)</f>
        <v>0</v>
      </c>
      <c r="O1822" s="20">
        <f>IFERROR(__xludf.DUMMYFUNCTION("""COMPUTED_VALUE"""),89.3362350380848)</f>
        <v>89.33623504</v>
      </c>
      <c r="P1822" s="20">
        <f>IFERROR(__xludf.DUMMYFUNCTION("""COMPUTED_VALUE"""),13136.0)</f>
        <v>13136</v>
      </c>
      <c r="Q1822" s="20">
        <f>IFERROR(__xludf.DUMMYFUNCTION("""COMPUTED_VALUE"""),14704.0)</f>
        <v>14704</v>
      </c>
    </row>
    <row r="1823">
      <c r="A1823" s="20">
        <f>IFERROR(__xludf.DUMMYFUNCTION("""COMPUTED_VALUE"""),1950.0)</f>
        <v>1950</v>
      </c>
      <c r="B1823" s="20" t="str">
        <f>IFERROR(__xludf.DUMMYFUNCTION("""COMPUTED_VALUE"""),"Sign of the Product of an Array")</f>
        <v>Sign of the Product of an Array</v>
      </c>
      <c r="C1823" s="20" t="str">
        <f>IFERROR(__xludf.DUMMYFUNCTION("""COMPUTED_VALUE"""),"sign-of-the-product-of-an-array")</f>
        <v>sign-of-the-product-of-an-array</v>
      </c>
      <c r="D1823" s="20" t="b">
        <f>IFERROR(__xludf.DUMMYFUNCTION("""COMPUTED_VALUE"""),FALSE)</f>
        <v>0</v>
      </c>
      <c r="E1823" s="20" t="str">
        <f>IFERROR(__xludf.DUMMYFUNCTION("""COMPUTED_VALUE"""),"Easy")</f>
        <v>Easy</v>
      </c>
      <c r="F1823" s="20">
        <f>IFERROR(__xludf.DUMMYFUNCTION("""COMPUTED_VALUE"""),849.0)</f>
        <v>849</v>
      </c>
      <c r="G1823" s="20">
        <f>IFERROR(__xludf.DUMMYFUNCTION("""COMPUTED_VALUE"""),111.0)</f>
        <v>111</v>
      </c>
      <c r="H1823" s="20" t="str">
        <f>IFERROR(__xludf.DUMMYFUNCTION("""COMPUTED_VALUE"""),"Algorithms")</f>
        <v>Algorithms</v>
      </c>
      <c r="I1823" s="20">
        <f>IFERROR(__xludf.DUMMYFUNCTION("""COMPUTED_VALUE"""),0.659)</f>
        <v>0.659</v>
      </c>
      <c r="J1823" s="20">
        <f>IFERROR(__xludf.DUMMYFUNCTION("""COMPUTED_VALUE"""),1822.0)</f>
        <v>1822</v>
      </c>
      <c r="K1823" s="20" t="b">
        <f>IFERROR(__xludf.DUMMYFUNCTION("""COMPUTED_VALUE"""),FALSE)</f>
        <v>0</v>
      </c>
      <c r="L1823" s="20" t="str">
        <f>IFERROR(__xludf.DUMMYFUNCTION("""COMPUTED_VALUE"""),"Array;Math;")</f>
        <v>Array;Math;</v>
      </c>
      <c r="M1823" s="20" t="b">
        <f>IFERROR(__xludf.DUMMYFUNCTION("""COMPUTED_VALUE"""),FALSE)</f>
        <v>0</v>
      </c>
      <c r="N1823" s="20" t="b">
        <f>IFERROR(__xludf.DUMMYFUNCTION("""COMPUTED_VALUE"""),FALSE)</f>
        <v>0</v>
      </c>
      <c r="O1823" s="20">
        <f>IFERROR(__xludf.DUMMYFUNCTION("""COMPUTED_VALUE"""),65.9093650729824)</f>
        <v>65.90936507</v>
      </c>
      <c r="P1823" s="20">
        <f>IFERROR(__xludf.DUMMYFUNCTION("""COMPUTED_VALUE"""),147518.0)</f>
        <v>147518</v>
      </c>
      <c r="Q1823" s="20">
        <f>IFERROR(__xludf.DUMMYFUNCTION("""COMPUTED_VALUE"""),223817.0)</f>
        <v>223817</v>
      </c>
    </row>
    <row r="1824">
      <c r="A1824" s="20">
        <f>IFERROR(__xludf.DUMMYFUNCTION("""COMPUTED_VALUE"""),1951.0)</f>
        <v>1951</v>
      </c>
      <c r="B1824" s="20" t="str">
        <f>IFERROR(__xludf.DUMMYFUNCTION("""COMPUTED_VALUE"""),"Find the Winner of the Circular Game")</f>
        <v>Find the Winner of the Circular Game</v>
      </c>
      <c r="C1824" s="20" t="str">
        <f>IFERROR(__xludf.DUMMYFUNCTION("""COMPUTED_VALUE"""),"find-the-winner-of-the-circular-game")</f>
        <v>find-the-winner-of-the-circular-game</v>
      </c>
      <c r="D1824" s="20" t="b">
        <f>IFERROR(__xludf.DUMMYFUNCTION("""COMPUTED_VALUE"""),FALSE)</f>
        <v>0</v>
      </c>
      <c r="E1824" s="20" t="str">
        <f>IFERROR(__xludf.DUMMYFUNCTION("""COMPUTED_VALUE"""),"Medium")</f>
        <v>Medium</v>
      </c>
      <c r="F1824" s="20">
        <f>IFERROR(__xludf.DUMMYFUNCTION("""COMPUTED_VALUE"""),2075.0)</f>
        <v>2075</v>
      </c>
      <c r="G1824" s="20">
        <f>IFERROR(__xludf.DUMMYFUNCTION("""COMPUTED_VALUE"""),38.0)</f>
        <v>38</v>
      </c>
      <c r="H1824" s="20" t="str">
        <f>IFERROR(__xludf.DUMMYFUNCTION("""COMPUTED_VALUE"""),"Algorithms")</f>
        <v>Algorithms</v>
      </c>
      <c r="I1824" s="20">
        <f>IFERROR(__xludf.DUMMYFUNCTION("""COMPUTED_VALUE"""),0.78)</f>
        <v>0.78</v>
      </c>
      <c r="J1824" s="20">
        <f>IFERROR(__xludf.DUMMYFUNCTION("""COMPUTED_VALUE"""),1823.0)</f>
        <v>1823</v>
      </c>
      <c r="K1824" s="20" t="b">
        <f>IFERROR(__xludf.DUMMYFUNCTION("""COMPUTED_VALUE"""),FALSE)</f>
        <v>0</v>
      </c>
      <c r="L1824" s="20" t="str">
        <f>IFERROR(__xludf.DUMMYFUNCTION("""COMPUTED_VALUE"""),"Array;Math;Recursion;Queue;Simulation;")</f>
        <v>Array;Math;Recursion;Queue;Simulation;</v>
      </c>
      <c r="M1824" s="20" t="b">
        <f>IFERROR(__xludf.DUMMYFUNCTION("""COMPUTED_VALUE"""),FALSE)</f>
        <v>0</v>
      </c>
      <c r="N1824" s="20" t="b">
        <f>IFERROR(__xludf.DUMMYFUNCTION("""COMPUTED_VALUE"""),FALSE)</f>
        <v>0</v>
      </c>
      <c r="O1824" s="20">
        <f>IFERROR(__xludf.DUMMYFUNCTION("""COMPUTED_VALUE"""),77.9662889746062)</f>
        <v>77.96628897</v>
      </c>
      <c r="P1824" s="20">
        <f>IFERROR(__xludf.DUMMYFUNCTION("""COMPUTED_VALUE"""),77613.0)</f>
        <v>77613</v>
      </c>
      <c r="Q1824" s="20">
        <f>IFERROR(__xludf.DUMMYFUNCTION("""COMPUTED_VALUE"""),99548.0)</f>
        <v>99548</v>
      </c>
    </row>
    <row r="1825">
      <c r="A1825" s="20">
        <f>IFERROR(__xludf.DUMMYFUNCTION("""COMPUTED_VALUE"""),1952.0)</f>
        <v>1952</v>
      </c>
      <c r="B1825" s="20" t="str">
        <f>IFERROR(__xludf.DUMMYFUNCTION("""COMPUTED_VALUE"""),"Minimum Sideway Jumps")</f>
        <v>Minimum Sideway Jumps</v>
      </c>
      <c r="C1825" s="20" t="str">
        <f>IFERROR(__xludf.DUMMYFUNCTION("""COMPUTED_VALUE"""),"minimum-sideway-jumps")</f>
        <v>minimum-sideway-jumps</v>
      </c>
      <c r="D1825" s="20" t="b">
        <f>IFERROR(__xludf.DUMMYFUNCTION("""COMPUTED_VALUE"""),FALSE)</f>
        <v>0</v>
      </c>
      <c r="E1825" s="20" t="str">
        <f>IFERROR(__xludf.DUMMYFUNCTION("""COMPUTED_VALUE"""),"Medium")</f>
        <v>Medium</v>
      </c>
      <c r="F1825" s="20">
        <f>IFERROR(__xludf.DUMMYFUNCTION("""COMPUTED_VALUE"""),811.0)</f>
        <v>811</v>
      </c>
      <c r="G1825" s="20">
        <f>IFERROR(__xludf.DUMMYFUNCTION("""COMPUTED_VALUE"""),35.0)</f>
        <v>35</v>
      </c>
      <c r="H1825" s="20" t="str">
        <f>IFERROR(__xludf.DUMMYFUNCTION("""COMPUTED_VALUE"""),"Algorithms")</f>
        <v>Algorithms</v>
      </c>
      <c r="I1825" s="20">
        <f>IFERROR(__xludf.DUMMYFUNCTION("""COMPUTED_VALUE"""),0.494)</f>
        <v>0.494</v>
      </c>
      <c r="J1825" s="20">
        <f>IFERROR(__xludf.DUMMYFUNCTION("""COMPUTED_VALUE"""),1824.0)</f>
        <v>1824</v>
      </c>
      <c r="K1825" s="20" t="b">
        <f>IFERROR(__xludf.DUMMYFUNCTION("""COMPUTED_VALUE"""),FALSE)</f>
        <v>0</v>
      </c>
      <c r="L1825" s="20" t="str">
        <f>IFERROR(__xludf.DUMMYFUNCTION("""COMPUTED_VALUE"""),"Array;Dynamic Programming;Greedy;")</f>
        <v>Array;Dynamic Programming;Greedy;</v>
      </c>
      <c r="M1825" s="20" t="b">
        <f>IFERROR(__xludf.DUMMYFUNCTION("""COMPUTED_VALUE"""),FALSE)</f>
        <v>0</v>
      </c>
      <c r="N1825" s="20" t="b">
        <f>IFERROR(__xludf.DUMMYFUNCTION("""COMPUTED_VALUE"""),FALSE)</f>
        <v>0</v>
      </c>
      <c r="O1825" s="20">
        <f>IFERROR(__xludf.DUMMYFUNCTION("""COMPUTED_VALUE"""),49.365588541773)</f>
        <v>49.36558854</v>
      </c>
      <c r="P1825" s="20">
        <f>IFERROR(__xludf.DUMMYFUNCTION("""COMPUTED_VALUE"""),24156.0)</f>
        <v>24156</v>
      </c>
      <c r="Q1825" s="20">
        <f>IFERROR(__xludf.DUMMYFUNCTION("""COMPUTED_VALUE"""),48934.0)</f>
        <v>48934</v>
      </c>
    </row>
    <row r="1826">
      <c r="A1826" s="20">
        <f>IFERROR(__xludf.DUMMYFUNCTION("""COMPUTED_VALUE"""),1953.0)</f>
        <v>1953</v>
      </c>
      <c r="B1826" s="20" t="str">
        <f>IFERROR(__xludf.DUMMYFUNCTION("""COMPUTED_VALUE"""),"Finding MK Average")</f>
        <v>Finding MK Average</v>
      </c>
      <c r="C1826" s="20" t="str">
        <f>IFERROR(__xludf.DUMMYFUNCTION("""COMPUTED_VALUE"""),"finding-mk-average")</f>
        <v>finding-mk-average</v>
      </c>
      <c r="D1826" s="20" t="b">
        <f>IFERROR(__xludf.DUMMYFUNCTION("""COMPUTED_VALUE"""),FALSE)</f>
        <v>0</v>
      </c>
      <c r="E1826" s="20" t="str">
        <f>IFERROR(__xludf.DUMMYFUNCTION("""COMPUTED_VALUE"""),"Hard")</f>
        <v>Hard</v>
      </c>
      <c r="F1826" s="20">
        <f>IFERROR(__xludf.DUMMYFUNCTION("""COMPUTED_VALUE"""),304.0)</f>
        <v>304</v>
      </c>
      <c r="G1826" s="20">
        <f>IFERROR(__xludf.DUMMYFUNCTION("""COMPUTED_VALUE"""),94.0)</f>
        <v>94</v>
      </c>
      <c r="H1826" s="20" t="str">
        <f>IFERROR(__xludf.DUMMYFUNCTION("""COMPUTED_VALUE"""),"Algorithms")</f>
        <v>Algorithms</v>
      </c>
      <c r="I1826" s="20">
        <f>IFERROR(__xludf.DUMMYFUNCTION("""COMPUTED_VALUE"""),0.356)</f>
        <v>0.356</v>
      </c>
      <c r="J1826" s="20">
        <f>IFERROR(__xludf.DUMMYFUNCTION("""COMPUTED_VALUE"""),1825.0)</f>
        <v>1825</v>
      </c>
      <c r="K1826" s="20" t="b">
        <f>IFERROR(__xludf.DUMMYFUNCTION("""COMPUTED_VALUE"""),FALSE)</f>
        <v>0</v>
      </c>
      <c r="L1826" s="20" t="str">
        <f>IFERROR(__xludf.DUMMYFUNCTION("""COMPUTED_VALUE"""),"Design;Queue;Heap (Priority Queue);Data Stream;Ordered Set;")</f>
        <v>Design;Queue;Heap (Priority Queue);Data Stream;Ordered Set;</v>
      </c>
      <c r="M1826" s="20" t="b">
        <f>IFERROR(__xludf.DUMMYFUNCTION("""COMPUTED_VALUE"""),FALSE)</f>
        <v>0</v>
      </c>
      <c r="N1826" s="20" t="b">
        <f>IFERROR(__xludf.DUMMYFUNCTION("""COMPUTED_VALUE"""),FALSE)</f>
        <v>0</v>
      </c>
      <c r="O1826" s="20">
        <f>IFERROR(__xludf.DUMMYFUNCTION("""COMPUTED_VALUE"""),35.5741066198008)</f>
        <v>35.57410662</v>
      </c>
      <c r="P1826" s="20">
        <f>IFERROR(__xludf.DUMMYFUNCTION("""COMPUTED_VALUE"""),9716.0)</f>
        <v>9716</v>
      </c>
      <c r="Q1826" s="20">
        <f>IFERROR(__xludf.DUMMYFUNCTION("""COMPUTED_VALUE"""),27312.0)</f>
        <v>27312</v>
      </c>
    </row>
    <row r="1827">
      <c r="A1827" s="20">
        <f>IFERROR(__xludf.DUMMYFUNCTION("""COMPUTED_VALUE"""),1980.0)</f>
        <v>1980</v>
      </c>
      <c r="B1827" s="20" t="str">
        <f>IFERROR(__xludf.DUMMYFUNCTION("""COMPUTED_VALUE"""),"Faulty Sensor")</f>
        <v>Faulty Sensor</v>
      </c>
      <c r="C1827" s="20" t="str">
        <f>IFERROR(__xludf.DUMMYFUNCTION("""COMPUTED_VALUE"""),"faulty-sensor")</f>
        <v>faulty-sensor</v>
      </c>
      <c r="D1827" s="20" t="b">
        <f>IFERROR(__xludf.DUMMYFUNCTION("""COMPUTED_VALUE"""),TRUE)</f>
        <v>1</v>
      </c>
      <c r="E1827" s="20" t="str">
        <f>IFERROR(__xludf.DUMMYFUNCTION("""COMPUTED_VALUE"""),"Easy")</f>
        <v>Easy</v>
      </c>
      <c r="F1827" s="20">
        <f>IFERROR(__xludf.DUMMYFUNCTION("""COMPUTED_VALUE"""),52.0)</f>
        <v>52</v>
      </c>
      <c r="G1827" s="20">
        <f>IFERROR(__xludf.DUMMYFUNCTION("""COMPUTED_VALUE"""),49.0)</f>
        <v>49</v>
      </c>
      <c r="H1827" s="20" t="str">
        <f>IFERROR(__xludf.DUMMYFUNCTION("""COMPUTED_VALUE"""),"Algorithms")</f>
        <v>Algorithms</v>
      </c>
      <c r="I1827" s="20">
        <f>IFERROR(__xludf.DUMMYFUNCTION("""COMPUTED_VALUE"""),0.494)</f>
        <v>0.494</v>
      </c>
      <c r="J1827" s="20">
        <f>IFERROR(__xludf.DUMMYFUNCTION("""COMPUTED_VALUE"""),1826.0)</f>
        <v>1826</v>
      </c>
      <c r="K1827" s="20" t="b">
        <f>IFERROR(__xludf.DUMMYFUNCTION("""COMPUTED_VALUE"""),TRUE)</f>
        <v>1</v>
      </c>
      <c r="L1827" s="20" t="str">
        <f>IFERROR(__xludf.DUMMYFUNCTION("""COMPUTED_VALUE"""),"Array;Two Pointers;")</f>
        <v>Array;Two Pointers;</v>
      </c>
      <c r="M1827" s="20" t="b">
        <f>IFERROR(__xludf.DUMMYFUNCTION("""COMPUTED_VALUE"""),FALSE)</f>
        <v>0</v>
      </c>
      <c r="N1827" s="20" t="b">
        <f>IFERROR(__xludf.DUMMYFUNCTION("""COMPUTED_VALUE"""),FALSE)</f>
        <v>0</v>
      </c>
      <c r="O1827" s="20">
        <f>IFERROR(__xludf.DUMMYFUNCTION("""COMPUTED_VALUE"""),49.4457759137207)</f>
        <v>49.44577591</v>
      </c>
      <c r="P1827" s="20">
        <f>IFERROR(__xludf.DUMMYFUNCTION("""COMPUTED_VALUE"""),3301.0)</f>
        <v>3301</v>
      </c>
      <c r="Q1827" s="20">
        <f>IFERROR(__xludf.DUMMYFUNCTION("""COMPUTED_VALUE"""),6676.0)</f>
        <v>6676</v>
      </c>
    </row>
    <row r="1828">
      <c r="A1828" s="20">
        <f>IFERROR(__xludf.DUMMYFUNCTION("""COMPUTED_VALUE"""),1938.0)</f>
        <v>1938</v>
      </c>
      <c r="B1828" s="20" t="str">
        <f>IFERROR(__xludf.DUMMYFUNCTION("""COMPUTED_VALUE"""),"Minimum Operations to Make the Array Increasing")</f>
        <v>Minimum Operations to Make the Array Increasing</v>
      </c>
      <c r="C1828" s="20" t="str">
        <f>IFERROR(__xludf.DUMMYFUNCTION("""COMPUTED_VALUE"""),"minimum-operations-to-make-the-array-increasing")</f>
        <v>minimum-operations-to-make-the-array-increasing</v>
      </c>
      <c r="D1828" s="20" t="b">
        <f>IFERROR(__xludf.DUMMYFUNCTION("""COMPUTED_VALUE"""),FALSE)</f>
        <v>0</v>
      </c>
      <c r="E1828" s="20" t="str">
        <f>IFERROR(__xludf.DUMMYFUNCTION("""COMPUTED_VALUE"""),"Easy")</f>
        <v>Easy</v>
      </c>
      <c r="F1828" s="20">
        <f>IFERROR(__xludf.DUMMYFUNCTION("""COMPUTED_VALUE"""),852.0)</f>
        <v>852</v>
      </c>
      <c r="G1828" s="20">
        <f>IFERROR(__xludf.DUMMYFUNCTION("""COMPUTED_VALUE"""),38.0)</f>
        <v>38</v>
      </c>
      <c r="H1828" s="20" t="str">
        <f>IFERROR(__xludf.DUMMYFUNCTION("""COMPUTED_VALUE"""),"Algorithms")</f>
        <v>Algorithms</v>
      </c>
      <c r="I1828" s="20">
        <f>IFERROR(__xludf.DUMMYFUNCTION("""COMPUTED_VALUE"""),0.783)</f>
        <v>0.783</v>
      </c>
      <c r="J1828" s="20">
        <f>IFERROR(__xludf.DUMMYFUNCTION("""COMPUTED_VALUE"""),1827.0)</f>
        <v>1827</v>
      </c>
      <c r="K1828" s="20" t="b">
        <f>IFERROR(__xludf.DUMMYFUNCTION("""COMPUTED_VALUE"""),FALSE)</f>
        <v>0</v>
      </c>
      <c r="L1828" s="20" t="str">
        <f>IFERROR(__xludf.DUMMYFUNCTION("""COMPUTED_VALUE"""),"Array;Greedy;")</f>
        <v>Array;Greedy;</v>
      </c>
      <c r="M1828" s="20" t="b">
        <f>IFERROR(__xludf.DUMMYFUNCTION("""COMPUTED_VALUE"""),FALSE)</f>
        <v>0</v>
      </c>
      <c r="N1828" s="20" t="b">
        <f>IFERROR(__xludf.DUMMYFUNCTION("""COMPUTED_VALUE"""),FALSE)</f>
        <v>0</v>
      </c>
      <c r="O1828" s="20">
        <f>IFERROR(__xludf.DUMMYFUNCTION("""COMPUTED_VALUE"""),78.3045671800318)</f>
        <v>78.30456718</v>
      </c>
      <c r="P1828" s="20">
        <f>IFERROR(__xludf.DUMMYFUNCTION("""COMPUTED_VALUE"""),58978.0)</f>
        <v>58978</v>
      </c>
      <c r="Q1828" s="20">
        <f>IFERROR(__xludf.DUMMYFUNCTION("""COMPUTED_VALUE"""),75319.0)</f>
        <v>75319</v>
      </c>
    </row>
    <row r="1829">
      <c r="A1829" s="20">
        <f>IFERROR(__xludf.DUMMYFUNCTION("""COMPUTED_VALUE"""),1939.0)</f>
        <v>1939</v>
      </c>
      <c r="B1829" s="20" t="str">
        <f>IFERROR(__xludf.DUMMYFUNCTION("""COMPUTED_VALUE"""),"Queries on Number of Points Inside a Circle")</f>
        <v>Queries on Number of Points Inside a Circle</v>
      </c>
      <c r="C1829" s="20" t="str">
        <f>IFERROR(__xludf.DUMMYFUNCTION("""COMPUTED_VALUE"""),"queries-on-number-of-points-inside-a-circle")</f>
        <v>queries-on-number-of-points-inside-a-circle</v>
      </c>
      <c r="D1829" s="20" t="b">
        <f>IFERROR(__xludf.DUMMYFUNCTION("""COMPUTED_VALUE"""),FALSE)</f>
        <v>0</v>
      </c>
      <c r="E1829" s="20" t="str">
        <f>IFERROR(__xludf.DUMMYFUNCTION("""COMPUTED_VALUE"""),"Medium")</f>
        <v>Medium</v>
      </c>
      <c r="F1829" s="20">
        <f>IFERROR(__xludf.DUMMYFUNCTION("""COMPUTED_VALUE"""),847.0)</f>
        <v>847</v>
      </c>
      <c r="G1829" s="20">
        <f>IFERROR(__xludf.DUMMYFUNCTION("""COMPUTED_VALUE"""),67.0)</f>
        <v>67</v>
      </c>
      <c r="H1829" s="20" t="str">
        <f>IFERROR(__xludf.DUMMYFUNCTION("""COMPUTED_VALUE"""),"Algorithms")</f>
        <v>Algorithms</v>
      </c>
      <c r="I1829" s="20">
        <f>IFERROR(__xludf.DUMMYFUNCTION("""COMPUTED_VALUE"""),0.863)</f>
        <v>0.863</v>
      </c>
      <c r="J1829" s="20">
        <f>IFERROR(__xludf.DUMMYFUNCTION("""COMPUTED_VALUE"""),1828.0)</f>
        <v>1828</v>
      </c>
      <c r="K1829" s="20" t="b">
        <f>IFERROR(__xludf.DUMMYFUNCTION("""COMPUTED_VALUE"""),FALSE)</f>
        <v>0</v>
      </c>
      <c r="L1829" s="20" t="str">
        <f>IFERROR(__xludf.DUMMYFUNCTION("""COMPUTED_VALUE"""),"Array;Math;Geometry;")</f>
        <v>Array;Math;Geometry;</v>
      </c>
      <c r="M1829" s="20" t="b">
        <f>IFERROR(__xludf.DUMMYFUNCTION("""COMPUTED_VALUE"""),FALSE)</f>
        <v>0</v>
      </c>
      <c r="N1829" s="20" t="b">
        <f>IFERROR(__xludf.DUMMYFUNCTION("""COMPUTED_VALUE"""),FALSE)</f>
        <v>0</v>
      </c>
      <c r="O1829" s="20">
        <f>IFERROR(__xludf.DUMMYFUNCTION("""COMPUTED_VALUE"""),86.3343429786685)</f>
        <v>86.33434298</v>
      </c>
      <c r="P1829" s="20">
        <f>IFERROR(__xludf.DUMMYFUNCTION("""COMPUTED_VALUE"""),53586.0)</f>
        <v>53586</v>
      </c>
      <c r="Q1829" s="20">
        <f>IFERROR(__xludf.DUMMYFUNCTION("""COMPUTED_VALUE"""),62068.0)</f>
        <v>62068</v>
      </c>
    </row>
    <row r="1830">
      <c r="A1830" s="20">
        <f>IFERROR(__xludf.DUMMYFUNCTION("""COMPUTED_VALUE"""),1940.0)</f>
        <v>1940</v>
      </c>
      <c r="B1830" s="20" t="str">
        <f>IFERROR(__xludf.DUMMYFUNCTION("""COMPUTED_VALUE"""),"Maximum XOR for Each Query")</f>
        <v>Maximum XOR for Each Query</v>
      </c>
      <c r="C1830" s="20" t="str">
        <f>IFERROR(__xludf.DUMMYFUNCTION("""COMPUTED_VALUE"""),"maximum-xor-for-each-query")</f>
        <v>maximum-xor-for-each-query</v>
      </c>
      <c r="D1830" s="20" t="b">
        <f>IFERROR(__xludf.DUMMYFUNCTION("""COMPUTED_VALUE"""),FALSE)</f>
        <v>0</v>
      </c>
      <c r="E1830" s="20" t="str">
        <f>IFERROR(__xludf.DUMMYFUNCTION("""COMPUTED_VALUE"""),"Medium")</f>
        <v>Medium</v>
      </c>
      <c r="F1830" s="20">
        <f>IFERROR(__xludf.DUMMYFUNCTION("""COMPUTED_VALUE"""),560.0)</f>
        <v>560</v>
      </c>
      <c r="G1830" s="20">
        <f>IFERROR(__xludf.DUMMYFUNCTION("""COMPUTED_VALUE"""),45.0)</f>
        <v>45</v>
      </c>
      <c r="H1830" s="20" t="str">
        <f>IFERROR(__xludf.DUMMYFUNCTION("""COMPUTED_VALUE"""),"Algorithms")</f>
        <v>Algorithms</v>
      </c>
      <c r="I1830" s="20">
        <f>IFERROR(__xludf.DUMMYFUNCTION("""COMPUTED_VALUE"""),0.768)</f>
        <v>0.768</v>
      </c>
      <c r="J1830" s="20">
        <f>IFERROR(__xludf.DUMMYFUNCTION("""COMPUTED_VALUE"""),1829.0)</f>
        <v>1829</v>
      </c>
      <c r="K1830" s="20" t="b">
        <f>IFERROR(__xludf.DUMMYFUNCTION("""COMPUTED_VALUE"""),FALSE)</f>
        <v>0</v>
      </c>
      <c r="L1830" s="20" t="str">
        <f>IFERROR(__xludf.DUMMYFUNCTION("""COMPUTED_VALUE"""),"Array;Bit Manipulation;Prefix Sum;")</f>
        <v>Array;Bit Manipulation;Prefix Sum;</v>
      </c>
      <c r="M1830" s="20" t="b">
        <f>IFERROR(__xludf.DUMMYFUNCTION("""COMPUTED_VALUE"""),FALSE)</f>
        <v>0</v>
      </c>
      <c r="N1830" s="20" t="b">
        <f>IFERROR(__xludf.DUMMYFUNCTION("""COMPUTED_VALUE"""),FALSE)</f>
        <v>0</v>
      </c>
      <c r="O1830" s="20">
        <f>IFERROR(__xludf.DUMMYFUNCTION("""COMPUTED_VALUE"""),76.8175735950044)</f>
        <v>76.8175736</v>
      </c>
      <c r="P1830" s="20">
        <f>IFERROR(__xludf.DUMMYFUNCTION("""COMPUTED_VALUE"""),20667.0)</f>
        <v>20667</v>
      </c>
      <c r="Q1830" s="20">
        <f>IFERROR(__xludf.DUMMYFUNCTION("""COMPUTED_VALUE"""),26904.0)</f>
        <v>26904</v>
      </c>
    </row>
    <row r="1831">
      <c r="A1831" s="20">
        <f>IFERROR(__xludf.DUMMYFUNCTION("""COMPUTED_VALUE"""),1941.0)</f>
        <v>1941</v>
      </c>
      <c r="B1831" s="20" t="str">
        <f>IFERROR(__xludf.DUMMYFUNCTION("""COMPUTED_VALUE"""),"Minimum Number of Operations to Make String Sorted")</f>
        <v>Minimum Number of Operations to Make String Sorted</v>
      </c>
      <c r="C1831" s="20" t="str">
        <f>IFERROR(__xludf.DUMMYFUNCTION("""COMPUTED_VALUE"""),"minimum-number-of-operations-to-make-string-sorted")</f>
        <v>minimum-number-of-operations-to-make-string-sorted</v>
      </c>
      <c r="D1831" s="20" t="b">
        <f>IFERROR(__xludf.DUMMYFUNCTION("""COMPUTED_VALUE"""),FALSE)</f>
        <v>0</v>
      </c>
      <c r="E1831" s="20" t="str">
        <f>IFERROR(__xludf.DUMMYFUNCTION("""COMPUTED_VALUE"""),"Hard")</f>
        <v>Hard</v>
      </c>
      <c r="F1831" s="20">
        <f>IFERROR(__xludf.DUMMYFUNCTION("""COMPUTED_VALUE"""),152.0)</f>
        <v>152</v>
      </c>
      <c r="G1831" s="20">
        <f>IFERROR(__xludf.DUMMYFUNCTION("""COMPUTED_VALUE"""),109.0)</f>
        <v>109</v>
      </c>
      <c r="H1831" s="20" t="str">
        <f>IFERROR(__xludf.DUMMYFUNCTION("""COMPUTED_VALUE"""),"Algorithms")</f>
        <v>Algorithms</v>
      </c>
      <c r="I1831" s="20">
        <f>IFERROR(__xludf.DUMMYFUNCTION("""COMPUTED_VALUE"""),0.494)</f>
        <v>0.494</v>
      </c>
      <c r="J1831" s="20">
        <f>IFERROR(__xludf.DUMMYFUNCTION("""COMPUTED_VALUE"""),1830.0)</f>
        <v>1830</v>
      </c>
      <c r="K1831" s="20" t="b">
        <f>IFERROR(__xludf.DUMMYFUNCTION("""COMPUTED_VALUE"""),FALSE)</f>
        <v>0</v>
      </c>
      <c r="L1831" s="20" t="str">
        <f>IFERROR(__xludf.DUMMYFUNCTION("""COMPUTED_VALUE"""),"Math;String;Combinatorics;")</f>
        <v>Math;String;Combinatorics;</v>
      </c>
      <c r="M1831" s="20" t="b">
        <f>IFERROR(__xludf.DUMMYFUNCTION("""COMPUTED_VALUE"""),FALSE)</f>
        <v>0</v>
      </c>
      <c r="N1831" s="20" t="b">
        <f>IFERROR(__xludf.DUMMYFUNCTION("""COMPUTED_VALUE"""),FALSE)</f>
        <v>0</v>
      </c>
      <c r="O1831" s="20">
        <f>IFERROR(__xludf.DUMMYFUNCTION("""COMPUTED_VALUE"""),49.4133885438233)</f>
        <v>49.41338854</v>
      </c>
      <c r="P1831" s="20">
        <f>IFERROR(__xludf.DUMMYFUNCTION("""COMPUTED_VALUE"""),2864.0)</f>
        <v>2864</v>
      </c>
      <c r="Q1831" s="20">
        <f>IFERROR(__xludf.DUMMYFUNCTION("""COMPUTED_VALUE"""),5796.0)</f>
        <v>5796</v>
      </c>
    </row>
    <row r="1832">
      <c r="A1832" s="20">
        <f>IFERROR(__xludf.DUMMYFUNCTION("""COMPUTED_VALUE"""),1981.0)</f>
        <v>1981</v>
      </c>
      <c r="B1832" s="20" t="str">
        <f>IFERROR(__xludf.DUMMYFUNCTION("""COMPUTED_VALUE"""),"Maximum Transaction Each Day")</f>
        <v>Maximum Transaction Each Day</v>
      </c>
      <c r="C1832" s="20" t="str">
        <f>IFERROR(__xludf.DUMMYFUNCTION("""COMPUTED_VALUE"""),"maximum-transaction-each-day")</f>
        <v>maximum-transaction-each-day</v>
      </c>
      <c r="D1832" s="20" t="b">
        <f>IFERROR(__xludf.DUMMYFUNCTION("""COMPUTED_VALUE"""),TRUE)</f>
        <v>1</v>
      </c>
      <c r="E1832" s="20" t="str">
        <f>IFERROR(__xludf.DUMMYFUNCTION("""COMPUTED_VALUE"""),"Medium")</f>
        <v>Medium</v>
      </c>
      <c r="F1832" s="20">
        <f>IFERROR(__xludf.DUMMYFUNCTION("""COMPUTED_VALUE"""),57.0)</f>
        <v>57</v>
      </c>
      <c r="G1832" s="20">
        <f>IFERROR(__xludf.DUMMYFUNCTION("""COMPUTED_VALUE"""),1.0)</f>
        <v>1</v>
      </c>
      <c r="H1832" s="20" t="str">
        <f>IFERROR(__xludf.DUMMYFUNCTION("""COMPUTED_VALUE"""),"Database")</f>
        <v>Database</v>
      </c>
      <c r="I1832" s="20">
        <f>IFERROR(__xludf.DUMMYFUNCTION("""COMPUTED_VALUE"""),0.844)</f>
        <v>0.844</v>
      </c>
      <c r="J1832" s="20">
        <f>IFERROR(__xludf.DUMMYFUNCTION("""COMPUTED_VALUE"""),1831.0)</f>
        <v>1831</v>
      </c>
      <c r="K1832" s="20" t="b">
        <f>IFERROR(__xludf.DUMMYFUNCTION("""COMPUTED_VALUE"""),TRUE)</f>
        <v>1</v>
      </c>
      <c r="L1832" s="20" t="str">
        <f>IFERROR(__xludf.DUMMYFUNCTION("""COMPUTED_VALUE"""),"Database;")</f>
        <v>Database;</v>
      </c>
      <c r="M1832" s="20" t="b">
        <f>IFERROR(__xludf.DUMMYFUNCTION("""COMPUTED_VALUE"""),FALSE)</f>
        <v>0</v>
      </c>
      <c r="N1832" s="20" t="b">
        <f>IFERROR(__xludf.DUMMYFUNCTION("""COMPUTED_VALUE"""),FALSE)</f>
        <v>0</v>
      </c>
      <c r="O1832" s="20">
        <f>IFERROR(__xludf.DUMMYFUNCTION("""COMPUTED_VALUE"""),84.3766204904067)</f>
        <v>84.37662049</v>
      </c>
      <c r="P1832" s="20">
        <f>IFERROR(__xludf.DUMMYFUNCTION("""COMPUTED_VALUE"""),11390.0)</f>
        <v>11390</v>
      </c>
      <c r="Q1832" s="20">
        <f>IFERROR(__xludf.DUMMYFUNCTION("""COMPUTED_VALUE"""),13499.0)</f>
        <v>13499</v>
      </c>
    </row>
    <row r="1833">
      <c r="A1833" s="20">
        <f>IFERROR(__xludf.DUMMYFUNCTION("""COMPUTED_VALUE"""),1960.0)</f>
        <v>1960</v>
      </c>
      <c r="B1833" s="20" t="str">
        <f>IFERROR(__xludf.DUMMYFUNCTION("""COMPUTED_VALUE"""),"Check if the Sentence Is Pangram")</f>
        <v>Check if the Sentence Is Pangram</v>
      </c>
      <c r="C1833" s="20" t="str">
        <f>IFERROR(__xludf.DUMMYFUNCTION("""COMPUTED_VALUE"""),"check-if-the-sentence-is-pangram")</f>
        <v>check-if-the-sentence-is-pangram</v>
      </c>
      <c r="D1833" s="20" t="b">
        <f>IFERROR(__xludf.DUMMYFUNCTION("""COMPUTED_VALUE"""),FALSE)</f>
        <v>0</v>
      </c>
      <c r="E1833" s="20" t="str">
        <f>IFERROR(__xludf.DUMMYFUNCTION("""COMPUTED_VALUE"""),"Easy")</f>
        <v>Easy</v>
      </c>
      <c r="F1833" s="20">
        <f>IFERROR(__xludf.DUMMYFUNCTION("""COMPUTED_VALUE"""),2068.0)</f>
        <v>2068</v>
      </c>
      <c r="G1833" s="20">
        <f>IFERROR(__xludf.DUMMYFUNCTION("""COMPUTED_VALUE"""),46.0)</f>
        <v>46</v>
      </c>
      <c r="H1833" s="20" t="str">
        <f>IFERROR(__xludf.DUMMYFUNCTION("""COMPUTED_VALUE"""),"Algorithms")</f>
        <v>Algorithms</v>
      </c>
      <c r="I1833" s="20">
        <f>IFERROR(__xludf.DUMMYFUNCTION("""COMPUTED_VALUE"""),0.838)</f>
        <v>0.838</v>
      </c>
      <c r="J1833" s="20">
        <f>IFERROR(__xludf.DUMMYFUNCTION("""COMPUTED_VALUE"""),1832.0)</f>
        <v>1832</v>
      </c>
      <c r="K1833" s="20" t="b">
        <f>IFERROR(__xludf.DUMMYFUNCTION("""COMPUTED_VALUE"""),FALSE)</f>
        <v>0</v>
      </c>
      <c r="L1833" s="20" t="str">
        <f>IFERROR(__xludf.DUMMYFUNCTION("""COMPUTED_VALUE"""),"Hash Table;String;")</f>
        <v>Hash Table;String;</v>
      </c>
      <c r="M1833" s="20" t="b">
        <f>IFERROR(__xludf.DUMMYFUNCTION("""COMPUTED_VALUE"""),TRUE)</f>
        <v>1</v>
      </c>
      <c r="N1833" s="20" t="b">
        <f>IFERROR(__xludf.DUMMYFUNCTION("""COMPUTED_VALUE"""),FALSE)</f>
        <v>0</v>
      </c>
      <c r="O1833" s="20">
        <f>IFERROR(__xludf.DUMMYFUNCTION("""COMPUTED_VALUE"""),83.776451437873)</f>
        <v>83.77645144</v>
      </c>
      <c r="P1833" s="20">
        <f>IFERROR(__xludf.DUMMYFUNCTION("""COMPUTED_VALUE"""),202261.0)</f>
        <v>202261</v>
      </c>
      <c r="Q1833" s="20">
        <f>IFERROR(__xludf.DUMMYFUNCTION("""COMPUTED_VALUE"""),241430.0)</f>
        <v>241430</v>
      </c>
    </row>
    <row r="1834">
      <c r="A1834" s="20">
        <f>IFERROR(__xludf.DUMMYFUNCTION("""COMPUTED_VALUE"""),1961.0)</f>
        <v>1961</v>
      </c>
      <c r="B1834" s="20" t="str">
        <f>IFERROR(__xludf.DUMMYFUNCTION("""COMPUTED_VALUE"""),"Maximum Ice Cream Bars")</f>
        <v>Maximum Ice Cream Bars</v>
      </c>
      <c r="C1834" s="20" t="str">
        <f>IFERROR(__xludf.DUMMYFUNCTION("""COMPUTED_VALUE"""),"maximum-ice-cream-bars")</f>
        <v>maximum-ice-cream-bars</v>
      </c>
      <c r="D1834" s="20" t="b">
        <f>IFERROR(__xludf.DUMMYFUNCTION("""COMPUTED_VALUE"""),FALSE)</f>
        <v>0</v>
      </c>
      <c r="E1834" s="20" t="str">
        <f>IFERROR(__xludf.DUMMYFUNCTION("""COMPUTED_VALUE"""),"Medium")</f>
        <v>Medium</v>
      </c>
      <c r="F1834" s="20">
        <f>IFERROR(__xludf.DUMMYFUNCTION("""COMPUTED_VALUE"""),444.0)</f>
        <v>444</v>
      </c>
      <c r="G1834" s="20">
        <f>IFERROR(__xludf.DUMMYFUNCTION("""COMPUTED_VALUE"""),182.0)</f>
        <v>182</v>
      </c>
      <c r="H1834" s="20" t="str">
        <f>IFERROR(__xludf.DUMMYFUNCTION("""COMPUTED_VALUE"""),"Algorithms")</f>
        <v>Algorithms</v>
      </c>
      <c r="I1834" s="20">
        <f>IFERROR(__xludf.DUMMYFUNCTION("""COMPUTED_VALUE"""),0.657)</f>
        <v>0.657</v>
      </c>
      <c r="J1834" s="20">
        <f>IFERROR(__xludf.DUMMYFUNCTION("""COMPUTED_VALUE"""),1833.0)</f>
        <v>1833</v>
      </c>
      <c r="K1834" s="20" t="b">
        <f>IFERROR(__xludf.DUMMYFUNCTION("""COMPUTED_VALUE"""),FALSE)</f>
        <v>0</v>
      </c>
      <c r="L1834" s="20" t="str">
        <f>IFERROR(__xludf.DUMMYFUNCTION("""COMPUTED_VALUE"""),"Array;Greedy;Sorting;")</f>
        <v>Array;Greedy;Sorting;</v>
      </c>
      <c r="M1834" s="20" t="b">
        <f>IFERROR(__xludf.DUMMYFUNCTION("""COMPUTED_VALUE"""),TRUE)</f>
        <v>1</v>
      </c>
      <c r="N1834" s="20" t="b">
        <f>IFERROR(__xludf.DUMMYFUNCTION("""COMPUTED_VALUE"""),FALSE)</f>
        <v>0</v>
      </c>
      <c r="O1834" s="20">
        <f>IFERROR(__xludf.DUMMYFUNCTION("""COMPUTED_VALUE"""),65.6693855175507)</f>
        <v>65.66938552</v>
      </c>
      <c r="P1834" s="20">
        <f>IFERROR(__xludf.DUMMYFUNCTION("""COMPUTED_VALUE"""),39531.0)</f>
        <v>39531</v>
      </c>
      <c r="Q1834" s="20">
        <f>IFERROR(__xludf.DUMMYFUNCTION("""COMPUTED_VALUE"""),60197.0)</f>
        <v>60197</v>
      </c>
    </row>
    <row r="1835">
      <c r="A1835" s="20">
        <f>IFERROR(__xludf.DUMMYFUNCTION("""COMPUTED_VALUE"""),1962.0)</f>
        <v>1962</v>
      </c>
      <c r="B1835" s="20" t="str">
        <f>IFERROR(__xludf.DUMMYFUNCTION("""COMPUTED_VALUE"""),"Single-Threaded CPU")</f>
        <v>Single-Threaded CPU</v>
      </c>
      <c r="C1835" s="20" t="str">
        <f>IFERROR(__xludf.DUMMYFUNCTION("""COMPUTED_VALUE"""),"single-threaded-cpu")</f>
        <v>single-threaded-cpu</v>
      </c>
      <c r="D1835" s="20" t="b">
        <f>IFERROR(__xludf.DUMMYFUNCTION("""COMPUTED_VALUE"""),FALSE)</f>
        <v>0</v>
      </c>
      <c r="E1835" s="20" t="str">
        <f>IFERROR(__xludf.DUMMYFUNCTION("""COMPUTED_VALUE"""),"Medium")</f>
        <v>Medium</v>
      </c>
      <c r="F1835" s="20">
        <f>IFERROR(__xludf.DUMMYFUNCTION("""COMPUTED_VALUE"""),1136.0)</f>
        <v>1136</v>
      </c>
      <c r="G1835" s="20">
        <f>IFERROR(__xludf.DUMMYFUNCTION("""COMPUTED_VALUE"""),134.0)</f>
        <v>134</v>
      </c>
      <c r="H1835" s="20" t="str">
        <f>IFERROR(__xludf.DUMMYFUNCTION("""COMPUTED_VALUE"""),"Algorithms")</f>
        <v>Algorithms</v>
      </c>
      <c r="I1835" s="20">
        <f>IFERROR(__xludf.DUMMYFUNCTION("""COMPUTED_VALUE"""),0.42)</f>
        <v>0.42</v>
      </c>
      <c r="J1835" s="20">
        <f>IFERROR(__xludf.DUMMYFUNCTION("""COMPUTED_VALUE"""),1834.0)</f>
        <v>1834</v>
      </c>
      <c r="K1835" s="20" t="b">
        <f>IFERROR(__xludf.DUMMYFUNCTION("""COMPUTED_VALUE"""),FALSE)</f>
        <v>0</v>
      </c>
      <c r="L1835" s="20" t="str">
        <f>IFERROR(__xludf.DUMMYFUNCTION("""COMPUTED_VALUE"""),"Array;Sorting;Heap (Priority Queue);")</f>
        <v>Array;Sorting;Heap (Priority Queue);</v>
      </c>
      <c r="M1835" s="20" t="b">
        <f>IFERROR(__xludf.DUMMYFUNCTION("""COMPUTED_VALUE"""),TRUE)</f>
        <v>1</v>
      </c>
      <c r="N1835" s="20" t="b">
        <f>IFERROR(__xludf.DUMMYFUNCTION("""COMPUTED_VALUE"""),FALSE)</f>
        <v>0</v>
      </c>
      <c r="O1835" s="20">
        <f>IFERROR(__xludf.DUMMYFUNCTION("""COMPUTED_VALUE"""),42.0228732094684)</f>
        <v>42.02287321</v>
      </c>
      <c r="P1835" s="20">
        <f>IFERROR(__xludf.DUMMYFUNCTION("""COMPUTED_VALUE"""),44240.0)</f>
        <v>44240</v>
      </c>
      <c r="Q1835" s="20">
        <f>IFERROR(__xludf.DUMMYFUNCTION("""COMPUTED_VALUE"""),105276.0)</f>
        <v>105276</v>
      </c>
    </row>
    <row r="1836">
      <c r="A1836" s="20">
        <f>IFERROR(__xludf.DUMMYFUNCTION("""COMPUTED_VALUE"""),1963.0)</f>
        <v>1963</v>
      </c>
      <c r="B1836" s="20" t="str">
        <f>IFERROR(__xludf.DUMMYFUNCTION("""COMPUTED_VALUE"""),"Find XOR Sum of All Pairs Bitwise AND")</f>
        <v>Find XOR Sum of All Pairs Bitwise AND</v>
      </c>
      <c r="C1836" s="20" t="str">
        <f>IFERROR(__xludf.DUMMYFUNCTION("""COMPUTED_VALUE"""),"find-xor-sum-of-all-pairs-bitwise-and")</f>
        <v>find-xor-sum-of-all-pairs-bitwise-and</v>
      </c>
      <c r="D1836" s="20" t="b">
        <f>IFERROR(__xludf.DUMMYFUNCTION("""COMPUTED_VALUE"""),FALSE)</f>
        <v>0</v>
      </c>
      <c r="E1836" s="20" t="str">
        <f>IFERROR(__xludf.DUMMYFUNCTION("""COMPUTED_VALUE"""),"Hard")</f>
        <v>Hard</v>
      </c>
      <c r="F1836" s="20">
        <f>IFERROR(__xludf.DUMMYFUNCTION("""COMPUTED_VALUE"""),433.0)</f>
        <v>433</v>
      </c>
      <c r="G1836" s="20">
        <f>IFERROR(__xludf.DUMMYFUNCTION("""COMPUTED_VALUE"""),38.0)</f>
        <v>38</v>
      </c>
      <c r="H1836" s="20" t="str">
        <f>IFERROR(__xludf.DUMMYFUNCTION("""COMPUTED_VALUE"""),"Algorithms")</f>
        <v>Algorithms</v>
      </c>
      <c r="I1836" s="20">
        <f>IFERROR(__xludf.DUMMYFUNCTION("""COMPUTED_VALUE"""),0.602)</f>
        <v>0.602</v>
      </c>
      <c r="J1836" s="20">
        <f>IFERROR(__xludf.DUMMYFUNCTION("""COMPUTED_VALUE"""),1835.0)</f>
        <v>1835</v>
      </c>
      <c r="K1836" s="20" t="b">
        <f>IFERROR(__xludf.DUMMYFUNCTION("""COMPUTED_VALUE"""),FALSE)</f>
        <v>0</v>
      </c>
      <c r="L1836" s="20" t="str">
        <f>IFERROR(__xludf.DUMMYFUNCTION("""COMPUTED_VALUE"""),"Array;Math;Bit Manipulation;")</f>
        <v>Array;Math;Bit Manipulation;</v>
      </c>
      <c r="M1836" s="20" t="b">
        <f>IFERROR(__xludf.DUMMYFUNCTION("""COMPUTED_VALUE"""),FALSE)</f>
        <v>0</v>
      </c>
      <c r="N1836" s="20" t="b">
        <f>IFERROR(__xludf.DUMMYFUNCTION("""COMPUTED_VALUE"""),FALSE)</f>
        <v>0</v>
      </c>
      <c r="O1836" s="20">
        <f>IFERROR(__xludf.DUMMYFUNCTION("""COMPUTED_VALUE"""),60.1791754273699)</f>
        <v>60.17917543</v>
      </c>
      <c r="P1836" s="20">
        <f>IFERROR(__xludf.DUMMYFUNCTION("""COMPUTED_VALUE"""),13166.0)</f>
        <v>13166</v>
      </c>
      <c r="Q1836" s="20">
        <f>IFERROR(__xludf.DUMMYFUNCTION("""COMPUTED_VALUE"""),21878.0)</f>
        <v>21878</v>
      </c>
    </row>
    <row r="1837">
      <c r="A1837" s="20">
        <f>IFERROR(__xludf.DUMMYFUNCTION("""COMPUTED_VALUE"""),1982.0)</f>
        <v>1982</v>
      </c>
      <c r="B1837" s="20" t="str">
        <f>IFERROR(__xludf.DUMMYFUNCTION("""COMPUTED_VALUE"""),"Remove Duplicates From an Unsorted Linked List")</f>
        <v>Remove Duplicates From an Unsorted Linked List</v>
      </c>
      <c r="C1837" s="20" t="str">
        <f>IFERROR(__xludf.DUMMYFUNCTION("""COMPUTED_VALUE"""),"remove-duplicates-from-an-unsorted-linked-list")</f>
        <v>remove-duplicates-from-an-unsorted-linked-list</v>
      </c>
      <c r="D1837" s="20" t="b">
        <f>IFERROR(__xludf.DUMMYFUNCTION("""COMPUTED_VALUE"""),TRUE)</f>
        <v>1</v>
      </c>
      <c r="E1837" s="20" t="str">
        <f>IFERROR(__xludf.DUMMYFUNCTION("""COMPUTED_VALUE"""),"Medium")</f>
        <v>Medium</v>
      </c>
      <c r="F1837" s="20">
        <f>IFERROR(__xludf.DUMMYFUNCTION("""COMPUTED_VALUE"""),305.0)</f>
        <v>305</v>
      </c>
      <c r="G1837" s="20">
        <f>IFERROR(__xludf.DUMMYFUNCTION("""COMPUTED_VALUE"""),10.0)</f>
        <v>10</v>
      </c>
      <c r="H1837" s="20" t="str">
        <f>IFERROR(__xludf.DUMMYFUNCTION("""COMPUTED_VALUE"""),"Algorithms")</f>
        <v>Algorithms</v>
      </c>
      <c r="I1837" s="20">
        <f>IFERROR(__xludf.DUMMYFUNCTION("""COMPUTED_VALUE"""),0.698)</f>
        <v>0.698</v>
      </c>
      <c r="J1837" s="20">
        <f>IFERROR(__xludf.DUMMYFUNCTION("""COMPUTED_VALUE"""),1836.0)</f>
        <v>1836</v>
      </c>
      <c r="K1837" s="20" t="b">
        <f>IFERROR(__xludf.DUMMYFUNCTION("""COMPUTED_VALUE"""),TRUE)</f>
        <v>1</v>
      </c>
      <c r="L1837" s="20" t="str">
        <f>IFERROR(__xludf.DUMMYFUNCTION("""COMPUTED_VALUE"""),"Hash Table;Linked List;")</f>
        <v>Hash Table;Linked List;</v>
      </c>
      <c r="M1837" s="20" t="b">
        <f>IFERROR(__xludf.DUMMYFUNCTION("""COMPUTED_VALUE"""),FALSE)</f>
        <v>0</v>
      </c>
      <c r="N1837" s="20" t="b">
        <f>IFERROR(__xludf.DUMMYFUNCTION("""COMPUTED_VALUE"""),FALSE)</f>
        <v>0</v>
      </c>
      <c r="O1837" s="20">
        <f>IFERROR(__xludf.DUMMYFUNCTION("""COMPUTED_VALUE"""),69.8170430196143)</f>
        <v>69.81704302</v>
      </c>
      <c r="P1837" s="20">
        <f>IFERROR(__xludf.DUMMYFUNCTION("""COMPUTED_VALUE"""),21179.0)</f>
        <v>21179</v>
      </c>
      <c r="Q1837" s="20">
        <f>IFERROR(__xludf.DUMMYFUNCTION("""COMPUTED_VALUE"""),30335.0)</f>
        <v>30335</v>
      </c>
    </row>
    <row r="1838">
      <c r="A1838" s="20">
        <f>IFERROR(__xludf.DUMMYFUNCTION("""COMPUTED_VALUE"""),1965.0)</f>
        <v>1965</v>
      </c>
      <c r="B1838" s="20" t="str">
        <f>IFERROR(__xludf.DUMMYFUNCTION("""COMPUTED_VALUE"""),"Sum of Digits in Base K")</f>
        <v>Sum of Digits in Base K</v>
      </c>
      <c r="C1838" s="20" t="str">
        <f>IFERROR(__xludf.DUMMYFUNCTION("""COMPUTED_VALUE"""),"sum-of-digits-in-base-k")</f>
        <v>sum-of-digits-in-base-k</v>
      </c>
      <c r="D1838" s="20" t="b">
        <f>IFERROR(__xludf.DUMMYFUNCTION("""COMPUTED_VALUE"""),FALSE)</f>
        <v>0</v>
      </c>
      <c r="E1838" s="20" t="str">
        <f>IFERROR(__xludf.DUMMYFUNCTION("""COMPUTED_VALUE"""),"Easy")</f>
        <v>Easy</v>
      </c>
      <c r="F1838" s="20">
        <f>IFERROR(__xludf.DUMMYFUNCTION("""COMPUTED_VALUE"""),375.0)</f>
        <v>375</v>
      </c>
      <c r="G1838" s="20">
        <f>IFERROR(__xludf.DUMMYFUNCTION("""COMPUTED_VALUE"""),31.0)</f>
        <v>31</v>
      </c>
      <c r="H1838" s="20" t="str">
        <f>IFERROR(__xludf.DUMMYFUNCTION("""COMPUTED_VALUE"""),"Algorithms")</f>
        <v>Algorithms</v>
      </c>
      <c r="I1838" s="20">
        <f>IFERROR(__xludf.DUMMYFUNCTION("""COMPUTED_VALUE"""),0.769)</f>
        <v>0.769</v>
      </c>
      <c r="J1838" s="20">
        <f>IFERROR(__xludf.DUMMYFUNCTION("""COMPUTED_VALUE"""),1837.0)</f>
        <v>1837</v>
      </c>
      <c r="K1838" s="20" t="b">
        <f>IFERROR(__xludf.DUMMYFUNCTION("""COMPUTED_VALUE"""),FALSE)</f>
        <v>0</v>
      </c>
      <c r="L1838" s="20" t="str">
        <f>IFERROR(__xludf.DUMMYFUNCTION("""COMPUTED_VALUE"""),"Math;")</f>
        <v>Math;</v>
      </c>
      <c r="M1838" s="20" t="b">
        <f>IFERROR(__xludf.DUMMYFUNCTION("""COMPUTED_VALUE"""),FALSE)</f>
        <v>0</v>
      </c>
      <c r="N1838" s="20" t="b">
        <f>IFERROR(__xludf.DUMMYFUNCTION("""COMPUTED_VALUE"""),FALSE)</f>
        <v>0</v>
      </c>
      <c r="O1838" s="20">
        <f>IFERROR(__xludf.DUMMYFUNCTION("""COMPUTED_VALUE"""),76.9163952225841)</f>
        <v>76.91639522</v>
      </c>
      <c r="P1838" s="20">
        <f>IFERROR(__xludf.DUMMYFUNCTION("""COMPUTED_VALUE"""),35420.0)</f>
        <v>35420</v>
      </c>
      <c r="Q1838" s="20">
        <f>IFERROR(__xludf.DUMMYFUNCTION("""COMPUTED_VALUE"""),46050.0)</f>
        <v>46050</v>
      </c>
    </row>
    <row r="1839">
      <c r="A1839" s="20">
        <f>IFERROR(__xludf.DUMMYFUNCTION("""COMPUTED_VALUE"""),1966.0)</f>
        <v>1966</v>
      </c>
      <c r="B1839" s="20" t="str">
        <f>IFERROR(__xludf.DUMMYFUNCTION("""COMPUTED_VALUE"""),"Frequency of the Most Frequent Element")</f>
        <v>Frequency of the Most Frequent Element</v>
      </c>
      <c r="C1839" s="20" t="str">
        <f>IFERROR(__xludf.DUMMYFUNCTION("""COMPUTED_VALUE"""),"frequency-of-the-most-frequent-element")</f>
        <v>frequency-of-the-most-frequent-element</v>
      </c>
      <c r="D1839" s="20" t="b">
        <f>IFERROR(__xludf.DUMMYFUNCTION("""COMPUTED_VALUE"""),FALSE)</f>
        <v>0</v>
      </c>
      <c r="E1839" s="20" t="str">
        <f>IFERROR(__xludf.DUMMYFUNCTION("""COMPUTED_VALUE"""),"Medium")</f>
        <v>Medium</v>
      </c>
      <c r="F1839" s="20">
        <f>IFERROR(__xludf.DUMMYFUNCTION("""COMPUTED_VALUE"""),1972.0)</f>
        <v>1972</v>
      </c>
      <c r="G1839" s="20">
        <f>IFERROR(__xludf.DUMMYFUNCTION("""COMPUTED_VALUE"""),51.0)</f>
        <v>51</v>
      </c>
      <c r="H1839" s="20" t="str">
        <f>IFERROR(__xludf.DUMMYFUNCTION("""COMPUTED_VALUE"""),"Algorithms")</f>
        <v>Algorithms</v>
      </c>
      <c r="I1839" s="20">
        <f>IFERROR(__xludf.DUMMYFUNCTION("""COMPUTED_VALUE"""),0.388)</f>
        <v>0.388</v>
      </c>
      <c r="J1839" s="20">
        <f>IFERROR(__xludf.DUMMYFUNCTION("""COMPUTED_VALUE"""),1838.0)</f>
        <v>1838</v>
      </c>
      <c r="K1839" s="20" t="b">
        <f>IFERROR(__xludf.DUMMYFUNCTION("""COMPUTED_VALUE"""),FALSE)</f>
        <v>0</v>
      </c>
      <c r="L1839" s="20" t="str">
        <f>IFERROR(__xludf.DUMMYFUNCTION("""COMPUTED_VALUE"""),"Array;Binary Search;Greedy;Sliding Window;Sorting;Prefix Sum;")</f>
        <v>Array;Binary Search;Greedy;Sliding Window;Sorting;Prefix Sum;</v>
      </c>
      <c r="M1839" s="20" t="b">
        <f>IFERROR(__xludf.DUMMYFUNCTION("""COMPUTED_VALUE"""),FALSE)</f>
        <v>0</v>
      </c>
      <c r="N1839" s="20" t="b">
        <f>IFERROR(__xludf.DUMMYFUNCTION("""COMPUTED_VALUE"""),FALSE)</f>
        <v>0</v>
      </c>
      <c r="O1839" s="20">
        <f>IFERROR(__xludf.DUMMYFUNCTION("""COMPUTED_VALUE"""),38.8262635477074)</f>
        <v>38.82626355</v>
      </c>
      <c r="P1839" s="20">
        <f>IFERROR(__xludf.DUMMYFUNCTION("""COMPUTED_VALUE"""),35752.0)</f>
        <v>35752</v>
      </c>
      <c r="Q1839" s="20">
        <f>IFERROR(__xludf.DUMMYFUNCTION("""COMPUTED_VALUE"""),92082.0)</f>
        <v>92082</v>
      </c>
    </row>
    <row r="1840">
      <c r="A1840" s="20">
        <f>IFERROR(__xludf.DUMMYFUNCTION("""COMPUTED_VALUE"""),1967.0)</f>
        <v>1967</v>
      </c>
      <c r="B1840" s="20" t="str">
        <f>IFERROR(__xludf.DUMMYFUNCTION("""COMPUTED_VALUE"""),"Longest Substring Of All Vowels in Order")</f>
        <v>Longest Substring Of All Vowels in Order</v>
      </c>
      <c r="C1840" s="20" t="str">
        <f>IFERROR(__xludf.DUMMYFUNCTION("""COMPUTED_VALUE"""),"longest-substring-of-all-vowels-in-order")</f>
        <v>longest-substring-of-all-vowels-in-order</v>
      </c>
      <c r="D1840" s="20" t="b">
        <f>IFERROR(__xludf.DUMMYFUNCTION("""COMPUTED_VALUE"""),FALSE)</f>
        <v>0</v>
      </c>
      <c r="E1840" s="20" t="str">
        <f>IFERROR(__xludf.DUMMYFUNCTION("""COMPUTED_VALUE"""),"Medium")</f>
        <v>Medium</v>
      </c>
      <c r="F1840" s="20">
        <f>IFERROR(__xludf.DUMMYFUNCTION("""COMPUTED_VALUE"""),552.0)</f>
        <v>552</v>
      </c>
      <c r="G1840" s="20">
        <f>IFERROR(__xludf.DUMMYFUNCTION("""COMPUTED_VALUE"""),16.0)</f>
        <v>16</v>
      </c>
      <c r="H1840" s="20" t="str">
        <f>IFERROR(__xludf.DUMMYFUNCTION("""COMPUTED_VALUE"""),"Algorithms")</f>
        <v>Algorithms</v>
      </c>
      <c r="I1840" s="20">
        <f>IFERROR(__xludf.DUMMYFUNCTION("""COMPUTED_VALUE"""),0.486)</f>
        <v>0.486</v>
      </c>
      <c r="J1840" s="20">
        <f>IFERROR(__xludf.DUMMYFUNCTION("""COMPUTED_VALUE"""),1839.0)</f>
        <v>1839</v>
      </c>
      <c r="K1840" s="20" t="b">
        <f>IFERROR(__xludf.DUMMYFUNCTION("""COMPUTED_VALUE"""),FALSE)</f>
        <v>0</v>
      </c>
      <c r="L1840" s="20" t="str">
        <f>IFERROR(__xludf.DUMMYFUNCTION("""COMPUTED_VALUE"""),"String;Sliding Window;")</f>
        <v>String;Sliding Window;</v>
      </c>
      <c r="M1840" s="20" t="b">
        <f>IFERROR(__xludf.DUMMYFUNCTION("""COMPUTED_VALUE"""),FALSE)</f>
        <v>0</v>
      </c>
      <c r="N1840" s="20" t="b">
        <f>IFERROR(__xludf.DUMMYFUNCTION("""COMPUTED_VALUE"""),FALSE)</f>
        <v>0</v>
      </c>
      <c r="O1840" s="20">
        <f>IFERROR(__xludf.DUMMYFUNCTION("""COMPUTED_VALUE"""),48.5810537088761)</f>
        <v>48.58105371</v>
      </c>
      <c r="P1840" s="20">
        <f>IFERROR(__xludf.DUMMYFUNCTION("""COMPUTED_VALUE"""),22785.0)</f>
        <v>22785</v>
      </c>
      <c r="Q1840" s="20">
        <f>IFERROR(__xludf.DUMMYFUNCTION("""COMPUTED_VALUE"""),46901.0)</f>
        <v>46901</v>
      </c>
    </row>
    <row r="1841">
      <c r="A1841" s="20">
        <f>IFERROR(__xludf.DUMMYFUNCTION("""COMPUTED_VALUE"""),1968.0)</f>
        <v>1968</v>
      </c>
      <c r="B1841" s="20" t="str">
        <f>IFERROR(__xludf.DUMMYFUNCTION("""COMPUTED_VALUE"""),"Maximum Building Height")</f>
        <v>Maximum Building Height</v>
      </c>
      <c r="C1841" s="20" t="str">
        <f>IFERROR(__xludf.DUMMYFUNCTION("""COMPUTED_VALUE"""),"maximum-building-height")</f>
        <v>maximum-building-height</v>
      </c>
      <c r="D1841" s="20" t="b">
        <f>IFERROR(__xludf.DUMMYFUNCTION("""COMPUTED_VALUE"""),FALSE)</f>
        <v>0</v>
      </c>
      <c r="E1841" s="20" t="str">
        <f>IFERROR(__xludf.DUMMYFUNCTION("""COMPUTED_VALUE"""),"Hard")</f>
        <v>Hard</v>
      </c>
      <c r="F1841" s="20">
        <f>IFERROR(__xludf.DUMMYFUNCTION("""COMPUTED_VALUE"""),309.0)</f>
        <v>309</v>
      </c>
      <c r="G1841" s="20">
        <f>IFERROR(__xludf.DUMMYFUNCTION("""COMPUTED_VALUE"""),11.0)</f>
        <v>11</v>
      </c>
      <c r="H1841" s="20" t="str">
        <f>IFERROR(__xludf.DUMMYFUNCTION("""COMPUTED_VALUE"""),"Algorithms")</f>
        <v>Algorithms</v>
      </c>
      <c r="I1841" s="20">
        <f>IFERROR(__xludf.DUMMYFUNCTION("""COMPUTED_VALUE"""),0.354)</f>
        <v>0.354</v>
      </c>
      <c r="J1841" s="20">
        <f>IFERROR(__xludf.DUMMYFUNCTION("""COMPUTED_VALUE"""),1840.0)</f>
        <v>1840</v>
      </c>
      <c r="K1841" s="20" t="b">
        <f>IFERROR(__xludf.DUMMYFUNCTION("""COMPUTED_VALUE"""),FALSE)</f>
        <v>0</v>
      </c>
      <c r="L1841" s="20" t="str">
        <f>IFERROR(__xludf.DUMMYFUNCTION("""COMPUTED_VALUE"""),"Array;Math;")</f>
        <v>Array;Math;</v>
      </c>
      <c r="M1841" s="20" t="b">
        <f>IFERROR(__xludf.DUMMYFUNCTION("""COMPUTED_VALUE"""),FALSE)</f>
        <v>0</v>
      </c>
      <c r="N1841" s="20" t="b">
        <f>IFERROR(__xludf.DUMMYFUNCTION("""COMPUTED_VALUE"""),FALSE)</f>
        <v>0</v>
      </c>
      <c r="O1841" s="20">
        <f>IFERROR(__xludf.DUMMYFUNCTION("""COMPUTED_VALUE"""),35.3889535952921)</f>
        <v>35.3889536</v>
      </c>
      <c r="P1841" s="20">
        <f>IFERROR(__xludf.DUMMYFUNCTION("""COMPUTED_VALUE"""),5773.0)</f>
        <v>5773</v>
      </c>
      <c r="Q1841" s="20">
        <f>IFERROR(__xludf.DUMMYFUNCTION("""COMPUTED_VALUE"""),16313.0)</f>
        <v>16313</v>
      </c>
    </row>
    <row r="1842">
      <c r="A1842" s="20">
        <f>IFERROR(__xludf.DUMMYFUNCTION("""COMPUTED_VALUE"""),1991.0)</f>
        <v>1991</v>
      </c>
      <c r="B1842" s="20" t="str">
        <f>IFERROR(__xludf.DUMMYFUNCTION("""COMPUTED_VALUE"""),"League Statistics")</f>
        <v>League Statistics</v>
      </c>
      <c r="C1842" s="20" t="str">
        <f>IFERROR(__xludf.DUMMYFUNCTION("""COMPUTED_VALUE"""),"league-statistics")</f>
        <v>league-statistics</v>
      </c>
      <c r="D1842" s="20" t="b">
        <f>IFERROR(__xludf.DUMMYFUNCTION("""COMPUTED_VALUE"""),TRUE)</f>
        <v>1</v>
      </c>
      <c r="E1842" s="20" t="str">
        <f>IFERROR(__xludf.DUMMYFUNCTION("""COMPUTED_VALUE"""),"Medium")</f>
        <v>Medium</v>
      </c>
      <c r="F1842" s="20">
        <f>IFERROR(__xludf.DUMMYFUNCTION("""COMPUTED_VALUE"""),83.0)</f>
        <v>83</v>
      </c>
      <c r="G1842" s="20">
        <f>IFERROR(__xludf.DUMMYFUNCTION("""COMPUTED_VALUE"""),75.0)</f>
        <v>75</v>
      </c>
      <c r="H1842" s="20" t="str">
        <f>IFERROR(__xludf.DUMMYFUNCTION("""COMPUTED_VALUE"""),"Database")</f>
        <v>Database</v>
      </c>
      <c r="I1842" s="20">
        <f>IFERROR(__xludf.DUMMYFUNCTION("""COMPUTED_VALUE"""),0.569)</f>
        <v>0.569</v>
      </c>
      <c r="J1842" s="20">
        <f>IFERROR(__xludf.DUMMYFUNCTION("""COMPUTED_VALUE"""),1841.0)</f>
        <v>1841</v>
      </c>
      <c r="K1842" s="20" t="b">
        <f>IFERROR(__xludf.DUMMYFUNCTION("""COMPUTED_VALUE"""),TRUE)</f>
        <v>1</v>
      </c>
      <c r="L1842" s="20" t="str">
        <f>IFERROR(__xludf.DUMMYFUNCTION("""COMPUTED_VALUE"""),"Database;")</f>
        <v>Database;</v>
      </c>
      <c r="M1842" s="20" t="b">
        <f>IFERROR(__xludf.DUMMYFUNCTION("""COMPUTED_VALUE"""),FALSE)</f>
        <v>0</v>
      </c>
      <c r="N1842" s="20" t="b">
        <f>IFERROR(__xludf.DUMMYFUNCTION("""COMPUTED_VALUE"""),FALSE)</f>
        <v>0</v>
      </c>
      <c r="O1842" s="20">
        <f>IFERROR(__xludf.DUMMYFUNCTION("""COMPUTED_VALUE"""),56.9484488524968)</f>
        <v>56.94844885</v>
      </c>
      <c r="P1842" s="20">
        <f>IFERROR(__xludf.DUMMYFUNCTION("""COMPUTED_VALUE"""),9876.0)</f>
        <v>9876</v>
      </c>
      <c r="Q1842" s="20">
        <f>IFERROR(__xludf.DUMMYFUNCTION("""COMPUTED_VALUE"""),17342.0)</f>
        <v>17342</v>
      </c>
    </row>
    <row r="1843">
      <c r="A1843" s="20">
        <f>IFERROR(__xludf.DUMMYFUNCTION("""COMPUTED_VALUE"""),1997.0)</f>
        <v>1997</v>
      </c>
      <c r="B1843" s="20" t="str">
        <f>IFERROR(__xludf.DUMMYFUNCTION("""COMPUTED_VALUE"""),"Next Palindrome Using Same Digits")</f>
        <v>Next Palindrome Using Same Digits</v>
      </c>
      <c r="C1843" s="20" t="str">
        <f>IFERROR(__xludf.DUMMYFUNCTION("""COMPUTED_VALUE"""),"next-palindrome-using-same-digits")</f>
        <v>next-palindrome-using-same-digits</v>
      </c>
      <c r="D1843" s="20" t="b">
        <f>IFERROR(__xludf.DUMMYFUNCTION("""COMPUTED_VALUE"""),TRUE)</f>
        <v>1</v>
      </c>
      <c r="E1843" s="20" t="str">
        <f>IFERROR(__xludf.DUMMYFUNCTION("""COMPUTED_VALUE"""),"Hard")</f>
        <v>Hard</v>
      </c>
      <c r="F1843" s="20">
        <f>IFERROR(__xludf.DUMMYFUNCTION("""COMPUTED_VALUE"""),99.0)</f>
        <v>99</v>
      </c>
      <c r="G1843" s="20">
        <f>IFERROR(__xludf.DUMMYFUNCTION("""COMPUTED_VALUE"""),14.0)</f>
        <v>14</v>
      </c>
      <c r="H1843" s="20" t="str">
        <f>IFERROR(__xludf.DUMMYFUNCTION("""COMPUTED_VALUE"""),"Algorithms")</f>
        <v>Algorithms</v>
      </c>
      <c r="I1843" s="20">
        <f>IFERROR(__xludf.DUMMYFUNCTION("""COMPUTED_VALUE"""),0.533)</f>
        <v>0.533</v>
      </c>
      <c r="J1843" s="20">
        <f>IFERROR(__xludf.DUMMYFUNCTION("""COMPUTED_VALUE"""),1842.0)</f>
        <v>1842</v>
      </c>
      <c r="K1843" s="20" t="b">
        <f>IFERROR(__xludf.DUMMYFUNCTION("""COMPUTED_VALUE"""),TRUE)</f>
        <v>1</v>
      </c>
      <c r="L1843" s="20" t="str">
        <f>IFERROR(__xludf.DUMMYFUNCTION("""COMPUTED_VALUE"""),"Two Pointers;String;")</f>
        <v>Two Pointers;String;</v>
      </c>
      <c r="M1843" s="20" t="b">
        <f>IFERROR(__xludf.DUMMYFUNCTION("""COMPUTED_VALUE"""),FALSE)</f>
        <v>0</v>
      </c>
      <c r="N1843" s="20" t="b">
        <f>IFERROR(__xludf.DUMMYFUNCTION("""COMPUTED_VALUE"""),FALSE)</f>
        <v>0</v>
      </c>
      <c r="O1843" s="20">
        <f>IFERROR(__xludf.DUMMYFUNCTION("""COMPUTED_VALUE"""),53.3317061264339)</f>
        <v>53.33170613</v>
      </c>
      <c r="P1843" s="20">
        <f>IFERROR(__xludf.DUMMYFUNCTION("""COMPUTED_VALUE"""),4370.0)</f>
        <v>4370</v>
      </c>
      <c r="Q1843" s="20">
        <f>IFERROR(__xludf.DUMMYFUNCTION("""COMPUTED_VALUE"""),8194.0)</f>
        <v>8194</v>
      </c>
    </row>
    <row r="1844">
      <c r="A1844" s="20">
        <f>IFERROR(__xludf.DUMMYFUNCTION("""COMPUTED_VALUE"""),1998.0)</f>
        <v>1998</v>
      </c>
      <c r="B1844" s="20" t="str">
        <f>IFERROR(__xludf.DUMMYFUNCTION("""COMPUTED_VALUE"""),"Suspicious Bank Accounts")</f>
        <v>Suspicious Bank Accounts</v>
      </c>
      <c r="C1844" s="20" t="str">
        <f>IFERROR(__xludf.DUMMYFUNCTION("""COMPUTED_VALUE"""),"suspicious-bank-accounts")</f>
        <v>suspicious-bank-accounts</v>
      </c>
      <c r="D1844" s="20" t="b">
        <f>IFERROR(__xludf.DUMMYFUNCTION("""COMPUTED_VALUE"""),TRUE)</f>
        <v>1</v>
      </c>
      <c r="E1844" s="20" t="str">
        <f>IFERROR(__xludf.DUMMYFUNCTION("""COMPUTED_VALUE"""),"Medium")</f>
        <v>Medium</v>
      </c>
      <c r="F1844" s="20">
        <f>IFERROR(__xludf.DUMMYFUNCTION("""COMPUTED_VALUE"""),65.0)</f>
        <v>65</v>
      </c>
      <c r="G1844" s="20">
        <f>IFERROR(__xludf.DUMMYFUNCTION("""COMPUTED_VALUE"""),51.0)</f>
        <v>51</v>
      </c>
      <c r="H1844" s="20" t="str">
        <f>IFERROR(__xludf.DUMMYFUNCTION("""COMPUTED_VALUE"""),"Database")</f>
        <v>Database</v>
      </c>
      <c r="I1844" s="20">
        <f>IFERROR(__xludf.DUMMYFUNCTION("""COMPUTED_VALUE"""),0.478)</f>
        <v>0.478</v>
      </c>
      <c r="J1844" s="20">
        <f>IFERROR(__xludf.DUMMYFUNCTION("""COMPUTED_VALUE"""),1843.0)</f>
        <v>1843</v>
      </c>
      <c r="K1844" s="20" t="b">
        <f>IFERROR(__xludf.DUMMYFUNCTION("""COMPUTED_VALUE"""),TRUE)</f>
        <v>1</v>
      </c>
      <c r="L1844" s="20" t="str">
        <f>IFERROR(__xludf.DUMMYFUNCTION("""COMPUTED_VALUE"""),"Database;")</f>
        <v>Database;</v>
      </c>
      <c r="M1844" s="20" t="b">
        <f>IFERROR(__xludf.DUMMYFUNCTION("""COMPUTED_VALUE"""),FALSE)</f>
        <v>0</v>
      </c>
      <c r="N1844" s="20" t="b">
        <f>IFERROR(__xludf.DUMMYFUNCTION("""COMPUTED_VALUE"""),FALSE)</f>
        <v>0</v>
      </c>
      <c r="O1844" s="20">
        <f>IFERROR(__xludf.DUMMYFUNCTION("""COMPUTED_VALUE"""),47.8151996995117)</f>
        <v>47.8151997</v>
      </c>
      <c r="P1844" s="20">
        <f>IFERROR(__xludf.DUMMYFUNCTION("""COMPUTED_VALUE"""),7638.0)</f>
        <v>7638</v>
      </c>
      <c r="Q1844" s="20">
        <f>IFERROR(__xludf.DUMMYFUNCTION("""COMPUTED_VALUE"""),15974.0)</f>
        <v>15974</v>
      </c>
    </row>
    <row r="1845">
      <c r="A1845" s="20">
        <f>IFERROR(__xludf.DUMMYFUNCTION("""COMPUTED_VALUE"""),1954.0)</f>
        <v>1954</v>
      </c>
      <c r="B1845" s="20" t="str">
        <f>IFERROR(__xludf.DUMMYFUNCTION("""COMPUTED_VALUE"""),"Replace All Digits with Characters")</f>
        <v>Replace All Digits with Characters</v>
      </c>
      <c r="C1845" s="20" t="str">
        <f>IFERROR(__xludf.DUMMYFUNCTION("""COMPUTED_VALUE"""),"replace-all-digits-with-characters")</f>
        <v>replace-all-digits-with-characters</v>
      </c>
      <c r="D1845" s="20" t="b">
        <f>IFERROR(__xludf.DUMMYFUNCTION("""COMPUTED_VALUE"""),FALSE)</f>
        <v>0</v>
      </c>
      <c r="E1845" s="20" t="str">
        <f>IFERROR(__xludf.DUMMYFUNCTION("""COMPUTED_VALUE"""),"Easy")</f>
        <v>Easy</v>
      </c>
      <c r="F1845" s="20">
        <f>IFERROR(__xludf.DUMMYFUNCTION("""COMPUTED_VALUE"""),566.0)</f>
        <v>566</v>
      </c>
      <c r="G1845" s="20">
        <f>IFERROR(__xludf.DUMMYFUNCTION("""COMPUTED_VALUE"""),52.0)</f>
        <v>52</v>
      </c>
      <c r="H1845" s="20" t="str">
        <f>IFERROR(__xludf.DUMMYFUNCTION("""COMPUTED_VALUE"""),"Algorithms")</f>
        <v>Algorithms</v>
      </c>
      <c r="I1845" s="20">
        <f>IFERROR(__xludf.DUMMYFUNCTION("""COMPUTED_VALUE"""),0.798)</f>
        <v>0.798</v>
      </c>
      <c r="J1845" s="20">
        <f>IFERROR(__xludf.DUMMYFUNCTION("""COMPUTED_VALUE"""),1844.0)</f>
        <v>1844</v>
      </c>
      <c r="K1845" s="20" t="b">
        <f>IFERROR(__xludf.DUMMYFUNCTION("""COMPUTED_VALUE"""),FALSE)</f>
        <v>0</v>
      </c>
      <c r="L1845" s="20" t="str">
        <f>IFERROR(__xludf.DUMMYFUNCTION("""COMPUTED_VALUE"""),"String;")</f>
        <v>String;</v>
      </c>
      <c r="M1845" s="20" t="b">
        <f>IFERROR(__xludf.DUMMYFUNCTION("""COMPUTED_VALUE"""),FALSE)</f>
        <v>0</v>
      </c>
      <c r="N1845" s="20" t="b">
        <f>IFERROR(__xludf.DUMMYFUNCTION("""COMPUTED_VALUE"""),FALSE)</f>
        <v>0</v>
      </c>
      <c r="O1845" s="20">
        <f>IFERROR(__xludf.DUMMYFUNCTION("""COMPUTED_VALUE"""),79.8300005933661)</f>
        <v>79.83000059</v>
      </c>
      <c r="P1845" s="20">
        <f>IFERROR(__xludf.DUMMYFUNCTION("""COMPUTED_VALUE"""),53815.0)</f>
        <v>53815</v>
      </c>
      <c r="Q1845" s="20">
        <f>IFERROR(__xludf.DUMMYFUNCTION("""COMPUTED_VALUE"""),67412.0)</f>
        <v>67412</v>
      </c>
    </row>
    <row r="1846">
      <c r="A1846" s="20">
        <f>IFERROR(__xludf.DUMMYFUNCTION("""COMPUTED_VALUE"""),1955.0)</f>
        <v>1955</v>
      </c>
      <c r="B1846" s="20" t="str">
        <f>IFERROR(__xludf.DUMMYFUNCTION("""COMPUTED_VALUE"""),"Seat Reservation Manager")</f>
        <v>Seat Reservation Manager</v>
      </c>
      <c r="C1846" s="20" t="str">
        <f>IFERROR(__xludf.DUMMYFUNCTION("""COMPUTED_VALUE"""),"seat-reservation-manager")</f>
        <v>seat-reservation-manager</v>
      </c>
      <c r="D1846" s="20" t="b">
        <f>IFERROR(__xludf.DUMMYFUNCTION("""COMPUTED_VALUE"""),FALSE)</f>
        <v>0</v>
      </c>
      <c r="E1846" s="20" t="str">
        <f>IFERROR(__xludf.DUMMYFUNCTION("""COMPUTED_VALUE"""),"Medium")</f>
        <v>Medium</v>
      </c>
      <c r="F1846" s="20">
        <f>IFERROR(__xludf.DUMMYFUNCTION("""COMPUTED_VALUE"""),476.0)</f>
        <v>476</v>
      </c>
      <c r="G1846" s="20">
        <f>IFERROR(__xludf.DUMMYFUNCTION("""COMPUTED_VALUE"""),34.0)</f>
        <v>34</v>
      </c>
      <c r="H1846" s="20" t="str">
        <f>IFERROR(__xludf.DUMMYFUNCTION("""COMPUTED_VALUE"""),"Algorithms")</f>
        <v>Algorithms</v>
      </c>
      <c r="I1846" s="20">
        <f>IFERROR(__xludf.DUMMYFUNCTION("""COMPUTED_VALUE"""),0.65)</f>
        <v>0.65</v>
      </c>
      <c r="J1846" s="20">
        <f>IFERROR(__xludf.DUMMYFUNCTION("""COMPUTED_VALUE"""),1845.0)</f>
        <v>1845</v>
      </c>
      <c r="K1846" s="20" t="b">
        <f>IFERROR(__xludf.DUMMYFUNCTION("""COMPUTED_VALUE"""),FALSE)</f>
        <v>0</v>
      </c>
      <c r="L1846" s="20" t="str">
        <f>IFERROR(__xludf.DUMMYFUNCTION("""COMPUTED_VALUE"""),"Design;Heap (Priority Queue);")</f>
        <v>Design;Heap (Priority Queue);</v>
      </c>
      <c r="M1846" s="20" t="b">
        <f>IFERROR(__xludf.DUMMYFUNCTION("""COMPUTED_VALUE"""),FALSE)</f>
        <v>0</v>
      </c>
      <c r="N1846" s="20" t="b">
        <f>IFERROR(__xludf.DUMMYFUNCTION("""COMPUTED_VALUE"""),FALSE)</f>
        <v>0</v>
      </c>
      <c r="O1846" s="20">
        <f>IFERROR(__xludf.DUMMYFUNCTION("""COMPUTED_VALUE"""),64.9746796319631)</f>
        <v>64.97467963</v>
      </c>
      <c r="P1846" s="20">
        <f>IFERROR(__xludf.DUMMYFUNCTION("""COMPUTED_VALUE"""),27329.0)</f>
        <v>27329</v>
      </c>
      <c r="Q1846" s="20">
        <f>IFERROR(__xludf.DUMMYFUNCTION("""COMPUTED_VALUE"""),42061.0)</f>
        <v>42061</v>
      </c>
    </row>
    <row r="1847">
      <c r="A1847" s="20">
        <f>IFERROR(__xludf.DUMMYFUNCTION("""COMPUTED_VALUE"""),1956.0)</f>
        <v>1956</v>
      </c>
      <c r="B1847" s="20" t="str">
        <f>IFERROR(__xludf.DUMMYFUNCTION("""COMPUTED_VALUE"""),"Maximum Element After Decreasing and Rearranging")</f>
        <v>Maximum Element After Decreasing and Rearranging</v>
      </c>
      <c r="C1847" s="20" t="str">
        <f>IFERROR(__xludf.DUMMYFUNCTION("""COMPUTED_VALUE"""),"maximum-element-after-decreasing-and-rearranging")</f>
        <v>maximum-element-after-decreasing-and-rearranging</v>
      </c>
      <c r="D1847" s="20" t="b">
        <f>IFERROR(__xludf.DUMMYFUNCTION("""COMPUTED_VALUE"""),FALSE)</f>
        <v>0</v>
      </c>
      <c r="E1847" s="20" t="str">
        <f>IFERROR(__xludf.DUMMYFUNCTION("""COMPUTED_VALUE"""),"Medium")</f>
        <v>Medium</v>
      </c>
      <c r="F1847" s="20">
        <f>IFERROR(__xludf.DUMMYFUNCTION("""COMPUTED_VALUE"""),288.0)</f>
        <v>288</v>
      </c>
      <c r="G1847" s="20">
        <f>IFERROR(__xludf.DUMMYFUNCTION("""COMPUTED_VALUE"""),64.0)</f>
        <v>64</v>
      </c>
      <c r="H1847" s="20" t="str">
        <f>IFERROR(__xludf.DUMMYFUNCTION("""COMPUTED_VALUE"""),"Algorithms")</f>
        <v>Algorithms</v>
      </c>
      <c r="I1847" s="20">
        <f>IFERROR(__xludf.DUMMYFUNCTION("""COMPUTED_VALUE"""),0.591)</f>
        <v>0.591</v>
      </c>
      <c r="J1847" s="20">
        <f>IFERROR(__xludf.DUMMYFUNCTION("""COMPUTED_VALUE"""),1846.0)</f>
        <v>1846</v>
      </c>
      <c r="K1847" s="20" t="b">
        <f>IFERROR(__xludf.DUMMYFUNCTION("""COMPUTED_VALUE"""),FALSE)</f>
        <v>0</v>
      </c>
      <c r="L1847" s="20" t="str">
        <f>IFERROR(__xludf.DUMMYFUNCTION("""COMPUTED_VALUE"""),"Array;Greedy;Sorting;")</f>
        <v>Array;Greedy;Sorting;</v>
      </c>
      <c r="M1847" s="20" t="b">
        <f>IFERROR(__xludf.DUMMYFUNCTION("""COMPUTED_VALUE"""),FALSE)</f>
        <v>0</v>
      </c>
      <c r="N1847" s="20" t="b">
        <f>IFERROR(__xludf.DUMMYFUNCTION("""COMPUTED_VALUE"""),FALSE)</f>
        <v>0</v>
      </c>
      <c r="O1847" s="20">
        <f>IFERROR(__xludf.DUMMYFUNCTION("""COMPUTED_VALUE"""),59.0855457227138)</f>
        <v>59.08554572</v>
      </c>
      <c r="P1847" s="20">
        <f>IFERROR(__xludf.DUMMYFUNCTION("""COMPUTED_VALUE"""),18027.0)</f>
        <v>18027</v>
      </c>
      <c r="Q1847" s="20">
        <f>IFERROR(__xludf.DUMMYFUNCTION("""COMPUTED_VALUE"""),30510.0)</f>
        <v>30510</v>
      </c>
    </row>
    <row r="1848">
      <c r="A1848" s="20">
        <f>IFERROR(__xludf.DUMMYFUNCTION("""COMPUTED_VALUE"""),1957.0)</f>
        <v>1957</v>
      </c>
      <c r="B1848" s="20" t="str">
        <f>IFERROR(__xludf.DUMMYFUNCTION("""COMPUTED_VALUE"""),"Closest Room")</f>
        <v>Closest Room</v>
      </c>
      <c r="C1848" s="20" t="str">
        <f>IFERROR(__xludf.DUMMYFUNCTION("""COMPUTED_VALUE"""),"closest-room")</f>
        <v>closest-room</v>
      </c>
      <c r="D1848" s="20" t="b">
        <f>IFERROR(__xludf.DUMMYFUNCTION("""COMPUTED_VALUE"""),FALSE)</f>
        <v>0</v>
      </c>
      <c r="E1848" s="20" t="str">
        <f>IFERROR(__xludf.DUMMYFUNCTION("""COMPUTED_VALUE"""),"Hard")</f>
        <v>Hard</v>
      </c>
      <c r="F1848" s="20">
        <f>IFERROR(__xludf.DUMMYFUNCTION("""COMPUTED_VALUE"""),398.0)</f>
        <v>398</v>
      </c>
      <c r="G1848" s="20">
        <f>IFERROR(__xludf.DUMMYFUNCTION("""COMPUTED_VALUE"""),17.0)</f>
        <v>17</v>
      </c>
      <c r="H1848" s="20" t="str">
        <f>IFERROR(__xludf.DUMMYFUNCTION("""COMPUTED_VALUE"""),"Algorithms")</f>
        <v>Algorithms</v>
      </c>
      <c r="I1848" s="20">
        <f>IFERROR(__xludf.DUMMYFUNCTION("""COMPUTED_VALUE"""),0.353)</f>
        <v>0.353</v>
      </c>
      <c r="J1848" s="20">
        <f>IFERROR(__xludf.DUMMYFUNCTION("""COMPUTED_VALUE"""),1847.0)</f>
        <v>1847</v>
      </c>
      <c r="K1848" s="20" t="b">
        <f>IFERROR(__xludf.DUMMYFUNCTION("""COMPUTED_VALUE"""),FALSE)</f>
        <v>0</v>
      </c>
      <c r="L1848" s="20" t="str">
        <f>IFERROR(__xludf.DUMMYFUNCTION("""COMPUTED_VALUE"""),"Array;Binary Search;Sorting;")</f>
        <v>Array;Binary Search;Sorting;</v>
      </c>
      <c r="M1848" s="20" t="b">
        <f>IFERROR(__xludf.DUMMYFUNCTION("""COMPUTED_VALUE"""),FALSE)</f>
        <v>0</v>
      </c>
      <c r="N1848" s="20" t="b">
        <f>IFERROR(__xludf.DUMMYFUNCTION("""COMPUTED_VALUE"""),FALSE)</f>
        <v>0</v>
      </c>
      <c r="O1848" s="20">
        <f>IFERROR(__xludf.DUMMYFUNCTION("""COMPUTED_VALUE"""),35.3106148798814)</f>
        <v>35.31061488</v>
      </c>
      <c r="P1848" s="20">
        <f>IFERROR(__xludf.DUMMYFUNCTION("""COMPUTED_VALUE"""),6673.0)</f>
        <v>6673</v>
      </c>
      <c r="Q1848" s="20">
        <f>IFERROR(__xludf.DUMMYFUNCTION("""COMPUTED_VALUE"""),18890.0)</f>
        <v>18890</v>
      </c>
    </row>
    <row r="1849">
      <c r="A1849" s="20">
        <f>IFERROR(__xludf.DUMMYFUNCTION("""COMPUTED_VALUE"""),1975.0)</f>
        <v>1975</v>
      </c>
      <c r="B1849" s="20" t="str">
        <f>IFERROR(__xludf.DUMMYFUNCTION("""COMPUTED_VALUE"""),"Minimum Distance to the Target Element")</f>
        <v>Minimum Distance to the Target Element</v>
      </c>
      <c r="C1849" s="20" t="str">
        <f>IFERROR(__xludf.DUMMYFUNCTION("""COMPUTED_VALUE"""),"minimum-distance-to-the-target-element")</f>
        <v>minimum-distance-to-the-target-element</v>
      </c>
      <c r="D1849" s="20" t="b">
        <f>IFERROR(__xludf.DUMMYFUNCTION("""COMPUTED_VALUE"""),FALSE)</f>
        <v>0</v>
      </c>
      <c r="E1849" s="20" t="str">
        <f>IFERROR(__xludf.DUMMYFUNCTION("""COMPUTED_VALUE"""),"Easy")</f>
        <v>Easy</v>
      </c>
      <c r="F1849" s="20">
        <f>IFERROR(__xludf.DUMMYFUNCTION("""COMPUTED_VALUE"""),253.0)</f>
        <v>253</v>
      </c>
      <c r="G1849" s="20">
        <f>IFERROR(__xludf.DUMMYFUNCTION("""COMPUTED_VALUE"""),50.0)</f>
        <v>50</v>
      </c>
      <c r="H1849" s="20" t="str">
        <f>IFERROR(__xludf.DUMMYFUNCTION("""COMPUTED_VALUE"""),"Algorithms")</f>
        <v>Algorithms</v>
      </c>
      <c r="I1849" s="20">
        <f>IFERROR(__xludf.DUMMYFUNCTION("""COMPUTED_VALUE"""),0.584)</f>
        <v>0.584</v>
      </c>
      <c r="J1849" s="20">
        <f>IFERROR(__xludf.DUMMYFUNCTION("""COMPUTED_VALUE"""),1848.0)</f>
        <v>1848</v>
      </c>
      <c r="K1849" s="20" t="b">
        <f>IFERROR(__xludf.DUMMYFUNCTION("""COMPUTED_VALUE"""),FALSE)</f>
        <v>0</v>
      </c>
      <c r="L1849" s="20" t="str">
        <f>IFERROR(__xludf.DUMMYFUNCTION("""COMPUTED_VALUE"""),"Array;")</f>
        <v>Array;</v>
      </c>
      <c r="M1849" s="20" t="b">
        <f>IFERROR(__xludf.DUMMYFUNCTION("""COMPUTED_VALUE"""),FALSE)</f>
        <v>0</v>
      </c>
      <c r="N1849" s="20" t="b">
        <f>IFERROR(__xludf.DUMMYFUNCTION("""COMPUTED_VALUE"""),FALSE)</f>
        <v>0</v>
      </c>
      <c r="O1849" s="20">
        <f>IFERROR(__xludf.DUMMYFUNCTION("""COMPUTED_VALUE"""),58.3807324810872)</f>
        <v>58.38073248</v>
      </c>
      <c r="P1849" s="20">
        <f>IFERROR(__xludf.DUMMYFUNCTION("""COMPUTED_VALUE"""),31099.0)</f>
        <v>31099</v>
      </c>
      <c r="Q1849" s="20">
        <f>IFERROR(__xludf.DUMMYFUNCTION("""COMPUTED_VALUE"""),53270.0)</f>
        <v>53270</v>
      </c>
    </row>
    <row r="1850">
      <c r="A1850" s="20">
        <f>IFERROR(__xludf.DUMMYFUNCTION("""COMPUTED_VALUE"""),1976.0)</f>
        <v>1976</v>
      </c>
      <c r="B1850" s="20" t="str">
        <f>IFERROR(__xludf.DUMMYFUNCTION("""COMPUTED_VALUE"""),"Splitting a String Into Descending Consecutive Values")</f>
        <v>Splitting a String Into Descending Consecutive Values</v>
      </c>
      <c r="C1850" s="20" t="str">
        <f>IFERROR(__xludf.DUMMYFUNCTION("""COMPUTED_VALUE"""),"splitting-a-string-into-descending-consecutive-values")</f>
        <v>splitting-a-string-into-descending-consecutive-values</v>
      </c>
      <c r="D1850" s="20" t="b">
        <f>IFERROR(__xludf.DUMMYFUNCTION("""COMPUTED_VALUE"""),FALSE)</f>
        <v>0</v>
      </c>
      <c r="E1850" s="20" t="str">
        <f>IFERROR(__xludf.DUMMYFUNCTION("""COMPUTED_VALUE"""),"Medium")</f>
        <v>Medium</v>
      </c>
      <c r="F1850" s="20">
        <f>IFERROR(__xludf.DUMMYFUNCTION("""COMPUTED_VALUE"""),389.0)</f>
        <v>389</v>
      </c>
      <c r="G1850" s="20">
        <f>IFERROR(__xludf.DUMMYFUNCTION("""COMPUTED_VALUE"""),91.0)</f>
        <v>91</v>
      </c>
      <c r="H1850" s="20" t="str">
        <f>IFERROR(__xludf.DUMMYFUNCTION("""COMPUTED_VALUE"""),"Algorithms")</f>
        <v>Algorithms</v>
      </c>
      <c r="I1850" s="20">
        <f>IFERROR(__xludf.DUMMYFUNCTION("""COMPUTED_VALUE"""),0.324)</f>
        <v>0.324</v>
      </c>
      <c r="J1850" s="20">
        <f>IFERROR(__xludf.DUMMYFUNCTION("""COMPUTED_VALUE"""),1849.0)</f>
        <v>1849</v>
      </c>
      <c r="K1850" s="20" t="b">
        <f>IFERROR(__xludf.DUMMYFUNCTION("""COMPUTED_VALUE"""),FALSE)</f>
        <v>0</v>
      </c>
      <c r="L1850" s="20" t="str">
        <f>IFERROR(__xludf.DUMMYFUNCTION("""COMPUTED_VALUE"""),"String;Backtracking;")</f>
        <v>String;Backtracking;</v>
      </c>
      <c r="M1850" s="20" t="b">
        <f>IFERROR(__xludf.DUMMYFUNCTION("""COMPUTED_VALUE"""),FALSE)</f>
        <v>0</v>
      </c>
      <c r="N1850" s="20" t="b">
        <f>IFERROR(__xludf.DUMMYFUNCTION("""COMPUTED_VALUE"""),FALSE)</f>
        <v>0</v>
      </c>
      <c r="O1850" s="20">
        <f>IFERROR(__xludf.DUMMYFUNCTION("""COMPUTED_VALUE"""),32.4357996913178)</f>
        <v>32.43579969</v>
      </c>
      <c r="P1850" s="20">
        <f>IFERROR(__xludf.DUMMYFUNCTION("""COMPUTED_VALUE"""),17442.0)</f>
        <v>17442</v>
      </c>
      <c r="Q1850" s="20">
        <f>IFERROR(__xludf.DUMMYFUNCTION("""COMPUTED_VALUE"""),53776.0)</f>
        <v>53776</v>
      </c>
    </row>
    <row r="1851">
      <c r="A1851" s="20">
        <f>IFERROR(__xludf.DUMMYFUNCTION("""COMPUTED_VALUE"""),1978.0)</f>
        <v>1978</v>
      </c>
      <c r="B1851" s="20" t="str">
        <f>IFERROR(__xludf.DUMMYFUNCTION("""COMPUTED_VALUE"""),"Minimum Adjacent Swaps to Reach the Kth Smallest Number")</f>
        <v>Minimum Adjacent Swaps to Reach the Kth Smallest Number</v>
      </c>
      <c r="C1851" s="20" t="str">
        <f>IFERROR(__xludf.DUMMYFUNCTION("""COMPUTED_VALUE"""),"minimum-adjacent-swaps-to-reach-the-kth-smallest-number")</f>
        <v>minimum-adjacent-swaps-to-reach-the-kth-smallest-number</v>
      </c>
      <c r="D1851" s="20" t="b">
        <f>IFERROR(__xludf.DUMMYFUNCTION("""COMPUTED_VALUE"""),FALSE)</f>
        <v>0</v>
      </c>
      <c r="E1851" s="20" t="str">
        <f>IFERROR(__xludf.DUMMYFUNCTION("""COMPUTED_VALUE"""),"Medium")</f>
        <v>Medium</v>
      </c>
      <c r="F1851" s="20">
        <f>IFERROR(__xludf.DUMMYFUNCTION("""COMPUTED_VALUE"""),601.0)</f>
        <v>601</v>
      </c>
      <c r="G1851" s="20">
        <f>IFERROR(__xludf.DUMMYFUNCTION("""COMPUTED_VALUE"""),70.0)</f>
        <v>70</v>
      </c>
      <c r="H1851" s="20" t="str">
        <f>IFERROR(__xludf.DUMMYFUNCTION("""COMPUTED_VALUE"""),"Algorithms")</f>
        <v>Algorithms</v>
      </c>
      <c r="I1851" s="20">
        <f>IFERROR(__xludf.DUMMYFUNCTION("""COMPUTED_VALUE"""),0.718)</f>
        <v>0.718</v>
      </c>
      <c r="J1851" s="20">
        <f>IFERROR(__xludf.DUMMYFUNCTION("""COMPUTED_VALUE"""),1850.0)</f>
        <v>1850</v>
      </c>
      <c r="K1851" s="20" t="b">
        <f>IFERROR(__xludf.DUMMYFUNCTION("""COMPUTED_VALUE"""),FALSE)</f>
        <v>0</v>
      </c>
      <c r="L1851" s="20" t="str">
        <f>IFERROR(__xludf.DUMMYFUNCTION("""COMPUTED_VALUE"""),"Two Pointers;String;Greedy;")</f>
        <v>Two Pointers;String;Greedy;</v>
      </c>
      <c r="M1851" s="20" t="b">
        <f>IFERROR(__xludf.DUMMYFUNCTION("""COMPUTED_VALUE"""),FALSE)</f>
        <v>0</v>
      </c>
      <c r="N1851" s="20" t="b">
        <f>IFERROR(__xludf.DUMMYFUNCTION("""COMPUTED_VALUE"""),FALSE)</f>
        <v>0</v>
      </c>
      <c r="O1851" s="20">
        <f>IFERROR(__xludf.DUMMYFUNCTION("""COMPUTED_VALUE"""),71.8281976243759)</f>
        <v>71.82819762</v>
      </c>
      <c r="P1851" s="20">
        <f>IFERROR(__xludf.DUMMYFUNCTION("""COMPUTED_VALUE"""),16690.0)</f>
        <v>16690</v>
      </c>
      <c r="Q1851" s="20">
        <f>IFERROR(__xludf.DUMMYFUNCTION("""COMPUTED_VALUE"""),23236.0)</f>
        <v>23236</v>
      </c>
    </row>
    <row r="1852">
      <c r="A1852" s="20">
        <f>IFERROR(__xludf.DUMMYFUNCTION("""COMPUTED_VALUE"""),1977.0)</f>
        <v>1977</v>
      </c>
      <c r="B1852" s="20" t="str">
        <f>IFERROR(__xludf.DUMMYFUNCTION("""COMPUTED_VALUE"""),"Minimum Interval to Include Each Query")</f>
        <v>Minimum Interval to Include Each Query</v>
      </c>
      <c r="C1852" s="20" t="str">
        <f>IFERROR(__xludf.DUMMYFUNCTION("""COMPUTED_VALUE"""),"minimum-interval-to-include-each-query")</f>
        <v>minimum-interval-to-include-each-query</v>
      </c>
      <c r="D1852" s="20" t="b">
        <f>IFERROR(__xludf.DUMMYFUNCTION("""COMPUTED_VALUE"""),FALSE)</f>
        <v>0</v>
      </c>
      <c r="E1852" s="20" t="str">
        <f>IFERROR(__xludf.DUMMYFUNCTION("""COMPUTED_VALUE"""),"Hard")</f>
        <v>Hard</v>
      </c>
      <c r="F1852" s="20">
        <f>IFERROR(__xludf.DUMMYFUNCTION("""COMPUTED_VALUE"""),578.0)</f>
        <v>578</v>
      </c>
      <c r="G1852" s="20">
        <f>IFERROR(__xludf.DUMMYFUNCTION("""COMPUTED_VALUE"""),14.0)</f>
        <v>14</v>
      </c>
      <c r="H1852" s="20" t="str">
        <f>IFERROR(__xludf.DUMMYFUNCTION("""COMPUTED_VALUE"""),"Algorithms")</f>
        <v>Algorithms</v>
      </c>
      <c r="I1852" s="20">
        <f>IFERROR(__xludf.DUMMYFUNCTION("""COMPUTED_VALUE"""),0.479)</f>
        <v>0.479</v>
      </c>
      <c r="J1852" s="20">
        <f>IFERROR(__xludf.DUMMYFUNCTION("""COMPUTED_VALUE"""),1851.0)</f>
        <v>1851</v>
      </c>
      <c r="K1852" s="20" t="b">
        <f>IFERROR(__xludf.DUMMYFUNCTION("""COMPUTED_VALUE"""),FALSE)</f>
        <v>0</v>
      </c>
      <c r="L1852" s="20" t="str">
        <f>IFERROR(__xludf.DUMMYFUNCTION("""COMPUTED_VALUE"""),"Array;Binary Search;Line Sweep;Sorting;Heap (Priority Queue);")</f>
        <v>Array;Binary Search;Line Sweep;Sorting;Heap (Priority Queue);</v>
      </c>
      <c r="M1852" s="20" t="b">
        <f>IFERROR(__xludf.DUMMYFUNCTION("""COMPUTED_VALUE"""),FALSE)</f>
        <v>0</v>
      </c>
      <c r="N1852" s="20" t="b">
        <f>IFERROR(__xludf.DUMMYFUNCTION("""COMPUTED_VALUE"""),FALSE)</f>
        <v>0</v>
      </c>
      <c r="O1852" s="20">
        <f>IFERROR(__xludf.DUMMYFUNCTION("""COMPUTED_VALUE"""),47.8690120280887)</f>
        <v>47.86901203</v>
      </c>
      <c r="P1852" s="20">
        <f>IFERROR(__xludf.DUMMYFUNCTION("""COMPUTED_VALUE"""),13770.0)</f>
        <v>13770</v>
      </c>
      <c r="Q1852" s="20">
        <f>IFERROR(__xludf.DUMMYFUNCTION("""COMPUTED_VALUE"""),28766.0)</f>
        <v>28766</v>
      </c>
    </row>
    <row r="1853">
      <c r="A1853" s="20">
        <f>IFERROR(__xludf.DUMMYFUNCTION("""COMPUTED_VALUE"""),2003.0)</f>
        <v>2003</v>
      </c>
      <c r="B1853" s="20" t="str">
        <f>IFERROR(__xludf.DUMMYFUNCTION("""COMPUTED_VALUE"""),"Distinct Numbers in Each Subarray")</f>
        <v>Distinct Numbers in Each Subarray</v>
      </c>
      <c r="C1853" s="20" t="str">
        <f>IFERROR(__xludf.DUMMYFUNCTION("""COMPUTED_VALUE"""),"distinct-numbers-in-each-subarray")</f>
        <v>distinct-numbers-in-each-subarray</v>
      </c>
      <c r="D1853" s="20" t="b">
        <f>IFERROR(__xludf.DUMMYFUNCTION("""COMPUTED_VALUE"""),TRUE)</f>
        <v>1</v>
      </c>
      <c r="E1853" s="20" t="str">
        <f>IFERROR(__xludf.DUMMYFUNCTION("""COMPUTED_VALUE"""),"Medium")</f>
        <v>Medium</v>
      </c>
      <c r="F1853" s="20">
        <f>IFERROR(__xludf.DUMMYFUNCTION("""COMPUTED_VALUE"""),95.0)</f>
        <v>95</v>
      </c>
      <c r="G1853" s="20">
        <f>IFERROR(__xludf.DUMMYFUNCTION("""COMPUTED_VALUE"""),7.0)</f>
        <v>7</v>
      </c>
      <c r="H1853" s="20" t="str">
        <f>IFERROR(__xludf.DUMMYFUNCTION("""COMPUTED_VALUE"""),"Algorithms")</f>
        <v>Algorithms</v>
      </c>
      <c r="I1853" s="20">
        <f>IFERROR(__xludf.DUMMYFUNCTION("""COMPUTED_VALUE"""),0.71)</f>
        <v>0.71</v>
      </c>
      <c r="J1853" s="20">
        <f>IFERROR(__xludf.DUMMYFUNCTION("""COMPUTED_VALUE"""),1852.0)</f>
        <v>1852</v>
      </c>
      <c r="K1853" s="20" t="b">
        <f>IFERROR(__xludf.DUMMYFUNCTION("""COMPUTED_VALUE"""),TRUE)</f>
        <v>1</v>
      </c>
      <c r="L1853" s="20" t="str">
        <f>IFERROR(__xludf.DUMMYFUNCTION("""COMPUTED_VALUE"""),"Array;Hash Table;Sliding Window;")</f>
        <v>Array;Hash Table;Sliding Window;</v>
      </c>
      <c r="M1853" s="20" t="b">
        <f>IFERROR(__xludf.DUMMYFUNCTION("""COMPUTED_VALUE"""),FALSE)</f>
        <v>0</v>
      </c>
      <c r="N1853" s="20" t="b">
        <f>IFERROR(__xludf.DUMMYFUNCTION("""COMPUTED_VALUE"""),FALSE)</f>
        <v>0</v>
      </c>
      <c r="O1853" s="20">
        <f>IFERROR(__xludf.DUMMYFUNCTION("""COMPUTED_VALUE"""),70.9800190294957)</f>
        <v>70.98001903</v>
      </c>
      <c r="P1853" s="20">
        <f>IFERROR(__xludf.DUMMYFUNCTION("""COMPUTED_VALUE"""),5222.0)</f>
        <v>5222</v>
      </c>
      <c r="Q1853" s="20">
        <f>IFERROR(__xludf.DUMMYFUNCTION("""COMPUTED_VALUE"""),7357.0)</f>
        <v>7357</v>
      </c>
    </row>
    <row r="1854">
      <c r="A1854" s="20">
        <f>IFERROR(__xludf.DUMMYFUNCTION("""COMPUTED_VALUE"""),2004.0)</f>
        <v>2004</v>
      </c>
      <c r="B1854" s="20" t="str">
        <f>IFERROR(__xludf.DUMMYFUNCTION("""COMPUTED_VALUE"""),"Convert Date Format")</f>
        <v>Convert Date Format</v>
      </c>
      <c r="C1854" s="20" t="str">
        <f>IFERROR(__xludf.DUMMYFUNCTION("""COMPUTED_VALUE"""),"convert-date-format")</f>
        <v>convert-date-format</v>
      </c>
      <c r="D1854" s="20" t="b">
        <f>IFERROR(__xludf.DUMMYFUNCTION("""COMPUTED_VALUE"""),TRUE)</f>
        <v>1</v>
      </c>
      <c r="E1854" s="20" t="str">
        <f>IFERROR(__xludf.DUMMYFUNCTION("""COMPUTED_VALUE"""),"Easy")</f>
        <v>Easy</v>
      </c>
      <c r="F1854" s="20">
        <f>IFERROR(__xludf.DUMMYFUNCTION("""COMPUTED_VALUE"""),43.0)</f>
        <v>43</v>
      </c>
      <c r="G1854" s="20">
        <f>IFERROR(__xludf.DUMMYFUNCTION("""COMPUTED_VALUE"""),34.0)</f>
        <v>34</v>
      </c>
      <c r="H1854" s="20" t="str">
        <f>IFERROR(__xludf.DUMMYFUNCTION("""COMPUTED_VALUE"""),"Database")</f>
        <v>Database</v>
      </c>
      <c r="I1854" s="20">
        <f>IFERROR(__xludf.DUMMYFUNCTION("""COMPUTED_VALUE"""),0.875)</f>
        <v>0.875</v>
      </c>
      <c r="J1854" s="20">
        <f>IFERROR(__xludf.DUMMYFUNCTION("""COMPUTED_VALUE"""),1853.0)</f>
        <v>1853</v>
      </c>
      <c r="K1854" s="20" t="b">
        <f>IFERROR(__xludf.DUMMYFUNCTION("""COMPUTED_VALUE"""),TRUE)</f>
        <v>1</v>
      </c>
      <c r="L1854" s="20" t="str">
        <f>IFERROR(__xludf.DUMMYFUNCTION("""COMPUTED_VALUE"""),"Database;")</f>
        <v>Database;</v>
      </c>
      <c r="M1854" s="20" t="b">
        <f>IFERROR(__xludf.DUMMYFUNCTION("""COMPUTED_VALUE"""),FALSE)</f>
        <v>0</v>
      </c>
      <c r="N1854" s="20" t="b">
        <f>IFERROR(__xludf.DUMMYFUNCTION("""COMPUTED_VALUE"""),FALSE)</f>
        <v>0</v>
      </c>
      <c r="O1854" s="20">
        <f>IFERROR(__xludf.DUMMYFUNCTION("""COMPUTED_VALUE"""),87.5117635987201)</f>
        <v>87.5117636</v>
      </c>
      <c r="P1854" s="20">
        <f>IFERROR(__xludf.DUMMYFUNCTION("""COMPUTED_VALUE"""),9299.0)</f>
        <v>9299</v>
      </c>
      <c r="Q1854" s="20">
        <f>IFERROR(__xludf.DUMMYFUNCTION("""COMPUTED_VALUE"""),10626.0)</f>
        <v>10626</v>
      </c>
    </row>
    <row r="1855">
      <c r="A1855" s="20">
        <f>IFERROR(__xludf.DUMMYFUNCTION("""COMPUTED_VALUE"""),1983.0)</f>
        <v>1983</v>
      </c>
      <c r="B1855" s="20" t="str">
        <f>IFERROR(__xludf.DUMMYFUNCTION("""COMPUTED_VALUE"""),"Maximum Population Year")</f>
        <v>Maximum Population Year</v>
      </c>
      <c r="C1855" s="20" t="str">
        <f>IFERROR(__xludf.DUMMYFUNCTION("""COMPUTED_VALUE"""),"maximum-population-year")</f>
        <v>maximum-population-year</v>
      </c>
      <c r="D1855" s="20" t="b">
        <f>IFERROR(__xludf.DUMMYFUNCTION("""COMPUTED_VALUE"""),FALSE)</f>
        <v>0</v>
      </c>
      <c r="E1855" s="20" t="str">
        <f>IFERROR(__xludf.DUMMYFUNCTION("""COMPUTED_VALUE"""),"Easy")</f>
        <v>Easy</v>
      </c>
      <c r="F1855" s="20">
        <f>IFERROR(__xludf.DUMMYFUNCTION("""COMPUTED_VALUE"""),854.0)</f>
        <v>854</v>
      </c>
      <c r="G1855" s="20">
        <f>IFERROR(__xludf.DUMMYFUNCTION("""COMPUTED_VALUE"""),136.0)</f>
        <v>136</v>
      </c>
      <c r="H1855" s="20" t="str">
        <f>IFERROR(__xludf.DUMMYFUNCTION("""COMPUTED_VALUE"""),"Algorithms")</f>
        <v>Algorithms</v>
      </c>
      <c r="I1855" s="20">
        <f>IFERROR(__xludf.DUMMYFUNCTION("""COMPUTED_VALUE"""),0.6)</f>
        <v>0.6</v>
      </c>
      <c r="J1855" s="20">
        <f>IFERROR(__xludf.DUMMYFUNCTION("""COMPUTED_VALUE"""),1854.0)</f>
        <v>1854</v>
      </c>
      <c r="K1855" s="20" t="b">
        <f>IFERROR(__xludf.DUMMYFUNCTION("""COMPUTED_VALUE"""),FALSE)</f>
        <v>0</v>
      </c>
      <c r="L1855" s="20" t="str">
        <f>IFERROR(__xludf.DUMMYFUNCTION("""COMPUTED_VALUE"""),"Array;Counting;")</f>
        <v>Array;Counting;</v>
      </c>
      <c r="M1855" s="20" t="b">
        <f>IFERROR(__xludf.DUMMYFUNCTION("""COMPUTED_VALUE"""),FALSE)</f>
        <v>0</v>
      </c>
      <c r="N1855" s="20" t="b">
        <f>IFERROR(__xludf.DUMMYFUNCTION("""COMPUTED_VALUE"""),FALSE)</f>
        <v>0</v>
      </c>
      <c r="O1855" s="20">
        <f>IFERROR(__xludf.DUMMYFUNCTION("""COMPUTED_VALUE"""),59.9685117666556)</f>
        <v>59.96851177</v>
      </c>
      <c r="P1855" s="20">
        <f>IFERROR(__xludf.DUMMYFUNCTION("""COMPUTED_VALUE"""),43420.0)</f>
        <v>43420</v>
      </c>
      <c r="Q1855" s="20">
        <f>IFERROR(__xludf.DUMMYFUNCTION("""COMPUTED_VALUE"""),72405.0)</f>
        <v>72405</v>
      </c>
    </row>
    <row r="1856">
      <c r="A1856" s="20">
        <f>IFERROR(__xludf.DUMMYFUNCTION("""COMPUTED_VALUE"""),1984.0)</f>
        <v>1984</v>
      </c>
      <c r="B1856" s="20" t="str">
        <f>IFERROR(__xludf.DUMMYFUNCTION("""COMPUTED_VALUE"""),"Maximum Distance Between a Pair of Values")</f>
        <v>Maximum Distance Between a Pair of Values</v>
      </c>
      <c r="C1856" s="20" t="str">
        <f>IFERROR(__xludf.DUMMYFUNCTION("""COMPUTED_VALUE"""),"maximum-distance-between-a-pair-of-values")</f>
        <v>maximum-distance-between-a-pair-of-values</v>
      </c>
      <c r="D1856" s="20" t="b">
        <f>IFERROR(__xludf.DUMMYFUNCTION("""COMPUTED_VALUE"""),FALSE)</f>
        <v>0</v>
      </c>
      <c r="E1856" s="20" t="str">
        <f>IFERROR(__xludf.DUMMYFUNCTION("""COMPUTED_VALUE"""),"Medium")</f>
        <v>Medium</v>
      </c>
      <c r="F1856" s="20">
        <f>IFERROR(__xludf.DUMMYFUNCTION("""COMPUTED_VALUE"""),925.0)</f>
        <v>925</v>
      </c>
      <c r="G1856" s="20">
        <f>IFERROR(__xludf.DUMMYFUNCTION("""COMPUTED_VALUE"""),20.0)</f>
        <v>20</v>
      </c>
      <c r="H1856" s="20" t="str">
        <f>IFERROR(__xludf.DUMMYFUNCTION("""COMPUTED_VALUE"""),"Algorithms")</f>
        <v>Algorithms</v>
      </c>
      <c r="I1856" s="20">
        <f>IFERROR(__xludf.DUMMYFUNCTION("""COMPUTED_VALUE"""),0.528)</f>
        <v>0.528</v>
      </c>
      <c r="J1856" s="20">
        <f>IFERROR(__xludf.DUMMYFUNCTION("""COMPUTED_VALUE"""),1855.0)</f>
        <v>1855</v>
      </c>
      <c r="K1856" s="20" t="b">
        <f>IFERROR(__xludf.DUMMYFUNCTION("""COMPUTED_VALUE"""),FALSE)</f>
        <v>0</v>
      </c>
      <c r="L1856" s="20" t="str">
        <f>IFERROR(__xludf.DUMMYFUNCTION("""COMPUTED_VALUE"""),"Array;Two Pointers;Binary Search;Greedy;")</f>
        <v>Array;Two Pointers;Binary Search;Greedy;</v>
      </c>
      <c r="M1856" s="20" t="b">
        <f>IFERROR(__xludf.DUMMYFUNCTION("""COMPUTED_VALUE"""),TRUE)</f>
        <v>1</v>
      </c>
      <c r="N1856" s="20" t="b">
        <f>IFERROR(__xludf.DUMMYFUNCTION("""COMPUTED_VALUE"""),FALSE)</f>
        <v>0</v>
      </c>
      <c r="O1856" s="20">
        <f>IFERROR(__xludf.DUMMYFUNCTION("""COMPUTED_VALUE"""),52.8270613839124)</f>
        <v>52.82706138</v>
      </c>
      <c r="P1856" s="20">
        <f>IFERROR(__xludf.DUMMYFUNCTION("""COMPUTED_VALUE"""),36652.0)</f>
        <v>36652</v>
      </c>
      <c r="Q1856" s="20">
        <f>IFERROR(__xludf.DUMMYFUNCTION("""COMPUTED_VALUE"""),69382.0)</f>
        <v>69382</v>
      </c>
    </row>
    <row r="1857">
      <c r="A1857" s="20">
        <f>IFERROR(__xludf.DUMMYFUNCTION("""COMPUTED_VALUE"""),1985.0)</f>
        <v>1985</v>
      </c>
      <c r="B1857" s="20" t="str">
        <f>IFERROR(__xludf.DUMMYFUNCTION("""COMPUTED_VALUE"""),"Maximum Subarray Min-Product")</f>
        <v>Maximum Subarray Min-Product</v>
      </c>
      <c r="C1857" s="20" t="str">
        <f>IFERROR(__xludf.DUMMYFUNCTION("""COMPUTED_VALUE"""),"maximum-subarray-min-product")</f>
        <v>maximum-subarray-min-product</v>
      </c>
      <c r="D1857" s="20" t="b">
        <f>IFERROR(__xludf.DUMMYFUNCTION("""COMPUTED_VALUE"""),FALSE)</f>
        <v>0</v>
      </c>
      <c r="E1857" s="20" t="str">
        <f>IFERROR(__xludf.DUMMYFUNCTION("""COMPUTED_VALUE"""),"Medium")</f>
        <v>Medium</v>
      </c>
      <c r="F1857" s="20">
        <f>IFERROR(__xludf.DUMMYFUNCTION("""COMPUTED_VALUE"""),1066.0)</f>
        <v>1066</v>
      </c>
      <c r="G1857" s="20">
        <f>IFERROR(__xludf.DUMMYFUNCTION("""COMPUTED_VALUE"""),79.0)</f>
        <v>79</v>
      </c>
      <c r="H1857" s="20" t="str">
        <f>IFERROR(__xludf.DUMMYFUNCTION("""COMPUTED_VALUE"""),"Algorithms")</f>
        <v>Algorithms</v>
      </c>
      <c r="I1857" s="20">
        <f>IFERROR(__xludf.DUMMYFUNCTION("""COMPUTED_VALUE"""),0.378)</f>
        <v>0.378</v>
      </c>
      <c r="J1857" s="20">
        <f>IFERROR(__xludf.DUMMYFUNCTION("""COMPUTED_VALUE"""),1856.0)</f>
        <v>1856</v>
      </c>
      <c r="K1857" s="20" t="b">
        <f>IFERROR(__xludf.DUMMYFUNCTION("""COMPUTED_VALUE"""),FALSE)</f>
        <v>0</v>
      </c>
      <c r="L1857" s="20" t="str">
        <f>IFERROR(__xludf.DUMMYFUNCTION("""COMPUTED_VALUE"""),"Array;Stack;Monotonic Stack;Prefix Sum;")</f>
        <v>Array;Stack;Monotonic Stack;Prefix Sum;</v>
      </c>
      <c r="M1857" s="20" t="b">
        <f>IFERROR(__xludf.DUMMYFUNCTION("""COMPUTED_VALUE"""),FALSE)</f>
        <v>0</v>
      </c>
      <c r="N1857" s="20" t="b">
        <f>IFERROR(__xludf.DUMMYFUNCTION("""COMPUTED_VALUE"""),FALSE)</f>
        <v>0</v>
      </c>
      <c r="O1857" s="20">
        <f>IFERROR(__xludf.DUMMYFUNCTION("""COMPUTED_VALUE"""),37.7596877833405)</f>
        <v>37.75968778</v>
      </c>
      <c r="P1857" s="20">
        <f>IFERROR(__xludf.DUMMYFUNCTION("""COMPUTED_VALUE"""),19156.0)</f>
        <v>19156</v>
      </c>
      <c r="Q1857" s="20">
        <f>IFERROR(__xludf.DUMMYFUNCTION("""COMPUTED_VALUE"""),50733.0)</f>
        <v>50733</v>
      </c>
    </row>
    <row r="1858">
      <c r="A1858" s="20">
        <f>IFERROR(__xludf.DUMMYFUNCTION("""COMPUTED_VALUE"""),1986.0)</f>
        <v>1986</v>
      </c>
      <c r="B1858" s="20" t="str">
        <f>IFERROR(__xludf.DUMMYFUNCTION("""COMPUTED_VALUE"""),"Largest Color Value in a Directed Graph")</f>
        <v>Largest Color Value in a Directed Graph</v>
      </c>
      <c r="C1858" s="20" t="str">
        <f>IFERROR(__xludf.DUMMYFUNCTION("""COMPUTED_VALUE"""),"largest-color-value-in-a-directed-graph")</f>
        <v>largest-color-value-in-a-directed-graph</v>
      </c>
      <c r="D1858" s="20" t="b">
        <f>IFERROR(__xludf.DUMMYFUNCTION("""COMPUTED_VALUE"""),FALSE)</f>
        <v>0</v>
      </c>
      <c r="E1858" s="20" t="str">
        <f>IFERROR(__xludf.DUMMYFUNCTION("""COMPUTED_VALUE"""),"Hard")</f>
        <v>Hard</v>
      </c>
      <c r="F1858" s="20">
        <f>IFERROR(__xludf.DUMMYFUNCTION("""COMPUTED_VALUE"""),616.0)</f>
        <v>616</v>
      </c>
      <c r="G1858" s="20">
        <f>IFERROR(__xludf.DUMMYFUNCTION("""COMPUTED_VALUE"""),18.0)</f>
        <v>18</v>
      </c>
      <c r="H1858" s="20" t="str">
        <f>IFERROR(__xludf.DUMMYFUNCTION("""COMPUTED_VALUE"""),"Algorithms")</f>
        <v>Algorithms</v>
      </c>
      <c r="I1858" s="20">
        <f>IFERROR(__xludf.DUMMYFUNCTION("""COMPUTED_VALUE"""),0.407)</f>
        <v>0.407</v>
      </c>
      <c r="J1858" s="20">
        <f>IFERROR(__xludf.DUMMYFUNCTION("""COMPUTED_VALUE"""),1857.0)</f>
        <v>1857</v>
      </c>
      <c r="K1858" s="20" t="b">
        <f>IFERROR(__xludf.DUMMYFUNCTION("""COMPUTED_VALUE"""),FALSE)</f>
        <v>0</v>
      </c>
      <c r="L1858" s="20" t="str">
        <f>IFERROR(__xludf.DUMMYFUNCTION("""COMPUTED_VALUE"""),"Hash Table;Dynamic Programming;Graph;Topological Sort;Memoization;Counting;")</f>
        <v>Hash Table;Dynamic Programming;Graph;Topological Sort;Memoization;Counting;</v>
      </c>
      <c r="M1858" s="20" t="b">
        <f>IFERROR(__xludf.DUMMYFUNCTION("""COMPUTED_VALUE"""),FALSE)</f>
        <v>0</v>
      </c>
      <c r="N1858" s="20" t="b">
        <f>IFERROR(__xludf.DUMMYFUNCTION("""COMPUTED_VALUE"""),FALSE)</f>
        <v>0</v>
      </c>
      <c r="O1858" s="20">
        <f>IFERROR(__xludf.DUMMYFUNCTION("""COMPUTED_VALUE"""),40.6505464245762)</f>
        <v>40.65054642</v>
      </c>
      <c r="P1858" s="20">
        <f>IFERROR(__xludf.DUMMYFUNCTION("""COMPUTED_VALUE"""),14172.0)</f>
        <v>14172</v>
      </c>
      <c r="Q1858" s="20">
        <f>IFERROR(__xludf.DUMMYFUNCTION("""COMPUTED_VALUE"""),34863.0)</f>
        <v>34863</v>
      </c>
    </row>
    <row r="1859">
      <c r="A1859" s="20">
        <f>IFERROR(__xludf.DUMMYFUNCTION("""COMPUTED_VALUE"""),2009.0)</f>
        <v>2009</v>
      </c>
      <c r="B1859" s="20" t="str">
        <f>IFERROR(__xludf.DUMMYFUNCTION("""COMPUTED_VALUE"""),"Longest Word With All Prefixes")</f>
        <v>Longest Word With All Prefixes</v>
      </c>
      <c r="C1859" s="20" t="str">
        <f>IFERROR(__xludf.DUMMYFUNCTION("""COMPUTED_VALUE"""),"longest-word-with-all-prefixes")</f>
        <v>longest-word-with-all-prefixes</v>
      </c>
      <c r="D1859" s="20" t="b">
        <f>IFERROR(__xludf.DUMMYFUNCTION("""COMPUTED_VALUE"""),TRUE)</f>
        <v>1</v>
      </c>
      <c r="E1859" s="20" t="str">
        <f>IFERROR(__xludf.DUMMYFUNCTION("""COMPUTED_VALUE"""),"Medium")</f>
        <v>Medium</v>
      </c>
      <c r="F1859" s="20">
        <f>IFERROR(__xludf.DUMMYFUNCTION("""COMPUTED_VALUE"""),137.0)</f>
        <v>137</v>
      </c>
      <c r="G1859" s="20">
        <f>IFERROR(__xludf.DUMMYFUNCTION("""COMPUTED_VALUE"""),4.0)</f>
        <v>4</v>
      </c>
      <c r="H1859" s="20" t="str">
        <f>IFERROR(__xludf.DUMMYFUNCTION("""COMPUTED_VALUE"""),"Algorithms")</f>
        <v>Algorithms</v>
      </c>
      <c r="I1859" s="20">
        <f>IFERROR(__xludf.DUMMYFUNCTION("""COMPUTED_VALUE"""),0.667)</f>
        <v>0.667</v>
      </c>
      <c r="J1859" s="20">
        <f>IFERROR(__xludf.DUMMYFUNCTION("""COMPUTED_VALUE"""),1858.0)</f>
        <v>1858</v>
      </c>
      <c r="K1859" s="20" t="b">
        <f>IFERROR(__xludf.DUMMYFUNCTION("""COMPUTED_VALUE"""),TRUE)</f>
        <v>1</v>
      </c>
      <c r="L1859" s="20" t="str">
        <f>IFERROR(__xludf.DUMMYFUNCTION("""COMPUTED_VALUE"""),"Depth-First Search;Trie;")</f>
        <v>Depth-First Search;Trie;</v>
      </c>
      <c r="M1859" s="20" t="b">
        <f>IFERROR(__xludf.DUMMYFUNCTION("""COMPUTED_VALUE"""),FALSE)</f>
        <v>0</v>
      </c>
      <c r="N1859" s="20" t="b">
        <f>IFERROR(__xludf.DUMMYFUNCTION("""COMPUTED_VALUE"""),FALSE)</f>
        <v>0</v>
      </c>
      <c r="O1859" s="20">
        <f>IFERROR(__xludf.DUMMYFUNCTION("""COMPUTED_VALUE"""),66.7035398230088)</f>
        <v>66.70353982</v>
      </c>
      <c r="P1859" s="20">
        <f>IFERROR(__xludf.DUMMYFUNCTION("""COMPUTED_VALUE"""),5427.0)</f>
        <v>5427</v>
      </c>
      <c r="Q1859" s="20">
        <f>IFERROR(__xludf.DUMMYFUNCTION("""COMPUTED_VALUE"""),8136.0)</f>
        <v>8136</v>
      </c>
    </row>
    <row r="1860">
      <c r="A1860" s="20">
        <f>IFERROR(__xludf.DUMMYFUNCTION("""COMPUTED_VALUE"""),1970.0)</f>
        <v>1970</v>
      </c>
      <c r="B1860" s="20" t="str">
        <f>IFERROR(__xludf.DUMMYFUNCTION("""COMPUTED_VALUE"""),"Sorting the Sentence")</f>
        <v>Sorting the Sentence</v>
      </c>
      <c r="C1860" s="20" t="str">
        <f>IFERROR(__xludf.DUMMYFUNCTION("""COMPUTED_VALUE"""),"sorting-the-sentence")</f>
        <v>sorting-the-sentence</v>
      </c>
      <c r="D1860" s="20" t="b">
        <f>IFERROR(__xludf.DUMMYFUNCTION("""COMPUTED_VALUE"""),FALSE)</f>
        <v>0</v>
      </c>
      <c r="E1860" s="20" t="str">
        <f>IFERROR(__xludf.DUMMYFUNCTION("""COMPUTED_VALUE"""),"Easy")</f>
        <v>Easy</v>
      </c>
      <c r="F1860" s="20">
        <f>IFERROR(__xludf.DUMMYFUNCTION("""COMPUTED_VALUE"""),1517.0)</f>
        <v>1517</v>
      </c>
      <c r="G1860" s="20">
        <f>IFERROR(__xludf.DUMMYFUNCTION("""COMPUTED_VALUE"""),45.0)</f>
        <v>45</v>
      </c>
      <c r="H1860" s="20" t="str">
        <f>IFERROR(__xludf.DUMMYFUNCTION("""COMPUTED_VALUE"""),"Algorithms")</f>
        <v>Algorithms</v>
      </c>
      <c r="I1860" s="20">
        <f>IFERROR(__xludf.DUMMYFUNCTION("""COMPUTED_VALUE"""),0.844)</f>
        <v>0.844</v>
      </c>
      <c r="J1860" s="20">
        <f>IFERROR(__xludf.DUMMYFUNCTION("""COMPUTED_VALUE"""),1859.0)</f>
        <v>1859</v>
      </c>
      <c r="K1860" s="20" t="b">
        <f>IFERROR(__xludf.DUMMYFUNCTION("""COMPUTED_VALUE"""),FALSE)</f>
        <v>0</v>
      </c>
      <c r="L1860" s="20" t="str">
        <f>IFERROR(__xludf.DUMMYFUNCTION("""COMPUTED_VALUE"""),"String;Sorting;")</f>
        <v>String;Sorting;</v>
      </c>
      <c r="M1860" s="20" t="b">
        <f>IFERROR(__xludf.DUMMYFUNCTION("""COMPUTED_VALUE"""),FALSE)</f>
        <v>0</v>
      </c>
      <c r="N1860" s="20" t="b">
        <f>IFERROR(__xludf.DUMMYFUNCTION("""COMPUTED_VALUE"""),FALSE)</f>
        <v>0</v>
      </c>
      <c r="O1860" s="20">
        <f>IFERROR(__xludf.DUMMYFUNCTION("""COMPUTED_VALUE"""),84.3589123449538)</f>
        <v>84.35891234</v>
      </c>
      <c r="P1860" s="20">
        <f>IFERROR(__xludf.DUMMYFUNCTION("""COMPUTED_VALUE"""),97653.0)</f>
        <v>97653</v>
      </c>
      <c r="Q1860" s="20">
        <f>IFERROR(__xludf.DUMMYFUNCTION("""COMPUTED_VALUE"""),115760.0)</f>
        <v>115760</v>
      </c>
    </row>
    <row r="1861">
      <c r="A1861" s="20">
        <f>IFERROR(__xludf.DUMMYFUNCTION("""COMPUTED_VALUE"""),1971.0)</f>
        <v>1971</v>
      </c>
      <c r="B1861" s="20" t="str">
        <f>IFERROR(__xludf.DUMMYFUNCTION("""COMPUTED_VALUE"""),"Incremental Memory Leak")</f>
        <v>Incremental Memory Leak</v>
      </c>
      <c r="C1861" s="20" t="str">
        <f>IFERROR(__xludf.DUMMYFUNCTION("""COMPUTED_VALUE"""),"incremental-memory-leak")</f>
        <v>incremental-memory-leak</v>
      </c>
      <c r="D1861" s="20" t="b">
        <f>IFERROR(__xludf.DUMMYFUNCTION("""COMPUTED_VALUE"""),FALSE)</f>
        <v>0</v>
      </c>
      <c r="E1861" s="20" t="str">
        <f>IFERROR(__xludf.DUMMYFUNCTION("""COMPUTED_VALUE"""),"Medium")</f>
        <v>Medium</v>
      </c>
      <c r="F1861" s="20">
        <f>IFERROR(__xludf.DUMMYFUNCTION("""COMPUTED_VALUE"""),165.0)</f>
        <v>165</v>
      </c>
      <c r="G1861" s="20">
        <f>IFERROR(__xludf.DUMMYFUNCTION("""COMPUTED_VALUE"""),69.0)</f>
        <v>69</v>
      </c>
      <c r="H1861" s="20" t="str">
        <f>IFERROR(__xludf.DUMMYFUNCTION("""COMPUTED_VALUE"""),"Algorithms")</f>
        <v>Algorithms</v>
      </c>
      <c r="I1861" s="20">
        <f>IFERROR(__xludf.DUMMYFUNCTION("""COMPUTED_VALUE"""),0.719)</f>
        <v>0.719</v>
      </c>
      <c r="J1861" s="20">
        <f>IFERROR(__xludf.DUMMYFUNCTION("""COMPUTED_VALUE"""),1860.0)</f>
        <v>1860</v>
      </c>
      <c r="K1861" s="20" t="b">
        <f>IFERROR(__xludf.DUMMYFUNCTION("""COMPUTED_VALUE"""),FALSE)</f>
        <v>0</v>
      </c>
      <c r="L1861" s="20" t="str">
        <f>IFERROR(__xludf.DUMMYFUNCTION("""COMPUTED_VALUE"""),"Simulation;")</f>
        <v>Simulation;</v>
      </c>
      <c r="M1861" s="20" t="b">
        <f>IFERROR(__xludf.DUMMYFUNCTION("""COMPUTED_VALUE"""),FALSE)</f>
        <v>0</v>
      </c>
      <c r="N1861" s="20" t="b">
        <f>IFERROR(__xludf.DUMMYFUNCTION("""COMPUTED_VALUE"""),FALSE)</f>
        <v>0</v>
      </c>
      <c r="O1861" s="20">
        <f>IFERROR(__xludf.DUMMYFUNCTION("""COMPUTED_VALUE"""),71.8740762636713)</f>
        <v>71.87407626</v>
      </c>
      <c r="P1861" s="20">
        <f>IFERROR(__xludf.DUMMYFUNCTION("""COMPUTED_VALUE"""),14589.0)</f>
        <v>14589</v>
      </c>
      <c r="Q1861" s="20">
        <f>IFERROR(__xludf.DUMMYFUNCTION("""COMPUTED_VALUE"""),20298.0)</f>
        <v>20298</v>
      </c>
    </row>
    <row r="1862">
      <c r="A1862" s="20">
        <f>IFERROR(__xludf.DUMMYFUNCTION("""COMPUTED_VALUE"""),1972.0)</f>
        <v>1972</v>
      </c>
      <c r="B1862" s="20" t="str">
        <f>IFERROR(__xludf.DUMMYFUNCTION("""COMPUTED_VALUE"""),"Rotating the Box")</f>
        <v>Rotating the Box</v>
      </c>
      <c r="C1862" s="20" t="str">
        <f>IFERROR(__xludf.DUMMYFUNCTION("""COMPUTED_VALUE"""),"rotating-the-box")</f>
        <v>rotating-the-box</v>
      </c>
      <c r="D1862" s="20" t="b">
        <f>IFERROR(__xludf.DUMMYFUNCTION("""COMPUTED_VALUE"""),FALSE)</f>
        <v>0</v>
      </c>
      <c r="E1862" s="20" t="str">
        <f>IFERROR(__xludf.DUMMYFUNCTION("""COMPUTED_VALUE"""),"Medium")</f>
        <v>Medium</v>
      </c>
      <c r="F1862" s="20">
        <f>IFERROR(__xludf.DUMMYFUNCTION("""COMPUTED_VALUE"""),760.0)</f>
        <v>760</v>
      </c>
      <c r="G1862" s="20">
        <f>IFERROR(__xludf.DUMMYFUNCTION("""COMPUTED_VALUE"""),47.0)</f>
        <v>47</v>
      </c>
      <c r="H1862" s="20" t="str">
        <f>IFERROR(__xludf.DUMMYFUNCTION("""COMPUTED_VALUE"""),"Algorithms")</f>
        <v>Algorithms</v>
      </c>
      <c r="I1862" s="20">
        <f>IFERROR(__xludf.DUMMYFUNCTION("""COMPUTED_VALUE"""),0.648)</f>
        <v>0.648</v>
      </c>
      <c r="J1862" s="20">
        <f>IFERROR(__xludf.DUMMYFUNCTION("""COMPUTED_VALUE"""),1861.0)</f>
        <v>1861</v>
      </c>
      <c r="K1862" s="20" t="b">
        <f>IFERROR(__xludf.DUMMYFUNCTION("""COMPUTED_VALUE"""),FALSE)</f>
        <v>0</v>
      </c>
      <c r="L1862" s="20" t="str">
        <f>IFERROR(__xludf.DUMMYFUNCTION("""COMPUTED_VALUE"""),"Array;Two Pointers;Matrix;")</f>
        <v>Array;Two Pointers;Matrix;</v>
      </c>
      <c r="M1862" s="20" t="b">
        <f>IFERROR(__xludf.DUMMYFUNCTION("""COMPUTED_VALUE"""),FALSE)</f>
        <v>0</v>
      </c>
      <c r="N1862" s="20" t="b">
        <f>IFERROR(__xludf.DUMMYFUNCTION("""COMPUTED_VALUE"""),FALSE)</f>
        <v>0</v>
      </c>
      <c r="O1862" s="20">
        <f>IFERROR(__xludf.DUMMYFUNCTION("""COMPUTED_VALUE"""),64.8083503266166)</f>
        <v>64.80835033</v>
      </c>
      <c r="P1862" s="20">
        <f>IFERROR(__xludf.DUMMYFUNCTION("""COMPUTED_VALUE"""),37502.0)</f>
        <v>37502</v>
      </c>
      <c r="Q1862" s="20">
        <f>IFERROR(__xludf.DUMMYFUNCTION("""COMPUTED_VALUE"""),57866.0)</f>
        <v>57866</v>
      </c>
    </row>
    <row r="1863">
      <c r="A1863" s="20">
        <f>IFERROR(__xludf.DUMMYFUNCTION("""COMPUTED_VALUE"""),1326.0)</f>
        <v>1326</v>
      </c>
      <c r="B1863" s="20" t="str">
        <f>IFERROR(__xludf.DUMMYFUNCTION("""COMPUTED_VALUE"""),"Sum of Floored Pairs")</f>
        <v>Sum of Floored Pairs</v>
      </c>
      <c r="C1863" s="20" t="str">
        <f>IFERROR(__xludf.DUMMYFUNCTION("""COMPUTED_VALUE"""),"sum-of-floored-pairs")</f>
        <v>sum-of-floored-pairs</v>
      </c>
      <c r="D1863" s="20" t="b">
        <f>IFERROR(__xludf.DUMMYFUNCTION("""COMPUTED_VALUE"""),FALSE)</f>
        <v>0</v>
      </c>
      <c r="E1863" s="20" t="str">
        <f>IFERROR(__xludf.DUMMYFUNCTION("""COMPUTED_VALUE"""),"Hard")</f>
        <v>Hard</v>
      </c>
      <c r="F1863" s="20">
        <f>IFERROR(__xludf.DUMMYFUNCTION("""COMPUTED_VALUE"""),357.0)</f>
        <v>357</v>
      </c>
      <c r="G1863" s="20">
        <f>IFERROR(__xludf.DUMMYFUNCTION("""COMPUTED_VALUE"""),33.0)</f>
        <v>33</v>
      </c>
      <c r="H1863" s="20" t="str">
        <f>IFERROR(__xludf.DUMMYFUNCTION("""COMPUTED_VALUE"""),"Algorithms")</f>
        <v>Algorithms</v>
      </c>
      <c r="I1863" s="20">
        <f>IFERROR(__xludf.DUMMYFUNCTION("""COMPUTED_VALUE"""),0.281)</f>
        <v>0.281</v>
      </c>
      <c r="J1863" s="20">
        <f>IFERROR(__xludf.DUMMYFUNCTION("""COMPUTED_VALUE"""),1862.0)</f>
        <v>1862</v>
      </c>
      <c r="K1863" s="20" t="b">
        <f>IFERROR(__xludf.DUMMYFUNCTION("""COMPUTED_VALUE"""),FALSE)</f>
        <v>0</v>
      </c>
      <c r="L1863" s="20" t="str">
        <f>IFERROR(__xludf.DUMMYFUNCTION("""COMPUTED_VALUE"""),"Array;Math;Binary Search;Prefix Sum;")</f>
        <v>Array;Math;Binary Search;Prefix Sum;</v>
      </c>
      <c r="M1863" s="20" t="b">
        <f>IFERROR(__xludf.DUMMYFUNCTION("""COMPUTED_VALUE"""),FALSE)</f>
        <v>0</v>
      </c>
      <c r="N1863" s="20" t="b">
        <f>IFERROR(__xludf.DUMMYFUNCTION("""COMPUTED_VALUE"""),FALSE)</f>
        <v>0</v>
      </c>
      <c r="O1863" s="20">
        <f>IFERROR(__xludf.DUMMYFUNCTION("""COMPUTED_VALUE"""),28.1122912307024)</f>
        <v>28.11229123</v>
      </c>
      <c r="P1863" s="20">
        <f>IFERROR(__xludf.DUMMYFUNCTION("""COMPUTED_VALUE"""),7120.0)</f>
        <v>7120</v>
      </c>
      <c r="Q1863" s="20">
        <f>IFERROR(__xludf.DUMMYFUNCTION("""COMPUTED_VALUE"""),25327.0)</f>
        <v>25327</v>
      </c>
    </row>
    <row r="1864">
      <c r="A1864" s="20">
        <f>IFERROR(__xludf.DUMMYFUNCTION("""COMPUTED_VALUE"""),1993.0)</f>
        <v>1993</v>
      </c>
      <c r="B1864" s="20" t="str">
        <f>IFERROR(__xludf.DUMMYFUNCTION("""COMPUTED_VALUE"""),"Sum of All Subset XOR Totals")</f>
        <v>Sum of All Subset XOR Totals</v>
      </c>
      <c r="C1864" s="20" t="str">
        <f>IFERROR(__xludf.DUMMYFUNCTION("""COMPUTED_VALUE"""),"sum-of-all-subset-xor-totals")</f>
        <v>sum-of-all-subset-xor-totals</v>
      </c>
      <c r="D1864" s="20" t="b">
        <f>IFERROR(__xludf.DUMMYFUNCTION("""COMPUTED_VALUE"""),FALSE)</f>
        <v>0</v>
      </c>
      <c r="E1864" s="20" t="str">
        <f>IFERROR(__xludf.DUMMYFUNCTION("""COMPUTED_VALUE"""),"Easy")</f>
        <v>Easy</v>
      </c>
      <c r="F1864" s="20">
        <f>IFERROR(__xludf.DUMMYFUNCTION("""COMPUTED_VALUE"""),1119.0)</f>
        <v>1119</v>
      </c>
      <c r="G1864" s="20">
        <f>IFERROR(__xludf.DUMMYFUNCTION("""COMPUTED_VALUE"""),100.0)</f>
        <v>100</v>
      </c>
      <c r="H1864" s="20" t="str">
        <f>IFERROR(__xludf.DUMMYFUNCTION("""COMPUTED_VALUE"""),"Algorithms")</f>
        <v>Algorithms</v>
      </c>
      <c r="I1864" s="20">
        <f>IFERROR(__xludf.DUMMYFUNCTION("""COMPUTED_VALUE"""),0.792)</f>
        <v>0.792</v>
      </c>
      <c r="J1864" s="20">
        <f>IFERROR(__xludf.DUMMYFUNCTION("""COMPUTED_VALUE"""),1863.0)</f>
        <v>1863</v>
      </c>
      <c r="K1864" s="20" t="b">
        <f>IFERROR(__xludf.DUMMYFUNCTION("""COMPUTED_VALUE"""),FALSE)</f>
        <v>0</v>
      </c>
      <c r="L1864" s="20" t="str">
        <f>IFERROR(__xludf.DUMMYFUNCTION("""COMPUTED_VALUE"""),"Array;Math;Backtracking;Bit Manipulation;Combinatorics;")</f>
        <v>Array;Math;Backtracking;Bit Manipulation;Combinatorics;</v>
      </c>
      <c r="M1864" s="20" t="b">
        <f>IFERROR(__xludf.DUMMYFUNCTION("""COMPUTED_VALUE"""),FALSE)</f>
        <v>0</v>
      </c>
      <c r="N1864" s="20" t="b">
        <f>IFERROR(__xludf.DUMMYFUNCTION("""COMPUTED_VALUE"""),FALSE)</f>
        <v>0</v>
      </c>
      <c r="O1864" s="20">
        <f>IFERROR(__xludf.DUMMYFUNCTION("""COMPUTED_VALUE"""),79.1613229834627)</f>
        <v>79.16132298</v>
      </c>
      <c r="P1864" s="20">
        <f>IFERROR(__xludf.DUMMYFUNCTION("""COMPUTED_VALUE"""),46910.0)</f>
        <v>46910</v>
      </c>
      <c r="Q1864" s="20">
        <f>IFERROR(__xludf.DUMMYFUNCTION("""COMPUTED_VALUE"""),59259.0)</f>
        <v>59259</v>
      </c>
    </row>
    <row r="1865">
      <c r="A1865" s="20">
        <f>IFERROR(__xludf.DUMMYFUNCTION("""COMPUTED_VALUE"""),1994.0)</f>
        <v>1994</v>
      </c>
      <c r="B1865" s="20" t="str">
        <f>IFERROR(__xludf.DUMMYFUNCTION("""COMPUTED_VALUE"""),"Minimum Number of Swaps to Make the Binary String Alternating")</f>
        <v>Minimum Number of Swaps to Make the Binary String Alternating</v>
      </c>
      <c r="C1865" s="20" t="str">
        <f>IFERROR(__xludf.DUMMYFUNCTION("""COMPUTED_VALUE"""),"minimum-number-of-swaps-to-make-the-binary-string-alternating")</f>
        <v>minimum-number-of-swaps-to-make-the-binary-string-alternating</v>
      </c>
      <c r="D1865" s="20" t="b">
        <f>IFERROR(__xludf.DUMMYFUNCTION("""COMPUTED_VALUE"""),FALSE)</f>
        <v>0</v>
      </c>
      <c r="E1865" s="20" t="str">
        <f>IFERROR(__xludf.DUMMYFUNCTION("""COMPUTED_VALUE"""),"Medium")</f>
        <v>Medium</v>
      </c>
      <c r="F1865" s="20">
        <f>IFERROR(__xludf.DUMMYFUNCTION("""COMPUTED_VALUE"""),463.0)</f>
        <v>463</v>
      </c>
      <c r="G1865" s="20">
        <f>IFERROR(__xludf.DUMMYFUNCTION("""COMPUTED_VALUE"""),30.0)</f>
        <v>30</v>
      </c>
      <c r="H1865" s="20" t="str">
        <f>IFERROR(__xludf.DUMMYFUNCTION("""COMPUTED_VALUE"""),"Algorithms")</f>
        <v>Algorithms</v>
      </c>
      <c r="I1865" s="20">
        <f>IFERROR(__xludf.DUMMYFUNCTION("""COMPUTED_VALUE"""),0.426)</f>
        <v>0.426</v>
      </c>
      <c r="J1865" s="20">
        <f>IFERROR(__xludf.DUMMYFUNCTION("""COMPUTED_VALUE"""),1864.0)</f>
        <v>1864</v>
      </c>
      <c r="K1865" s="20" t="b">
        <f>IFERROR(__xludf.DUMMYFUNCTION("""COMPUTED_VALUE"""),FALSE)</f>
        <v>0</v>
      </c>
      <c r="L1865" s="20" t="str">
        <f>IFERROR(__xludf.DUMMYFUNCTION("""COMPUTED_VALUE"""),"String;Greedy;")</f>
        <v>String;Greedy;</v>
      </c>
      <c r="M1865" s="20" t="b">
        <f>IFERROR(__xludf.DUMMYFUNCTION("""COMPUTED_VALUE"""),FALSE)</f>
        <v>0</v>
      </c>
      <c r="N1865" s="20" t="b">
        <f>IFERROR(__xludf.DUMMYFUNCTION("""COMPUTED_VALUE"""),FALSE)</f>
        <v>0</v>
      </c>
      <c r="O1865" s="20">
        <f>IFERROR(__xludf.DUMMYFUNCTION("""COMPUTED_VALUE"""),42.621692587356)</f>
        <v>42.62169259</v>
      </c>
      <c r="P1865" s="20">
        <f>IFERROR(__xludf.DUMMYFUNCTION("""COMPUTED_VALUE"""),21102.0)</f>
        <v>21102</v>
      </c>
      <c r="Q1865" s="20">
        <f>IFERROR(__xludf.DUMMYFUNCTION("""COMPUTED_VALUE"""),49509.0)</f>
        <v>49509</v>
      </c>
    </row>
    <row r="1866">
      <c r="A1866" s="20">
        <f>IFERROR(__xludf.DUMMYFUNCTION("""COMPUTED_VALUE"""),1995.0)</f>
        <v>1995</v>
      </c>
      <c r="B1866" s="20" t="str">
        <f>IFERROR(__xludf.DUMMYFUNCTION("""COMPUTED_VALUE"""),"Finding Pairs With a Certain Sum")</f>
        <v>Finding Pairs With a Certain Sum</v>
      </c>
      <c r="C1866" s="20" t="str">
        <f>IFERROR(__xludf.DUMMYFUNCTION("""COMPUTED_VALUE"""),"finding-pairs-with-a-certain-sum")</f>
        <v>finding-pairs-with-a-certain-sum</v>
      </c>
      <c r="D1866" s="20" t="b">
        <f>IFERROR(__xludf.DUMMYFUNCTION("""COMPUTED_VALUE"""),FALSE)</f>
        <v>0</v>
      </c>
      <c r="E1866" s="20" t="str">
        <f>IFERROR(__xludf.DUMMYFUNCTION("""COMPUTED_VALUE"""),"Medium")</f>
        <v>Medium</v>
      </c>
      <c r="F1866" s="20">
        <f>IFERROR(__xludf.DUMMYFUNCTION("""COMPUTED_VALUE"""),441.0)</f>
        <v>441</v>
      </c>
      <c r="G1866" s="20">
        <f>IFERROR(__xludf.DUMMYFUNCTION("""COMPUTED_VALUE"""),87.0)</f>
        <v>87</v>
      </c>
      <c r="H1866" s="20" t="str">
        <f>IFERROR(__xludf.DUMMYFUNCTION("""COMPUTED_VALUE"""),"Algorithms")</f>
        <v>Algorithms</v>
      </c>
      <c r="I1866" s="20">
        <f>IFERROR(__xludf.DUMMYFUNCTION("""COMPUTED_VALUE"""),0.503)</f>
        <v>0.503</v>
      </c>
      <c r="J1866" s="20">
        <f>IFERROR(__xludf.DUMMYFUNCTION("""COMPUTED_VALUE"""),1865.0)</f>
        <v>1865</v>
      </c>
      <c r="K1866" s="20" t="b">
        <f>IFERROR(__xludf.DUMMYFUNCTION("""COMPUTED_VALUE"""),FALSE)</f>
        <v>0</v>
      </c>
      <c r="L1866" s="20" t="str">
        <f>IFERROR(__xludf.DUMMYFUNCTION("""COMPUTED_VALUE"""),"Array;Hash Table;Design;")</f>
        <v>Array;Hash Table;Design;</v>
      </c>
      <c r="M1866" s="20" t="b">
        <f>IFERROR(__xludf.DUMMYFUNCTION("""COMPUTED_VALUE"""),FALSE)</f>
        <v>0</v>
      </c>
      <c r="N1866" s="20" t="b">
        <f>IFERROR(__xludf.DUMMYFUNCTION("""COMPUTED_VALUE"""),FALSE)</f>
        <v>0</v>
      </c>
      <c r="O1866" s="20">
        <f>IFERROR(__xludf.DUMMYFUNCTION("""COMPUTED_VALUE"""),50.349613446265)</f>
        <v>50.34961345</v>
      </c>
      <c r="P1866" s="20">
        <f>IFERROR(__xludf.DUMMYFUNCTION("""COMPUTED_VALUE"""),19082.0)</f>
        <v>19082</v>
      </c>
      <c r="Q1866" s="20">
        <f>IFERROR(__xludf.DUMMYFUNCTION("""COMPUTED_VALUE"""),37899.0)</f>
        <v>37899</v>
      </c>
    </row>
    <row r="1867">
      <c r="A1867" s="20">
        <f>IFERROR(__xludf.DUMMYFUNCTION("""COMPUTED_VALUE"""),1996.0)</f>
        <v>1996</v>
      </c>
      <c r="B1867" s="20" t="str">
        <f>IFERROR(__xludf.DUMMYFUNCTION("""COMPUTED_VALUE"""),"Number of Ways to Rearrange Sticks With K Sticks Visible")</f>
        <v>Number of Ways to Rearrange Sticks With K Sticks Visible</v>
      </c>
      <c r="C1867" s="20" t="str">
        <f>IFERROR(__xludf.DUMMYFUNCTION("""COMPUTED_VALUE"""),"number-of-ways-to-rearrange-sticks-with-k-sticks-visible")</f>
        <v>number-of-ways-to-rearrange-sticks-with-k-sticks-visible</v>
      </c>
      <c r="D1867" s="20" t="b">
        <f>IFERROR(__xludf.DUMMYFUNCTION("""COMPUTED_VALUE"""),FALSE)</f>
        <v>0</v>
      </c>
      <c r="E1867" s="20" t="str">
        <f>IFERROR(__xludf.DUMMYFUNCTION("""COMPUTED_VALUE"""),"Hard")</f>
        <v>Hard</v>
      </c>
      <c r="F1867" s="20">
        <f>IFERROR(__xludf.DUMMYFUNCTION("""COMPUTED_VALUE"""),560.0)</f>
        <v>560</v>
      </c>
      <c r="G1867" s="20">
        <f>IFERROR(__xludf.DUMMYFUNCTION("""COMPUTED_VALUE"""),11.0)</f>
        <v>11</v>
      </c>
      <c r="H1867" s="20" t="str">
        <f>IFERROR(__xludf.DUMMYFUNCTION("""COMPUTED_VALUE"""),"Algorithms")</f>
        <v>Algorithms</v>
      </c>
      <c r="I1867" s="20">
        <f>IFERROR(__xludf.DUMMYFUNCTION("""COMPUTED_VALUE"""),0.556)</f>
        <v>0.556</v>
      </c>
      <c r="J1867" s="20">
        <f>IFERROR(__xludf.DUMMYFUNCTION("""COMPUTED_VALUE"""),1866.0)</f>
        <v>1866</v>
      </c>
      <c r="K1867" s="20" t="b">
        <f>IFERROR(__xludf.DUMMYFUNCTION("""COMPUTED_VALUE"""),FALSE)</f>
        <v>0</v>
      </c>
      <c r="L1867" s="20" t="str">
        <f>IFERROR(__xludf.DUMMYFUNCTION("""COMPUTED_VALUE"""),"Math;Dynamic Programming;Combinatorics;")</f>
        <v>Math;Dynamic Programming;Combinatorics;</v>
      </c>
      <c r="M1867" s="20" t="b">
        <f>IFERROR(__xludf.DUMMYFUNCTION("""COMPUTED_VALUE"""),FALSE)</f>
        <v>0</v>
      </c>
      <c r="N1867" s="20" t="b">
        <f>IFERROR(__xludf.DUMMYFUNCTION("""COMPUTED_VALUE"""),FALSE)</f>
        <v>0</v>
      </c>
      <c r="O1867" s="20">
        <f>IFERROR(__xludf.DUMMYFUNCTION("""COMPUTED_VALUE"""),55.6488801054018)</f>
        <v>55.64888011</v>
      </c>
      <c r="P1867" s="20">
        <f>IFERROR(__xludf.DUMMYFUNCTION("""COMPUTED_VALUE"""),10137.0)</f>
        <v>10137</v>
      </c>
      <c r="Q1867" s="20">
        <f>IFERROR(__xludf.DUMMYFUNCTION("""COMPUTED_VALUE"""),18216.0)</f>
        <v>18216</v>
      </c>
    </row>
    <row r="1868">
      <c r="A1868" s="20">
        <f>IFERROR(__xludf.DUMMYFUNCTION("""COMPUTED_VALUE"""),2014.0)</f>
        <v>2014</v>
      </c>
      <c r="B1868" s="20" t="str">
        <f>IFERROR(__xludf.DUMMYFUNCTION("""COMPUTED_VALUE"""),"Orders With Maximum Quantity Above Average")</f>
        <v>Orders With Maximum Quantity Above Average</v>
      </c>
      <c r="C1868" s="20" t="str">
        <f>IFERROR(__xludf.DUMMYFUNCTION("""COMPUTED_VALUE"""),"orders-with-maximum-quantity-above-average")</f>
        <v>orders-with-maximum-quantity-above-average</v>
      </c>
      <c r="D1868" s="20" t="b">
        <f>IFERROR(__xludf.DUMMYFUNCTION("""COMPUTED_VALUE"""),TRUE)</f>
        <v>1</v>
      </c>
      <c r="E1868" s="20" t="str">
        <f>IFERROR(__xludf.DUMMYFUNCTION("""COMPUTED_VALUE"""),"Medium")</f>
        <v>Medium</v>
      </c>
      <c r="F1868" s="20">
        <f>IFERROR(__xludf.DUMMYFUNCTION("""COMPUTED_VALUE"""),54.0)</f>
        <v>54</v>
      </c>
      <c r="G1868" s="20">
        <f>IFERROR(__xludf.DUMMYFUNCTION("""COMPUTED_VALUE"""),206.0)</f>
        <v>206</v>
      </c>
      <c r="H1868" s="20" t="str">
        <f>IFERROR(__xludf.DUMMYFUNCTION("""COMPUTED_VALUE"""),"Database")</f>
        <v>Database</v>
      </c>
      <c r="I1868" s="20">
        <f>IFERROR(__xludf.DUMMYFUNCTION("""COMPUTED_VALUE"""),0.755)</f>
        <v>0.755</v>
      </c>
      <c r="J1868" s="20">
        <f>IFERROR(__xludf.DUMMYFUNCTION("""COMPUTED_VALUE"""),1867.0)</f>
        <v>1867</v>
      </c>
      <c r="K1868" s="20" t="b">
        <f>IFERROR(__xludf.DUMMYFUNCTION("""COMPUTED_VALUE"""),TRUE)</f>
        <v>1</v>
      </c>
      <c r="L1868" s="20" t="str">
        <f>IFERROR(__xludf.DUMMYFUNCTION("""COMPUTED_VALUE"""),"Database;")</f>
        <v>Database;</v>
      </c>
      <c r="M1868" s="20" t="b">
        <f>IFERROR(__xludf.DUMMYFUNCTION("""COMPUTED_VALUE"""),FALSE)</f>
        <v>0</v>
      </c>
      <c r="N1868" s="20" t="b">
        <f>IFERROR(__xludf.DUMMYFUNCTION("""COMPUTED_VALUE"""),FALSE)</f>
        <v>0</v>
      </c>
      <c r="O1868" s="20">
        <f>IFERROR(__xludf.DUMMYFUNCTION("""COMPUTED_VALUE"""),75.5052172764496)</f>
        <v>75.50521728</v>
      </c>
      <c r="P1868" s="20">
        <f>IFERROR(__xludf.DUMMYFUNCTION("""COMPUTED_VALUE"""),11433.0)</f>
        <v>11433</v>
      </c>
      <c r="Q1868" s="20">
        <f>IFERROR(__xludf.DUMMYFUNCTION("""COMPUTED_VALUE"""),15142.0)</f>
        <v>15142</v>
      </c>
    </row>
    <row r="1869">
      <c r="A1869" s="20">
        <f>IFERROR(__xludf.DUMMYFUNCTION("""COMPUTED_VALUE"""),2019.0)</f>
        <v>2019</v>
      </c>
      <c r="B1869" s="20" t="str">
        <f>IFERROR(__xludf.DUMMYFUNCTION("""COMPUTED_VALUE"""),"Product of Two Run-Length Encoded Arrays")</f>
        <v>Product of Two Run-Length Encoded Arrays</v>
      </c>
      <c r="C1869" s="20" t="str">
        <f>IFERROR(__xludf.DUMMYFUNCTION("""COMPUTED_VALUE"""),"product-of-two-run-length-encoded-arrays")</f>
        <v>product-of-two-run-length-encoded-arrays</v>
      </c>
      <c r="D1869" s="20" t="b">
        <f>IFERROR(__xludf.DUMMYFUNCTION("""COMPUTED_VALUE"""),TRUE)</f>
        <v>1</v>
      </c>
      <c r="E1869" s="20" t="str">
        <f>IFERROR(__xludf.DUMMYFUNCTION("""COMPUTED_VALUE"""),"Medium")</f>
        <v>Medium</v>
      </c>
      <c r="F1869" s="20">
        <f>IFERROR(__xludf.DUMMYFUNCTION("""COMPUTED_VALUE"""),274.0)</f>
        <v>274</v>
      </c>
      <c r="G1869" s="20">
        <f>IFERROR(__xludf.DUMMYFUNCTION("""COMPUTED_VALUE"""),45.0)</f>
        <v>45</v>
      </c>
      <c r="H1869" s="20" t="str">
        <f>IFERROR(__xludf.DUMMYFUNCTION("""COMPUTED_VALUE"""),"Algorithms")</f>
        <v>Algorithms</v>
      </c>
      <c r="I1869" s="20">
        <f>IFERROR(__xludf.DUMMYFUNCTION("""COMPUTED_VALUE"""),0.578)</f>
        <v>0.578</v>
      </c>
      <c r="J1869" s="20">
        <f>IFERROR(__xludf.DUMMYFUNCTION("""COMPUTED_VALUE"""),1868.0)</f>
        <v>1868</v>
      </c>
      <c r="K1869" s="20" t="b">
        <f>IFERROR(__xludf.DUMMYFUNCTION("""COMPUTED_VALUE"""),TRUE)</f>
        <v>1</v>
      </c>
      <c r="L1869" s="20" t="str">
        <f>IFERROR(__xludf.DUMMYFUNCTION("""COMPUTED_VALUE"""),"Array;Two Pointers;")</f>
        <v>Array;Two Pointers;</v>
      </c>
      <c r="M1869" s="20" t="b">
        <f>IFERROR(__xludf.DUMMYFUNCTION("""COMPUTED_VALUE"""),FALSE)</f>
        <v>0</v>
      </c>
      <c r="N1869" s="20" t="b">
        <f>IFERROR(__xludf.DUMMYFUNCTION("""COMPUTED_VALUE"""),FALSE)</f>
        <v>0</v>
      </c>
      <c r="O1869" s="20">
        <f>IFERROR(__xludf.DUMMYFUNCTION("""COMPUTED_VALUE"""),57.7667883717705)</f>
        <v>57.76678837</v>
      </c>
      <c r="P1869" s="20">
        <f>IFERROR(__xludf.DUMMYFUNCTION("""COMPUTED_VALUE"""),24998.0)</f>
        <v>24998</v>
      </c>
      <c r="Q1869" s="20">
        <f>IFERROR(__xludf.DUMMYFUNCTION("""COMPUTED_VALUE"""),43274.0)</f>
        <v>43274</v>
      </c>
    </row>
    <row r="1870">
      <c r="A1870" s="20">
        <f>IFERROR(__xludf.DUMMYFUNCTION("""COMPUTED_VALUE"""),1999.0)</f>
        <v>1999</v>
      </c>
      <c r="B1870" s="20" t="str">
        <f>IFERROR(__xludf.DUMMYFUNCTION("""COMPUTED_VALUE"""),"Longer Contiguous Segments of Ones than Zeros")</f>
        <v>Longer Contiguous Segments of Ones than Zeros</v>
      </c>
      <c r="C1870" s="20" t="str">
        <f>IFERROR(__xludf.DUMMYFUNCTION("""COMPUTED_VALUE"""),"longer-contiguous-segments-of-ones-than-zeros")</f>
        <v>longer-contiguous-segments-of-ones-than-zeros</v>
      </c>
      <c r="D1870" s="20" t="b">
        <f>IFERROR(__xludf.DUMMYFUNCTION("""COMPUTED_VALUE"""),FALSE)</f>
        <v>0</v>
      </c>
      <c r="E1870" s="20" t="str">
        <f>IFERROR(__xludf.DUMMYFUNCTION("""COMPUTED_VALUE"""),"Easy")</f>
        <v>Easy</v>
      </c>
      <c r="F1870" s="20">
        <f>IFERROR(__xludf.DUMMYFUNCTION("""COMPUTED_VALUE"""),389.0)</f>
        <v>389</v>
      </c>
      <c r="G1870" s="20">
        <f>IFERROR(__xludf.DUMMYFUNCTION("""COMPUTED_VALUE"""),8.0)</f>
        <v>8</v>
      </c>
      <c r="H1870" s="20" t="str">
        <f>IFERROR(__xludf.DUMMYFUNCTION("""COMPUTED_VALUE"""),"Algorithms")</f>
        <v>Algorithms</v>
      </c>
      <c r="I1870" s="20">
        <f>IFERROR(__xludf.DUMMYFUNCTION("""COMPUTED_VALUE"""),0.603)</f>
        <v>0.603</v>
      </c>
      <c r="J1870" s="20">
        <f>IFERROR(__xludf.DUMMYFUNCTION("""COMPUTED_VALUE"""),1869.0)</f>
        <v>1869</v>
      </c>
      <c r="K1870" s="20" t="b">
        <f>IFERROR(__xludf.DUMMYFUNCTION("""COMPUTED_VALUE"""),FALSE)</f>
        <v>0</v>
      </c>
      <c r="L1870" s="20" t="str">
        <f>IFERROR(__xludf.DUMMYFUNCTION("""COMPUTED_VALUE"""),"String;")</f>
        <v>String;</v>
      </c>
      <c r="M1870" s="20" t="b">
        <f>IFERROR(__xludf.DUMMYFUNCTION("""COMPUTED_VALUE"""),FALSE)</f>
        <v>0</v>
      </c>
      <c r="N1870" s="20" t="b">
        <f>IFERROR(__xludf.DUMMYFUNCTION("""COMPUTED_VALUE"""),FALSE)</f>
        <v>0</v>
      </c>
      <c r="O1870" s="20">
        <f>IFERROR(__xludf.DUMMYFUNCTION("""COMPUTED_VALUE"""),60.2736466389054)</f>
        <v>60.27364664</v>
      </c>
      <c r="P1870" s="20">
        <f>IFERROR(__xludf.DUMMYFUNCTION("""COMPUTED_VALUE"""),35461.0)</f>
        <v>35461</v>
      </c>
      <c r="Q1870" s="20">
        <f>IFERROR(__xludf.DUMMYFUNCTION("""COMPUTED_VALUE"""),58834.0)</f>
        <v>58834</v>
      </c>
    </row>
    <row r="1871">
      <c r="A1871" s="20">
        <f>IFERROR(__xludf.DUMMYFUNCTION("""COMPUTED_VALUE"""),2000.0)</f>
        <v>2000</v>
      </c>
      <c r="B1871" s="20" t="str">
        <f>IFERROR(__xludf.DUMMYFUNCTION("""COMPUTED_VALUE"""),"Minimum Speed to Arrive on Time")</f>
        <v>Minimum Speed to Arrive on Time</v>
      </c>
      <c r="C1871" s="20" t="str">
        <f>IFERROR(__xludf.DUMMYFUNCTION("""COMPUTED_VALUE"""),"minimum-speed-to-arrive-on-time")</f>
        <v>minimum-speed-to-arrive-on-time</v>
      </c>
      <c r="D1871" s="20" t="b">
        <f>IFERROR(__xludf.DUMMYFUNCTION("""COMPUTED_VALUE"""),FALSE)</f>
        <v>0</v>
      </c>
      <c r="E1871" s="20" t="str">
        <f>IFERROR(__xludf.DUMMYFUNCTION("""COMPUTED_VALUE"""),"Medium")</f>
        <v>Medium</v>
      </c>
      <c r="F1871" s="20">
        <f>IFERROR(__xludf.DUMMYFUNCTION("""COMPUTED_VALUE"""),664.0)</f>
        <v>664</v>
      </c>
      <c r="G1871" s="20">
        <f>IFERROR(__xludf.DUMMYFUNCTION("""COMPUTED_VALUE"""),91.0)</f>
        <v>91</v>
      </c>
      <c r="H1871" s="20" t="str">
        <f>IFERROR(__xludf.DUMMYFUNCTION("""COMPUTED_VALUE"""),"Algorithms")</f>
        <v>Algorithms</v>
      </c>
      <c r="I1871" s="20">
        <f>IFERROR(__xludf.DUMMYFUNCTION("""COMPUTED_VALUE"""),0.376)</f>
        <v>0.376</v>
      </c>
      <c r="J1871" s="20">
        <f>IFERROR(__xludf.DUMMYFUNCTION("""COMPUTED_VALUE"""),1870.0)</f>
        <v>1870</v>
      </c>
      <c r="K1871" s="20" t="b">
        <f>IFERROR(__xludf.DUMMYFUNCTION("""COMPUTED_VALUE"""),FALSE)</f>
        <v>0</v>
      </c>
      <c r="L1871" s="20" t="str">
        <f>IFERROR(__xludf.DUMMYFUNCTION("""COMPUTED_VALUE"""),"Array;Binary Search;")</f>
        <v>Array;Binary Search;</v>
      </c>
      <c r="M1871" s="20" t="b">
        <f>IFERROR(__xludf.DUMMYFUNCTION("""COMPUTED_VALUE"""),FALSE)</f>
        <v>0</v>
      </c>
      <c r="N1871" s="20" t="b">
        <f>IFERROR(__xludf.DUMMYFUNCTION("""COMPUTED_VALUE"""),FALSE)</f>
        <v>0</v>
      </c>
      <c r="O1871" s="20">
        <f>IFERROR(__xludf.DUMMYFUNCTION("""COMPUTED_VALUE"""),37.5567977998325)</f>
        <v>37.5567978</v>
      </c>
      <c r="P1871" s="20">
        <f>IFERROR(__xludf.DUMMYFUNCTION("""COMPUTED_VALUE"""),25125.0)</f>
        <v>25125</v>
      </c>
      <c r="Q1871" s="20">
        <f>IFERROR(__xludf.DUMMYFUNCTION("""COMPUTED_VALUE"""),66901.0)</f>
        <v>66901</v>
      </c>
    </row>
    <row r="1872">
      <c r="A1872" s="20">
        <f>IFERROR(__xludf.DUMMYFUNCTION("""COMPUTED_VALUE"""),2001.0)</f>
        <v>2001</v>
      </c>
      <c r="B1872" s="20" t="str">
        <f>IFERROR(__xludf.DUMMYFUNCTION("""COMPUTED_VALUE"""),"Jump Game VII")</f>
        <v>Jump Game VII</v>
      </c>
      <c r="C1872" s="20" t="str">
        <f>IFERROR(__xludf.DUMMYFUNCTION("""COMPUTED_VALUE"""),"jump-game-vii")</f>
        <v>jump-game-vii</v>
      </c>
      <c r="D1872" s="20" t="b">
        <f>IFERROR(__xludf.DUMMYFUNCTION("""COMPUTED_VALUE"""),FALSE)</f>
        <v>0</v>
      </c>
      <c r="E1872" s="20" t="str">
        <f>IFERROR(__xludf.DUMMYFUNCTION("""COMPUTED_VALUE"""),"Medium")</f>
        <v>Medium</v>
      </c>
      <c r="F1872" s="20">
        <f>IFERROR(__xludf.DUMMYFUNCTION("""COMPUTED_VALUE"""),1193.0)</f>
        <v>1193</v>
      </c>
      <c r="G1872" s="20">
        <f>IFERROR(__xludf.DUMMYFUNCTION("""COMPUTED_VALUE"""),68.0)</f>
        <v>68</v>
      </c>
      <c r="H1872" s="20" t="str">
        <f>IFERROR(__xludf.DUMMYFUNCTION("""COMPUTED_VALUE"""),"Algorithms")</f>
        <v>Algorithms</v>
      </c>
      <c r="I1872" s="20">
        <f>IFERROR(__xludf.DUMMYFUNCTION("""COMPUTED_VALUE"""),0.251)</f>
        <v>0.251</v>
      </c>
      <c r="J1872" s="20">
        <f>IFERROR(__xludf.DUMMYFUNCTION("""COMPUTED_VALUE"""),1871.0)</f>
        <v>1871</v>
      </c>
      <c r="K1872" s="20" t="b">
        <f>IFERROR(__xludf.DUMMYFUNCTION("""COMPUTED_VALUE"""),FALSE)</f>
        <v>0</v>
      </c>
      <c r="L1872" s="20" t="str">
        <f>IFERROR(__xludf.DUMMYFUNCTION("""COMPUTED_VALUE"""),"Two Pointers;String;Prefix Sum;")</f>
        <v>Two Pointers;String;Prefix Sum;</v>
      </c>
      <c r="M1872" s="20" t="b">
        <f>IFERROR(__xludf.DUMMYFUNCTION("""COMPUTED_VALUE"""),FALSE)</f>
        <v>0</v>
      </c>
      <c r="N1872" s="20" t="b">
        <f>IFERROR(__xludf.DUMMYFUNCTION("""COMPUTED_VALUE"""),FALSE)</f>
        <v>0</v>
      </c>
      <c r="O1872" s="20">
        <f>IFERROR(__xludf.DUMMYFUNCTION("""COMPUTED_VALUE"""),25.1332068996658)</f>
        <v>25.1332069</v>
      </c>
      <c r="P1872" s="20">
        <f>IFERROR(__xludf.DUMMYFUNCTION("""COMPUTED_VALUE"""),30613.0)</f>
        <v>30613</v>
      </c>
      <c r="Q1872" s="20">
        <f>IFERROR(__xludf.DUMMYFUNCTION("""COMPUTED_VALUE"""),121802.0)</f>
        <v>121802</v>
      </c>
    </row>
    <row r="1873">
      <c r="A1873" s="20">
        <f>IFERROR(__xludf.DUMMYFUNCTION("""COMPUTED_VALUE"""),2002.0)</f>
        <v>2002</v>
      </c>
      <c r="B1873" s="20" t="str">
        <f>IFERROR(__xludf.DUMMYFUNCTION("""COMPUTED_VALUE"""),"Stone Game VIII")</f>
        <v>Stone Game VIII</v>
      </c>
      <c r="C1873" s="20" t="str">
        <f>IFERROR(__xludf.DUMMYFUNCTION("""COMPUTED_VALUE"""),"stone-game-viii")</f>
        <v>stone-game-viii</v>
      </c>
      <c r="D1873" s="20" t="b">
        <f>IFERROR(__xludf.DUMMYFUNCTION("""COMPUTED_VALUE"""),FALSE)</f>
        <v>0</v>
      </c>
      <c r="E1873" s="20" t="str">
        <f>IFERROR(__xludf.DUMMYFUNCTION("""COMPUTED_VALUE"""),"Hard")</f>
        <v>Hard</v>
      </c>
      <c r="F1873" s="20">
        <f>IFERROR(__xludf.DUMMYFUNCTION("""COMPUTED_VALUE"""),349.0)</f>
        <v>349</v>
      </c>
      <c r="G1873" s="20">
        <f>IFERROR(__xludf.DUMMYFUNCTION("""COMPUTED_VALUE"""),16.0)</f>
        <v>16</v>
      </c>
      <c r="H1873" s="20" t="str">
        <f>IFERROR(__xludf.DUMMYFUNCTION("""COMPUTED_VALUE"""),"Algorithms")</f>
        <v>Algorithms</v>
      </c>
      <c r="I1873" s="20">
        <f>IFERROR(__xludf.DUMMYFUNCTION("""COMPUTED_VALUE"""),0.525)</f>
        <v>0.525</v>
      </c>
      <c r="J1873" s="20">
        <f>IFERROR(__xludf.DUMMYFUNCTION("""COMPUTED_VALUE"""),1872.0)</f>
        <v>1872</v>
      </c>
      <c r="K1873" s="20" t="b">
        <f>IFERROR(__xludf.DUMMYFUNCTION("""COMPUTED_VALUE"""),FALSE)</f>
        <v>0</v>
      </c>
      <c r="L1873" s="20" t="str">
        <f>IFERROR(__xludf.DUMMYFUNCTION("""COMPUTED_VALUE"""),"Array;Math;Dynamic Programming;Prefix Sum;Game Theory;")</f>
        <v>Array;Math;Dynamic Programming;Prefix Sum;Game Theory;</v>
      </c>
      <c r="M1873" s="20" t="b">
        <f>IFERROR(__xludf.DUMMYFUNCTION("""COMPUTED_VALUE"""),FALSE)</f>
        <v>0</v>
      </c>
      <c r="N1873" s="20" t="b">
        <f>IFERROR(__xludf.DUMMYFUNCTION("""COMPUTED_VALUE"""),FALSE)</f>
        <v>0</v>
      </c>
      <c r="O1873" s="20">
        <f>IFERROR(__xludf.DUMMYFUNCTION("""COMPUTED_VALUE"""),52.4749445337005)</f>
        <v>52.47494453</v>
      </c>
      <c r="P1873" s="20">
        <f>IFERROR(__xludf.DUMMYFUNCTION("""COMPUTED_VALUE"""),6859.0)</f>
        <v>6859</v>
      </c>
      <c r="Q1873" s="20">
        <f>IFERROR(__xludf.DUMMYFUNCTION("""COMPUTED_VALUE"""),13071.0)</f>
        <v>13071</v>
      </c>
    </row>
    <row r="1874">
      <c r="A1874" s="20">
        <f>IFERROR(__xludf.DUMMYFUNCTION("""COMPUTED_VALUE"""),2024.0)</f>
        <v>2024</v>
      </c>
      <c r="B1874" s="20" t="str">
        <f>IFERROR(__xludf.DUMMYFUNCTION("""COMPUTED_VALUE"""),"Calculate Special Bonus")</f>
        <v>Calculate Special Bonus</v>
      </c>
      <c r="C1874" s="20" t="str">
        <f>IFERROR(__xludf.DUMMYFUNCTION("""COMPUTED_VALUE"""),"calculate-special-bonus")</f>
        <v>calculate-special-bonus</v>
      </c>
      <c r="D1874" s="20" t="b">
        <f>IFERROR(__xludf.DUMMYFUNCTION("""COMPUTED_VALUE"""),FALSE)</f>
        <v>0</v>
      </c>
      <c r="E1874" s="20" t="str">
        <f>IFERROR(__xludf.DUMMYFUNCTION("""COMPUTED_VALUE"""),"Easy")</f>
        <v>Easy</v>
      </c>
      <c r="F1874" s="20">
        <f>IFERROR(__xludf.DUMMYFUNCTION("""COMPUTED_VALUE"""),643.0)</f>
        <v>643</v>
      </c>
      <c r="G1874" s="20">
        <f>IFERROR(__xludf.DUMMYFUNCTION("""COMPUTED_VALUE"""),49.0)</f>
        <v>49</v>
      </c>
      <c r="H1874" s="20" t="str">
        <f>IFERROR(__xludf.DUMMYFUNCTION("""COMPUTED_VALUE"""),"Database")</f>
        <v>Database</v>
      </c>
      <c r="I1874" s="20">
        <f>IFERROR(__xludf.DUMMYFUNCTION("""COMPUTED_VALUE"""),0.624)</f>
        <v>0.624</v>
      </c>
      <c r="J1874" s="20">
        <f>IFERROR(__xludf.DUMMYFUNCTION("""COMPUTED_VALUE"""),1873.0)</f>
        <v>1873</v>
      </c>
      <c r="K1874" s="20" t="b">
        <f>IFERROR(__xludf.DUMMYFUNCTION("""COMPUTED_VALUE"""),FALSE)</f>
        <v>0</v>
      </c>
      <c r="L1874" s="20" t="str">
        <f>IFERROR(__xludf.DUMMYFUNCTION("""COMPUTED_VALUE"""),"Database;")</f>
        <v>Database;</v>
      </c>
      <c r="M1874" s="20" t="b">
        <f>IFERROR(__xludf.DUMMYFUNCTION("""COMPUTED_VALUE"""),FALSE)</f>
        <v>0</v>
      </c>
      <c r="N1874" s="20" t="b">
        <f>IFERROR(__xludf.DUMMYFUNCTION("""COMPUTED_VALUE"""),FALSE)</f>
        <v>0</v>
      </c>
      <c r="O1874" s="20">
        <f>IFERROR(__xludf.DUMMYFUNCTION("""COMPUTED_VALUE"""),62.3878789809931)</f>
        <v>62.38787898</v>
      </c>
      <c r="P1874" s="20">
        <f>IFERROR(__xludf.DUMMYFUNCTION("""COMPUTED_VALUE"""),117474.0)</f>
        <v>117474</v>
      </c>
      <c r="Q1874" s="20">
        <f>IFERROR(__xludf.DUMMYFUNCTION("""COMPUTED_VALUE"""),188297.0)</f>
        <v>188297</v>
      </c>
    </row>
    <row r="1875">
      <c r="A1875" s="20">
        <f>IFERROR(__xludf.DUMMYFUNCTION("""COMPUTED_VALUE"""),2029.0)</f>
        <v>2029</v>
      </c>
      <c r="B1875" s="20" t="str">
        <f>IFERROR(__xludf.DUMMYFUNCTION("""COMPUTED_VALUE"""),"Minimize Product Sum of Two Arrays")</f>
        <v>Minimize Product Sum of Two Arrays</v>
      </c>
      <c r="C1875" s="20" t="str">
        <f>IFERROR(__xludf.DUMMYFUNCTION("""COMPUTED_VALUE"""),"minimize-product-sum-of-two-arrays")</f>
        <v>minimize-product-sum-of-two-arrays</v>
      </c>
      <c r="D1875" s="20" t="b">
        <f>IFERROR(__xludf.DUMMYFUNCTION("""COMPUTED_VALUE"""),TRUE)</f>
        <v>1</v>
      </c>
      <c r="E1875" s="20" t="str">
        <f>IFERROR(__xludf.DUMMYFUNCTION("""COMPUTED_VALUE"""),"Medium")</f>
        <v>Medium</v>
      </c>
      <c r="F1875" s="20">
        <f>IFERROR(__xludf.DUMMYFUNCTION("""COMPUTED_VALUE"""),199.0)</f>
        <v>199</v>
      </c>
      <c r="G1875" s="20">
        <f>IFERROR(__xludf.DUMMYFUNCTION("""COMPUTED_VALUE"""),23.0)</f>
        <v>23</v>
      </c>
      <c r="H1875" s="20" t="str">
        <f>IFERROR(__xludf.DUMMYFUNCTION("""COMPUTED_VALUE"""),"Algorithms")</f>
        <v>Algorithms</v>
      </c>
      <c r="I1875" s="20">
        <f>IFERROR(__xludf.DUMMYFUNCTION("""COMPUTED_VALUE"""),0.903)</f>
        <v>0.903</v>
      </c>
      <c r="J1875" s="20">
        <f>IFERROR(__xludf.DUMMYFUNCTION("""COMPUTED_VALUE"""),1874.0)</f>
        <v>1874</v>
      </c>
      <c r="K1875" s="20" t="b">
        <f>IFERROR(__xludf.DUMMYFUNCTION("""COMPUTED_VALUE"""),TRUE)</f>
        <v>1</v>
      </c>
      <c r="L1875" s="20" t="str">
        <f>IFERROR(__xludf.DUMMYFUNCTION("""COMPUTED_VALUE"""),"Array;Greedy;Sorting;")</f>
        <v>Array;Greedy;Sorting;</v>
      </c>
      <c r="M1875" s="20" t="b">
        <f>IFERROR(__xludf.DUMMYFUNCTION("""COMPUTED_VALUE"""),TRUE)</f>
        <v>1</v>
      </c>
      <c r="N1875" s="20" t="b">
        <f>IFERROR(__xludf.DUMMYFUNCTION("""COMPUTED_VALUE"""),FALSE)</f>
        <v>0</v>
      </c>
      <c r="O1875" s="20">
        <f>IFERROR(__xludf.DUMMYFUNCTION("""COMPUTED_VALUE"""),90.3077382730803)</f>
        <v>90.30773827</v>
      </c>
      <c r="P1875" s="20">
        <f>IFERROR(__xludf.DUMMYFUNCTION("""COMPUTED_VALUE"""),15113.0)</f>
        <v>15113</v>
      </c>
      <c r="Q1875" s="20">
        <f>IFERROR(__xludf.DUMMYFUNCTION("""COMPUTED_VALUE"""),16735.0)</f>
        <v>16735</v>
      </c>
    </row>
    <row r="1876">
      <c r="A1876" s="20">
        <f>IFERROR(__xludf.DUMMYFUNCTION("""COMPUTED_VALUE"""),2030.0)</f>
        <v>2030</v>
      </c>
      <c r="B1876" s="20" t="str">
        <f>IFERROR(__xludf.DUMMYFUNCTION("""COMPUTED_VALUE"""),"Group Employees of the Same Salary")</f>
        <v>Group Employees of the Same Salary</v>
      </c>
      <c r="C1876" s="20" t="str">
        <f>IFERROR(__xludf.DUMMYFUNCTION("""COMPUTED_VALUE"""),"group-employees-of-the-same-salary")</f>
        <v>group-employees-of-the-same-salary</v>
      </c>
      <c r="D1876" s="20" t="b">
        <f>IFERROR(__xludf.DUMMYFUNCTION("""COMPUTED_VALUE"""),TRUE)</f>
        <v>1</v>
      </c>
      <c r="E1876" s="20" t="str">
        <f>IFERROR(__xludf.DUMMYFUNCTION("""COMPUTED_VALUE"""),"Medium")</f>
        <v>Medium</v>
      </c>
      <c r="F1876" s="20">
        <f>IFERROR(__xludf.DUMMYFUNCTION("""COMPUTED_VALUE"""),51.0)</f>
        <v>51</v>
      </c>
      <c r="G1876" s="20">
        <f>IFERROR(__xludf.DUMMYFUNCTION("""COMPUTED_VALUE"""),5.0)</f>
        <v>5</v>
      </c>
      <c r="H1876" s="20" t="str">
        <f>IFERROR(__xludf.DUMMYFUNCTION("""COMPUTED_VALUE"""),"Database")</f>
        <v>Database</v>
      </c>
      <c r="I1876" s="20">
        <f>IFERROR(__xludf.DUMMYFUNCTION("""COMPUTED_VALUE"""),0.755)</f>
        <v>0.755</v>
      </c>
      <c r="J1876" s="20">
        <f>IFERROR(__xludf.DUMMYFUNCTION("""COMPUTED_VALUE"""),1875.0)</f>
        <v>1875</v>
      </c>
      <c r="K1876" s="20" t="b">
        <f>IFERROR(__xludf.DUMMYFUNCTION("""COMPUTED_VALUE"""),TRUE)</f>
        <v>1</v>
      </c>
      <c r="L1876" s="20" t="str">
        <f>IFERROR(__xludf.DUMMYFUNCTION("""COMPUTED_VALUE"""),"Database;")</f>
        <v>Database;</v>
      </c>
      <c r="M1876" s="20" t="b">
        <f>IFERROR(__xludf.DUMMYFUNCTION("""COMPUTED_VALUE"""),FALSE)</f>
        <v>0</v>
      </c>
      <c r="N1876" s="20" t="b">
        <f>IFERROR(__xludf.DUMMYFUNCTION("""COMPUTED_VALUE"""),FALSE)</f>
        <v>0</v>
      </c>
      <c r="O1876" s="20">
        <f>IFERROR(__xludf.DUMMYFUNCTION("""COMPUTED_VALUE"""),75.5384615384615)</f>
        <v>75.53846154</v>
      </c>
      <c r="P1876" s="20">
        <f>IFERROR(__xludf.DUMMYFUNCTION("""COMPUTED_VALUE"""),7856.0)</f>
        <v>7856</v>
      </c>
      <c r="Q1876" s="20">
        <f>IFERROR(__xludf.DUMMYFUNCTION("""COMPUTED_VALUE"""),10400.0)</f>
        <v>10400</v>
      </c>
    </row>
    <row r="1877">
      <c r="A1877" s="20">
        <f>IFERROR(__xludf.DUMMYFUNCTION("""COMPUTED_VALUE"""),1987.0)</f>
        <v>1987</v>
      </c>
      <c r="B1877" s="20" t="str">
        <f>IFERROR(__xludf.DUMMYFUNCTION("""COMPUTED_VALUE"""),"Substrings of Size Three with Distinct Characters")</f>
        <v>Substrings of Size Three with Distinct Characters</v>
      </c>
      <c r="C1877" s="20" t="str">
        <f>IFERROR(__xludf.DUMMYFUNCTION("""COMPUTED_VALUE"""),"substrings-of-size-three-with-distinct-characters")</f>
        <v>substrings-of-size-three-with-distinct-characters</v>
      </c>
      <c r="D1877" s="20" t="b">
        <f>IFERROR(__xludf.DUMMYFUNCTION("""COMPUTED_VALUE"""),FALSE)</f>
        <v>0</v>
      </c>
      <c r="E1877" s="20" t="str">
        <f>IFERROR(__xludf.DUMMYFUNCTION("""COMPUTED_VALUE"""),"Easy")</f>
        <v>Easy</v>
      </c>
      <c r="F1877" s="20">
        <f>IFERROR(__xludf.DUMMYFUNCTION("""COMPUTED_VALUE"""),947.0)</f>
        <v>947</v>
      </c>
      <c r="G1877" s="20">
        <f>IFERROR(__xludf.DUMMYFUNCTION("""COMPUTED_VALUE"""),27.0)</f>
        <v>27</v>
      </c>
      <c r="H1877" s="20" t="str">
        <f>IFERROR(__xludf.DUMMYFUNCTION("""COMPUTED_VALUE"""),"Algorithms")</f>
        <v>Algorithms</v>
      </c>
      <c r="I1877" s="20">
        <f>IFERROR(__xludf.DUMMYFUNCTION("""COMPUTED_VALUE"""),0.704)</f>
        <v>0.704</v>
      </c>
      <c r="J1877" s="20">
        <f>IFERROR(__xludf.DUMMYFUNCTION("""COMPUTED_VALUE"""),1876.0)</f>
        <v>1876</v>
      </c>
      <c r="K1877" s="20" t="b">
        <f>IFERROR(__xludf.DUMMYFUNCTION("""COMPUTED_VALUE"""),FALSE)</f>
        <v>0</v>
      </c>
      <c r="L1877" s="20" t="str">
        <f>IFERROR(__xludf.DUMMYFUNCTION("""COMPUTED_VALUE"""),"Hash Table;String;Sliding Window;Counting;")</f>
        <v>Hash Table;String;Sliding Window;Counting;</v>
      </c>
      <c r="M1877" s="20" t="b">
        <f>IFERROR(__xludf.DUMMYFUNCTION("""COMPUTED_VALUE"""),FALSE)</f>
        <v>0</v>
      </c>
      <c r="N1877" s="20" t="b">
        <f>IFERROR(__xludf.DUMMYFUNCTION("""COMPUTED_VALUE"""),FALSE)</f>
        <v>0</v>
      </c>
      <c r="O1877" s="20">
        <f>IFERROR(__xludf.DUMMYFUNCTION("""COMPUTED_VALUE"""),70.444828330814)</f>
        <v>70.44482833</v>
      </c>
      <c r="P1877" s="20">
        <f>IFERROR(__xludf.DUMMYFUNCTION("""COMPUTED_VALUE"""),65244.0)</f>
        <v>65244</v>
      </c>
      <c r="Q1877" s="20">
        <f>IFERROR(__xludf.DUMMYFUNCTION("""COMPUTED_VALUE"""),92617.0)</f>
        <v>92617</v>
      </c>
    </row>
    <row r="1878">
      <c r="A1878" s="20">
        <f>IFERROR(__xludf.DUMMYFUNCTION("""COMPUTED_VALUE"""),1988.0)</f>
        <v>1988</v>
      </c>
      <c r="B1878" s="20" t="str">
        <f>IFERROR(__xludf.DUMMYFUNCTION("""COMPUTED_VALUE"""),"Minimize Maximum Pair Sum in Array")</f>
        <v>Minimize Maximum Pair Sum in Array</v>
      </c>
      <c r="C1878" s="20" t="str">
        <f>IFERROR(__xludf.DUMMYFUNCTION("""COMPUTED_VALUE"""),"minimize-maximum-pair-sum-in-array")</f>
        <v>minimize-maximum-pair-sum-in-array</v>
      </c>
      <c r="D1878" s="20" t="b">
        <f>IFERROR(__xludf.DUMMYFUNCTION("""COMPUTED_VALUE"""),FALSE)</f>
        <v>0</v>
      </c>
      <c r="E1878" s="20" t="str">
        <f>IFERROR(__xludf.DUMMYFUNCTION("""COMPUTED_VALUE"""),"Medium")</f>
        <v>Medium</v>
      </c>
      <c r="F1878" s="20">
        <f>IFERROR(__xludf.DUMMYFUNCTION("""COMPUTED_VALUE"""),938.0)</f>
        <v>938</v>
      </c>
      <c r="G1878" s="20">
        <f>IFERROR(__xludf.DUMMYFUNCTION("""COMPUTED_VALUE"""),232.0)</f>
        <v>232</v>
      </c>
      <c r="H1878" s="20" t="str">
        <f>IFERROR(__xludf.DUMMYFUNCTION("""COMPUTED_VALUE"""),"Algorithms")</f>
        <v>Algorithms</v>
      </c>
      <c r="I1878" s="20">
        <f>IFERROR(__xludf.DUMMYFUNCTION("""COMPUTED_VALUE"""),0.802)</f>
        <v>0.802</v>
      </c>
      <c r="J1878" s="20">
        <f>IFERROR(__xludf.DUMMYFUNCTION("""COMPUTED_VALUE"""),1877.0)</f>
        <v>1877</v>
      </c>
      <c r="K1878" s="20" t="b">
        <f>IFERROR(__xludf.DUMMYFUNCTION("""COMPUTED_VALUE"""),FALSE)</f>
        <v>0</v>
      </c>
      <c r="L1878" s="20" t="str">
        <f>IFERROR(__xludf.DUMMYFUNCTION("""COMPUTED_VALUE"""),"Array;Two Pointers;Greedy;Sorting;")</f>
        <v>Array;Two Pointers;Greedy;Sorting;</v>
      </c>
      <c r="M1878" s="20" t="b">
        <f>IFERROR(__xludf.DUMMYFUNCTION("""COMPUTED_VALUE"""),FALSE)</f>
        <v>0</v>
      </c>
      <c r="N1878" s="20" t="b">
        <f>IFERROR(__xludf.DUMMYFUNCTION("""COMPUTED_VALUE"""),FALSE)</f>
        <v>0</v>
      </c>
      <c r="O1878" s="20">
        <f>IFERROR(__xludf.DUMMYFUNCTION("""COMPUTED_VALUE"""),80.1820952006487)</f>
        <v>80.1820952</v>
      </c>
      <c r="P1878" s="20">
        <f>IFERROR(__xludf.DUMMYFUNCTION("""COMPUTED_VALUE"""),65257.0)</f>
        <v>65257</v>
      </c>
      <c r="Q1878" s="20">
        <f>IFERROR(__xludf.DUMMYFUNCTION("""COMPUTED_VALUE"""),81386.0)</f>
        <v>81386</v>
      </c>
    </row>
    <row r="1879">
      <c r="A1879" s="20">
        <f>IFERROR(__xludf.DUMMYFUNCTION("""COMPUTED_VALUE"""),1990.0)</f>
        <v>1990</v>
      </c>
      <c r="B1879" s="20" t="str">
        <f>IFERROR(__xludf.DUMMYFUNCTION("""COMPUTED_VALUE"""),"Get Biggest Three Rhombus Sums in a Grid")</f>
        <v>Get Biggest Three Rhombus Sums in a Grid</v>
      </c>
      <c r="C1879" s="20" t="str">
        <f>IFERROR(__xludf.DUMMYFUNCTION("""COMPUTED_VALUE"""),"get-biggest-three-rhombus-sums-in-a-grid")</f>
        <v>get-biggest-three-rhombus-sums-in-a-grid</v>
      </c>
      <c r="D1879" s="20" t="b">
        <f>IFERROR(__xludf.DUMMYFUNCTION("""COMPUTED_VALUE"""),FALSE)</f>
        <v>0</v>
      </c>
      <c r="E1879" s="20" t="str">
        <f>IFERROR(__xludf.DUMMYFUNCTION("""COMPUTED_VALUE"""),"Medium")</f>
        <v>Medium</v>
      </c>
      <c r="F1879" s="20">
        <f>IFERROR(__xludf.DUMMYFUNCTION("""COMPUTED_VALUE"""),148.0)</f>
        <v>148</v>
      </c>
      <c r="G1879" s="20">
        <f>IFERROR(__xludf.DUMMYFUNCTION("""COMPUTED_VALUE"""),438.0)</f>
        <v>438</v>
      </c>
      <c r="H1879" s="20" t="str">
        <f>IFERROR(__xludf.DUMMYFUNCTION("""COMPUTED_VALUE"""),"Algorithms")</f>
        <v>Algorithms</v>
      </c>
      <c r="I1879" s="20">
        <f>IFERROR(__xludf.DUMMYFUNCTION("""COMPUTED_VALUE"""),0.464)</f>
        <v>0.464</v>
      </c>
      <c r="J1879" s="20">
        <f>IFERROR(__xludf.DUMMYFUNCTION("""COMPUTED_VALUE"""),1878.0)</f>
        <v>1878</v>
      </c>
      <c r="K1879" s="20" t="b">
        <f>IFERROR(__xludf.DUMMYFUNCTION("""COMPUTED_VALUE"""),FALSE)</f>
        <v>0</v>
      </c>
      <c r="L1879" s="20" t="str">
        <f>IFERROR(__xludf.DUMMYFUNCTION("""COMPUTED_VALUE"""),"Array;Math;Sorting;Heap (Priority Queue);Matrix;Prefix Sum;")</f>
        <v>Array;Math;Sorting;Heap (Priority Queue);Matrix;Prefix Sum;</v>
      </c>
      <c r="M1879" s="20" t="b">
        <f>IFERROR(__xludf.DUMMYFUNCTION("""COMPUTED_VALUE"""),FALSE)</f>
        <v>0</v>
      </c>
      <c r="N1879" s="20" t="b">
        <f>IFERROR(__xludf.DUMMYFUNCTION("""COMPUTED_VALUE"""),FALSE)</f>
        <v>0</v>
      </c>
      <c r="O1879" s="20">
        <f>IFERROR(__xludf.DUMMYFUNCTION("""COMPUTED_VALUE"""),46.3821154381638)</f>
        <v>46.38211544</v>
      </c>
      <c r="P1879" s="20">
        <f>IFERROR(__xludf.DUMMYFUNCTION("""COMPUTED_VALUE"""),11660.0)</f>
        <v>11660</v>
      </c>
      <c r="Q1879" s="20">
        <f>IFERROR(__xludf.DUMMYFUNCTION("""COMPUTED_VALUE"""),25139.0)</f>
        <v>25139</v>
      </c>
    </row>
    <row r="1880">
      <c r="A1880" s="20">
        <f>IFERROR(__xludf.DUMMYFUNCTION("""COMPUTED_VALUE"""),1989.0)</f>
        <v>1989</v>
      </c>
      <c r="B1880" s="20" t="str">
        <f>IFERROR(__xludf.DUMMYFUNCTION("""COMPUTED_VALUE"""),"Minimum XOR Sum of Two Arrays")</f>
        <v>Minimum XOR Sum of Two Arrays</v>
      </c>
      <c r="C1880" s="20" t="str">
        <f>IFERROR(__xludf.DUMMYFUNCTION("""COMPUTED_VALUE"""),"minimum-xor-sum-of-two-arrays")</f>
        <v>minimum-xor-sum-of-two-arrays</v>
      </c>
      <c r="D1880" s="20" t="b">
        <f>IFERROR(__xludf.DUMMYFUNCTION("""COMPUTED_VALUE"""),FALSE)</f>
        <v>0</v>
      </c>
      <c r="E1880" s="20" t="str">
        <f>IFERROR(__xludf.DUMMYFUNCTION("""COMPUTED_VALUE"""),"Hard")</f>
        <v>Hard</v>
      </c>
      <c r="F1880" s="20">
        <f>IFERROR(__xludf.DUMMYFUNCTION("""COMPUTED_VALUE"""),520.0)</f>
        <v>520</v>
      </c>
      <c r="G1880" s="20">
        <f>IFERROR(__xludf.DUMMYFUNCTION("""COMPUTED_VALUE"""),10.0)</f>
        <v>10</v>
      </c>
      <c r="H1880" s="20" t="str">
        <f>IFERROR(__xludf.DUMMYFUNCTION("""COMPUTED_VALUE"""),"Algorithms")</f>
        <v>Algorithms</v>
      </c>
      <c r="I1880" s="20">
        <f>IFERROR(__xludf.DUMMYFUNCTION("""COMPUTED_VALUE"""),0.449)</f>
        <v>0.449</v>
      </c>
      <c r="J1880" s="20">
        <f>IFERROR(__xludf.DUMMYFUNCTION("""COMPUTED_VALUE"""),1879.0)</f>
        <v>1879</v>
      </c>
      <c r="K1880" s="20" t="b">
        <f>IFERROR(__xludf.DUMMYFUNCTION("""COMPUTED_VALUE"""),FALSE)</f>
        <v>0</v>
      </c>
      <c r="L1880" s="20" t="str">
        <f>IFERROR(__xludf.DUMMYFUNCTION("""COMPUTED_VALUE"""),"Array;Dynamic Programming;Bit Manipulation;Bitmask;")</f>
        <v>Array;Dynamic Programming;Bit Manipulation;Bitmask;</v>
      </c>
      <c r="M1880" s="20" t="b">
        <f>IFERROR(__xludf.DUMMYFUNCTION("""COMPUTED_VALUE"""),FALSE)</f>
        <v>0</v>
      </c>
      <c r="N1880" s="20" t="b">
        <f>IFERROR(__xludf.DUMMYFUNCTION("""COMPUTED_VALUE"""),FALSE)</f>
        <v>0</v>
      </c>
      <c r="O1880" s="20">
        <f>IFERROR(__xludf.DUMMYFUNCTION("""COMPUTED_VALUE"""),44.8781813241554)</f>
        <v>44.87818132</v>
      </c>
      <c r="P1880" s="20">
        <f>IFERROR(__xludf.DUMMYFUNCTION("""COMPUTED_VALUE"""),9908.0)</f>
        <v>9908</v>
      </c>
      <c r="Q1880" s="20">
        <f>IFERROR(__xludf.DUMMYFUNCTION("""COMPUTED_VALUE"""),22080.0)</f>
        <v>22080</v>
      </c>
    </row>
    <row r="1881">
      <c r="A1881" s="20">
        <f>IFERROR(__xludf.DUMMYFUNCTION("""COMPUTED_VALUE"""),2010.0)</f>
        <v>2010</v>
      </c>
      <c r="B1881" s="20" t="str">
        <f>IFERROR(__xludf.DUMMYFUNCTION("""COMPUTED_VALUE"""),"Check if Word Equals Summation of Two Words")</f>
        <v>Check if Word Equals Summation of Two Words</v>
      </c>
      <c r="C1881" s="20" t="str">
        <f>IFERROR(__xludf.DUMMYFUNCTION("""COMPUTED_VALUE"""),"check-if-word-equals-summation-of-two-words")</f>
        <v>check-if-word-equals-summation-of-two-words</v>
      </c>
      <c r="D1881" s="20" t="b">
        <f>IFERROR(__xludf.DUMMYFUNCTION("""COMPUTED_VALUE"""),FALSE)</f>
        <v>0</v>
      </c>
      <c r="E1881" s="20" t="str">
        <f>IFERROR(__xludf.DUMMYFUNCTION("""COMPUTED_VALUE"""),"Easy")</f>
        <v>Easy</v>
      </c>
      <c r="F1881" s="20">
        <f>IFERROR(__xludf.DUMMYFUNCTION("""COMPUTED_VALUE"""),424.0)</f>
        <v>424</v>
      </c>
      <c r="G1881" s="20">
        <f>IFERROR(__xludf.DUMMYFUNCTION("""COMPUTED_VALUE"""),24.0)</f>
        <v>24</v>
      </c>
      <c r="H1881" s="20" t="str">
        <f>IFERROR(__xludf.DUMMYFUNCTION("""COMPUTED_VALUE"""),"Algorithms")</f>
        <v>Algorithms</v>
      </c>
      <c r="I1881" s="20">
        <f>IFERROR(__xludf.DUMMYFUNCTION("""COMPUTED_VALUE"""),0.739)</f>
        <v>0.739</v>
      </c>
      <c r="J1881" s="20">
        <f>IFERROR(__xludf.DUMMYFUNCTION("""COMPUTED_VALUE"""),1880.0)</f>
        <v>1880</v>
      </c>
      <c r="K1881" s="20" t="b">
        <f>IFERROR(__xludf.DUMMYFUNCTION("""COMPUTED_VALUE"""),FALSE)</f>
        <v>0</v>
      </c>
      <c r="L1881" s="20" t="str">
        <f>IFERROR(__xludf.DUMMYFUNCTION("""COMPUTED_VALUE"""),"String;")</f>
        <v>String;</v>
      </c>
      <c r="M1881" s="20" t="b">
        <f>IFERROR(__xludf.DUMMYFUNCTION("""COMPUTED_VALUE"""),FALSE)</f>
        <v>0</v>
      </c>
      <c r="N1881" s="20" t="b">
        <f>IFERROR(__xludf.DUMMYFUNCTION("""COMPUTED_VALUE"""),FALSE)</f>
        <v>0</v>
      </c>
      <c r="O1881" s="20">
        <f>IFERROR(__xludf.DUMMYFUNCTION("""COMPUTED_VALUE"""),73.8635139087732)</f>
        <v>73.86351391</v>
      </c>
      <c r="P1881" s="20">
        <f>IFERROR(__xludf.DUMMYFUNCTION("""COMPUTED_VALUE"""),47980.0)</f>
        <v>47980</v>
      </c>
      <c r="Q1881" s="20">
        <f>IFERROR(__xludf.DUMMYFUNCTION("""COMPUTED_VALUE"""),64958.0)</f>
        <v>64958</v>
      </c>
    </row>
    <row r="1882">
      <c r="A1882" s="20">
        <f>IFERROR(__xludf.DUMMYFUNCTION("""COMPUTED_VALUE"""),2011.0)</f>
        <v>2011</v>
      </c>
      <c r="B1882" s="20" t="str">
        <f>IFERROR(__xludf.DUMMYFUNCTION("""COMPUTED_VALUE"""),"Maximum Value after Insertion")</f>
        <v>Maximum Value after Insertion</v>
      </c>
      <c r="C1882" s="20" t="str">
        <f>IFERROR(__xludf.DUMMYFUNCTION("""COMPUTED_VALUE"""),"maximum-value-after-insertion")</f>
        <v>maximum-value-after-insertion</v>
      </c>
      <c r="D1882" s="20" t="b">
        <f>IFERROR(__xludf.DUMMYFUNCTION("""COMPUTED_VALUE"""),FALSE)</f>
        <v>0</v>
      </c>
      <c r="E1882" s="20" t="str">
        <f>IFERROR(__xludf.DUMMYFUNCTION("""COMPUTED_VALUE"""),"Medium")</f>
        <v>Medium</v>
      </c>
      <c r="F1882" s="20">
        <f>IFERROR(__xludf.DUMMYFUNCTION("""COMPUTED_VALUE"""),295.0)</f>
        <v>295</v>
      </c>
      <c r="G1882" s="20">
        <f>IFERROR(__xludf.DUMMYFUNCTION("""COMPUTED_VALUE"""),50.0)</f>
        <v>50</v>
      </c>
      <c r="H1882" s="20" t="str">
        <f>IFERROR(__xludf.DUMMYFUNCTION("""COMPUTED_VALUE"""),"Algorithms")</f>
        <v>Algorithms</v>
      </c>
      <c r="I1882" s="20">
        <f>IFERROR(__xludf.DUMMYFUNCTION("""COMPUTED_VALUE"""),0.367)</f>
        <v>0.367</v>
      </c>
      <c r="J1882" s="20">
        <f>IFERROR(__xludf.DUMMYFUNCTION("""COMPUTED_VALUE"""),1881.0)</f>
        <v>1881</v>
      </c>
      <c r="K1882" s="20" t="b">
        <f>IFERROR(__xludf.DUMMYFUNCTION("""COMPUTED_VALUE"""),FALSE)</f>
        <v>0</v>
      </c>
      <c r="L1882" s="20" t="str">
        <f>IFERROR(__xludf.DUMMYFUNCTION("""COMPUTED_VALUE"""),"String;Greedy;")</f>
        <v>String;Greedy;</v>
      </c>
      <c r="M1882" s="20" t="b">
        <f>IFERROR(__xludf.DUMMYFUNCTION("""COMPUTED_VALUE"""),FALSE)</f>
        <v>0</v>
      </c>
      <c r="N1882" s="20" t="b">
        <f>IFERROR(__xludf.DUMMYFUNCTION("""COMPUTED_VALUE"""),FALSE)</f>
        <v>0</v>
      </c>
      <c r="O1882" s="20">
        <f>IFERROR(__xludf.DUMMYFUNCTION("""COMPUTED_VALUE"""),36.72402416121)</f>
        <v>36.72402416</v>
      </c>
      <c r="P1882" s="20">
        <f>IFERROR(__xludf.DUMMYFUNCTION("""COMPUTED_VALUE"""),21705.0)</f>
        <v>21705</v>
      </c>
      <c r="Q1882" s="20">
        <f>IFERROR(__xludf.DUMMYFUNCTION("""COMPUTED_VALUE"""),59103.0)</f>
        <v>59103</v>
      </c>
    </row>
    <row r="1883">
      <c r="A1883" s="20">
        <f>IFERROR(__xludf.DUMMYFUNCTION("""COMPUTED_VALUE"""),2012.0)</f>
        <v>2012</v>
      </c>
      <c r="B1883" s="20" t="str">
        <f>IFERROR(__xludf.DUMMYFUNCTION("""COMPUTED_VALUE"""),"Process Tasks Using Servers")</f>
        <v>Process Tasks Using Servers</v>
      </c>
      <c r="C1883" s="20" t="str">
        <f>IFERROR(__xludf.DUMMYFUNCTION("""COMPUTED_VALUE"""),"process-tasks-using-servers")</f>
        <v>process-tasks-using-servers</v>
      </c>
      <c r="D1883" s="20" t="b">
        <f>IFERROR(__xludf.DUMMYFUNCTION("""COMPUTED_VALUE"""),FALSE)</f>
        <v>0</v>
      </c>
      <c r="E1883" s="20" t="str">
        <f>IFERROR(__xludf.DUMMYFUNCTION("""COMPUTED_VALUE"""),"Medium")</f>
        <v>Medium</v>
      </c>
      <c r="F1883" s="20">
        <f>IFERROR(__xludf.DUMMYFUNCTION("""COMPUTED_VALUE"""),726.0)</f>
        <v>726</v>
      </c>
      <c r="G1883" s="20">
        <f>IFERROR(__xludf.DUMMYFUNCTION("""COMPUTED_VALUE"""),206.0)</f>
        <v>206</v>
      </c>
      <c r="H1883" s="20" t="str">
        <f>IFERROR(__xludf.DUMMYFUNCTION("""COMPUTED_VALUE"""),"Algorithms")</f>
        <v>Algorithms</v>
      </c>
      <c r="I1883" s="20">
        <f>IFERROR(__xludf.DUMMYFUNCTION("""COMPUTED_VALUE"""),0.396)</f>
        <v>0.396</v>
      </c>
      <c r="J1883" s="20">
        <f>IFERROR(__xludf.DUMMYFUNCTION("""COMPUTED_VALUE"""),1882.0)</f>
        <v>1882</v>
      </c>
      <c r="K1883" s="20" t="b">
        <f>IFERROR(__xludf.DUMMYFUNCTION("""COMPUTED_VALUE"""),FALSE)</f>
        <v>0</v>
      </c>
      <c r="L1883" s="20" t="str">
        <f>IFERROR(__xludf.DUMMYFUNCTION("""COMPUTED_VALUE"""),"Array;Heap (Priority Queue);")</f>
        <v>Array;Heap (Priority Queue);</v>
      </c>
      <c r="M1883" s="20" t="b">
        <f>IFERROR(__xludf.DUMMYFUNCTION("""COMPUTED_VALUE"""),FALSE)</f>
        <v>0</v>
      </c>
      <c r="N1883" s="20" t="b">
        <f>IFERROR(__xludf.DUMMYFUNCTION("""COMPUTED_VALUE"""),FALSE)</f>
        <v>0</v>
      </c>
      <c r="O1883" s="20">
        <f>IFERROR(__xludf.DUMMYFUNCTION("""COMPUTED_VALUE"""),39.6167901565695)</f>
        <v>39.61679016</v>
      </c>
      <c r="P1883" s="20">
        <f>IFERROR(__xludf.DUMMYFUNCTION("""COMPUTED_VALUE"""),23633.0)</f>
        <v>23633</v>
      </c>
      <c r="Q1883" s="20">
        <f>IFERROR(__xludf.DUMMYFUNCTION("""COMPUTED_VALUE"""),59654.0)</f>
        <v>59654</v>
      </c>
    </row>
    <row r="1884">
      <c r="A1884" s="20">
        <f>IFERROR(__xludf.DUMMYFUNCTION("""COMPUTED_VALUE"""),2013.0)</f>
        <v>2013</v>
      </c>
      <c r="B1884" s="20" t="str">
        <f>IFERROR(__xludf.DUMMYFUNCTION("""COMPUTED_VALUE"""),"Minimum Skips to Arrive at Meeting On Time")</f>
        <v>Minimum Skips to Arrive at Meeting On Time</v>
      </c>
      <c r="C1884" s="20" t="str">
        <f>IFERROR(__xludf.DUMMYFUNCTION("""COMPUTED_VALUE"""),"minimum-skips-to-arrive-at-meeting-on-time")</f>
        <v>minimum-skips-to-arrive-at-meeting-on-time</v>
      </c>
      <c r="D1884" s="20" t="b">
        <f>IFERROR(__xludf.DUMMYFUNCTION("""COMPUTED_VALUE"""),FALSE)</f>
        <v>0</v>
      </c>
      <c r="E1884" s="20" t="str">
        <f>IFERROR(__xludf.DUMMYFUNCTION("""COMPUTED_VALUE"""),"Hard")</f>
        <v>Hard</v>
      </c>
      <c r="F1884" s="20">
        <f>IFERROR(__xludf.DUMMYFUNCTION("""COMPUTED_VALUE"""),263.0)</f>
        <v>263</v>
      </c>
      <c r="G1884" s="20">
        <f>IFERROR(__xludf.DUMMYFUNCTION("""COMPUTED_VALUE"""),44.0)</f>
        <v>44</v>
      </c>
      <c r="H1884" s="20" t="str">
        <f>IFERROR(__xludf.DUMMYFUNCTION("""COMPUTED_VALUE"""),"Algorithms")</f>
        <v>Algorithms</v>
      </c>
      <c r="I1884" s="20">
        <f>IFERROR(__xludf.DUMMYFUNCTION("""COMPUTED_VALUE"""),0.384)</f>
        <v>0.384</v>
      </c>
      <c r="J1884" s="20">
        <f>IFERROR(__xludf.DUMMYFUNCTION("""COMPUTED_VALUE"""),1883.0)</f>
        <v>1883</v>
      </c>
      <c r="K1884" s="20" t="b">
        <f>IFERROR(__xludf.DUMMYFUNCTION("""COMPUTED_VALUE"""),FALSE)</f>
        <v>0</v>
      </c>
      <c r="L1884" s="20" t="str">
        <f>IFERROR(__xludf.DUMMYFUNCTION("""COMPUTED_VALUE"""),"Array;Dynamic Programming;")</f>
        <v>Array;Dynamic Programming;</v>
      </c>
      <c r="M1884" s="20" t="b">
        <f>IFERROR(__xludf.DUMMYFUNCTION("""COMPUTED_VALUE"""),FALSE)</f>
        <v>0</v>
      </c>
      <c r="N1884" s="20" t="b">
        <f>IFERROR(__xludf.DUMMYFUNCTION("""COMPUTED_VALUE"""),FALSE)</f>
        <v>0</v>
      </c>
      <c r="O1884" s="20">
        <f>IFERROR(__xludf.DUMMYFUNCTION("""COMPUTED_VALUE"""),38.3889329202392)</f>
        <v>38.38893292</v>
      </c>
      <c r="P1884" s="20">
        <f>IFERROR(__xludf.DUMMYFUNCTION("""COMPUTED_VALUE"""),5328.0)</f>
        <v>5328</v>
      </c>
      <c r="Q1884" s="20">
        <f>IFERROR(__xludf.DUMMYFUNCTION("""COMPUTED_VALUE"""),13879.0)</f>
        <v>13879</v>
      </c>
    </row>
    <row r="1885">
      <c r="A1885" s="20">
        <f>IFERROR(__xludf.DUMMYFUNCTION("""COMPUTED_VALUE"""),2031.0)</f>
        <v>2031</v>
      </c>
      <c r="B1885" s="20" t="str">
        <f>IFERROR(__xludf.DUMMYFUNCTION("""COMPUTED_VALUE"""),"Egg Drop With 2 Eggs and N Floors")</f>
        <v>Egg Drop With 2 Eggs and N Floors</v>
      </c>
      <c r="C1885" s="20" t="str">
        <f>IFERROR(__xludf.DUMMYFUNCTION("""COMPUTED_VALUE"""),"egg-drop-with-2-eggs-and-n-floors")</f>
        <v>egg-drop-with-2-eggs-and-n-floors</v>
      </c>
      <c r="D1885" s="20" t="b">
        <f>IFERROR(__xludf.DUMMYFUNCTION("""COMPUTED_VALUE"""),FALSE)</f>
        <v>0</v>
      </c>
      <c r="E1885" s="20" t="str">
        <f>IFERROR(__xludf.DUMMYFUNCTION("""COMPUTED_VALUE"""),"Medium")</f>
        <v>Medium</v>
      </c>
      <c r="F1885" s="20">
        <f>IFERROR(__xludf.DUMMYFUNCTION("""COMPUTED_VALUE"""),1052.0)</f>
        <v>1052</v>
      </c>
      <c r="G1885" s="20">
        <f>IFERROR(__xludf.DUMMYFUNCTION("""COMPUTED_VALUE"""),90.0)</f>
        <v>90</v>
      </c>
      <c r="H1885" s="20" t="str">
        <f>IFERROR(__xludf.DUMMYFUNCTION("""COMPUTED_VALUE"""),"Algorithms")</f>
        <v>Algorithms</v>
      </c>
      <c r="I1885" s="20">
        <f>IFERROR(__xludf.DUMMYFUNCTION("""COMPUTED_VALUE"""),0.703)</f>
        <v>0.703</v>
      </c>
      <c r="J1885" s="20">
        <f>IFERROR(__xludf.DUMMYFUNCTION("""COMPUTED_VALUE"""),1884.0)</f>
        <v>1884</v>
      </c>
      <c r="K1885" s="20" t="b">
        <f>IFERROR(__xludf.DUMMYFUNCTION("""COMPUTED_VALUE"""),FALSE)</f>
        <v>0</v>
      </c>
      <c r="L1885" s="20" t="str">
        <f>IFERROR(__xludf.DUMMYFUNCTION("""COMPUTED_VALUE"""),"Math;Dynamic Programming;")</f>
        <v>Math;Dynamic Programming;</v>
      </c>
      <c r="M1885" s="20" t="b">
        <f>IFERROR(__xludf.DUMMYFUNCTION("""COMPUTED_VALUE"""),FALSE)</f>
        <v>0</v>
      </c>
      <c r="N1885" s="20" t="b">
        <f>IFERROR(__xludf.DUMMYFUNCTION("""COMPUTED_VALUE"""),FALSE)</f>
        <v>0</v>
      </c>
      <c r="O1885" s="20">
        <f>IFERROR(__xludf.DUMMYFUNCTION("""COMPUTED_VALUE"""),70.3375633935332)</f>
        <v>70.33756339</v>
      </c>
      <c r="P1885" s="20">
        <f>IFERROR(__xludf.DUMMYFUNCTION("""COMPUTED_VALUE"""),30650.0)</f>
        <v>30650</v>
      </c>
      <c r="Q1885" s="20">
        <f>IFERROR(__xludf.DUMMYFUNCTION("""COMPUTED_VALUE"""),43576.0)</f>
        <v>43576</v>
      </c>
    </row>
    <row r="1886">
      <c r="A1886" s="20">
        <f>IFERROR(__xludf.DUMMYFUNCTION("""COMPUTED_VALUE"""),2036.0)</f>
        <v>2036</v>
      </c>
      <c r="B1886" s="20" t="str">
        <f>IFERROR(__xludf.DUMMYFUNCTION("""COMPUTED_VALUE"""),"Count Pairs in Two Arrays")</f>
        <v>Count Pairs in Two Arrays</v>
      </c>
      <c r="C1886" s="20" t="str">
        <f>IFERROR(__xludf.DUMMYFUNCTION("""COMPUTED_VALUE"""),"count-pairs-in-two-arrays")</f>
        <v>count-pairs-in-two-arrays</v>
      </c>
      <c r="D1886" s="20" t="b">
        <f>IFERROR(__xludf.DUMMYFUNCTION("""COMPUTED_VALUE"""),TRUE)</f>
        <v>1</v>
      </c>
      <c r="E1886" s="20" t="str">
        <f>IFERROR(__xludf.DUMMYFUNCTION("""COMPUTED_VALUE"""),"Medium")</f>
        <v>Medium</v>
      </c>
      <c r="F1886" s="20">
        <f>IFERROR(__xludf.DUMMYFUNCTION("""COMPUTED_VALUE"""),138.0)</f>
        <v>138</v>
      </c>
      <c r="G1886" s="20">
        <f>IFERROR(__xludf.DUMMYFUNCTION("""COMPUTED_VALUE"""),8.0)</f>
        <v>8</v>
      </c>
      <c r="H1886" s="20" t="str">
        <f>IFERROR(__xludf.DUMMYFUNCTION("""COMPUTED_VALUE"""),"Algorithms")</f>
        <v>Algorithms</v>
      </c>
      <c r="I1886" s="20">
        <f>IFERROR(__xludf.DUMMYFUNCTION("""COMPUTED_VALUE"""),0.594)</f>
        <v>0.594</v>
      </c>
      <c r="J1886" s="20">
        <f>IFERROR(__xludf.DUMMYFUNCTION("""COMPUTED_VALUE"""),1885.0)</f>
        <v>1885</v>
      </c>
      <c r="K1886" s="20" t="b">
        <f>IFERROR(__xludf.DUMMYFUNCTION("""COMPUTED_VALUE"""),TRUE)</f>
        <v>1</v>
      </c>
      <c r="L1886" s="20" t="str">
        <f>IFERROR(__xludf.DUMMYFUNCTION("""COMPUTED_VALUE"""),"Array;Binary Search;Sorting;")</f>
        <v>Array;Binary Search;Sorting;</v>
      </c>
      <c r="M1886" s="20" t="b">
        <f>IFERROR(__xludf.DUMMYFUNCTION("""COMPUTED_VALUE"""),FALSE)</f>
        <v>0</v>
      </c>
      <c r="N1886" s="20" t="b">
        <f>IFERROR(__xludf.DUMMYFUNCTION("""COMPUTED_VALUE"""),FALSE)</f>
        <v>0</v>
      </c>
      <c r="O1886" s="20">
        <f>IFERROR(__xludf.DUMMYFUNCTION("""COMPUTED_VALUE"""),59.3745390175542)</f>
        <v>59.37453902</v>
      </c>
      <c r="P1886" s="20">
        <f>IFERROR(__xludf.DUMMYFUNCTION("""COMPUTED_VALUE"""),4025.0)</f>
        <v>4025</v>
      </c>
      <c r="Q1886" s="20">
        <f>IFERROR(__xludf.DUMMYFUNCTION("""COMPUTED_VALUE"""),6779.0)</f>
        <v>6779</v>
      </c>
    </row>
    <row r="1887">
      <c r="A1887" s="20">
        <f>IFERROR(__xludf.DUMMYFUNCTION("""COMPUTED_VALUE"""),2015.0)</f>
        <v>2015</v>
      </c>
      <c r="B1887" s="20" t="str">
        <f>IFERROR(__xludf.DUMMYFUNCTION("""COMPUTED_VALUE"""),"Determine Whether Matrix Can Be Obtained By Rotation")</f>
        <v>Determine Whether Matrix Can Be Obtained By Rotation</v>
      </c>
      <c r="C1887" s="20" t="str">
        <f>IFERROR(__xludf.DUMMYFUNCTION("""COMPUTED_VALUE"""),"determine-whether-matrix-can-be-obtained-by-rotation")</f>
        <v>determine-whether-matrix-can-be-obtained-by-rotation</v>
      </c>
      <c r="D1887" s="20" t="b">
        <f>IFERROR(__xludf.DUMMYFUNCTION("""COMPUTED_VALUE"""),FALSE)</f>
        <v>0</v>
      </c>
      <c r="E1887" s="20" t="str">
        <f>IFERROR(__xludf.DUMMYFUNCTION("""COMPUTED_VALUE"""),"Easy")</f>
        <v>Easy</v>
      </c>
      <c r="F1887" s="20">
        <f>IFERROR(__xludf.DUMMYFUNCTION("""COMPUTED_VALUE"""),1033.0)</f>
        <v>1033</v>
      </c>
      <c r="G1887" s="20">
        <f>IFERROR(__xludf.DUMMYFUNCTION("""COMPUTED_VALUE"""),84.0)</f>
        <v>84</v>
      </c>
      <c r="H1887" s="20" t="str">
        <f>IFERROR(__xludf.DUMMYFUNCTION("""COMPUTED_VALUE"""),"Algorithms")</f>
        <v>Algorithms</v>
      </c>
      <c r="I1887" s="20">
        <f>IFERROR(__xludf.DUMMYFUNCTION("""COMPUTED_VALUE"""),0.554)</f>
        <v>0.554</v>
      </c>
      <c r="J1887" s="20">
        <f>IFERROR(__xludf.DUMMYFUNCTION("""COMPUTED_VALUE"""),1886.0)</f>
        <v>1886</v>
      </c>
      <c r="K1887" s="20" t="b">
        <f>IFERROR(__xludf.DUMMYFUNCTION("""COMPUTED_VALUE"""),FALSE)</f>
        <v>0</v>
      </c>
      <c r="L1887" s="20" t="str">
        <f>IFERROR(__xludf.DUMMYFUNCTION("""COMPUTED_VALUE"""),"Array;Matrix;")</f>
        <v>Array;Matrix;</v>
      </c>
      <c r="M1887" s="20" t="b">
        <f>IFERROR(__xludf.DUMMYFUNCTION("""COMPUTED_VALUE"""),FALSE)</f>
        <v>0</v>
      </c>
      <c r="N1887" s="20" t="b">
        <f>IFERROR(__xludf.DUMMYFUNCTION("""COMPUTED_VALUE"""),FALSE)</f>
        <v>0</v>
      </c>
      <c r="O1887" s="20">
        <f>IFERROR(__xludf.DUMMYFUNCTION("""COMPUTED_VALUE"""),55.3900108270959)</f>
        <v>55.39001083</v>
      </c>
      <c r="P1887" s="20">
        <f>IFERROR(__xludf.DUMMYFUNCTION("""COMPUTED_VALUE"""),47066.0)</f>
        <v>47066</v>
      </c>
      <c r="Q1887" s="20">
        <f>IFERROR(__xludf.DUMMYFUNCTION("""COMPUTED_VALUE"""),84971.0)</f>
        <v>84971</v>
      </c>
    </row>
    <row r="1888">
      <c r="A1888" s="20">
        <f>IFERROR(__xludf.DUMMYFUNCTION("""COMPUTED_VALUE"""),2016.0)</f>
        <v>2016</v>
      </c>
      <c r="B1888" s="20" t="str">
        <f>IFERROR(__xludf.DUMMYFUNCTION("""COMPUTED_VALUE"""),"Reduction Operations to Make the Array Elements Equal")</f>
        <v>Reduction Operations to Make the Array Elements Equal</v>
      </c>
      <c r="C1888" s="20" t="str">
        <f>IFERROR(__xludf.DUMMYFUNCTION("""COMPUTED_VALUE"""),"reduction-operations-to-make-the-array-elements-equal")</f>
        <v>reduction-operations-to-make-the-array-elements-equal</v>
      </c>
      <c r="D1888" s="20" t="b">
        <f>IFERROR(__xludf.DUMMYFUNCTION("""COMPUTED_VALUE"""),FALSE)</f>
        <v>0</v>
      </c>
      <c r="E1888" s="20" t="str">
        <f>IFERROR(__xludf.DUMMYFUNCTION("""COMPUTED_VALUE"""),"Medium")</f>
        <v>Medium</v>
      </c>
      <c r="F1888" s="20">
        <f>IFERROR(__xludf.DUMMYFUNCTION("""COMPUTED_VALUE"""),417.0)</f>
        <v>417</v>
      </c>
      <c r="G1888" s="20">
        <f>IFERROR(__xludf.DUMMYFUNCTION("""COMPUTED_VALUE"""),19.0)</f>
        <v>19</v>
      </c>
      <c r="H1888" s="20" t="str">
        <f>IFERROR(__xludf.DUMMYFUNCTION("""COMPUTED_VALUE"""),"Algorithms")</f>
        <v>Algorithms</v>
      </c>
      <c r="I1888" s="20">
        <f>IFERROR(__xludf.DUMMYFUNCTION("""COMPUTED_VALUE"""),0.624)</f>
        <v>0.624</v>
      </c>
      <c r="J1888" s="20">
        <f>IFERROR(__xludf.DUMMYFUNCTION("""COMPUTED_VALUE"""),1887.0)</f>
        <v>1887</v>
      </c>
      <c r="K1888" s="20" t="b">
        <f>IFERROR(__xludf.DUMMYFUNCTION("""COMPUTED_VALUE"""),FALSE)</f>
        <v>0</v>
      </c>
      <c r="L1888" s="20" t="str">
        <f>IFERROR(__xludf.DUMMYFUNCTION("""COMPUTED_VALUE"""),"Array;Sorting;")</f>
        <v>Array;Sorting;</v>
      </c>
      <c r="M1888" s="20" t="b">
        <f>IFERROR(__xludf.DUMMYFUNCTION("""COMPUTED_VALUE"""),FALSE)</f>
        <v>0</v>
      </c>
      <c r="N1888" s="20" t="b">
        <f>IFERROR(__xludf.DUMMYFUNCTION("""COMPUTED_VALUE"""),FALSE)</f>
        <v>0</v>
      </c>
      <c r="O1888" s="20">
        <f>IFERROR(__xludf.DUMMYFUNCTION("""COMPUTED_VALUE"""),62.4445911534471)</f>
        <v>62.44459115</v>
      </c>
      <c r="P1888" s="20">
        <f>IFERROR(__xludf.DUMMYFUNCTION("""COMPUTED_VALUE"""),19863.0)</f>
        <v>19863</v>
      </c>
      <c r="Q1888" s="20">
        <f>IFERROR(__xludf.DUMMYFUNCTION("""COMPUTED_VALUE"""),31809.0)</f>
        <v>31809</v>
      </c>
    </row>
    <row r="1889">
      <c r="A1889" s="20">
        <f>IFERROR(__xludf.DUMMYFUNCTION("""COMPUTED_VALUE"""),2017.0)</f>
        <v>2017</v>
      </c>
      <c r="B1889" s="20" t="str">
        <f>IFERROR(__xludf.DUMMYFUNCTION("""COMPUTED_VALUE"""),"Minimum Number of Flips to Make the Binary String Alternating")</f>
        <v>Minimum Number of Flips to Make the Binary String Alternating</v>
      </c>
      <c r="C1889" s="20" t="str">
        <f>IFERROR(__xludf.DUMMYFUNCTION("""COMPUTED_VALUE"""),"minimum-number-of-flips-to-make-the-binary-string-alternating")</f>
        <v>minimum-number-of-flips-to-make-the-binary-string-alternating</v>
      </c>
      <c r="D1889" s="20" t="b">
        <f>IFERROR(__xludf.DUMMYFUNCTION("""COMPUTED_VALUE"""),FALSE)</f>
        <v>0</v>
      </c>
      <c r="E1889" s="20" t="str">
        <f>IFERROR(__xludf.DUMMYFUNCTION("""COMPUTED_VALUE"""),"Medium")</f>
        <v>Medium</v>
      </c>
      <c r="F1889" s="20">
        <f>IFERROR(__xludf.DUMMYFUNCTION("""COMPUTED_VALUE"""),860.0)</f>
        <v>860</v>
      </c>
      <c r="G1889" s="20">
        <f>IFERROR(__xludf.DUMMYFUNCTION("""COMPUTED_VALUE"""),33.0)</f>
        <v>33</v>
      </c>
      <c r="H1889" s="20" t="str">
        <f>IFERROR(__xludf.DUMMYFUNCTION("""COMPUTED_VALUE"""),"Algorithms")</f>
        <v>Algorithms</v>
      </c>
      <c r="I1889" s="20">
        <f>IFERROR(__xludf.DUMMYFUNCTION("""COMPUTED_VALUE"""),0.384)</f>
        <v>0.384</v>
      </c>
      <c r="J1889" s="20">
        <f>IFERROR(__xludf.DUMMYFUNCTION("""COMPUTED_VALUE"""),1888.0)</f>
        <v>1888</v>
      </c>
      <c r="K1889" s="20" t="b">
        <f>IFERROR(__xludf.DUMMYFUNCTION("""COMPUTED_VALUE"""),FALSE)</f>
        <v>0</v>
      </c>
      <c r="L1889" s="20" t="str">
        <f>IFERROR(__xludf.DUMMYFUNCTION("""COMPUTED_VALUE"""),"String;Dynamic Programming;Greedy;Sliding Window;")</f>
        <v>String;Dynamic Programming;Greedy;Sliding Window;</v>
      </c>
      <c r="M1889" s="20" t="b">
        <f>IFERROR(__xludf.DUMMYFUNCTION("""COMPUTED_VALUE"""),FALSE)</f>
        <v>0</v>
      </c>
      <c r="N1889" s="20" t="b">
        <f>IFERROR(__xludf.DUMMYFUNCTION("""COMPUTED_VALUE"""),FALSE)</f>
        <v>0</v>
      </c>
      <c r="O1889" s="20">
        <f>IFERROR(__xludf.DUMMYFUNCTION("""COMPUTED_VALUE"""),38.351526057822)</f>
        <v>38.35152606</v>
      </c>
      <c r="P1889" s="20">
        <f>IFERROR(__xludf.DUMMYFUNCTION("""COMPUTED_VALUE"""),16197.0)</f>
        <v>16197</v>
      </c>
      <c r="Q1889" s="20">
        <f>IFERROR(__xludf.DUMMYFUNCTION("""COMPUTED_VALUE"""),42233.0)</f>
        <v>42233</v>
      </c>
    </row>
    <row r="1890">
      <c r="A1890" s="20">
        <f>IFERROR(__xludf.DUMMYFUNCTION("""COMPUTED_VALUE"""),2018.0)</f>
        <v>2018</v>
      </c>
      <c r="B1890" s="20" t="str">
        <f>IFERROR(__xludf.DUMMYFUNCTION("""COMPUTED_VALUE"""),"Minimum Space Wasted From Packaging")</f>
        <v>Minimum Space Wasted From Packaging</v>
      </c>
      <c r="C1890" s="20" t="str">
        <f>IFERROR(__xludf.DUMMYFUNCTION("""COMPUTED_VALUE"""),"minimum-space-wasted-from-packaging")</f>
        <v>minimum-space-wasted-from-packaging</v>
      </c>
      <c r="D1890" s="20" t="b">
        <f>IFERROR(__xludf.DUMMYFUNCTION("""COMPUTED_VALUE"""),FALSE)</f>
        <v>0</v>
      </c>
      <c r="E1890" s="20" t="str">
        <f>IFERROR(__xludf.DUMMYFUNCTION("""COMPUTED_VALUE"""),"Hard")</f>
        <v>Hard</v>
      </c>
      <c r="F1890" s="20">
        <f>IFERROR(__xludf.DUMMYFUNCTION("""COMPUTED_VALUE"""),310.0)</f>
        <v>310</v>
      </c>
      <c r="G1890" s="20">
        <f>IFERROR(__xludf.DUMMYFUNCTION("""COMPUTED_VALUE"""),31.0)</f>
        <v>31</v>
      </c>
      <c r="H1890" s="20" t="str">
        <f>IFERROR(__xludf.DUMMYFUNCTION("""COMPUTED_VALUE"""),"Algorithms")</f>
        <v>Algorithms</v>
      </c>
      <c r="I1890" s="20">
        <f>IFERROR(__xludf.DUMMYFUNCTION("""COMPUTED_VALUE"""),0.309)</f>
        <v>0.309</v>
      </c>
      <c r="J1890" s="20">
        <f>IFERROR(__xludf.DUMMYFUNCTION("""COMPUTED_VALUE"""),1889.0)</f>
        <v>1889</v>
      </c>
      <c r="K1890" s="20" t="b">
        <f>IFERROR(__xludf.DUMMYFUNCTION("""COMPUTED_VALUE"""),FALSE)</f>
        <v>0</v>
      </c>
      <c r="L1890" s="20" t="str">
        <f>IFERROR(__xludf.DUMMYFUNCTION("""COMPUTED_VALUE"""),"Array;Binary Search;Sorting;Prefix Sum;")</f>
        <v>Array;Binary Search;Sorting;Prefix Sum;</v>
      </c>
      <c r="M1890" s="20" t="b">
        <f>IFERROR(__xludf.DUMMYFUNCTION("""COMPUTED_VALUE"""),FALSE)</f>
        <v>0</v>
      </c>
      <c r="N1890" s="20" t="b">
        <f>IFERROR(__xludf.DUMMYFUNCTION("""COMPUTED_VALUE"""),FALSE)</f>
        <v>0</v>
      </c>
      <c r="O1890" s="20">
        <f>IFERROR(__xludf.DUMMYFUNCTION("""COMPUTED_VALUE"""),30.9469584447304)</f>
        <v>30.94695844</v>
      </c>
      <c r="P1890" s="20">
        <f>IFERROR(__xludf.DUMMYFUNCTION("""COMPUTED_VALUE"""),9376.0)</f>
        <v>9376</v>
      </c>
      <c r="Q1890" s="20">
        <f>IFERROR(__xludf.DUMMYFUNCTION("""COMPUTED_VALUE"""),30297.0)</f>
        <v>30297</v>
      </c>
    </row>
    <row r="1891">
      <c r="A1891" s="20">
        <f>IFERROR(__xludf.DUMMYFUNCTION("""COMPUTED_VALUE"""),2041.0)</f>
        <v>2041</v>
      </c>
      <c r="B1891" s="20" t="str">
        <f>IFERROR(__xludf.DUMMYFUNCTION("""COMPUTED_VALUE"""),"The Latest Login in 2020")</f>
        <v>The Latest Login in 2020</v>
      </c>
      <c r="C1891" s="20" t="str">
        <f>IFERROR(__xludf.DUMMYFUNCTION("""COMPUTED_VALUE"""),"the-latest-login-in-2020")</f>
        <v>the-latest-login-in-2020</v>
      </c>
      <c r="D1891" s="20" t="b">
        <f>IFERROR(__xludf.DUMMYFUNCTION("""COMPUTED_VALUE"""),FALSE)</f>
        <v>0</v>
      </c>
      <c r="E1891" s="20" t="str">
        <f>IFERROR(__xludf.DUMMYFUNCTION("""COMPUTED_VALUE"""),"Easy")</f>
        <v>Easy</v>
      </c>
      <c r="F1891" s="20">
        <f>IFERROR(__xludf.DUMMYFUNCTION("""COMPUTED_VALUE"""),245.0)</f>
        <v>245</v>
      </c>
      <c r="G1891" s="20">
        <f>IFERROR(__xludf.DUMMYFUNCTION("""COMPUTED_VALUE"""),5.0)</f>
        <v>5</v>
      </c>
      <c r="H1891" s="20" t="str">
        <f>IFERROR(__xludf.DUMMYFUNCTION("""COMPUTED_VALUE"""),"Database")</f>
        <v>Database</v>
      </c>
      <c r="I1891" s="20">
        <f>IFERROR(__xludf.DUMMYFUNCTION("""COMPUTED_VALUE"""),0.812)</f>
        <v>0.812</v>
      </c>
      <c r="J1891" s="20">
        <f>IFERROR(__xludf.DUMMYFUNCTION("""COMPUTED_VALUE"""),1890.0)</f>
        <v>1890</v>
      </c>
      <c r="K1891" s="20" t="b">
        <f>IFERROR(__xludf.DUMMYFUNCTION("""COMPUTED_VALUE"""),FALSE)</f>
        <v>0</v>
      </c>
      <c r="L1891" s="20" t="str">
        <f>IFERROR(__xludf.DUMMYFUNCTION("""COMPUTED_VALUE"""),"Database;")</f>
        <v>Database;</v>
      </c>
      <c r="M1891" s="20" t="b">
        <f>IFERROR(__xludf.DUMMYFUNCTION("""COMPUTED_VALUE"""),FALSE)</f>
        <v>0</v>
      </c>
      <c r="N1891" s="20" t="b">
        <f>IFERROR(__xludf.DUMMYFUNCTION("""COMPUTED_VALUE"""),FALSE)</f>
        <v>0</v>
      </c>
      <c r="O1891" s="20">
        <f>IFERROR(__xludf.DUMMYFUNCTION("""COMPUTED_VALUE"""),81.2401943902345)</f>
        <v>81.24019439</v>
      </c>
      <c r="P1891" s="20">
        <f>IFERROR(__xludf.DUMMYFUNCTION("""COMPUTED_VALUE"""),42461.0)</f>
        <v>42461</v>
      </c>
      <c r="Q1891" s="20">
        <f>IFERROR(__xludf.DUMMYFUNCTION("""COMPUTED_VALUE"""),52266.0)</f>
        <v>52266</v>
      </c>
    </row>
    <row r="1892">
      <c r="A1892" s="20">
        <f>IFERROR(__xludf.DUMMYFUNCTION("""COMPUTED_VALUE"""),2045.0)</f>
        <v>2045</v>
      </c>
      <c r="B1892" s="20" t="str">
        <f>IFERROR(__xludf.DUMMYFUNCTION("""COMPUTED_VALUE"""),"Cutting Ribbons")</f>
        <v>Cutting Ribbons</v>
      </c>
      <c r="C1892" s="20" t="str">
        <f>IFERROR(__xludf.DUMMYFUNCTION("""COMPUTED_VALUE"""),"cutting-ribbons")</f>
        <v>cutting-ribbons</v>
      </c>
      <c r="D1892" s="20" t="b">
        <f>IFERROR(__xludf.DUMMYFUNCTION("""COMPUTED_VALUE"""),TRUE)</f>
        <v>1</v>
      </c>
      <c r="E1892" s="20" t="str">
        <f>IFERROR(__xludf.DUMMYFUNCTION("""COMPUTED_VALUE"""),"Medium")</f>
        <v>Medium</v>
      </c>
      <c r="F1892" s="20">
        <f>IFERROR(__xludf.DUMMYFUNCTION("""COMPUTED_VALUE"""),476.0)</f>
        <v>476</v>
      </c>
      <c r="G1892" s="20">
        <f>IFERROR(__xludf.DUMMYFUNCTION("""COMPUTED_VALUE"""),30.0)</f>
        <v>30</v>
      </c>
      <c r="H1892" s="20" t="str">
        <f>IFERROR(__xludf.DUMMYFUNCTION("""COMPUTED_VALUE"""),"Algorithms")</f>
        <v>Algorithms</v>
      </c>
      <c r="I1892" s="20">
        <f>IFERROR(__xludf.DUMMYFUNCTION("""COMPUTED_VALUE"""),0.482)</f>
        <v>0.482</v>
      </c>
      <c r="J1892" s="20">
        <f>IFERROR(__xludf.DUMMYFUNCTION("""COMPUTED_VALUE"""),1891.0)</f>
        <v>1891</v>
      </c>
      <c r="K1892" s="20" t="b">
        <f>IFERROR(__xludf.DUMMYFUNCTION("""COMPUTED_VALUE"""),TRUE)</f>
        <v>1</v>
      </c>
      <c r="L1892" s="20" t="str">
        <f>IFERROR(__xludf.DUMMYFUNCTION("""COMPUTED_VALUE"""),"Array;Binary Search;")</f>
        <v>Array;Binary Search;</v>
      </c>
      <c r="M1892" s="20" t="b">
        <f>IFERROR(__xludf.DUMMYFUNCTION("""COMPUTED_VALUE"""),FALSE)</f>
        <v>0</v>
      </c>
      <c r="N1892" s="20" t="b">
        <f>IFERROR(__xludf.DUMMYFUNCTION("""COMPUTED_VALUE"""),FALSE)</f>
        <v>0</v>
      </c>
      <c r="O1892" s="20">
        <f>IFERROR(__xludf.DUMMYFUNCTION("""COMPUTED_VALUE"""),48.1799861758778)</f>
        <v>48.17998618</v>
      </c>
      <c r="P1892" s="20">
        <f>IFERROR(__xludf.DUMMYFUNCTION("""COMPUTED_VALUE"""),49490.0)</f>
        <v>49490</v>
      </c>
      <c r="Q1892" s="20">
        <f>IFERROR(__xludf.DUMMYFUNCTION("""COMPUTED_VALUE"""),102719.0)</f>
        <v>102719</v>
      </c>
    </row>
    <row r="1893">
      <c r="A1893" s="20">
        <f>IFERROR(__xludf.DUMMYFUNCTION("""COMPUTED_VALUE"""),2046.0)</f>
        <v>2046</v>
      </c>
      <c r="B1893" s="20" t="str">
        <f>IFERROR(__xludf.DUMMYFUNCTION("""COMPUTED_VALUE"""),"Page Recommendations II")</f>
        <v>Page Recommendations II</v>
      </c>
      <c r="C1893" s="20" t="str">
        <f>IFERROR(__xludf.DUMMYFUNCTION("""COMPUTED_VALUE"""),"page-recommendations-ii")</f>
        <v>page-recommendations-ii</v>
      </c>
      <c r="D1893" s="20" t="b">
        <f>IFERROR(__xludf.DUMMYFUNCTION("""COMPUTED_VALUE"""),TRUE)</f>
        <v>1</v>
      </c>
      <c r="E1893" s="20" t="str">
        <f>IFERROR(__xludf.DUMMYFUNCTION("""COMPUTED_VALUE"""),"Hard")</f>
        <v>Hard</v>
      </c>
      <c r="F1893" s="20">
        <f>IFERROR(__xludf.DUMMYFUNCTION("""COMPUTED_VALUE"""),63.0)</f>
        <v>63</v>
      </c>
      <c r="G1893" s="20">
        <f>IFERROR(__xludf.DUMMYFUNCTION("""COMPUTED_VALUE"""),17.0)</f>
        <v>17</v>
      </c>
      <c r="H1893" s="20" t="str">
        <f>IFERROR(__xludf.DUMMYFUNCTION("""COMPUTED_VALUE"""),"Database")</f>
        <v>Database</v>
      </c>
      <c r="I1893" s="20">
        <f>IFERROR(__xludf.DUMMYFUNCTION("""COMPUTED_VALUE"""),0.447)</f>
        <v>0.447</v>
      </c>
      <c r="J1893" s="20">
        <f>IFERROR(__xludf.DUMMYFUNCTION("""COMPUTED_VALUE"""),1892.0)</f>
        <v>1892</v>
      </c>
      <c r="K1893" s="20" t="b">
        <f>IFERROR(__xludf.DUMMYFUNCTION("""COMPUTED_VALUE"""),TRUE)</f>
        <v>1</v>
      </c>
      <c r="L1893" s="20" t="str">
        <f>IFERROR(__xludf.DUMMYFUNCTION("""COMPUTED_VALUE"""),"Database;")</f>
        <v>Database;</v>
      </c>
      <c r="M1893" s="20" t="b">
        <f>IFERROR(__xludf.DUMMYFUNCTION("""COMPUTED_VALUE"""),FALSE)</f>
        <v>0</v>
      </c>
      <c r="N1893" s="20" t="b">
        <f>IFERROR(__xludf.DUMMYFUNCTION("""COMPUTED_VALUE"""),FALSE)</f>
        <v>0</v>
      </c>
      <c r="O1893" s="20">
        <f>IFERROR(__xludf.DUMMYFUNCTION("""COMPUTED_VALUE"""),44.7013667852462)</f>
        <v>44.70136679</v>
      </c>
      <c r="P1893" s="20">
        <f>IFERROR(__xludf.DUMMYFUNCTION("""COMPUTED_VALUE"""),4775.0)</f>
        <v>4775</v>
      </c>
      <c r="Q1893" s="20">
        <f>IFERROR(__xludf.DUMMYFUNCTION("""COMPUTED_VALUE"""),10682.0)</f>
        <v>10682</v>
      </c>
    </row>
    <row r="1894">
      <c r="A1894" s="20">
        <f>IFERROR(__xludf.DUMMYFUNCTION("""COMPUTED_VALUE"""),2005.0)</f>
        <v>2005</v>
      </c>
      <c r="B1894" s="20" t="str">
        <f>IFERROR(__xludf.DUMMYFUNCTION("""COMPUTED_VALUE"""),"Check if All the Integers in a Range Are Covered")</f>
        <v>Check if All the Integers in a Range Are Covered</v>
      </c>
      <c r="C1894" s="20" t="str">
        <f>IFERROR(__xludf.DUMMYFUNCTION("""COMPUTED_VALUE"""),"check-if-all-the-integers-in-a-range-are-covered")</f>
        <v>check-if-all-the-integers-in-a-range-are-covered</v>
      </c>
      <c r="D1894" s="20" t="b">
        <f>IFERROR(__xludf.DUMMYFUNCTION("""COMPUTED_VALUE"""),FALSE)</f>
        <v>0</v>
      </c>
      <c r="E1894" s="20" t="str">
        <f>IFERROR(__xludf.DUMMYFUNCTION("""COMPUTED_VALUE"""),"Easy")</f>
        <v>Easy</v>
      </c>
      <c r="F1894" s="20">
        <f>IFERROR(__xludf.DUMMYFUNCTION("""COMPUTED_VALUE"""),388.0)</f>
        <v>388</v>
      </c>
      <c r="G1894" s="20">
        <f>IFERROR(__xludf.DUMMYFUNCTION("""COMPUTED_VALUE"""),72.0)</f>
        <v>72</v>
      </c>
      <c r="H1894" s="20" t="str">
        <f>IFERROR(__xludf.DUMMYFUNCTION("""COMPUTED_VALUE"""),"Algorithms")</f>
        <v>Algorithms</v>
      </c>
      <c r="I1894" s="20">
        <f>IFERROR(__xludf.DUMMYFUNCTION("""COMPUTED_VALUE"""),0.508)</f>
        <v>0.508</v>
      </c>
      <c r="J1894" s="20">
        <f>IFERROR(__xludf.DUMMYFUNCTION("""COMPUTED_VALUE"""),1893.0)</f>
        <v>1893</v>
      </c>
      <c r="K1894" s="20" t="b">
        <f>IFERROR(__xludf.DUMMYFUNCTION("""COMPUTED_VALUE"""),FALSE)</f>
        <v>0</v>
      </c>
      <c r="L1894" s="20" t="str">
        <f>IFERROR(__xludf.DUMMYFUNCTION("""COMPUTED_VALUE"""),"Array;Hash Table;Prefix Sum;")</f>
        <v>Array;Hash Table;Prefix Sum;</v>
      </c>
      <c r="M1894" s="20" t="b">
        <f>IFERROR(__xludf.DUMMYFUNCTION("""COMPUTED_VALUE"""),FALSE)</f>
        <v>0</v>
      </c>
      <c r="N1894" s="20" t="b">
        <f>IFERROR(__xludf.DUMMYFUNCTION("""COMPUTED_VALUE"""),FALSE)</f>
        <v>0</v>
      </c>
      <c r="O1894" s="20">
        <f>IFERROR(__xludf.DUMMYFUNCTION("""COMPUTED_VALUE"""),50.7934517839231)</f>
        <v>50.79345178</v>
      </c>
      <c r="P1894" s="20">
        <f>IFERROR(__xludf.DUMMYFUNCTION("""COMPUTED_VALUE"""),28358.0)</f>
        <v>28358</v>
      </c>
      <c r="Q1894" s="20">
        <f>IFERROR(__xludf.DUMMYFUNCTION("""COMPUTED_VALUE"""),55831.0)</f>
        <v>55831</v>
      </c>
    </row>
    <row r="1895">
      <c r="A1895" s="20">
        <f>IFERROR(__xludf.DUMMYFUNCTION("""COMPUTED_VALUE"""),2006.0)</f>
        <v>2006</v>
      </c>
      <c r="B1895" s="20" t="str">
        <f>IFERROR(__xludf.DUMMYFUNCTION("""COMPUTED_VALUE"""),"Find the Student that Will Replace the Chalk")</f>
        <v>Find the Student that Will Replace the Chalk</v>
      </c>
      <c r="C1895" s="20" t="str">
        <f>IFERROR(__xludf.DUMMYFUNCTION("""COMPUTED_VALUE"""),"find-the-student-that-will-replace-the-chalk")</f>
        <v>find-the-student-that-will-replace-the-chalk</v>
      </c>
      <c r="D1895" s="20" t="b">
        <f>IFERROR(__xludf.DUMMYFUNCTION("""COMPUTED_VALUE"""),FALSE)</f>
        <v>0</v>
      </c>
      <c r="E1895" s="20" t="str">
        <f>IFERROR(__xludf.DUMMYFUNCTION("""COMPUTED_VALUE"""),"Medium")</f>
        <v>Medium</v>
      </c>
      <c r="F1895" s="20">
        <f>IFERROR(__xludf.DUMMYFUNCTION("""COMPUTED_VALUE"""),426.0)</f>
        <v>426</v>
      </c>
      <c r="G1895" s="20">
        <f>IFERROR(__xludf.DUMMYFUNCTION("""COMPUTED_VALUE"""),52.0)</f>
        <v>52</v>
      </c>
      <c r="H1895" s="20" t="str">
        <f>IFERROR(__xludf.DUMMYFUNCTION("""COMPUTED_VALUE"""),"Algorithms")</f>
        <v>Algorithms</v>
      </c>
      <c r="I1895" s="20">
        <f>IFERROR(__xludf.DUMMYFUNCTION("""COMPUTED_VALUE"""),0.44)</f>
        <v>0.44</v>
      </c>
      <c r="J1895" s="20">
        <f>IFERROR(__xludf.DUMMYFUNCTION("""COMPUTED_VALUE"""),1894.0)</f>
        <v>1894</v>
      </c>
      <c r="K1895" s="20" t="b">
        <f>IFERROR(__xludf.DUMMYFUNCTION("""COMPUTED_VALUE"""),FALSE)</f>
        <v>0</v>
      </c>
      <c r="L1895" s="20" t="str">
        <f>IFERROR(__xludf.DUMMYFUNCTION("""COMPUTED_VALUE"""),"Array;Binary Search;Simulation;Prefix Sum;")</f>
        <v>Array;Binary Search;Simulation;Prefix Sum;</v>
      </c>
      <c r="M1895" s="20" t="b">
        <f>IFERROR(__xludf.DUMMYFUNCTION("""COMPUTED_VALUE"""),FALSE)</f>
        <v>0</v>
      </c>
      <c r="N1895" s="20" t="b">
        <f>IFERROR(__xludf.DUMMYFUNCTION("""COMPUTED_VALUE"""),FALSE)</f>
        <v>0</v>
      </c>
      <c r="O1895" s="20">
        <f>IFERROR(__xludf.DUMMYFUNCTION("""COMPUTED_VALUE"""),44.0041026330833)</f>
        <v>44.00410263</v>
      </c>
      <c r="P1895" s="20">
        <f>IFERROR(__xludf.DUMMYFUNCTION("""COMPUTED_VALUE"""),26171.0)</f>
        <v>26171</v>
      </c>
      <c r="Q1895" s="20">
        <f>IFERROR(__xludf.DUMMYFUNCTION("""COMPUTED_VALUE"""),59474.0)</f>
        <v>59474</v>
      </c>
    </row>
    <row r="1896">
      <c r="A1896" s="20">
        <f>IFERROR(__xludf.DUMMYFUNCTION("""COMPUTED_VALUE"""),1311.0)</f>
        <v>1311</v>
      </c>
      <c r="B1896" s="20" t="str">
        <f>IFERROR(__xludf.DUMMYFUNCTION("""COMPUTED_VALUE"""),"Largest Magic Square")</f>
        <v>Largest Magic Square</v>
      </c>
      <c r="C1896" s="20" t="str">
        <f>IFERROR(__xludf.DUMMYFUNCTION("""COMPUTED_VALUE"""),"largest-magic-square")</f>
        <v>largest-magic-square</v>
      </c>
      <c r="D1896" s="20" t="b">
        <f>IFERROR(__xludf.DUMMYFUNCTION("""COMPUTED_VALUE"""),FALSE)</f>
        <v>0</v>
      </c>
      <c r="E1896" s="20" t="str">
        <f>IFERROR(__xludf.DUMMYFUNCTION("""COMPUTED_VALUE"""),"Medium")</f>
        <v>Medium</v>
      </c>
      <c r="F1896" s="20">
        <f>IFERROR(__xludf.DUMMYFUNCTION("""COMPUTED_VALUE"""),229.0)</f>
        <v>229</v>
      </c>
      <c r="G1896" s="20">
        <f>IFERROR(__xludf.DUMMYFUNCTION("""COMPUTED_VALUE"""),227.0)</f>
        <v>227</v>
      </c>
      <c r="H1896" s="20" t="str">
        <f>IFERROR(__xludf.DUMMYFUNCTION("""COMPUTED_VALUE"""),"Algorithms")</f>
        <v>Algorithms</v>
      </c>
      <c r="I1896" s="20">
        <f>IFERROR(__xludf.DUMMYFUNCTION("""COMPUTED_VALUE"""),0.519)</f>
        <v>0.519</v>
      </c>
      <c r="J1896" s="20">
        <f>IFERROR(__xludf.DUMMYFUNCTION("""COMPUTED_VALUE"""),1895.0)</f>
        <v>1895</v>
      </c>
      <c r="K1896" s="20" t="b">
        <f>IFERROR(__xludf.DUMMYFUNCTION("""COMPUTED_VALUE"""),FALSE)</f>
        <v>0</v>
      </c>
      <c r="L1896" s="20" t="str">
        <f>IFERROR(__xludf.DUMMYFUNCTION("""COMPUTED_VALUE"""),"Array;Matrix;Prefix Sum;")</f>
        <v>Array;Matrix;Prefix Sum;</v>
      </c>
      <c r="M1896" s="20" t="b">
        <f>IFERROR(__xludf.DUMMYFUNCTION("""COMPUTED_VALUE"""),FALSE)</f>
        <v>0</v>
      </c>
      <c r="N1896" s="20" t="b">
        <f>IFERROR(__xludf.DUMMYFUNCTION("""COMPUTED_VALUE"""),FALSE)</f>
        <v>0</v>
      </c>
      <c r="O1896" s="20">
        <f>IFERROR(__xludf.DUMMYFUNCTION("""COMPUTED_VALUE"""),51.9385819302821)</f>
        <v>51.93858193</v>
      </c>
      <c r="P1896" s="20">
        <f>IFERROR(__xludf.DUMMYFUNCTION("""COMPUTED_VALUE"""),8761.0)</f>
        <v>8761</v>
      </c>
      <c r="Q1896" s="20">
        <f>IFERROR(__xludf.DUMMYFUNCTION("""COMPUTED_VALUE"""),16868.0)</f>
        <v>16868</v>
      </c>
    </row>
    <row r="1897">
      <c r="A1897" s="20">
        <f>IFERROR(__xludf.DUMMYFUNCTION("""COMPUTED_VALUE"""),2008.0)</f>
        <v>2008</v>
      </c>
      <c r="B1897" s="20" t="str">
        <f>IFERROR(__xludf.DUMMYFUNCTION("""COMPUTED_VALUE"""),"Minimum Cost to Change the Final Value of Expression")</f>
        <v>Minimum Cost to Change the Final Value of Expression</v>
      </c>
      <c r="C1897" s="20" t="str">
        <f>IFERROR(__xludf.DUMMYFUNCTION("""COMPUTED_VALUE"""),"minimum-cost-to-change-the-final-value-of-expression")</f>
        <v>minimum-cost-to-change-the-final-value-of-expression</v>
      </c>
      <c r="D1897" s="20" t="b">
        <f>IFERROR(__xludf.DUMMYFUNCTION("""COMPUTED_VALUE"""),FALSE)</f>
        <v>0</v>
      </c>
      <c r="E1897" s="20" t="str">
        <f>IFERROR(__xludf.DUMMYFUNCTION("""COMPUTED_VALUE"""),"Hard")</f>
        <v>Hard</v>
      </c>
      <c r="F1897" s="20">
        <f>IFERROR(__xludf.DUMMYFUNCTION("""COMPUTED_VALUE"""),195.0)</f>
        <v>195</v>
      </c>
      <c r="G1897" s="20">
        <f>IFERROR(__xludf.DUMMYFUNCTION("""COMPUTED_VALUE"""),38.0)</f>
        <v>38</v>
      </c>
      <c r="H1897" s="20" t="str">
        <f>IFERROR(__xludf.DUMMYFUNCTION("""COMPUTED_VALUE"""),"Algorithms")</f>
        <v>Algorithms</v>
      </c>
      <c r="I1897" s="20">
        <f>IFERROR(__xludf.DUMMYFUNCTION("""COMPUTED_VALUE"""),0.549)</f>
        <v>0.549</v>
      </c>
      <c r="J1897" s="20">
        <f>IFERROR(__xludf.DUMMYFUNCTION("""COMPUTED_VALUE"""),1896.0)</f>
        <v>1896</v>
      </c>
      <c r="K1897" s="20" t="b">
        <f>IFERROR(__xludf.DUMMYFUNCTION("""COMPUTED_VALUE"""),FALSE)</f>
        <v>0</v>
      </c>
      <c r="L1897" s="20" t="str">
        <f>IFERROR(__xludf.DUMMYFUNCTION("""COMPUTED_VALUE"""),"Math;String;Dynamic Programming;Stack;")</f>
        <v>Math;String;Dynamic Programming;Stack;</v>
      </c>
      <c r="M1897" s="20" t="b">
        <f>IFERROR(__xludf.DUMMYFUNCTION("""COMPUTED_VALUE"""),FALSE)</f>
        <v>0</v>
      </c>
      <c r="N1897" s="20" t="b">
        <f>IFERROR(__xludf.DUMMYFUNCTION("""COMPUTED_VALUE"""),FALSE)</f>
        <v>0</v>
      </c>
      <c r="O1897" s="20">
        <f>IFERROR(__xludf.DUMMYFUNCTION("""COMPUTED_VALUE"""),54.8585485854858)</f>
        <v>54.85854859</v>
      </c>
      <c r="P1897" s="20">
        <f>IFERROR(__xludf.DUMMYFUNCTION("""COMPUTED_VALUE"""),3122.0)</f>
        <v>3122</v>
      </c>
      <c r="Q1897" s="20">
        <f>IFERROR(__xludf.DUMMYFUNCTION("""COMPUTED_VALUE"""),5691.0)</f>
        <v>5691</v>
      </c>
    </row>
    <row r="1898">
      <c r="A1898" s="20">
        <f>IFERROR(__xludf.DUMMYFUNCTION("""COMPUTED_VALUE"""),2025.0)</f>
        <v>2025</v>
      </c>
      <c r="B1898" s="20" t="str">
        <f>IFERROR(__xludf.DUMMYFUNCTION("""COMPUTED_VALUE"""),"Redistribute Characters to Make All Strings Equal")</f>
        <v>Redistribute Characters to Make All Strings Equal</v>
      </c>
      <c r="C1898" s="20" t="str">
        <f>IFERROR(__xludf.DUMMYFUNCTION("""COMPUTED_VALUE"""),"redistribute-characters-to-make-all-strings-equal")</f>
        <v>redistribute-characters-to-make-all-strings-equal</v>
      </c>
      <c r="D1898" s="20" t="b">
        <f>IFERROR(__xludf.DUMMYFUNCTION("""COMPUTED_VALUE"""),FALSE)</f>
        <v>0</v>
      </c>
      <c r="E1898" s="20" t="str">
        <f>IFERROR(__xludf.DUMMYFUNCTION("""COMPUTED_VALUE"""),"Easy")</f>
        <v>Easy</v>
      </c>
      <c r="F1898" s="20">
        <f>IFERROR(__xludf.DUMMYFUNCTION("""COMPUTED_VALUE"""),331.0)</f>
        <v>331</v>
      </c>
      <c r="G1898" s="20">
        <f>IFERROR(__xludf.DUMMYFUNCTION("""COMPUTED_VALUE"""),36.0)</f>
        <v>36</v>
      </c>
      <c r="H1898" s="20" t="str">
        <f>IFERROR(__xludf.DUMMYFUNCTION("""COMPUTED_VALUE"""),"Algorithms")</f>
        <v>Algorithms</v>
      </c>
      <c r="I1898" s="20">
        <f>IFERROR(__xludf.DUMMYFUNCTION("""COMPUTED_VALUE"""),0.598)</f>
        <v>0.598</v>
      </c>
      <c r="J1898" s="20">
        <f>IFERROR(__xludf.DUMMYFUNCTION("""COMPUTED_VALUE"""),1897.0)</f>
        <v>1897</v>
      </c>
      <c r="K1898" s="20" t="b">
        <f>IFERROR(__xludf.DUMMYFUNCTION("""COMPUTED_VALUE"""),FALSE)</f>
        <v>0</v>
      </c>
      <c r="L1898" s="20" t="str">
        <f>IFERROR(__xludf.DUMMYFUNCTION("""COMPUTED_VALUE"""),"Hash Table;String;Counting;")</f>
        <v>Hash Table;String;Counting;</v>
      </c>
      <c r="M1898" s="20" t="b">
        <f>IFERROR(__xludf.DUMMYFUNCTION("""COMPUTED_VALUE"""),FALSE)</f>
        <v>0</v>
      </c>
      <c r="N1898" s="20" t="b">
        <f>IFERROR(__xludf.DUMMYFUNCTION("""COMPUTED_VALUE"""),FALSE)</f>
        <v>0</v>
      </c>
      <c r="O1898" s="20">
        <f>IFERROR(__xludf.DUMMYFUNCTION("""COMPUTED_VALUE"""),59.8015828781629)</f>
        <v>59.80158288</v>
      </c>
      <c r="P1898" s="20">
        <f>IFERROR(__xludf.DUMMYFUNCTION("""COMPUTED_VALUE"""),26824.0)</f>
        <v>26824</v>
      </c>
      <c r="Q1898" s="20">
        <f>IFERROR(__xludf.DUMMYFUNCTION("""COMPUTED_VALUE"""),44855.0)</f>
        <v>44855</v>
      </c>
    </row>
    <row r="1899">
      <c r="A1899" s="20">
        <f>IFERROR(__xludf.DUMMYFUNCTION("""COMPUTED_VALUE"""),2027.0)</f>
        <v>2027</v>
      </c>
      <c r="B1899" s="20" t="str">
        <f>IFERROR(__xludf.DUMMYFUNCTION("""COMPUTED_VALUE"""),"Maximum Number of Removable Characters")</f>
        <v>Maximum Number of Removable Characters</v>
      </c>
      <c r="C1899" s="20" t="str">
        <f>IFERROR(__xludf.DUMMYFUNCTION("""COMPUTED_VALUE"""),"maximum-number-of-removable-characters")</f>
        <v>maximum-number-of-removable-characters</v>
      </c>
      <c r="D1899" s="20" t="b">
        <f>IFERROR(__xludf.DUMMYFUNCTION("""COMPUTED_VALUE"""),FALSE)</f>
        <v>0</v>
      </c>
      <c r="E1899" s="20" t="str">
        <f>IFERROR(__xludf.DUMMYFUNCTION("""COMPUTED_VALUE"""),"Medium")</f>
        <v>Medium</v>
      </c>
      <c r="F1899" s="20">
        <f>IFERROR(__xludf.DUMMYFUNCTION("""COMPUTED_VALUE"""),739.0)</f>
        <v>739</v>
      </c>
      <c r="G1899" s="20">
        <f>IFERROR(__xludf.DUMMYFUNCTION("""COMPUTED_VALUE"""),84.0)</f>
        <v>84</v>
      </c>
      <c r="H1899" s="20" t="str">
        <f>IFERROR(__xludf.DUMMYFUNCTION("""COMPUTED_VALUE"""),"Algorithms")</f>
        <v>Algorithms</v>
      </c>
      <c r="I1899" s="20">
        <f>IFERROR(__xludf.DUMMYFUNCTION("""COMPUTED_VALUE"""),0.395)</f>
        <v>0.395</v>
      </c>
      <c r="J1899" s="20">
        <f>IFERROR(__xludf.DUMMYFUNCTION("""COMPUTED_VALUE"""),1898.0)</f>
        <v>1898</v>
      </c>
      <c r="K1899" s="20" t="b">
        <f>IFERROR(__xludf.DUMMYFUNCTION("""COMPUTED_VALUE"""),FALSE)</f>
        <v>0</v>
      </c>
      <c r="L1899" s="20" t="str">
        <f>IFERROR(__xludf.DUMMYFUNCTION("""COMPUTED_VALUE"""),"Array;String;Binary Search;")</f>
        <v>Array;String;Binary Search;</v>
      </c>
      <c r="M1899" s="20" t="b">
        <f>IFERROR(__xludf.DUMMYFUNCTION("""COMPUTED_VALUE"""),FALSE)</f>
        <v>0</v>
      </c>
      <c r="N1899" s="20" t="b">
        <f>IFERROR(__xludf.DUMMYFUNCTION("""COMPUTED_VALUE"""),FALSE)</f>
        <v>0</v>
      </c>
      <c r="O1899" s="20">
        <f>IFERROR(__xludf.DUMMYFUNCTION("""COMPUTED_VALUE"""),39.5188150354785)</f>
        <v>39.51881504</v>
      </c>
      <c r="P1899" s="20">
        <f>IFERROR(__xludf.DUMMYFUNCTION("""COMPUTED_VALUE"""),19103.0)</f>
        <v>19103</v>
      </c>
      <c r="Q1899" s="20">
        <f>IFERROR(__xludf.DUMMYFUNCTION("""COMPUTED_VALUE"""),48339.0)</f>
        <v>48339</v>
      </c>
    </row>
    <row r="1900">
      <c r="A1900" s="20">
        <f>IFERROR(__xludf.DUMMYFUNCTION("""COMPUTED_VALUE"""),2026.0)</f>
        <v>2026</v>
      </c>
      <c r="B1900" s="20" t="str">
        <f>IFERROR(__xludf.DUMMYFUNCTION("""COMPUTED_VALUE"""),"Merge Triplets to Form Target Triplet")</f>
        <v>Merge Triplets to Form Target Triplet</v>
      </c>
      <c r="C1900" s="20" t="str">
        <f>IFERROR(__xludf.DUMMYFUNCTION("""COMPUTED_VALUE"""),"merge-triplets-to-form-target-triplet")</f>
        <v>merge-triplets-to-form-target-triplet</v>
      </c>
      <c r="D1900" s="20" t="b">
        <f>IFERROR(__xludf.DUMMYFUNCTION("""COMPUTED_VALUE"""),FALSE)</f>
        <v>0</v>
      </c>
      <c r="E1900" s="20" t="str">
        <f>IFERROR(__xludf.DUMMYFUNCTION("""COMPUTED_VALUE"""),"Medium")</f>
        <v>Medium</v>
      </c>
      <c r="F1900" s="20">
        <f>IFERROR(__xludf.DUMMYFUNCTION("""COMPUTED_VALUE"""),492.0)</f>
        <v>492</v>
      </c>
      <c r="G1900" s="20">
        <f>IFERROR(__xludf.DUMMYFUNCTION("""COMPUTED_VALUE"""),38.0)</f>
        <v>38</v>
      </c>
      <c r="H1900" s="20" t="str">
        <f>IFERROR(__xludf.DUMMYFUNCTION("""COMPUTED_VALUE"""),"Algorithms")</f>
        <v>Algorithms</v>
      </c>
      <c r="I1900" s="20">
        <f>IFERROR(__xludf.DUMMYFUNCTION("""COMPUTED_VALUE"""),0.645)</f>
        <v>0.645</v>
      </c>
      <c r="J1900" s="20">
        <f>IFERROR(__xludf.DUMMYFUNCTION("""COMPUTED_VALUE"""),1899.0)</f>
        <v>1899</v>
      </c>
      <c r="K1900" s="20" t="b">
        <f>IFERROR(__xludf.DUMMYFUNCTION("""COMPUTED_VALUE"""),FALSE)</f>
        <v>0</v>
      </c>
      <c r="L1900" s="20" t="str">
        <f>IFERROR(__xludf.DUMMYFUNCTION("""COMPUTED_VALUE"""),"Array;Greedy;")</f>
        <v>Array;Greedy;</v>
      </c>
      <c r="M1900" s="20" t="b">
        <f>IFERROR(__xludf.DUMMYFUNCTION("""COMPUTED_VALUE"""),FALSE)</f>
        <v>0</v>
      </c>
      <c r="N1900" s="20" t="b">
        <f>IFERROR(__xludf.DUMMYFUNCTION("""COMPUTED_VALUE"""),FALSE)</f>
        <v>0</v>
      </c>
      <c r="O1900" s="20">
        <f>IFERROR(__xludf.DUMMYFUNCTION("""COMPUTED_VALUE"""),64.4975764120853)</f>
        <v>64.49757641</v>
      </c>
      <c r="P1900" s="20">
        <f>IFERROR(__xludf.DUMMYFUNCTION("""COMPUTED_VALUE"""),25681.0)</f>
        <v>25681</v>
      </c>
      <c r="Q1900" s="20">
        <f>IFERROR(__xludf.DUMMYFUNCTION("""COMPUTED_VALUE"""),39816.0)</f>
        <v>39816</v>
      </c>
    </row>
    <row r="1901">
      <c r="A1901" s="20">
        <f>IFERROR(__xludf.DUMMYFUNCTION("""COMPUTED_VALUE"""),2028.0)</f>
        <v>2028</v>
      </c>
      <c r="B1901" s="20" t="str">
        <f>IFERROR(__xludf.DUMMYFUNCTION("""COMPUTED_VALUE"""),"The Earliest and Latest Rounds Where Players Compete")</f>
        <v>The Earliest and Latest Rounds Where Players Compete</v>
      </c>
      <c r="C1901" s="20" t="str">
        <f>IFERROR(__xludf.DUMMYFUNCTION("""COMPUTED_VALUE"""),"the-earliest-and-latest-rounds-where-players-compete")</f>
        <v>the-earliest-and-latest-rounds-where-players-compete</v>
      </c>
      <c r="D1901" s="20" t="b">
        <f>IFERROR(__xludf.DUMMYFUNCTION("""COMPUTED_VALUE"""),FALSE)</f>
        <v>0</v>
      </c>
      <c r="E1901" s="20" t="str">
        <f>IFERROR(__xludf.DUMMYFUNCTION("""COMPUTED_VALUE"""),"Hard")</f>
        <v>Hard</v>
      </c>
      <c r="F1901" s="20">
        <f>IFERROR(__xludf.DUMMYFUNCTION("""COMPUTED_VALUE"""),201.0)</f>
        <v>201</v>
      </c>
      <c r="G1901" s="20">
        <f>IFERROR(__xludf.DUMMYFUNCTION("""COMPUTED_VALUE"""),17.0)</f>
        <v>17</v>
      </c>
      <c r="H1901" s="20" t="str">
        <f>IFERROR(__xludf.DUMMYFUNCTION("""COMPUTED_VALUE"""),"Algorithms")</f>
        <v>Algorithms</v>
      </c>
      <c r="I1901" s="20">
        <f>IFERROR(__xludf.DUMMYFUNCTION("""COMPUTED_VALUE"""),0.518)</f>
        <v>0.518</v>
      </c>
      <c r="J1901" s="20">
        <f>IFERROR(__xludf.DUMMYFUNCTION("""COMPUTED_VALUE"""),1900.0)</f>
        <v>1900</v>
      </c>
      <c r="K1901" s="20" t="b">
        <f>IFERROR(__xludf.DUMMYFUNCTION("""COMPUTED_VALUE"""),FALSE)</f>
        <v>0</v>
      </c>
      <c r="L1901" s="20" t="str">
        <f>IFERROR(__xludf.DUMMYFUNCTION("""COMPUTED_VALUE"""),"Dynamic Programming;Memoization;")</f>
        <v>Dynamic Programming;Memoization;</v>
      </c>
      <c r="M1901" s="20" t="b">
        <f>IFERROR(__xludf.DUMMYFUNCTION("""COMPUTED_VALUE"""),FALSE)</f>
        <v>0</v>
      </c>
      <c r="N1901" s="20" t="b">
        <f>IFERROR(__xludf.DUMMYFUNCTION("""COMPUTED_VALUE"""),FALSE)</f>
        <v>0</v>
      </c>
      <c r="O1901" s="20">
        <f>IFERROR(__xludf.DUMMYFUNCTION("""COMPUTED_VALUE"""),51.8277822908204)</f>
        <v>51.82778229</v>
      </c>
      <c r="P1901" s="20">
        <f>IFERROR(__xludf.DUMMYFUNCTION("""COMPUTED_VALUE"""),4466.0)</f>
        <v>4466</v>
      </c>
      <c r="Q1901" s="20">
        <f>IFERROR(__xludf.DUMMYFUNCTION("""COMPUTED_VALUE"""),8617.0)</f>
        <v>8617</v>
      </c>
    </row>
    <row r="1902">
      <c r="A1902" s="20">
        <f>IFERROR(__xludf.DUMMYFUNCTION("""COMPUTED_VALUE"""),2047.0)</f>
        <v>2047</v>
      </c>
      <c r="B1902" s="20" t="str">
        <f>IFERROR(__xludf.DUMMYFUNCTION("""COMPUTED_VALUE"""),"Find a Peak Element II")</f>
        <v>Find a Peak Element II</v>
      </c>
      <c r="C1902" s="20" t="str">
        <f>IFERROR(__xludf.DUMMYFUNCTION("""COMPUTED_VALUE"""),"find-a-peak-element-ii")</f>
        <v>find-a-peak-element-ii</v>
      </c>
      <c r="D1902" s="20" t="b">
        <f>IFERROR(__xludf.DUMMYFUNCTION("""COMPUTED_VALUE"""),FALSE)</f>
        <v>0</v>
      </c>
      <c r="E1902" s="20" t="str">
        <f>IFERROR(__xludf.DUMMYFUNCTION("""COMPUTED_VALUE"""),"Medium")</f>
        <v>Medium</v>
      </c>
      <c r="F1902" s="20">
        <f>IFERROR(__xludf.DUMMYFUNCTION("""COMPUTED_VALUE"""),1156.0)</f>
        <v>1156</v>
      </c>
      <c r="G1902" s="20">
        <f>IFERROR(__xludf.DUMMYFUNCTION("""COMPUTED_VALUE"""),87.0)</f>
        <v>87</v>
      </c>
      <c r="H1902" s="20" t="str">
        <f>IFERROR(__xludf.DUMMYFUNCTION("""COMPUTED_VALUE"""),"Algorithms")</f>
        <v>Algorithms</v>
      </c>
      <c r="I1902" s="20">
        <f>IFERROR(__xludf.DUMMYFUNCTION("""COMPUTED_VALUE"""),0.53)</f>
        <v>0.53</v>
      </c>
      <c r="J1902" s="20">
        <f>IFERROR(__xludf.DUMMYFUNCTION("""COMPUTED_VALUE"""),1901.0)</f>
        <v>1901</v>
      </c>
      <c r="K1902" s="20" t="b">
        <f>IFERROR(__xludf.DUMMYFUNCTION("""COMPUTED_VALUE"""),FALSE)</f>
        <v>0</v>
      </c>
      <c r="L1902" s="20" t="str">
        <f>IFERROR(__xludf.DUMMYFUNCTION("""COMPUTED_VALUE"""),"Array;Binary Search;Matrix;")</f>
        <v>Array;Binary Search;Matrix;</v>
      </c>
      <c r="M1902" s="20" t="b">
        <f>IFERROR(__xludf.DUMMYFUNCTION("""COMPUTED_VALUE"""),FALSE)</f>
        <v>0</v>
      </c>
      <c r="N1902" s="20" t="b">
        <f>IFERROR(__xludf.DUMMYFUNCTION("""COMPUTED_VALUE"""),FALSE)</f>
        <v>0</v>
      </c>
      <c r="O1902" s="20">
        <f>IFERROR(__xludf.DUMMYFUNCTION("""COMPUTED_VALUE"""),53.0124908155767)</f>
        <v>53.01249082</v>
      </c>
      <c r="P1902" s="20">
        <f>IFERROR(__xludf.DUMMYFUNCTION("""COMPUTED_VALUE"""),31746.0)</f>
        <v>31746</v>
      </c>
      <c r="Q1902" s="20">
        <f>IFERROR(__xludf.DUMMYFUNCTION("""COMPUTED_VALUE"""),59884.0)</f>
        <v>59884</v>
      </c>
    </row>
    <row r="1903">
      <c r="A1903" s="20">
        <f>IFERROR(__xludf.DUMMYFUNCTION("""COMPUTED_VALUE"""),2052.0)</f>
        <v>2052</v>
      </c>
      <c r="B1903" s="20" t="str">
        <f>IFERROR(__xludf.DUMMYFUNCTION("""COMPUTED_VALUE"""),"Depth of BST Given Insertion Order")</f>
        <v>Depth of BST Given Insertion Order</v>
      </c>
      <c r="C1903" s="20" t="str">
        <f>IFERROR(__xludf.DUMMYFUNCTION("""COMPUTED_VALUE"""),"depth-of-bst-given-insertion-order")</f>
        <v>depth-of-bst-given-insertion-order</v>
      </c>
      <c r="D1903" s="20" t="b">
        <f>IFERROR(__xludf.DUMMYFUNCTION("""COMPUTED_VALUE"""),TRUE)</f>
        <v>1</v>
      </c>
      <c r="E1903" s="20" t="str">
        <f>IFERROR(__xludf.DUMMYFUNCTION("""COMPUTED_VALUE"""),"Medium")</f>
        <v>Medium</v>
      </c>
      <c r="F1903" s="20">
        <f>IFERROR(__xludf.DUMMYFUNCTION("""COMPUTED_VALUE"""),77.0)</f>
        <v>77</v>
      </c>
      <c r="G1903" s="20">
        <f>IFERROR(__xludf.DUMMYFUNCTION("""COMPUTED_VALUE"""),11.0)</f>
        <v>11</v>
      </c>
      <c r="H1903" s="20" t="str">
        <f>IFERROR(__xludf.DUMMYFUNCTION("""COMPUTED_VALUE"""),"Algorithms")</f>
        <v>Algorithms</v>
      </c>
      <c r="I1903" s="20">
        <f>IFERROR(__xludf.DUMMYFUNCTION("""COMPUTED_VALUE"""),0.447)</f>
        <v>0.447</v>
      </c>
      <c r="J1903" s="20">
        <f>IFERROR(__xludf.DUMMYFUNCTION("""COMPUTED_VALUE"""),1902.0)</f>
        <v>1902</v>
      </c>
      <c r="K1903" s="20" t="b">
        <f>IFERROR(__xludf.DUMMYFUNCTION("""COMPUTED_VALUE"""),TRUE)</f>
        <v>1</v>
      </c>
      <c r="L1903" s="20" t="str">
        <f>IFERROR(__xludf.DUMMYFUNCTION("""COMPUTED_VALUE"""),"Tree;Binary Search Tree;Binary Tree;Ordered Set;")</f>
        <v>Tree;Binary Search Tree;Binary Tree;Ordered Set;</v>
      </c>
      <c r="M1903" s="20" t="b">
        <f>IFERROR(__xludf.DUMMYFUNCTION("""COMPUTED_VALUE"""),FALSE)</f>
        <v>0</v>
      </c>
      <c r="N1903" s="20" t="b">
        <f>IFERROR(__xludf.DUMMYFUNCTION("""COMPUTED_VALUE"""),FALSE)</f>
        <v>0</v>
      </c>
      <c r="O1903" s="20">
        <f>IFERROR(__xludf.DUMMYFUNCTION("""COMPUTED_VALUE"""),44.674786214045)</f>
        <v>44.67478621</v>
      </c>
      <c r="P1903" s="20">
        <f>IFERROR(__xludf.DUMMYFUNCTION("""COMPUTED_VALUE"""),1724.0)</f>
        <v>1724</v>
      </c>
      <c r="Q1903" s="20">
        <f>IFERROR(__xludf.DUMMYFUNCTION("""COMPUTED_VALUE"""),3859.0)</f>
        <v>3859</v>
      </c>
    </row>
    <row r="1904">
      <c r="A1904" s="20">
        <f>IFERROR(__xludf.DUMMYFUNCTION("""COMPUTED_VALUE"""),2032.0)</f>
        <v>2032</v>
      </c>
      <c r="B1904" s="20" t="str">
        <f>IFERROR(__xludf.DUMMYFUNCTION("""COMPUTED_VALUE"""),"Largest Odd Number in String")</f>
        <v>Largest Odd Number in String</v>
      </c>
      <c r="C1904" s="20" t="str">
        <f>IFERROR(__xludf.DUMMYFUNCTION("""COMPUTED_VALUE"""),"largest-odd-number-in-string")</f>
        <v>largest-odd-number-in-string</v>
      </c>
      <c r="D1904" s="20" t="b">
        <f>IFERROR(__xludf.DUMMYFUNCTION("""COMPUTED_VALUE"""),FALSE)</f>
        <v>0</v>
      </c>
      <c r="E1904" s="20" t="str">
        <f>IFERROR(__xludf.DUMMYFUNCTION("""COMPUTED_VALUE"""),"Easy")</f>
        <v>Easy</v>
      </c>
      <c r="F1904" s="20">
        <f>IFERROR(__xludf.DUMMYFUNCTION("""COMPUTED_VALUE"""),641.0)</f>
        <v>641</v>
      </c>
      <c r="G1904" s="20">
        <f>IFERROR(__xludf.DUMMYFUNCTION("""COMPUTED_VALUE"""),54.0)</f>
        <v>54</v>
      </c>
      <c r="H1904" s="20" t="str">
        <f>IFERROR(__xludf.DUMMYFUNCTION("""COMPUTED_VALUE"""),"Algorithms")</f>
        <v>Algorithms</v>
      </c>
      <c r="I1904" s="20">
        <f>IFERROR(__xludf.DUMMYFUNCTION("""COMPUTED_VALUE"""),0.557)</f>
        <v>0.557</v>
      </c>
      <c r="J1904" s="20">
        <f>IFERROR(__xludf.DUMMYFUNCTION("""COMPUTED_VALUE"""),1903.0)</f>
        <v>1903</v>
      </c>
      <c r="K1904" s="20" t="b">
        <f>IFERROR(__xludf.DUMMYFUNCTION("""COMPUTED_VALUE"""),FALSE)</f>
        <v>0</v>
      </c>
      <c r="L1904" s="20" t="str">
        <f>IFERROR(__xludf.DUMMYFUNCTION("""COMPUTED_VALUE"""),"Math;String;Greedy;")</f>
        <v>Math;String;Greedy;</v>
      </c>
      <c r="M1904" s="20" t="b">
        <f>IFERROR(__xludf.DUMMYFUNCTION("""COMPUTED_VALUE"""),FALSE)</f>
        <v>0</v>
      </c>
      <c r="N1904" s="20" t="b">
        <f>IFERROR(__xludf.DUMMYFUNCTION("""COMPUTED_VALUE"""),FALSE)</f>
        <v>0</v>
      </c>
      <c r="O1904" s="20">
        <f>IFERROR(__xludf.DUMMYFUNCTION("""COMPUTED_VALUE"""),55.7062397238709)</f>
        <v>55.70623972</v>
      </c>
      <c r="P1904" s="20">
        <f>IFERROR(__xludf.DUMMYFUNCTION("""COMPUTED_VALUE"""),47772.0)</f>
        <v>47772</v>
      </c>
      <c r="Q1904" s="20">
        <f>IFERROR(__xludf.DUMMYFUNCTION("""COMPUTED_VALUE"""),85757.0)</f>
        <v>85757</v>
      </c>
    </row>
    <row r="1905">
      <c r="A1905" s="20">
        <f>IFERROR(__xludf.DUMMYFUNCTION("""COMPUTED_VALUE"""),2033.0)</f>
        <v>2033</v>
      </c>
      <c r="B1905" s="20" t="str">
        <f>IFERROR(__xludf.DUMMYFUNCTION("""COMPUTED_VALUE"""),"The Number of Full Rounds You Have Played")</f>
        <v>The Number of Full Rounds You Have Played</v>
      </c>
      <c r="C1905" s="20" t="str">
        <f>IFERROR(__xludf.DUMMYFUNCTION("""COMPUTED_VALUE"""),"the-number-of-full-rounds-you-have-played")</f>
        <v>the-number-of-full-rounds-you-have-played</v>
      </c>
      <c r="D1905" s="20" t="b">
        <f>IFERROR(__xludf.DUMMYFUNCTION("""COMPUTED_VALUE"""),FALSE)</f>
        <v>0</v>
      </c>
      <c r="E1905" s="20" t="str">
        <f>IFERROR(__xludf.DUMMYFUNCTION("""COMPUTED_VALUE"""),"Medium")</f>
        <v>Medium</v>
      </c>
      <c r="F1905" s="20">
        <f>IFERROR(__xludf.DUMMYFUNCTION("""COMPUTED_VALUE"""),177.0)</f>
        <v>177</v>
      </c>
      <c r="G1905" s="20">
        <f>IFERROR(__xludf.DUMMYFUNCTION("""COMPUTED_VALUE"""),235.0)</f>
        <v>235</v>
      </c>
      <c r="H1905" s="20" t="str">
        <f>IFERROR(__xludf.DUMMYFUNCTION("""COMPUTED_VALUE"""),"Algorithms")</f>
        <v>Algorithms</v>
      </c>
      <c r="I1905" s="20">
        <f>IFERROR(__xludf.DUMMYFUNCTION("""COMPUTED_VALUE"""),0.453)</f>
        <v>0.453</v>
      </c>
      <c r="J1905" s="20">
        <f>IFERROR(__xludf.DUMMYFUNCTION("""COMPUTED_VALUE"""),1904.0)</f>
        <v>1904</v>
      </c>
      <c r="K1905" s="20" t="b">
        <f>IFERROR(__xludf.DUMMYFUNCTION("""COMPUTED_VALUE"""),FALSE)</f>
        <v>0</v>
      </c>
      <c r="L1905" s="20" t="str">
        <f>IFERROR(__xludf.DUMMYFUNCTION("""COMPUTED_VALUE"""),"Math;String;")</f>
        <v>Math;String;</v>
      </c>
      <c r="M1905" s="20" t="b">
        <f>IFERROR(__xludf.DUMMYFUNCTION("""COMPUTED_VALUE"""),FALSE)</f>
        <v>0</v>
      </c>
      <c r="N1905" s="20" t="b">
        <f>IFERROR(__xludf.DUMMYFUNCTION("""COMPUTED_VALUE"""),FALSE)</f>
        <v>0</v>
      </c>
      <c r="O1905" s="20">
        <f>IFERROR(__xludf.DUMMYFUNCTION("""COMPUTED_VALUE"""),45.3145089506478)</f>
        <v>45.31450895</v>
      </c>
      <c r="P1905" s="20">
        <f>IFERROR(__xludf.DUMMYFUNCTION("""COMPUTED_VALUE"""),18327.0)</f>
        <v>18327</v>
      </c>
      <c r="Q1905" s="20">
        <f>IFERROR(__xludf.DUMMYFUNCTION("""COMPUTED_VALUE"""),40444.0)</f>
        <v>40444</v>
      </c>
    </row>
    <row r="1906">
      <c r="A1906" s="20">
        <f>IFERROR(__xludf.DUMMYFUNCTION("""COMPUTED_VALUE"""),2035.0)</f>
        <v>2035</v>
      </c>
      <c r="B1906" s="20" t="str">
        <f>IFERROR(__xludf.DUMMYFUNCTION("""COMPUTED_VALUE"""),"Count Sub Islands")</f>
        <v>Count Sub Islands</v>
      </c>
      <c r="C1906" s="20" t="str">
        <f>IFERROR(__xludf.DUMMYFUNCTION("""COMPUTED_VALUE"""),"count-sub-islands")</f>
        <v>count-sub-islands</v>
      </c>
      <c r="D1906" s="20" t="b">
        <f>IFERROR(__xludf.DUMMYFUNCTION("""COMPUTED_VALUE"""),FALSE)</f>
        <v>0</v>
      </c>
      <c r="E1906" s="20" t="str">
        <f>IFERROR(__xludf.DUMMYFUNCTION("""COMPUTED_VALUE"""),"Medium")</f>
        <v>Medium</v>
      </c>
      <c r="F1906" s="20">
        <f>IFERROR(__xludf.DUMMYFUNCTION("""COMPUTED_VALUE"""),1537.0)</f>
        <v>1537</v>
      </c>
      <c r="G1906" s="20">
        <f>IFERROR(__xludf.DUMMYFUNCTION("""COMPUTED_VALUE"""),46.0)</f>
        <v>46</v>
      </c>
      <c r="H1906" s="20" t="str">
        <f>IFERROR(__xludf.DUMMYFUNCTION("""COMPUTED_VALUE"""),"Algorithms")</f>
        <v>Algorithms</v>
      </c>
      <c r="I1906" s="20">
        <f>IFERROR(__xludf.DUMMYFUNCTION("""COMPUTED_VALUE"""),0.676)</f>
        <v>0.676</v>
      </c>
      <c r="J1906" s="20">
        <f>IFERROR(__xludf.DUMMYFUNCTION("""COMPUTED_VALUE"""),1905.0)</f>
        <v>1905</v>
      </c>
      <c r="K1906" s="20" t="b">
        <f>IFERROR(__xludf.DUMMYFUNCTION("""COMPUTED_VALUE"""),FALSE)</f>
        <v>0</v>
      </c>
      <c r="L1906" s="20" t="str">
        <f>IFERROR(__xludf.DUMMYFUNCTION("""COMPUTED_VALUE"""),"Array;Depth-First Search;Breadth-First Search;Union Find;Matrix;")</f>
        <v>Array;Depth-First Search;Breadth-First Search;Union Find;Matrix;</v>
      </c>
      <c r="M1906" s="20" t="b">
        <f>IFERROR(__xludf.DUMMYFUNCTION("""COMPUTED_VALUE"""),FALSE)</f>
        <v>0</v>
      </c>
      <c r="N1906" s="20" t="b">
        <f>IFERROR(__xludf.DUMMYFUNCTION("""COMPUTED_VALUE"""),FALSE)</f>
        <v>0</v>
      </c>
      <c r="O1906" s="20">
        <f>IFERROR(__xludf.DUMMYFUNCTION("""COMPUTED_VALUE"""),67.6171677652062)</f>
        <v>67.61716777</v>
      </c>
      <c r="P1906" s="20">
        <f>IFERROR(__xludf.DUMMYFUNCTION("""COMPUTED_VALUE"""),57544.0)</f>
        <v>57544</v>
      </c>
      <c r="Q1906" s="20">
        <f>IFERROR(__xludf.DUMMYFUNCTION("""COMPUTED_VALUE"""),85106.0)</f>
        <v>85106</v>
      </c>
    </row>
    <row r="1907">
      <c r="A1907" s="20">
        <f>IFERROR(__xludf.DUMMYFUNCTION("""COMPUTED_VALUE"""),2034.0)</f>
        <v>2034</v>
      </c>
      <c r="B1907" s="20" t="str">
        <f>IFERROR(__xludf.DUMMYFUNCTION("""COMPUTED_VALUE"""),"Minimum Absolute Difference Queries")</f>
        <v>Minimum Absolute Difference Queries</v>
      </c>
      <c r="C1907" s="20" t="str">
        <f>IFERROR(__xludf.DUMMYFUNCTION("""COMPUTED_VALUE"""),"minimum-absolute-difference-queries")</f>
        <v>minimum-absolute-difference-queries</v>
      </c>
      <c r="D1907" s="20" t="b">
        <f>IFERROR(__xludf.DUMMYFUNCTION("""COMPUTED_VALUE"""),FALSE)</f>
        <v>0</v>
      </c>
      <c r="E1907" s="20" t="str">
        <f>IFERROR(__xludf.DUMMYFUNCTION("""COMPUTED_VALUE"""),"Medium")</f>
        <v>Medium</v>
      </c>
      <c r="F1907" s="20">
        <f>IFERROR(__xludf.DUMMYFUNCTION("""COMPUTED_VALUE"""),446.0)</f>
        <v>446</v>
      </c>
      <c r="G1907" s="20">
        <f>IFERROR(__xludf.DUMMYFUNCTION("""COMPUTED_VALUE"""),30.0)</f>
        <v>30</v>
      </c>
      <c r="H1907" s="20" t="str">
        <f>IFERROR(__xludf.DUMMYFUNCTION("""COMPUTED_VALUE"""),"Algorithms")</f>
        <v>Algorithms</v>
      </c>
      <c r="I1907" s="20">
        <f>IFERROR(__xludf.DUMMYFUNCTION("""COMPUTED_VALUE"""),0.439)</f>
        <v>0.439</v>
      </c>
      <c r="J1907" s="20">
        <f>IFERROR(__xludf.DUMMYFUNCTION("""COMPUTED_VALUE"""),1906.0)</f>
        <v>1906</v>
      </c>
      <c r="K1907" s="20" t="b">
        <f>IFERROR(__xludf.DUMMYFUNCTION("""COMPUTED_VALUE"""),FALSE)</f>
        <v>0</v>
      </c>
      <c r="L1907" s="20" t="str">
        <f>IFERROR(__xludf.DUMMYFUNCTION("""COMPUTED_VALUE"""),"Array;Hash Table;")</f>
        <v>Array;Hash Table;</v>
      </c>
      <c r="M1907" s="20" t="b">
        <f>IFERROR(__xludf.DUMMYFUNCTION("""COMPUTED_VALUE"""),FALSE)</f>
        <v>0</v>
      </c>
      <c r="N1907" s="20" t="b">
        <f>IFERROR(__xludf.DUMMYFUNCTION("""COMPUTED_VALUE"""),FALSE)</f>
        <v>0</v>
      </c>
      <c r="O1907" s="20">
        <f>IFERROR(__xludf.DUMMYFUNCTION("""COMPUTED_VALUE"""),43.8992618323925)</f>
        <v>43.89926183</v>
      </c>
      <c r="P1907" s="20">
        <f>IFERROR(__xludf.DUMMYFUNCTION("""COMPUTED_VALUE"""),9099.0)</f>
        <v>9099</v>
      </c>
      <c r="Q1907" s="20">
        <f>IFERROR(__xludf.DUMMYFUNCTION("""COMPUTED_VALUE"""),20727.0)</f>
        <v>20727</v>
      </c>
    </row>
    <row r="1908">
      <c r="A1908" s="20">
        <f>IFERROR(__xludf.DUMMYFUNCTION("""COMPUTED_VALUE"""),2057.0)</f>
        <v>2057</v>
      </c>
      <c r="B1908" s="20" t="str">
        <f>IFERROR(__xludf.DUMMYFUNCTION("""COMPUTED_VALUE"""),"Count Salary Categories")</f>
        <v>Count Salary Categories</v>
      </c>
      <c r="C1908" s="20" t="str">
        <f>IFERROR(__xludf.DUMMYFUNCTION("""COMPUTED_VALUE"""),"count-salary-categories")</f>
        <v>count-salary-categories</v>
      </c>
      <c r="D1908" s="20" t="b">
        <f>IFERROR(__xludf.DUMMYFUNCTION("""COMPUTED_VALUE"""),TRUE)</f>
        <v>1</v>
      </c>
      <c r="E1908" s="20" t="str">
        <f>IFERROR(__xludf.DUMMYFUNCTION("""COMPUTED_VALUE"""),"Medium")</f>
        <v>Medium</v>
      </c>
      <c r="F1908" s="20">
        <f>IFERROR(__xludf.DUMMYFUNCTION("""COMPUTED_VALUE"""),49.0)</f>
        <v>49</v>
      </c>
      <c r="G1908" s="20">
        <f>IFERROR(__xludf.DUMMYFUNCTION("""COMPUTED_VALUE"""),19.0)</f>
        <v>19</v>
      </c>
      <c r="H1908" s="20" t="str">
        <f>IFERROR(__xludf.DUMMYFUNCTION("""COMPUTED_VALUE"""),"Database")</f>
        <v>Database</v>
      </c>
      <c r="I1908" s="20">
        <f>IFERROR(__xludf.DUMMYFUNCTION("""COMPUTED_VALUE"""),0.644)</f>
        <v>0.644</v>
      </c>
      <c r="J1908" s="20">
        <f>IFERROR(__xludf.DUMMYFUNCTION("""COMPUTED_VALUE"""),1907.0)</f>
        <v>1907</v>
      </c>
      <c r="K1908" s="20" t="b">
        <f>IFERROR(__xludf.DUMMYFUNCTION("""COMPUTED_VALUE"""),TRUE)</f>
        <v>1</v>
      </c>
      <c r="L1908" s="20" t="str">
        <f>IFERROR(__xludf.DUMMYFUNCTION("""COMPUTED_VALUE"""),"Database;")</f>
        <v>Database;</v>
      </c>
      <c r="M1908" s="20" t="b">
        <f>IFERROR(__xludf.DUMMYFUNCTION("""COMPUTED_VALUE"""),FALSE)</f>
        <v>0</v>
      </c>
      <c r="N1908" s="20" t="b">
        <f>IFERROR(__xludf.DUMMYFUNCTION("""COMPUTED_VALUE"""),FALSE)</f>
        <v>0</v>
      </c>
      <c r="O1908" s="20">
        <f>IFERROR(__xludf.DUMMYFUNCTION("""COMPUTED_VALUE"""),64.4190606086437)</f>
        <v>64.41906061</v>
      </c>
      <c r="P1908" s="20">
        <f>IFERROR(__xludf.DUMMYFUNCTION("""COMPUTED_VALUE"""),7557.0)</f>
        <v>7557</v>
      </c>
      <c r="Q1908" s="20">
        <f>IFERROR(__xludf.DUMMYFUNCTION("""COMPUTED_VALUE"""),11731.0)</f>
        <v>11731</v>
      </c>
    </row>
    <row r="1909">
      <c r="A1909" s="20">
        <f>IFERROR(__xludf.DUMMYFUNCTION("""COMPUTED_VALUE"""),2062.0)</f>
        <v>2062</v>
      </c>
      <c r="B1909" s="20" t="str">
        <f>IFERROR(__xludf.DUMMYFUNCTION("""COMPUTED_VALUE"""),"Game of Nim")</f>
        <v>Game of Nim</v>
      </c>
      <c r="C1909" s="20" t="str">
        <f>IFERROR(__xludf.DUMMYFUNCTION("""COMPUTED_VALUE"""),"game-of-nim")</f>
        <v>game-of-nim</v>
      </c>
      <c r="D1909" s="20" t="b">
        <f>IFERROR(__xludf.DUMMYFUNCTION("""COMPUTED_VALUE"""),TRUE)</f>
        <v>1</v>
      </c>
      <c r="E1909" s="20" t="str">
        <f>IFERROR(__xludf.DUMMYFUNCTION("""COMPUTED_VALUE"""),"Medium")</f>
        <v>Medium</v>
      </c>
      <c r="F1909" s="20">
        <f>IFERROR(__xludf.DUMMYFUNCTION("""COMPUTED_VALUE"""),36.0)</f>
        <v>36</v>
      </c>
      <c r="G1909" s="20">
        <f>IFERROR(__xludf.DUMMYFUNCTION("""COMPUTED_VALUE"""),17.0)</f>
        <v>17</v>
      </c>
      <c r="H1909" s="20" t="str">
        <f>IFERROR(__xludf.DUMMYFUNCTION("""COMPUTED_VALUE"""),"Algorithms")</f>
        <v>Algorithms</v>
      </c>
      <c r="I1909" s="20">
        <f>IFERROR(__xludf.DUMMYFUNCTION("""COMPUTED_VALUE"""),0.57)</f>
        <v>0.57</v>
      </c>
      <c r="J1909" s="20">
        <f>IFERROR(__xludf.DUMMYFUNCTION("""COMPUTED_VALUE"""),1908.0)</f>
        <v>1908</v>
      </c>
      <c r="K1909" s="20" t="b">
        <f>IFERROR(__xludf.DUMMYFUNCTION("""COMPUTED_VALUE"""),TRUE)</f>
        <v>1</v>
      </c>
      <c r="L1909" s="20" t="str">
        <f>IFERROR(__xludf.DUMMYFUNCTION("""COMPUTED_VALUE"""),"Array;Math;Dynamic Programming;Bit Manipulation;Brainteaser;Game Theory;")</f>
        <v>Array;Math;Dynamic Programming;Bit Manipulation;Brainteaser;Game Theory;</v>
      </c>
      <c r="M1909" s="20" t="b">
        <f>IFERROR(__xludf.DUMMYFUNCTION("""COMPUTED_VALUE"""),TRUE)</f>
        <v>1</v>
      </c>
      <c r="N1909" s="20" t="b">
        <f>IFERROR(__xludf.DUMMYFUNCTION("""COMPUTED_VALUE"""),FALSE)</f>
        <v>0</v>
      </c>
      <c r="O1909" s="20">
        <f>IFERROR(__xludf.DUMMYFUNCTION("""COMPUTED_VALUE"""),56.985294117647)</f>
        <v>56.98529412</v>
      </c>
      <c r="P1909" s="20">
        <f>IFERROR(__xludf.DUMMYFUNCTION("""COMPUTED_VALUE"""),1240.0)</f>
        <v>1240</v>
      </c>
      <c r="Q1909" s="20">
        <f>IFERROR(__xludf.DUMMYFUNCTION("""COMPUTED_VALUE"""),2176.0)</f>
        <v>2176</v>
      </c>
    </row>
    <row r="1910">
      <c r="A1910" s="20">
        <f>IFERROR(__xludf.DUMMYFUNCTION("""COMPUTED_VALUE"""),2020.0)</f>
        <v>2020</v>
      </c>
      <c r="B1910" s="20" t="str">
        <f>IFERROR(__xludf.DUMMYFUNCTION("""COMPUTED_VALUE"""),"Remove One Element to Make the Array Strictly Increasing")</f>
        <v>Remove One Element to Make the Array Strictly Increasing</v>
      </c>
      <c r="C1910" s="20" t="str">
        <f>IFERROR(__xludf.DUMMYFUNCTION("""COMPUTED_VALUE"""),"remove-one-element-to-make-the-array-strictly-increasing")</f>
        <v>remove-one-element-to-make-the-array-strictly-increasing</v>
      </c>
      <c r="D1910" s="20" t="b">
        <f>IFERROR(__xludf.DUMMYFUNCTION("""COMPUTED_VALUE"""),FALSE)</f>
        <v>0</v>
      </c>
      <c r="E1910" s="20" t="str">
        <f>IFERROR(__xludf.DUMMYFUNCTION("""COMPUTED_VALUE"""),"Easy")</f>
        <v>Easy</v>
      </c>
      <c r="F1910" s="20">
        <f>IFERROR(__xludf.DUMMYFUNCTION("""COMPUTED_VALUE"""),850.0)</f>
        <v>850</v>
      </c>
      <c r="G1910" s="20">
        <f>IFERROR(__xludf.DUMMYFUNCTION("""COMPUTED_VALUE"""),260.0)</f>
        <v>260</v>
      </c>
      <c r="H1910" s="20" t="str">
        <f>IFERROR(__xludf.DUMMYFUNCTION("""COMPUTED_VALUE"""),"Algorithms")</f>
        <v>Algorithms</v>
      </c>
      <c r="I1910" s="20">
        <f>IFERROR(__xludf.DUMMYFUNCTION("""COMPUTED_VALUE"""),0.26)</f>
        <v>0.26</v>
      </c>
      <c r="J1910" s="20">
        <f>IFERROR(__xludf.DUMMYFUNCTION("""COMPUTED_VALUE"""),1909.0)</f>
        <v>1909</v>
      </c>
      <c r="K1910" s="20" t="b">
        <f>IFERROR(__xludf.DUMMYFUNCTION("""COMPUTED_VALUE"""),FALSE)</f>
        <v>0</v>
      </c>
      <c r="L1910" s="20" t="str">
        <f>IFERROR(__xludf.DUMMYFUNCTION("""COMPUTED_VALUE"""),"Array;")</f>
        <v>Array;</v>
      </c>
      <c r="M1910" s="20" t="b">
        <f>IFERROR(__xludf.DUMMYFUNCTION("""COMPUTED_VALUE"""),FALSE)</f>
        <v>0</v>
      </c>
      <c r="N1910" s="20" t="b">
        <f>IFERROR(__xludf.DUMMYFUNCTION("""COMPUTED_VALUE"""),FALSE)</f>
        <v>0</v>
      </c>
      <c r="O1910" s="20">
        <f>IFERROR(__xludf.DUMMYFUNCTION("""COMPUTED_VALUE"""),26.0287880735124)</f>
        <v>26.02878807</v>
      </c>
      <c r="P1910" s="20">
        <f>IFERROR(__xludf.DUMMYFUNCTION("""COMPUTED_VALUE"""),40506.0)</f>
        <v>40506</v>
      </c>
      <c r="Q1910" s="20">
        <f>IFERROR(__xludf.DUMMYFUNCTION("""COMPUTED_VALUE"""),155618.0)</f>
        <v>155618</v>
      </c>
    </row>
    <row r="1911">
      <c r="A1911" s="20">
        <f>IFERROR(__xludf.DUMMYFUNCTION("""COMPUTED_VALUE"""),2021.0)</f>
        <v>2021</v>
      </c>
      <c r="B1911" s="20" t="str">
        <f>IFERROR(__xludf.DUMMYFUNCTION("""COMPUTED_VALUE"""),"Remove All Occurrences of a Substring")</f>
        <v>Remove All Occurrences of a Substring</v>
      </c>
      <c r="C1911" s="20" t="str">
        <f>IFERROR(__xludf.DUMMYFUNCTION("""COMPUTED_VALUE"""),"remove-all-occurrences-of-a-substring")</f>
        <v>remove-all-occurrences-of-a-substring</v>
      </c>
      <c r="D1911" s="20" t="b">
        <f>IFERROR(__xludf.DUMMYFUNCTION("""COMPUTED_VALUE"""),FALSE)</f>
        <v>0</v>
      </c>
      <c r="E1911" s="20" t="str">
        <f>IFERROR(__xludf.DUMMYFUNCTION("""COMPUTED_VALUE"""),"Medium")</f>
        <v>Medium</v>
      </c>
      <c r="F1911" s="20">
        <f>IFERROR(__xludf.DUMMYFUNCTION("""COMPUTED_VALUE"""),1045.0)</f>
        <v>1045</v>
      </c>
      <c r="G1911" s="20">
        <f>IFERROR(__xludf.DUMMYFUNCTION("""COMPUTED_VALUE"""),44.0)</f>
        <v>44</v>
      </c>
      <c r="H1911" s="20" t="str">
        <f>IFERROR(__xludf.DUMMYFUNCTION("""COMPUTED_VALUE"""),"Algorithms")</f>
        <v>Algorithms</v>
      </c>
      <c r="I1911" s="20">
        <f>IFERROR(__xludf.DUMMYFUNCTION("""COMPUTED_VALUE"""),0.741)</f>
        <v>0.741</v>
      </c>
      <c r="J1911" s="20">
        <f>IFERROR(__xludf.DUMMYFUNCTION("""COMPUTED_VALUE"""),1910.0)</f>
        <v>1910</v>
      </c>
      <c r="K1911" s="20" t="b">
        <f>IFERROR(__xludf.DUMMYFUNCTION("""COMPUTED_VALUE"""),FALSE)</f>
        <v>0</v>
      </c>
      <c r="L1911" s="20" t="str">
        <f>IFERROR(__xludf.DUMMYFUNCTION("""COMPUTED_VALUE"""),"String;")</f>
        <v>String;</v>
      </c>
      <c r="M1911" s="20" t="b">
        <f>IFERROR(__xludf.DUMMYFUNCTION("""COMPUTED_VALUE"""),FALSE)</f>
        <v>0</v>
      </c>
      <c r="N1911" s="20" t="b">
        <f>IFERROR(__xludf.DUMMYFUNCTION("""COMPUTED_VALUE"""),FALSE)</f>
        <v>0</v>
      </c>
      <c r="O1911" s="20">
        <f>IFERROR(__xludf.DUMMYFUNCTION("""COMPUTED_VALUE"""),74.1421985705887)</f>
        <v>74.14219857</v>
      </c>
      <c r="P1911" s="20">
        <f>IFERROR(__xludf.DUMMYFUNCTION("""COMPUTED_VALUE"""),47926.0)</f>
        <v>47926</v>
      </c>
      <c r="Q1911" s="20">
        <f>IFERROR(__xludf.DUMMYFUNCTION("""COMPUTED_VALUE"""),64641.0)</f>
        <v>64641</v>
      </c>
    </row>
    <row r="1912">
      <c r="A1912" s="20">
        <f>IFERROR(__xludf.DUMMYFUNCTION("""COMPUTED_VALUE"""),2022.0)</f>
        <v>2022</v>
      </c>
      <c r="B1912" s="20" t="str">
        <f>IFERROR(__xludf.DUMMYFUNCTION("""COMPUTED_VALUE"""),"Maximum Alternating Subsequence Sum")</f>
        <v>Maximum Alternating Subsequence Sum</v>
      </c>
      <c r="C1912" s="20" t="str">
        <f>IFERROR(__xludf.DUMMYFUNCTION("""COMPUTED_VALUE"""),"maximum-alternating-subsequence-sum")</f>
        <v>maximum-alternating-subsequence-sum</v>
      </c>
      <c r="D1912" s="20" t="b">
        <f>IFERROR(__xludf.DUMMYFUNCTION("""COMPUTED_VALUE"""),FALSE)</f>
        <v>0</v>
      </c>
      <c r="E1912" s="20" t="str">
        <f>IFERROR(__xludf.DUMMYFUNCTION("""COMPUTED_VALUE"""),"Medium")</f>
        <v>Medium</v>
      </c>
      <c r="F1912" s="20">
        <f>IFERROR(__xludf.DUMMYFUNCTION("""COMPUTED_VALUE"""),857.0)</f>
        <v>857</v>
      </c>
      <c r="G1912" s="20">
        <f>IFERROR(__xludf.DUMMYFUNCTION("""COMPUTED_VALUE"""),16.0)</f>
        <v>16</v>
      </c>
      <c r="H1912" s="20" t="str">
        <f>IFERROR(__xludf.DUMMYFUNCTION("""COMPUTED_VALUE"""),"Algorithms")</f>
        <v>Algorithms</v>
      </c>
      <c r="I1912" s="20">
        <f>IFERROR(__xludf.DUMMYFUNCTION("""COMPUTED_VALUE"""),0.593)</f>
        <v>0.593</v>
      </c>
      <c r="J1912" s="20">
        <f>IFERROR(__xludf.DUMMYFUNCTION("""COMPUTED_VALUE"""),1911.0)</f>
        <v>1911</v>
      </c>
      <c r="K1912" s="20" t="b">
        <f>IFERROR(__xludf.DUMMYFUNCTION("""COMPUTED_VALUE"""),FALSE)</f>
        <v>0</v>
      </c>
      <c r="L1912" s="20" t="str">
        <f>IFERROR(__xludf.DUMMYFUNCTION("""COMPUTED_VALUE"""),"Array;Dynamic Programming;")</f>
        <v>Array;Dynamic Programming;</v>
      </c>
      <c r="M1912" s="20" t="b">
        <f>IFERROR(__xludf.DUMMYFUNCTION("""COMPUTED_VALUE"""),FALSE)</f>
        <v>0</v>
      </c>
      <c r="N1912" s="20" t="b">
        <f>IFERROR(__xludf.DUMMYFUNCTION("""COMPUTED_VALUE"""),FALSE)</f>
        <v>0</v>
      </c>
      <c r="O1912" s="20">
        <f>IFERROR(__xludf.DUMMYFUNCTION("""COMPUTED_VALUE"""),59.3015158819433)</f>
        <v>59.30151588</v>
      </c>
      <c r="P1912" s="20">
        <f>IFERROR(__xludf.DUMMYFUNCTION("""COMPUTED_VALUE"""),22142.0)</f>
        <v>22142</v>
      </c>
      <c r="Q1912" s="20">
        <f>IFERROR(__xludf.DUMMYFUNCTION("""COMPUTED_VALUE"""),37338.0)</f>
        <v>37338</v>
      </c>
    </row>
    <row r="1913">
      <c r="A1913" s="20">
        <f>IFERROR(__xludf.DUMMYFUNCTION("""COMPUTED_VALUE"""),2023.0)</f>
        <v>2023</v>
      </c>
      <c r="B1913" s="20" t="str">
        <f>IFERROR(__xludf.DUMMYFUNCTION("""COMPUTED_VALUE"""),"Design Movie Rental System")</f>
        <v>Design Movie Rental System</v>
      </c>
      <c r="C1913" s="20" t="str">
        <f>IFERROR(__xludf.DUMMYFUNCTION("""COMPUTED_VALUE"""),"design-movie-rental-system")</f>
        <v>design-movie-rental-system</v>
      </c>
      <c r="D1913" s="20" t="b">
        <f>IFERROR(__xludf.DUMMYFUNCTION("""COMPUTED_VALUE"""),FALSE)</f>
        <v>0</v>
      </c>
      <c r="E1913" s="20" t="str">
        <f>IFERROR(__xludf.DUMMYFUNCTION("""COMPUTED_VALUE"""),"Hard")</f>
        <v>Hard</v>
      </c>
      <c r="F1913" s="20">
        <f>IFERROR(__xludf.DUMMYFUNCTION("""COMPUTED_VALUE"""),191.0)</f>
        <v>191</v>
      </c>
      <c r="G1913" s="20">
        <f>IFERROR(__xludf.DUMMYFUNCTION("""COMPUTED_VALUE"""),34.0)</f>
        <v>34</v>
      </c>
      <c r="H1913" s="20" t="str">
        <f>IFERROR(__xludf.DUMMYFUNCTION("""COMPUTED_VALUE"""),"Algorithms")</f>
        <v>Algorithms</v>
      </c>
      <c r="I1913" s="20">
        <f>IFERROR(__xludf.DUMMYFUNCTION("""COMPUTED_VALUE"""),0.408)</f>
        <v>0.408</v>
      </c>
      <c r="J1913" s="20">
        <f>IFERROR(__xludf.DUMMYFUNCTION("""COMPUTED_VALUE"""),1912.0)</f>
        <v>1912</v>
      </c>
      <c r="K1913" s="20" t="b">
        <f>IFERROR(__xludf.DUMMYFUNCTION("""COMPUTED_VALUE"""),FALSE)</f>
        <v>0</v>
      </c>
      <c r="L1913" s="20" t="str">
        <f>IFERROR(__xludf.DUMMYFUNCTION("""COMPUTED_VALUE"""),"Array;Hash Table;Design;Heap (Priority Queue);Ordered Set;")</f>
        <v>Array;Hash Table;Design;Heap (Priority Queue);Ordered Set;</v>
      </c>
      <c r="M1913" s="20" t="b">
        <f>IFERROR(__xludf.DUMMYFUNCTION("""COMPUTED_VALUE"""),FALSE)</f>
        <v>0</v>
      </c>
      <c r="N1913" s="20" t="b">
        <f>IFERROR(__xludf.DUMMYFUNCTION("""COMPUTED_VALUE"""),FALSE)</f>
        <v>0</v>
      </c>
      <c r="O1913" s="20">
        <f>IFERROR(__xludf.DUMMYFUNCTION("""COMPUTED_VALUE"""),40.7798325191905)</f>
        <v>40.77983252</v>
      </c>
      <c r="P1913" s="20">
        <f>IFERROR(__xludf.DUMMYFUNCTION("""COMPUTED_VALUE"""),4675.0)</f>
        <v>4675</v>
      </c>
      <c r="Q1913" s="20">
        <f>IFERROR(__xludf.DUMMYFUNCTION("""COMPUTED_VALUE"""),11464.0)</f>
        <v>11464</v>
      </c>
    </row>
    <row r="1914">
      <c r="A1914" s="20">
        <f>IFERROR(__xludf.DUMMYFUNCTION("""COMPUTED_VALUE"""),2042.0)</f>
        <v>2042</v>
      </c>
      <c r="B1914" s="20" t="str">
        <f>IFERROR(__xludf.DUMMYFUNCTION("""COMPUTED_VALUE"""),"Maximum Product Difference Between Two Pairs")</f>
        <v>Maximum Product Difference Between Two Pairs</v>
      </c>
      <c r="C1914" s="20" t="str">
        <f>IFERROR(__xludf.DUMMYFUNCTION("""COMPUTED_VALUE"""),"maximum-product-difference-between-two-pairs")</f>
        <v>maximum-product-difference-between-two-pairs</v>
      </c>
      <c r="D1914" s="20" t="b">
        <f>IFERROR(__xludf.DUMMYFUNCTION("""COMPUTED_VALUE"""),FALSE)</f>
        <v>0</v>
      </c>
      <c r="E1914" s="20" t="str">
        <f>IFERROR(__xludf.DUMMYFUNCTION("""COMPUTED_VALUE"""),"Easy")</f>
        <v>Easy</v>
      </c>
      <c r="F1914" s="20">
        <f>IFERROR(__xludf.DUMMYFUNCTION("""COMPUTED_VALUE"""),625.0)</f>
        <v>625</v>
      </c>
      <c r="G1914" s="20">
        <f>IFERROR(__xludf.DUMMYFUNCTION("""COMPUTED_VALUE"""),34.0)</f>
        <v>34</v>
      </c>
      <c r="H1914" s="20" t="str">
        <f>IFERROR(__xludf.DUMMYFUNCTION("""COMPUTED_VALUE"""),"Algorithms")</f>
        <v>Algorithms</v>
      </c>
      <c r="I1914" s="20">
        <f>IFERROR(__xludf.DUMMYFUNCTION("""COMPUTED_VALUE"""),0.814)</f>
        <v>0.814</v>
      </c>
      <c r="J1914" s="20">
        <f>IFERROR(__xludf.DUMMYFUNCTION("""COMPUTED_VALUE"""),1913.0)</f>
        <v>1913</v>
      </c>
      <c r="K1914" s="20" t="b">
        <f>IFERROR(__xludf.DUMMYFUNCTION("""COMPUTED_VALUE"""),FALSE)</f>
        <v>0</v>
      </c>
      <c r="L1914" s="20" t="str">
        <f>IFERROR(__xludf.DUMMYFUNCTION("""COMPUTED_VALUE"""),"Array;Sorting;")</f>
        <v>Array;Sorting;</v>
      </c>
      <c r="M1914" s="20" t="b">
        <f>IFERROR(__xludf.DUMMYFUNCTION("""COMPUTED_VALUE"""),FALSE)</f>
        <v>0</v>
      </c>
      <c r="N1914" s="20" t="b">
        <f>IFERROR(__xludf.DUMMYFUNCTION("""COMPUTED_VALUE"""),FALSE)</f>
        <v>0</v>
      </c>
      <c r="O1914" s="20">
        <f>IFERROR(__xludf.DUMMYFUNCTION("""COMPUTED_VALUE"""),81.388953831424)</f>
        <v>81.38895383</v>
      </c>
      <c r="P1914" s="20">
        <f>IFERROR(__xludf.DUMMYFUNCTION("""COMPUTED_VALUE"""),73106.0)</f>
        <v>73106</v>
      </c>
      <c r="Q1914" s="20">
        <f>IFERROR(__xludf.DUMMYFUNCTION("""COMPUTED_VALUE"""),89823.0)</f>
        <v>89823</v>
      </c>
    </row>
    <row r="1915">
      <c r="A1915" s="20">
        <f>IFERROR(__xludf.DUMMYFUNCTION("""COMPUTED_VALUE"""),2043.0)</f>
        <v>2043</v>
      </c>
      <c r="B1915" s="20" t="str">
        <f>IFERROR(__xludf.DUMMYFUNCTION("""COMPUTED_VALUE"""),"Cyclically Rotating a Grid")</f>
        <v>Cyclically Rotating a Grid</v>
      </c>
      <c r="C1915" s="20" t="str">
        <f>IFERROR(__xludf.DUMMYFUNCTION("""COMPUTED_VALUE"""),"cyclically-rotating-a-grid")</f>
        <v>cyclically-rotating-a-grid</v>
      </c>
      <c r="D1915" s="20" t="b">
        <f>IFERROR(__xludf.DUMMYFUNCTION("""COMPUTED_VALUE"""),FALSE)</f>
        <v>0</v>
      </c>
      <c r="E1915" s="20" t="str">
        <f>IFERROR(__xludf.DUMMYFUNCTION("""COMPUTED_VALUE"""),"Medium")</f>
        <v>Medium</v>
      </c>
      <c r="F1915" s="20">
        <f>IFERROR(__xludf.DUMMYFUNCTION("""COMPUTED_VALUE"""),197.0)</f>
        <v>197</v>
      </c>
      <c r="G1915" s="20">
        <f>IFERROR(__xludf.DUMMYFUNCTION("""COMPUTED_VALUE"""),251.0)</f>
        <v>251</v>
      </c>
      <c r="H1915" s="20" t="str">
        <f>IFERROR(__xludf.DUMMYFUNCTION("""COMPUTED_VALUE"""),"Algorithms")</f>
        <v>Algorithms</v>
      </c>
      <c r="I1915" s="20">
        <f>IFERROR(__xludf.DUMMYFUNCTION("""COMPUTED_VALUE"""),0.482)</f>
        <v>0.482</v>
      </c>
      <c r="J1915" s="20">
        <f>IFERROR(__xludf.DUMMYFUNCTION("""COMPUTED_VALUE"""),1914.0)</f>
        <v>1914</v>
      </c>
      <c r="K1915" s="20" t="b">
        <f>IFERROR(__xludf.DUMMYFUNCTION("""COMPUTED_VALUE"""),FALSE)</f>
        <v>0</v>
      </c>
      <c r="L1915" s="20" t="str">
        <f>IFERROR(__xludf.DUMMYFUNCTION("""COMPUTED_VALUE"""),"Array;Matrix;Simulation;")</f>
        <v>Array;Matrix;Simulation;</v>
      </c>
      <c r="M1915" s="20" t="b">
        <f>IFERROR(__xludf.DUMMYFUNCTION("""COMPUTED_VALUE"""),FALSE)</f>
        <v>0</v>
      </c>
      <c r="N1915" s="20" t="b">
        <f>IFERROR(__xludf.DUMMYFUNCTION("""COMPUTED_VALUE"""),FALSE)</f>
        <v>0</v>
      </c>
      <c r="O1915" s="20">
        <f>IFERROR(__xludf.DUMMYFUNCTION("""COMPUTED_VALUE"""),48.1652847129964)</f>
        <v>48.16528471</v>
      </c>
      <c r="P1915" s="20">
        <f>IFERROR(__xludf.DUMMYFUNCTION("""COMPUTED_VALUE"""),10514.0)</f>
        <v>10514</v>
      </c>
      <c r="Q1915" s="20">
        <f>IFERROR(__xludf.DUMMYFUNCTION("""COMPUTED_VALUE"""),21829.0)</f>
        <v>21829</v>
      </c>
    </row>
    <row r="1916">
      <c r="A1916" s="20">
        <f>IFERROR(__xludf.DUMMYFUNCTION("""COMPUTED_VALUE"""),2044.0)</f>
        <v>2044</v>
      </c>
      <c r="B1916" s="20" t="str">
        <f>IFERROR(__xludf.DUMMYFUNCTION("""COMPUTED_VALUE"""),"Number of Wonderful Substrings")</f>
        <v>Number of Wonderful Substrings</v>
      </c>
      <c r="C1916" s="20" t="str">
        <f>IFERROR(__xludf.DUMMYFUNCTION("""COMPUTED_VALUE"""),"number-of-wonderful-substrings")</f>
        <v>number-of-wonderful-substrings</v>
      </c>
      <c r="D1916" s="20" t="b">
        <f>IFERROR(__xludf.DUMMYFUNCTION("""COMPUTED_VALUE"""),FALSE)</f>
        <v>0</v>
      </c>
      <c r="E1916" s="20" t="str">
        <f>IFERROR(__xludf.DUMMYFUNCTION("""COMPUTED_VALUE"""),"Medium")</f>
        <v>Medium</v>
      </c>
      <c r="F1916" s="20">
        <f>IFERROR(__xludf.DUMMYFUNCTION("""COMPUTED_VALUE"""),758.0)</f>
        <v>758</v>
      </c>
      <c r="G1916" s="20">
        <f>IFERROR(__xludf.DUMMYFUNCTION("""COMPUTED_VALUE"""),50.0)</f>
        <v>50</v>
      </c>
      <c r="H1916" s="20" t="str">
        <f>IFERROR(__xludf.DUMMYFUNCTION("""COMPUTED_VALUE"""),"Algorithms")</f>
        <v>Algorithms</v>
      </c>
      <c r="I1916" s="20">
        <f>IFERROR(__xludf.DUMMYFUNCTION("""COMPUTED_VALUE"""),0.453)</f>
        <v>0.453</v>
      </c>
      <c r="J1916" s="20">
        <f>IFERROR(__xludf.DUMMYFUNCTION("""COMPUTED_VALUE"""),1915.0)</f>
        <v>1915</v>
      </c>
      <c r="K1916" s="20" t="b">
        <f>IFERROR(__xludf.DUMMYFUNCTION("""COMPUTED_VALUE"""),FALSE)</f>
        <v>0</v>
      </c>
      <c r="L1916" s="20" t="str">
        <f>IFERROR(__xludf.DUMMYFUNCTION("""COMPUTED_VALUE"""),"Hash Table;String;Bit Manipulation;Prefix Sum;")</f>
        <v>Hash Table;String;Bit Manipulation;Prefix Sum;</v>
      </c>
      <c r="M1916" s="20" t="b">
        <f>IFERROR(__xludf.DUMMYFUNCTION("""COMPUTED_VALUE"""),FALSE)</f>
        <v>0</v>
      </c>
      <c r="N1916" s="20" t="b">
        <f>IFERROR(__xludf.DUMMYFUNCTION("""COMPUTED_VALUE"""),FALSE)</f>
        <v>0</v>
      </c>
      <c r="O1916" s="20">
        <f>IFERROR(__xludf.DUMMYFUNCTION("""COMPUTED_VALUE"""),45.3186603700013)</f>
        <v>45.31866037</v>
      </c>
      <c r="P1916" s="20">
        <f>IFERROR(__xludf.DUMMYFUNCTION("""COMPUTED_VALUE"""),10460.0)</f>
        <v>10460</v>
      </c>
      <c r="Q1916" s="20">
        <f>IFERROR(__xludf.DUMMYFUNCTION("""COMPUTED_VALUE"""),23081.0)</f>
        <v>23081</v>
      </c>
    </row>
    <row r="1917">
      <c r="A1917" s="20">
        <f>IFERROR(__xludf.DUMMYFUNCTION("""COMPUTED_VALUE"""),1313.0)</f>
        <v>1313</v>
      </c>
      <c r="B1917" s="20" t="str">
        <f>IFERROR(__xludf.DUMMYFUNCTION("""COMPUTED_VALUE"""),"Count Ways to Build Rooms in an Ant Colony")</f>
        <v>Count Ways to Build Rooms in an Ant Colony</v>
      </c>
      <c r="C1917" s="20" t="str">
        <f>IFERROR(__xludf.DUMMYFUNCTION("""COMPUTED_VALUE"""),"count-ways-to-build-rooms-in-an-ant-colony")</f>
        <v>count-ways-to-build-rooms-in-an-ant-colony</v>
      </c>
      <c r="D1917" s="20" t="b">
        <f>IFERROR(__xludf.DUMMYFUNCTION("""COMPUTED_VALUE"""),FALSE)</f>
        <v>0</v>
      </c>
      <c r="E1917" s="20" t="str">
        <f>IFERROR(__xludf.DUMMYFUNCTION("""COMPUTED_VALUE"""),"Hard")</f>
        <v>Hard</v>
      </c>
      <c r="F1917" s="20">
        <f>IFERROR(__xludf.DUMMYFUNCTION("""COMPUTED_VALUE"""),362.0)</f>
        <v>362</v>
      </c>
      <c r="G1917" s="20">
        <f>IFERROR(__xludf.DUMMYFUNCTION("""COMPUTED_VALUE"""),44.0)</f>
        <v>44</v>
      </c>
      <c r="H1917" s="20" t="str">
        <f>IFERROR(__xludf.DUMMYFUNCTION("""COMPUTED_VALUE"""),"Algorithms")</f>
        <v>Algorithms</v>
      </c>
      <c r="I1917" s="20">
        <f>IFERROR(__xludf.DUMMYFUNCTION("""COMPUTED_VALUE"""),0.493)</f>
        <v>0.493</v>
      </c>
      <c r="J1917" s="20">
        <f>IFERROR(__xludf.DUMMYFUNCTION("""COMPUTED_VALUE"""),1916.0)</f>
        <v>1916</v>
      </c>
      <c r="K1917" s="20" t="b">
        <f>IFERROR(__xludf.DUMMYFUNCTION("""COMPUTED_VALUE"""),FALSE)</f>
        <v>0</v>
      </c>
      <c r="L1917" s="20" t="str">
        <f>IFERROR(__xludf.DUMMYFUNCTION("""COMPUTED_VALUE"""),"Math;Dynamic Programming;Tree;Graph;Topological Sort;Combinatorics;")</f>
        <v>Math;Dynamic Programming;Tree;Graph;Topological Sort;Combinatorics;</v>
      </c>
      <c r="M1917" s="20" t="b">
        <f>IFERROR(__xludf.DUMMYFUNCTION("""COMPUTED_VALUE"""),FALSE)</f>
        <v>0</v>
      </c>
      <c r="N1917" s="20" t="b">
        <f>IFERROR(__xludf.DUMMYFUNCTION("""COMPUTED_VALUE"""),FALSE)</f>
        <v>0</v>
      </c>
      <c r="O1917" s="20">
        <f>IFERROR(__xludf.DUMMYFUNCTION("""COMPUTED_VALUE"""),49.2918688719421)</f>
        <v>49.29186887</v>
      </c>
      <c r="P1917" s="20">
        <f>IFERROR(__xludf.DUMMYFUNCTION("""COMPUTED_VALUE"""),4977.0)</f>
        <v>4977</v>
      </c>
      <c r="Q1917" s="20">
        <f>IFERROR(__xludf.DUMMYFUNCTION("""COMPUTED_VALUE"""),10097.0)</f>
        <v>10097</v>
      </c>
    </row>
    <row r="1918">
      <c r="A1918" s="20">
        <f>IFERROR(__xludf.DUMMYFUNCTION("""COMPUTED_VALUE"""),2063.0)</f>
        <v>2063</v>
      </c>
      <c r="B1918" s="20" t="str">
        <f>IFERROR(__xludf.DUMMYFUNCTION("""COMPUTED_VALUE"""),"Leetcodify Friends Recommendations")</f>
        <v>Leetcodify Friends Recommendations</v>
      </c>
      <c r="C1918" s="20" t="str">
        <f>IFERROR(__xludf.DUMMYFUNCTION("""COMPUTED_VALUE"""),"leetcodify-friends-recommendations")</f>
        <v>leetcodify-friends-recommendations</v>
      </c>
      <c r="D1918" s="20" t="b">
        <f>IFERROR(__xludf.DUMMYFUNCTION("""COMPUTED_VALUE"""),TRUE)</f>
        <v>1</v>
      </c>
      <c r="E1918" s="20" t="str">
        <f>IFERROR(__xludf.DUMMYFUNCTION("""COMPUTED_VALUE"""),"Hard")</f>
        <v>Hard</v>
      </c>
      <c r="F1918" s="20">
        <f>IFERROR(__xludf.DUMMYFUNCTION("""COMPUTED_VALUE"""),48.0)</f>
        <v>48</v>
      </c>
      <c r="G1918" s="20">
        <f>IFERROR(__xludf.DUMMYFUNCTION("""COMPUTED_VALUE"""),26.0)</f>
        <v>26</v>
      </c>
      <c r="H1918" s="20" t="str">
        <f>IFERROR(__xludf.DUMMYFUNCTION("""COMPUTED_VALUE"""),"Database")</f>
        <v>Database</v>
      </c>
      <c r="I1918" s="20">
        <f>IFERROR(__xludf.DUMMYFUNCTION("""COMPUTED_VALUE"""),0.287)</f>
        <v>0.287</v>
      </c>
      <c r="J1918" s="20">
        <f>IFERROR(__xludf.DUMMYFUNCTION("""COMPUTED_VALUE"""),1917.0)</f>
        <v>1917</v>
      </c>
      <c r="K1918" s="20" t="b">
        <f>IFERROR(__xludf.DUMMYFUNCTION("""COMPUTED_VALUE"""),TRUE)</f>
        <v>1</v>
      </c>
      <c r="L1918" s="20" t="str">
        <f>IFERROR(__xludf.DUMMYFUNCTION("""COMPUTED_VALUE"""),"Database;")</f>
        <v>Database;</v>
      </c>
      <c r="M1918" s="20" t="b">
        <f>IFERROR(__xludf.DUMMYFUNCTION("""COMPUTED_VALUE"""),FALSE)</f>
        <v>0</v>
      </c>
      <c r="N1918" s="20" t="b">
        <f>IFERROR(__xludf.DUMMYFUNCTION("""COMPUTED_VALUE"""),FALSE)</f>
        <v>0</v>
      </c>
      <c r="O1918" s="20">
        <f>IFERROR(__xludf.DUMMYFUNCTION("""COMPUTED_VALUE"""),28.6583803177857)</f>
        <v>28.65838032</v>
      </c>
      <c r="P1918" s="20">
        <f>IFERROR(__xludf.DUMMYFUNCTION("""COMPUTED_VALUE"""),4473.0)</f>
        <v>4473</v>
      </c>
      <c r="Q1918" s="20">
        <f>IFERROR(__xludf.DUMMYFUNCTION("""COMPUTED_VALUE"""),15608.0)</f>
        <v>15608</v>
      </c>
    </row>
    <row r="1919">
      <c r="A1919" s="20">
        <f>IFERROR(__xludf.DUMMYFUNCTION("""COMPUTED_VALUE"""),2069.0)</f>
        <v>2069</v>
      </c>
      <c r="B1919" s="20" t="str">
        <f>IFERROR(__xludf.DUMMYFUNCTION("""COMPUTED_VALUE"""),"Kth Smallest Subarray Sum")</f>
        <v>Kth Smallest Subarray Sum</v>
      </c>
      <c r="C1919" s="20" t="str">
        <f>IFERROR(__xludf.DUMMYFUNCTION("""COMPUTED_VALUE"""),"kth-smallest-subarray-sum")</f>
        <v>kth-smallest-subarray-sum</v>
      </c>
      <c r="D1919" s="20" t="b">
        <f>IFERROR(__xludf.DUMMYFUNCTION("""COMPUTED_VALUE"""),TRUE)</f>
        <v>1</v>
      </c>
      <c r="E1919" s="20" t="str">
        <f>IFERROR(__xludf.DUMMYFUNCTION("""COMPUTED_VALUE"""),"Medium")</f>
        <v>Medium</v>
      </c>
      <c r="F1919" s="20">
        <f>IFERROR(__xludf.DUMMYFUNCTION("""COMPUTED_VALUE"""),155.0)</f>
        <v>155</v>
      </c>
      <c r="G1919" s="20">
        <f>IFERROR(__xludf.DUMMYFUNCTION("""COMPUTED_VALUE"""),5.0)</f>
        <v>5</v>
      </c>
      <c r="H1919" s="20" t="str">
        <f>IFERROR(__xludf.DUMMYFUNCTION("""COMPUTED_VALUE"""),"Algorithms")</f>
        <v>Algorithms</v>
      </c>
      <c r="I1919" s="20">
        <f>IFERROR(__xludf.DUMMYFUNCTION("""COMPUTED_VALUE"""),0.528)</f>
        <v>0.528</v>
      </c>
      <c r="J1919" s="20">
        <f>IFERROR(__xludf.DUMMYFUNCTION("""COMPUTED_VALUE"""),1918.0)</f>
        <v>1918</v>
      </c>
      <c r="K1919" s="20" t="b">
        <f>IFERROR(__xludf.DUMMYFUNCTION("""COMPUTED_VALUE"""),TRUE)</f>
        <v>1</v>
      </c>
      <c r="L1919" s="20" t="str">
        <f>IFERROR(__xludf.DUMMYFUNCTION("""COMPUTED_VALUE"""),"Array;Binary Search;Sliding Window;")</f>
        <v>Array;Binary Search;Sliding Window;</v>
      </c>
      <c r="M1919" s="20" t="b">
        <f>IFERROR(__xludf.DUMMYFUNCTION("""COMPUTED_VALUE"""),FALSE)</f>
        <v>0</v>
      </c>
      <c r="N1919" s="20" t="b">
        <f>IFERROR(__xludf.DUMMYFUNCTION("""COMPUTED_VALUE"""),FALSE)</f>
        <v>0</v>
      </c>
      <c r="O1919" s="20">
        <f>IFERROR(__xludf.DUMMYFUNCTION("""COMPUTED_VALUE"""),52.7552101730837)</f>
        <v>52.75521017</v>
      </c>
      <c r="P1919" s="20">
        <f>IFERROR(__xludf.DUMMYFUNCTION("""COMPUTED_VALUE"""),2987.0)</f>
        <v>2987</v>
      </c>
      <c r="Q1919" s="20">
        <f>IFERROR(__xludf.DUMMYFUNCTION("""COMPUTED_VALUE"""),5662.0)</f>
        <v>5662</v>
      </c>
    </row>
    <row r="1920">
      <c r="A1920" s="20">
        <f>IFERROR(__xludf.DUMMYFUNCTION("""COMPUTED_VALUE"""),2064.0)</f>
        <v>2064</v>
      </c>
      <c r="B1920" s="20" t="str">
        <f>IFERROR(__xludf.DUMMYFUNCTION("""COMPUTED_VALUE"""),"Leetcodify Similar Friends")</f>
        <v>Leetcodify Similar Friends</v>
      </c>
      <c r="C1920" s="20" t="str">
        <f>IFERROR(__xludf.DUMMYFUNCTION("""COMPUTED_VALUE"""),"leetcodify-similar-friends")</f>
        <v>leetcodify-similar-friends</v>
      </c>
      <c r="D1920" s="20" t="b">
        <f>IFERROR(__xludf.DUMMYFUNCTION("""COMPUTED_VALUE"""),TRUE)</f>
        <v>1</v>
      </c>
      <c r="E1920" s="20" t="str">
        <f>IFERROR(__xludf.DUMMYFUNCTION("""COMPUTED_VALUE"""),"Hard")</f>
        <v>Hard</v>
      </c>
      <c r="F1920" s="20">
        <f>IFERROR(__xludf.DUMMYFUNCTION("""COMPUTED_VALUE"""),43.0)</f>
        <v>43</v>
      </c>
      <c r="G1920" s="20">
        <f>IFERROR(__xludf.DUMMYFUNCTION("""COMPUTED_VALUE"""),6.0)</f>
        <v>6</v>
      </c>
      <c r="H1920" s="20" t="str">
        <f>IFERROR(__xludf.DUMMYFUNCTION("""COMPUTED_VALUE"""),"Database")</f>
        <v>Database</v>
      </c>
      <c r="I1920" s="20">
        <f>IFERROR(__xludf.DUMMYFUNCTION("""COMPUTED_VALUE"""),0.433)</f>
        <v>0.433</v>
      </c>
      <c r="J1920" s="20">
        <f>IFERROR(__xludf.DUMMYFUNCTION("""COMPUTED_VALUE"""),1919.0)</f>
        <v>1919</v>
      </c>
      <c r="K1920" s="20" t="b">
        <f>IFERROR(__xludf.DUMMYFUNCTION("""COMPUTED_VALUE"""),TRUE)</f>
        <v>1</v>
      </c>
      <c r="L1920" s="20" t="str">
        <f>IFERROR(__xludf.DUMMYFUNCTION("""COMPUTED_VALUE"""),"Database;")</f>
        <v>Database;</v>
      </c>
      <c r="M1920" s="20" t="b">
        <f>IFERROR(__xludf.DUMMYFUNCTION("""COMPUTED_VALUE"""),FALSE)</f>
        <v>0</v>
      </c>
      <c r="N1920" s="20" t="b">
        <f>IFERROR(__xludf.DUMMYFUNCTION("""COMPUTED_VALUE"""),FALSE)</f>
        <v>0</v>
      </c>
      <c r="O1920" s="20">
        <f>IFERROR(__xludf.DUMMYFUNCTION("""COMPUTED_VALUE"""),43.3321706778281)</f>
        <v>43.33217068</v>
      </c>
      <c r="P1920" s="20">
        <f>IFERROR(__xludf.DUMMYFUNCTION("""COMPUTED_VALUE"""),3727.0)</f>
        <v>3727</v>
      </c>
      <c r="Q1920" s="20">
        <f>IFERROR(__xludf.DUMMYFUNCTION("""COMPUTED_VALUE"""),8601.0)</f>
        <v>8601</v>
      </c>
    </row>
    <row r="1921">
      <c r="A1921" s="20">
        <f>IFERROR(__xludf.DUMMYFUNCTION("""COMPUTED_VALUE"""),2048.0)</f>
        <v>2048</v>
      </c>
      <c r="B1921" s="20" t="str">
        <f>IFERROR(__xludf.DUMMYFUNCTION("""COMPUTED_VALUE"""),"Build Array from Permutation")</f>
        <v>Build Array from Permutation</v>
      </c>
      <c r="C1921" s="20" t="str">
        <f>IFERROR(__xludf.DUMMYFUNCTION("""COMPUTED_VALUE"""),"build-array-from-permutation")</f>
        <v>build-array-from-permutation</v>
      </c>
      <c r="D1921" s="20" t="b">
        <f>IFERROR(__xludf.DUMMYFUNCTION("""COMPUTED_VALUE"""),FALSE)</f>
        <v>0</v>
      </c>
      <c r="E1921" s="20" t="str">
        <f>IFERROR(__xludf.DUMMYFUNCTION("""COMPUTED_VALUE"""),"Easy")</f>
        <v>Easy</v>
      </c>
      <c r="F1921" s="20">
        <f>IFERROR(__xludf.DUMMYFUNCTION("""COMPUTED_VALUE"""),2135.0)</f>
        <v>2135</v>
      </c>
      <c r="G1921" s="20">
        <f>IFERROR(__xludf.DUMMYFUNCTION("""COMPUTED_VALUE"""),238.0)</f>
        <v>238</v>
      </c>
      <c r="H1921" s="20" t="str">
        <f>IFERROR(__xludf.DUMMYFUNCTION("""COMPUTED_VALUE"""),"Algorithms")</f>
        <v>Algorithms</v>
      </c>
      <c r="I1921" s="20">
        <f>IFERROR(__xludf.DUMMYFUNCTION("""COMPUTED_VALUE"""),0.91)</f>
        <v>0.91</v>
      </c>
      <c r="J1921" s="20">
        <f>IFERROR(__xludf.DUMMYFUNCTION("""COMPUTED_VALUE"""),1920.0)</f>
        <v>1920</v>
      </c>
      <c r="K1921" s="20" t="b">
        <f>IFERROR(__xludf.DUMMYFUNCTION("""COMPUTED_VALUE"""),FALSE)</f>
        <v>0</v>
      </c>
      <c r="L1921" s="20" t="str">
        <f>IFERROR(__xludf.DUMMYFUNCTION("""COMPUTED_VALUE"""),"Array;Simulation;")</f>
        <v>Array;Simulation;</v>
      </c>
      <c r="M1921" s="20" t="b">
        <f>IFERROR(__xludf.DUMMYFUNCTION("""COMPUTED_VALUE"""),FALSE)</f>
        <v>0</v>
      </c>
      <c r="N1921" s="20" t="b">
        <f>IFERROR(__xludf.DUMMYFUNCTION("""COMPUTED_VALUE"""),FALSE)</f>
        <v>0</v>
      </c>
      <c r="O1921" s="20">
        <f>IFERROR(__xludf.DUMMYFUNCTION("""COMPUTED_VALUE"""),91.0084172640009)</f>
        <v>91.00841726</v>
      </c>
      <c r="P1921" s="20">
        <f>IFERROR(__xludf.DUMMYFUNCTION("""COMPUTED_VALUE"""),269537.0)</f>
        <v>269537</v>
      </c>
      <c r="Q1921" s="20">
        <f>IFERROR(__xludf.DUMMYFUNCTION("""COMPUTED_VALUE"""),296167.0)</f>
        <v>296167</v>
      </c>
    </row>
    <row r="1922">
      <c r="A1922" s="20">
        <f>IFERROR(__xludf.DUMMYFUNCTION("""COMPUTED_VALUE"""),2049.0)</f>
        <v>2049</v>
      </c>
      <c r="B1922" s="20" t="str">
        <f>IFERROR(__xludf.DUMMYFUNCTION("""COMPUTED_VALUE"""),"Eliminate Maximum Number of Monsters")</f>
        <v>Eliminate Maximum Number of Monsters</v>
      </c>
      <c r="C1922" s="20" t="str">
        <f>IFERROR(__xludf.DUMMYFUNCTION("""COMPUTED_VALUE"""),"eliminate-maximum-number-of-monsters")</f>
        <v>eliminate-maximum-number-of-monsters</v>
      </c>
      <c r="D1922" s="20" t="b">
        <f>IFERROR(__xludf.DUMMYFUNCTION("""COMPUTED_VALUE"""),FALSE)</f>
        <v>0</v>
      </c>
      <c r="E1922" s="20" t="str">
        <f>IFERROR(__xludf.DUMMYFUNCTION("""COMPUTED_VALUE"""),"Medium")</f>
        <v>Medium</v>
      </c>
      <c r="F1922" s="20">
        <f>IFERROR(__xludf.DUMMYFUNCTION("""COMPUTED_VALUE"""),397.0)</f>
        <v>397</v>
      </c>
      <c r="G1922" s="20">
        <f>IFERROR(__xludf.DUMMYFUNCTION("""COMPUTED_VALUE"""),60.0)</f>
        <v>60</v>
      </c>
      <c r="H1922" s="20" t="str">
        <f>IFERROR(__xludf.DUMMYFUNCTION("""COMPUTED_VALUE"""),"Algorithms")</f>
        <v>Algorithms</v>
      </c>
      <c r="I1922" s="20">
        <f>IFERROR(__xludf.DUMMYFUNCTION("""COMPUTED_VALUE"""),0.378)</f>
        <v>0.378</v>
      </c>
      <c r="J1922" s="20">
        <f>IFERROR(__xludf.DUMMYFUNCTION("""COMPUTED_VALUE"""),1921.0)</f>
        <v>1921</v>
      </c>
      <c r="K1922" s="20" t="b">
        <f>IFERROR(__xludf.DUMMYFUNCTION("""COMPUTED_VALUE"""),FALSE)</f>
        <v>0</v>
      </c>
      <c r="L1922" s="20" t="str">
        <f>IFERROR(__xludf.DUMMYFUNCTION("""COMPUTED_VALUE"""),"Array;Greedy;Sorting;")</f>
        <v>Array;Greedy;Sorting;</v>
      </c>
      <c r="M1922" s="20" t="b">
        <f>IFERROR(__xludf.DUMMYFUNCTION("""COMPUTED_VALUE"""),FALSE)</f>
        <v>0</v>
      </c>
      <c r="N1922" s="20" t="b">
        <f>IFERROR(__xludf.DUMMYFUNCTION("""COMPUTED_VALUE"""),FALSE)</f>
        <v>0</v>
      </c>
      <c r="O1922" s="20">
        <f>IFERROR(__xludf.DUMMYFUNCTION("""COMPUTED_VALUE"""),37.7693934716743)</f>
        <v>37.76939347</v>
      </c>
      <c r="P1922" s="20">
        <f>IFERROR(__xludf.DUMMYFUNCTION("""COMPUTED_VALUE"""),19820.0)</f>
        <v>19820</v>
      </c>
      <c r="Q1922" s="20">
        <f>IFERROR(__xludf.DUMMYFUNCTION("""COMPUTED_VALUE"""),52478.0)</f>
        <v>52478</v>
      </c>
    </row>
    <row r="1923">
      <c r="A1923" s="20">
        <f>IFERROR(__xludf.DUMMYFUNCTION("""COMPUTED_VALUE"""),2050.0)</f>
        <v>2050</v>
      </c>
      <c r="B1923" s="20" t="str">
        <f>IFERROR(__xludf.DUMMYFUNCTION("""COMPUTED_VALUE"""),"Count Good Numbers")</f>
        <v>Count Good Numbers</v>
      </c>
      <c r="C1923" s="20" t="str">
        <f>IFERROR(__xludf.DUMMYFUNCTION("""COMPUTED_VALUE"""),"count-good-numbers")</f>
        <v>count-good-numbers</v>
      </c>
      <c r="D1923" s="20" t="b">
        <f>IFERROR(__xludf.DUMMYFUNCTION("""COMPUTED_VALUE"""),FALSE)</f>
        <v>0</v>
      </c>
      <c r="E1923" s="20" t="str">
        <f>IFERROR(__xludf.DUMMYFUNCTION("""COMPUTED_VALUE"""),"Medium")</f>
        <v>Medium</v>
      </c>
      <c r="F1923" s="20">
        <f>IFERROR(__xludf.DUMMYFUNCTION("""COMPUTED_VALUE"""),586.0)</f>
        <v>586</v>
      </c>
      <c r="G1923" s="20">
        <f>IFERROR(__xludf.DUMMYFUNCTION("""COMPUTED_VALUE"""),279.0)</f>
        <v>279</v>
      </c>
      <c r="H1923" s="20" t="str">
        <f>IFERROR(__xludf.DUMMYFUNCTION("""COMPUTED_VALUE"""),"Algorithms")</f>
        <v>Algorithms</v>
      </c>
      <c r="I1923" s="20">
        <f>IFERROR(__xludf.DUMMYFUNCTION("""COMPUTED_VALUE"""),0.386)</f>
        <v>0.386</v>
      </c>
      <c r="J1923" s="20">
        <f>IFERROR(__xludf.DUMMYFUNCTION("""COMPUTED_VALUE"""),1922.0)</f>
        <v>1922</v>
      </c>
      <c r="K1923" s="20" t="b">
        <f>IFERROR(__xludf.DUMMYFUNCTION("""COMPUTED_VALUE"""),FALSE)</f>
        <v>0</v>
      </c>
      <c r="L1923" s="20" t="str">
        <f>IFERROR(__xludf.DUMMYFUNCTION("""COMPUTED_VALUE"""),"Math;Recursion;")</f>
        <v>Math;Recursion;</v>
      </c>
      <c r="M1923" s="20" t="b">
        <f>IFERROR(__xludf.DUMMYFUNCTION("""COMPUTED_VALUE"""),FALSE)</f>
        <v>0</v>
      </c>
      <c r="N1923" s="20" t="b">
        <f>IFERROR(__xludf.DUMMYFUNCTION("""COMPUTED_VALUE"""),FALSE)</f>
        <v>0</v>
      </c>
      <c r="O1923" s="20">
        <f>IFERROR(__xludf.DUMMYFUNCTION("""COMPUTED_VALUE"""),38.5990733169801)</f>
        <v>38.59907332</v>
      </c>
      <c r="P1923" s="20">
        <f>IFERROR(__xludf.DUMMYFUNCTION("""COMPUTED_VALUE"""),21242.0)</f>
        <v>21242</v>
      </c>
      <c r="Q1923" s="20">
        <f>IFERROR(__xludf.DUMMYFUNCTION("""COMPUTED_VALUE"""),55034.0)</f>
        <v>55034</v>
      </c>
    </row>
    <row r="1924">
      <c r="A1924" s="20">
        <f>IFERROR(__xludf.DUMMYFUNCTION("""COMPUTED_VALUE"""),2051.0)</f>
        <v>2051</v>
      </c>
      <c r="B1924" s="20" t="str">
        <f>IFERROR(__xludf.DUMMYFUNCTION("""COMPUTED_VALUE"""),"Longest Common Subpath")</f>
        <v>Longest Common Subpath</v>
      </c>
      <c r="C1924" s="20" t="str">
        <f>IFERROR(__xludf.DUMMYFUNCTION("""COMPUTED_VALUE"""),"longest-common-subpath")</f>
        <v>longest-common-subpath</v>
      </c>
      <c r="D1924" s="20" t="b">
        <f>IFERROR(__xludf.DUMMYFUNCTION("""COMPUTED_VALUE"""),FALSE)</f>
        <v>0</v>
      </c>
      <c r="E1924" s="20" t="str">
        <f>IFERROR(__xludf.DUMMYFUNCTION("""COMPUTED_VALUE"""),"Hard")</f>
        <v>Hard</v>
      </c>
      <c r="F1924" s="20">
        <f>IFERROR(__xludf.DUMMYFUNCTION("""COMPUTED_VALUE"""),404.0)</f>
        <v>404</v>
      </c>
      <c r="G1924" s="20">
        <f>IFERROR(__xludf.DUMMYFUNCTION("""COMPUTED_VALUE"""),31.0)</f>
        <v>31</v>
      </c>
      <c r="H1924" s="20" t="str">
        <f>IFERROR(__xludf.DUMMYFUNCTION("""COMPUTED_VALUE"""),"Algorithms")</f>
        <v>Algorithms</v>
      </c>
      <c r="I1924" s="20">
        <f>IFERROR(__xludf.DUMMYFUNCTION("""COMPUTED_VALUE"""),0.279)</f>
        <v>0.279</v>
      </c>
      <c r="J1924" s="20">
        <f>IFERROR(__xludf.DUMMYFUNCTION("""COMPUTED_VALUE"""),1923.0)</f>
        <v>1923</v>
      </c>
      <c r="K1924" s="20" t="b">
        <f>IFERROR(__xludf.DUMMYFUNCTION("""COMPUTED_VALUE"""),FALSE)</f>
        <v>0</v>
      </c>
      <c r="L1924" s="20" t="str">
        <f>IFERROR(__xludf.DUMMYFUNCTION("""COMPUTED_VALUE"""),"Array;Binary Search;Rolling Hash;Suffix Array;Hash Function;")</f>
        <v>Array;Binary Search;Rolling Hash;Suffix Array;Hash Function;</v>
      </c>
      <c r="M1924" s="20" t="b">
        <f>IFERROR(__xludf.DUMMYFUNCTION("""COMPUTED_VALUE"""),FALSE)</f>
        <v>0</v>
      </c>
      <c r="N1924" s="20" t="b">
        <f>IFERROR(__xludf.DUMMYFUNCTION("""COMPUTED_VALUE"""),FALSE)</f>
        <v>0</v>
      </c>
      <c r="O1924" s="20">
        <f>IFERROR(__xludf.DUMMYFUNCTION("""COMPUTED_VALUE"""),27.8517383392395)</f>
        <v>27.85173834</v>
      </c>
      <c r="P1924" s="20">
        <f>IFERROR(__xludf.DUMMYFUNCTION("""COMPUTED_VALUE"""),5816.0)</f>
        <v>5816</v>
      </c>
      <c r="Q1924" s="20">
        <f>IFERROR(__xludf.DUMMYFUNCTION("""COMPUTED_VALUE"""),20882.0)</f>
        <v>20882</v>
      </c>
    </row>
    <row r="1925">
      <c r="A1925" s="20">
        <f>IFERROR(__xludf.DUMMYFUNCTION("""COMPUTED_VALUE"""),2074.0)</f>
        <v>2074</v>
      </c>
      <c r="B1925" s="20" t="str">
        <f>IFERROR(__xludf.DUMMYFUNCTION("""COMPUTED_VALUE"""),"Erect the Fence II")</f>
        <v>Erect the Fence II</v>
      </c>
      <c r="C1925" s="20" t="str">
        <f>IFERROR(__xludf.DUMMYFUNCTION("""COMPUTED_VALUE"""),"erect-the-fence-ii")</f>
        <v>erect-the-fence-ii</v>
      </c>
      <c r="D1925" s="20" t="b">
        <f>IFERROR(__xludf.DUMMYFUNCTION("""COMPUTED_VALUE"""),TRUE)</f>
        <v>1</v>
      </c>
      <c r="E1925" s="20" t="str">
        <f>IFERROR(__xludf.DUMMYFUNCTION("""COMPUTED_VALUE"""),"Hard")</f>
        <v>Hard</v>
      </c>
      <c r="F1925" s="20">
        <f>IFERROR(__xludf.DUMMYFUNCTION("""COMPUTED_VALUE"""),10.0)</f>
        <v>10</v>
      </c>
      <c r="G1925" s="20">
        <f>IFERROR(__xludf.DUMMYFUNCTION("""COMPUTED_VALUE"""),36.0)</f>
        <v>36</v>
      </c>
      <c r="H1925" s="20" t="str">
        <f>IFERROR(__xludf.DUMMYFUNCTION("""COMPUTED_VALUE"""),"Algorithms")</f>
        <v>Algorithms</v>
      </c>
      <c r="I1925" s="20">
        <f>IFERROR(__xludf.DUMMYFUNCTION("""COMPUTED_VALUE"""),0.54)</f>
        <v>0.54</v>
      </c>
      <c r="J1925" s="20">
        <f>IFERROR(__xludf.DUMMYFUNCTION("""COMPUTED_VALUE"""),1924.0)</f>
        <v>1924</v>
      </c>
      <c r="K1925" s="20" t="b">
        <f>IFERROR(__xludf.DUMMYFUNCTION("""COMPUTED_VALUE"""),TRUE)</f>
        <v>1</v>
      </c>
      <c r="L1925" s="20" t="str">
        <f>IFERROR(__xludf.DUMMYFUNCTION("""COMPUTED_VALUE"""),"Array;Math;Geometry;")</f>
        <v>Array;Math;Geometry;</v>
      </c>
      <c r="M1925" s="20" t="b">
        <f>IFERROR(__xludf.DUMMYFUNCTION("""COMPUTED_VALUE"""),FALSE)</f>
        <v>0</v>
      </c>
      <c r="N1925" s="20" t="b">
        <f>IFERROR(__xludf.DUMMYFUNCTION("""COMPUTED_VALUE"""),FALSE)</f>
        <v>0</v>
      </c>
      <c r="O1925" s="20">
        <f>IFERROR(__xludf.DUMMYFUNCTION("""COMPUTED_VALUE"""),53.9959016393442)</f>
        <v>53.99590164</v>
      </c>
      <c r="P1925" s="20">
        <f>IFERROR(__xludf.DUMMYFUNCTION("""COMPUTED_VALUE"""),527.0)</f>
        <v>527</v>
      </c>
      <c r="Q1925" s="20">
        <f>IFERROR(__xludf.DUMMYFUNCTION("""COMPUTED_VALUE"""),976.0)</f>
        <v>976</v>
      </c>
    </row>
    <row r="1926">
      <c r="A1926" s="20">
        <f>IFERROR(__xludf.DUMMYFUNCTION("""COMPUTED_VALUE"""),2037.0)</f>
        <v>2037</v>
      </c>
      <c r="B1926" s="20" t="str">
        <f>IFERROR(__xludf.DUMMYFUNCTION("""COMPUTED_VALUE"""),"Count Square Sum Triples")</f>
        <v>Count Square Sum Triples</v>
      </c>
      <c r="C1926" s="20" t="str">
        <f>IFERROR(__xludf.DUMMYFUNCTION("""COMPUTED_VALUE"""),"count-square-sum-triples")</f>
        <v>count-square-sum-triples</v>
      </c>
      <c r="D1926" s="20" t="b">
        <f>IFERROR(__xludf.DUMMYFUNCTION("""COMPUTED_VALUE"""),FALSE)</f>
        <v>0</v>
      </c>
      <c r="E1926" s="20" t="str">
        <f>IFERROR(__xludf.DUMMYFUNCTION("""COMPUTED_VALUE"""),"Easy")</f>
        <v>Easy</v>
      </c>
      <c r="F1926" s="20">
        <f>IFERROR(__xludf.DUMMYFUNCTION("""COMPUTED_VALUE"""),296.0)</f>
        <v>296</v>
      </c>
      <c r="G1926" s="20">
        <f>IFERROR(__xludf.DUMMYFUNCTION("""COMPUTED_VALUE"""),25.0)</f>
        <v>25</v>
      </c>
      <c r="H1926" s="20" t="str">
        <f>IFERROR(__xludf.DUMMYFUNCTION("""COMPUTED_VALUE"""),"Algorithms")</f>
        <v>Algorithms</v>
      </c>
      <c r="I1926" s="20">
        <f>IFERROR(__xludf.DUMMYFUNCTION("""COMPUTED_VALUE"""),0.679)</f>
        <v>0.679</v>
      </c>
      <c r="J1926" s="20">
        <f>IFERROR(__xludf.DUMMYFUNCTION("""COMPUTED_VALUE"""),1925.0)</f>
        <v>1925</v>
      </c>
      <c r="K1926" s="20" t="b">
        <f>IFERROR(__xludf.DUMMYFUNCTION("""COMPUTED_VALUE"""),FALSE)</f>
        <v>0</v>
      </c>
      <c r="L1926" s="20" t="str">
        <f>IFERROR(__xludf.DUMMYFUNCTION("""COMPUTED_VALUE"""),"Math;Enumeration;")</f>
        <v>Math;Enumeration;</v>
      </c>
      <c r="M1926" s="20" t="b">
        <f>IFERROR(__xludf.DUMMYFUNCTION("""COMPUTED_VALUE"""),FALSE)</f>
        <v>0</v>
      </c>
      <c r="N1926" s="20" t="b">
        <f>IFERROR(__xludf.DUMMYFUNCTION("""COMPUTED_VALUE"""),FALSE)</f>
        <v>0</v>
      </c>
      <c r="O1926" s="20">
        <f>IFERROR(__xludf.DUMMYFUNCTION("""COMPUTED_VALUE"""),67.9492898227491)</f>
        <v>67.94928982</v>
      </c>
      <c r="P1926" s="20">
        <f>IFERROR(__xludf.DUMMYFUNCTION("""COMPUTED_VALUE"""),28943.0)</f>
        <v>28943</v>
      </c>
      <c r="Q1926" s="20">
        <f>IFERROR(__xludf.DUMMYFUNCTION("""COMPUTED_VALUE"""),42595.0)</f>
        <v>42595</v>
      </c>
    </row>
    <row r="1927">
      <c r="A1927" s="20">
        <f>IFERROR(__xludf.DUMMYFUNCTION("""COMPUTED_VALUE"""),2038.0)</f>
        <v>2038</v>
      </c>
      <c r="B1927" s="20" t="str">
        <f>IFERROR(__xludf.DUMMYFUNCTION("""COMPUTED_VALUE"""),"Nearest Exit from Entrance in Maze")</f>
        <v>Nearest Exit from Entrance in Maze</v>
      </c>
      <c r="C1927" s="20" t="str">
        <f>IFERROR(__xludf.DUMMYFUNCTION("""COMPUTED_VALUE"""),"nearest-exit-from-entrance-in-maze")</f>
        <v>nearest-exit-from-entrance-in-maze</v>
      </c>
      <c r="D1927" s="20" t="b">
        <f>IFERROR(__xludf.DUMMYFUNCTION("""COMPUTED_VALUE"""),FALSE)</f>
        <v>0</v>
      </c>
      <c r="E1927" s="20" t="str">
        <f>IFERROR(__xludf.DUMMYFUNCTION("""COMPUTED_VALUE"""),"Medium")</f>
        <v>Medium</v>
      </c>
      <c r="F1927" s="20">
        <f>IFERROR(__xludf.DUMMYFUNCTION("""COMPUTED_VALUE"""),1676.0)</f>
        <v>1676</v>
      </c>
      <c r="G1927" s="20">
        <f>IFERROR(__xludf.DUMMYFUNCTION("""COMPUTED_VALUE"""),60.0)</f>
        <v>60</v>
      </c>
      <c r="H1927" s="20" t="str">
        <f>IFERROR(__xludf.DUMMYFUNCTION("""COMPUTED_VALUE"""),"Algorithms")</f>
        <v>Algorithms</v>
      </c>
      <c r="I1927" s="20">
        <f>IFERROR(__xludf.DUMMYFUNCTION("""COMPUTED_VALUE"""),0.49)</f>
        <v>0.49</v>
      </c>
      <c r="J1927" s="20">
        <f>IFERROR(__xludf.DUMMYFUNCTION("""COMPUTED_VALUE"""),1926.0)</f>
        <v>1926</v>
      </c>
      <c r="K1927" s="20" t="b">
        <f>IFERROR(__xludf.DUMMYFUNCTION("""COMPUTED_VALUE"""),FALSE)</f>
        <v>0</v>
      </c>
      <c r="L1927" s="20" t="str">
        <f>IFERROR(__xludf.DUMMYFUNCTION("""COMPUTED_VALUE"""),"Array;Breadth-First Search;Matrix;")</f>
        <v>Array;Breadth-First Search;Matrix;</v>
      </c>
      <c r="M1927" s="20" t="b">
        <f>IFERROR(__xludf.DUMMYFUNCTION("""COMPUTED_VALUE"""),TRUE)</f>
        <v>1</v>
      </c>
      <c r="N1927" s="20" t="b">
        <f>IFERROR(__xludf.DUMMYFUNCTION("""COMPUTED_VALUE"""),FALSE)</f>
        <v>0</v>
      </c>
      <c r="O1927" s="20">
        <f>IFERROR(__xludf.DUMMYFUNCTION("""COMPUTED_VALUE"""),48.9542425830514)</f>
        <v>48.95424258</v>
      </c>
      <c r="P1927" s="20">
        <f>IFERROR(__xludf.DUMMYFUNCTION("""COMPUTED_VALUE"""),71927.0)</f>
        <v>71927</v>
      </c>
      <c r="Q1927" s="20">
        <f>IFERROR(__xludf.DUMMYFUNCTION("""COMPUTED_VALUE"""),146927.0)</f>
        <v>146927</v>
      </c>
    </row>
    <row r="1928">
      <c r="A1928" s="20">
        <f>IFERROR(__xludf.DUMMYFUNCTION("""COMPUTED_VALUE"""),2039.0)</f>
        <v>2039</v>
      </c>
      <c r="B1928" s="20" t="str">
        <f>IFERROR(__xludf.DUMMYFUNCTION("""COMPUTED_VALUE"""),"Sum Game")</f>
        <v>Sum Game</v>
      </c>
      <c r="C1928" s="20" t="str">
        <f>IFERROR(__xludf.DUMMYFUNCTION("""COMPUTED_VALUE"""),"sum-game")</f>
        <v>sum-game</v>
      </c>
      <c r="D1928" s="20" t="b">
        <f>IFERROR(__xludf.DUMMYFUNCTION("""COMPUTED_VALUE"""),FALSE)</f>
        <v>0</v>
      </c>
      <c r="E1928" s="20" t="str">
        <f>IFERROR(__xludf.DUMMYFUNCTION("""COMPUTED_VALUE"""),"Medium")</f>
        <v>Medium</v>
      </c>
      <c r="F1928" s="20">
        <f>IFERROR(__xludf.DUMMYFUNCTION("""COMPUTED_VALUE"""),393.0)</f>
        <v>393</v>
      </c>
      <c r="G1928" s="20">
        <f>IFERROR(__xludf.DUMMYFUNCTION("""COMPUTED_VALUE"""),57.0)</f>
        <v>57</v>
      </c>
      <c r="H1928" s="20" t="str">
        <f>IFERROR(__xludf.DUMMYFUNCTION("""COMPUTED_VALUE"""),"Algorithms")</f>
        <v>Algorithms</v>
      </c>
      <c r="I1928" s="20">
        <f>IFERROR(__xludf.DUMMYFUNCTION("""COMPUTED_VALUE"""),0.468)</f>
        <v>0.468</v>
      </c>
      <c r="J1928" s="20">
        <f>IFERROR(__xludf.DUMMYFUNCTION("""COMPUTED_VALUE"""),1927.0)</f>
        <v>1927</v>
      </c>
      <c r="K1928" s="20" t="b">
        <f>IFERROR(__xludf.DUMMYFUNCTION("""COMPUTED_VALUE"""),FALSE)</f>
        <v>0</v>
      </c>
      <c r="L1928" s="20" t="str">
        <f>IFERROR(__xludf.DUMMYFUNCTION("""COMPUTED_VALUE"""),"Math;Greedy;Game Theory;")</f>
        <v>Math;Greedy;Game Theory;</v>
      </c>
      <c r="M1928" s="20" t="b">
        <f>IFERROR(__xludf.DUMMYFUNCTION("""COMPUTED_VALUE"""),FALSE)</f>
        <v>0</v>
      </c>
      <c r="N1928" s="20" t="b">
        <f>IFERROR(__xludf.DUMMYFUNCTION("""COMPUTED_VALUE"""),FALSE)</f>
        <v>0</v>
      </c>
      <c r="O1928" s="20">
        <f>IFERROR(__xludf.DUMMYFUNCTION("""COMPUTED_VALUE"""),46.7814892136395)</f>
        <v>46.78148921</v>
      </c>
      <c r="P1928" s="20">
        <f>IFERROR(__xludf.DUMMYFUNCTION("""COMPUTED_VALUE"""),8067.0)</f>
        <v>8067</v>
      </c>
      <c r="Q1928" s="20">
        <f>IFERROR(__xludf.DUMMYFUNCTION("""COMPUTED_VALUE"""),17244.0)</f>
        <v>17244</v>
      </c>
    </row>
    <row r="1929">
      <c r="A1929" s="20">
        <f>IFERROR(__xludf.DUMMYFUNCTION("""COMPUTED_VALUE"""),2040.0)</f>
        <v>2040</v>
      </c>
      <c r="B1929" s="20" t="str">
        <f>IFERROR(__xludf.DUMMYFUNCTION("""COMPUTED_VALUE"""),"Minimum Cost to Reach Destination in Time")</f>
        <v>Minimum Cost to Reach Destination in Time</v>
      </c>
      <c r="C1929" s="20" t="str">
        <f>IFERROR(__xludf.DUMMYFUNCTION("""COMPUTED_VALUE"""),"minimum-cost-to-reach-destination-in-time")</f>
        <v>minimum-cost-to-reach-destination-in-time</v>
      </c>
      <c r="D1929" s="20" t="b">
        <f>IFERROR(__xludf.DUMMYFUNCTION("""COMPUTED_VALUE"""),FALSE)</f>
        <v>0</v>
      </c>
      <c r="E1929" s="20" t="str">
        <f>IFERROR(__xludf.DUMMYFUNCTION("""COMPUTED_VALUE"""),"Hard")</f>
        <v>Hard</v>
      </c>
      <c r="F1929" s="20">
        <f>IFERROR(__xludf.DUMMYFUNCTION("""COMPUTED_VALUE"""),613.0)</f>
        <v>613</v>
      </c>
      <c r="G1929" s="20">
        <f>IFERROR(__xludf.DUMMYFUNCTION("""COMPUTED_VALUE"""),12.0)</f>
        <v>12</v>
      </c>
      <c r="H1929" s="20" t="str">
        <f>IFERROR(__xludf.DUMMYFUNCTION("""COMPUTED_VALUE"""),"Algorithms")</f>
        <v>Algorithms</v>
      </c>
      <c r="I1929" s="20">
        <f>IFERROR(__xludf.DUMMYFUNCTION("""COMPUTED_VALUE"""),0.375)</f>
        <v>0.375</v>
      </c>
      <c r="J1929" s="20">
        <f>IFERROR(__xludf.DUMMYFUNCTION("""COMPUTED_VALUE"""),1928.0)</f>
        <v>1928</v>
      </c>
      <c r="K1929" s="20" t="b">
        <f>IFERROR(__xludf.DUMMYFUNCTION("""COMPUTED_VALUE"""),FALSE)</f>
        <v>0</v>
      </c>
      <c r="L1929" s="20" t="str">
        <f>IFERROR(__xludf.DUMMYFUNCTION("""COMPUTED_VALUE"""),"Dynamic Programming;Graph;")</f>
        <v>Dynamic Programming;Graph;</v>
      </c>
      <c r="M1929" s="20" t="b">
        <f>IFERROR(__xludf.DUMMYFUNCTION("""COMPUTED_VALUE"""),FALSE)</f>
        <v>0</v>
      </c>
      <c r="N1929" s="20" t="b">
        <f>IFERROR(__xludf.DUMMYFUNCTION("""COMPUTED_VALUE"""),FALSE)</f>
        <v>0</v>
      </c>
      <c r="O1929" s="20">
        <f>IFERROR(__xludf.DUMMYFUNCTION("""COMPUTED_VALUE"""),37.465348752555)</f>
        <v>37.46534875</v>
      </c>
      <c r="P1929" s="20">
        <f>IFERROR(__xludf.DUMMYFUNCTION("""COMPUTED_VALUE"""),13380.0)</f>
        <v>13380</v>
      </c>
      <c r="Q1929" s="20">
        <f>IFERROR(__xludf.DUMMYFUNCTION("""COMPUTED_VALUE"""),35713.0)</f>
        <v>35713</v>
      </c>
    </row>
    <row r="1930">
      <c r="A1930" s="20">
        <f>IFERROR(__xludf.DUMMYFUNCTION("""COMPUTED_VALUE"""),2058.0)</f>
        <v>2058</v>
      </c>
      <c r="B1930" s="20" t="str">
        <f>IFERROR(__xludf.DUMMYFUNCTION("""COMPUTED_VALUE"""),"Concatenation of Array")</f>
        <v>Concatenation of Array</v>
      </c>
      <c r="C1930" s="20" t="str">
        <f>IFERROR(__xludf.DUMMYFUNCTION("""COMPUTED_VALUE"""),"concatenation-of-array")</f>
        <v>concatenation-of-array</v>
      </c>
      <c r="D1930" s="20" t="b">
        <f>IFERROR(__xludf.DUMMYFUNCTION("""COMPUTED_VALUE"""),FALSE)</f>
        <v>0</v>
      </c>
      <c r="E1930" s="20" t="str">
        <f>IFERROR(__xludf.DUMMYFUNCTION("""COMPUTED_VALUE"""),"Easy")</f>
        <v>Easy</v>
      </c>
      <c r="F1930" s="20">
        <f>IFERROR(__xludf.DUMMYFUNCTION("""COMPUTED_VALUE"""),1833.0)</f>
        <v>1833</v>
      </c>
      <c r="G1930" s="20">
        <f>IFERROR(__xludf.DUMMYFUNCTION("""COMPUTED_VALUE"""),261.0)</f>
        <v>261</v>
      </c>
      <c r="H1930" s="20" t="str">
        <f>IFERROR(__xludf.DUMMYFUNCTION("""COMPUTED_VALUE"""),"Algorithms")</f>
        <v>Algorithms</v>
      </c>
      <c r="I1930" s="20">
        <f>IFERROR(__xludf.DUMMYFUNCTION("""COMPUTED_VALUE"""),0.91)</f>
        <v>0.91</v>
      </c>
      <c r="J1930" s="20">
        <f>IFERROR(__xludf.DUMMYFUNCTION("""COMPUTED_VALUE"""),1929.0)</f>
        <v>1929</v>
      </c>
      <c r="K1930" s="20" t="b">
        <f>IFERROR(__xludf.DUMMYFUNCTION("""COMPUTED_VALUE"""),FALSE)</f>
        <v>0</v>
      </c>
      <c r="L1930" s="20" t="str">
        <f>IFERROR(__xludf.DUMMYFUNCTION("""COMPUTED_VALUE"""),"Array;")</f>
        <v>Array;</v>
      </c>
      <c r="M1930" s="20" t="b">
        <f>IFERROR(__xludf.DUMMYFUNCTION("""COMPUTED_VALUE"""),FALSE)</f>
        <v>0</v>
      </c>
      <c r="N1930" s="20" t="b">
        <f>IFERROR(__xludf.DUMMYFUNCTION("""COMPUTED_VALUE"""),FALSE)</f>
        <v>0</v>
      </c>
      <c r="O1930" s="20">
        <f>IFERROR(__xludf.DUMMYFUNCTION("""COMPUTED_VALUE"""),91.0050137816287)</f>
        <v>91.00501378</v>
      </c>
      <c r="P1930" s="20">
        <f>IFERROR(__xludf.DUMMYFUNCTION("""COMPUTED_VALUE"""),326528.0)</f>
        <v>326528</v>
      </c>
      <c r="Q1930" s="20">
        <f>IFERROR(__xludf.DUMMYFUNCTION("""COMPUTED_VALUE"""),358803.0)</f>
        <v>358803</v>
      </c>
    </row>
    <row r="1931">
      <c r="A1931" s="20">
        <f>IFERROR(__xludf.DUMMYFUNCTION("""COMPUTED_VALUE"""),2059.0)</f>
        <v>2059</v>
      </c>
      <c r="B1931" s="20" t="str">
        <f>IFERROR(__xludf.DUMMYFUNCTION("""COMPUTED_VALUE"""),"Unique Length-3 Palindromic Subsequences")</f>
        <v>Unique Length-3 Palindromic Subsequences</v>
      </c>
      <c r="C1931" s="20" t="str">
        <f>IFERROR(__xludf.DUMMYFUNCTION("""COMPUTED_VALUE"""),"unique-length-3-palindromic-subsequences")</f>
        <v>unique-length-3-palindromic-subsequences</v>
      </c>
      <c r="D1931" s="20" t="b">
        <f>IFERROR(__xludf.DUMMYFUNCTION("""COMPUTED_VALUE"""),FALSE)</f>
        <v>0</v>
      </c>
      <c r="E1931" s="20" t="str">
        <f>IFERROR(__xludf.DUMMYFUNCTION("""COMPUTED_VALUE"""),"Medium")</f>
        <v>Medium</v>
      </c>
      <c r="F1931" s="20">
        <f>IFERROR(__xludf.DUMMYFUNCTION("""COMPUTED_VALUE"""),569.0)</f>
        <v>569</v>
      </c>
      <c r="G1931" s="20">
        <f>IFERROR(__xludf.DUMMYFUNCTION("""COMPUTED_VALUE"""),17.0)</f>
        <v>17</v>
      </c>
      <c r="H1931" s="20" t="str">
        <f>IFERROR(__xludf.DUMMYFUNCTION("""COMPUTED_VALUE"""),"Algorithms")</f>
        <v>Algorithms</v>
      </c>
      <c r="I1931" s="20">
        <f>IFERROR(__xludf.DUMMYFUNCTION("""COMPUTED_VALUE"""),0.515)</f>
        <v>0.515</v>
      </c>
      <c r="J1931" s="20">
        <f>IFERROR(__xludf.DUMMYFUNCTION("""COMPUTED_VALUE"""),1930.0)</f>
        <v>1930</v>
      </c>
      <c r="K1931" s="20" t="b">
        <f>IFERROR(__xludf.DUMMYFUNCTION("""COMPUTED_VALUE"""),FALSE)</f>
        <v>0</v>
      </c>
      <c r="L1931" s="20" t="str">
        <f>IFERROR(__xludf.DUMMYFUNCTION("""COMPUTED_VALUE"""),"Hash Table;String;Prefix Sum;")</f>
        <v>Hash Table;String;Prefix Sum;</v>
      </c>
      <c r="M1931" s="20" t="b">
        <f>IFERROR(__xludf.DUMMYFUNCTION("""COMPUTED_VALUE"""),FALSE)</f>
        <v>0</v>
      </c>
      <c r="N1931" s="20" t="b">
        <f>IFERROR(__xludf.DUMMYFUNCTION("""COMPUTED_VALUE"""),FALSE)</f>
        <v>0</v>
      </c>
      <c r="O1931" s="20">
        <f>IFERROR(__xludf.DUMMYFUNCTION("""COMPUTED_VALUE"""),51.551966998692)</f>
        <v>51.551967</v>
      </c>
      <c r="P1931" s="20">
        <f>IFERROR(__xludf.DUMMYFUNCTION("""COMPUTED_VALUE"""),20490.0)</f>
        <v>20490</v>
      </c>
      <c r="Q1931" s="20">
        <f>IFERROR(__xludf.DUMMYFUNCTION("""COMPUTED_VALUE"""),39749.0)</f>
        <v>39749</v>
      </c>
    </row>
    <row r="1932">
      <c r="A1932" s="20">
        <f>IFERROR(__xludf.DUMMYFUNCTION("""COMPUTED_VALUE"""),2061.0)</f>
        <v>2061</v>
      </c>
      <c r="B1932" s="20" t="str">
        <f>IFERROR(__xludf.DUMMYFUNCTION("""COMPUTED_VALUE"""),"Painting a Grid With Three Different Colors")</f>
        <v>Painting a Grid With Three Different Colors</v>
      </c>
      <c r="C1932" s="20" t="str">
        <f>IFERROR(__xludf.DUMMYFUNCTION("""COMPUTED_VALUE"""),"painting-a-grid-with-three-different-colors")</f>
        <v>painting-a-grid-with-three-different-colors</v>
      </c>
      <c r="D1932" s="20" t="b">
        <f>IFERROR(__xludf.DUMMYFUNCTION("""COMPUTED_VALUE"""),FALSE)</f>
        <v>0</v>
      </c>
      <c r="E1932" s="20" t="str">
        <f>IFERROR(__xludf.DUMMYFUNCTION("""COMPUTED_VALUE"""),"Hard")</f>
        <v>Hard</v>
      </c>
      <c r="F1932" s="20">
        <f>IFERROR(__xludf.DUMMYFUNCTION("""COMPUTED_VALUE"""),383.0)</f>
        <v>383</v>
      </c>
      <c r="G1932" s="20">
        <f>IFERROR(__xludf.DUMMYFUNCTION("""COMPUTED_VALUE"""),20.0)</f>
        <v>20</v>
      </c>
      <c r="H1932" s="20" t="str">
        <f>IFERROR(__xludf.DUMMYFUNCTION("""COMPUTED_VALUE"""),"Algorithms")</f>
        <v>Algorithms</v>
      </c>
      <c r="I1932" s="20">
        <f>IFERROR(__xludf.DUMMYFUNCTION("""COMPUTED_VALUE"""),0.571)</f>
        <v>0.571</v>
      </c>
      <c r="J1932" s="20">
        <f>IFERROR(__xludf.DUMMYFUNCTION("""COMPUTED_VALUE"""),1931.0)</f>
        <v>1931</v>
      </c>
      <c r="K1932" s="20" t="b">
        <f>IFERROR(__xludf.DUMMYFUNCTION("""COMPUTED_VALUE"""),FALSE)</f>
        <v>0</v>
      </c>
      <c r="L1932" s="20" t="str">
        <f>IFERROR(__xludf.DUMMYFUNCTION("""COMPUTED_VALUE"""),"Dynamic Programming;")</f>
        <v>Dynamic Programming;</v>
      </c>
      <c r="M1932" s="20" t="b">
        <f>IFERROR(__xludf.DUMMYFUNCTION("""COMPUTED_VALUE"""),FALSE)</f>
        <v>0</v>
      </c>
      <c r="N1932" s="20" t="b">
        <f>IFERROR(__xludf.DUMMYFUNCTION("""COMPUTED_VALUE"""),FALSE)</f>
        <v>0</v>
      </c>
      <c r="O1932" s="20">
        <f>IFERROR(__xludf.DUMMYFUNCTION("""COMPUTED_VALUE"""),57.1083209857287)</f>
        <v>57.10832099</v>
      </c>
      <c r="P1932" s="20">
        <f>IFERROR(__xludf.DUMMYFUNCTION("""COMPUTED_VALUE"""),7323.0)</f>
        <v>7323</v>
      </c>
      <c r="Q1932" s="20">
        <f>IFERROR(__xludf.DUMMYFUNCTION("""COMPUTED_VALUE"""),12823.0)</f>
        <v>12823</v>
      </c>
    </row>
    <row r="1933">
      <c r="A1933" s="20">
        <f>IFERROR(__xludf.DUMMYFUNCTION("""COMPUTED_VALUE"""),2060.0)</f>
        <v>2060</v>
      </c>
      <c r="B1933" s="20" t="str">
        <f>IFERROR(__xludf.DUMMYFUNCTION("""COMPUTED_VALUE"""),"Merge BSTs to Create Single BST")</f>
        <v>Merge BSTs to Create Single BST</v>
      </c>
      <c r="C1933" s="20" t="str">
        <f>IFERROR(__xludf.DUMMYFUNCTION("""COMPUTED_VALUE"""),"merge-bsts-to-create-single-bst")</f>
        <v>merge-bsts-to-create-single-bst</v>
      </c>
      <c r="D1933" s="20" t="b">
        <f>IFERROR(__xludf.DUMMYFUNCTION("""COMPUTED_VALUE"""),FALSE)</f>
        <v>0</v>
      </c>
      <c r="E1933" s="20" t="str">
        <f>IFERROR(__xludf.DUMMYFUNCTION("""COMPUTED_VALUE"""),"Hard")</f>
        <v>Hard</v>
      </c>
      <c r="F1933" s="20">
        <f>IFERROR(__xludf.DUMMYFUNCTION("""COMPUTED_VALUE"""),397.0)</f>
        <v>397</v>
      </c>
      <c r="G1933" s="20">
        <f>IFERROR(__xludf.DUMMYFUNCTION("""COMPUTED_VALUE"""),32.0)</f>
        <v>32</v>
      </c>
      <c r="H1933" s="20" t="str">
        <f>IFERROR(__xludf.DUMMYFUNCTION("""COMPUTED_VALUE"""),"Algorithms")</f>
        <v>Algorithms</v>
      </c>
      <c r="I1933" s="20">
        <f>IFERROR(__xludf.DUMMYFUNCTION("""COMPUTED_VALUE"""),0.356)</f>
        <v>0.356</v>
      </c>
      <c r="J1933" s="20">
        <f>IFERROR(__xludf.DUMMYFUNCTION("""COMPUTED_VALUE"""),1932.0)</f>
        <v>1932</v>
      </c>
      <c r="K1933" s="20" t="b">
        <f>IFERROR(__xludf.DUMMYFUNCTION("""COMPUTED_VALUE"""),FALSE)</f>
        <v>0</v>
      </c>
      <c r="L1933" s="20" t="str">
        <f>IFERROR(__xludf.DUMMYFUNCTION("""COMPUTED_VALUE"""),"Hash Table;Binary Search;Tree;Depth-First Search;Binary Tree;")</f>
        <v>Hash Table;Binary Search;Tree;Depth-First Search;Binary Tree;</v>
      </c>
      <c r="M1933" s="20" t="b">
        <f>IFERROR(__xludf.DUMMYFUNCTION("""COMPUTED_VALUE"""),FALSE)</f>
        <v>0</v>
      </c>
      <c r="N1933" s="20" t="b">
        <f>IFERROR(__xludf.DUMMYFUNCTION("""COMPUTED_VALUE"""),FALSE)</f>
        <v>0</v>
      </c>
      <c r="O1933" s="20">
        <f>IFERROR(__xludf.DUMMYFUNCTION("""COMPUTED_VALUE"""),35.6415969169627)</f>
        <v>35.64159692</v>
      </c>
      <c r="P1933" s="20">
        <f>IFERROR(__xludf.DUMMYFUNCTION("""COMPUTED_VALUE"""),5918.0)</f>
        <v>5918</v>
      </c>
      <c r="Q1933" s="20">
        <f>IFERROR(__xludf.DUMMYFUNCTION("""COMPUTED_VALUE"""),16606.0)</f>
        <v>16606</v>
      </c>
    </row>
    <row r="1934">
      <c r="A1934" s="20">
        <f>IFERROR(__xludf.DUMMYFUNCTION("""COMPUTED_VALUE"""),2070.0)</f>
        <v>2070</v>
      </c>
      <c r="B1934" s="20" t="str">
        <f>IFERROR(__xludf.DUMMYFUNCTION("""COMPUTED_VALUE"""),"Check if String Is Decomposable Into Value-Equal Substrings")</f>
        <v>Check if String Is Decomposable Into Value-Equal Substrings</v>
      </c>
      <c r="C1934" s="20" t="str">
        <f>IFERROR(__xludf.DUMMYFUNCTION("""COMPUTED_VALUE"""),"check-if-string-is-decomposable-into-value-equal-substrings")</f>
        <v>check-if-string-is-decomposable-into-value-equal-substrings</v>
      </c>
      <c r="D1934" s="20" t="b">
        <f>IFERROR(__xludf.DUMMYFUNCTION("""COMPUTED_VALUE"""),TRUE)</f>
        <v>1</v>
      </c>
      <c r="E1934" s="20" t="str">
        <f>IFERROR(__xludf.DUMMYFUNCTION("""COMPUTED_VALUE"""),"Easy")</f>
        <v>Easy</v>
      </c>
      <c r="F1934" s="20">
        <f>IFERROR(__xludf.DUMMYFUNCTION("""COMPUTED_VALUE"""),43.0)</f>
        <v>43</v>
      </c>
      <c r="G1934" s="20">
        <f>IFERROR(__xludf.DUMMYFUNCTION("""COMPUTED_VALUE"""),11.0)</f>
        <v>11</v>
      </c>
      <c r="H1934" s="20" t="str">
        <f>IFERROR(__xludf.DUMMYFUNCTION("""COMPUTED_VALUE"""),"Algorithms")</f>
        <v>Algorithms</v>
      </c>
      <c r="I1934" s="20">
        <f>IFERROR(__xludf.DUMMYFUNCTION("""COMPUTED_VALUE"""),0.504)</f>
        <v>0.504</v>
      </c>
      <c r="J1934" s="20">
        <f>IFERROR(__xludf.DUMMYFUNCTION("""COMPUTED_VALUE"""),1933.0)</f>
        <v>1933</v>
      </c>
      <c r="K1934" s="20" t="b">
        <f>IFERROR(__xludf.DUMMYFUNCTION("""COMPUTED_VALUE"""),TRUE)</f>
        <v>1</v>
      </c>
      <c r="L1934" s="20" t="str">
        <f>IFERROR(__xludf.DUMMYFUNCTION("""COMPUTED_VALUE"""),"String;")</f>
        <v>String;</v>
      </c>
      <c r="M1934" s="20" t="b">
        <f>IFERROR(__xludf.DUMMYFUNCTION("""COMPUTED_VALUE"""),FALSE)</f>
        <v>0</v>
      </c>
      <c r="N1934" s="20" t="b">
        <f>IFERROR(__xludf.DUMMYFUNCTION("""COMPUTED_VALUE"""),FALSE)</f>
        <v>0</v>
      </c>
      <c r="O1934" s="20">
        <f>IFERROR(__xludf.DUMMYFUNCTION("""COMPUTED_VALUE"""),50.4466831400874)</f>
        <v>50.44668314</v>
      </c>
      <c r="P1934" s="20">
        <f>IFERROR(__xludf.DUMMYFUNCTION("""COMPUTED_VALUE"""),2654.0)</f>
        <v>2654</v>
      </c>
      <c r="Q1934" s="20">
        <f>IFERROR(__xludf.DUMMYFUNCTION("""COMPUTED_VALUE"""),5261.0)</f>
        <v>5261</v>
      </c>
    </row>
    <row r="1935">
      <c r="A1935" s="20">
        <f>IFERROR(__xludf.DUMMYFUNCTION("""COMPUTED_VALUE"""),2087.0)</f>
        <v>2087</v>
      </c>
      <c r="B1935" s="20" t="str">
        <f>IFERROR(__xludf.DUMMYFUNCTION("""COMPUTED_VALUE"""),"Confirmation Rate")</f>
        <v>Confirmation Rate</v>
      </c>
      <c r="C1935" s="20" t="str">
        <f>IFERROR(__xludf.DUMMYFUNCTION("""COMPUTED_VALUE"""),"confirmation-rate")</f>
        <v>confirmation-rate</v>
      </c>
      <c r="D1935" s="20" t="b">
        <f>IFERROR(__xludf.DUMMYFUNCTION("""COMPUTED_VALUE"""),TRUE)</f>
        <v>1</v>
      </c>
      <c r="E1935" s="20" t="str">
        <f>IFERROR(__xludf.DUMMYFUNCTION("""COMPUTED_VALUE"""),"Medium")</f>
        <v>Medium</v>
      </c>
      <c r="F1935" s="20">
        <f>IFERROR(__xludf.DUMMYFUNCTION("""COMPUTED_VALUE"""),47.0)</f>
        <v>47</v>
      </c>
      <c r="G1935" s="20">
        <f>IFERROR(__xludf.DUMMYFUNCTION("""COMPUTED_VALUE"""),14.0)</f>
        <v>14</v>
      </c>
      <c r="H1935" s="20" t="str">
        <f>IFERROR(__xludf.DUMMYFUNCTION("""COMPUTED_VALUE"""),"Database")</f>
        <v>Database</v>
      </c>
      <c r="I1935" s="20">
        <f>IFERROR(__xludf.DUMMYFUNCTION("""COMPUTED_VALUE"""),0.775)</f>
        <v>0.775</v>
      </c>
      <c r="J1935" s="20">
        <f>IFERROR(__xludf.DUMMYFUNCTION("""COMPUTED_VALUE"""),1934.0)</f>
        <v>1934</v>
      </c>
      <c r="K1935" s="20" t="b">
        <f>IFERROR(__xludf.DUMMYFUNCTION("""COMPUTED_VALUE"""),TRUE)</f>
        <v>1</v>
      </c>
      <c r="L1935" s="20" t="str">
        <f>IFERROR(__xludf.DUMMYFUNCTION("""COMPUTED_VALUE"""),"Database;")</f>
        <v>Database;</v>
      </c>
      <c r="M1935" s="20" t="b">
        <f>IFERROR(__xludf.DUMMYFUNCTION("""COMPUTED_VALUE"""),FALSE)</f>
        <v>0</v>
      </c>
      <c r="N1935" s="20" t="b">
        <f>IFERROR(__xludf.DUMMYFUNCTION("""COMPUTED_VALUE"""),FALSE)</f>
        <v>0</v>
      </c>
      <c r="O1935" s="20">
        <f>IFERROR(__xludf.DUMMYFUNCTION("""COMPUTED_VALUE"""),77.548909764716)</f>
        <v>77.54890976</v>
      </c>
      <c r="P1935" s="20">
        <f>IFERROR(__xludf.DUMMYFUNCTION("""COMPUTED_VALUE"""),8998.0)</f>
        <v>8998</v>
      </c>
      <c r="Q1935" s="20">
        <f>IFERROR(__xludf.DUMMYFUNCTION("""COMPUTED_VALUE"""),11603.0)</f>
        <v>11603</v>
      </c>
    </row>
    <row r="1936">
      <c r="A1936" s="20">
        <f>IFERROR(__xludf.DUMMYFUNCTION("""COMPUTED_VALUE"""),1264.0)</f>
        <v>1264</v>
      </c>
      <c r="B1936" s="20" t="str">
        <f>IFERROR(__xludf.DUMMYFUNCTION("""COMPUTED_VALUE"""),"Maximum Number of Words You Can Type")</f>
        <v>Maximum Number of Words You Can Type</v>
      </c>
      <c r="C1936" s="20" t="str">
        <f>IFERROR(__xludf.DUMMYFUNCTION("""COMPUTED_VALUE"""),"maximum-number-of-words-you-can-type")</f>
        <v>maximum-number-of-words-you-can-type</v>
      </c>
      <c r="D1936" s="20" t="b">
        <f>IFERROR(__xludf.DUMMYFUNCTION("""COMPUTED_VALUE"""),FALSE)</f>
        <v>0</v>
      </c>
      <c r="E1936" s="20" t="str">
        <f>IFERROR(__xludf.DUMMYFUNCTION("""COMPUTED_VALUE"""),"Easy")</f>
        <v>Easy</v>
      </c>
      <c r="F1936" s="20">
        <f>IFERROR(__xludf.DUMMYFUNCTION("""COMPUTED_VALUE"""),416.0)</f>
        <v>416</v>
      </c>
      <c r="G1936" s="20">
        <f>IFERROR(__xludf.DUMMYFUNCTION("""COMPUTED_VALUE"""),19.0)</f>
        <v>19</v>
      </c>
      <c r="H1936" s="20" t="str">
        <f>IFERROR(__xludf.DUMMYFUNCTION("""COMPUTED_VALUE"""),"Algorithms")</f>
        <v>Algorithms</v>
      </c>
      <c r="I1936" s="20">
        <f>IFERROR(__xludf.DUMMYFUNCTION("""COMPUTED_VALUE"""),0.712)</f>
        <v>0.712</v>
      </c>
      <c r="J1936" s="20">
        <f>IFERROR(__xludf.DUMMYFUNCTION("""COMPUTED_VALUE"""),1935.0)</f>
        <v>1935</v>
      </c>
      <c r="K1936" s="20" t="b">
        <f>IFERROR(__xludf.DUMMYFUNCTION("""COMPUTED_VALUE"""),FALSE)</f>
        <v>0</v>
      </c>
      <c r="L1936" s="20" t="str">
        <f>IFERROR(__xludf.DUMMYFUNCTION("""COMPUTED_VALUE"""),"Hash Table;String;")</f>
        <v>Hash Table;String;</v>
      </c>
      <c r="M1936" s="20" t="b">
        <f>IFERROR(__xludf.DUMMYFUNCTION("""COMPUTED_VALUE"""),FALSE)</f>
        <v>0</v>
      </c>
      <c r="N1936" s="20" t="b">
        <f>IFERROR(__xludf.DUMMYFUNCTION("""COMPUTED_VALUE"""),FALSE)</f>
        <v>0</v>
      </c>
      <c r="O1936" s="20">
        <f>IFERROR(__xludf.DUMMYFUNCTION("""COMPUTED_VALUE"""),71.1514974753458)</f>
        <v>71.15149748</v>
      </c>
      <c r="P1936" s="20">
        <f>IFERROR(__xludf.DUMMYFUNCTION("""COMPUTED_VALUE"""),39033.0)</f>
        <v>39033</v>
      </c>
      <c r="Q1936" s="20">
        <f>IFERROR(__xludf.DUMMYFUNCTION("""COMPUTED_VALUE"""),54859.0)</f>
        <v>54859</v>
      </c>
    </row>
    <row r="1937">
      <c r="A1937" s="20">
        <f>IFERROR(__xludf.DUMMYFUNCTION("""COMPUTED_VALUE"""),2066.0)</f>
        <v>2066</v>
      </c>
      <c r="B1937" s="20" t="str">
        <f>IFERROR(__xludf.DUMMYFUNCTION("""COMPUTED_VALUE"""),"Add Minimum Number of Rungs")</f>
        <v>Add Minimum Number of Rungs</v>
      </c>
      <c r="C1937" s="20" t="str">
        <f>IFERROR(__xludf.DUMMYFUNCTION("""COMPUTED_VALUE"""),"add-minimum-number-of-rungs")</f>
        <v>add-minimum-number-of-rungs</v>
      </c>
      <c r="D1937" s="20" t="b">
        <f>IFERROR(__xludf.DUMMYFUNCTION("""COMPUTED_VALUE"""),FALSE)</f>
        <v>0</v>
      </c>
      <c r="E1937" s="20" t="str">
        <f>IFERROR(__xludf.DUMMYFUNCTION("""COMPUTED_VALUE"""),"Medium")</f>
        <v>Medium</v>
      </c>
      <c r="F1937" s="20">
        <f>IFERROR(__xludf.DUMMYFUNCTION("""COMPUTED_VALUE"""),279.0)</f>
        <v>279</v>
      </c>
      <c r="G1937" s="20">
        <f>IFERROR(__xludf.DUMMYFUNCTION("""COMPUTED_VALUE"""),22.0)</f>
        <v>22</v>
      </c>
      <c r="H1937" s="20" t="str">
        <f>IFERROR(__xludf.DUMMYFUNCTION("""COMPUTED_VALUE"""),"Algorithms")</f>
        <v>Algorithms</v>
      </c>
      <c r="I1937" s="20">
        <f>IFERROR(__xludf.DUMMYFUNCTION("""COMPUTED_VALUE"""),0.429)</f>
        <v>0.429</v>
      </c>
      <c r="J1937" s="20">
        <f>IFERROR(__xludf.DUMMYFUNCTION("""COMPUTED_VALUE"""),1936.0)</f>
        <v>1936</v>
      </c>
      <c r="K1937" s="20" t="b">
        <f>IFERROR(__xludf.DUMMYFUNCTION("""COMPUTED_VALUE"""),FALSE)</f>
        <v>0</v>
      </c>
      <c r="L1937" s="20" t="str">
        <f>IFERROR(__xludf.DUMMYFUNCTION("""COMPUTED_VALUE"""),"Array;Greedy;")</f>
        <v>Array;Greedy;</v>
      </c>
      <c r="M1937" s="20" t="b">
        <f>IFERROR(__xludf.DUMMYFUNCTION("""COMPUTED_VALUE"""),FALSE)</f>
        <v>0</v>
      </c>
      <c r="N1937" s="20" t="b">
        <f>IFERROR(__xludf.DUMMYFUNCTION("""COMPUTED_VALUE"""),FALSE)</f>
        <v>0</v>
      </c>
      <c r="O1937" s="20">
        <f>IFERROR(__xludf.DUMMYFUNCTION("""COMPUTED_VALUE"""),42.8747024622468)</f>
        <v>42.87470246</v>
      </c>
      <c r="P1937" s="20">
        <f>IFERROR(__xludf.DUMMYFUNCTION("""COMPUTED_VALUE"""),21974.0)</f>
        <v>21974</v>
      </c>
      <c r="Q1937" s="20">
        <f>IFERROR(__xludf.DUMMYFUNCTION("""COMPUTED_VALUE"""),51252.0)</f>
        <v>51252</v>
      </c>
    </row>
    <row r="1938">
      <c r="A1938" s="20">
        <f>IFERROR(__xludf.DUMMYFUNCTION("""COMPUTED_VALUE"""),2067.0)</f>
        <v>2067</v>
      </c>
      <c r="B1938" s="20" t="str">
        <f>IFERROR(__xludf.DUMMYFUNCTION("""COMPUTED_VALUE"""),"Maximum Number of Points with Cost")</f>
        <v>Maximum Number of Points with Cost</v>
      </c>
      <c r="C1938" s="20" t="str">
        <f>IFERROR(__xludf.DUMMYFUNCTION("""COMPUTED_VALUE"""),"maximum-number-of-points-with-cost")</f>
        <v>maximum-number-of-points-with-cost</v>
      </c>
      <c r="D1938" s="20" t="b">
        <f>IFERROR(__xludf.DUMMYFUNCTION("""COMPUTED_VALUE"""),FALSE)</f>
        <v>0</v>
      </c>
      <c r="E1938" s="20" t="str">
        <f>IFERROR(__xludf.DUMMYFUNCTION("""COMPUTED_VALUE"""),"Medium")</f>
        <v>Medium</v>
      </c>
      <c r="F1938" s="20">
        <f>IFERROR(__xludf.DUMMYFUNCTION("""COMPUTED_VALUE"""),1992.0)</f>
        <v>1992</v>
      </c>
      <c r="G1938" s="20">
        <f>IFERROR(__xludf.DUMMYFUNCTION("""COMPUTED_VALUE"""),124.0)</f>
        <v>124</v>
      </c>
      <c r="H1938" s="20" t="str">
        <f>IFERROR(__xludf.DUMMYFUNCTION("""COMPUTED_VALUE"""),"Algorithms")</f>
        <v>Algorithms</v>
      </c>
      <c r="I1938" s="20">
        <f>IFERROR(__xludf.DUMMYFUNCTION("""COMPUTED_VALUE"""),0.362)</f>
        <v>0.362</v>
      </c>
      <c r="J1938" s="20">
        <f>IFERROR(__xludf.DUMMYFUNCTION("""COMPUTED_VALUE"""),1937.0)</f>
        <v>1937</v>
      </c>
      <c r="K1938" s="20" t="b">
        <f>IFERROR(__xludf.DUMMYFUNCTION("""COMPUTED_VALUE"""),FALSE)</f>
        <v>0</v>
      </c>
      <c r="L1938" s="20" t="str">
        <f>IFERROR(__xludf.DUMMYFUNCTION("""COMPUTED_VALUE"""),"Array;Dynamic Programming;")</f>
        <v>Array;Dynamic Programming;</v>
      </c>
      <c r="M1938" s="20" t="b">
        <f>IFERROR(__xludf.DUMMYFUNCTION("""COMPUTED_VALUE"""),TRUE)</f>
        <v>1</v>
      </c>
      <c r="N1938" s="20" t="b">
        <f>IFERROR(__xludf.DUMMYFUNCTION("""COMPUTED_VALUE"""),FALSE)</f>
        <v>0</v>
      </c>
      <c r="O1938" s="20">
        <f>IFERROR(__xludf.DUMMYFUNCTION("""COMPUTED_VALUE"""),36.2028860207085)</f>
        <v>36.20288602</v>
      </c>
      <c r="P1938" s="20">
        <f>IFERROR(__xludf.DUMMYFUNCTION("""COMPUTED_VALUE"""),52761.0)</f>
        <v>52761</v>
      </c>
      <c r="Q1938" s="20">
        <f>IFERROR(__xludf.DUMMYFUNCTION("""COMPUTED_VALUE"""),145737.0)</f>
        <v>145737</v>
      </c>
    </row>
    <row r="1939">
      <c r="A1939" s="20">
        <f>IFERROR(__xludf.DUMMYFUNCTION("""COMPUTED_VALUE"""),2068.0)</f>
        <v>2068</v>
      </c>
      <c r="B1939" s="20" t="str">
        <f>IFERROR(__xludf.DUMMYFUNCTION("""COMPUTED_VALUE"""),"Maximum Genetic Difference Query")</f>
        <v>Maximum Genetic Difference Query</v>
      </c>
      <c r="C1939" s="20" t="str">
        <f>IFERROR(__xludf.DUMMYFUNCTION("""COMPUTED_VALUE"""),"maximum-genetic-difference-query")</f>
        <v>maximum-genetic-difference-query</v>
      </c>
      <c r="D1939" s="20" t="b">
        <f>IFERROR(__xludf.DUMMYFUNCTION("""COMPUTED_VALUE"""),FALSE)</f>
        <v>0</v>
      </c>
      <c r="E1939" s="20" t="str">
        <f>IFERROR(__xludf.DUMMYFUNCTION("""COMPUTED_VALUE"""),"Hard")</f>
        <v>Hard</v>
      </c>
      <c r="F1939" s="20">
        <f>IFERROR(__xludf.DUMMYFUNCTION("""COMPUTED_VALUE"""),304.0)</f>
        <v>304</v>
      </c>
      <c r="G1939" s="20">
        <f>IFERROR(__xludf.DUMMYFUNCTION("""COMPUTED_VALUE"""),14.0)</f>
        <v>14</v>
      </c>
      <c r="H1939" s="20" t="str">
        <f>IFERROR(__xludf.DUMMYFUNCTION("""COMPUTED_VALUE"""),"Algorithms")</f>
        <v>Algorithms</v>
      </c>
      <c r="I1939" s="20">
        <f>IFERROR(__xludf.DUMMYFUNCTION("""COMPUTED_VALUE"""),0.395)</f>
        <v>0.395</v>
      </c>
      <c r="J1939" s="20">
        <f>IFERROR(__xludf.DUMMYFUNCTION("""COMPUTED_VALUE"""),1938.0)</f>
        <v>1938</v>
      </c>
      <c r="K1939" s="20" t="b">
        <f>IFERROR(__xludf.DUMMYFUNCTION("""COMPUTED_VALUE"""),FALSE)</f>
        <v>0</v>
      </c>
      <c r="L1939" s="20" t="str">
        <f>IFERROR(__xludf.DUMMYFUNCTION("""COMPUTED_VALUE"""),"Array;Bit Manipulation;Trie;")</f>
        <v>Array;Bit Manipulation;Trie;</v>
      </c>
      <c r="M1939" s="20" t="b">
        <f>IFERROR(__xludf.DUMMYFUNCTION("""COMPUTED_VALUE"""),FALSE)</f>
        <v>0</v>
      </c>
      <c r="N1939" s="20" t="b">
        <f>IFERROR(__xludf.DUMMYFUNCTION("""COMPUTED_VALUE"""),FALSE)</f>
        <v>0</v>
      </c>
      <c r="O1939" s="20">
        <f>IFERROR(__xludf.DUMMYFUNCTION("""COMPUTED_VALUE"""),39.5061728395061)</f>
        <v>39.50617284</v>
      </c>
      <c r="P1939" s="20">
        <f>IFERROR(__xludf.DUMMYFUNCTION("""COMPUTED_VALUE"""),4096.0)</f>
        <v>4096</v>
      </c>
      <c r="Q1939" s="20">
        <f>IFERROR(__xludf.DUMMYFUNCTION("""COMPUTED_VALUE"""),10368.0)</f>
        <v>10368</v>
      </c>
    </row>
    <row r="1940">
      <c r="A1940" s="20">
        <f>IFERROR(__xludf.DUMMYFUNCTION("""COMPUTED_VALUE"""),2092.0)</f>
        <v>2092</v>
      </c>
      <c r="B1940" s="20" t="str">
        <f>IFERROR(__xludf.DUMMYFUNCTION("""COMPUTED_VALUE"""),"Users That Actively Request Confirmation Messages")</f>
        <v>Users That Actively Request Confirmation Messages</v>
      </c>
      <c r="C1940" s="20" t="str">
        <f>IFERROR(__xludf.DUMMYFUNCTION("""COMPUTED_VALUE"""),"users-that-actively-request-confirmation-messages")</f>
        <v>users-that-actively-request-confirmation-messages</v>
      </c>
      <c r="D1940" s="20" t="b">
        <f>IFERROR(__xludf.DUMMYFUNCTION("""COMPUTED_VALUE"""),TRUE)</f>
        <v>1</v>
      </c>
      <c r="E1940" s="20" t="str">
        <f>IFERROR(__xludf.DUMMYFUNCTION("""COMPUTED_VALUE"""),"Easy")</f>
        <v>Easy</v>
      </c>
      <c r="F1940" s="20">
        <f>IFERROR(__xludf.DUMMYFUNCTION("""COMPUTED_VALUE"""),40.0)</f>
        <v>40</v>
      </c>
      <c r="G1940" s="20">
        <f>IFERROR(__xludf.DUMMYFUNCTION("""COMPUTED_VALUE"""),34.0)</f>
        <v>34</v>
      </c>
      <c r="H1940" s="20" t="str">
        <f>IFERROR(__xludf.DUMMYFUNCTION("""COMPUTED_VALUE"""),"Database")</f>
        <v>Database</v>
      </c>
      <c r="I1940" s="20">
        <f>IFERROR(__xludf.DUMMYFUNCTION("""COMPUTED_VALUE"""),0.611)</f>
        <v>0.611</v>
      </c>
      <c r="J1940" s="20">
        <f>IFERROR(__xludf.DUMMYFUNCTION("""COMPUTED_VALUE"""),1939.0)</f>
        <v>1939</v>
      </c>
      <c r="K1940" s="20" t="b">
        <f>IFERROR(__xludf.DUMMYFUNCTION("""COMPUTED_VALUE"""),TRUE)</f>
        <v>1</v>
      </c>
      <c r="L1940" s="20" t="str">
        <f>IFERROR(__xludf.DUMMYFUNCTION("""COMPUTED_VALUE"""),"Database;")</f>
        <v>Database;</v>
      </c>
      <c r="M1940" s="20" t="b">
        <f>IFERROR(__xludf.DUMMYFUNCTION("""COMPUTED_VALUE"""),FALSE)</f>
        <v>0</v>
      </c>
      <c r="N1940" s="20" t="b">
        <f>IFERROR(__xludf.DUMMYFUNCTION("""COMPUTED_VALUE"""),FALSE)</f>
        <v>0</v>
      </c>
      <c r="O1940" s="20">
        <f>IFERROR(__xludf.DUMMYFUNCTION("""COMPUTED_VALUE"""),61.0671112963734)</f>
        <v>61.0671113</v>
      </c>
      <c r="P1940" s="20">
        <f>IFERROR(__xludf.DUMMYFUNCTION("""COMPUTED_VALUE"""),7325.0)</f>
        <v>7325</v>
      </c>
      <c r="Q1940" s="20">
        <f>IFERROR(__xludf.DUMMYFUNCTION("""COMPUTED_VALUE"""),11995.0)</f>
        <v>11995</v>
      </c>
    </row>
    <row r="1941">
      <c r="A1941" s="20">
        <f>IFERROR(__xludf.DUMMYFUNCTION("""COMPUTED_VALUE"""),2071.0)</f>
        <v>2071</v>
      </c>
      <c r="B1941" s="20" t="str">
        <f>IFERROR(__xludf.DUMMYFUNCTION("""COMPUTED_VALUE"""),"Longest Common Subsequence Between Sorted Arrays")</f>
        <v>Longest Common Subsequence Between Sorted Arrays</v>
      </c>
      <c r="C1941" s="20" t="str">
        <f>IFERROR(__xludf.DUMMYFUNCTION("""COMPUTED_VALUE"""),"longest-common-subsequence-between-sorted-arrays")</f>
        <v>longest-common-subsequence-between-sorted-arrays</v>
      </c>
      <c r="D1941" s="20" t="b">
        <f>IFERROR(__xludf.DUMMYFUNCTION("""COMPUTED_VALUE"""),TRUE)</f>
        <v>1</v>
      </c>
      <c r="E1941" s="20" t="str">
        <f>IFERROR(__xludf.DUMMYFUNCTION("""COMPUTED_VALUE"""),"Medium")</f>
        <v>Medium</v>
      </c>
      <c r="F1941" s="20">
        <f>IFERROR(__xludf.DUMMYFUNCTION("""COMPUTED_VALUE"""),115.0)</f>
        <v>115</v>
      </c>
      <c r="G1941" s="20">
        <f>IFERROR(__xludf.DUMMYFUNCTION("""COMPUTED_VALUE"""),5.0)</f>
        <v>5</v>
      </c>
      <c r="H1941" s="20" t="str">
        <f>IFERROR(__xludf.DUMMYFUNCTION("""COMPUTED_VALUE"""),"Algorithms")</f>
        <v>Algorithms</v>
      </c>
      <c r="I1941" s="20">
        <f>IFERROR(__xludf.DUMMYFUNCTION("""COMPUTED_VALUE"""),0.794)</f>
        <v>0.794</v>
      </c>
      <c r="J1941" s="20">
        <f>IFERROR(__xludf.DUMMYFUNCTION("""COMPUTED_VALUE"""),1940.0)</f>
        <v>1940</v>
      </c>
      <c r="K1941" s="20" t="b">
        <f>IFERROR(__xludf.DUMMYFUNCTION("""COMPUTED_VALUE"""),TRUE)</f>
        <v>1</v>
      </c>
      <c r="L1941" s="20" t="str">
        <f>IFERROR(__xludf.DUMMYFUNCTION("""COMPUTED_VALUE"""),"Array;Hash Table;Counting;")</f>
        <v>Array;Hash Table;Counting;</v>
      </c>
      <c r="M1941" s="20" t="b">
        <f>IFERROR(__xludf.DUMMYFUNCTION("""COMPUTED_VALUE"""),FALSE)</f>
        <v>0</v>
      </c>
      <c r="N1941" s="20" t="b">
        <f>IFERROR(__xludf.DUMMYFUNCTION("""COMPUTED_VALUE"""),FALSE)</f>
        <v>0</v>
      </c>
      <c r="O1941" s="20">
        <f>IFERROR(__xludf.DUMMYFUNCTION("""COMPUTED_VALUE"""),79.3621329733378)</f>
        <v>79.36213297</v>
      </c>
      <c r="P1941" s="20">
        <f>IFERROR(__xludf.DUMMYFUNCTION("""COMPUTED_VALUE"""),4703.0)</f>
        <v>4703</v>
      </c>
      <c r="Q1941" s="20">
        <f>IFERROR(__xludf.DUMMYFUNCTION("""COMPUTED_VALUE"""),5926.0)</f>
        <v>5926</v>
      </c>
    </row>
    <row r="1942">
      <c r="A1942" s="20">
        <f>IFERROR(__xludf.DUMMYFUNCTION("""COMPUTED_VALUE"""),2053.0)</f>
        <v>2053</v>
      </c>
      <c r="B1942" s="20" t="str">
        <f>IFERROR(__xludf.DUMMYFUNCTION("""COMPUTED_VALUE"""),"Check if All Characters Have Equal Number of Occurrences")</f>
        <v>Check if All Characters Have Equal Number of Occurrences</v>
      </c>
      <c r="C1942" s="20" t="str">
        <f>IFERROR(__xludf.DUMMYFUNCTION("""COMPUTED_VALUE"""),"check-if-all-characters-have-equal-number-of-occurrences")</f>
        <v>check-if-all-characters-have-equal-number-of-occurrences</v>
      </c>
      <c r="D1942" s="20" t="b">
        <f>IFERROR(__xludf.DUMMYFUNCTION("""COMPUTED_VALUE"""),FALSE)</f>
        <v>0</v>
      </c>
      <c r="E1942" s="20" t="str">
        <f>IFERROR(__xludf.DUMMYFUNCTION("""COMPUTED_VALUE"""),"Easy")</f>
        <v>Easy</v>
      </c>
      <c r="F1942" s="20">
        <f>IFERROR(__xludf.DUMMYFUNCTION("""COMPUTED_VALUE"""),551.0)</f>
        <v>551</v>
      </c>
      <c r="G1942" s="20">
        <f>IFERROR(__xludf.DUMMYFUNCTION("""COMPUTED_VALUE"""),14.0)</f>
        <v>14</v>
      </c>
      <c r="H1942" s="20" t="str">
        <f>IFERROR(__xludf.DUMMYFUNCTION("""COMPUTED_VALUE"""),"Algorithms")</f>
        <v>Algorithms</v>
      </c>
      <c r="I1942" s="20">
        <f>IFERROR(__xludf.DUMMYFUNCTION("""COMPUTED_VALUE"""),0.768)</f>
        <v>0.768</v>
      </c>
      <c r="J1942" s="20">
        <f>IFERROR(__xludf.DUMMYFUNCTION("""COMPUTED_VALUE"""),1941.0)</f>
        <v>1941</v>
      </c>
      <c r="K1942" s="20" t="b">
        <f>IFERROR(__xludf.DUMMYFUNCTION("""COMPUTED_VALUE"""),FALSE)</f>
        <v>0</v>
      </c>
      <c r="L1942" s="20" t="str">
        <f>IFERROR(__xludf.DUMMYFUNCTION("""COMPUTED_VALUE"""),"Hash Table;String;Counting;")</f>
        <v>Hash Table;String;Counting;</v>
      </c>
      <c r="M1942" s="20" t="b">
        <f>IFERROR(__xludf.DUMMYFUNCTION("""COMPUTED_VALUE"""),FALSE)</f>
        <v>0</v>
      </c>
      <c r="N1942" s="20" t="b">
        <f>IFERROR(__xludf.DUMMYFUNCTION("""COMPUTED_VALUE"""),FALSE)</f>
        <v>0</v>
      </c>
      <c r="O1942" s="20">
        <f>IFERROR(__xludf.DUMMYFUNCTION("""COMPUTED_VALUE"""),76.8163467564455)</f>
        <v>76.81634676</v>
      </c>
      <c r="P1942" s="20">
        <f>IFERROR(__xludf.DUMMYFUNCTION("""COMPUTED_VALUE"""),52706.0)</f>
        <v>52706</v>
      </c>
      <c r="Q1942" s="20">
        <f>IFERROR(__xludf.DUMMYFUNCTION("""COMPUTED_VALUE"""),68613.0)</f>
        <v>68613</v>
      </c>
    </row>
    <row r="1943">
      <c r="A1943" s="20">
        <f>IFERROR(__xludf.DUMMYFUNCTION("""COMPUTED_VALUE"""),2054.0)</f>
        <v>2054</v>
      </c>
      <c r="B1943" s="20" t="str">
        <f>IFERROR(__xludf.DUMMYFUNCTION("""COMPUTED_VALUE"""),"The Number of the Smallest Unoccupied Chair")</f>
        <v>The Number of the Smallest Unoccupied Chair</v>
      </c>
      <c r="C1943" s="20" t="str">
        <f>IFERROR(__xludf.DUMMYFUNCTION("""COMPUTED_VALUE"""),"the-number-of-the-smallest-unoccupied-chair")</f>
        <v>the-number-of-the-smallest-unoccupied-chair</v>
      </c>
      <c r="D1943" s="20" t="b">
        <f>IFERROR(__xludf.DUMMYFUNCTION("""COMPUTED_VALUE"""),FALSE)</f>
        <v>0</v>
      </c>
      <c r="E1943" s="20" t="str">
        <f>IFERROR(__xludf.DUMMYFUNCTION("""COMPUTED_VALUE"""),"Medium")</f>
        <v>Medium</v>
      </c>
      <c r="F1943" s="20">
        <f>IFERROR(__xludf.DUMMYFUNCTION("""COMPUTED_VALUE"""),463.0)</f>
        <v>463</v>
      </c>
      <c r="G1943" s="20">
        <f>IFERROR(__xludf.DUMMYFUNCTION("""COMPUTED_VALUE"""),20.0)</f>
        <v>20</v>
      </c>
      <c r="H1943" s="20" t="str">
        <f>IFERROR(__xludf.DUMMYFUNCTION("""COMPUTED_VALUE"""),"Algorithms")</f>
        <v>Algorithms</v>
      </c>
      <c r="I1943" s="20">
        <f>IFERROR(__xludf.DUMMYFUNCTION("""COMPUTED_VALUE"""),0.406)</f>
        <v>0.406</v>
      </c>
      <c r="J1943" s="20">
        <f>IFERROR(__xludf.DUMMYFUNCTION("""COMPUTED_VALUE"""),1942.0)</f>
        <v>1942</v>
      </c>
      <c r="K1943" s="20" t="b">
        <f>IFERROR(__xludf.DUMMYFUNCTION("""COMPUTED_VALUE"""),FALSE)</f>
        <v>0</v>
      </c>
      <c r="L1943" s="20" t="str">
        <f>IFERROR(__xludf.DUMMYFUNCTION("""COMPUTED_VALUE"""),"Array;Heap (Priority Queue);Ordered Set;")</f>
        <v>Array;Heap (Priority Queue);Ordered Set;</v>
      </c>
      <c r="M1943" s="20" t="b">
        <f>IFERROR(__xludf.DUMMYFUNCTION("""COMPUTED_VALUE"""),FALSE)</f>
        <v>0</v>
      </c>
      <c r="N1943" s="20" t="b">
        <f>IFERROR(__xludf.DUMMYFUNCTION("""COMPUTED_VALUE"""),FALSE)</f>
        <v>0</v>
      </c>
      <c r="O1943" s="20">
        <f>IFERROR(__xludf.DUMMYFUNCTION("""COMPUTED_VALUE"""),40.5818270342645)</f>
        <v>40.58182703</v>
      </c>
      <c r="P1943" s="20">
        <f>IFERROR(__xludf.DUMMYFUNCTION("""COMPUTED_VALUE"""),13335.0)</f>
        <v>13335</v>
      </c>
      <c r="Q1943" s="20">
        <f>IFERROR(__xludf.DUMMYFUNCTION("""COMPUTED_VALUE"""),32859.0)</f>
        <v>32859</v>
      </c>
    </row>
    <row r="1944">
      <c r="A1944" s="20">
        <f>IFERROR(__xludf.DUMMYFUNCTION("""COMPUTED_VALUE"""),2055.0)</f>
        <v>2055</v>
      </c>
      <c r="B1944" s="20" t="str">
        <f>IFERROR(__xludf.DUMMYFUNCTION("""COMPUTED_VALUE"""),"Describe the Painting")</f>
        <v>Describe the Painting</v>
      </c>
      <c r="C1944" s="20" t="str">
        <f>IFERROR(__xludf.DUMMYFUNCTION("""COMPUTED_VALUE"""),"describe-the-painting")</f>
        <v>describe-the-painting</v>
      </c>
      <c r="D1944" s="20" t="b">
        <f>IFERROR(__xludf.DUMMYFUNCTION("""COMPUTED_VALUE"""),FALSE)</f>
        <v>0</v>
      </c>
      <c r="E1944" s="20" t="str">
        <f>IFERROR(__xludf.DUMMYFUNCTION("""COMPUTED_VALUE"""),"Medium")</f>
        <v>Medium</v>
      </c>
      <c r="F1944" s="20">
        <f>IFERROR(__xludf.DUMMYFUNCTION("""COMPUTED_VALUE"""),371.0)</f>
        <v>371</v>
      </c>
      <c r="G1944" s="20">
        <f>IFERROR(__xludf.DUMMYFUNCTION("""COMPUTED_VALUE"""),24.0)</f>
        <v>24</v>
      </c>
      <c r="H1944" s="20" t="str">
        <f>IFERROR(__xludf.DUMMYFUNCTION("""COMPUTED_VALUE"""),"Algorithms")</f>
        <v>Algorithms</v>
      </c>
      <c r="I1944" s="20">
        <f>IFERROR(__xludf.DUMMYFUNCTION("""COMPUTED_VALUE"""),0.481)</f>
        <v>0.481</v>
      </c>
      <c r="J1944" s="20">
        <f>IFERROR(__xludf.DUMMYFUNCTION("""COMPUTED_VALUE"""),1943.0)</f>
        <v>1943</v>
      </c>
      <c r="K1944" s="20" t="b">
        <f>IFERROR(__xludf.DUMMYFUNCTION("""COMPUTED_VALUE"""),FALSE)</f>
        <v>0</v>
      </c>
      <c r="L1944" s="20" t="str">
        <f>IFERROR(__xludf.DUMMYFUNCTION("""COMPUTED_VALUE"""),"Array;Prefix Sum;")</f>
        <v>Array;Prefix Sum;</v>
      </c>
      <c r="M1944" s="20" t="b">
        <f>IFERROR(__xludf.DUMMYFUNCTION("""COMPUTED_VALUE"""),FALSE)</f>
        <v>0</v>
      </c>
      <c r="N1944" s="20" t="b">
        <f>IFERROR(__xludf.DUMMYFUNCTION("""COMPUTED_VALUE"""),FALSE)</f>
        <v>0</v>
      </c>
      <c r="O1944" s="20">
        <f>IFERROR(__xludf.DUMMYFUNCTION("""COMPUTED_VALUE"""),48.1061568966393)</f>
        <v>48.1061569</v>
      </c>
      <c r="P1944" s="20">
        <f>IFERROR(__xludf.DUMMYFUNCTION("""COMPUTED_VALUE"""),9462.0)</f>
        <v>9462</v>
      </c>
      <c r="Q1944" s="20">
        <f>IFERROR(__xludf.DUMMYFUNCTION("""COMPUTED_VALUE"""),19669.0)</f>
        <v>19669</v>
      </c>
    </row>
    <row r="1945">
      <c r="A1945" s="20">
        <f>IFERROR(__xludf.DUMMYFUNCTION("""COMPUTED_VALUE"""),1305.0)</f>
        <v>1305</v>
      </c>
      <c r="B1945" s="20" t="str">
        <f>IFERROR(__xludf.DUMMYFUNCTION("""COMPUTED_VALUE"""),"Number of Visible People in a Queue")</f>
        <v>Number of Visible People in a Queue</v>
      </c>
      <c r="C1945" s="20" t="str">
        <f>IFERROR(__xludf.DUMMYFUNCTION("""COMPUTED_VALUE"""),"number-of-visible-people-in-a-queue")</f>
        <v>number-of-visible-people-in-a-queue</v>
      </c>
      <c r="D1945" s="20" t="b">
        <f>IFERROR(__xludf.DUMMYFUNCTION("""COMPUTED_VALUE"""),FALSE)</f>
        <v>0</v>
      </c>
      <c r="E1945" s="20" t="str">
        <f>IFERROR(__xludf.DUMMYFUNCTION("""COMPUTED_VALUE"""),"Hard")</f>
        <v>Hard</v>
      </c>
      <c r="F1945" s="20">
        <f>IFERROR(__xludf.DUMMYFUNCTION("""COMPUTED_VALUE"""),1191.0)</f>
        <v>1191</v>
      </c>
      <c r="G1945" s="20">
        <f>IFERROR(__xludf.DUMMYFUNCTION("""COMPUTED_VALUE"""),31.0)</f>
        <v>31</v>
      </c>
      <c r="H1945" s="20" t="str">
        <f>IFERROR(__xludf.DUMMYFUNCTION("""COMPUTED_VALUE"""),"Algorithms")</f>
        <v>Algorithms</v>
      </c>
      <c r="I1945" s="20">
        <f>IFERROR(__xludf.DUMMYFUNCTION("""COMPUTED_VALUE"""),0.696)</f>
        <v>0.696</v>
      </c>
      <c r="J1945" s="20">
        <f>IFERROR(__xludf.DUMMYFUNCTION("""COMPUTED_VALUE"""),1944.0)</f>
        <v>1944</v>
      </c>
      <c r="K1945" s="20" t="b">
        <f>IFERROR(__xludf.DUMMYFUNCTION("""COMPUTED_VALUE"""),FALSE)</f>
        <v>0</v>
      </c>
      <c r="L1945" s="20" t="str">
        <f>IFERROR(__xludf.DUMMYFUNCTION("""COMPUTED_VALUE"""),"Array;Stack;Monotonic Stack;")</f>
        <v>Array;Stack;Monotonic Stack;</v>
      </c>
      <c r="M1945" s="20" t="b">
        <f>IFERROR(__xludf.DUMMYFUNCTION("""COMPUTED_VALUE"""),FALSE)</f>
        <v>0</v>
      </c>
      <c r="N1945" s="20" t="b">
        <f>IFERROR(__xludf.DUMMYFUNCTION("""COMPUTED_VALUE"""),FALSE)</f>
        <v>0</v>
      </c>
      <c r="O1945" s="20">
        <f>IFERROR(__xludf.DUMMYFUNCTION("""COMPUTED_VALUE"""),69.5813007190252)</f>
        <v>69.58130072</v>
      </c>
      <c r="P1945" s="20">
        <f>IFERROR(__xludf.DUMMYFUNCTION("""COMPUTED_VALUE"""),30096.0)</f>
        <v>30096</v>
      </c>
      <c r="Q1945" s="20">
        <f>IFERROR(__xludf.DUMMYFUNCTION("""COMPUTED_VALUE"""),43253.0)</f>
        <v>43253</v>
      </c>
    </row>
    <row r="1946">
      <c r="A1946" s="20">
        <f>IFERROR(__xludf.DUMMYFUNCTION("""COMPUTED_VALUE"""),2076.0)</f>
        <v>2076</v>
      </c>
      <c r="B1946" s="20" t="str">
        <f>IFERROR(__xludf.DUMMYFUNCTION("""COMPUTED_VALUE"""),"Sum of Digits of String After Convert")</f>
        <v>Sum of Digits of String After Convert</v>
      </c>
      <c r="C1946" s="20" t="str">
        <f>IFERROR(__xludf.DUMMYFUNCTION("""COMPUTED_VALUE"""),"sum-of-digits-of-string-after-convert")</f>
        <v>sum-of-digits-of-string-after-convert</v>
      </c>
      <c r="D1946" s="20" t="b">
        <f>IFERROR(__xludf.DUMMYFUNCTION("""COMPUTED_VALUE"""),FALSE)</f>
        <v>0</v>
      </c>
      <c r="E1946" s="20" t="str">
        <f>IFERROR(__xludf.DUMMYFUNCTION("""COMPUTED_VALUE"""),"Easy")</f>
        <v>Easy</v>
      </c>
      <c r="F1946" s="20">
        <f>IFERROR(__xludf.DUMMYFUNCTION("""COMPUTED_VALUE"""),424.0)</f>
        <v>424</v>
      </c>
      <c r="G1946" s="20">
        <f>IFERROR(__xludf.DUMMYFUNCTION("""COMPUTED_VALUE"""),43.0)</f>
        <v>43</v>
      </c>
      <c r="H1946" s="20" t="str">
        <f>IFERROR(__xludf.DUMMYFUNCTION("""COMPUTED_VALUE"""),"Algorithms")</f>
        <v>Algorithms</v>
      </c>
      <c r="I1946" s="20">
        <f>IFERROR(__xludf.DUMMYFUNCTION("""COMPUTED_VALUE"""),0.613)</f>
        <v>0.613</v>
      </c>
      <c r="J1946" s="20">
        <f>IFERROR(__xludf.DUMMYFUNCTION("""COMPUTED_VALUE"""),1945.0)</f>
        <v>1945</v>
      </c>
      <c r="K1946" s="20" t="b">
        <f>IFERROR(__xludf.DUMMYFUNCTION("""COMPUTED_VALUE"""),FALSE)</f>
        <v>0</v>
      </c>
      <c r="L1946" s="20" t="str">
        <f>IFERROR(__xludf.DUMMYFUNCTION("""COMPUTED_VALUE"""),"String;Simulation;")</f>
        <v>String;Simulation;</v>
      </c>
      <c r="M1946" s="20" t="b">
        <f>IFERROR(__xludf.DUMMYFUNCTION("""COMPUTED_VALUE"""),FALSE)</f>
        <v>0</v>
      </c>
      <c r="N1946" s="20" t="b">
        <f>IFERROR(__xludf.DUMMYFUNCTION("""COMPUTED_VALUE"""),FALSE)</f>
        <v>0</v>
      </c>
      <c r="O1946" s="20">
        <f>IFERROR(__xludf.DUMMYFUNCTION("""COMPUTED_VALUE"""),61.2909964487152)</f>
        <v>61.29099645</v>
      </c>
      <c r="P1946" s="20">
        <f>IFERROR(__xludf.DUMMYFUNCTION("""COMPUTED_VALUE"""),35208.0)</f>
        <v>35208</v>
      </c>
      <c r="Q1946" s="20">
        <f>IFERROR(__xludf.DUMMYFUNCTION("""COMPUTED_VALUE"""),57444.0)</f>
        <v>57444</v>
      </c>
    </row>
    <row r="1947">
      <c r="A1947" s="20">
        <f>IFERROR(__xludf.DUMMYFUNCTION("""COMPUTED_VALUE"""),2077.0)</f>
        <v>2077</v>
      </c>
      <c r="B1947" s="20" t="str">
        <f>IFERROR(__xludf.DUMMYFUNCTION("""COMPUTED_VALUE"""),"Largest Number After Mutating Substring")</f>
        <v>Largest Number After Mutating Substring</v>
      </c>
      <c r="C1947" s="20" t="str">
        <f>IFERROR(__xludf.DUMMYFUNCTION("""COMPUTED_VALUE"""),"largest-number-after-mutating-substring")</f>
        <v>largest-number-after-mutating-substring</v>
      </c>
      <c r="D1947" s="20" t="b">
        <f>IFERROR(__xludf.DUMMYFUNCTION("""COMPUTED_VALUE"""),FALSE)</f>
        <v>0</v>
      </c>
      <c r="E1947" s="20" t="str">
        <f>IFERROR(__xludf.DUMMYFUNCTION("""COMPUTED_VALUE"""),"Medium")</f>
        <v>Medium</v>
      </c>
      <c r="F1947" s="20">
        <f>IFERROR(__xludf.DUMMYFUNCTION("""COMPUTED_VALUE"""),170.0)</f>
        <v>170</v>
      </c>
      <c r="G1947" s="20">
        <f>IFERROR(__xludf.DUMMYFUNCTION("""COMPUTED_VALUE"""),189.0)</f>
        <v>189</v>
      </c>
      <c r="H1947" s="20" t="str">
        <f>IFERROR(__xludf.DUMMYFUNCTION("""COMPUTED_VALUE"""),"Algorithms")</f>
        <v>Algorithms</v>
      </c>
      <c r="I1947" s="20">
        <f>IFERROR(__xludf.DUMMYFUNCTION("""COMPUTED_VALUE"""),0.347)</f>
        <v>0.347</v>
      </c>
      <c r="J1947" s="20">
        <f>IFERROR(__xludf.DUMMYFUNCTION("""COMPUTED_VALUE"""),1946.0)</f>
        <v>1946</v>
      </c>
      <c r="K1947" s="20" t="b">
        <f>IFERROR(__xludf.DUMMYFUNCTION("""COMPUTED_VALUE"""),FALSE)</f>
        <v>0</v>
      </c>
      <c r="L1947" s="20" t="str">
        <f>IFERROR(__xludf.DUMMYFUNCTION("""COMPUTED_VALUE"""),"Array;String;Greedy;")</f>
        <v>Array;String;Greedy;</v>
      </c>
      <c r="M1947" s="20" t="b">
        <f>IFERROR(__xludf.DUMMYFUNCTION("""COMPUTED_VALUE"""),FALSE)</f>
        <v>0</v>
      </c>
      <c r="N1947" s="20" t="b">
        <f>IFERROR(__xludf.DUMMYFUNCTION("""COMPUTED_VALUE"""),FALSE)</f>
        <v>0</v>
      </c>
      <c r="O1947" s="20">
        <f>IFERROR(__xludf.DUMMYFUNCTION("""COMPUTED_VALUE"""),34.6793298925459)</f>
        <v>34.67932989</v>
      </c>
      <c r="P1947" s="20">
        <f>IFERROR(__xludf.DUMMYFUNCTION("""COMPUTED_VALUE"""),16395.0)</f>
        <v>16395</v>
      </c>
      <c r="Q1947" s="20">
        <f>IFERROR(__xludf.DUMMYFUNCTION("""COMPUTED_VALUE"""),47276.0)</f>
        <v>47276</v>
      </c>
    </row>
    <row r="1948">
      <c r="A1948" s="20">
        <f>IFERROR(__xludf.DUMMYFUNCTION("""COMPUTED_VALUE"""),2078.0)</f>
        <v>2078</v>
      </c>
      <c r="B1948" s="20" t="str">
        <f>IFERROR(__xludf.DUMMYFUNCTION("""COMPUTED_VALUE"""),"Maximum Compatibility Score Sum")</f>
        <v>Maximum Compatibility Score Sum</v>
      </c>
      <c r="C1948" s="20" t="str">
        <f>IFERROR(__xludf.DUMMYFUNCTION("""COMPUTED_VALUE"""),"maximum-compatibility-score-sum")</f>
        <v>maximum-compatibility-score-sum</v>
      </c>
      <c r="D1948" s="20" t="b">
        <f>IFERROR(__xludf.DUMMYFUNCTION("""COMPUTED_VALUE"""),FALSE)</f>
        <v>0</v>
      </c>
      <c r="E1948" s="20" t="str">
        <f>IFERROR(__xludf.DUMMYFUNCTION("""COMPUTED_VALUE"""),"Medium")</f>
        <v>Medium</v>
      </c>
      <c r="F1948" s="20">
        <f>IFERROR(__xludf.DUMMYFUNCTION("""COMPUTED_VALUE"""),609.0)</f>
        <v>609</v>
      </c>
      <c r="G1948" s="20">
        <f>IFERROR(__xludf.DUMMYFUNCTION("""COMPUTED_VALUE"""),12.0)</f>
        <v>12</v>
      </c>
      <c r="H1948" s="20" t="str">
        <f>IFERROR(__xludf.DUMMYFUNCTION("""COMPUTED_VALUE"""),"Algorithms")</f>
        <v>Algorithms</v>
      </c>
      <c r="I1948" s="20">
        <f>IFERROR(__xludf.DUMMYFUNCTION("""COMPUTED_VALUE"""),0.609)</f>
        <v>0.609</v>
      </c>
      <c r="J1948" s="20">
        <f>IFERROR(__xludf.DUMMYFUNCTION("""COMPUTED_VALUE"""),1947.0)</f>
        <v>1947</v>
      </c>
      <c r="K1948" s="20" t="b">
        <f>IFERROR(__xludf.DUMMYFUNCTION("""COMPUTED_VALUE"""),FALSE)</f>
        <v>0</v>
      </c>
      <c r="L1948" s="20" t="str">
        <f>IFERROR(__xludf.DUMMYFUNCTION("""COMPUTED_VALUE"""),"Array;Dynamic Programming;Backtracking;Bit Manipulation;Bitmask;")</f>
        <v>Array;Dynamic Programming;Backtracking;Bit Manipulation;Bitmask;</v>
      </c>
      <c r="M1948" s="20" t="b">
        <f>IFERROR(__xludf.DUMMYFUNCTION("""COMPUTED_VALUE"""),FALSE)</f>
        <v>0</v>
      </c>
      <c r="N1948" s="20" t="b">
        <f>IFERROR(__xludf.DUMMYFUNCTION("""COMPUTED_VALUE"""),FALSE)</f>
        <v>0</v>
      </c>
      <c r="O1948" s="20">
        <f>IFERROR(__xludf.DUMMYFUNCTION("""COMPUTED_VALUE"""),60.9396795155309)</f>
        <v>60.93967952</v>
      </c>
      <c r="P1948" s="20">
        <f>IFERROR(__xludf.DUMMYFUNCTION("""COMPUTED_VALUE"""),17912.0)</f>
        <v>17912</v>
      </c>
      <c r="Q1948" s="20">
        <f>IFERROR(__xludf.DUMMYFUNCTION("""COMPUTED_VALUE"""),29393.0)</f>
        <v>29393</v>
      </c>
    </row>
    <row r="1949">
      <c r="A1949" s="20">
        <f>IFERROR(__xludf.DUMMYFUNCTION("""COMPUTED_VALUE"""),2079.0)</f>
        <v>2079</v>
      </c>
      <c r="B1949" s="20" t="str">
        <f>IFERROR(__xludf.DUMMYFUNCTION("""COMPUTED_VALUE"""),"Delete Duplicate Folders in System")</f>
        <v>Delete Duplicate Folders in System</v>
      </c>
      <c r="C1949" s="20" t="str">
        <f>IFERROR(__xludf.DUMMYFUNCTION("""COMPUTED_VALUE"""),"delete-duplicate-folders-in-system")</f>
        <v>delete-duplicate-folders-in-system</v>
      </c>
      <c r="D1949" s="20" t="b">
        <f>IFERROR(__xludf.DUMMYFUNCTION("""COMPUTED_VALUE"""),FALSE)</f>
        <v>0</v>
      </c>
      <c r="E1949" s="20" t="str">
        <f>IFERROR(__xludf.DUMMYFUNCTION("""COMPUTED_VALUE"""),"Hard")</f>
        <v>Hard</v>
      </c>
      <c r="F1949" s="20">
        <f>IFERROR(__xludf.DUMMYFUNCTION("""COMPUTED_VALUE"""),247.0)</f>
        <v>247</v>
      </c>
      <c r="G1949" s="20">
        <f>IFERROR(__xludf.DUMMYFUNCTION("""COMPUTED_VALUE"""),61.0)</f>
        <v>61</v>
      </c>
      <c r="H1949" s="20" t="str">
        <f>IFERROR(__xludf.DUMMYFUNCTION("""COMPUTED_VALUE"""),"Algorithms")</f>
        <v>Algorithms</v>
      </c>
      <c r="I1949" s="20">
        <f>IFERROR(__xludf.DUMMYFUNCTION("""COMPUTED_VALUE"""),0.577)</f>
        <v>0.577</v>
      </c>
      <c r="J1949" s="20">
        <f>IFERROR(__xludf.DUMMYFUNCTION("""COMPUTED_VALUE"""),1948.0)</f>
        <v>1948</v>
      </c>
      <c r="K1949" s="20" t="b">
        <f>IFERROR(__xludf.DUMMYFUNCTION("""COMPUTED_VALUE"""),FALSE)</f>
        <v>0</v>
      </c>
      <c r="L1949" s="20" t="str">
        <f>IFERROR(__xludf.DUMMYFUNCTION("""COMPUTED_VALUE"""),"Array;Hash Table;String;Trie;Hash Function;")</f>
        <v>Array;Hash Table;String;Trie;Hash Function;</v>
      </c>
      <c r="M1949" s="20" t="b">
        <f>IFERROR(__xludf.DUMMYFUNCTION("""COMPUTED_VALUE"""),FALSE)</f>
        <v>0</v>
      </c>
      <c r="N1949" s="20" t="b">
        <f>IFERROR(__xludf.DUMMYFUNCTION("""COMPUTED_VALUE"""),FALSE)</f>
        <v>0</v>
      </c>
      <c r="O1949" s="20">
        <f>IFERROR(__xludf.DUMMYFUNCTION("""COMPUTED_VALUE"""),57.695955850651)</f>
        <v>57.69595585</v>
      </c>
      <c r="P1949" s="20">
        <f>IFERROR(__xludf.DUMMYFUNCTION("""COMPUTED_VALUE"""),6691.0)</f>
        <v>6691</v>
      </c>
      <c r="Q1949" s="20">
        <f>IFERROR(__xludf.DUMMYFUNCTION("""COMPUTED_VALUE"""),11597.0)</f>
        <v>11597</v>
      </c>
    </row>
    <row r="1950">
      <c r="A1950" s="20">
        <f>IFERROR(__xludf.DUMMYFUNCTION("""COMPUTED_VALUE"""),2097.0)</f>
        <v>2097</v>
      </c>
      <c r="B1950" s="20" t="str">
        <f>IFERROR(__xludf.DUMMYFUNCTION("""COMPUTED_VALUE"""),"Strong Friendship")</f>
        <v>Strong Friendship</v>
      </c>
      <c r="C1950" s="20" t="str">
        <f>IFERROR(__xludf.DUMMYFUNCTION("""COMPUTED_VALUE"""),"strong-friendship")</f>
        <v>strong-friendship</v>
      </c>
      <c r="D1950" s="20" t="b">
        <f>IFERROR(__xludf.DUMMYFUNCTION("""COMPUTED_VALUE"""),TRUE)</f>
        <v>1</v>
      </c>
      <c r="E1950" s="20" t="str">
        <f>IFERROR(__xludf.DUMMYFUNCTION("""COMPUTED_VALUE"""),"Medium")</f>
        <v>Medium</v>
      </c>
      <c r="F1950" s="20">
        <f>IFERROR(__xludf.DUMMYFUNCTION("""COMPUTED_VALUE"""),114.0)</f>
        <v>114</v>
      </c>
      <c r="G1950" s="20">
        <f>IFERROR(__xludf.DUMMYFUNCTION("""COMPUTED_VALUE"""),61.0)</f>
        <v>61</v>
      </c>
      <c r="H1950" s="20" t="str">
        <f>IFERROR(__xludf.DUMMYFUNCTION("""COMPUTED_VALUE"""),"Database")</f>
        <v>Database</v>
      </c>
      <c r="I1950" s="20">
        <f>IFERROR(__xludf.DUMMYFUNCTION("""COMPUTED_VALUE"""),0.582)</f>
        <v>0.582</v>
      </c>
      <c r="J1950" s="20">
        <f>IFERROR(__xludf.DUMMYFUNCTION("""COMPUTED_VALUE"""),1949.0)</f>
        <v>1949</v>
      </c>
      <c r="K1950" s="20" t="b">
        <f>IFERROR(__xludf.DUMMYFUNCTION("""COMPUTED_VALUE"""),TRUE)</f>
        <v>1</v>
      </c>
      <c r="L1950" s="20" t="str">
        <f>IFERROR(__xludf.DUMMYFUNCTION("""COMPUTED_VALUE"""),"Database;")</f>
        <v>Database;</v>
      </c>
      <c r="M1950" s="20" t="b">
        <f>IFERROR(__xludf.DUMMYFUNCTION("""COMPUTED_VALUE"""),FALSE)</f>
        <v>0</v>
      </c>
      <c r="N1950" s="20" t="b">
        <f>IFERROR(__xludf.DUMMYFUNCTION("""COMPUTED_VALUE"""),FALSE)</f>
        <v>0</v>
      </c>
      <c r="O1950" s="20">
        <f>IFERROR(__xludf.DUMMYFUNCTION("""COMPUTED_VALUE"""),58.1851311953352)</f>
        <v>58.1851312</v>
      </c>
      <c r="P1950" s="20">
        <f>IFERROR(__xludf.DUMMYFUNCTION("""COMPUTED_VALUE"""),7983.0)</f>
        <v>7983</v>
      </c>
      <c r="Q1950" s="20">
        <f>IFERROR(__xludf.DUMMYFUNCTION("""COMPUTED_VALUE"""),13720.0)</f>
        <v>13720</v>
      </c>
    </row>
    <row r="1951">
      <c r="A1951" s="20">
        <f>IFERROR(__xludf.DUMMYFUNCTION("""COMPUTED_VALUE"""),2072.0)</f>
        <v>2072</v>
      </c>
      <c r="B1951" s="20" t="str">
        <f>IFERROR(__xludf.DUMMYFUNCTION("""COMPUTED_VALUE"""),"Maximum of Minimum Values in All Subarrays")</f>
        <v>Maximum of Minimum Values in All Subarrays</v>
      </c>
      <c r="C1951" s="20" t="str">
        <f>IFERROR(__xludf.DUMMYFUNCTION("""COMPUTED_VALUE"""),"maximum-of-minimum-values-in-all-subarrays")</f>
        <v>maximum-of-minimum-values-in-all-subarrays</v>
      </c>
      <c r="D1951" s="20" t="b">
        <f>IFERROR(__xludf.DUMMYFUNCTION("""COMPUTED_VALUE"""),TRUE)</f>
        <v>1</v>
      </c>
      <c r="E1951" s="20" t="str">
        <f>IFERROR(__xludf.DUMMYFUNCTION("""COMPUTED_VALUE"""),"Medium")</f>
        <v>Medium</v>
      </c>
      <c r="F1951" s="20">
        <f>IFERROR(__xludf.DUMMYFUNCTION("""COMPUTED_VALUE"""),116.0)</f>
        <v>116</v>
      </c>
      <c r="G1951" s="20">
        <f>IFERROR(__xludf.DUMMYFUNCTION("""COMPUTED_VALUE"""),43.0)</f>
        <v>43</v>
      </c>
      <c r="H1951" s="20" t="str">
        <f>IFERROR(__xludf.DUMMYFUNCTION("""COMPUTED_VALUE"""),"Algorithms")</f>
        <v>Algorithms</v>
      </c>
      <c r="I1951" s="20">
        <f>IFERROR(__xludf.DUMMYFUNCTION("""COMPUTED_VALUE"""),0.502)</f>
        <v>0.502</v>
      </c>
      <c r="J1951" s="20">
        <f>IFERROR(__xludf.DUMMYFUNCTION("""COMPUTED_VALUE"""),1950.0)</f>
        <v>1950</v>
      </c>
      <c r="K1951" s="20" t="b">
        <f>IFERROR(__xludf.DUMMYFUNCTION("""COMPUTED_VALUE"""),TRUE)</f>
        <v>1</v>
      </c>
      <c r="L1951" s="20" t="str">
        <f>IFERROR(__xludf.DUMMYFUNCTION("""COMPUTED_VALUE"""),"Array;Stack;Monotonic Stack;")</f>
        <v>Array;Stack;Monotonic Stack;</v>
      </c>
      <c r="M1951" s="20" t="b">
        <f>IFERROR(__xludf.DUMMYFUNCTION("""COMPUTED_VALUE"""),FALSE)</f>
        <v>0</v>
      </c>
      <c r="N1951" s="20" t="b">
        <f>IFERROR(__xludf.DUMMYFUNCTION("""COMPUTED_VALUE"""),FALSE)</f>
        <v>0</v>
      </c>
      <c r="O1951" s="20">
        <f>IFERROR(__xludf.DUMMYFUNCTION("""COMPUTED_VALUE"""),50.2044329675059)</f>
        <v>50.20443297</v>
      </c>
      <c r="P1951" s="20">
        <f>IFERROR(__xludf.DUMMYFUNCTION("""COMPUTED_VALUE"""),2333.0)</f>
        <v>2333</v>
      </c>
      <c r="Q1951" s="20">
        <f>IFERROR(__xludf.DUMMYFUNCTION("""COMPUTED_VALUE"""),4647.0)</f>
        <v>4647</v>
      </c>
    </row>
    <row r="1952">
      <c r="A1952" s="20">
        <f>IFERROR(__xludf.DUMMYFUNCTION("""COMPUTED_VALUE"""),2098.0)</f>
        <v>2098</v>
      </c>
      <c r="B1952" s="20" t="str">
        <f>IFERROR(__xludf.DUMMYFUNCTION("""COMPUTED_VALUE"""),"All the Pairs With the Maximum Number of Common Followers")</f>
        <v>All the Pairs With the Maximum Number of Common Followers</v>
      </c>
      <c r="C1952" s="20" t="str">
        <f>IFERROR(__xludf.DUMMYFUNCTION("""COMPUTED_VALUE"""),"all-the-pairs-with-the-maximum-number-of-common-followers")</f>
        <v>all-the-pairs-with-the-maximum-number-of-common-followers</v>
      </c>
      <c r="D1952" s="20" t="b">
        <f>IFERROR(__xludf.DUMMYFUNCTION("""COMPUTED_VALUE"""),TRUE)</f>
        <v>1</v>
      </c>
      <c r="E1952" s="20" t="str">
        <f>IFERROR(__xludf.DUMMYFUNCTION("""COMPUTED_VALUE"""),"Medium")</f>
        <v>Medium</v>
      </c>
      <c r="F1952" s="20">
        <f>IFERROR(__xludf.DUMMYFUNCTION("""COMPUTED_VALUE"""),67.0)</f>
        <v>67</v>
      </c>
      <c r="G1952" s="20">
        <f>IFERROR(__xludf.DUMMYFUNCTION("""COMPUTED_VALUE"""),6.0)</f>
        <v>6</v>
      </c>
      <c r="H1952" s="20" t="str">
        <f>IFERROR(__xludf.DUMMYFUNCTION("""COMPUTED_VALUE"""),"Database")</f>
        <v>Database</v>
      </c>
      <c r="I1952" s="20">
        <f>IFERROR(__xludf.DUMMYFUNCTION("""COMPUTED_VALUE"""),0.73)</f>
        <v>0.73</v>
      </c>
      <c r="J1952" s="20">
        <f>IFERROR(__xludf.DUMMYFUNCTION("""COMPUTED_VALUE"""),1951.0)</f>
        <v>1951</v>
      </c>
      <c r="K1952" s="20" t="b">
        <f>IFERROR(__xludf.DUMMYFUNCTION("""COMPUTED_VALUE"""),TRUE)</f>
        <v>1</v>
      </c>
      <c r="L1952" s="20" t="str">
        <f>IFERROR(__xludf.DUMMYFUNCTION("""COMPUTED_VALUE"""),"Database;")</f>
        <v>Database;</v>
      </c>
      <c r="M1952" s="20" t="b">
        <f>IFERROR(__xludf.DUMMYFUNCTION("""COMPUTED_VALUE"""),FALSE)</f>
        <v>0</v>
      </c>
      <c r="N1952" s="20" t="b">
        <f>IFERROR(__xludf.DUMMYFUNCTION("""COMPUTED_VALUE"""),FALSE)</f>
        <v>0</v>
      </c>
      <c r="O1952" s="20">
        <f>IFERROR(__xludf.DUMMYFUNCTION("""COMPUTED_VALUE"""),73.011556764106)</f>
        <v>73.01155676</v>
      </c>
      <c r="P1952" s="20">
        <f>IFERROR(__xludf.DUMMYFUNCTION("""COMPUTED_VALUE"""),7518.0)</f>
        <v>7518</v>
      </c>
      <c r="Q1952" s="20">
        <f>IFERROR(__xludf.DUMMYFUNCTION("""COMPUTED_VALUE"""),10297.0)</f>
        <v>10297</v>
      </c>
    </row>
    <row r="1953">
      <c r="A1953" s="20">
        <f>IFERROR(__xludf.DUMMYFUNCTION("""COMPUTED_VALUE"""),2083.0)</f>
        <v>2083</v>
      </c>
      <c r="B1953" s="20" t="str">
        <f>IFERROR(__xludf.DUMMYFUNCTION("""COMPUTED_VALUE"""),"Three Divisors")</f>
        <v>Three Divisors</v>
      </c>
      <c r="C1953" s="20" t="str">
        <f>IFERROR(__xludf.DUMMYFUNCTION("""COMPUTED_VALUE"""),"three-divisors")</f>
        <v>three-divisors</v>
      </c>
      <c r="D1953" s="20" t="b">
        <f>IFERROR(__xludf.DUMMYFUNCTION("""COMPUTED_VALUE"""),FALSE)</f>
        <v>0</v>
      </c>
      <c r="E1953" s="20" t="str">
        <f>IFERROR(__xludf.DUMMYFUNCTION("""COMPUTED_VALUE"""),"Easy")</f>
        <v>Easy</v>
      </c>
      <c r="F1953" s="20">
        <f>IFERROR(__xludf.DUMMYFUNCTION("""COMPUTED_VALUE"""),342.0)</f>
        <v>342</v>
      </c>
      <c r="G1953" s="20">
        <f>IFERROR(__xludf.DUMMYFUNCTION("""COMPUTED_VALUE"""),19.0)</f>
        <v>19</v>
      </c>
      <c r="H1953" s="20" t="str">
        <f>IFERROR(__xludf.DUMMYFUNCTION("""COMPUTED_VALUE"""),"Algorithms")</f>
        <v>Algorithms</v>
      </c>
      <c r="I1953" s="20">
        <f>IFERROR(__xludf.DUMMYFUNCTION("""COMPUTED_VALUE"""),0.573)</f>
        <v>0.573</v>
      </c>
      <c r="J1953" s="20">
        <f>IFERROR(__xludf.DUMMYFUNCTION("""COMPUTED_VALUE"""),1952.0)</f>
        <v>1952</v>
      </c>
      <c r="K1953" s="20" t="b">
        <f>IFERROR(__xludf.DUMMYFUNCTION("""COMPUTED_VALUE"""),FALSE)</f>
        <v>0</v>
      </c>
      <c r="L1953" s="20" t="str">
        <f>IFERROR(__xludf.DUMMYFUNCTION("""COMPUTED_VALUE"""),"Math;")</f>
        <v>Math;</v>
      </c>
      <c r="M1953" s="20" t="b">
        <f>IFERROR(__xludf.DUMMYFUNCTION("""COMPUTED_VALUE"""),FALSE)</f>
        <v>0</v>
      </c>
      <c r="N1953" s="20" t="b">
        <f>IFERROR(__xludf.DUMMYFUNCTION("""COMPUTED_VALUE"""),FALSE)</f>
        <v>0</v>
      </c>
      <c r="O1953" s="20">
        <f>IFERROR(__xludf.DUMMYFUNCTION("""COMPUTED_VALUE"""),57.2918114833866)</f>
        <v>57.29181148</v>
      </c>
      <c r="P1953" s="20">
        <f>IFERROR(__xludf.DUMMYFUNCTION("""COMPUTED_VALUE"""),37089.0)</f>
        <v>37089</v>
      </c>
      <c r="Q1953" s="20">
        <f>IFERROR(__xludf.DUMMYFUNCTION("""COMPUTED_VALUE"""),64736.0)</f>
        <v>64736</v>
      </c>
    </row>
    <row r="1954">
      <c r="A1954" s="20">
        <f>IFERROR(__xludf.DUMMYFUNCTION("""COMPUTED_VALUE"""),2084.0)</f>
        <v>2084</v>
      </c>
      <c r="B1954" s="20" t="str">
        <f>IFERROR(__xludf.DUMMYFUNCTION("""COMPUTED_VALUE"""),"Maximum Number of Weeks for Which You Can Work")</f>
        <v>Maximum Number of Weeks for Which You Can Work</v>
      </c>
      <c r="C1954" s="20" t="str">
        <f>IFERROR(__xludf.DUMMYFUNCTION("""COMPUTED_VALUE"""),"maximum-number-of-weeks-for-which-you-can-work")</f>
        <v>maximum-number-of-weeks-for-which-you-can-work</v>
      </c>
      <c r="D1954" s="20" t="b">
        <f>IFERROR(__xludf.DUMMYFUNCTION("""COMPUTED_VALUE"""),FALSE)</f>
        <v>0</v>
      </c>
      <c r="E1954" s="20" t="str">
        <f>IFERROR(__xludf.DUMMYFUNCTION("""COMPUTED_VALUE"""),"Medium")</f>
        <v>Medium</v>
      </c>
      <c r="F1954" s="20">
        <f>IFERROR(__xludf.DUMMYFUNCTION("""COMPUTED_VALUE"""),514.0)</f>
        <v>514</v>
      </c>
      <c r="G1954" s="20">
        <f>IFERROR(__xludf.DUMMYFUNCTION("""COMPUTED_VALUE"""),115.0)</f>
        <v>115</v>
      </c>
      <c r="H1954" s="20" t="str">
        <f>IFERROR(__xludf.DUMMYFUNCTION("""COMPUTED_VALUE"""),"Algorithms")</f>
        <v>Algorithms</v>
      </c>
      <c r="I1954" s="20">
        <f>IFERROR(__xludf.DUMMYFUNCTION("""COMPUTED_VALUE"""),0.392)</f>
        <v>0.392</v>
      </c>
      <c r="J1954" s="20">
        <f>IFERROR(__xludf.DUMMYFUNCTION("""COMPUTED_VALUE"""),1953.0)</f>
        <v>1953</v>
      </c>
      <c r="K1954" s="20" t="b">
        <f>IFERROR(__xludf.DUMMYFUNCTION("""COMPUTED_VALUE"""),FALSE)</f>
        <v>0</v>
      </c>
      <c r="L1954" s="20" t="str">
        <f>IFERROR(__xludf.DUMMYFUNCTION("""COMPUTED_VALUE"""),"Array;Greedy;")</f>
        <v>Array;Greedy;</v>
      </c>
      <c r="M1954" s="20" t="b">
        <f>IFERROR(__xludf.DUMMYFUNCTION("""COMPUTED_VALUE"""),FALSE)</f>
        <v>0</v>
      </c>
      <c r="N1954" s="20" t="b">
        <f>IFERROR(__xludf.DUMMYFUNCTION("""COMPUTED_VALUE"""),FALSE)</f>
        <v>0</v>
      </c>
      <c r="O1954" s="20">
        <f>IFERROR(__xludf.DUMMYFUNCTION("""COMPUTED_VALUE"""),39.1786712534938)</f>
        <v>39.17867125</v>
      </c>
      <c r="P1954" s="20">
        <f>IFERROR(__xludf.DUMMYFUNCTION("""COMPUTED_VALUE"""),18222.0)</f>
        <v>18222</v>
      </c>
      <c r="Q1954" s="20">
        <f>IFERROR(__xludf.DUMMYFUNCTION("""COMPUTED_VALUE"""),46510.0)</f>
        <v>46510</v>
      </c>
    </row>
    <row r="1955">
      <c r="A1955" s="20">
        <f>IFERROR(__xludf.DUMMYFUNCTION("""COMPUTED_VALUE"""),1295.0)</f>
        <v>1295</v>
      </c>
      <c r="B1955" s="20" t="str">
        <f>IFERROR(__xludf.DUMMYFUNCTION("""COMPUTED_VALUE"""),"Minimum Garden Perimeter to Collect Enough Apples")</f>
        <v>Minimum Garden Perimeter to Collect Enough Apples</v>
      </c>
      <c r="C1955" s="20" t="str">
        <f>IFERROR(__xludf.DUMMYFUNCTION("""COMPUTED_VALUE"""),"minimum-garden-perimeter-to-collect-enough-apples")</f>
        <v>minimum-garden-perimeter-to-collect-enough-apples</v>
      </c>
      <c r="D1955" s="20" t="b">
        <f>IFERROR(__xludf.DUMMYFUNCTION("""COMPUTED_VALUE"""),FALSE)</f>
        <v>0</v>
      </c>
      <c r="E1955" s="20" t="str">
        <f>IFERROR(__xludf.DUMMYFUNCTION("""COMPUTED_VALUE"""),"Medium")</f>
        <v>Medium</v>
      </c>
      <c r="F1955" s="20">
        <f>IFERROR(__xludf.DUMMYFUNCTION("""COMPUTED_VALUE"""),279.0)</f>
        <v>279</v>
      </c>
      <c r="G1955" s="20">
        <f>IFERROR(__xludf.DUMMYFUNCTION("""COMPUTED_VALUE"""),76.0)</f>
        <v>76</v>
      </c>
      <c r="H1955" s="20" t="str">
        <f>IFERROR(__xludf.DUMMYFUNCTION("""COMPUTED_VALUE"""),"Algorithms")</f>
        <v>Algorithms</v>
      </c>
      <c r="I1955" s="20">
        <f>IFERROR(__xludf.DUMMYFUNCTION("""COMPUTED_VALUE"""),0.531)</f>
        <v>0.531</v>
      </c>
      <c r="J1955" s="20">
        <f>IFERROR(__xludf.DUMMYFUNCTION("""COMPUTED_VALUE"""),1954.0)</f>
        <v>1954</v>
      </c>
      <c r="K1955" s="20" t="b">
        <f>IFERROR(__xludf.DUMMYFUNCTION("""COMPUTED_VALUE"""),FALSE)</f>
        <v>0</v>
      </c>
      <c r="L1955" s="20" t="str">
        <f>IFERROR(__xludf.DUMMYFUNCTION("""COMPUTED_VALUE"""),"Math;Binary Search;")</f>
        <v>Math;Binary Search;</v>
      </c>
      <c r="M1955" s="20" t="b">
        <f>IFERROR(__xludf.DUMMYFUNCTION("""COMPUTED_VALUE"""),FALSE)</f>
        <v>0</v>
      </c>
      <c r="N1955" s="20" t="b">
        <f>IFERROR(__xludf.DUMMYFUNCTION("""COMPUTED_VALUE"""),FALSE)</f>
        <v>0</v>
      </c>
      <c r="O1955" s="20">
        <f>IFERROR(__xludf.DUMMYFUNCTION("""COMPUTED_VALUE"""),53.0961899322835)</f>
        <v>53.09618993</v>
      </c>
      <c r="P1955" s="20">
        <f>IFERROR(__xludf.DUMMYFUNCTION("""COMPUTED_VALUE"""),13016.0)</f>
        <v>13016</v>
      </c>
      <c r="Q1955" s="20">
        <f>IFERROR(__xludf.DUMMYFUNCTION("""COMPUTED_VALUE"""),24514.0)</f>
        <v>24514</v>
      </c>
    </row>
    <row r="1956">
      <c r="A1956" s="20">
        <f>IFERROR(__xludf.DUMMYFUNCTION("""COMPUTED_VALUE"""),2086.0)</f>
        <v>2086</v>
      </c>
      <c r="B1956" s="20" t="str">
        <f>IFERROR(__xludf.DUMMYFUNCTION("""COMPUTED_VALUE"""),"Count Number of Special Subsequences")</f>
        <v>Count Number of Special Subsequences</v>
      </c>
      <c r="C1956" s="20" t="str">
        <f>IFERROR(__xludf.DUMMYFUNCTION("""COMPUTED_VALUE"""),"count-number-of-special-subsequences")</f>
        <v>count-number-of-special-subsequences</v>
      </c>
      <c r="D1956" s="20" t="b">
        <f>IFERROR(__xludf.DUMMYFUNCTION("""COMPUTED_VALUE"""),FALSE)</f>
        <v>0</v>
      </c>
      <c r="E1956" s="20" t="str">
        <f>IFERROR(__xludf.DUMMYFUNCTION("""COMPUTED_VALUE"""),"Hard")</f>
        <v>Hard</v>
      </c>
      <c r="F1956" s="20">
        <f>IFERROR(__xludf.DUMMYFUNCTION("""COMPUTED_VALUE"""),428.0)</f>
        <v>428</v>
      </c>
      <c r="G1956" s="20">
        <f>IFERROR(__xludf.DUMMYFUNCTION("""COMPUTED_VALUE"""),7.0)</f>
        <v>7</v>
      </c>
      <c r="H1956" s="20" t="str">
        <f>IFERROR(__xludf.DUMMYFUNCTION("""COMPUTED_VALUE"""),"Algorithms")</f>
        <v>Algorithms</v>
      </c>
      <c r="I1956" s="20">
        <f>IFERROR(__xludf.DUMMYFUNCTION("""COMPUTED_VALUE"""),0.513)</f>
        <v>0.513</v>
      </c>
      <c r="J1956" s="20">
        <f>IFERROR(__xludf.DUMMYFUNCTION("""COMPUTED_VALUE"""),1955.0)</f>
        <v>1955</v>
      </c>
      <c r="K1956" s="20" t="b">
        <f>IFERROR(__xludf.DUMMYFUNCTION("""COMPUTED_VALUE"""),FALSE)</f>
        <v>0</v>
      </c>
      <c r="L1956" s="20" t="str">
        <f>IFERROR(__xludf.DUMMYFUNCTION("""COMPUTED_VALUE"""),"Array;Dynamic Programming;")</f>
        <v>Array;Dynamic Programming;</v>
      </c>
      <c r="M1956" s="20" t="b">
        <f>IFERROR(__xludf.DUMMYFUNCTION("""COMPUTED_VALUE"""),FALSE)</f>
        <v>0</v>
      </c>
      <c r="N1956" s="20" t="b">
        <f>IFERROR(__xludf.DUMMYFUNCTION("""COMPUTED_VALUE"""),FALSE)</f>
        <v>0</v>
      </c>
      <c r="O1956" s="20">
        <f>IFERROR(__xludf.DUMMYFUNCTION("""COMPUTED_VALUE"""),51.2733348697856)</f>
        <v>51.27333487</v>
      </c>
      <c r="P1956" s="20">
        <f>IFERROR(__xludf.DUMMYFUNCTION("""COMPUTED_VALUE"""),8899.0)</f>
        <v>8899</v>
      </c>
      <c r="Q1956" s="20">
        <f>IFERROR(__xludf.DUMMYFUNCTION("""COMPUTED_VALUE"""),17356.0)</f>
        <v>17356</v>
      </c>
    </row>
    <row r="1957">
      <c r="A1957" s="20">
        <f>IFERROR(__xludf.DUMMYFUNCTION("""COMPUTED_VALUE"""),2073.0)</f>
        <v>2073</v>
      </c>
      <c r="B1957" s="20" t="str">
        <f>IFERROR(__xludf.DUMMYFUNCTION("""COMPUTED_VALUE"""),"Minimum Time For K Virus Variants to Spread")</f>
        <v>Minimum Time For K Virus Variants to Spread</v>
      </c>
      <c r="C1957" s="20" t="str">
        <f>IFERROR(__xludf.DUMMYFUNCTION("""COMPUTED_VALUE"""),"minimum-time-for-k-virus-variants-to-spread")</f>
        <v>minimum-time-for-k-virus-variants-to-spread</v>
      </c>
      <c r="D1957" s="20" t="b">
        <f>IFERROR(__xludf.DUMMYFUNCTION("""COMPUTED_VALUE"""),TRUE)</f>
        <v>1</v>
      </c>
      <c r="E1957" s="20" t="str">
        <f>IFERROR(__xludf.DUMMYFUNCTION("""COMPUTED_VALUE"""),"Hard")</f>
        <v>Hard</v>
      </c>
      <c r="F1957" s="20">
        <f>IFERROR(__xludf.DUMMYFUNCTION("""COMPUTED_VALUE"""),24.0)</f>
        <v>24</v>
      </c>
      <c r="G1957" s="20">
        <f>IFERROR(__xludf.DUMMYFUNCTION("""COMPUTED_VALUE"""),6.0)</f>
        <v>6</v>
      </c>
      <c r="H1957" s="20" t="str">
        <f>IFERROR(__xludf.DUMMYFUNCTION("""COMPUTED_VALUE"""),"Algorithms")</f>
        <v>Algorithms</v>
      </c>
      <c r="I1957" s="20">
        <f>IFERROR(__xludf.DUMMYFUNCTION("""COMPUTED_VALUE"""),0.47)</f>
        <v>0.47</v>
      </c>
      <c r="J1957" s="20">
        <f>IFERROR(__xludf.DUMMYFUNCTION("""COMPUTED_VALUE"""),1956.0)</f>
        <v>1956</v>
      </c>
      <c r="K1957" s="20" t="b">
        <f>IFERROR(__xludf.DUMMYFUNCTION("""COMPUTED_VALUE"""),TRUE)</f>
        <v>1</v>
      </c>
      <c r="L1957" s="20" t="str">
        <f>IFERROR(__xludf.DUMMYFUNCTION("""COMPUTED_VALUE"""),"Array;Math;Binary Search;Geometry;Enumeration;")</f>
        <v>Array;Math;Binary Search;Geometry;Enumeration;</v>
      </c>
      <c r="M1957" s="20" t="b">
        <f>IFERROR(__xludf.DUMMYFUNCTION("""COMPUTED_VALUE"""),FALSE)</f>
        <v>0</v>
      </c>
      <c r="N1957" s="20" t="b">
        <f>IFERROR(__xludf.DUMMYFUNCTION("""COMPUTED_VALUE"""),FALSE)</f>
        <v>0</v>
      </c>
      <c r="O1957" s="20">
        <f>IFERROR(__xludf.DUMMYFUNCTION("""COMPUTED_VALUE"""),47.0143613000755)</f>
        <v>47.0143613</v>
      </c>
      <c r="P1957" s="20">
        <f>IFERROR(__xludf.DUMMYFUNCTION("""COMPUTED_VALUE"""),622.0)</f>
        <v>622</v>
      </c>
      <c r="Q1957" s="20">
        <f>IFERROR(__xludf.DUMMYFUNCTION("""COMPUTED_VALUE"""),1323.0)</f>
        <v>1323</v>
      </c>
    </row>
    <row r="1958">
      <c r="A1958" s="20">
        <f>IFERROR(__xludf.DUMMYFUNCTION("""COMPUTED_VALUE"""),1302.0)</f>
        <v>1302</v>
      </c>
      <c r="B1958" s="20" t="str">
        <f>IFERROR(__xludf.DUMMYFUNCTION("""COMPUTED_VALUE"""),"Delete Characters to Make Fancy String")</f>
        <v>Delete Characters to Make Fancy String</v>
      </c>
      <c r="C1958" s="20" t="str">
        <f>IFERROR(__xludf.DUMMYFUNCTION("""COMPUTED_VALUE"""),"delete-characters-to-make-fancy-string")</f>
        <v>delete-characters-to-make-fancy-string</v>
      </c>
      <c r="D1958" s="20" t="b">
        <f>IFERROR(__xludf.DUMMYFUNCTION("""COMPUTED_VALUE"""),FALSE)</f>
        <v>0</v>
      </c>
      <c r="E1958" s="20" t="str">
        <f>IFERROR(__xludf.DUMMYFUNCTION("""COMPUTED_VALUE"""),"Easy")</f>
        <v>Easy</v>
      </c>
      <c r="F1958" s="20">
        <f>IFERROR(__xludf.DUMMYFUNCTION("""COMPUTED_VALUE"""),304.0)</f>
        <v>304</v>
      </c>
      <c r="G1958" s="20">
        <f>IFERROR(__xludf.DUMMYFUNCTION("""COMPUTED_VALUE"""),15.0)</f>
        <v>15</v>
      </c>
      <c r="H1958" s="20" t="str">
        <f>IFERROR(__xludf.DUMMYFUNCTION("""COMPUTED_VALUE"""),"Algorithms")</f>
        <v>Algorithms</v>
      </c>
      <c r="I1958" s="20">
        <f>IFERROR(__xludf.DUMMYFUNCTION("""COMPUTED_VALUE"""),0.567)</f>
        <v>0.567</v>
      </c>
      <c r="J1958" s="20">
        <f>IFERROR(__xludf.DUMMYFUNCTION("""COMPUTED_VALUE"""),1957.0)</f>
        <v>1957</v>
      </c>
      <c r="K1958" s="20" t="b">
        <f>IFERROR(__xludf.DUMMYFUNCTION("""COMPUTED_VALUE"""),FALSE)</f>
        <v>0</v>
      </c>
      <c r="L1958" s="20" t="str">
        <f>IFERROR(__xludf.DUMMYFUNCTION("""COMPUTED_VALUE"""),"String;")</f>
        <v>String;</v>
      </c>
      <c r="M1958" s="20" t="b">
        <f>IFERROR(__xludf.DUMMYFUNCTION("""COMPUTED_VALUE"""),FALSE)</f>
        <v>0</v>
      </c>
      <c r="N1958" s="20" t="b">
        <f>IFERROR(__xludf.DUMMYFUNCTION("""COMPUTED_VALUE"""),FALSE)</f>
        <v>0</v>
      </c>
      <c r="O1958" s="20">
        <f>IFERROR(__xludf.DUMMYFUNCTION("""COMPUTED_VALUE"""),56.7390218427864)</f>
        <v>56.73902184</v>
      </c>
      <c r="P1958" s="20">
        <f>IFERROR(__xludf.DUMMYFUNCTION("""COMPUTED_VALUE"""),24989.0)</f>
        <v>24989</v>
      </c>
      <c r="Q1958" s="20">
        <f>IFERROR(__xludf.DUMMYFUNCTION("""COMPUTED_VALUE"""),44042.0)</f>
        <v>44042</v>
      </c>
    </row>
    <row r="1959">
      <c r="A1959" s="20">
        <f>IFERROR(__xludf.DUMMYFUNCTION("""COMPUTED_VALUE"""),2080.0)</f>
        <v>2080</v>
      </c>
      <c r="B1959" s="20" t="str">
        <f>IFERROR(__xludf.DUMMYFUNCTION("""COMPUTED_VALUE"""),"Check if Move is Legal")</f>
        <v>Check if Move is Legal</v>
      </c>
      <c r="C1959" s="20" t="str">
        <f>IFERROR(__xludf.DUMMYFUNCTION("""COMPUTED_VALUE"""),"check-if-move-is-legal")</f>
        <v>check-if-move-is-legal</v>
      </c>
      <c r="D1959" s="20" t="b">
        <f>IFERROR(__xludf.DUMMYFUNCTION("""COMPUTED_VALUE"""),FALSE)</f>
        <v>0</v>
      </c>
      <c r="E1959" s="20" t="str">
        <f>IFERROR(__xludf.DUMMYFUNCTION("""COMPUTED_VALUE"""),"Medium")</f>
        <v>Medium</v>
      </c>
      <c r="F1959" s="20">
        <f>IFERROR(__xludf.DUMMYFUNCTION("""COMPUTED_VALUE"""),98.0)</f>
        <v>98</v>
      </c>
      <c r="G1959" s="20">
        <f>IFERROR(__xludf.DUMMYFUNCTION("""COMPUTED_VALUE"""),204.0)</f>
        <v>204</v>
      </c>
      <c r="H1959" s="20" t="str">
        <f>IFERROR(__xludf.DUMMYFUNCTION("""COMPUTED_VALUE"""),"Algorithms")</f>
        <v>Algorithms</v>
      </c>
      <c r="I1959" s="20">
        <f>IFERROR(__xludf.DUMMYFUNCTION("""COMPUTED_VALUE"""),0.448)</f>
        <v>0.448</v>
      </c>
      <c r="J1959" s="20">
        <f>IFERROR(__xludf.DUMMYFUNCTION("""COMPUTED_VALUE"""),1958.0)</f>
        <v>1958</v>
      </c>
      <c r="K1959" s="20" t="b">
        <f>IFERROR(__xludf.DUMMYFUNCTION("""COMPUTED_VALUE"""),FALSE)</f>
        <v>0</v>
      </c>
      <c r="L1959" s="20" t="str">
        <f>IFERROR(__xludf.DUMMYFUNCTION("""COMPUTED_VALUE"""),"Array;Matrix;Enumeration;")</f>
        <v>Array;Matrix;Enumeration;</v>
      </c>
      <c r="M1959" s="20" t="b">
        <f>IFERROR(__xludf.DUMMYFUNCTION("""COMPUTED_VALUE"""),FALSE)</f>
        <v>0</v>
      </c>
      <c r="N1959" s="20" t="b">
        <f>IFERROR(__xludf.DUMMYFUNCTION("""COMPUTED_VALUE"""),FALSE)</f>
        <v>0</v>
      </c>
      <c r="O1959" s="20">
        <f>IFERROR(__xludf.DUMMYFUNCTION("""COMPUTED_VALUE"""),44.8129434530208)</f>
        <v>44.81294345</v>
      </c>
      <c r="P1959" s="20">
        <f>IFERROR(__xludf.DUMMYFUNCTION("""COMPUTED_VALUE"""),8337.0)</f>
        <v>8337</v>
      </c>
      <c r="Q1959" s="20">
        <f>IFERROR(__xludf.DUMMYFUNCTION("""COMPUTED_VALUE"""),18604.0)</f>
        <v>18604</v>
      </c>
    </row>
    <row r="1960">
      <c r="A1960" s="20">
        <f>IFERROR(__xludf.DUMMYFUNCTION("""COMPUTED_VALUE"""),2081.0)</f>
        <v>2081</v>
      </c>
      <c r="B1960" s="20" t="str">
        <f>IFERROR(__xludf.DUMMYFUNCTION("""COMPUTED_VALUE"""),"Minimum Total Space Wasted With K Resizing Operations")</f>
        <v>Minimum Total Space Wasted With K Resizing Operations</v>
      </c>
      <c r="C1960" s="20" t="str">
        <f>IFERROR(__xludf.DUMMYFUNCTION("""COMPUTED_VALUE"""),"minimum-total-space-wasted-with-k-resizing-operations")</f>
        <v>minimum-total-space-wasted-with-k-resizing-operations</v>
      </c>
      <c r="D1960" s="20" t="b">
        <f>IFERROR(__xludf.DUMMYFUNCTION("""COMPUTED_VALUE"""),FALSE)</f>
        <v>0</v>
      </c>
      <c r="E1960" s="20" t="str">
        <f>IFERROR(__xludf.DUMMYFUNCTION("""COMPUTED_VALUE"""),"Medium")</f>
        <v>Medium</v>
      </c>
      <c r="F1960" s="20">
        <f>IFERROR(__xludf.DUMMYFUNCTION("""COMPUTED_VALUE"""),470.0)</f>
        <v>470</v>
      </c>
      <c r="G1960" s="20">
        <f>IFERROR(__xludf.DUMMYFUNCTION("""COMPUTED_VALUE"""),39.0)</f>
        <v>39</v>
      </c>
      <c r="H1960" s="20" t="str">
        <f>IFERROR(__xludf.DUMMYFUNCTION("""COMPUTED_VALUE"""),"Algorithms")</f>
        <v>Algorithms</v>
      </c>
      <c r="I1960" s="20">
        <f>IFERROR(__xludf.DUMMYFUNCTION("""COMPUTED_VALUE"""),0.42)</f>
        <v>0.42</v>
      </c>
      <c r="J1960" s="20">
        <f>IFERROR(__xludf.DUMMYFUNCTION("""COMPUTED_VALUE"""),1959.0)</f>
        <v>1959</v>
      </c>
      <c r="K1960" s="20" t="b">
        <f>IFERROR(__xludf.DUMMYFUNCTION("""COMPUTED_VALUE"""),FALSE)</f>
        <v>0</v>
      </c>
      <c r="L1960" s="20" t="str">
        <f>IFERROR(__xludf.DUMMYFUNCTION("""COMPUTED_VALUE"""),"Array;Dynamic Programming;")</f>
        <v>Array;Dynamic Programming;</v>
      </c>
      <c r="M1960" s="20" t="b">
        <f>IFERROR(__xludf.DUMMYFUNCTION("""COMPUTED_VALUE"""),FALSE)</f>
        <v>0</v>
      </c>
      <c r="N1960" s="20" t="b">
        <f>IFERROR(__xludf.DUMMYFUNCTION("""COMPUTED_VALUE"""),FALSE)</f>
        <v>0</v>
      </c>
      <c r="O1960" s="20">
        <f>IFERROR(__xludf.DUMMYFUNCTION("""COMPUTED_VALUE"""),42.0199257667513)</f>
        <v>42.01992577</v>
      </c>
      <c r="P1960" s="20">
        <f>IFERROR(__xludf.DUMMYFUNCTION("""COMPUTED_VALUE"""),6453.0)</f>
        <v>6453</v>
      </c>
      <c r="Q1960" s="20">
        <f>IFERROR(__xludf.DUMMYFUNCTION("""COMPUTED_VALUE"""),15357.0)</f>
        <v>15357</v>
      </c>
    </row>
    <row r="1961">
      <c r="A1961" s="20">
        <f>IFERROR(__xludf.DUMMYFUNCTION("""COMPUTED_VALUE"""),1336.0)</f>
        <v>1336</v>
      </c>
      <c r="B1961" s="20" t="str">
        <f>IFERROR(__xludf.DUMMYFUNCTION("""COMPUTED_VALUE"""),"Maximum Product of the Length of Two Palindromic Substrings")</f>
        <v>Maximum Product of the Length of Two Palindromic Substrings</v>
      </c>
      <c r="C1961" s="20" t="str">
        <f>IFERROR(__xludf.DUMMYFUNCTION("""COMPUTED_VALUE"""),"maximum-product-of-the-length-of-two-palindromic-substrings")</f>
        <v>maximum-product-of-the-length-of-two-palindromic-substrings</v>
      </c>
      <c r="D1961" s="20" t="b">
        <f>IFERROR(__xludf.DUMMYFUNCTION("""COMPUTED_VALUE"""),FALSE)</f>
        <v>0</v>
      </c>
      <c r="E1961" s="20" t="str">
        <f>IFERROR(__xludf.DUMMYFUNCTION("""COMPUTED_VALUE"""),"Hard")</f>
        <v>Hard</v>
      </c>
      <c r="F1961" s="20">
        <f>IFERROR(__xludf.DUMMYFUNCTION("""COMPUTED_VALUE"""),178.0)</f>
        <v>178</v>
      </c>
      <c r="G1961" s="20">
        <f>IFERROR(__xludf.DUMMYFUNCTION("""COMPUTED_VALUE"""),35.0)</f>
        <v>35</v>
      </c>
      <c r="H1961" s="20" t="str">
        <f>IFERROR(__xludf.DUMMYFUNCTION("""COMPUTED_VALUE"""),"Algorithms")</f>
        <v>Algorithms</v>
      </c>
      <c r="I1961" s="20">
        <f>IFERROR(__xludf.DUMMYFUNCTION("""COMPUTED_VALUE"""),0.295)</f>
        <v>0.295</v>
      </c>
      <c r="J1961" s="20">
        <f>IFERROR(__xludf.DUMMYFUNCTION("""COMPUTED_VALUE"""),1960.0)</f>
        <v>1960</v>
      </c>
      <c r="K1961" s="20" t="b">
        <f>IFERROR(__xludf.DUMMYFUNCTION("""COMPUTED_VALUE"""),FALSE)</f>
        <v>0</v>
      </c>
      <c r="L1961" s="20" t="str">
        <f>IFERROR(__xludf.DUMMYFUNCTION("""COMPUTED_VALUE"""),"String;Rolling Hash;Hash Function;")</f>
        <v>String;Rolling Hash;Hash Function;</v>
      </c>
      <c r="M1961" s="20" t="b">
        <f>IFERROR(__xludf.DUMMYFUNCTION("""COMPUTED_VALUE"""),FALSE)</f>
        <v>0</v>
      </c>
      <c r="N1961" s="20" t="b">
        <f>IFERROR(__xludf.DUMMYFUNCTION("""COMPUTED_VALUE"""),FALSE)</f>
        <v>0</v>
      </c>
      <c r="O1961" s="20">
        <f>IFERROR(__xludf.DUMMYFUNCTION("""COMPUTED_VALUE"""),29.4633209268819)</f>
        <v>29.46332093</v>
      </c>
      <c r="P1961" s="20">
        <f>IFERROR(__xludf.DUMMYFUNCTION("""COMPUTED_VALUE"""),2454.0)</f>
        <v>2454</v>
      </c>
      <c r="Q1961" s="20">
        <f>IFERROR(__xludf.DUMMYFUNCTION("""COMPUTED_VALUE"""),8329.0)</f>
        <v>8329</v>
      </c>
    </row>
    <row r="1962">
      <c r="A1962" s="20">
        <f>IFERROR(__xludf.DUMMYFUNCTION("""COMPUTED_VALUE"""),2093.0)</f>
        <v>2093</v>
      </c>
      <c r="B1962" s="20" t="str">
        <f>IFERROR(__xludf.DUMMYFUNCTION("""COMPUTED_VALUE"""),"Check If String Is a Prefix of Array")</f>
        <v>Check If String Is a Prefix of Array</v>
      </c>
      <c r="C1962" s="20" t="str">
        <f>IFERROR(__xludf.DUMMYFUNCTION("""COMPUTED_VALUE"""),"check-if-string-is-a-prefix-of-array")</f>
        <v>check-if-string-is-a-prefix-of-array</v>
      </c>
      <c r="D1962" s="20" t="b">
        <f>IFERROR(__xludf.DUMMYFUNCTION("""COMPUTED_VALUE"""),FALSE)</f>
        <v>0</v>
      </c>
      <c r="E1962" s="20" t="str">
        <f>IFERROR(__xludf.DUMMYFUNCTION("""COMPUTED_VALUE"""),"Easy")</f>
        <v>Easy</v>
      </c>
      <c r="F1962" s="20">
        <f>IFERROR(__xludf.DUMMYFUNCTION("""COMPUTED_VALUE"""),330.0)</f>
        <v>330</v>
      </c>
      <c r="G1962" s="20">
        <f>IFERROR(__xludf.DUMMYFUNCTION("""COMPUTED_VALUE"""),56.0)</f>
        <v>56</v>
      </c>
      <c r="H1962" s="20" t="str">
        <f>IFERROR(__xludf.DUMMYFUNCTION("""COMPUTED_VALUE"""),"Algorithms")</f>
        <v>Algorithms</v>
      </c>
      <c r="I1962" s="20">
        <f>IFERROR(__xludf.DUMMYFUNCTION("""COMPUTED_VALUE"""),0.539)</f>
        <v>0.539</v>
      </c>
      <c r="J1962" s="20">
        <f>IFERROR(__xludf.DUMMYFUNCTION("""COMPUTED_VALUE"""),1961.0)</f>
        <v>1961</v>
      </c>
      <c r="K1962" s="20" t="b">
        <f>IFERROR(__xludf.DUMMYFUNCTION("""COMPUTED_VALUE"""),FALSE)</f>
        <v>0</v>
      </c>
      <c r="L1962" s="20" t="str">
        <f>IFERROR(__xludf.DUMMYFUNCTION("""COMPUTED_VALUE"""),"Array;String;")</f>
        <v>Array;String;</v>
      </c>
      <c r="M1962" s="20" t="b">
        <f>IFERROR(__xludf.DUMMYFUNCTION("""COMPUTED_VALUE"""),FALSE)</f>
        <v>0</v>
      </c>
      <c r="N1962" s="20" t="b">
        <f>IFERROR(__xludf.DUMMYFUNCTION("""COMPUTED_VALUE"""),FALSE)</f>
        <v>0</v>
      </c>
      <c r="O1962" s="20">
        <f>IFERROR(__xludf.DUMMYFUNCTION("""COMPUTED_VALUE"""),53.9314643715985)</f>
        <v>53.93146437</v>
      </c>
      <c r="P1962" s="20">
        <f>IFERROR(__xludf.DUMMYFUNCTION("""COMPUTED_VALUE"""),34088.0)</f>
        <v>34088</v>
      </c>
      <c r="Q1962" s="20">
        <f>IFERROR(__xludf.DUMMYFUNCTION("""COMPUTED_VALUE"""),63207.0)</f>
        <v>63207</v>
      </c>
    </row>
    <row r="1963">
      <c r="A1963" s="20">
        <f>IFERROR(__xludf.DUMMYFUNCTION("""COMPUTED_VALUE"""),2094.0)</f>
        <v>2094</v>
      </c>
      <c r="B1963" s="20" t="str">
        <f>IFERROR(__xludf.DUMMYFUNCTION("""COMPUTED_VALUE"""),"Remove Stones to Minimize the Total")</f>
        <v>Remove Stones to Minimize the Total</v>
      </c>
      <c r="C1963" s="20" t="str">
        <f>IFERROR(__xludf.DUMMYFUNCTION("""COMPUTED_VALUE"""),"remove-stones-to-minimize-the-total")</f>
        <v>remove-stones-to-minimize-the-total</v>
      </c>
      <c r="D1963" s="20" t="b">
        <f>IFERROR(__xludf.DUMMYFUNCTION("""COMPUTED_VALUE"""),FALSE)</f>
        <v>0</v>
      </c>
      <c r="E1963" s="20" t="str">
        <f>IFERROR(__xludf.DUMMYFUNCTION("""COMPUTED_VALUE"""),"Medium")</f>
        <v>Medium</v>
      </c>
      <c r="F1963" s="20">
        <f>IFERROR(__xludf.DUMMYFUNCTION("""COMPUTED_VALUE"""),422.0)</f>
        <v>422</v>
      </c>
      <c r="G1963" s="20">
        <f>IFERROR(__xludf.DUMMYFUNCTION("""COMPUTED_VALUE"""),27.0)</f>
        <v>27</v>
      </c>
      <c r="H1963" s="20" t="str">
        <f>IFERROR(__xludf.DUMMYFUNCTION("""COMPUTED_VALUE"""),"Algorithms")</f>
        <v>Algorithms</v>
      </c>
      <c r="I1963" s="20">
        <f>IFERROR(__xludf.DUMMYFUNCTION("""COMPUTED_VALUE"""),0.595)</f>
        <v>0.595</v>
      </c>
      <c r="J1963" s="20">
        <f>IFERROR(__xludf.DUMMYFUNCTION("""COMPUTED_VALUE"""),1962.0)</f>
        <v>1962</v>
      </c>
      <c r="K1963" s="20" t="b">
        <f>IFERROR(__xludf.DUMMYFUNCTION("""COMPUTED_VALUE"""),FALSE)</f>
        <v>0</v>
      </c>
      <c r="L1963" s="20" t="str">
        <f>IFERROR(__xludf.DUMMYFUNCTION("""COMPUTED_VALUE"""),"Array;Heap (Priority Queue);")</f>
        <v>Array;Heap (Priority Queue);</v>
      </c>
      <c r="M1963" s="20" t="b">
        <f>IFERROR(__xludf.DUMMYFUNCTION("""COMPUTED_VALUE"""),TRUE)</f>
        <v>1</v>
      </c>
      <c r="N1963" s="20" t="b">
        <f>IFERROR(__xludf.DUMMYFUNCTION("""COMPUTED_VALUE"""),FALSE)</f>
        <v>0</v>
      </c>
      <c r="O1963" s="20">
        <f>IFERROR(__xludf.DUMMYFUNCTION("""COMPUTED_VALUE"""),59.4714714714714)</f>
        <v>59.47147147</v>
      </c>
      <c r="P1963" s="20">
        <f>IFERROR(__xludf.DUMMYFUNCTION("""COMPUTED_VALUE"""),24755.0)</f>
        <v>24755</v>
      </c>
      <c r="Q1963" s="20">
        <f>IFERROR(__xludf.DUMMYFUNCTION("""COMPUTED_VALUE"""),41625.0)</f>
        <v>41625</v>
      </c>
    </row>
    <row r="1964">
      <c r="A1964" s="20">
        <f>IFERROR(__xludf.DUMMYFUNCTION("""COMPUTED_VALUE"""),2095.0)</f>
        <v>2095</v>
      </c>
      <c r="B1964" s="20" t="str">
        <f>IFERROR(__xludf.DUMMYFUNCTION("""COMPUTED_VALUE"""),"Minimum Number of Swaps to Make the String Balanced")</f>
        <v>Minimum Number of Swaps to Make the String Balanced</v>
      </c>
      <c r="C1964" s="20" t="str">
        <f>IFERROR(__xludf.DUMMYFUNCTION("""COMPUTED_VALUE"""),"minimum-number-of-swaps-to-make-the-string-balanced")</f>
        <v>minimum-number-of-swaps-to-make-the-string-balanced</v>
      </c>
      <c r="D1964" s="20" t="b">
        <f>IFERROR(__xludf.DUMMYFUNCTION("""COMPUTED_VALUE"""),FALSE)</f>
        <v>0</v>
      </c>
      <c r="E1964" s="20" t="str">
        <f>IFERROR(__xludf.DUMMYFUNCTION("""COMPUTED_VALUE"""),"Medium")</f>
        <v>Medium</v>
      </c>
      <c r="F1964" s="20">
        <f>IFERROR(__xludf.DUMMYFUNCTION("""COMPUTED_VALUE"""),1213.0)</f>
        <v>1213</v>
      </c>
      <c r="G1964" s="20">
        <f>IFERROR(__xludf.DUMMYFUNCTION("""COMPUTED_VALUE"""),42.0)</f>
        <v>42</v>
      </c>
      <c r="H1964" s="20" t="str">
        <f>IFERROR(__xludf.DUMMYFUNCTION("""COMPUTED_VALUE"""),"Algorithms")</f>
        <v>Algorithms</v>
      </c>
      <c r="I1964" s="20">
        <f>IFERROR(__xludf.DUMMYFUNCTION("""COMPUTED_VALUE"""),0.686)</f>
        <v>0.686</v>
      </c>
      <c r="J1964" s="20">
        <f>IFERROR(__xludf.DUMMYFUNCTION("""COMPUTED_VALUE"""),1963.0)</f>
        <v>1963</v>
      </c>
      <c r="K1964" s="20" t="b">
        <f>IFERROR(__xludf.DUMMYFUNCTION("""COMPUTED_VALUE"""),FALSE)</f>
        <v>0</v>
      </c>
      <c r="L1964" s="20" t="str">
        <f>IFERROR(__xludf.DUMMYFUNCTION("""COMPUTED_VALUE"""),"Two Pointers;String;Stack;Greedy;")</f>
        <v>Two Pointers;String;Stack;Greedy;</v>
      </c>
      <c r="M1964" s="20" t="b">
        <f>IFERROR(__xludf.DUMMYFUNCTION("""COMPUTED_VALUE"""),FALSE)</f>
        <v>0</v>
      </c>
      <c r="N1964" s="20" t="b">
        <f>IFERROR(__xludf.DUMMYFUNCTION("""COMPUTED_VALUE"""),FALSE)</f>
        <v>0</v>
      </c>
      <c r="O1964" s="20">
        <f>IFERROR(__xludf.DUMMYFUNCTION("""COMPUTED_VALUE"""),68.6120450863225)</f>
        <v>68.61204509</v>
      </c>
      <c r="P1964" s="20">
        <f>IFERROR(__xludf.DUMMYFUNCTION("""COMPUTED_VALUE"""),39384.0)</f>
        <v>39384</v>
      </c>
      <c r="Q1964" s="20">
        <f>IFERROR(__xludf.DUMMYFUNCTION("""COMPUTED_VALUE"""),57401.0)</f>
        <v>57401</v>
      </c>
    </row>
    <row r="1965">
      <c r="A1965" s="20">
        <f>IFERROR(__xludf.DUMMYFUNCTION("""COMPUTED_VALUE"""),2096.0)</f>
        <v>2096</v>
      </c>
      <c r="B1965" s="20" t="str">
        <f>IFERROR(__xludf.DUMMYFUNCTION("""COMPUTED_VALUE"""),"Find the Longest Valid Obstacle Course at Each Position")</f>
        <v>Find the Longest Valid Obstacle Course at Each Position</v>
      </c>
      <c r="C1965" s="20" t="str">
        <f>IFERROR(__xludf.DUMMYFUNCTION("""COMPUTED_VALUE"""),"find-the-longest-valid-obstacle-course-at-each-position")</f>
        <v>find-the-longest-valid-obstacle-course-at-each-position</v>
      </c>
      <c r="D1965" s="20" t="b">
        <f>IFERROR(__xludf.DUMMYFUNCTION("""COMPUTED_VALUE"""),FALSE)</f>
        <v>0</v>
      </c>
      <c r="E1965" s="20" t="str">
        <f>IFERROR(__xludf.DUMMYFUNCTION("""COMPUTED_VALUE"""),"Hard")</f>
        <v>Hard</v>
      </c>
      <c r="F1965" s="20">
        <f>IFERROR(__xludf.DUMMYFUNCTION("""COMPUTED_VALUE"""),441.0)</f>
        <v>441</v>
      </c>
      <c r="G1965" s="20">
        <f>IFERROR(__xludf.DUMMYFUNCTION("""COMPUTED_VALUE"""),7.0)</f>
        <v>7</v>
      </c>
      <c r="H1965" s="20" t="str">
        <f>IFERROR(__xludf.DUMMYFUNCTION("""COMPUTED_VALUE"""),"Algorithms")</f>
        <v>Algorithms</v>
      </c>
      <c r="I1965" s="20">
        <f>IFERROR(__xludf.DUMMYFUNCTION("""COMPUTED_VALUE"""),0.47)</f>
        <v>0.47</v>
      </c>
      <c r="J1965" s="20">
        <f>IFERROR(__xludf.DUMMYFUNCTION("""COMPUTED_VALUE"""),1964.0)</f>
        <v>1964</v>
      </c>
      <c r="K1965" s="20" t="b">
        <f>IFERROR(__xludf.DUMMYFUNCTION("""COMPUTED_VALUE"""),FALSE)</f>
        <v>0</v>
      </c>
      <c r="L1965" s="20" t="str">
        <f>IFERROR(__xludf.DUMMYFUNCTION("""COMPUTED_VALUE"""),"Array;Binary Search;Binary Indexed Tree;")</f>
        <v>Array;Binary Search;Binary Indexed Tree;</v>
      </c>
      <c r="M1965" s="20" t="b">
        <f>IFERROR(__xludf.DUMMYFUNCTION("""COMPUTED_VALUE"""),FALSE)</f>
        <v>0</v>
      </c>
      <c r="N1965" s="20" t="b">
        <f>IFERROR(__xludf.DUMMYFUNCTION("""COMPUTED_VALUE"""),FALSE)</f>
        <v>0</v>
      </c>
      <c r="O1965" s="20">
        <f>IFERROR(__xludf.DUMMYFUNCTION("""COMPUTED_VALUE"""),47.0369834611119)</f>
        <v>47.03698346</v>
      </c>
      <c r="P1965" s="20">
        <f>IFERROR(__xludf.DUMMYFUNCTION("""COMPUTED_VALUE"""),9755.0)</f>
        <v>9755</v>
      </c>
      <c r="Q1965" s="20">
        <f>IFERROR(__xludf.DUMMYFUNCTION("""COMPUTED_VALUE"""),20739.0)</f>
        <v>20739</v>
      </c>
    </row>
    <row r="1966">
      <c r="A1966" s="20">
        <f>IFERROR(__xludf.DUMMYFUNCTION("""COMPUTED_VALUE"""),2110.0)</f>
        <v>2110</v>
      </c>
      <c r="B1966" s="20" t="str">
        <f>IFERROR(__xludf.DUMMYFUNCTION("""COMPUTED_VALUE"""),"Employees With Missing Information")</f>
        <v>Employees With Missing Information</v>
      </c>
      <c r="C1966" s="20" t="str">
        <f>IFERROR(__xludf.DUMMYFUNCTION("""COMPUTED_VALUE"""),"employees-with-missing-information")</f>
        <v>employees-with-missing-information</v>
      </c>
      <c r="D1966" s="20" t="b">
        <f>IFERROR(__xludf.DUMMYFUNCTION("""COMPUTED_VALUE"""),FALSE)</f>
        <v>0</v>
      </c>
      <c r="E1966" s="20" t="str">
        <f>IFERROR(__xludf.DUMMYFUNCTION("""COMPUTED_VALUE"""),"Easy")</f>
        <v>Easy</v>
      </c>
      <c r="F1966" s="20">
        <f>IFERROR(__xludf.DUMMYFUNCTION("""COMPUTED_VALUE"""),432.0)</f>
        <v>432</v>
      </c>
      <c r="G1966" s="20">
        <f>IFERROR(__xludf.DUMMYFUNCTION("""COMPUTED_VALUE"""),26.0)</f>
        <v>26</v>
      </c>
      <c r="H1966" s="20" t="str">
        <f>IFERROR(__xludf.DUMMYFUNCTION("""COMPUTED_VALUE"""),"Database")</f>
        <v>Database</v>
      </c>
      <c r="I1966" s="20">
        <f>IFERROR(__xludf.DUMMYFUNCTION("""COMPUTED_VALUE"""),0.793)</f>
        <v>0.793</v>
      </c>
      <c r="J1966" s="20">
        <f>IFERROR(__xludf.DUMMYFUNCTION("""COMPUTED_VALUE"""),1965.0)</f>
        <v>1965</v>
      </c>
      <c r="K1966" s="20" t="b">
        <f>IFERROR(__xludf.DUMMYFUNCTION("""COMPUTED_VALUE"""),FALSE)</f>
        <v>0</v>
      </c>
      <c r="L1966" s="20" t="str">
        <f>IFERROR(__xludf.DUMMYFUNCTION("""COMPUTED_VALUE"""),"Database;")</f>
        <v>Database;</v>
      </c>
      <c r="M1966" s="20" t="b">
        <f>IFERROR(__xludf.DUMMYFUNCTION("""COMPUTED_VALUE"""),FALSE)</f>
        <v>0</v>
      </c>
      <c r="N1966" s="20" t="b">
        <f>IFERROR(__xludf.DUMMYFUNCTION("""COMPUTED_VALUE"""),FALSE)</f>
        <v>0</v>
      </c>
      <c r="O1966" s="20">
        <f>IFERROR(__xludf.DUMMYFUNCTION("""COMPUTED_VALUE"""),79.2839255163521)</f>
        <v>79.28392552</v>
      </c>
      <c r="P1966" s="20">
        <f>IFERROR(__xludf.DUMMYFUNCTION("""COMPUTED_VALUE"""),63951.0)</f>
        <v>63951</v>
      </c>
      <c r="Q1966" s="20">
        <f>IFERROR(__xludf.DUMMYFUNCTION("""COMPUTED_VALUE"""),80661.0)</f>
        <v>80661</v>
      </c>
    </row>
    <row r="1967">
      <c r="A1967" s="20">
        <f>IFERROR(__xludf.DUMMYFUNCTION("""COMPUTED_VALUE"""),2111.0)</f>
        <v>2111</v>
      </c>
      <c r="B1967" s="20" t="str">
        <f>IFERROR(__xludf.DUMMYFUNCTION("""COMPUTED_VALUE"""),"Binary Searchable Numbers in an Unsorted Array")</f>
        <v>Binary Searchable Numbers in an Unsorted Array</v>
      </c>
      <c r="C1967" s="20" t="str">
        <f>IFERROR(__xludf.DUMMYFUNCTION("""COMPUTED_VALUE"""),"binary-searchable-numbers-in-an-unsorted-array")</f>
        <v>binary-searchable-numbers-in-an-unsorted-array</v>
      </c>
      <c r="D1967" s="20" t="b">
        <f>IFERROR(__xludf.DUMMYFUNCTION("""COMPUTED_VALUE"""),TRUE)</f>
        <v>1</v>
      </c>
      <c r="E1967" s="20" t="str">
        <f>IFERROR(__xludf.DUMMYFUNCTION("""COMPUTED_VALUE"""),"Medium")</f>
        <v>Medium</v>
      </c>
      <c r="F1967" s="20">
        <f>IFERROR(__xludf.DUMMYFUNCTION("""COMPUTED_VALUE"""),52.0)</f>
        <v>52</v>
      </c>
      <c r="G1967" s="20">
        <f>IFERROR(__xludf.DUMMYFUNCTION("""COMPUTED_VALUE"""),6.0)</f>
        <v>6</v>
      </c>
      <c r="H1967" s="20" t="str">
        <f>IFERROR(__xludf.DUMMYFUNCTION("""COMPUTED_VALUE"""),"Algorithms")</f>
        <v>Algorithms</v>
      </c>
      <c r="I1967" s="20">
        <f>IFERROR(__xludf.DUMMYFUNCTION("""COMPUTED_VALUE"""),0.653)</f>
        <v>0.653</v>
      </c>
      <c r="J1967" s="20">
        <f>IFERROR(__xludf.DUMMYFUNCTION("""COMPUTED_VALUE"""),1966.0)</f>
        <v>1966</v>
      </c>
      <c r="K1967" s="20" t="b">
        <f>IFERROR(__xludf.DUMMYFUNCTION("""COMPUTED_VALUE"""),TRUE)</f>
        <v>1</v>
      </c>
      <c r="L1967" s="20" t="str">
        <f>IFERROR(__xludf.DUMMYFUNCTION("""COMPUTED_VALUE"""),"Array;Binary Search;")</f>
        <v>Array;Binary Search;</v>
      </c>
      <c r="M1967" s="20" t="b">
        <f>IFERROR(__xludf.DUMMYFUNCTION("""COMPUTED_VALUE"""),FALSE)</f>
        <v>0</v>
      </c>
      <c r="N1967" s="20" t="b">
        <f>IFERROR(__xludf.DUMMYFUNCTION("""COMPUTED_VALUE"""),FALSE)</f>
        <v>0</v>
      </c>
      <c r="O1967" s="20">
        <f>IFERROR(__xludf.DUMMYFUNCTION("""COMPUTED_VALUE"""),65.3449890727443)</f>
        <v>65.34498907</v>
      </c>
      <c r="P1967" s="20">
        <f>IFERROR(__xludf.DUMMYFUNCTION("""COMPUTED_VALUE"""),2093.0)</f>
        <v>2093</v>
      </c>
      <c r="Q1967" s="20">
        <f>IFERROR(__xludf.DUMMYFUNCTION("""COMPUTED_VALUE"""),3203.0)</f>
        <v>3203</v>
      </c>
    </row>
    <row r="1968">
      <c r="A1968" s="20">
        <f>IFERROR(__xludf.DUMMYFUNCTION("""COMPUTED_VALUE"""),2099.0)</f>
        <v>2099</v>
      </c>
      <c r="B1968" s="20" t="str">
        <f>IFERROR(__xludf.DUMMYFUNCTION("""COMPUTED_VALUE"""),"Number of Strings That Appear as Substrings in Word")</f>
        <v>Number of Strings That Appear as Substrings in Word</v>
      </c>
      <c r="C1968" s="20" t="str">
        <f>IFERROR(__xludf.DUMMYFUNCTION("""COMPUTED_VALUE"""),"number-of-strings-that-appear-as-substrings-in-word")</f>
        <v>number-of-strings-that-appear-as-substrings-in-word</v>
      </c>
      <c r="D1968" s="20" t="b">
        <f>IFERROR(__xludf.DUMMYFUNCTION("""COMPUTED_VALUE"""),FALSE)</f>
        <v>0</v>
      </c>
      <c r="E1968" s="20" t="str">
        <f>IFERROR(__xludf.DUMMYFUNCTION("""COMPUTED_VALUE"""),"Easy")</f>
        <v>Easy</v>
      </c>
      <c r="F1968" s="20">
        <f>IFERROR(__xludf.DUMMYFUNCTION("""COMPUTED_VALUE"""),459.0)</f>
        <v>459</v>
      </c>
      <c r="G1968" s="20">
        <f>IFERROR(__xludf.DUMMYFUNCTION("""COMPUTED_VALUE"""),23.0)</f>
        <v>23</v>
      </c>
      <c r="H1968" s="20" t="str">
        <f>IFERROR(__xludf.DUMMYFUNCTION("""COMPUTED_VALUE"""),"Algorithms")</f>
        <v>Algorithms</v>
      </c>
      <c r="I1968" s="20">
        <f>IFERROR(__xludf.DUMMYFUNCTION("""COMPUTED_VALUE"""),0.8)</f>
        <v>0.8</v>
      </c>
      <c r="J1968" s="20">
        <f>IFERROR(__xludf.DUMMYFUNCTION("""COMPUTED_VALUE"""),1967.0)</f>
        <v>1967</v>
      </c>
      <c r="K1968" s="20" t="b">
        <f>IFERROR(__xludf.DUMMYFUNCTION("""COMPUTED_VALUE"""),FALSE)</f>
        <v>0</v>
      </c>
      <c r="L1968" s="20" t="str">
        <f>IFERROR(__xludf.DUMMYFUNCTION("""COMPUTED_VALUE"""),"String;")</f>
        <v>String;</v>
      </c>
      <c r="M1968" s="20" t="b">
        <f>IFERROR(__xludf.DUMMYFUNCTION("""COMPUTED_VALUE"""),FALSE)</f>
        <v>0</v>
      </c>
      <c r="N1968" s="20" t="b">
        <f>IFERROR(__xludf.DUMMYFUNCTION("""COMPUTED_VALUE"""),FALSE)</f>
        <v>0</v>
      </c>
      <c r="O1968" s="20">
        <f>IFERROR(__xludf.DUMMYFUNCTION("""COMPUTED_VALUE"""),79.9965521204459)</f>
        <v>79.99655212</v>
      </c>
      <c r="P1968" s="20">
        <f>IFERROR(__xludf.DUMMYFUNCTION("""COMPUTED_VALUE"""),41758.0)</f>
        <v>41758</v>
      </c>
      <c r="Q1968" s="20">
        <f>IFERROR(__xludf.DUMMYFUNCTION("""COMPUTED_VALUE"""),52199.0)</f>
        <v>52199</v>
      </c>
    </row>
    <row r="1969">
      <c r="A1969" s="20">
        <f>IFERROR(__xludf.DUMMYFUNCTION("""COMPUTED_VALUE"""),2085.0)</f>
        <v>2085</v>
      </c>
      <c r="B1969" s="20" t="str">
        <f>IFERROR(__xludf.DUMMYFUNCTION("""COMPUTED_VALUE"""),"Array With Elements Not Equal to Average of Neighbors")</f>
        <v>Array With Elements Not Equal to Average of Neighbors</v>
      </c>
      <c r="C1969" s="20" t="str">
        <f>IFERROR(__xludf.DUMMYFUNCTION("""COMPUTED_VALUE"""),"array-with-elements-not-equal-to-average-of-neighbors")</f>
        <v>array-with-elements-not-equal-to-average-of-neighbors</v>
      </c>
      <c r="D1969" s="20" t="b">
        <f>IFERROR(__xludf.DUMMYFUNCTION("""COMPUTED_VALUE"""),FALSE)</f>
        <v>0</v>
      </c>
      <c r="E1969" s="20" t="str">
        <f>IFERROR(__xludf.DUMMYFUNCTION("""COMPUTED_VALUE"""),"Medium")</f>
        <v>Medium</v>
      </c>
      <c r="F1969" s="20">
        <f>IFERROR(__xludf.DUMMYFUNCTION("""COMPUTED_VALUE"""),380.0)</f>
        <v>380</v>
      </c>
      <c r="G1969" s="20">
        <f>IFERROR(__xludf.DUMMYFUNCTION("""COMPUTED_VALUE"""),27.0)</f>
        <v>27</v>
      </c>
      <c r="H1969" s="20" t="str">
        <f>IFERROR(__xludf.DUMMYFUNCTION("""COMPUTED_VALUE"""),"Algorithms")</f>
        <v>Algorithms</v>
      </c>
      <c r="I1969" s="20">
        <f>IFERROR(__xludf.DUMMYFUNCTION("""COMPUTED_VALUE"""),0.495)</f>
        <v>0.495</v>
      </c>
      <c r="J1969" s="20">
        <f>IFERROR(__xludf.DUMMYFUNCTION("""COMPUTED_VALUE"""),1968.0)</f>
        <v>1968</v>
      </c>
      <c r="K1969" s="20" t="b">
        <f>IFERROR(__xludf.DUMMYFUNCTION("""COMPUTED_VALUE"""),FALSE)</f>
        <v>0</v>
      </c>
      <c r="L1969" s="20" t="str">
        <f>IFERROR(__xludf.DUMMYFUNCTION("""COMPUTED_VALUE"""),"Array;Greedy;Sorting;")</f>
        <v>Array;Greedy;Sorting;</v>
      </c>
      <c r="M1969" s="20" t="b">
        <f>IFERROR(__xludf.DUMMYFUNCTION("""COMPUTED_VALUE"""),FALSE)</f>
        <v>0</v>
      </c>
      <c r="N1969" s="20" t="b">
        <f>IFERROR(__xludf.DUMMYFUNCTION("""COMPUTED_VALUE"""),FALSE)</f>
        <v>0</v>
      </c>
      <c r="O1969" s="20">
        <f>IFERROR(__xludf.DUMMYFUNCTION("""COMPUTED_VALUE"""),49.4614251519057)</f>
        <v>49.46142515</v>
      </c>
      <c r="P1969" s="20">
        <f>IFERROR(__xludf.DUMMYFUNCTION("""COMPUTED_VALUE"""),21489.0)</f>
        <v>21489</v>
      </c>
      <c r="Q1969" s="20">
        <f>IFERROR(__xludf.DUMMYFUNCTION("""COMPUTED_VALUE"""),43446.0)</f>
        <v>43446</v>
      </c>
    </row>
    <row r="1970">
      <c r="A1970" s="20">
        <f>IFERROR(__xludf.DUMMYFUNCTION("""COMPUTED_VALUE"""),2100.0)</f>
        <v>2100</v>
      </c>
      <c r="B1970" s="20" t="str">
        <f>IFERROR(__xludf.DUMMYFUNCTION("""COMPUTED_VALUE"""),"Minimum Non-Zero Product of the Array Elements")</f>
        <v>Minimum Non-Zero Product of the Array Elements</v>
      </c>
      <c r="C1970" s="20" t="str">
        <f>IFERROR(__xludf.DUMMYFUNCTION("""COMPUTED_VALUE"""),"minimum-non-zero-product-of-the-array-elements")</f>
        <v>minimum-non-zero-product-of-the-array-elements</v>
      </c>
      <c r="D1970" s="20" t="b">
        <f>IFERROR(__xludf.DUMMYFUNCTION("""COMPUTED_VALUE"""),FALSE)</f>
        <v>0</v>
      </c>
      <c r="E1970" s="20" t="str">
        <f>IFERROR(__xludf.DUMMYFUNCTION("""COMPUTED_VALUE"""),"Medium")</f>
        <v>Medium</v>
      </c>
      <c r="F1970" s="20">
        <f>IFERROR(__xludf.DUMMYFUNCTION("""COMPUTED_VALUE"""),167.0)</f>
        <v>167</v>
      </c>
      <c r="G1970" s="20">
        <f>IFERROR(__xludf.DUMMYFUNCTION("""COMPUTED_VALUE"""),320.0)</f>
        <v>320</v>
      </c>
      <c r="H1970" s="20" t="str">
        <f>IFERROR(__xludf.DUMMYFUNCTION("""COMPUTED_VALUE"""),"Algorithms")</f>
        <v>Algorithms</v>
      </c>
      <c r="I1970" s="20">
        <f>IFERROR(__xludf.DUMMYFUNCTION("""COMPUTED_VALUE"""),0.339)</f>
        <v>0.339</v>
      </c>
      <c r="J1970" s="20">
        <f>IFERROR(__xludf.DUMMYFUNCTION("""COMPUTED_VALUE"""),1969.0)</f>
        <v>1969</v>
      </c>
      <c r="K1970" s="20" t="b">
        <f>IFERROR(__xludf.DUMMYFUNCTION("""COMPUTED_VALUE"""),FALSE)</f>
        <v>0</v>
      </c>
      <c r="L1970" s="20" t="str">
        <f>IFERROR(__xludf.DUMMYFUNCTION("""COMPUTED_VALUE"""),"Math;Greedy;Recursion;")</f>
        <v>Math;Greedy;Recursion;</v>
      </c>
      <c r="M1970" s="20" t="b">
        <f>IFERROR(__xludf.DUMMYFUNCTION("""COMPUTED_VALUE"""),FALSE)</f>
        <v>0</v>
      </c>
      <c r="N1970" s="20" t="b">
        <f>IFERROR(__xludf.DUMMYFUNCTION("""COMPUTED_VALUE"""),FALSE)</f>
        <v>0</v>
      </c>
      <c r="O1970" s="20">
        <f>IFERROR(__xludf.DUMMYFUNCTION("""COMPUTED_VALUE"""),33.8755247013238)</f>
        <v>33.8755247</v>
      </c>
      <c r="P1970" s="20">
        <f>IFERROR(__xludf.DUMMYFUNCTION("""COMPUTED_VALUE"""),8393.0)</f>
        <v>8393</v>
      </c>
      <c r="Q1970" s="20">
        <f>IFERROR(__xludf.DUMMYFUNCTION("""COMPUTED_VALUE"""),24776.0)</f>
        <v>24776</v>
      </c>
    </row>
    <row r="1971">
      <c r="A1971" s="20">
        <f>IFERROR(__xludf.DUMMYFUNCTION("""COMPUTED_VALUE"""),2101.0)</f>
        <v>2101</v>
      </c>
      <c r="B1971" s="20" t="str">
        <f>IFERROR(__xludf.DUMMYFUNCTION("""COMPUTED_VALUE"""),"Last Day Where You Can Still Cross")</f>
        <v>Last Day Where You Can Still Cross</v>
      </c>
      <c r="C1971" s="20" t="str">
        <f>IFERROR(__xludf.DUMMYFUNCTION("""COMPUTED_VALUE"""),"last-day-where-you-can-still-cross")</f>
        <v>last-day-where-you-can-still-cross</v>
      </c>
      <c r="D1971" s="20" t="b">
        <f>IFERROR(__xludf.DUMMYFUNCTION("""COMPUTED_VALUE"""),FALSE)</f>
        <v>0</v>
      </c>
      <c r="E1971" s="20" t="str">
        <f>IFERROR(__xludf.DUMMYFUNCTION("""COMPUTED_VALUE"""),"Hard")</f>
        <v>Hard</v>
      </c>
      <c r="F1971" s="20">
        <f>IFERROR(__xludf.DUMMYFUNCTION("""COMPUTED_VALUE"""),553.0)</f>
        <v>553</v>
      </c>
      <c r="G1971" s="20">
        <f>IFERROR(__xludf.DUMMYFUNCTION("""COMPUTED_VALUE"""),11.0)</f>
        <v>11</v>
      </c>
      <c r="H1971" s="20" t="str">
        <f>IFERROR(__xludf.DUMMYFUNCTION("""COMPUTED_VALUE"""),"Algorithms")</f>
        <v>Algorithms</v>
      </c>
      <c r="I1971" s="20">
        <f>IFERROR(__xludf.DUMMYFUNCTION("""COMPUTED_VALUE"""),0.495)</f>
        <v>0.495</v>
      </c>
      <c r="J1971" s="20">
        <f>IFERROR(__xludf.DUMMYFUNCTION("""COMPUTED_VALUE"""),1970.0)</f>
        <v>1970</v>
      </c>
      <c r="K1971" s="20" t="b">
        <f>IFERROR(__xludf.DUMMYFUNCTION("""COMPUTED_VALUE"""),FALSE)</f>
        <v>0</v>
      </c>
      <c r="L1971" s="20" t="str">
        <f>IFERROR(__xludf.DUMMYFUNCTION("""COMPUTED_VALUE"""),"Array;Binary Search;Depth-First Search;Breadth-First Search;Union Find;Matrix;")</f>
        <v>Array;Binary Search;Depth-First Search;Breadth-First Search;Union Find;Matrix;</v>
      </c>
      <c r="M1971" s="20" t="b">
        <f>IFERROR(__xludf.DUMMYFUNCTION("""COMPUTED_VALUE"""),FALSE)</f>
        <v>0</v>
      </c>
      <c r="N1971" s="20" t="b">
        <f>IFERROR(__xludf.DUMMYFUNCTION("""COMPUTED_VALUE"""),FALSE)</f>
        <v>0</v>
      </c>
      <c r="O1971" s="20">
        <f>IFERROR(__xludf.DUMMYFUNCTION("""COMPUTED_VALUE"""),49.5088676671214)</f>
        <v>49.50886767</v>
      </c>
      <c r="P1971" s="20">
        <f>IFERROR(__xludf.DUMMYFUNCTION("""COMPUTED_VALUE"""),10887.0)</f>
        <v>10887</v>
      </c>
      <c r="Q1971" s="20">
        <f>IFERROR(__xludf.DUMMYFUNCTION("""COMPUTED_VALUE"""),21990.0)</f>
        <v>21990</v>
      </c>
    </row>
    <row r="1972">
      <c r="A1972" s="20">
        <f>IFERROR(__xludf.DUMMYFUNCTION("""COMPUTED_VALUE"""),2121.0)</f>
        <v>2121</v>
      </c>
      <c r="B1972" s="20" t="str">
        <f>IFERROR(__xludf.DUMMYFUNCTION("""COMPUTED_VALUE"""),"Find if Path Exists in Graph")</f>
        <v>Find if Path Exists in Graph</v>
      </c>
      <c r="C1972" s="20" t="str">
        <f>IFERROR(__xludf.DUMMYFUNCTION("""COMPUTED_VALUE"""),"find-if-path-exists-in-graph")</f>
        <v>find-if-path-exists-in-graph</v>
      </c>
      <c r="D1972" s="20" t="b">
        <f>IFERROR(__xludf.DUMMYFUNCTION("""COMPUTED_VALUE"""),FALSE)</f>
        <v>0</v>
      </c>
      <c r="E1972" s="20" t="str">
        <f>IFERROR(__xludf.DUMMYFUNCTION("""COMPUTED_VALUE"""),"Easy")</f>
        <v>Easy</v>
      </c>
      <c r="F1972" s="20">
        <f>IFERROR(__xludf.DUMMYFUNCTION("""COMPUTED_VALUE"""),2579.0)</f>
        <v>2579</v>
      </c>
      <c r="G1972" s="20">
        <f>IFERROR(__xludf.DUMMYFUNCTION("""COMPUTED_VALUE"""),135.0)</f>
        <v>135</v>
      </c>
      <c r="H1972" s="20" t="str">
        <f>IFERROR(__xludf.DUMMYFUNCTION("""COMPUTED_VALUE"""),"Algorithms")</f>
        <v>Algorithms</v>
      </c>
      <c r="I1972" s="20">
        <f>IFERROR(__xludf.DUMMYFUNCTION("""COMPUTED_VALUE"""),0.526)</f>
        <v>0.526</v>
      </c>
      <c r="J1972" s="20">
        <f>IFERROR(__xludf.DUMMYFUNCTION("""COMPUTED_VALUE"""),1971.0)</f>
        <v>1971</v>
      </c>
      <c r="K1972" s="20" t="b">
        <f>IFERROR(__xludf.DUMMYFUNCTION("""COMPUTED_VALUE"""),FALSE)</f>
        <v>0</v>
      </c>
      <c r="L1972" s="20" t="str">
        <f>IFERROR(__xludf.DUMMYFUNCTION("""COMPUTED_VALUE"""),"Depth-First Search;Breadth-First Search;Union Find;Graph;")</f>
        <v>Depth-First Search;Breadth-First Search;Union Find;Graph;</v>
      </c>
      <c r="M1972" s="20" t="b">
        <f>IFERROR(__xludf.DUMMYFUNCTION("""COMPUTED_VALUE"""),TRUE)</f>
        <v>1</v>
      </c>
      <c r="N1972" s="20" t="b">
        <f>IFERROR(__xludf.DUMMYFUNCTION("""COMPUTED_VALUE"""),FALSE)</f>
        <v>0</v>
      </c>
      <c r="O1972" s="20">
        <f>IFERROR(__xludf.DUMMYFUNCTION("""COMPUTED_VALUE"""),52.5612978741892)</f>
        <v>52.56129787</v>
      </c>
      <c r="P1972" s="20">
        <f>IFERROR(__xludf.DUMMYFUNCTION("""COMPUTED_VALUE"""),205665.0)</f>
        <v>205665</v>
      </c>
      <c r="Q1972" s="20">
        <f>IFERROR(__xludf.DUMMYFUNCTION("""COMPUTED_VALUE"""),391281.0)</f>
        <v>391281</v>
      </c>
    </row>
    <row r="1973">
      <c r="A1973" s="20">
        <f>IFERROR(__xludf.DUMMYFUNCTION("""COMPUTED_VALUE"""),2120.0)</f>
        <v>2120</v>
      </c>
      <c r="B1973" s="20" t="str">
        <f>IFERROR(__xludf.DUMMYFUNCTION("""COMPUTED_VALUE"""),"First and Last Call On the Same Day")</f>
        <v>First and Last Call On the Same Day</v>
      </c>
      <c r="C1973" s="20" t="str">
        <f>IFERROR(__xludf.DUMMYFUNCTION("""COMPUTED_VALUE"""),"first-and-last-call-on-the-same-day")</f>
        <v>first-and-last-call-on-the-same-day</v>
      </c>
      <c r="D1973" s="20" t="b">
        <f>IFERROR(__xludf.DUMMYFUNCTION("""COMPUTED_VALUE"""),TRUE)</f>
        <v>1</v>
      </c>
      <c r="E1973" s="20" t="str">
        <f>IFERROR(__xludf.DUMMYFUNCTION("""COMPUTED_VALUE"""),"Hard")</f>
        <v>Hard</v>
      </c>
      <c r="F1973" s="20">
        <f>IFERROR(__xludf.DUMMYFUNCTION("""COMPUTED_VALUE"""),102.0)</f>
        <v>102</v>
      </c>
      <c r="G1973" s="20">
        <f>IFERROR(__xludf.DUMMYFUNCTION("""COMPUTED_VALUE"""),34.0)</f>
        <v>34</v>
      </c>
      <c r="H1973" s="20" t="str">
        <f>IFERROR(__xludf.DUMMYFUNCTION("""COMPUTED_VALUE"""),"Database")</f>
        <v>Database</v>
      </c>
      <c r="I1973" s="20">
        <f>IFERROR(__xludf.DUMMYFUNCTION("""COMPUTED_VALUE"""),0.534)</f>
        <v>0.534</v>
      </c>
      <c r="J1973" s="20">
        <f>IFERROR(__xludf.DUMMYFUNCTION("""COMPUTED_VALUE"""),1972.0)</f>
        <v>1972</v>
      </c>
      <c r="K1973" s="20" t="b">
        <f>IFERROR(__xludf.DUMMYFUNCTION("""COMPUTED_VALUE"""),TRUE)</f>
        <v>1</v>
      </c>
      <c r="L1973" s="20" t="str">
        <f>IFERROR(__xludf.DUMMYFUNCTION("""COMPUTED_VALUE"""),"Database;")</f>
        <v>Database;</v>
      </c>
      <c r="M1973" s="20" t="b">
        <f>IFERROR(__xludf.DUMMYFUNCTION("""COMPUTED_VALUE"""),FALSE)</f>
        <v>0</v>
      </c>
      <c r="N1973" s="20" t="b">
        <f>IFERROR(__xludf.DUMMYFUNCTION("""COMPUTED_VALUE"""),FALSE)</f>
        <v>0</v>
      </c>
      <c r="O1973" s="20">
        <f>IFERROR(__xludf.DUMMYFUNCTION("""COMPUTED_VALUE"""),53.3781567727123)</f>
        <v>53.37815677</v>
      </c>
      <c r="P1973" s="20">
        <f>IFERROR(__xludf.DUMMYFUNCTION("""COMPUTED_VALUE"""),6510.0)</f>
        <v>6510</v>
      </c>
      <c r="Q1973" s="20">
        <f>IFERROR(__xludf.DUMMYFUNCTION("""COMPUTED_VALUE"""),12196.0)</f>
        <v>12196</v>
      </c>
    </row>
    <row r="1974">
      <c r="A1974" s="20">
        <f>IFERROR(__xludf.DUMMYFUNCTION("""COMPUTED_VALUE"""),2126.0)</f>
        <v>2126</v>
      </c>
      <c r="B1974" s="20" t="str">
        <f>IFERROR(__xludf.DUMMYFUNCTION("""COMPUTED_VALUE"""),"Count Nodes Equal to Sum of Descendants")</f>
        <v>Count Nodes Equal to Sum of Descendants</v>
      </c>
      <c r="C1974" s="20" t="str">
        <f>IFERROR(__xludf.DUMMYFUNCTION("""COMPUTED_VALUE"""),"count-nodes-equal-to-sum-of-descendants")</f>
        <v>count-nodes-equal-to-sum-of-descendants</v>
      </c>
      <c r="D1974" s="20" t="b">
        <f>IFERROR(__xludf.DUMMYFUNCTION("""COMPUTED_VALUE"""),TRUE)</f>
        <v>1</v>
      </c>
      <c r="E1974" s="20" t="str">
        <f>IFERROR(__xludf.DUMMYFUNCTION("""COMPUTED_VALUE"""),"Medium")</f>
        <v>Medium</v>
      </c>
      <c r="F1974" s="20">
        <f>IFERROR(__xludf.DUMMYFUNCTION("""COMPUTED_VALUE"""),125.0)</f>
        <v>125</v>
      </c>
      <c r="G1974" s="20">
        <f>IFERROR(__xludf.DUMMYFUNCTION("""COMPUTED_VALUE"""),3.0)</f>
        <v>3</v>
      </c>
      <c r="H1974" s="20" t="str">
        <f>IFERROR(__xludf.DUMMYFUNCTION("""COMPUTED_VALUE"""),"Algorithms")</f>
        <v>Algorithms</v>
      </c>
      <c r="I1974" s="20">
        <f>IFERROR(__xludf.DUMMYFUNCTION("""COMPUTED_VALUE"""),0.751)</f>
        <v>0.751</v>
      </c>
      <c r="J1974" s="20">
        <f>IFERROR(__xludf.DUMMYFUNCTION("""COMPUTED_VALUE"""),1973.0)</f>
        <v>1973</v>
      </c>
      <c r="K1974" s="20" t="b">
        <f>IFERROR(__xludf.DUMMYFUNCTION("""COMPUTED_VALUE"""),TRUE)</f>
        <v>1</v>
      </c>
      <c r="L1974" s="20" t="str">
        <f>IFERROR(__xludf.DUMMYFUNCTION("""COMPUTED_VALUE"""),"Tree;Depth-First Search;Binary Search Tree;Binary Tree;")</f>
        <v>Tree;Depth-First Search;Binary Search Tree;Binary Tree;</v>
      </c>
      <c r="M1974" s="20" t="b">
        <f>IFERROR(__xludf.DUMMYFUNCTION("""COMPUTED_VALUE"""),FALSE)</f>
        <v>0</v>
      </c>
      <c r="N1974" s="20" t="b">
        <f>IFERROR(__xludf.DUMMYFUNCTION("""COMPUTED_VALUE"""),FALSE)</f>
        <v>0</v>
      </c>
      <c r="O1974" s="20">
        <f>IFERROR(__xludf.DUMMYFUNCTION("""COMPUTED_VALUE"""),75.1163031117543)</f>
        <v>75.11630311</v>
      </c>
      <c r="P1974" s="20">
        <f>IFERROR(__xludf.DUMMYFUNCTION("""COMPUTED_VALUE"""),7266.0)</f>
        <v>7266</v>
      </c>
      <c r="Q1974" s="20">
        <f>IFERROR(__xludf.DUMMYFUNCTION("""COMPUTED_VALUE"""),9673.0)</f>
        <v>9673</v>
      </c>
    </row>
    <row r="1975">
      <c r="A1975" s="20">
        <f>IFERROR(__xludf.DUMMYFUNCTION("""COMPUTED_VALUE"""),2088.0)</f>
        <v>2088</v>
      </c>
      <c r="B1975" s="20" t="str">
        <f>IFERROR(__xludf.DUMMYFUNCTION("""COMPUTED_VALUE"""),"Minimum Time to Type Word Using Special Typewriter")</f>
        <v>Minimum Time to Type Word Using Special Typewriter</v>
      </c>
      <c r="C1975" s="20" t="str">
        <f>IFERROR(__xludf.DUMMYFUNCTION("""COMPUTED_VALUE"""),"minimum-time-to-type-word-using-special-typewriter")</f>
        <v>minimum-time-to-type-word-using-special-typewriter</v>
      </c>
      <c r="D1975" s="20" t="b">
        <f>IFERROR(__xludf.DUMMYFUNCTION("""COMPUTED_VALUE"""),FALSE)</f>
        <v>0</v>
      </c>
      <c r="E1975" s="20" t="str">
        <f>IFERROR(__xludf.DUMMYFUNCTION("""COMPUTED_VALUE"""),"Easy")</f>
        <v>Easy</v>
      </c>
      <c r="F1975" s="20">
        <f>IFERROR(__xludf.DUMMYFUNCTION("""COMPUTED_VALUE"""),488.0)</f>
        <v>488</v>
      </c>
      <c r="G1975" s="20">
        <f>IFERROR(__xludf.DUMMYFUNCTION("""COMPUTED_VALUE"""),18.0)</f>
        <v>18</v>
      </c>
      <c r="H1975" s="20" t="str">
        <f>IFERROR(__xludf.DUMMYFUNCTION("""COMPUTED_VALUE"""),"Algorithms")</f>
        <v>Algorithms</v>
      </c>
      <c r="I1975" s="20">
        <f>IFERROR(__xludf.DUMMYFUNCTION("""COMPUTED_VALUE"""),0.716)</f>
        <v>0.716</v>
      </c>
      <c r="J1975" s="20">
        <f>IFERROR(__xludf.DUMMYFUNCTION("""COMPUTED_VALUE"""),1974.0)</f>
        <v>1974</v>
      </c>
      <c r="K1975" s="20" t="b">
        <f>IFERROR(__xludf.DUMMYFUNCTION("""COMPUTED_VALUE"""),FALSE)</f>
        <v>0</v>
      </c>
      <c r="L1975" s="20" t="str">
        <f>IFERROR(__xludf.DUMMYFUNCTION("""COMPUTED_VALUE"""),"String;Greedy;")</f>
        <v>String;Greedy;</v>
      </c>
      <c r="M1975" s="20" t="b">
        <f>IFERROR(__xludf.DUMMYFUNCTION("""COMPUTED_VALUE"""),FALSE)</f>
        <v>0</v>
      </c>
      <c r="N1975" s="20" t="b">
        <f>IFERROR(__xludf.DUMMYFUNCTION("""COMPUTED_VALUE"""),FALSE)</f>
        <v>0</v>
      </c>
      <c r="O1975" s="20">
        <f>IFERROR(__xludf.DUMMYFUNCTION("""COMPUTED_VALUE"""),71.6300323012684)</f>
        <v>71.6300323</v>
      </c>
      <c r="P1975" s="20">
        <f>IFERROR(__xludf.DUMMYFUNCTION("""COMPUTED_VALUE"""),27276.0)</f>
        <v>27276</v>
      </c>
      <c r="Q1975" s="20">
        <f>IFERROR(__xludf.DUMMYFUNCTION("""COMPUTED_VALUE"""),38079.0)</f>
        <v>38079</v>
      </c>
    </row>
    <row r="1976">
      <c r="A1976" s="20">
        <f>IFERROR(__xludf.DUMMYFUNCTION("""COMPUTED_VALUE"""),2089.0)</f>
        <v>2089</v>
      </c>
      <c r="B1976" s="20" t="str">
        <f>IFERROR(__xludf.DUMMYFUNCTION("""COMPUTED_VALUE"""),"Maximum Matrix Sum")</f>
        <v>Maximum Matrix Sum</v>
      </c>
      <c r="C1976" s="20" t="str">
        <f>IFERROR(__xludf.DUMMYFUNCTION("""COMPUTED_VALUE"""),"maximum-matrix-sum")</f>
        <v>maximum-matrix-sum</v>
      </c>
      <c r="D1976" s="20" t="b">
        <f>IFERROR(__xludf.DUMMYFUNCTION("""COMPUTED_VALUE"""),FALSE)</f>
        <v>0</v>
      </c>
      <c r="E1976" s="20" t="str">
        <f>IFERROR(__xludf.DUMMYFUNCTION("""COMPUTED_VALUE"""),"Medium")</f>
        <v>Medium</v>
      </c>
      <c r="F1976" s="20">
        <f>IFERROR(__xludf.DUMMYFUNCTION("""COMPUTED_VALUE"""),420.0)</f>
        <v>420</v>
      </c>
      <c r="G1976" s="20">
        <f>IFERROR(__xludf.DUMMYFUNCTION("""COMPUTED_VALUE"""),18.0)</f>
        <v>18</v>
      </c>
      <c r="H1976" s="20" t="str">
        <f>IFERROR(__xludf.DUMMYFUNCTION("""COMPUTED_VALUE"""),"Algorithms")</f>
        <v>Algorithms</v>
      </c>
      <c r="I1976" s="20">
        <f>IFERROR(__xludf.DUMMYFUNCTION("""COMPUTED_VALUE"""),0.458)</f>
        <v>0.458</v>
      </c>
      <c r="J1976" s="20">
        <f>IFERROR(__xludf.DUMMYFUNCTION("""COMPUTED_VALUE"""),1975.0)</f>
        <v>1975</v>
      </c>
      <c r="K1976" s="20" t="b">
        <f>IFERROR(__xludf.DUMMYFUNCTION("""COMPUTED_VALUE"""),FALSE)</f>
        <v>0</v>
      </c>
      <c r="L1976" s="20" t="str">
        <f>IFERROR(__xludf.DUMMYFUNCTION("""COMPUTED_VALUE"""),"Array;Greedy;Matrix;")</f>
        <v>Array;Greedy;Matrix;</v>
      </c>
      <c r="M1976" s="20" t="b">
        <f>IFERROR(__xludf.DUMMYFUNCTION("""COMPUTED_VALUE"""),FALSE)</f>
        <v>0</v>
      </c>
      <c r="N1976" s="20" t="b">
        <f>IFERROR(__xludf.DUMMYFUNCTION("""COMPUTED_VALUE"""),FALSE)</f>
        <v>0</v>
      </c>
      <c r="O1976" s="20">
        <f>IFERROR(__xludf.DUMMYFUNCTION("""COMPUTED_VALUE"""),45.7777451986512)</f>
        <v>45.7777452</v>
      </c>
      <c r="P1976" s="20">
        <f>IFERROR(__xludf.DUMMYFUNCTION("""COMPUTED_VALUE"""),12490.0)</f>
        <v>12490</v>
      </c>
      <c r="Q1976" s="20">
        <f>IFERROR(__xludf.DUMMYFUNCTION("""COMPUTED_VALUE"""),27284.0)</f>
        <v>27284</v>
      </c>
    </row>
    <row r="1977">
      <c r="A1977" s="20">
        <f>IFERROR(__xludf.DUMMYFUNCTION("""COMPUTED_VALUE"""),2090.0)</f>
        <v>2090</v>
      </c>
      <c r="B1977" s="20" t="str">
        <f>IFERROR(__xludf.DUMMYFUNCTION("""COMPUTED_VALUE"""),"Number of Ways to Arrive at Destination")</f>
        <v>Number of Ways to Arrive at Destination</v>
      </c>
      <c r="C1977" s="20" t="str">
        <f>IFERROR(__xludf.DUMMYFUNCTION("""COMPUTED_VALUE"""),"number-of-ways-to-arrive-at-destination")</f>
        <v>number-of-ways-to-arrive-at-destination</v>
      </c>
      <c r="D1977" s="20" t="b">
        <f>IFERROR(__xludf.DUMMYFUNCTION("""COMPUTED_VALUE"""),FALSE)</f>
        <v>0</v>
      </c>
      <c r="E1977" s="20" t="str">
        <f>IFERROR(__xludf.DUMMYFUNCTION("""COMPUTED_VALUE"""),"Medium")</f>
        <v>Medium</v>
      </c>
      <c r="F1977" s="20">
        <f>IFERROR(__xludf.DUMMYFUNCTION("""COMPUTED_VALUE"""),1506.0)</f>
        <v>1506</v>
      </c>
      <c r="G1977" s="20">
        <f>IFERROR(__xludf.DUMMYFUNCTION("""COMPUTED_VALUE"""),47.0)</f>
        <v>47</v>
      </c>
      <c r="H1977" s="20" t="str">
        <f>IFERROR(__xludf.DUMMYFUNCTION("""COMPUTED_VALUE"""),"Algorithms")</f>
        <v>Algorithms</v>
      </c>
      <c r="I1977" s="20">
        <f>IFERROR(__xludf.DUMMYFUNCTION("""COMPUTED_VALUE"""),0.32)</f>
        <v>0.32</v>
      </c>
      <c r="J1977" s="20">
        <f>IFERROR(__xludf.DUMMYFUNCTION("""COMPUTED_VALUE"""),1976.0)</f>
        <v>1976</v>
      </c>
      <c r="K1977" s="20" t="b">
        <f>IFERROR(__xludf.DUMMYFUNCTION("""COMPUTED_VALUE"""),FALSE)</f>
        <v>0</v>
      </c>
      <c r="L1977" s="20" t="str">
        <f>IFERROR(__xludf.DUMMYFUNCTION("""COMPUTED_VALUE"""),"Dynamic Programming;Graph;Topological Sort;Shortest Path;")</f>
        <v>Dynamic Programming;Graph;Topological Sort;Shortest Path;</v>
      </c>
      <c r="M1977" s="20" t="b">
        <f>IFERROR(__xludf.DUMMYFUNCTION("""COMPUTED_VALUE"""),FALSE)</f>
        <v>0</v>
      </c>
      <c r="N1977" s="20" t="b">
        <f>IFERROR(__xludf.DUMMYFUNCTION("""COMPUTED_VALUE"""),FALSE)</f>
        <v>0</v>
      </c>
      <c r="O1977" s="20">
        <f>IFERROR(__xludf.DUMMYFUNCTION("""COMPUTED_VALUE"""),32.0171175549435)</f>
        <v>32.01711755</v>
      </c>
      <c r="P1977" s="20">
        <f>IFERROR(__xludf.DUMMYFUNCTION("""COMPUTED_VALUE"""),23716.0)</f>
        <v>23716</v>
      </c>
      <c r="Q1977" s="20">
        <f>IFERROR(__xludf.DUMMYFUNCTION("""COMPUTED_VALUE"""),74075.0)</f>
        <v>74075</v>
      </c>
    </row>
    <row r="1978">
      <c r="A1978" s="20">
        <f>IFERROR(__xludf.DUMMYFUNCTION("""COMPUTED_VALUE"""),2091.0)</f>
        <v>2091</v>
      </c>
      <c r="B1978" s="20" t="str">
        <f>IFERROR(__xludf.DUMMYFUNCTION("""COMPUTED_VALUE"""),"Number of Ways to Separate Numbers")</f>
        <v>Number of Ways to Separate Numbers</v>
      </c>
      <c r="C1978" s="20" t="str">
        <f>IFERROR(__xludf.DUMMYFUNCTION("""COMPUTED_VALUE"""),"number-of-ways-to-separate-numbers")</f>
        <v>number-of-ways-to-separate-numbers</v>
      </c>
      <c r="D1978" s="20" t="b">
        <f>IFERROR(__xludf.DUMMYFUNCTION("""COMPUTED_VALUE"""),FALSE)</f>
        <v>0</v>
      </c>
      <c r="E1978" s="20" t="str">
        <f>IFERROR(__xludf.DUMMYFUNCTION("""COMPUTED_VALUE"""),"Hard")</f>
        <v>Hard</v>
      </c>
      <c r="F1978" s="20">
        <f>IFERROR(__xludf.DUMMYFUNCTION("""COMPUTED_VALUE"""),352.0)</f>
        <v>352</v>
      </c>
      <c r="G1978" s="20">
        <f>IFERROR(__xludf.DUMMYFUNCTION("""COMPUTED_VALUE"""),45.0)</f>
        <v>45</v>
      </c>
      <c r="H1978" s="20" t="str">
        <f>IFERROR(__xludf.DUMMYFUNCTION("""COMPUTED_VALUE"""),"Algorithms")</f>
        <v>Algorithms</v>
      </c>
      <c r="I1978" s="20">
        <f>IFERROR(__xludf.DUMMYFUNCTION("""COMPUTED_VALUE"""),0.207)</f>
        <v>0.207</v>
      </c>
      <c r="J1978" s="20">
        <f>IFERROR(__xludf.DUMMYFUNCTION("""COMPUTED_VALUE"""),1977.0)</f>
        <v>1977</v>
      </c>
      <c r="K1978" s="20" t="b">
        <f>IFERROR(__xludf.DUMMYFUNCTION("""COMPUTED_VALUE"""),FALSE)</f>
        <v>0</v>
      </c>
      <c r="L1978" s="20" t="str">
        <f>IFERROR(__xludf.DUMMYFUNCTION("""COMPUTED_VALUE"""),"String;Dynamic Programming;Suffix Array;")</f>
        <v>String;Dynamic Programming;Suffix Array;</v>
      </c>
      <c r="M1978" s="20" t="b">
        <f>IFERROR(__xludf.DUMMYFUNCTION("""COMPUTED_VALUE"""),FALSE)</f>
        <v>0</v>
      </c>
      <c r="N1978" s="20" t="b">
        <f>IFERROR(__xludf.DUMMYFUNCTION("""COMPUTED_VALUE"""),FALSE)</f>
        <v>0</v>
      </c>
      <c r="O1978" s="20">
        <f>IFERROR(__xludf.DUMMYFUNCTION("""COMPUTED_VALUE"""),20.7171738667801)</f>
        <v>20.71717387</v>
      </c>
      <c r="P1978" s="20">
        <f>IFERROR(__xludf.DUMMYFUNCTION("""COMPUTED_VALUE"""),3894.0)</f>
        <v>3894</v>
      </c>
      <c r="Q1978" s="20">
        <f>IFERROR(__xludf.DUMMYFUNCTION("""COMPUTED_VALUE"""),18796.0)</f>
        <v>18796</v>
      </c>
    </row>
    <row r="1979">
      <c r="A1979" s="20">
        <f>IFERROR(__xludf.DUMMYFUNCTION("""COMPUTED_VALUE"""),2127.0)</f>
        <v>2127</v>
      </c>
      <c r="B1979" s="20" t="str">
        <f>IFERROR(__xludf.DUMMYFUNCTION("""COMPUTED_VALUE"""),"Employees Whose Manager Left the Company")</f>
        <v>Employees Whose Manager Left the Company</v>
      </c>
      <c r="C1979" s="20" t="str">
        <f>IFERROR(__xludf.DUMMYFUNCTION("""COMPUTED_VALUE"""),"employees-whose-manager-left-the-company")</f>
        <v>employees-whose-manager-left-the-company</v>
      </c>
      <c r="D1979" s="20" t="b">
        <f>IFERROR(__xludf.DUMMYFUNCTION("""COMPUTED_VALUE"""),TRUE)</f>
        <v>1</v>
      </c>
      <c r="E1979" s="20" t="str">
        <f>IFERROR(__xludf.DUMMYFUNCTION("""COMPUTED_VALUE"""),"Easy")</f>
        <v>Easy</v>
      </c>
      <c r="F1979" s="20">
        <f>IFERROR(__xludf.DUMMYFUNCTION("""COMPUTED_VALUE"""),43.0)</f>
        <v>43</v>
      </c>
      <c r="G1979" s="20">
        <f>IFERROR(__xludf.DUMMYFUNCTION("""COMPUTED_VALUE"""),7.0)</f>
        <v>7</v>
      </c>
      <c r="H1979" s="20" t="str">
        <f>IFERROR(__xludf.DUMMYFUNCTION("""COMPUTED_VALUE"""),"Database")</f>
        <v>Database</v>
      </c>
      <c r="I1979" s="20">
        <f>IFERROR(__xludf.DUMMYFUNCTION("""COMPUTED_VALUE"""),0.505)</f>
        <v>0.505</v>
      </c>
      <c r="J1979" s="20">
        <f>IFERROR(__xludf.DUMMYFUNCTION("""COMPUTED_VALUE"""),1978.0)</f>
        <v>1978</v>
      </c>
      <c r="K1979" s="20" t="b">
        <f>IFERROR(__xludf.DUMMYFUNCTION("""COMPUTED_VALUE"""),TRUE)</f>
        <v>1</v>
      </c>
      <c r="L1979" s="20" t="str">
        <f>IFERROR(__xludf.DUMMYFUNCTION("""COMPUTED_VALUE"""),"Database;")</f>
        <v>Database;</v>
      </c>
      <c r="M1979" s="20" t="b">
        <f>IFERROR(__xludf.DUMMYFUNCTION("""COMPUTED_VALUE"""),FALSE)</f>
        <v>0</v>
      </c>
      <c r="N1979" s="20" t="b">
        <f>IFERROR(__xludf.DUMMYFUNCTION("""COMPUTED_VALUE"""),FALSE)</f>
        <v>0</v>
      </c>
      <c r="O1979" s="20">
        <f>IFERROR(__xludf.DUMMYFUNCTION("""COMPUTED_VALUE"""),50.494853523357)</f>
        <v>50.49485352</v>
      </c>
      <c r="P1979" s="20">
        <f>IFERROR(__xludf.DUMMYFUNCTION("""COMPUTED_VALUE"""),7653.0)</f>
        <v>7653</v>
      </c>
      <c r="Q1979" s="20">
        <f>IFERROR(__xludf.DUMMYFUNCTION("""COMPUTED_VALUE"""),15156.0)</f>
        <v>15156</v>
      </c>
    </row>
    <row r="1980">
      <c r="A1980" s="20">
        <f>IFERROR(__xludf.DUMMYFUNCTION("""COMPUTED_VALUE"""),2106.0)</f>
        <v>2106</v>
      </c>
      <c r="B1980" s="20" t="str">
        <f>IFERROR(__xludf.DUMMYFUNCTION("""COMPUTED_VALUE"""),"Find Greatest Common Divisor of Array")</f>
        <v>Find Greatest Common Divisor of Array</v>
      </c>
      <c r="C1980" s="20" t="str">
        <f>IFERROR(__xludf.DUMMYFUNCTION("""COMPUTED_VALUE"""),"find-greatest-common-divisor-of-array")</f>
        <v>find-greatest-common-divisor-of-array</v>
      </c>
      <c r="D1980" s="20" t="b">
        <f>IFERROR(__xludf.DUMMYFUNCTION("""COMPUTED_VALUE"""),FALSE)</f>
        <v>0</v>
      </c>
      <c r="E1980" s="20" t="str">
        <f>IFERROR(__xludf.DUMMYFUNCTION("""COMPUTED_VALUE"""),"Easy")</f>
        <v>Easy</v>
      </c>
      <c r="F1980" s="20">
        <f>IFERROR(__xludf.DUMMYFUNCTION("""COMPUTED_VALUE"""),675.0)</f>
        <v>675</v>
      </c>
      <c r="G1980" s="20">
        <f>IFERROR(__xludf.DUMMYFUNCTION("""COMPUTED_VALUE"""),26.0)</f>
        <v>26</v>
      </c>
      <c r="H1980" s="20" t="str">
        <f>IFERROR(__xludf.DUMMYFUNCTION("""COMPUTED_VALUE"""),"Algorithms")</f>
        <v>Algorithms</v>
      </c>
      <c r="I1980" s="20">
        <f>IFERROR(__xludf.DUMMYFUNCTION("""COMPUTED_VALUE"""),0.767)</f>
        <v>0.767</v>
      </c>
      <c r="J1980" s="20">
        <f>IFERROR(__xludf.DUMMYFUNCTION("""COMPUTED_VALUE"""),1979.0)</f>
        <v>1979</v>
      </c>
      <c r="K1980" s="20" t="b">
        <f>IFERROR(__xludf.DUMMYFUNCTION("""COMPUTED_VALUE"""),FALSE)</f>
        <v>0</v>
      </c>
      <c r="L1980" s="20" t="str">
        <f>IFERROR(__xludf.DUMMYFUNCTION("""COMPUTED_VALUE"""),"Array;Math;Number Theory;")</f>
        <v>Array;Math;Number Theory;</v>
      </c>
      <c r="M1980" s="20" t="b">
        <f>IFERROR(__xludf.DUMMYFUNCTION("""COMPUTED_VALUE"""),FALSE)</f>
        <v>0</v>
      </c>
      <c r="N1980" s="20" t="b">
        <f>IFERROR(__xludf.DUMMYFUNCTION("""COMPUTED_VALUE"""),FALSE)</f>
        <v>0</v>
      </c>
      <c r="O1980" s="20">
        <f>IFERROR(__xludf.DUMMYFUNCTION("""COMPUTED_VALUE"""),76.7457323993717)</f>
        <v>76.7457324</v>
      </c>
      <c r="P1980" s="20">
        <f>IFERROR(__xludf.DUMMYFUNCTION("""COMPUTED_VALUE"""),66942.0)</f>
        <v>66942</v>
      </c>
      <c r="Q1980" s="20">
        <f>IFERROR(__xludf.DUMMYFUNCTION("""COMPUTED_VALUE"""),87226.0)</f>
        <v>87226</v>
      </c>
    </row>
    <row r="1981">
      <c r="A1981" s="20">
        <f>IFERROR(__xludf.DUMMYFUNCTION("""COMPUTED_VALUE"""),2107.0)</f>
        <v>2107</v>
      </c>
      <c r="B1981" s="20" t="str">
        <f>IFERROR(__xludf.DUMMYFUNCTION("""COMPUTED_VALUE"""),"Find Unique Binary String")</f>
        <v>Find Unique Binary String</v>
      </c>
      <c r="C1981" s="20" t="str">
        <f>IFERROR(__xludf.DUMMYFUNCTION("""COMPUTED_VALUE"""),"find-unique-binary-string")</f>
        <v>find-unique-binary-string</v>
      </c>
      <c r="D1981" s="20" t="b">
        <f>IFERROR(__xludf.DUMMYFUNCTION("""COMPUTED_VALUE"""),FALSE)</f>
        <v>0</v>
      </c>
      <c r="E1981" s="20" t="str">
        <f>IFERROR(__xludf.DUMMYFUNCTION("""COMPUTED_VALUE"""),"Medium")</f>
        <v>Medium</v>
      </c>
      <c r="F1981" s="20">
        <f>IFERROR(__xludf.DUMMYFUNCTION("""COMPUTED_VALUE"""),786.0)</f>
        <v>786</v>
      </c>
      <c r="G1981" s="20">
        <f>IFERROR(__xludf.DUMMYFUNCTION("""COMPUTED_VALUE"""),34.0)</f>
        <v>34</v>
      </c>
      <c r="H1981" s="20" t="str">
        <f>IFERROR(__xludf.DUMMYFUNCTION("""COMPUTED_VALUE"""),"Algorithms")</f>
        <v>Algorithms</v>
      </c>
      <c r="I1981" s="20">
        <f>IFERROR(__xludf.DUMMYFUNCTION("""COMPUTED_VALUE"""),0.644)</f>
        <v>0.644</v>
      </c>
      <c r="J1981" s="20">
        <f>IFERROR(__xludf.DUMMYFUNCTION("""COMPUTED_VALUE"""),1980.0)</f>
        <v>1980</v>
      </c>
      <c r="K1981" s="20" t="b">
        <f>IFERROR(__xludf.DUMMYFUNCTION("""COMPUTED_VALUE"""),FALSE)</f>
        <v>0</v>
      </c>
      <c r="L1981" s="20" t="str">
        <f>IFERROR(__xludf.DUMMYFUNCTION("""COMPUTED_VALUE"""),"Array;String;Backtracking;")</f>
        <v>Array;String;Backtracking;</v>
      </c>
      <c r="M1981" s="20" t="b">
        <f>IFERROR(__xludf.DUMMYFUNCTION("""COMPUTED_VALUE"""),FALSE)</f>
        <v>0</v>
      </c>
      <c r="N1981" s="20" t="b">
        <f>IFERROR(__xludf.DUMMYFUNCTION("""COMPUTED_VALUE"""),FALSE)</f>
        <v>0</v>
      </c>
      <c r="O1981" s="20">
        <f>IFERROR(__xludf.DUMMYFUNCTION("""COMPUTED_VALUE"""),64.3746746225621)</f>
        <v>64.37467462</v>
      </c>
      <c r="P1981" s="20">
        <f>IFERROR(__xludf.DUMMYFUNCTION("""COMPUTED_VALUE"""),32149.0)</f>
        <v>32149</v>
      </c>
      <c r="Q1981" s="20">
        <f>IFERROR(__xludf.DUMMYFUNCTION("""COMPUTED_VALUE"""),49941.0)</f>
        <v>49941</v>
      </c>
    </row>
    <row r="1982">
      <c r="A1982" s="20">
        <f>IFERROR(__xludf.DUMMYFUNCTION("""COMPUTED_VALUE"""),2108.0)</f>
        <v>2108</v>
      </c>
      <c r="B1982" s="20" t="str">
        <f>IFERROR(__xludf.DUMMYFUNCTION("""COMPUTED_VALUE"""),"Minimize the Difference Between Target and Chosen Elements")</f>
        <v>Minimize the Difference Between Target and Chosen Elements</v>
      </c>
      <c r="C1982" s="20" t="str">
        <f>IFERROR(__xludf.DUMMYFUNCTION("""COMPUTED_VALUE"""),"minimize-the-difference-between-target-and-chosen-elements")</f>
        <v>minimize-the-difference-between-target-and-chosen-elements</v>
      </c>
      <c r="D1982" s="20" t="b">
        <f>IFERROR(__xludf.DUMMYFUNCTION("""COMPUTED_VALUE"""),FALSE)</f>
        <v>0</v>
      </c>
      <c r="E1982" s="20" t="str">
        <f>IFERROR(__xludf.DUMMYFUNCTION("""COMPUTED_VALUE"""),"Medium")</f>
        <v>Medium</v>
      </c>
      <c r="F1982" s="20">
        <f>IFERROR(__xludf.DUMMYFUNCTION("""COMPUTED_VALUE"""),684.0)</f>
        <v>684</v>
      </c>
      <c r="G1982" s="20">
        <f>IFERROR(__xludf.DUMMYFUNCTION("""COMPUTED_VALUE"""),119.0)</f>
        <v>119</v>
      </c>
      <c r="H1982" s="20" t="str">
        <f>IFERROR(__xludf.DUMMYFUNCTION("""COMPUTED_VALUE"""),"Algorithms")</f>
        <v>Algorithms</v>
      </c>
      <c r="I1982" s="20">
        <f>IFERROR(__xludf.DUMMYFUNCTION("""COMPUTED_VALUE"""),0.322)</f>
        <v>0.322</v>
      </c>
      <c r="J1982" s="20">
        <f>IFERROR(__xludf.DUMMYFUNCTION("""COMPUTED_VALUE"""),1981.0)</f>
        <v>1981</v>
      </c>
      <c r="K1982" s="20" t="b">
        <f>IFERROR(__xludf.DUMMYFUNCTION("""COMPUTED_VALUE"""),FALSE)</f>
        <v>0</v>
      </c>
      <c r="L1982" s="20" t="str">
        <f>IFERROR(__xludf.DUMMYFUNCTION("""COMPUTED_VALUE"""),"Array;Dynamic Programming;Matrix;")</f>
        <v>Array;Dynamic Programming;Matrix;</v>
      </c>
      <c r="M1982" s="20" t="b">
        <f>IFERROR(__xludf.DUMMYFUNCTION("""COMPUTED_VALUE"""),FALSE)</f>
        <v>0</v>
      </c>
      <c r="N1982" s="20" t="b">
        <f>IFERROR(__xludf.DUMMYFUNCTION("""COMPUTED_VALUE"""),FALSE)</f>
        <v>0</v>
      </c>
      <c r="O1982" s="20">
        <f>IFERROR(__xludf.DUMMYFUNCTION("""COMPUTED_VALUE"""),32.2263869337358)</f>
        <v>32.22638693</v>
      </c>
      <c r="P1982" s="20">
        <f>IFERROR(__xludf.DUMMYFUNCTION("""COMPUTED_VALUE"""),19001.0)</f>
        <v>19001</v>
      </c>
      <c r="Q1982" s="20">
        <f>IFERROR(__xludf.DUMMYFUNCTION("""COMPUTED_VALUE"""),58961.0)</f>
        <v>58961</v>
      </c>
    </row>
    <row r="1983">
      <c r="A1983" s="20">
        <f>IFERROR(__xludf.DUMMYFUNCTION("""COMPUTED_VALUE"""),2109.0)</f>
        <v>2109</v>
      </c>
      <c r="B1983" s="20" t="str">
        <f>IFERROR(__xludf.DUMMYFUNCTION("""COMPUTED_VALUE"""),"Find Array Given Subset Sums")</f>
        <v>Find Array Given Subset Sums</v>
      </c>
      <c r="C1983" s="20" t="str">
        <f>IFERROR(__xludf.DUMMYFUNCTION("""COMPUTED_VALUE"""),"find-array-given-subset-sums")</f>
        <v>find-array-given-subset-sums</v>
      </c>
      <c r="D1983" s="20" t="b">
        <f>IFERROR(__xludf.DUMMYFUNCTION("""COMPUTED_VALUE"""),FALSE)</f>
        <v>0</v>
      </c>
      <c r="E1983" s="20" t="str">
        <f>IFERROR(__xludf.DUMMYFUNCTION("""COMPUTED_VALUE"""),"Hard")</f>
        <v>Hard</v>
      </c>
      <c r="F1983" s="20">
        <f>IFERROR(__xludf.DUMMYFUNCTION("""COMPUTED_VALUE"""),418.0)</f>
        <v>418</v>
      </c>
      <c r="G1983" s="20">
        <f>IFERROR(__xludf.DUMMYFUNCTION("""COMPUTED_VALUE"""),32.0)</f>
        <v>32</v>
      </c>
      <c r="H1983" s="20" t="str">
        <f>IFERROR(__xludf.DUMMYFUNCTION("""COMPUTED_VALUE"""),"Algorithms")</f>
        <v>Algorithms</v>
      </c>
      <c r="I1983" s="20">
        <f>IFERROR(__xludf.DUMMYFUNCTION("""COMPUTED_VALUE"""),0.487)</f>
        <v>0.487</v>
      </c>
      <c r="J1983" s="20">
        <f>IFERROR(__xludf.DUMMYFUNCTION("""COMPUTED_VALUE"""),1982.0)</f>
        <v>1982</v>
      </c>
      <c r="K1983" s="20" t="b">
        <f>IFERROR(__xludf.DUMMYFUNCTION("""COMPUTED_VALUE"""),FALSE)</f>
        <v>0</v>
      </c>
      <c r="L1983" s="20" t="str">
        <f>IFERROR(__xludf.DUMMYFUNCTION("""COMPUTED_VALUE"""),"Array;Divide and Conquer;")</f>
        <v>Array;Divide and Conquer;</v>
      </c>
      <c r="M1983" s="20" t="b">
        <f>IFERROR(__xludf.DUMMYFUNCTION("""COMPUTED_VALUE"""),FALSE)</f>
        <v>0</v>
      </c>
      <c r="N1983" s="20" t="b">
        <f>IFERROR(__xludf.DUMMYFUNCTION("""COMPUTED_VALUE"""),FALSE)</f>
        <v>0</v>
      </c>
      <c r="O1983" s="20">
        <f>IFERROR(__xludf.DUMMYFUNCTION("""COMPUTED_VALUE"""),48.7106724244293)</f>
        <v>48.71067242</v>
      </c>
      <c r="P1983" s="20">
        <f>IFERROR(__xludf.DUMMYFUNCTION("""COMPUTED_VALUE"""),3948.0)</f>
        <v>3948</v>
      </c>
      <c r="Q1983" s="20">
        <f>IFERROR(__xludf.DUMMYFUNCTION("""COMPUTED_VALUE"""),8105.0)</f>
        <v>8105</v>
      </c>
    </row>
    <row r="1984">
      <c r="A1984" s="20">
        <f>IFERROR(__xludf.DUMMYFUNCTION("""COMPUTED_VALUE"""),519.0)</f>
        <v>519</v>
      </c>
      <c r="B1984" s="20" t="str">
        <f>IFERROR(__xludf.DUMMYFUNCTION("""COMPUTED_VALUE"""),"Widest Pair of Indices With Equal Range Sum")</f>
        <v>Widest Pair of Indices With Equal Range Sum</v>
      </c>
      <c r="C1984" s="20" t="str">
        <f>IFERROR(__xludf.DUMMYFUNCTION("""COMPUTED_VALUE"""),"widest-pair-of-indices-with-equal-range-sum")</f>
        <v>widest-pair-of-indices-with-equal-range-sum</v>
      </c>
      <c r="D1984" s="20" t="b">
        <f>IFERROR(__xludf.DUMMYFUNCTION("""COMPUTED_VALUE"""),TRUE)</f>
        <v>1</v>
      </c>
      <c r="E1984" s="20" t="str">
        <f>IFERROR(__xludf.DUMMYFUNCTION("""COMPUTED_VALUE"""),"Medium")</f>
        <v>Medium</v>
      </c>
      <c r="F1984" s="20">
        <f>IFERROR(__xludf.DUMMYFUNCTION("""COMPUTED_VALUE"""),64.0)</f>
        <v>64</v>
      </c>
      <c r="G1984" s="20">
        <f>IFERROR(__xludf.DUMMYFUNCTION("""COMPUTED_VALUE"""),0.0)</f>
        <v>0</v>
      </c>
      <c r="H1984" s="20" t="str">
        <f>IFERROR(__xludf.DUMMYFUNCTION("""COMPUTED_VALUE"""),"Algorithms")</f>
        <v>Algorithms</v>
      </c>
      <c r="I1984" s="20">
        <f>IFERROR(__xludf.DUMMYFUNCTION("""COMPUTED_VALUE"""),0.543)</f>
        <v>0.543</v>
      </c>
      <c r="J1984" s="20">
        <f>IFERROR(__xludf.DUMMYFUNCTION("""COMPUTED_VALUE"""),1983.0)</f>
        <v>1983</v>
      </c>
      <c r="K1984" s="20" t="b">
        <f>IFERROR(__xludf.DUMMYFUNCTION("""COMPUTED_VALUE"""),TRUE)</f>
        <v>1</v>
      </c>
      <c r="L1984" s="20" t="str">
        <f>IFERROR(__xludf.DUMMYFUNCTION("""COMPUTED_VALUE"""),"Array;Hash Table;Prefix Sum;")</f>
        <v>Array;Hash Table;Prefix Sum;</v>
      </c>
      <c r="M1984" s="20" t="b">
        <f>IFERROR(__xludf.DUMMYFUNCTION("""COMPUTED_VALUE"""),FALSE)</f>
        <v>0</v>
      </c>
      <c r="N1984" s="20" t="b">
        <f>IFERROR(__xludf.DUMMYFUNCTION("""COMPUTED_VALUE"""),FALSE)</f>
        <v>0</v>
      </c>
      <c r="O1984" s="20">
        <f>IFERROR(__xludf.DUMMYFUNCTION("""COMPUTED_VALUE"""),54.3069948186528)</f>
        <v>54.30699482</v>
      </c>
      <c r="P1984" s="20">
        <f>IFERROR(__xludf.DUMMYFUNCTION("""COMPUTED_VALUE"""),1677.0)</f>
        <v>1677</v>
      </c>
      <c r="Q1984" s="20">
        <f>IFERROR(__xludf.DUMMYFUNCTION("""COMPUTED_VALUE"""),3088.0)</f>
        <v>3088</v>
      </c>
    </row>
    <row r="1985">
      <c r="A1985" s="20">
        <f>IFERROR(__xludf.DUMMYFUNCTION("""COMPUTED_VALUE"""),2112.0)</f>
        <v>2112</v>
      </c>
      <c r="B1985" s="20" t="str">
        <f>IFERROR(__xludf.DUMMYFUNCTION("""COMPUTED_VALUE"""),"Minimum Difference Between Highest and Lowest of K Scores")</f>
        <v>Minimum Difference Between Highest and Lowest of K Scores</v>
      </c>
      <c r="C1985" s="20" t="str">
        <f>IFERROR(__xludf.DUMMYFUNCTION("""COMPUTED_VALUE"""),"minimum-difference-between-highest-and-lowest-of-k-scores")</f>
        <v>minimum-difference-between-highest-and-lowest-of-k-scores</v>
      </c>
      <c r="D1985" s="20" t="b">
        <f>IFERROR(__xludf.DUMMYFUNCTION("""COMPUTED_VALUE"""),FALSE)</f>
        <v>0</v>
      </c>
      <c r="E1985" s="20" t="str">
        <f>IFERROR(__xludf.DUMMYFUNCTION("""COMPUTED_VALUE"""),"Easy")</f>
        <v>Easy</v>
      </c>
      <c r="F1985" s="20">
        <f>IFERROR(__xludf.DUMMYFUNCTION("""COMPUTED_VALUE"""),585.0)</f>
        <v>585</v>
      </c>
      <c r="G1985" s="20">
        <f>IFERROR(__xludf.DUMMYFUNCTION("""COMPUTED_VALUE"""),94.0)</f>
        <v>94</v>
      </c>
      <c r="H1985" s="20" t="str">
        <f>IFERROR(__xludf.DUMMYFUNCTION("""COMPUTED_VALUE"""),"Algorithms")</f>
        <v>Algorithms</v>
      </c>
      <c r="I1985" s="20">
        <f>IFERROR(__xludf.DUMMYFUNCTION("""COMPUTED_VALUE"""),0.538)</f>
        <v>0.538</v>
      </c>
      <c r="J1985" s="20">
        <f>IFERROR(__xludf.DUMMYFUNCTION("""COMPUTED_VALUE"""),1984.0)</f>
        <v>1984</v>
      </c>
      <c r="K1985" s="20" t="b">
        <f>IFERROR(__xludf.DUMMYFUNCTION("""COMPUTED_VALUE"""),FALSE)</f>
        <v>0</v>
      </c>
      <c r="L1985" s="20" t="str">
        <f>IFERROR(__xludf.DUMMYFUNCTION("""COMPUTED_VALUE"""),"Array;Sliding Window;Sorting;")</f>
        <v>Array;Sliding Window;Sorting;</v>
      </c>
      <c r="M1985" s="20" t="b">
        <f>IFERROR(__xludf.DUMMYFUNCTION("""COMPUTED_VALUE"""),FALSE)</f>
        <v>0</v>
      </c>
      <c r="N1985" s="20" t="b">
        <f>IFERROR(__xludf.DUMMYFUNCTION("""COMPUTED_VALUE"""),FALSE)</f>
        <v>0</v>
      </c>
      <c r="O1985" s="20">
        <f>IFERROR(__xludf.DUMMYFUNCTION("""COMPUTED_VALUE"""),53.7931643557361)</f>
        <v>53.79316436</v>
      </c>
      <c r="P1985" s="20">
        <f>IFERROR(__xludf.DUMMYFUNCTION("""COMPUTED_VALUE"""),36546.0)</f>
        <v>36546</v>
      </c>
      <c r="Q1985" s="20">
        <f>IFERROR(__xludf.DUMMYFUNCTION("""COMPUTED_VALUE"""),67938.0)</f>
        <v>67938</v>
      </c>
    </row>
    <row r="1986">
      <c r="A1986" s="20">
        <f>IFERROR(__xludf.DUMMYFUNCTION("""COMPUTED_VALUE"""),2113.0)</f>
        <v>2113</v>
      </c>
      <c r="B1986" s="20" t="str">
        <f>IFERROR(__xludf.DUMMYFUNCTION("""COMPUTED_VALUE"""),"Find the Kth Largest Integer in the Array")</f>
        <v>Find the Kth Largest Integer in the Array</v>
      </c>
      <c r="C1986" s="20" t="str">
        <f>IFERROR(__xludf.DUMMYFUNCTION("""COMPUTED_VALUE"""),"find-the-kth-largest-integer-in-the-array")</f>
        <v>find-the-kth-largest-integer-in-the-array</v>
      </c>
      <c r="D1986" s="20" t="b">
        <f>IFERROR(__xludf.DUMMYFUNCTION("""COMPUTED_VALUE"""),FALSE)</f>
        <v>0</v>
      </c>
      <c r="E1986" s="20" t="str">
        <f>IFERROR(__xludf.DUMMYFUNCTION("""COMPUTED_VALUE"""),"Medium")</f>
        <v>Medium</v>
      </c>
      <c r="F1986" s="20">
        <f>IFERROR(__xludf.DUMMYFUNCTION("""COMPUTED_VALUE"""),804.0)</f>
        <v>804</v>
      </c>
      <c r="G1986" s="20">
        <f>IFERROR(__xludf.DUMMYFUNCTION("""COMPUTED_VALUE"""),102.0)</f>
        <v>102</v>
      </c>
      <c r="H1986" s="20" t="str">
        <f>IFERROR(__xludf.DUMMYFUNCTION("""COMPUTED_VALUE"""),"Algorithms")</f>
        <v>Algorithms</v>
      </c>
      <c r="I1986" s="20">
        <f>IFERROR(__xludf.DUMMYFUNCTION("""COMPUTED_VALUE"""),0.447)</f>
        <v>0.447</v>
      </c>
      <c r="J1986" s="20">
        <f>IFERROR(__xludf.DUMMYFUNCTION("""COMPUTED_VALUE"""),1985.0)</f>
        <v>1985</v>
      </c>
      <c r="K1986" s="20" t="b">
        <f>IFERROR(__xludf.DUMMYFUNCTION("""COMPUTED_VALUE"""),FALSE)</f>
        <v>0</v>
      </c>
      <c r="L1986" s="20" t="str">
        <f>IFERROR(__xludf.DUMMYFUNCTION("""COMPUTED_VALUE"""),"Array;String;Divide and Conquer;Sorting;Heap (Priority Queue);Quickselect;")</f>
        <v>Array;String;Divide and Conquer;Sorting;Heap (Priority Queue);Quickselect;</v>
      </c>
      <c r="M1986" s="20" t="b">
        <f>IFERROR(__xludf.DUMMYFUNCTION("""COMPUTED_VALUE"""),FALSE)</f>
        <v>0</v>
      </c>
      <c r="N1986" s="20" t="b">
        <f>IFERROR(__xludf.DUMMYFUNCTION("""COMPUTED_VALUE"""),FALSE)</f>
        <v>0</v>
      </c>
      <c r="O1986" s="20">
        <f>IFERROR(__xludf.DUMMYFUNCTION("""COMPUTED_VALUE"""),44.6794490953281)</f>
        <v>44.6794491</v>
      </c>
      <c r="P1986" s="20">
        <f>IFERROR(__xludf.DUMMYFUNCTION("""COMPUTED_VALUE"""),41362.0)</f>
        <v>41362</v>
      </c>
      <c r="Q1986" s="20">
        <f>IFERROR(__xludf.DUMMYFUNCTION("""COMPUTED_VALUE"""),92572.0)</f>
        <v>92572</v>
      </c>
    </row>
    <row r="1987">
      <c r="A1987" s="20">
        <f>IFERROR(__xludf.DUMMYFUNCTION("""COMPUTED_VALUE"""),2114.0)</f>
        <v>2114</v>
      </c>
      <c r="B1987" s="20" t="str">
        <f>IFERROR(__xludf.DUMMYFUNCTION("""COMPUTED_VALUE"""),"Minimum Number of Work Sessions to Finish the Tasks")</f>
        <v>Minimum Number of Work Sessions to Finish the Tasks</v>
      </c>
      <c r="C1987" s="20" t="str">
        <f>IFERROR(__xludf.DUMMYFUNCTION("""COMPUTED_VALUE"""),"minimum-number-of-work-sessions-to-finish-the-tasks")</f>
        <v>minimum-number-of-work-sessions-to-finish-the-tasks</v>
      </c>
      <c r="D1987" s="20" t="b">
        <f>IFERROR(__xludf.DUMMYFUNCTION("""COMPUTED_VALUE"""),FALSE)</f>
        <v>0</v>
      </c>
      <c r="E1987" s="20" t="str">
        <f>IFERROR(__xludf.DUMMYFUNCTION("""COMPUTED_VALUE"""),"Medium")</f>
        <v>Medium</v>
      </c>
      <c r="F1987" s="20">
        <f>IFERROR(__xludf.DUMMYFUNCTION("""COMPUTED_VALUE"""),803.0)</f>
        <v>803</v>
      </c>
      <c r="G1987" s="20">
        <f>IFERROR(__xludf.DUMMYFUNCTION("""COMPUTED_VALUE"""),53.0)</f>
        <v>53</v>
      </c>
      <c r="H1987" s="20" t="str">
        <f>IFERROR(__xludf.DUMMYFUNCTION("""COMPUTED_VALUE"""),"Algorithms")</f>
        <v>Algorithms</v>
      </c>
      <c r="I1987" s="20">
        <f>IFERROR(__xludf.DUMMYFUNCTION("""COMPUTED_VALUE"""),0.33)</f>
        <v>0.33</v>
      </c>
      <c r="J1987" s="20">
        <f>IFERROR(__xludf.DUMMYFUNCTION("""COMPUTED_VALUE"""),1986.0)</f>
        <v>1986</v>
      </c>
      <c r="K1987" s="20" t="b">
        <f>IFERROR(__xludf.DUMMYFUNCTION("""COMPUTED_VALUE"""),FALSE)</f>
        <v>0</v>
      </c>
      <c r="L1987" s="20" t="str">
        <f>IFERROR(__xludf.DUMMYFUNCTION("""COMPUTED_VALUE"""),"Array;Dynamic Programming;Backtracking;Bit Manipulation;Bitmask;")</f>
        <v>Array;Dynamic Programming;Backtracking;Bit Manipulation;Bitmask;</v>
      </c>
      <c r="M1987" s="20" t="b">
        <f>IFERROR(__xludf.DUMMYFUNCTION("""COMPUTED_VALUE"""),FALSE)</f>
        <v>0</v>
      </c>
      <c r="N1987" s="20" t="b">
        <f>IFERROR(__xludf.DUMMYFUNCTION("""COMPUTED_VALUE"""),FALSE)</f>
        <v>0</v>
      </c>
      <c r="O1987" s="20">
        <f>IFERROR(__xludf.DUMMYFUNCTION("""COMPUTED_VALUE"""),33.0087172192435)</f>
        <v>33.00871722</v>
      </c>
      <c r="P1987" s="20">
        <f>IFERROR(__xludf.DUMMYFUNCTION("""COMPUTED_VALUE"""),18099.0)</f>
        <v>18099</v>
      </c>
      <c r="Q1987" s="20">
        <f>IFERROR(__xludf.DUMMYFUNCTION("""COMPUTED_VALUE"""),54833.0)</f>
        <v>54833</v>
      </c>
    </row>
    <row r="1988">
      <c r="A1988" s="20">
        <f>IFERROR(__xludf.DUMMYFUNCTION("""COMPUTED_VALUE"""),2115.0)</f>
        <v>2115</v>
      </c>
      <c r="B1988" s="20" t="str">
        <f>IFERROR(__xludf.DUMMYFUNCTION("""COMPUTED_VALUE"""),"Number of Unique Good Subsequences")</f>
        <v>Number of Unique Good Subsequences</v>
      </c>
      <c r="C1988" s="20" t="str">
        <f>IFERROR(__xludf.DUMMYFUNCTION("""COMPUTED_VALUE"""),"number-of-unique-good-subsequences")</f>
        <v>number-of-unique-good-subsequences</v>
      </c>
      <c r="D1988" s="20" t="b">
        <f>IFERROR(__xludf.DUMMYFUNCTION("""COMPUTED_VALUE"""),FALSE)</f>
        <v>0</v>
      </c>
      <c r="E1988" s="20" t="str">
        <f>IFERROR(__xludf.DUMMYFUNCTION("""COMPUTED_VALUE"""),"Hard")</f>
        <v>Hard</v>
      </c>
      <c r="F1988" s="20">
        <f>IFERROR(__xludf.DUMMYFUNCTION("""COMPUTED_VALUE"""),526.0)</f>
        <v>526</v>
      </c>
      <c r="G1988" s="20">
        <f>IFERROR(__xludf.DUMMYFUNCTION("""COMPUTED_VALUE"""),9.0)</f>
        <v>9</v>
      </c>
      <c r="H1988" s="20" t="str">
        <f>IFERROR(__xludf.DUMMYFUNCTION("""COMPUTED_VALUE"""),"Algorithms")</f>
        <v>Algorithms</v>
      </c>
      <c r="I1988" s="20">
        <f>IFERROR(__xludf.DUMMYFUNCTION("""COMPUTED_VALUE"""),0.523)</f>
        <v>0.523</v>
      </c>
      <c r="J1988" s="20">
        <f>IFERROR(__xludf.DUMMYFUNCTION("""COMPUTED_VALUE"""),1987.0)</f>
        <v>1987</v>
      </c>
      <c r="K1988" s="20" t="b">
        <f>IFERROR(__xludf.DUMMYFUNCTION("""COMPUTED_VALUE"""),FALSE)</f>
        <v>0</v>
      </c>
      <c r="L1988" s="20" t="str">
        <f>IFERROR(__xludf.DUMMYFUNCTION("""COMPUTED_VALUE"""),"String;Dynamic Programming;")</f>
        <v>String;Dynamic Programming;</v>
      </c>
      <c r="M1988" s="20" t="b">
        <f>IFERROR(__xludf.DUMMYFUNCTION("""COMPUTED_VALUE"""),FALSE)</f>
        <v>0</v>
      </c>
      <c r="N1988" s="20" t="b">
        <f>IFERROR(__xludf.DUMMYFUNCTION("""COMPUTED_VALUE"""),FALSE)</f>
        <v>0</v>
      </c>
      <c r="O1988" s="20">
        <f>IFERROR(__xludf.DUMMYFUNCTION("""COMPUTED_VALUE"""),52.2658430836847)</f>
        <v>52.26584308</v>
      </c>
      <c r="P1988" s="20">
        <f>IFERROR(__xludf.DUMMYFUNCTION("""COMPUTED_VALUE"""),8800.0)</f>
        <v>8800</v>
      </c>
      <c r="Q1988" s="20">
        <f>IFERROR(__xludf.DUMMYFUNCTION("""COMPUTED_VALUE"""),16837.0)</f>
        <v>16837</v>
      </c>
    </row>
    <row r="1989">
      <c r="A1989" s="20">
        <f>IFERROR(__xludf.DUMMYFUNCTION("""COMPUTED_VALUE"""),2136.0)</f>
        <v>2136</v>
      </c>
      <c r="B1989" s="20" t="str">
        <f>IFERROR(__xludf.DUMMYFUNCTION("""COMPUTED_VALUE"""),"Find Cutoff Score for Each School")</f>
        <v>Find Cutoff Score for Each School</v>
      </c>
      <c r="C1989" s="20" t="str">
        <f>IFERROR(__xludf.DUMMYFUNCTION("""COMPUTED_VALUE"""),"find-cutoff-score-for-each-school")</f>
        <v>find-cutoff-score-for-each-school</v>
      </c>
      <c r="D1989" s="20" t="b">
        <f>IFERROR(__xludf.DUMMYFUNCTION("""COMPUTED_VALUE"""),TRUE)</f>
        <v>1</v>
      </c>
      <c r="E1989" s="20" t="str">
        <f>IFERROR(__xludf.DUMMYFUNCTION("""COMPUTED_VALUE"""),"Medium")</f>
        <v>Medium</v>
      </c>
      <c r="F1989" s="20">
        <f>IFERROR(__xludf.DUMMYFUNCTION("""COMPUTED_VALUE"""),61.0)</f>
        <v>61</v>
      </c>
      <c r="G1989" s="20">
        <f>IFERROR(__xludf.DUMMYFUNCTION("""COMPUTED_VALUE"""),112.0)</f>
        <v>112</v>
      </c>
      <c r="H1989" s="20" t="str">
        <f>IFERROR(__xludf.DUMMYFUNCTION("""COMPUTED_VALUE"""),"Database")</f>
        <v>Database</v>
      </c>
      <c r="I1989" s="20">
        <f>IFERROR(__xludf.DUMMYFUNCTION("""COMPUTED_VALUE"""),0.699)</f>
        <v>0.699</v>
      </c>
      <c r="J1989" s="20">
        <f>IFERROR(__xludf.DUMMYFUNCTION("""COMPUTED_VALUE"""),1988.0)</f>
        <v>1988</v>
      </c>
      <c r="K1989" s="20" t="b">
        <f>IFERROR(__xludf.DUMMYFUNCTION("""COMPUTED_VALUE"""),TRUE)</f>
        <v>1</v>
      </c>
      <c r="L1989" s="20" t="str">
        <f>IFERROR(__xludf.DUMMYFUNCTION("""COMPUTED_VALUE"""),"Database;")</f>
        <v>Database;</v>
      </c>
      <c r="M1989" s="20" t="b">
        <f>IFERROR(__xludf.DUMMYFUNCTION("""COMPUTED_VALUE"""),FALSE)</f>
        <v>0</v>
      </c>
      <c r="N1989" s="20" t="b">
        <f>IFERROR(__xludf.DUMMYFUNCTION("""COMPUTED_VALUE"""),FALSE)</f>
        <v>0</v>
      </c>
      <c r="O1989" s="20">
        <f>IFERROR(__xludf.DUMMYFUNCTION("""COMPUTED_VALUE"""),69.8914400999135)</f>
        <v>69.8914401</v>
      </c>
      <c r="P1989" s="20">
        <f>IFERROR(__xludf.DUMMYFUNCTION("""COMPUTED_VALUE"""),7275.0)</f>
        <v>7275</v>
      </c>
      <c r="Q1989" s="20">
        <f>IFERROR(__xludf.DUMMYFUNCTION("""COMPUTED_VALUE"""),10409.0)</f>
        <v>10409</v>
      </c>
    </row>
    <row r="1990">
      <c r="A1990" s="20">
        <f>IFERROR(__xludf.DUMMYFUNCTION("""COMPUTED_VALUE"""),1979.0)</f>
        <v>1979</v>
      </c>
      <c r="B1990" s="20" t="str">
        <f>IFERROR(__xludf.DUMMYFUNCTION("""COMPUTED_VALUE"""),"Maximum Number of People That Can Be Caught in Tag")</f>
        <v>Maximum Number of People That Can Be Caught in Tag</v>
      </c>
      <c r="C1990" s="20" t="str">
        <f>IFERROR(__xludf.DUMMYFUNCTION("""COMPUTED_VALUE"""),"maximum-number-of-people-that-can-be-caught-in-tag")</f>
        <v>maximum-number-of-people-that-can-be-caught-in-tag</v>
      </c>
      <c r="D1990" s="20" t="b">
        <f>IFERROR(__xludf.DUMMYFUNCTION("""COMPUTED_VALUE"""),TRUE)</f>
        <v>1</v>
      </c>
      <c r="E1990" s="20" t="str">
        <f>IFERROR(__xludf.DUMMYFUNCTION("""COMPUTED_VALUE"""),"Medium")</f>
        <v>Medium</v>
      </c>
      <c r="F1990" s="20">
        <f>IFERROR(__xludf.DUMMYFUNCTION("""COMPUTED_VALUE"""),55.0)</f>
        <v>55</v>
      </c>
      <c r="G1990" s="20">
        <f>IFERROR(__xludf.DUMMYFUNCTION("""COMPUTED_VALUE"""),8.0)</f>
        <v>8</v>
      </c>
      <c r="H1990" s="20" t="str">
        <f>IFERROR(__xludf.DUMMYFUNCTION("""COMPUTED_VALUE"""),"Algorithms")</f>
        <v>Algorithms</v>
      </c>
      <c r="I1990" s="20">
        <f>IFERROR(__xludf.DUMMYFUNCTION("""COMPUTED_VALUE"""),0.531)</f>
        <v>0.531</v>
      </c>
      <c r="J1990" s="20">
        <f>IFERROR(__xludf.DUMMYFUNCTION("""COMPUTED_VALUE"""),1989.0)</f>
        <v>1989</v>
      </c>
      <c r="K1990" s="20" t="b">
        <f>IFERROR(__xludf.DUMMYFUNCTION("""COMPUTED_VALUE"""),TRUE)</f>
        <v>1</v>
      </c>
      <c r="L1990" s="20" t="str">
        <f>IFERROR(__xludf.DUMMYFUNCTION("""COMPUTED_VALUE"""),"Array;Greedy;")</f>
        <v>Array;Greedy;</v>
      </c>
      <c r="M1990" s="20" t="b">
        <f>IFERROR(__xludf.DUMMYFUNCTION("""COMPUTED_VALUE"""),FALSE)</f>
        <v>0</v>
      </c>
      <c r="N1990" s="20" t="b">
        <f>IFERROR(__xludf.DUMMYFUNCTION("""COMPUTED_VALUE"""),FALSE)</f>
        <v>0</v>
      </c>
      <c r="O1990" s="20">
        <f>IFERROR(__xludf.DUMMYFUNCTION("""COMPUTED_VALUE"""),53.0734106076571)</f>
        <v>53.07341061</v>
      </c>
      <c r="P1990" s="20">
        <f>IFERROR(__xludf.DUMMYFUNCTION("""COMPUTED_VALUE"""),1511.0)</f>
        <v>1511</v>
      </c>
      <c r="Q1990" s="20">
        <f>IFERROR(__xludf.DUMMYFUNCTION("""COMPUTED_VALUE"""),2847.0)</f>
        <v>2847</v>
      </c>
    </row>
    <row r="1991">
      <c r="A1991" s="20">
        <f>IFERROR(__xludf.DUMMYFUNCTION("""COMPUTED_VALUE"""),2143.0)</f>
        <v>2143</v>
      </c>
      <c r="B1991" s="20" t="str">
        <f>IFERROR(__xludf.DUMMYFUNCTION("""COMPUTED_VALUE"""),"Count the Number of Experiments")</f>
        <v>Count the Number of Experiments</v>
      </c>
      <c r="C1991" s="20" t="str">
        <f>IFERROR(__xludf.DUMMYFUNCTION("""COMPUTED_VALUE"""),"count-the-number-of-experiments")</f>
        <v>count-the-number-of-experiments</v>
      </c>
      <c r="D1991" s="20" t="b">
        <f>IFERROR(__xludf.DUMMYFUNCTION("""COMPUTED_VALUE"""),TRUE)</f>
        <v>1</v>
      </c>
      <c r="E1991" s="20" t="str">
        <f>IFERROR(__xludf.DUMMYFUNCTION("""COMPUTED_VALUE"""),"Medium")</f>
        <v>Medium</v>
      </c>
      <c r="F1991" s="20">
        <f>IFERROR(__xludf.DUMMYFUNCTION("""COMPUTED_VALUE"""),12.0)</f>
        <v>12</v>
      </c>
      <c r="G1991" s="20">
        <f>IFERROR(__xludf.DUMMYFUNCTION("""COMPUTED_VALUE"""),139.0)</f>
        <v>139</v>
      </c>
      <c r="H1991" s="20" t="str">
        <f>IFERROR(__xludf.DUMMYFUNCTION("""COMPUTED_VALUE"""),"Database")</f>
        <v>Database</v>
      </c>
      <c r="I1991" s="20">
        <f>IFERROR(__xludf.DUMMYFUNCTION("""COMPUTED_VALUE"""),0.519)</f>
        <v>0.519</v>
      </c>
      <c r="J1991" s="20">
        <f>IFERROR(__xludf.DUMMYFUNCTION("""COMPUTED_VALUE"""),1990.0)</f>
        <v>1990</v>
      </c>
      <c r="K1991" s="20" t="b">
        <f>IFERROR(__xludf.DUMMYFUNCTION("""COMPUTED_VALUE"""),TRUE)</f>
        <v>1</v>
      </c>
      <c r="L1991" s="20" t="str">
        <f>IFERROR(__xludf.DUMMYFUNCTION("""COMPUTED_VALUE"""),"Database;")</f>
        <v>Database;</v>
      </c>
      <c r="M1991" s="20" t="b">
        <f>IFERROR(__xludf.DUMMYFUNCTION("""COMPUTED_VALUE"""),FALSE)</f>
        <v>0</v>
      </c>
      <c r="N1991" s="20" t="b">
        <f>IFERROR(__xludf.DUMMYFUNCTION("""COMPUTED_VALUE"""),FALSE)</f>
        <v>0</v>
      </c>
      <c r="O1991" s="20">
        <f>IFERROR(__xludf.DUMMYFUNCTION("""COMPUTED_VALUE"""),51.9297407097622)</f>
        <v>51.92974071</v>
      </c>
      <c r="P1991" s="20">
        <f>IFERROR(__xludf.DUMMYFUNCTION("""COMPUTED_VALUE"""),4346.0)</f>
        <v>4346</v>
      </c>
      <c r="Q1991" s="20">
        <f>IFERROR(__xludf.DUMMYFUNCTION("""COMPUTED_VALUE"""),8369.0)</f>
        <v>8369</v>
      </c>
    </row>
    <row r="1992">
      <c r="A1992" s="20">
        <f>IFERROR(__xludf.DUMMYFUNCTION("""COMPUTED_VALUE"""),2102.0)</f>
        <v>2102</v>
      </c>
      <c r="B1992" s="20" t="str">
        <f>IFERROR(__xludf.DUMMYFUNCTION("""COMPUTED_VALUE"""),"Find the Middle Index in Array")</f>
        <v>Find the Middle Index in Array</v>
      </c>
      <c r="C1992" s="20" t="str">
        <f>IFERROR(__xludf.DUMMYFUNCTION("""COMPUTED_VALUE"""),"find-the-middle-index-in-array")</f>
        <v>find-the-middle-index-in-array</v>
      </c>
      <c r="D1992" s="20" t="b">
        <f>IFERROR(__xludf.DUMMYFUNCTION("""COMPUTED_VALUE"""),FALSE)</f>
        <v>0</v>
      </c>
      <c r="E1992" s="20" t="str">
        <f>IFERROR(__xludf.DUMMYFUNCTION("""COMPUTED_VALUE"""),"Easy")</f>
        <v>Easy</v>
      </c>
      <c r="F1992" s="20">
        <f>IFERROR(__xludf.DUMMYFUNCTION("""COMPUTED_VALUE"""),865.0)</f>
        <v>865</v>
      </c>
      <c r="G1992" s="20">
        <f>IFERROR(__xludf.DUMMYFUNCTION("""COMPUTED_VALUE"""),35.0)</f>
        <v>35</v>
      </c>
      <c r="H1992" s="20" t="str">
        <f>IFERROR(__xludf.DUMMYFUNCTION("""COMPUTED_VALUE"""),"Algorithms")</f>
        <v>Algorithms</v>
      </c>
      <c r="I1992" s="20">
        <f>IFERROR(__xludf.DUMMYFUNCTION("""COMPUTED_VALUE"""),0.673)</f>
        <v>0.673</v>
      </c>
      <c r="J1992" s="20">
        <f>IFERROR(__xludf.DUMMYFUNCTION("""COMPUTED_VALUE"""),1991.0)</f>
        <v>1991</v>
      </c>
      <c r="K1992" s="20" t="b">
        <f>IFERROR(__xludf.DUMMYFUNCTION("""COMPUTED_VALUE"""),FALSE)</f>
        <v>0</v>
      </c>
      <c r="L1992" s="20" t="str">
        <f>IFERROR(__xludf.DUMMYFUNCTION("""COMPUTED_VALUE"""),"Array;Prefix Sum;")</f>
        <v>Array;Prefix Sum;</v>
      </c>
      <c r="M1992" s="20" t="b">
        <f>IFERROR(__xludf.DUMMYFUNCTION("""COMPUTED_VALUE"""),FALSE)</f>
        <v>0</v>
      </c>
      <c r="N1992" s="20" t="b">
        <f>IFERROR(__xludf.DUMMYFUNCTION("""COMPUTED_VALUE"""),FALSE)</f>
        <v>0</v>
      </c>
      <c r="O1992" s="20">
        <f>IFERROR(__xludf.DUMMYFUNCTION("""COMPUTED_VALUE"""),67.3093869605818)</f>
        <v>67.30938696</v>
      </c>
      <c r="P1992" s="20">
        <f>IFERROR(__xludf.DUMMYFUNCTION("""COMPUTED_VALUE"""),51172.0)</f>
        <v>51172</v>
      </c>
      <c r="Q1992" s="20">
        <f>IFERROR(__xludf.DUMMYFUNCTION("""COMPUTED_VALUE"""),76027.0)</f>
        <v>76027</v>
      </c>
    </row>
    <row r="1993">
      <c r="A1993" s="20">
        <f>IFERROR(__xludf.DUMMYFUNCTION("""COMPUTED_VALUE"""),2103.0)</f>
        <v>2103</v>
      </c>
      <c r="B1993" s="20" t="str">
        <f>IFERROR(__xludf.DUMMYFUNCTION("""COMPUTED_VALUE"""),"Find All Groups of Farmland")</f>
        <v>Find All Groups of Farmland</v>
      </c>
      <c r="C1993" s="20" t="str">
        <f>IFERROR(__xludf.DUMMYFUNCTION("""COMPUTED_VALUE"""),"find-all-groups-of-farmland")</f>
        <v>find-all-groups-of-farmland</v>
      </c>
      <c r="D1993" s="20" t="b">
        <f>IFERROR(__xludf.DUMMYFUNCTION("""COMPUTED_VALUE"""),FALSE)</f>
        <v>0</v>
      </c>
      <c r="E1993" s="20" t="str">
        <f>IFERROR(__xludf.DUMMYFUNCTION("""COMPUTED_VALUE"""),"Medium")</f>
        <v>Medium</v>
      </c>
      <c r="F1993" s="20">
        <f>IFERROR(__xludf.DUMMYFUNCTION("""COMPUTED_VALUE"""),593.0)</f>
        <v>593</v>
      </c>
      <c r="G1993" s="20">
        <f>IFERROR(__xludf.DUMMYFUNCTION("""COMPUTED_VALUE"""),21.0)</f>
        <v>21</v>
      </c>
      <c r="H1993" s="20" t="str">
        <f>IFERROR(__xludf.DUMMYFUNCTION("""COMPUTED_VALUE"""),"Algorithms")</f>
        <v>Algorithms</v>
      </c>
      <c r="I1993" s="20">
        <f>IFERROR(__xludf.DUMMYFUNCTION("""COMPUTED_VALUE"""),0.687)</f>
        <v>0.687</v>
      </c>
      <c r="J1993" s="20">
        <f>IFERROR(__xludf.DUMMYFUNCTION("""COMPUTED_VALUE"""),1992.0)</f>
        <v>1992</v>
      </c>
      <c r="K1993" s="20" t="b">
        <f>IFERROR(__xludf.DUMMYFUNCTION("""COMPUTED_VALUE"""),FALSE)</f>
        <v>0</v>
      </c>
      <c r="L1993" s="20" t="str">
        <f>IFERROR(__xludf.DUMMYFUNCTION("""COMPUTED_VALUE"""),"Array;Depth-First Search;Breadth-First Search;Matrix;")</f>
        <v>Array;Depth-First Search;Breadth-First Search;Matrix;</v>
      </c>
      <c r="M1993" s="20" t="b">
        <f>IFERROR(__xludf.DUMMYFUNCTION("""COMPUTED_VALUE"""),FALSE)</f>
        <v>0</v>
      </c>
      <c r="N1993" s="20" t="b">
        <f>IFERROR(__xludf.DUMMYFUNCTION("""COMPUTED_VALUE"""),FALSE)</f>
        <v>0</v>
      </c>
      <c r="O1993" s="20">
        <f>IFERROR(__xludf.DUMMYFUNCTION("""COMPUTED_VALUE"""),68.6714260839282)</f>
        <v>68.67142608</v>
      </c>
      <c r="P1993" s="20">
        <f>IFERROR(__xludf.DUMMYFUNCTION("""COMPUTED_VALUE"""),19719.0)</f>
        <v>19719</v>
      </c>
      <c r="Q1993" s="20">
        <f>IFERROR(__xludf.DUMMYFUNCTION("""COMPUTED_VALUE"""),28715.0)</f>
        <v>28715</v>
      </c>
    </row>
    <row r="1994">
      <c r="A1994" s="20">
        <f>IFERROR(__xludf.DUMMYFUNCTION("""COMPUTED_VALUE"""),2104.0)</f>
        <v>2104</v>
      </c>
      <c r="B1994" s="20" t="str">
        <f>IFERROR(__xludf.DUMMYFUNCTION("""COMPUTED_VALUE"""),"Operations on Tree")</f>
        <v>Operations on Tree</v>
      </c>
      <c r="C1994" s="20" t="str">
        <f>IFERROR(__xludf.DUMMYFUNCTION("""COMPUTED_VALUE"""),"operations-on-tree")</f>
        <v>operations-on-tree</v>
      </c>
      <c r="D1994" s="20" t="b">
        <f>IFERROR(__xludf.DUMMYFUNCTION("""COMPUTED_VALUE"""),FALSE)</f>
        <v>0</v>
      </c>
      <c r="E1994" s="20" t="str">
        <f>IFERROR(__xludf.DUMMYFUNCTION("""COMPUTED_VALUE"""),"Medium")</f>
        <v>Medium</v>
      </c>
      <c r="F1994" s="20">
        <f>IFERROR(__xludf.DUMMYFUNCTION("""COMPUTED_VALUE"""),307.0)</f>
        <v>307</v>
      </c>
      <c r="G1994" s="20">
        <f>IFERROR(__xludf.DUMMYFUNCTION("""COMPUTED_VALUE"""),53.0)</f>
        <v>53</v>
      </c>
      <c r="H1994" s="20" t="str">
        <f>IFERROR(__xludf.DUMMYFUNCTION("""COMPUTED_VALUE"""),"Algorithms")</f>
        <v>Algorithms</v>
      </c>
      <c r="I1994" s="20">
        <f>IFERROR(__xludf.DUMMYFUNCTION("""COMPUTED_VALUE"""),0.436)</f>
        <v>0.436</v>
      </c>
      <c r="J1994" s="20">
        <f>IFERROR(__xludf.DUMMYFUNCTION("""COMPUTED_VALUE"""),1993.0)</f>
        <v>1993</v>
      </c>
      <c r="K1994" s="20" t="b">
        <f>IFERROR(__xludf.DUMMYFUNCTION("""COMPUTED_VALUE"""),FALSE)</f>
        <v>0</v>
      </c>
      <c r="L1994" s="20" t="str">
        <f>IFERROR(__xludf.DUMMYFUNCTION("""COMPUTED_VALUE"""),"Hash Table;Tree;Depth-First Search;Breadth-First Search;Design;")</f>
        <v>Hash Table;Tree;Depth-First Search;Breadth-First Search;Design;</v>
      </c>
      <c r="M1994" s="20" t="b">
        <f>IFERROR(__xludf.DUMMYFUNCTION("""COMPUTED_VALUE"""),FALSE)</f>
        <v>0</v>
      </c>
      <c r="N1994" s="20" t="b">
        <f>IFERROR(__xludf.DUMMYFUNCTION("""COMPUTED_VALUE"""),FALSE)</f>
        <v>0</v>
      </c>
      <c r="O1994" s="20">
        <f>IFERROR(__xludf.DUMMYFUNCTION("""COMPUTED_VALUE"""),43.6359393232205)</f>
        <v>43.63593932</v>
      </c>
      <c r="P1994" s="20">
        <f>IFERROR(__xludf.DUMMYFUNCTION("""COMPUTED_VALUE"""),9349.0)</f>
        <v>9349</v>
      </c>
      <c r="Q1994" s="20">
        <f>IFERROR(__xludf.DUMMYFUNCTION("""COMPUTED_VALUE"""),21425.0)</f>
        <v>21425</v>
      </c>
    </row>
    <row r="1995">
      <c r="A1995" s="20">
        <f>IFERROR(__xludf.DUMMYFUNCTION("""COMPUTED_VALUE"""),2105.0)</f>
        <v>2105</v>
      </c>
      <c r="B1995" s="20" t="str">
        <f>IFERROR(__xludf.DUMMYFUNCTION("""COMPUTED_VALUE"""),"The Number of Good Subsets")</f>
        <v>The Number of Good Subsets</v>
      </c>
      <c r="C1995" s="20" t="str">
        <f>IFERROR(__xludf.DUMMYFUNCTION("""COMPUTED_VALUE"""),"the-number-of-good-subsets")</f>
        <v>the-number-of-good-subsets</v>
      </c>
      <c r="D1995" s="20" t="b">
        <f>IFERROR(__xludf.DUMMYFUNCTION("""COMPUTED_VALUE"""),FALSE)</f>
        <v>0</v>
      </c>
      <c r="E1995" s="20" t="str">
        <f>IFERROR(__xludf.DUMMYFUNCTION("""COMPUTED_VALUE"""),"Hard")</f>
        <v>Hard</v>
      </c>
      <c r="F1995" s="20">
        <f>IFERROR(__xludf.DUMMYFUNCTION("""COMPUTED_VALUE"""),323.0)</f>
        <v>323</v>
      </c>
      <c r="G1995" s="20">
        <f>IFERROR(__xludf.DUMMYFUNCTION("""COMPUTED_VALUE"""),9.0)</f>
        <v>9</v>
      </c>
      <c r="H1995" s="20" t="str">
        <f>IFERROR(__xludf.DUMMYFUNCTION("""COMPUTED_VALUE"""),"Algorithms")</f>
        <v>Algorithms</v>
      </c>
      <c r="I1995" s="20">
        <f>IFERROR(__xludf.DUMMYFUNCTION("""COMPUTED_VALUE"""),0.344)</f>
        <v>0.344</v>
      </c>
      <c r="J1995" s="20">
        <f>IFERROR(__xludf.DUMMYFUNCTION("""COMPUTED_VALUE"""),1994.0)</f>
        <v>1994</v>
      </c>
      <c r="K1995" s="20" t="b">
        <f>IFERROR(__xludf.DUMMYFUNCTION("""COMPUTED_VALUE"""),FALSE)</f>
        <v>0</v>
      </c>
      <c r="L1995" s="20" t="str">
        <f>IFERROR(__xludf.DUMMYFUNCTION("""COMPUTED_VALUE"""),"Array;Math;Dynamic Programming;Bit Manipulation;Bitmask;")</f>
        <v>Array;Math;Dynamic Programming;Bit Manipulation;Bitmask;</v>
      </c>
      <c r="M1995" s="20" t="b">
        <f>IFERROR(__xludf.DUMMYFUNCTION("""COMPUTED_VALUE"""),FALSE)</f>
        <v>0</v>
      </c>
      <c r="N1995" s="20" t="b">
        <f>IFERROR(__xludf.DUMMYFUNCTION("""COMPUTED_VALUE"""),FALSE)</f>
        <v>0</v>
      </c>
      <c r="O1995" s="20">
        <f>IFERROR(__xludf.DUMMYFUNCTION("""COMPUTED_VALUE"""),34.4349834030884)</f>
        <v>34.4349834</v>
      </c>
      <c r="P1995" s="20">
        <f>IFERROR(__xludf.DUMMYFUNCTION("""COMPUTED_VALUE"""),4772.0)</f>
        <v>4772</v>
      </c>
      <c r="Q1995" s="20">
        <f>IFERROR(__xludf.DUMMYFUNCTION("""COMPUTED_VALUE"""),13858.0)</f>
        <v>13858</v>
      </c>
    </row>
    <row r="1996">
      <c r="A1996" s="20">
        <f>IFERROR(__xludf.DUMMYFUNCTION("""COMPUTED_VALUE"""),2122.0)</f>
        <v>2122</v>
      </c>
      <c r="B1996" s="20" t="str">
        <f>IFERROR(__xludf.DUMMYFUNCTION("""COMPUTED_VALUE"""),"Count Special Quadruplets")</f>
        <v>Count Special Quadruplets</v>
      </c>
      <c r="C1996" s="20" t="str">
        <f>IFERROR(__xludf.DUMMYFUNCTION("""COMPUTED_VALUE"""),"count-special-quadruplets")</f>
        <v>count-special-quadruplets</v>
      </c>
      <c r="D1996" s="20" t="b">
        <f>IFERROR(__xludf.DUMMYFUNCTION("""COMPUTED_VALUE"""),FALSE)</f>
        <v>0</v>
      </c>
      <c r="E1996" s="20" t="str">
        <f>IFERROR(__xludf.DUMMYFUNCTION("""COMPUTED_VALUE"""),"Easy")</f>
        <v>Easy</v>
      </c>
      <c r="F1996" s="20">
        <f>IFERROR(__xludf.DUMMYFUNCTION("""COMPUTED_VALUE"""),447.0)</f>
        <v>447</v>
      </c>
      <c r="G1996" s="20">
        <f>IFERROR(__xludf.DUMMYFUNCTION("""COMPUTED_VALUE"""),177.0)</f>
        <v>177</v>
      </c>
      <c r="H1996" s="20" t="str">
        <f>IFERROR(__xludf.DUMMYFUNCTION("""COMPUTED_VALUE"""),"Algorithms")</f>
        <v>Algorithms</v>
      </c>
      <c r="I1996" s="20">
        <f>IFERROR(__xludf.DUMMYFUNCTION("""COMPUTED_VALUE"""),0.595)</f>
        <v>0.595</v>
      </c>
      <c r="J1996" s="20">
        <f>IFERROR(__xludf.DUMMYFUNCTION("""COMPUTED_VALUE"""),1995.0)</f>
        <v>1995</v>
      </c>
      <c r="K1996" s="20" t="b">
        <f>IFERROR(__xludf.DUMMYFUNCTION("""COMPUTED_VALUE"""),FALSE)</f>
        <v>0</v>
      </c>
      <c r="L1996" s="20" t="str">
        <f>IFERROR(__xludf.DUMMYFUNCTION("""COMPUTED_VALUE"""),"Array;Enumeration;")</f>
        <v>Array;Enumeration;</v>
      </c>
      <c r="M1996" s="20" t="b">
        <f>IFERROR(__xludf.DUMMYFUNCTION("""COMPUTED_VALUE"""),FALSE)</f>
        <v>0</v>
      </c>
      <c r="N1996" s="20" t="b">
        <f>IFERROR(__xludf.DUMMYFUNCTION("""COMPUTED_VALUE"""),FALSE)</f>
        <v>0</v>
      </c>
      <c r="O1996" s="20">
        <f>IFERROR(__xludf.DUMMYFUNCTION("""COMPUTED_VALUE"""),59.5038858724582)</f>
        <v>59.50388587</v>
      </c>
      <c r="P1996" s="20">
        <f>IFERROR(__xludf.DUMMYFUNCTION("""COMPUTED_VALUE"""),27946.0)</f>
        <v>27946</v>
      </c>
      <c r="Q1996" s="20">
        <f>IFERROR(__xludf.DUMMYFUNCTION("""COMPUTED_VALUE"""),46965.0)</f>
        <v>46965</v>
      </c>
    </row>
    <row r="1997">
      <c r="A1997" s="20">
        <f>IFERROR(__xludf.DUMMYFUNCTION("""COMPUTED_VALUE"""),2123.0)</f>
        <v>2123</v>
      </c>
      <c r="B1997" s="20" t="str">
        <f>IFERROR(__xludf.DUMMYFUNCTION("""COMPUTED_VALUE"""),"The Number of Weak Characters in the Game")</f>
        <v>The Number of Weak Characters in the Game</v>
      </c>
      <c r="C1997" s="20" t="str">
        <f>IFERROR(__xludf.DUMMYFUNCTION("""COMPUTED_VALUE"""),"the-number-of-weak-characters-in-the-game")</f>
        <v>the-number-of-weak-characters-in-the-game</v>
      </c>
      <c r="D1997" s="20" t="b">
        <f>IFERROR(__xludf.DUMMYFUNCTION("""COMPUTED_VALUE"""),FALSE)</f>
        <v>0</v>
      </c>
      <c r="E1997" s="20" t="str">
        <f>IFERROR(__xludf.DUMMYFUNCTION("""COMPUTED_VALUE"""),"Medium")</f>
        <v>Medium</v>
      </c>
      <c r="F1997" s="20">
        <f>IFERROR(__xludf.DUMMYFUNCTION("""COMPUTED_VALUE"""),2719.0)</f>
        <v>2719</v>
      </c>
      <c r="G1997" s="20">
        <f>IFERROR(__xludf.DUMMYFUNCTION("""COMPUTED_VALUE"""),87.0)</f>
        <v>87</v>
      </c>
      <c r="H1997" s="20" t="str">
        <f>IFERROR(__xludf.DUMMYFUNCTION("""COMPUTED_VALUE"""),"Algorithms")</f>
        <v>Algorithms</v>
      </c>
      <c r="I1997" s="20">
        <f>IFERROR(__xludf.DUMMYFUNCTION("""COMPUTED_VALUE"""),0.44)</f>
        <v>0.44</v>
      </c>
      <c r="J1997" s="20">
        <f>IFERROR(__xludf.DUMMYFUNCTION("""COMPUTED_VALUE"""),1996.0)</f>
        <v>1996</v>
      </c>
      <c r="K1997" s="20" t="b">
        <f>IFERROR(__xludf.DUMMYFUNCTION("""COMPUTED_VALUE"""),FALSE)</f>
        <v>0</v>
      </c>
      <c r="L1997" s="20" t="str">
        <f>IFERROR(__xludf.DUMMYFUNCTION("""COMPUTED_VALUE"""),"Array;Stack;Greedy;Sorting;Monotonic Stack;")</f>
        <v>Array;Stack;Greedy;Sorting;Monotonic Stack;</v>
      </c>
      <c r="M1997" s="20" t="b">
        <f>IFERROR(__xludf.DUMMYFUNCTION("""COMPUTED_VALUE"""),TRUE)</f>
        <v>1</v>
      </c>
      <c r="N1997" s="20" t="b">
        <f>IFERROR(__xludf.DUMMYFUNCTION("""COMPUTED_VALUE"""),FALSE)</f>
        <v>0</v>
      </c>
      <c r="O1997" s="20">
        <f>IFERROR(__xludf.DUMMYFUNCTION("""COMPUTED_VALUE"""),44.0096662808548)</f>
        <v>44.00966628</v>
      </c>
      <c r="P1997" s="20">
        <f>IFERROR(__xludf.DUMMYFUNCTION("""COMPUTED_VALUE"""),90874.0)</f>
        <v>90874</v>
      </c>
      <c r="Q1997" s="20">
        <f>IFERROR(__xludf.DUMMYFUNCTION("""COMPUTED_VALUE"""),206488.0)</f>
        <v>206488</v>
      </c>
    </row>
    <row r="1998">
      <c r="A1998" s="20">
        <f>IFERROR(__xludf.DUMMYFUNCTION("""COMPUTED_VALUE"""),2124.0)</f>
        <v>2124</v>
      </c>
      <c r="B1998" s="20" t="str">
        <f>IFERROR(__xludf.DUMMYFUNCTION("""COMPUTED_VALUE"""),"First Day Where You Have Been in All the Rooms")</f>
        <v>First Day Where You Have Been in All the Rooms</v>
      </c>
      <c r="C1998" s="20" t="str">
        <f>IFERROR(__xludf.DUMMYFUNCTION("""COMPUTED_VALUE"""),"first-day-where-you-have-been-in-all-the-rooms")</f>
        <v>first-day-where-you-have-been-in-all-the-rooms</v>
      </c>
      <c r="D1998" s="20" t="b">
        <f>IFERROR(__xludf.DUMMYFUNCTION("""COMPUTED_VALUE"""),FALSE)</f>
        <v>0</v>
      </c>
      <c r="E1998" s="20" t="str">
        <f>IFERROR(__xludf.DUMMYFUNCTION("""COMPUTED_VALUE"""),"Medium")</f>
        <v>Medium</v>
      </c>
      <c r="F1998" s="20">
        <f>IFERROR(__xludf.DUMMYFUNCTION("""COMPUTED_VALUE"""),409.0)</f>
        <v>409</v>
      </c>
      <c r="G1998" s="20">
        <f>IFERROR(__xludf.DUMMYFUNCTION("""COMPUTED_VALUE"""),70.0)</f>
        <v>70</v>
      </c>
      <c r="H1998" s="20" t="str">
        <f>IFERROR(__xludf.DUMMYFUNCTION("""COMPUTED_VALUE"""),"Algorithms")</f>
        <v>Algorithms</v>
      </c>
      <c r="I1998" s="20">
        <f>IFERROR(__xludf.DUMMYFUNCTION("""COMPUTED_VALUE"""),0.368)</f>
        <v>0.368</v>
      </c>
      <c r="J1998" s="20">
        <f>IFERROR(__xludf.DUMMYFUNCTION("""COMPUTED_VALUE"""),1997.0)</f>
        <v>1997</v>
      </c>
      <c r="K1998" s="20" t="b">
        <f>IFERROR(__xludf.DUMMYFUNCTION("""COMPUTED_VALUE"""),FALSE)</f>
        <v>0</v>
      </c>
      <c r="L1998" s="20" t="str">
        <f>IFERROR(__xludf.DUMMYFUNCTION("""COMPUTED_VALUE"""),"Array;Dynamic Programming;")</f>
        <v>Array;Dynamic Programming;</v>
      </c>
      <c r="M1998" s="20" t="b">
        <f>IFERROR(__xludf.DUMMYFUNCTION("""COMPUTED_VALUE"""),FALSE)</f>
        <v>0</v>
      </c>
      <c r="N1998" s="20" t="b">
        <f>IFERROR(__xludf.DUMMYFUNCTION("""COMPUTED_VALUE"""),FALSE)</f>
        <v>0</v>
      </c>
      <c r="O1998" s="20">
        <f>IFERROR(__xludf.DUMMYFUNCTION("""COMPUTED_VALUE"""),36.8329584951952)</f>
        <v>36.8329585</v>
      </c>
      <c r="P1998" s="20">
        <f>IFERROR(__xludf.DUMMYFUNCTION("""COMPUTED_VALUE"""),7206.0)</f>
        <v>7206</v>
      </c>
      <c r="Q1998" s="20">
        <f>IFERROR(__xludf.DUMMYFUNCTION("""COMPUTED_VALUE"""),19564.0)</f>
        <v>19564</v>
      </c>
    </row>
    <row r="1999">
      <c r="A1999" s="20">
        <f>IFERROR(__xludf.DUMMYFUNCTION("""COMPUTED_VALUE"""),2125.0)</f>
        <v>2125</v>
      </c>
      <c r="B1999" s="20" t="str">
        <f>IFERROR(__xludf.DUMMYFUNCTION("""COMPUTED_VALUE"""),"GCD Sort of an Array")</f>
        <v>GCD Sort of an Array</v>
      </c>
      <c r="C1999" s="20" t="str">
        <f>IFERROR(__xludf.DUMMYFUNCTION("""COMPUTED_VALUE"""),"gcd-sort-of-an-array")</f>
        <v>gcd-sort-of-an-array</v>
      </c>
      <c r="D1999" s="20" t="b">
        <f>IFERROR(__xludf.DUMMYFUNCTION("""COMPUTED_VALUE"""),FALSE)</f>
        <v>0</v>
      </c>
      <c r="E1999" s="20" t="str">
        <f>IFERROR(__xludf.DUMMYFUNCTION("""COMPUTED_VALUE"""),"Hard")</f>
        <v>Hard</v>
      </c>
      <c r="F1999" s="20">
        <f>IFERROR(__xludf.DUMMYFUNCTION("""COMPUTED_VALUE"""),369.0)</f>
        <v>369</v>
      </c>
      <c r="G1999" s="20">
        <f>IFERROR(__xludf.DUMMYFUNCTION("""COMPUTED_VALUE"""),8.0)</f>
        <v>8</v>
      </c>
      <c r="H1999" s="20" t="str">
        <f>IFERROR(__xludf.DUMMYFUNCTION("""COMPUTED_VALUE"""),"Algorithms")</f>
        <v>Algorithms</v>
      </c>
      <c r="I1999" s="20">
        <f>IFERROR(__xludf.DUMMYFUNCTION("""COMPUTED_VALUE"""),0.457)</f>
        <v>0.457</v>
      </c>
      <c r="J1999" s="20">
        <f>IFERROR(__xludf.DUMMYFUNCTION("""COMPUTED_VALUE"""),1998.0)</f>
        <v>1998</v>
      </c>
      <c r="K1999" s="20" t="b">
        <f>IFERROR(__xludf.DUMMYFUNCTION("""COMPUTED_VALUE"""),FALSE)</f>
        <v>0</v>
      </c>
      <c r="L1999" s="20" t="str">
        <f>IFERROR(__xludf.DUMMYFUNCTION("""COMPUTED_VALUE"""),"Array;Math;Union Find;Sorting;")</f>
        <v>Array;Math;Union Find;Sorting;</v>
      </c>
      <c r="M1999" s="20" t="b">
        <f>IFERROR(__xludf.DUMMYFUNCTION("""COMPUTED_VALUE"""),FALSE)</f>
        <v>0</v>
      </c>
      <c r="N1999" s="20" t="b">
        <f>IFERROR(__xludf.DUMMYFUNCTION("""COMPUTED_VALUE"""),FALSE)</f>
        <v>0</v>
      </c>
      <c r="O1999" s="20">
        <f>IFERROR(__xludf.DUMMYFUNCTION("""COMPUTED_VALUE"""),45.6668849596158)</f>
        <v>45.66688496</v>
      </c>
      <c r="P1999" s="20">
        <f>IFERROR(__xludf.DUMMYFUNCTION("""COMPUTED_VALUE"""),6276.0)</f>
        <v>6276</v>
      </c>
      <c r="Q1999" s="20">
        <f>IFERROR(__xludf.DUMMYFUNCTION("""COMPUTED_VALUE"""),13743.0)</f>
        <v>13743</v>
      </c>
    </row>
    <row r="2000">
      <c r="A2000" s="20">
        <f>IFERROR(__xludf.DUMMYFUNCTION("""COMPUTED_VALUE"""),2141.0)</f>
        <v>2141</v>
      </c>
      <c r="B2000" s="20" t="str">
        <f>IFERROR(__xludf.DUMMYFUNCTION("""COMPUTED_VALUE"""),"Smallest Greater Multiple Made of Two Digits")</f>
        <v>Smallest Greater Multiple Made of Two Digits</v>
      </c>
      <c r="C2000" s="20" t="str">
        <f>IFERROR(__xludf.DUMMYFUNCTION("""COMPUTED_VALUE"""),"smallest-greater-multiple-made-of-two-digits")</f>
        <v>smallest-greater-multiple-made-of-two-digits</v>
      </c>
      <c r="D2000" s="20" t="b">
        <f>IFERROR(__xludf.DUMMYFUNCTION("""COMPUTED_VALUE"""),TRUE)</f>
        <v>1</v>
      </c>
      <c r="E2000" s="20" t="str">
        <f>IFERROR(__xludf.DUMMYFUNCTION("""COMPUTED_VALUE"""),"Medium")</f>
        <v>Medium</v>
      </c>
      <c r="F2000" s="20">
        <f>IFERROR(__xludf.DUMMYFUNCTION("""COMPUTED_VALUE"""),23.0)</f>
        <v>23</v>
      </c>
      <c r="G2000" s="20">
        <f>IFERROR(__xludf.DUMMYFUNCTION("""COMPUTED_VALUE"""),4.0)</f>
        <v>4</v>
      </c>
      <c r="H2000" s="20" t="str">
        <f>IFERROR(__xludf.DUMMYFUNCTION("""COMPUTED_VALUE"""),"Algorithms")</f>
        <v>Algorithms</v>
      </c>
      <c r="I2000" s="20">
        <f>IFERROR(__xludf.DUMMYFUNCTION("""COMPUTED_VALUE"""),0.494)</f>
        <v>0.494</v>
      </c>
      <c r="J2000" s="20">
        <f>IFERROR(__xludf.DUMMYFUNCTION("""COMPUTED_VALUE"""),1999.0)</f>
        <v>1999</v>
      </c>
      <c r="K2000" s="20" t="b">
        <f>IFERROR(__xludf.DUMMYFUNCTION("""COMPUTED_VALUE"""),TRUE)</f>
        <v>1</v>
      </c>
      <c r="L2000" s="20" t="str">
        <f>IFERROR(__xludf.DUMMYFUNCTION("""COMPUTED_VALUE"""),"Math;Enumeration;")</f>
        <v>Math;Enumeration;</v>
      </c>
      <c r="M2000" s="20" t="b">
        <f>IFERROR(__xludf.DUMMYFUNCTION("""COMPUTED_VALUE"""),FALSE)</f>
        <v>0</v>
      </c>
      <c r="N2000" s="20" t="b">
        <f>IFERROR(__xludf.DUMMYFUNCTION("""COMPUTED_VALUE"""),FALSE)</f>
        <v>0</v>
      </c>
      <c r="O2000" s="20">
        <f>IFERROR(__xludf.DUMMYFUNCTION("""COMPUTED_VALUE"""),49.4444444444444)</f>
        <v>49.44444444</v>
      </c>
      <c r="P2000" s="20">
        <f>IFERROR(__xludf.DUMMYFUNCTION("""COMPUTED_VALUE"""),1157.0)</f>
        <v>1157</v>
      </c>
      <c r="Q2000" s="20">
        <f>IFERROR(__xludf.DUMMYFUNCTION("""COMPUTED_VALUE"""),2340.0)</f>
        <v>2340</v>
      </c>
    </row>
    <row r="2001">
      <c r="A2001" s="20">
        <f>IFERROR(__xludf.DUMMYFUNCTION("""COMPUTED_VALUE"""),2128.0)</f>
        <v>2128</v>
      </c>
      <c r="B2001" s="20" t="str">
        <f>IFERROR(__xludf.DUMMYFUNCTION("""COMPUTED_VALUE"""),"Reverse Prefix of Word")</f>
        <v>Reverse Prefix of Word</v>
      </c>
      <c r="C2001" s="20" t="str">
        <f>IFERROR(__xludf.DUMMYFUNCTION("""COMPUTED_VALUE"""),"reverse-prefix-of-word")</f>
        <v>reverse-prefix-of-word</v>
      </c>
      <c r="D2001" s="20" t="b">
        <f>IFERROR(__xludf.DUMMYFUNCTION("""COMPUTED_VALUE"""),FALSE)</f>
        <v>0</v>
      </c>
      <c r="E2001" s="20" t="str">
        <f>IFERROR(__xludf.DUMMYFUNCTION("""COMPUTED_VALUE"""),"Easy")</f>
        <v>Easy</v>
      </c>
      <c r="F2001" s="20">
        <f>IFERROR(__xludf.DUMMYFUNCTION("""COMPUTED_VALUE"""),537.0)</f>
        <v>537</v>
      </c>
      <c r="G2001" s="20">
        <f>IFERROR(__xludf.DUMMYFUNCTION("""COMPUTED_VALUE"""),13.0)</f>
        <v>13</v>
      </c>
      <c r="H2001" s="20" t="str">
        <f>IFERROR(__xludf.DUMMYFUNCTION("""COMPUTED_VALUE"""),"Algorithms")</f>
        <v>Algorithms</v>
      </c>
      <c r="I2001" s="20">
        <f>IFERROR(__xludf.DUMMYFUNCTION("""COMPUTED_VALUE"""),0.778)</f>
        <v>0.778</v>
      </c>
      <c r="J2001" s="20">
        <f>IFERROR(__xludf.DUMMYFUNCTION("""COMPUTED_VALUE"""),2000.0)</f>
        <v>2000</v>
      </c>
      <c r="K2001" s="20" t="b">
        <f>IFERROR(__xludf.DUMMYFUNCTION("""COMPUTED_VALUE"""),FALSE)</f>
        <v>0</v>
      </c>
      <c r="L2001" s="20" t="str">
        <f>IFERROR(__xludf.DUMMYFUNCTION("""COMPUTED_VALUE"""),"Two Pointers;String;")</f>
        <v>Two Pointers;String;</v>
      </c>
      <c r="M2001" s="20" t="b">
        <f>IFERROR(__xludf.DUMMYFUNCTION("""COMPUTED_VALUE"""),FALSE)</f>
        <v>0</v>
      </c>
      <c r="N2001" s="20" t="b">
        <f>IFERROR(__xludf.DUMMYFUNCTION("""COMPUTED_VALUE"""),FALSE)</f>
        <v>0</v>
      </c>
      <c r="O2001" s="20">
        <f>IFERROR(__xludf.DUMMYFUNCTION("""COMPUTED_VALUE"""),77.8494111341065)</f>
        <v>77.84941113</v>
      </c>
      <c r="P2001" s="20">
        <f>IFERROR(__xludf.DUMMYFUNCTION("""COMPUTED_VALUE"""),52283.0)</f>
        <v>52283</v>
      </c>
      <c r="Q2001" s="20">
        <f>IFERROR(__xludf.DUMMYFUNCTION("""COMPUTED_VALUE"""),67160.0)</f>
        <v>67160</v>
      </c>
    </row>
    <row r="2002">
      <c r="A2002" s="20">
        <f>IFERROR(__xludf.DUMMYFUNCTION("""COMPUTED_VALUE"""),2129.0)</f>
        <v>2129</v>
      </c>
      <c r="B2002" s="20" t="str">
        <f>IFERROR(__xludf.DUMMYFUNCTION("""COMPUTED_VALUE"""),"Number of Pairs of Interchangeable Rectangles")</f>
        <v>Number of Pairs of Interchangeable Rectangles</v>
      </c>
      <c r="C2002" s="20" t="str">
        <f>IFERROR(__xludf.DUMMYFUNCTION("""COMPUTED_VALUE"""),"number-of-pairs-of-interchangeable-rectangles")</f>
        <v>number-of-pairs-of-interchangeable-rectangles</v>
      </c>
      <c r="D2002" s="20" t="b">
        <f>IFERROR(__xludf.DUMMYFUNCTION("""COMPUTED_VALUE"""),FALSE)</f>
        <v>0</v>
      </c>
      <c r="E2002" s="20" t="str">
        <f>IFERROR(__xludf.DUMMYFUNCTION("""COMPUTED_VALUE"""),"Medium")</f>
        <v>Medium</v>
      </c>
      <c r="F2002" s="20">
        <f>IFERROR(__xludf.DUMMYFUNCTION("""COMPUTED_VALUE"""),313.0)</f>
        <v>313</v>
      </c>
      <c r="G2002" s="20">
        <f>IFERROR(__xludf.DUMMYFUNCTION("""COMPUTED_VALUE"""),27.0)</f>
        <v>27</v>
      </c>
      <c r="H2002" s="20" t="str">
        <f>IFERROR(__xludf.DUMMYFUNCTION("""COMPUTED_VALUE"""),"Algorithms")</f>
        <v>Algorithms</v>
      </c>
      <c r="I2002" s="20">
        <f>IFERROR(__xludf.DUMMYFUNCTION("""COMPUTED_VALUE"""),0.453)</f>
        <v>0.453</v>
      </c>
      <c r="J2002" s="20">
        <f>IFERROR(__xludf.DUMMYFUNCTION("""COMPUTED_VALUE"""),2001.0)</f>
        <v>2001</v>
      </c>
      <c r="K2002" s="20" t="b">
        <f>IFERROR(__xludf.DUMMYFUNCTION("""COMPUTED_VALUE"""),FALSE)</f>
        <v>0</v>
      </c>
      <c r="L2002" s="20" t="str">
        <f>IFERROR(__xludf.DUMMYFUNCTION("""COMPUTED_VALUE"""),"Array;Hash Table;Math;Counting;Number Theory;")</f>
        <v>Array;Hash Table;Math;Counting;Number Theory;</v>
      </c>
      <c r="M2002" s="20" t="b">
        <f>IFERROR(__xludf.DUMMYFUNCTION("""COMPUTED_VALUE"""),FALSE)</f>
        <v>0</v>
      </c>
      <c r="N2002" s="20" t="b">
        <f>IFERROR(__xludf.DUMMYFUNCTION("""COMPUTED_VALUE"""),FALSE)</f>
        <v>0</v>
      </c>
      <c r="O2002" s="20">
        <f>IFERROR(__xludf.DUMMYFUNCTION("""COMPUTED_VALUE"""),45.3371440668995)</f>
        <v>45.33714407</v>
      </c>
      <c r="P2002" s="20">
        <f>IFERROR(__xludf.DUMMYFUNCTION("""COMPUTED_VALUE"""),21415.0)</f>
        <v>21415</v>
      </c>
      <c r="Q2002" s="20">
        <f>IFERROR(__xludf.DUMMYFUNCTION("""COMPUTED_VALUE"""),47235.0)</f>
        <v>47235</v>
      </c>
    </row>
    <row r="2003">
      <c r="A2003" s="20">
        <f>IFERROR(__xludf.DUMMYFUNCTION("""COMPUTED_VALUE"""),2130.0)</f>
        <v>2130</v>
      </c>
      <c r="B2003" s="20" t="str">
        <f>IFERROR(__xludf.DUMMYFUNCTION("""COMPUTED_VALUE"""),"Maximum Product of the Length of Two Palindromic Subsequences")</f>
        <v>Maximum Product of the Length of Two Palindromic Subsequences</v>
      </c>
      <c r="C2003" s="20" t="str">
        <f>IFERROR(__xludf.DUMMYFUNCTION("""COMPUTED_VALUE"""),"maximum-product-of-the-length-of-two-palindromic-subsequences")</f>
        <v>maximum-product-of-the-length-of-two-palindromic-subsequences</v>
      </c>
      <c r="D2003" s="20" t="b">
        <f>IFERROR(__xludf.DUMMYFUNCTION("""COMPUTED_VALUE"""),FALSE)</f>
        <v>0</v>
      </c>
      <c r="E2003" s="20" t="str">
        <f>IFERROR(__xludf.DUMMYFUNCTION("""COMPUTED_VALUE"""),"Medium")</f>
        <v>Medium</v>
      </c>
      <c r="F2003" s="20">
        <f>IFERROR(__xludf.DUMMYFUNCTION("""COMPUTED_VALUE"""),620.0)</f>
        <v>620</v>
      </c>
      <c r="G2003" s="20">
        <f>IFERROR(__xludf.DUMMYFUNCTION("""COMPUTED_VALUE"""),40.0)</f>
        <v>40</v>
      </c>
      <c r="H2003" s="20" t="str">
        <f>IFERROR(__xludf.DUMMYFUNCTION("""COMPUTED_VALUE"""),"Algorithms")</f>
        <v>Algorithms</v>
      </c>
      <c r="I2003" s="20">
        <f>IFERROR(__xludf.DUMMYFUNCTION("""COMPUTED_VALUE"""),0.534)</f>
        <v>0.534</v>
      </c>
      <c r="J2003" s="20">
        <f>IFERROR(__xludf.DUMMYFUNCTION("""COMPUTED_VALUE"""),2002.0)</f>
        <v>2002</v>
      </c>
      <c r="K2003" s="20" t="b">
        <f>IFERROR(__xludf.DUMMYFUNCTION("""COMPUTED_VALUE"""),FALSE)</f>
        <v>0</v>
      </c>
      <c r="L2003" s="20" t="str">
        <f>IFERROR(__xludf.DUMMYFUNCTION("""COMPUTED_VALUE"""),"String;Dynamic Programming;Backtracking;Bit Manipulation;Bitmask;")</f>
        <v>String;Dynamic Programming;Backtracking;Bit Manipulation;Bitmask;</v>
      </c>
      <c r="M2003" s="20" t="b">
        <f>IFERROR(__xludf.DUMMYFUNCTION("""COMPUTED_VALUE"""),FALSE)</f>
        <v>0</v>
      </c>
      <c r="N2003" s="20" t="b">
        <f>IFERROR(__xludf.DUMMYFUNCTION("""COMPUTED_VALUE"""),FALSE)</f>
        <v>0</v>
      </c>
      <c r="O2003" s="20">
        <f>IFERROR(__xludf.DUMMYFUNCTION("""COMPUTED_VALUE"""),53.4210616029727)</f>
        <v>53.4210616</v>
      </c>
      <c r="P2003" s="20">
        <f>IFERROR(__xludf.DUMMYFUNCTION("""COMPUTED_VALUE"""),15670.0)</f>
        <v>15670</v>
      </c>
      <c r="Q2003" s="20">
        <f>IFERROR(__xludf.DUMMYFUNCTION("""COMPUTED_VALUE"""),29333.0)</f>
        <v>29333</v>
      </c>
    </row>
    <row r="2004">
      <c r="A2004" s="20">
        <f>IFERROR(__xludf.DUMMYFUNCTION("""COMPUTED_VALUE"""),2131.0)</f>
        <v>2131</v>
      </c>
      <c r="B2004" s="20" t="str">
        <f>IFERROR(__xludf.DUMMYFUNCTION("""COMPUTED_VALUE"""),"Smallest Missing Genetic Value in Each Subtree")</f>
        <v>Smallest Missing Genetic Value in Each Subtree</v>
      </c>
      <c r="C2004" s="20" t="str">
        <f>IFERROR(__xludf.DUMMYFUNCTION("""COMPUTED_VALUE"""),"smallest-missing-genetic-value-in-each-subtree")</f>
        <v>smallest-missing-genetic-value-in-each-subtree</v>
      </c>
      <c r="D2004" s="20" t="b">
        <f>IFERROR(__xludf.DUMMYFUNCTION("""COMPUTED_VALUE"""),FALSE)</f>
        <v>0</v>
      </c>
      <c r="E2004" s="20" t="str">
        <f>IFERROR(__xludf.DUMMYFUNCTION("""COMPUTED_VALUE"""),"Hard")</f>
        <v>Hard</v>
      </c>
      <c r="F2004" s="20">
        <f>IFERROR(__xludf.DUMMYFUNCTION("""COMPUTED_VALUE"""),350.0)</f>
        <v>350</v>
      </c>
      <c r="G2004" s="20">
        <f>IFERROR(__xludf.DUMMYFUNCTION("""COMPUTED_VALUE"""),19.0)</f>
        <v>19</v>
      </c>
      <c r="H2004" s="20" t="str">
        <f>IFERROR(__xludf.DUMMYFUNCTION("""COMPUTED_VALUE"""),"Algorithms")</f>
        <v>Algorithms</v>
      </c>
      <c r="I2004" s="20">
        <f>IFERROR(__xludf.DUMMYFUNCTION("""COMPUTED_VALUE"""),0.445)</f>
        <v>0.445</v>
      </c>
      <c r="J2004" s="20">
        <f>IFERROR(__xludf.DUMMYFUNCTION("""COMPUTED_VALUE"""),2003.0)</f>
        <v>2003</v>
      </c>
      <c r="K2004" s="20" t="b">
        <f>IFERROR(__xludf.DUMMYFUNCTION("""COMPUTED_VALUE"""),FALSE)</f>
        <v>0</v>
      </c>
      <c r="L2004" s="20" t="str">
        <f>IFERROR(__xludf.DUMMYFUNCTION("""COMPUTED_VALUE"""),"Dynamic Programming;Tree;Depth-First Search;Union Find;")</f>
        <v>Dynamic Programming;Tree;Depth-First Search;Union Find;</v>
      </c>
      <c r="M2004" s="20" t="b">
        <f>IFERROR(__xludf.DUMMYFUNCTION("""COMPUTED_VALUE"""),FALSE)</f>
        <v>0</v>
      </c>
      <c r="N2004" s="20" t="b">
        <f>IFERROR(__xludf.DUMMYFUNCTION("""COMPUTED_VALUE"""),FALSE)</f>
        <v>0</v>
      </c>
      <c r="O2004" s="20">
        <f>IFERROR(__xludf.DUMMYFUNCTION("""COMPUTED_VALUE"""),44.4759412705335)</f>
        <v>44.47594127</v>
      </c>
      <c r="P2004" s="20">
        <f>IFERROR(__xludf.DUMMYFUNCTION("""COMPUTED_VALUE"""),6119.0)</f>
        <v>6119</v>
      </c>
      <c r="Q2004" s="20">
        <f>IFERROR(__xludf.DUMMYFUNCTION("""COMPUTED_VALUE"""),13758.0)</f>
        <v>13758</v>
      </c>
    </row>
    <row r="2005">
      <c r="A2005" s="20">
        <f>IFERROR(__xludf.DUMMYFUNCTION("""COMPUTED_VALUE"""),2152.0)</f>
        <v>2152</v>
      </c>
      <c r="B2005" s="20" t="str">
        <f>IFERROR(__xludf.DUMMYFUNCTION("""COMPUTED_VALUE"""),"The Number of Seniors and Juniors to Join the Company")</f>
        <v>The Number of Seniors and Juniors to Join the Company</v>
      </c>
      <c r="C2005" s="20" t="str">
        <f>IFERROR(__xludf.DUMMYFUNCTION("""COMPUTED_VALUE"""),"the-number-of-seniors-and-juniors-to-join-the-company")</f>
        <v>the-number-of-seniors-and-juniors-to-join-the-company</v>
      </c>
      <c r="D2005" s="20" t="b">
        <f>IFERROR(__xludf.DUMMYFUNCTION("""COMPUTED_VALUE"""),TRUE)</f>
        <v>1</v>
      </c>
      <c r="E2005" s="20" t="str">
        <f>IFERROR(__xludf.DUMMYFUNCTION("""COMPUTED_VALUE"""),"Hard")</f>
        <v>Hard</v>
      </c>
      <c r="F2005" s="20">
        <f>IFERROR(__xludf.DUMMYFUNCTION("""COMPUTED_VALUE"""),80.0)</f>
        <v>80</v>
      </c>
      <c r="G2005" s="20">
        <f>IFERROR(__xludf.DUMMYFUNCTION("""COMPUTED_VALUE"""),11.0)</f>
        <v>11</v>
      </c>
      <c r="H2005" s="20" t="str">
        <f>IFERROR(__xludf.DUMMYFUNCTION("""COMPUTED_VALUE"""),"Database")</f>
        <v>Database</v>
      </c>
      <c r="I2005" s="20">
        <f>IFERROR(__xludf.DUMMYFUNCTION("""COMPUTED_VALUE"""),0.396)</f>
        <v>0.396</v>
      </c>
      <c r="J2005" s="20">
        <f>IFERROR(__xludf.DUMMYFUNCTION("""COMPUTED_VALUE"""),2004.0)</f>
        <v>2004</v>
      </c>
      <c r="K2005" s="20" t="b">
        <f>IFERROR(__xludf.DUMMYFUNCTION("""COMPUTED_VALUE"""),TRUE)</f>
        <v>1</v>
      </c>
      <c r="L2005" s="20" t="str">
        <f>IFERROR(__xludf.DUMMYFUNCTION("""COMPUTED_VALUE"""),"Database;")</f>
        <v>Database;</v>
      </c>
      <c r="M2005" s="20" t="b">
        <f>IFERROR(__xludf.DUMMYFUNCTION("""COMPUTED_VALUE"""),FALSE)</f>
        <v>0</v>
      </c>
      <c r="N2005" s="20" t="b">
        <f>IFERROR(__xludf.DUMMYFUNCTION("""COMPUTED_VALUE"""),FALSE)</f>
        <v>0</v>
      </c>
      <c r="O2005" s="20">
        <f>IFERROR(__xludf.DUMMYFUNCTION("""COMPUTED_VALUE"""),39.5883054892601)</f>
        <v>39.58830549</v>
      </c>
      <c r="P2005" s="20">
        <f>IFERROR(__xludf.DUMMYFUNCTION("""COMPUTED_VALUE"""),5308.0)</f>
        <v>5308</v>
      </c>
      <c r="Q2005" s="20">
        <f>IFERROR(__xludf.DUMMYFUNCTION("""COMPUTED_VALUE"""),13408.0)</f>
        <v>13408</v>
      </c>
    </row>
    <row r="2006">
      <c r="A2006" s="20">
        <f>IFERROR(__xludf.DUMMYFUNCTION("""COMPUTED_VALUE"""),2153.0)</f>
        <v>2153</v>
      </c>
      <c r="B2006" s="20" t="str">
        <f>IFERROR(__xludf.DUMMYFUNCTION("""COMPUTED_VALUE"""),"Subtree Removal Game with Fibonacci Tree")</f>
        <v>Subtree Removal Game with Fibonacci Tree</v>
      </c>
      <c r="C2006" s="20" t="str">
        <f>IFERROR(__xludf.DUMMYFUNCTION("""COMPUTED_VALUE"""),"subtree-removal-game-with-fibonacci-tree")</f>
        <v>subtree-removal-game-with-fibonacci-tree</v>
      </c>
      <c r="D2006" s="20" t="b">
        <f>IFERROR(__xludf.DUMMYFUNCTION("""COMPUTED_VALUE"""),TRUE)</f>
        <v>1</v>
      </c>
      <c r="E2006" s="20" t="str">
        <f>IFERROR(__xludf.DUMMYFUNCTION("""COMPUTED_VALUE"""),"Hard")</f>
        <v>Hard</v>
      </c>
      <c r="F2006" s="20">
        <f>IFERROR(__xludf.DUMMYFUNCTION("""COMPUTED_VALUE"""),11.0)</f>
        <v>11</v>
      </c>
      <c r="G2006" s="20">
        <f>IFERROR(__xludf.DUMMYFUNCTION("""COMPUTED_VALUE"""),35.0)</f>
        <v>35</v>
      </c>
      <c r="H2006" s="20" t="str">
        <f>IFERROR(__xludf.DUMMYFUNCTION("""COMPUTED_VALUE"""),"Algorithms")</f>
        <v>Algorithms</v>
      </c>
      <c r="I2006" s="20">
        <f>IFERROR(__xludf.DUMMYFUNCTION("""COMPUTED_VALUE"""),0.619)</f>
        <v>0.619</v>
      </c>
      <c r="J2006" s="20">
        <f>IFERROR(__xludf.DUMMYFUNCTION("""COMPUTED_VALUE"""),2005.0)</f>
        <v>2005</v>
      </c>
      <c r="K2006" s="20" t="b">
        <f>IFERROR(__xludf.DUMMYFUNCTION("""COMPUTED_VALUE"""),TRUE)</f>
        <v>1</v>
      </c>
      <c r="L2006" s="20" t="str">
        <f>IFERROR(__xludf.DUMMYFUNCTION("""COMPUTED_VALUE"""),"Math;Dynamic Programming;Tree;Binary Tree;Game Theory;")</f>
        <v>Math;Dynamic Programming;Tree;Binary Tree;Game Theory;</v>
      </c>
      <c r="M2006" s="20" t="b">
        <f>IFERROR(__xludf.DUMMYFUNCTION("""COMPUTED_VALUE"""),FALSE)</f>
        <v>0</v>
      </c>
      <c r="N2006" s="20" t="b">
        <f>IFERROR(__xludf.DUMMYFUNCTION("""COMPUTED_VALUE"""),FALSE)</f>
        <v>0</v>
      </c>
      <c r="O2006" s="20">
        <f>IFERROR(__xludf.DUMMYFUNCTION("""COMPUTED_VALUE"""),61.9122257053291)</f>
        <v>61.91222571</v>
      </c>
      <c r="P2006" s="20">
        <f>IFERROR(__xludf.DUMMYFUNCTION("""COMPUTED_VALUE"""),395.0)</f>
        <v>395</v>
      </c>
      <c r="Q2006" s="20">
        <f>IFERROR(__xludf.DUMMYFUNCTION("""COMPUTED_VALUE"""),638.0)</f>
        <v>638</v>
      </c>
    </row>
    <row r="2007">
      <c r="A2007" s="20">
        <f>IFERROR(__xludf.DUMMYFUNCTION("""COMPUTED_VALUE"""),2116.0)</f>
        <v>2116</v>
      </c>
      <c r="B2007" s="20" t="str">
        <f>IFERROR(__xludf.DUMMYFUNCTION("""COMPUTED_VALUE"""),"Count Number of Pairs With Absolute Difference K")</f>
        <v>Count Number of Pairs With Absolute Difference K</v>
      </c>
      <c r="C2007" s="20" t="str">
        <f>IFERROR(__xludf.DUMMYFUNCTION("""COMPUTED_VALUE"""),"count-number-of-pairs-with-absolute-difference-k")</f>
        <v>count-number-of-pairs-with-absolute-difference-k</v>
      </c>
      <c r="D2007" s="20" t="b">
        <f>IFERROR(__xludf.DUMMYFUNCTION("""COMPUTED_VALUE"""),FALSE)</f>
        <v>0</v>
      </c>
      <c r="E2007" s="20" t="str">
        <f>IFERROR(__xludf.DUMMYFUNCTION("""COMPUTED_VALUE"""),"Easy")</f>
        <v>Easy</v>
      </c>
      <c r="F2007" s="20">
        <f>IFERROR(__xludf.DUMMYFUNCTION("""COMPUTED_VALUE"""),1056.0)</f>
        <v>1056</v>
      </c>
      <c r="G2007" s="20">
        <f>IFERROR(__xludf.DUMMYFUNCTION("""COMPUTED_VALUE"""),22.0)</f>
        <v>22</v>
      </c>
      <c r="H2007" s="20" t="str">
        <f>IFERROR(__xludf.DUMMYFUNCTION("""COMPUTED_VALUE"""),"Algorithms")</f>
        <v>Algorithms</v>
      </c>
      <c r="I2007" s="20">
        <f>IFERROR(__xludf.DUMMYFUNCTION("""COMPUTED_VALUE"""),0.824)</f>
        <v>0.824</v>
      </c>
      <c r="J2007" s="20">
        <f>IFERROR(__xludf.DUMMYFUNCTION("""COMPUTED_VALUE"""),2006.0)</f>
        <v>2006</v>
      </c>
      <c r="K2007" s="20" t="b">
        <f>IFERROR(__xludf.DUMMYFUNCTION("""COMPUTED_VALUE"""),FALSE)</f>
        <v>0</v>
      </c>
      <c r="L2007" s="20" t="str">
        <f>IFERROR(__xludf.DUMMYFUNCTION("""COMPUTED_VALUE"""),"Array;Hash Table;Counting;")</f>
        <v>Array;Hash Table;Counting;</v>
      </c>
      <c r="M2007" s="20" t="b">
        <f>IFERROR(__xludf.DUMMYFUNCTION("""COMPUTED_VALUE"""),FALSE)</f>
        <v>0</v>
      </c>
      <c r="N2007" s="20" t="b">
        <f>IFERROR(__xludf.DUMMYFUNCTION("""COMPUTED_VALUE"""),FALSE)</f>
        <v>0</v>
      </c>
      <c r="O2007" s="20">
        <f>IFERROR(__xludf.DUMMYFUNCTION("""COMPUTED_VALUE"""),82.4085478507205)</f>
        <v>82.40854785</v>
      </c>
      <c r="P2007" s="20">
        <f>IFERROR(__xludf.DUMMYFUNCTION("""COMPUTED_VALUE"""),80283.0)</f>
        <v>80283</v>
      </c>
      <c r="Q2007" s="20">
        <f>IFERROR(__xludf.DUMMYFUNCTION("""COMPUTED_VALUE"""),97422.0)</f>
        <v>97422</v>
      </c>
    </row>
    <row r="2008">
      <c r="A2008" s="20">
        <f>IFERROR(__xludf.DUMMYFUNCTION("""COMPUTED_VALUE"""),2117.0)</f>
        <v>2117</v>
      </c>
      <c r="B2008" s="20" t="str">
        <f>IFERROR(__xludf.DUMMYFUNCTION("""COMPUTED_VALUE"""),"Find Original Array From Doubled Array")</f>
        <v>Find Original Array From Doubled Array</v>
      </c>
      <c r="C2008" s="20" t="str">
        <f>IFERROR(__xludf.DUMMYFUNCTION("""COMPUTED_VALUE"""),"find-original-array-from-doubled-array")</f>
        <v>find-original-array-from-doubled-array</v>
      </c>
      <c r="D2008" s="20" t="b">
        <f>IFERROR(__xludf.DUMMYFUNCTION("""COMPUTED_VALUE"""),FALSE)</f>
        <v>0</v>
      </c>
      <c r="E2008" s="20" t="str">
        <f>IFERROR(__xludf.DUMMYFUNCTION("""COMPUTED_VALUE"""),"Medium")</f>
        <v>Medium</v>
      </c>
      <c r="F2008" s="20">
        <f>IFERROR(__xludf.DUMMYFUNCTION("""COMPUTED_VALUE"""),2113.0)</f>
        <v>2113</v>
      </c>
      <c r="G2008" s="20">
        <f>IFERROR(__xludf.DUMMYFUNCTION("""COMPUTED_VALUE"""),106.0)</f>
        <v>106</v>
      </c>
      <c r="H2008" s="20" t="str">
        <f>IFERROR(__xludf.DUMMYFUNCTION("""COMPUTED_VALUE"""),"Algorithms")</f>
        <v>Algorithms</v>
      </c>
      <c r="I2008" s="20">
        <f>IFERROR(__xludf.DUMMYFUNCTION("""COMPUTED_VALUE"""),0.409)</f>
        <v>0.409</v>
      </c>
      <c r="J2008" s="20">
        <f>IFERROR(__xludf.DUMMYFUNCTION("""COMPUTED_VALUE"""),2007.0)</f>
        <v>2007</v>
      </c>
      <c r="K2008" s="20" t="b">
        <f>IFERROR(__xludf.DUMMYFUNCTION("""COMPUTED_VALUE"""),FALSE)</f>
        <v>0</v>
      </c>
      <c r="L2008" s="20" t="str">
        <f>IFERROR(__xludf.DUMMYFUNCTION("""COMPUTED_VALUE"""),"Array;Hash Table;Greedy;Sorting;")</f>
        <v>Array;Hash Table;Greedy;Sorting;</v>
      </c>
      <c r="M2008" s="20" t="b">
        <f>IFERROR(__xludf.DUMMYFUNCTION("""COMPUTED_VALUE"""),TRUE)</f>
        <v>1</v>
      </c>
      <c r="N2008" s="20" t="b">
        <f>IFERROR(__xludf.DUMMYFUNCTION("""COMPUTED_VALUE"""),FALSE)</f>
        <v>0</v>
      </c>
      <c r="O2008" s="20">
        <f>IFERROR(__xludf.DUMMYFUNCTION("""COMPUTED_VALUE"""),40.8633656325006)</f>
        <v>40.86336563</v>
      </c>
      <c r="P2008" s="20">
        <f>IFERROR(__xludf.DUMMYFUNCTION("""COMPUTED_VALUE"""),114916.0)</f>
        <v>114916</v>
      </c>
      <c r="Q2008" s="20">
        <f>IFERROR(__xludf.DUMMYFUNCTION("""COMPUTED_VALUE"""),281220.0)</f>
        <v>281220</v>
      </c>
    </row>
    <row r="2009">
      <c r="A2009" s="20">
        <f>IFERROR(__xludf.DUMMYFUNCTION("""COMPUTED_VALUE"""),2118.0)</f>
        <v>2118</v>
      </c>
      <c r="B2009" s="20" t="str">
        <f>IFERROR(__xludf.DUMMYFUNCTION("""COMPUTED_VALUE"""),"Maximum Earnings From Taxi")</f>
        <v>Maximum Earnings From Taxi</v>
      </c>
      <c r="C2009" s="20" t="str">
        <f>IFERROR(__xludf.DUMMYFUNCTION("""COMPUTED_VALUE"""),"maximum-earnings-from-taxi")</f>
        <v>maximum-earnings-from-taxi</v>
      </c>
      <c r="D2009" s="20" t="b">
        <f>IFERROR(__xludf.DUMMYFUNCTION("""COMPUTED_VALUE"""),FALSE)</f>
        <v>0</v>
      </c>
      <c r="E2009" s="20" t="str">
        <f>IFERROR(__xludf.DUMMYFUNCTION("""COMPUTED_VALUE"""),"Medium")</f>
        <v>Medium</v>
      </c>
      <c r="F2009" s="20">
        <f>IFERROR(__xludf.DUMMYFUNCTION("""COMPUTED_VALUE"""),892.0)</f>
        <v>892</v>
      </c>
      <c r="G2009" s="20">
        <f>IFERROR(__xludf.DUMMYFUNCTION("""COMPUTED_VALUE"""),17.0)</f>
        <v>17</v>
      </c>
      <c r="H2009" s="20" t="str">
        <f>IFERROR(__xludf.DUMMYFUNCTION("""COMPUTED_VALUE"""),"Algorithms")</f>
        <v>Algorithms</v>
      </c>
      <c r="I2009" s="20">
        <f>IFERROR(__xludf.DUMMYFUNCTION("""COMPUTED_VALUE"""),0.435)</f>
        <v>0.435</v>
      </c>
      <c r="J2009" s="20">
        <f>IFERROR(__xludf.DUMMYFUNCTION("""COMPUTED_VALUE"""),2008.0)</f>
        <v>2008</v>
      </c>
      <c r="K2009" s="20" t="b">
        <f>IFERROR(__xludf.DUMMYFUNCTION("""COMPUTED_VALUE"""),FALSE)</f>
        <v>0</v>
      </c>
      <c r="L2009" s="20" t="str">
        <f>IFERROR(__xludf.DUMMYFUNCTION("""COMPUTED_VALUE"""),"Array;Binary Search;Dynamic Programming;Sorting;")</f>
        <v>Array;Binary Search;Dynamic Programming;Sorting;</v>
      </c>
      <c r="M2009" s="20" t="b">
        <f>IFERROR(__xludf.DUMMYFUNCTION("""COMPUTED_VALUE"""),FALSE)</f>
        <v>0</v>
      </c>
      <c r="N2009" s="20" t="b">
        <f>IFERROR(__xludf.DUMMYFUNCTION("""COMPUTED_VALUE"""),FALSE)</f>
        <v>0</v>
      </c>
      <c r="O2009" s="20">
        <f>IFERROR(__xludf.DUMMYFUNCTION("""COMPUTED_VALUE"""),43.4903837709668)</f>
        <v>43.49038377</v>
      </c>
      <c r="P2009" s="20">
        <f>IFERROR(__xludf.DUMMYFUNCTION("""COMPUTED_VALUE"""),19809.0)</f>
        <v>19809</v>
      </c>
      <c r="Q2009" s="20">
        <f>IFERROR(__xludf.DUMMYFUNCTION("""COMPUTED_VALUE"""),45546.0)</f>
        <v>45546</v>
      </c>
    </row>
    <row r="2010">
      <c r="A2010" s="20">
        <f>IFERROR(__xludf.DUMMYFUNCTION("""COMPUTED_VALUE"""),2119.0)</f>
        <v>2119</v>
      </c>
      <c r="B2010" s="20" t="str">
        <f>IFERROR(__xludf.DUMMYFUNCTION("""COMPUTED_VALUE"""),"Minimum Number of Operations to Make Array Continuous")</f>
        <v>Minimum Number of Operations to Make Array Continuous</v>
      </c>
      <c r="C2010" s="20" t="str">
        <f>IFERROR(__xludf.DUMMYFUNCTION("""COMPUTED_VALUE"""),"minimum-number-of-operations-to-make-array-continuous")</f>
        <v>minimum-number-of-operations-to-make-array-continuous</v>
      </c>
      <c r="D2010" s="20" t="b">
        <f>IFERROR(__xludf.DUMMYFUNCTION("""COMPUTED_VALUE"""),FALSE)</f>
        <v>0</v>
      </c>
      <c r="E2010" s="20" t="str">
        <f>IFERROR(__xludf.DUMMYFUNCTION("""COMPUTED_VALUE"""),"Hard")</f>
        <v>Hard</v>
      </c>
      <c r="F2010" s="20">
        <f>IFERROR(__xludf.DUMMYFUNCTION("""COMPUTED_VALUE"""),636.0)</f>
        <v>636</v>
      </c>
      <c r="G2010" s="20">
        <f>IFERROR(__xludf.DUMMYFUNCTION("""COMPUTED_VALUE"""),7.0)</f>
        <v>7</v>
      </c>
      <c r="H2010" s="20" t="str">
        <f>IFERROR(__xludf.DUMMYFUNCTION("""COMPUTED_VALUE"""),"Algorithms")</f>
        <v>Algorithms</v>
      </c>
      <c r="I2010" s="20">
        <f>IFERROR(__xludf.DUMMYFUNCTION("""COMPUTED_VALUE"""),0.457)</f>
        <v>0.457</v>
      </c>
      <c r="J2010" s="20">
        <f>IFERROR(__xludf.DUMMYFUNCTION("""COMPUTED_VALUE"""),2009.0)</f>
        <v>2009</v>
      </c>
      <c r="K2010" s="20" t="b">
        <f>IFERROR(__xludf.DUMMYFUNCTION("""COMPUTED_VALUE"""),FALSE)</f>
        <v>0</v>
      </c>
      <c r="L2010" s="20" t="str">
        <f>IFERROR(__xludf.DUMMYFUNCTION("""COMPUTED_VALUE"""),"Array;Binary Search;")</f>
        <v>Array;Binary Search;</v>
      </c>
      <c r="M2010" s="20" t="b">
        <f>IFERROR(__xludf.DUMMYFUNCTION("""COMPUTED_VALUE"""),FALSE)</f>
        <v>0</v>
      </c>
      <c r="N2010" s="20" t="b">
        <f>IFERROR(__xludf.DUMMYFUNCTION("""COMPUTED_VALUE"""),FALSE)</f>
        <v>0</v>
      </c>
      <c r="O2010" s="20">
        <f>IFERROR(__xludf.DUMMYFUNCTION("""COMPUTED_VALUE"""),45.7114026236125)</f>
        <v>45.71140262</v>
      </c>
      <c r="P2010" s="20">
        <f>IFERROR(__xludf.DUMMYFUNCTION("""COMPUTED_VALUE"""),9966.0)</f>
        <v>9966</v>
      </c>
      <c r="Q2010" s="20">
        <f>IFERROR(__xludf.DUMMYFUNCTION("""COMPUTED_VALUE"""),21802.0)</f>
        <v>21802</v>
      </c>
    </row>
    <row r="2011">
      <c r="A2011" s="20">
        <f>IFERROR(__xludf.DUMMYFUNCTION("""COMPUTED_VALUE"""),2158.0)</f>
        <v>2158</v>
      </c>
      <c r="B2011" s="20" t="str">
        <f>IFERROR(__xludf.DUMMYFUNCTION("""COMPUTED_VALUE"""),"The Number of Seniors and Juniors to Join the Company II")</f>
        <v>The Number of Seniors and Juniors to Join the Company II</v>
      </c>
      <c r="C2011" s="20" t="str">
        <f>IFERROR(__xludf.DUMMYFUNCTION("""COMPUTED_VALUE"""),"the-number-of-seniors-and-juniors-to-join-the-company-ii")</f>
        <v>the-number-of-seniors-and-juniors-to-join-the-company-ii</v>
      </c>
      <c r="D2011" s="20" t="b">
        <f>IFERROR(__xludf.DUMMYFUNCTION("""COMPUTED_VALUE"""),TRUE)</f>
        <v>1</v>
      </c>
      <c r="E2011" s="20" t="str">
        <f>IFERROR(__xludf.DUMMYFUNCTION("""COMPUTED_VALUE"""),"Hard")</f>
        <v>Hard</v>
      </c>
      <c r="F2011" s="20">
        <f>IFERROR(__xludf.DUMMYFUNCTION("""COMPUTED_VALUE"""),23.0)</f>
        <v>23</v>
      </c>
      <c r="G2011" s="20">
        <f>IFERROR(__xludf.DUMMYFUNCTION("""COMPUTED_VALUE"""),9.0)</f>
        <v>9</v>
      </c>
      <c r="H2011" s="20" t="str">
        <f>IFERROR(__xludf.DUMMYFUNCTION("""COMPUTED_VALUE"""),"Database")</f>
        <v>Database</v>
      </c>
      <c r="I2011" s="20">
        <f>IFERROR(__xludf.DUMMYFUNCTION("""COMPUTED_VALUE"""),0.584)</f>
        <v>0.584</v>
      </c>
      <c r="J2011" s="20">
        <f>IFERROR(__xludf.DUMMYFUNCTION("""COMPUTED_VALUE"""),2010.0)</f>
        <v>2010</v>
      </c>
      <c r="K2011" s="20" t="b">
        <f>IFERROR(__xludf.DUMMYFUNCTION("""COMPUTED_VALUE"""),TRUE)</f>
        <v>1</v>
      </c>
      <c r="L2011" s="20" t="str">
        <f>IFERROR(__xludf.DUMMYFUNCTION("""COMPUTED_VALUE"""),"Database;")</f>
        <v>Database;</v>
      </c>
      <c r="M2011" s="20" t="b">
        <f>IFERROR(__xludf.DUMMYFUNCTION("""COMPUTED_VALUE"""),FALSE)</f>
        <v>0</v>
      </c>
      <c r="N2011" s="20" t="b">
        <f>IFERROR(__xludf.DUMMYFUNCTION("""COMPUTED_VALUE"""),FALSE)</f>
        <v>0</v>
      </c>
      <c r="O2011" s="20">
        <f>IFERROR(__xludf.DUMMYFUNCTION("""COMPUTED_VALUE"""),58.3822007588823)</f>
        <v>58.38220076</v>
      </c>
      <c r="P2011" s="20">
        <f>IFERROR(__xludf.DUMMYFUNCTION("""COMPUTED_VALUE"""),3385.0)</f>
        <v>3385</v>
      </c>
      <c r="Q2011" s="20">
        <f>IFERROR(__xludf.DUMMYFUNCTION("""COMPUTED_VALUE"""),5798.0)</f>
        <v>5798</v>
      </c>
    </row>
    <row r="2012">
      <c r="A2012" s="20">
        <f>IFERROR(__xludf.DUMMYFUNCTION("""COMPUTED_VALUE"""),2137.0)</f>
        <v>2137</v>
      </c>
      <c r="B2012" s="20" t="str">
        <f>IFERROR(__xludf.DUMMYFUNCTION("""COMPUTED_VALUE"""),"Final Value of Variable After Performing Operations")</f>
        <v>Final Value of Variable After Performing Operations</v>
      </c>
      <c r="C2012" s="20" t="str">
        <f>IFERROR(__xludf.DUMMYFUNCTION("""COMPUTED_VALUE"""),"final-value-of-variable-after-performing-operations")</f>
        <v>final-value-of-variable-after-performing-operations</v>
      </c>
      <c r="D2012" s="20" t="b">
        <f>IFERROR(__xludf.DUMMYFUNCTION("""COMPUTED_VALUE"""),FALSE)</f>
        <v>0</v>
      </c>
      <c r="E2012" s="20" t="str">
        <f>IFERROR(__xludf.DUMMYFUNCTION("""COMPUTED_VALUE"""),"Easy")</f>
        <v>Easy</v>
      </c>
      <c r="F2012" s="20">
        <f>IFERROR(__xludf.DUMMYFUNCTION("""COMPUTED_VALUE"""),953.0)</f>
        <v>953</v>
      </c>
      <c r="G2012" s="20">
        <f>IFERROR(__xludf.DUMMYFUNCTION("""COMPUTED_VALUE"""),136.0)</f>
        <v>136</v>
      </c>
      <c r="H2012" s="20" t="str">
        <f>IFERROR(__xludf.DUMMYFUNCTION("""COMPUTED_VALUE"""),"Algorithms")</f>
        <v>Algorithms</v>
      </c>
      <c r="I2012" s="20">
        <f>IFERROR(__xludf.DUMMYFUNCTION("""COMPUTED_VALUE"""),0.887)</f>
        <v>0.887</v>
      </c>
      <c r="J2012" s="20">
        <f>IFERROR(__xludf.DUMMYFUNCTION("""COMPUTED_VALUE"""),2011.0)</f>
        <v>2011</v>
      </c>
      <c r="K2012" s="20" t="b">
        <f>IFERROR(__xludf.DUMMYFUNCTION("""COMPUTED_VALUE"""),FALSE)</f>
        <v>0</v>
      </c>
      <c r="L2012" s="20" t="str">
        <f>IFERROR(__xludf.DUMMYFUNCTION("""COMPUTED_VALUE"""),"Array;String;Simulation;")</f>
        <v>Array;String;Simulation;</v>
      </c>
      <c r="M2012" s="20" t="b">
        <f>IFERROR(__xludf.DUMMYFUNCTION("""COMPUTED_VALUE"""),FALSE)</f>
        <v>0</v>
      </c>
      <c r="N2012" s="20" t="b">
        <f>IFERROR(__xludf.DUMMYFUNCTION("""COMPUTED_VALUE"""),FALSE)</f>
        <v>0</v>
      </c>
      <c r="O2012" s="20">
        <f>IFERROR(__xludf.DUMMYFUNCTION("""COMPUTED_VALUE"""),88.7294393683462)</f>
        <v>88.72943937</v>
      </c>
      <c r="P2012" s="20">
        <f>IFERROR(__xludf.DUMMYFUNCTION("""COMPUTED_VALUE"""),182273.0)</f>
        <v>182273</v>
      </c>
      <c r="Q2012" s="20">
        <f>IFERROR(__xludf.DUMMYFUNCTION("""COMPUTED_VALUE"""),205426.0)</f>
        <v>205426</v>
      </c>
    </row>
    <row r="2013">
      <c r="A2013" s="20">
        <f>IFERROR(__xludf.DUMMYFUNCTION("""COMPUTED_VALUE"""),2138.0)</f>
        <v>2138</v>
      </c>
      <c r="B2013" s="20" t="str">
        <f>IFERROR(__xludf.DUMMYFUNCTION("""COMPUTED_VALUE"""),"Sum of Beauty in the Array")</f>
        <v>Sum of Beauty in the Array</v>
      </c>
      <c r="C2013" s="20" t="str">
        <f>IFERROR(__xludf.DUMMYFUNCTION("""COMPUTED_VALUE"""),"sum-of-beauty-in-the-array")</f>
        <v>sum-of-beauty-in-the-array</v>
      </c>
      <c r="D2013" s="20" t="b">
        <f>IFERROR(__xludf.DUMMYFUNCTION("""COMPUTED_VALUE"""),FALSE)</f>
        <v>0</v>
      </c>
      <c r="E2013" s="20" t="str">
        <f>IFERROR(__xludf.DUMMYFUNCTION("""COMPUTED_VALUE"""),"Medium")</f>
        <v>Medium</v>
      </c>
      <c r="F2013" s="20">
        <f>IFERROR(__xludf.DUMMYFUNCTION("""COMPUTED_VALUE"""),426.0)</f>
        <v>426</v>
      </c>
      <c r="G2013" s="20">
        <f>IFERROR(__xludf.DUMMYFUNCTION("""COMPUTED_VALUE"""),42.0)</f>
        <v>42</v>
      </c>
      <c r="H2013" s="20" t="str">
        <f>IFERROR(__xludf.DUMMYFUNCTION("""COMPUTED_VALUE"""),"Algorithms")</f>
        <v>Algorithms</v>
      </c>
      <c r="I2013" s="20">
        <f>IFERROR(__xludf.DUMMYFUNCTION("""COMPUTED_VALUE"""),0.468)</f>
        <v>0.468</v>
      </c>
      <c r="J2013" s="20">
        <f>IFERROR(__xludf.DUMMYFUNCTION("""COMPUTED_VALUE"""),2012.0)</f>
        <v>2012</v>
      </c>
      <c r="K2013" s="20" t="b">
        <f>IFERROR(__xludf.DUMMYFUNCTION("""COMPUTED_VALUE"""),FALSE)</f>
        <v>0</v>
      </c>
      <c r="L2013" s="20" t="str">
        <f>IFERROR(__xludf.DUMMYFUNCTION("""COMPUTED_VALUE"""),"Array;")</f>
        <v>Array;</v>
      </c>
      <c r="M2013" s="20" t="b">
        <f>IFERROR(__xludf.DUMMYFUNCTION("""COMPUTED_VALUE"""),FALSE)</f>
        <v>0</v>
      </c>
      <c r="N2013" s="20" t="b">
        <f>IFERROR(__xludf.DUMMYFUNCTION("""COMPUTED_VALUE"""),FALSE)</f>
        <v>0</v>
      </c>
      <c r="O2013" s="20">
        <f>IFERROR(__xludf.DUMMYFUNCTION("""COMPUTED_VALUE"""),46.7764540995094)</f>
        <v>46.7764541</v>
      </c>
      <c r="P2013" s="20">
        <f>IFERROR(__xludf.DUMMYFUNCTION("""COMPUTED_VALUE"""),17355.0)</f>
        <v>17355</v>
      </c>
      <c r="Q2013" s="20">
        <f>IFERROR(__xludf.DUMMYFUNCTION("""COMPUTED_VALUE"""),37102.0)</f>
        <v>37102</v>
      </c>
    </row>
    <row r="2014">
      <c r="A2014" s="20">
        <f>IFERROR(__xludf.DUMMYFUNCTION("""COMPUTED_VALUE"""),2139.0)</f>
        <v>2139</v>
      </c>
      <c r="B2014" s="20" t="str">
        <f>IFERROR(__xludf.DUMMYFUNCTION("""COMPUTED_VALUE"""),"Detect Squares")</f>
        <v>Detect Squares</v>
      </c>
      <c r="C2014" s="20" t="str">
        <f>IFERROR(__xludf.DUMMYFUNCTION("""COMPUTED_VALUE"""),"detect-squares")</f>
        <v>detect-squares</v>
      </c>
      <c r="D2014" s="20" t="b">
        <f>IFERROR(__xludf.DUMMYFUNCTION("""COMPUTED_VALUE"""),FALSE)</f>
        <v>0</v>
      </c>
      <c r="E2014" s="20" t="str">
        <f>IFERROR(__xludf.DUMMYFUNCTION("""COMPUTED_VALUE"""),"Medium")</f>
        <v>Medium</v>
      </c>
      <c r="F2014" s="20">
        <f>IFERROR(__xludf.DUMMYFUNCTION("""COMPUTED_VALUE"""),585.0)</f>
        <v>585</v>
      </c>
      <c r="G2014" s="20">
        <f>IFERROR(__xludf.DUMMYFUNCTION("""COMPUTED_VALUE"""),161.0)</f>
        <v>161</v>
      </c>
      <c r="H2014" s="20" t="str">
        <f>IFERROR(__xludf.DUMMYFUNCTION("""COMPUTED_VALUE"""),"Algorithms")</f>
        <v>Algorithms</v>
      </c>
      <c r="I2014" s="20">
        <f>IFERROR(__xludf.DUMMYFUNCTION("""COMPUTED_VALUE"""),0.502)</f>
        <v>0.502</v>
      </c>
      <c r="J2014" s="20">
        <f>IFERROR(__xludf.DUMMYFUNCTION("""COMPUTED_VALUE"""),2013.0)</f>
        <v>2013</v>
      </c>
      <c r="K2014" s="20" t="b">
        <f>IFERROR(__xludf.DUMMYFUNCTION("""COMPUTED_VALUE"""),FALSE)</f>
        <v>0</v>
      </c>
      <c r="L2014" s="20" t="str">
        <f>IFERROR(__xludf.DUMMYFUNCTION("""COMPUTED_VALUE"""),"Array;Hash Table;Design;Counting;")</f>
        <v>Array;Hash Table;Design;Counting;</v>
      </c>
      <c r="M2014" s="20" t="b">
        <f>IFERROR(__xludf.DUMMYFUNCTION("""COMPUTED_VALUE"""),FALSE)</f>
        <v>0</v>
      </c>
      <c r="N2014" s="20" t="b">
        <f>IFERROR(__xludf.DUMMYFUNCTION("""COMPUTED_VALUE"""),FALSE)</f>
        <v>0</v>
      </c>
      <c r="O2014" s="20">
        <f>IFERROR(__xludf.DUMMYFUNCTION("""COMPUTED_VALUE"""),50.1868405627198)</f>
        <v>50.18684056</v>
      </c>
      <c r="P2014" s="20">
        <f>IFERROR(__xludf.DUMMYFUNCTION("""COMPUTED_VALUE"""),41097.0)</f>
        <v>41097</v>
      </c>
      <c r="Q2014" s="20">
        <f>IFERROR(__xludf.DUMMYFUNCTION("""COMPUTED_VALUE"""),81888.0)</f>
        <v>81888</v>
      </c>
    </row>
    <row r="2015">
      <c r="A2015" s="20">
        <f>IFERROR(__xludf.DUMMYFUNCTION("""COMPUTED_VALUE"""),2140.0)</f>
        <v>2140</v>
      </c>
      <c r="B2015" s="20" t="str">
        <f>IFERROR(__xludf.DUMMYFUNCTION("""COMPUTED_VALUE"""),"Longest Subsequence Repeated k Times")</f>
        <v>Longest Subsequence Repeated k Times</v>
      </c>
      <c r="C2015" s="20" t="str">
        <f>IFERROR(__xludf.DUMMYFUNCTION("""COMPUTED_VALUE"""),"longest-subsequence-repeated-k-times")</f>
        <v>longest-subsequence-repeated-k-times</v>
      </c>
      <c r="D2015" s="20" t="b">
        <f>IFERROR(__xludf.DUMMYFUNCTION("""COMPUTED_VALUE"""),FALSE)</f>
        <v>0</v>
      </c>
      <c r="E2015" s="20" t="str">
        <f>IFERROR(__xludf.DUMMYFUNCTION("""COMPUTED_VALUE"""),"Hard")</f>
        <v>Hard</v>
      </c>
      <c r="F2015" s="20">
        <f>IFERROR(__xludf.DUMMYFUNCTION("""COMPUTED_VALUE"""),325.0)</f>
        <v>325</v>
      </c>
      <c r="G2015" s="20">
        <f>IFERROR(__xludf.DUMMYFUNCTION("""COMPUTED_VALUE"""),63.0)</f>
        <v>63</v>
      </c>
      <c r="H2015" s="20" t="str">
        <f>IFERROR(__xludf.DUMMYFUNCTION("""COMPUTED_VALUE"""),"Algorithms")</f>
        <v>Algorithms</v>
      </c>
      <c r="I2015" s="20">
        <f>IFERROR(__xludf.DUMMYFUNCTION("""COMPUTED_VALUE"""),0.556)</f>
        <v>0.556</v>
      </c>
      <c r="J2015" s="20">
        <f>IFERROR(__xludf.DUMMYFUNCTION("""COMPUTED_VALUE"""),2014.0)</f>
        <v>2014</v>
      </c>
      <c r="K2015" s="20" t="b">
        <f>IFERROR(__xludf.DUMMYFUNCTION("""COMPUTED_VALUE"""),FALSE)</f>
        <v>0</v>
      </c>
      <c r="L2015" s="20" t="str">
        <f>IFERROR(__xludf.DUMMYFUNCTION("""COMPUTED_VALUE"""),"String;Backtracking;Greedy;Counting;Enumeration;")</f>
        <v>String;Backtracking;Greedy;Counting;Enumeration;</v>
      </c>
      <c r="M2015" s="20" t="b">
        <f>IFERROR(__xludf.DUMMYFUNCTION("""COMPUTED_VALUE"""),FALSE)</f>
        <v>0</v>
      </c>
      <c r="N2015" s="20" t="b">
        <f>IFERROR(__xludf.DUMMYFUNCTION("""COMPUTED_VALUE"""),FALSE)</f>
        <v>0</v>
      </c>
      <c r="O2015" s="20">
        <f>IFERROR(__xludf.DUMMYFUNCTION("""COMPUTED_VALUE"""),55.608296357445)</f>
        <v>55.60829636</v>
      </c>
      <c r="P2015" s="20">
        <f>IFERROR(__xludf.DUMMYFUNCTION("""COMPUTED_VALUE"""),5389.0)</f>
        <v>5389</v>
      </c>
      <c r="Q2015" s="20">
        <f>IFERROR(__xludf.DUMMYFUNCTION("""COMPUTED_VALUE"""),9691.0)</f>
        <v>9691</v>
      </c>
    </row>
    <row r="2016">
      <c r="A2016" s="20">
        <f>IFERROR(__xludf.DUMMYFUNCTION("""COMPUTED_VALUE"""),2142.0)</f>
        <v>2142</v>
      </c>
      <c r="B2016" s="20" t="str">
        <f>IFERROR(__xludf.DUMMYFUNCTION("""COMPUTED_VALUE"""),"Average Height of Buildings in Each Segment")</f>
        <v>Average Height of Buildings in Each Segment</v>
      </c>
      <c r="C2016" s="20" t="str">
        <f>IFERROR(__xludf.DUMMYFUNCTION("""COMPUTED_VALUE"""),"average-height-of-buildings-in-each-segment")</f>
        <v>average-height-of-buildings-in-each-segment</v>
      </c>
      <c r="D2016" s="20" t="b">
        <f>IFERROR(__xludf.DUMMYFUNCTION("""COMPUTED_VALUE"""),TRUE)</f>
        <v>1</v>
      </c>
      <c r="E2016" s="20" t="str">
        <f>IFERROR(__xludf.DUMMYFUNCTION("""COMPUTED_VALUE"""),"Medium")</f>
        <v>Medium</v>
      </c>
      <c r="F2016" s="20">
        <f>IFERROR(__xludf.DUMMYFUNCTION("""COMPUTED_VALUE"""),36.0)</f>
        <v>36</v>
      </c>
      <c r="G2016" s="20">
        <f>IFERROR(__xludf.DUMMYFUNCTION("""COMPUTED_VALUE"""),22.0)</f>
        <v>22</v>
      </c>
      <c r="H2016" s="20" t="str">
        <f>IFERROR(__xludf.DUMMYFUNCTION("""COMPUTED_VALUE"""),"Algorithms")</f>
        <v>Algorithms</v>
      </c>
      <c r="I2016" s="20">
        <f>IFERROR(__xludf.DUMMYFUNCTION("""COMPUTED_VALUE"""),0.583)</f>
        <v>0.583</v>
      </c>
      <c r="J2016" s="20">
        <f>IFERROR(__xludf.DUMMYFUNCTION("""COMPUTED_VALUE"""),2015.0)</f>
        <v>2015</v>
      </c>
      <c r="K2016" s="20" t="b">
        <f>IFERROR(__xludf.DUMMYFUNCTION("""COMPUTED_VALUE"""),TRUE)</f>
        <v>1</v>
      </c>
      <c r="L2016" s="20" t="str">
        <f>IFERROR(__xludf.DUMMYFUNCTION("""COMPUTED_VALUE"""),"Array;Greedy;Sorting;Heap (Priority Queue);")</f>
        <v>Array;Greedy;Sorting;Heap (Priority Queue);</v>
      </c>
      <c r="M2016" s="20" t="b">
        <f>IFERROR(__xludf.DUMMYFUNCTION("""COMPUTED_VALUE"""),FALSE)</f>
        <v>0</v>
      </c>
      <c r="N2016" s="20" t="b">
        <f>IFERROR(__xludf.DUMMYFUNCTION("""COMPUTED_VALUE"""),FALSE)</f>
        <v>0</v>
      </c>
      <c r="O2016" s="20">
        <f>IFERROR(__xludf.DUMMYFUNCTION("""COMPUTED_VALUE"""),58.3401807723911)</f>
        <v>58.34018077</v>
      </c>
      <c r="P2016" s="20">
        <f>IFERROR(__xludf.DUMMYFUNCTION("""COMPUTED_VALUE"""),1420.0)</f>
        <v>1420</v>
      </c>
      <c r="Q2016" s="20">
        <f>IFERROR(__xludf.DUMMYFUNCTION("""COMPUTED_VALUE"""),2434.0)</f>
        <v>2434</v>
      </c>
    </row>
    <row r="2017">
      <c r="A2017" s="20">
        <f>IFERROR(__xludf.DUMMYFUNCTION("""COMPUTED_VALUE"""),2144.0)</f>
        <v>2144</v>
      </c>
      <c r="B2017" s="20" t="str">
        <f>IFERROR(__xludf.DUMMYFUNCTION("""COMPUTED_VALUE"""),"Maximum Difference Between Increasing Elements")</f>
        <v>Maximum Difference Between Increasing Elements</v>
      </c>
      <c r="C2017" s="20" t="str">
        <f>IFERROR(__xludf.DUMMYFUNCTION("""COMPUTED_VALUE"""),"maximum-difference-between-increasing-elements")</f>
        <v>maximum-difference-between-increasing-elements</v>
      </c>
      <c r="D2017" s="20" t="b">
        <f>IFERROR(__xludf.DUMMYFUNCTION("""COMPUTED_VALUE"""),FALSE)</f>
        <v>0</v>
      </c>
      <c r="E2017" s="20" t="str">
        <f>IFERROR(__xludf.DUMMYFUNCTION("""COMPUTED_VALUE"""),"Easy")</f>
        <v>Easy</v>
      </c>
      <c r="F2017" s="20">
        <f>IFERROR(__xludf.DUMMYFUNCTION("""COMPUTED_VALUE"""),694.0)</f>
        <v>694</v>
      </c>
      <c r="G2017" s="20">
        <f>IFERROR(__xludf.DUMMYFUNCTION("""COMPUTED_VALUE"""),24.0)</f>
        <v>24</v>
      </c>
      <c r="H2017" s="20" t="str">
        <f>IFERROR(__xludf.DUMMYFUNCTION("""COMPUTED_VALUE"""),"Algorithms")</f>
        <v>Algorithms</v>
      </c>
      <c r="I2017" s="20">
        <f>IFERROR(__xludf.DUMMYFUNCTION("""COMPUTED_VALUE"""),0.537)</f>
        <v>0.537</v>
      </c>
      <c r="J2017" s="20">
        <f>IFERROR(__xludf.DUMMYFUNCTION("""COMPUTED_VALUE"""),2016.0)</f>
        <v>2016</v>
      </c>
      <c r="K2017" s="20" t="b">
        <f>IFERROR(__xludf.DUMMYFUNCTION("""COMPUTED_VALUE"""),FALSE)</f>
        <v>0</v>
      </c>
      <c r="L2017" s="20" t="str">
        <f>IFERROR(__xludf.DUMMYFUNCTION("""COMPUTED_VALUE"""),"Array;")</f>
        <v>Array;</v>
      </c>
      <c r="M2017" s="20" t="b">
        <f>IFERROR(__xludf.DUMMYFUNCTION("""COMPUTED_VALUE"""),FALSE)</f>
        <v>0</v>
      </c>
      <c r="N2017" s="20" t="b">
        <f>IFERROR(__xludf.DUMMYFUNCTION("""COMPUTED_VALUE"""),FALSE)</f>
        <v>0</v>
      </c>
      <c r="O2017" s="20">
        <f>IFERROR(__xludf.DUMMYFUNCTION("""COMPUTED_VALUE"""),53.6557091993044)</f>
        <v>53.6557092</v>
      </c>
      <c r="P2017" s="20">
        <f>IFERROR(__xludf.DUMMYFUNCTION("""COMPUTED_VALUE"""),51839.0)</f>
        <v>51839</v>
      </c>
      <c r="Q2017" s="20">
        <f>IFERROR(__xludf.DUMMYFUNCTION("""COMPUTED_VALUE"""),96615.0)</f>
        <v>96615</v>
      </c>
    </row>
    <row r="2018">
      <c r="A2018" s="20">
        <f>IFERROR(__xludf.DUMMYFUNCTION("""COMPUTED_VALUE"""),2145.0)</f>
        <v>2145</v>
      </c>
      <c r="B2018" s="20" t="str">
        <f>IFERROR(__xludf.DUMMYFUNCTION("""COMPUTED_VALUE"""),"Grid Game")</f>
        <v>Grid Game</v>
      </c>
      <c r="C2018" s="20" t="str">
        <f>IFERROR(__xludf.DUMMYFUNCTION("""COMPUTED_VALUE"""),"grid-game")</f>
        <v>grid-game</v>
      </c>
      <c r="D2018" s="20" t="b">
        <f>IFERROR(__xludf.DUMMYFUNCTION("""COMPUTED_VALUE"""),FALSE)</f>
        <v>0</v>
      </c>
      <c r="E2018" s="20" t="str">
        <f>IFERROR(__xludf.DUMMYFUNCTION("""COMPUTED_VALUE"""),"Medium")</f>
        <v>Medium</v>
      </c>
      <c r="F2018" s="20">
        <f>IFERROR(__xludf.DUMMYFUNCTION("""COMPUTED_VALUE"""),572.0)</f>
        <v>572</v>
      </c>
      <c r="G2018" s="20">
        <f>IFERROR(__xludf.DUMMYFUNCTION("""COMPUTED_VALUE"""),16.0)</f>
        <v>16</v>
      </c>
      <c r="H2018" s="20" t="str">
        <f>IFERROR(__xludf.DUMMYFUNCTION("""COMPUTED_VALUE"""),"Algorithms")</f>
        <v>Algorithms</v>
      </c>
      <c r="I2018" s="20">
        <f>IFERROR(__xludf.DUMMYFUNCTION("""COMPUTED_VALUE"""),0.431)</f>
        <v>0.431</v>
      </c>
      <c r="J2018" s="20">
        <f>IFERROR(__xludf.DUMMYFUNCTION("""COMPUTED_VALUE"""),2017.0)</f>
        <v>2017</v>
      </c>
      <c r="K2018" s="20" t="b">
        <f>IFERROR(__xludf.DUMMYFUNCTION("""COMPUTED_VALUE"""),FALSE)</f>
        <v>0</v>
      </c>
      <c r="L2018" s="20" t="str">
        <f>IFERROR(__xludf.DUMMYFUNCTION("""COMPUTED_VALUE"""),"Array;Matrix;Prefix Sum;")</f>
        <v>Array;Matrix;Prefix Sum;</v>
      </c>
      <c r="M2018" s="20" t="b">
        <f>IFERROR(__xludf.DUMMYFUNCTION("""COMPUTED_VALUE"""),FALSE)</f>
        <v>0</v>
      </c>
      <c r="N2018" s="20" t="b">
        <f>IFERROR(__xludf.DUMMYFUNCTION("""COMPUTED_VALUE"""),FALSE)</f>
        <v>0</v>
      </c>
      <c r="O2018" s="20">
        <f>IFERROR(__xludf.DUMMYFUNCTION("""COMPUTED_VALUE"""),43.0989708569779)</f>
        <v>43.09897086</v>
      </c>
      <c r="P2018" s="20">
        <f>IFERROR(__xludf.DUMMYFUNCTION("""COMPUTED_VALUE"""),13443.0)</f>
        <v>13443</v>
      </c>
      <c r="Q2018" s="20">
        <f>IFERROR(__xludf.DUMMYFUNCTION("""COMPUTED_VALUE"""),31191.0)</f>
        <v>31191</v>
      </c>
    </row>
    <row r="2019">
      <c r="A2019" s="20">
        <f>IFERROR(__xludf.DUMMYFUNCTION("""COMPUTED_VALUE"""),2146.0)</f>
        <v>2146</v>
      </c>
      <c r="B2019" s="20" t="str">
        <f>IFERROR(__xludf.DUMMYFUNCTION("""COMPUTED_VALUE"""),"Check if Word Can Be Placed In Crossword")</f>
        <v>Check if Word Can Be Placed In Crossword</v>
      </c>
      <c r="C2019" s="20" t="str">
        <f>IFERROR(__xludf.DUMMYFUNCTION("""COMPUTED_VALUE"""),"check-if-word-can-be-placed-in-crossword")</f>
        <v>check-if-word-can-be-placed-in-crossword</v>
      </c>
      <c r="D2019" s="20" t="b">
        <f>IFERROR(__xludf.DUMMYFUNCTION("""COMPUTED_VALUE"""),FALSE)</f>
        <v>0</v>
      </c>
      <c r="E2019" s="20" t="str">
        <f>IFERROR(__xludf.DUMMYFUNCTION("""COMPUTED_VALUE"""),"Medium")</f>
        <v>Medium</v>
      </c>
      <c r="F2019" s="20">
        <f>IFERROR(__xludf.DUMMYFUNCTION("""COMPUTED_VALUE"""),230.0)</f>
        <v>230</v>
      </c>
      <c r="G2019" s="20">
        <f>IFERROR(__xludf.DUMMYFUNCTION("""COMPUTED_VALUE"""),268.0)</f>
        <v>268</v>
      </c>
      <c r="H2019" s="20" t="str">
        <f>IFERROR(__xludf.DUMMYFUNCTION("""COMPUTED_VALUE"""),"Algorithms")</f>
        <v>Algorithms</v>
      </c>
      <c r="I2019" s="20">
        <f>IFERROR(__xludf.DUMMYFUNCTION("""COMPUTED_VALUE"""),0.495)</f>
        <v>0.495</v>
      </c>
      <c r="J2019" s="20">
        <f>IFERROR(__xludf.DUMMYFUNCTION("""COMPUTED_VALUE"""),2018.0)</f>
        <v>2018</v>
      </c>
      <c r="K2019" s="20" t="b">
        <f>IFERROR(__xludf.DUMMYFUNCTION("""COMPUTED_VALUE"""),FALSE)</f>
        <v>0</v>
      </c>
      <c r="L2019" s="20" t="str">
        <f>IFERROR(__xludf.DUMMYFUNCTION("""COMPUTED_VALUE"""),"Array;Matrix;Enumeration;")</f>
        <v>Array;Matrix;Enumeration;</v>
      </c>
      <c r="M2019" s="20" t="b">
        <f>IFERROR(__xludf.DUMMYFUNCTION("""COMPUTED_VALUE"""),FALSE)</f>
        <v>0</v>
      </c>
      <c r="N2019" s="20" t="b">
        <f>IFERROR(__xludf.DUMMYFUNCTION("""COMPUTED_VALUE"""),FALSE)</f>
        <v>0</v>
      </c>
      <c r="O2019" s="20">
        <f>IFERROR(__xludf.DUMMYFUNCTION("""COMPUTED_VALUE"""),49.5042600285012)</f>
        <v>49.50426003</v>
      </c>
      <c r="P2019" s="20">
        <f>IFERROR(__xludf.DUMMYFUNCTION("""COMPUTED_VALUE"""),16327.0)</f>
        <v>16327</v>
      </c>
      <c r="Q2019" s="20">
        <f>IFERROR(__xludf.DUMMYFUNCTION("""COMPUTED_VALUE"""),32981.0)</f>
        <v>32981</v>
      </c>
    </row>
    <row r="2020">
      <c r="A2020" s="20">
        <f>IFERROR(__xludf.DUMMYFUNCTION("""COMPUTED_VALUE"""),2147.0)</f>
        <v>2147</v>
      </c>
      <c r="B2020" s="20" t="str">
        <f>IFERROR(__xludf.DUMMYFUNCTION("""COMPUTED_VALUE"""),"The Score of Students Solving Math Expression")</f>
        <v>The Score of Students Solving Math Expression</v>
      </c>
      <c r="C2020" s="20" t="str">
        <f>IFERROR(__xludf.DUMMYFUNCTION("""COMPUTED_VALUE"""),"the-score-of-students-solving-math-expression")</f>
        <v>the-score-of-students-solving-math-expression</v>
      </c>
      <c r="D2020" s="20" t="b">
        <f>IFERROR(__xludf.DUMMYFUNCTION("""COMPUTED_VALUE"""),FALSE)</f>
        <v>0</v>
      </c>
      <c r="E2020" s="20" t="str">
        <f>IFERROR(__xludf.DUMMYFUNCTION("""COMPUTED_VALUE"""),"Hard")</f>
        <v>Hard</v>
      </c>
      <c r="F2020" s="20">
        <f>IFERROR(__xludf.DUMMYFUNCTION("""COMPUTED_VALUE"""),197.0)</f>
        <v>197</v>
      </c>
      <c r="G2020" s="20">
        <f>IFERROR(__xludf.DUMMYFUNCTION("""COMPUTED_VALUE"""),71.0)</f>
        <v>71</v>
      </c>
      <c r="H2020" s="20" t="str">
        <f>IFERROR(__xludf.DUMMYFUNCTION("""COMPUTED_VALUE"""),"Algorithms")</f>
        <v>Algorithms</v>
      </c>
      <c r="I2020" s="20">
        <f>IFERROR(__xludf.DUMMYFUNCTION("""COMPUTED_VALUE"""),0.338)</f>
        <v>0.338</v>
      </c>
      <c r="J2020" s="20">
        <f>IFERROR(__xludf.DUMMYFUNCTION("""COMPUTED_VALUE"""),2019.0)</f>
        <v>2019</v>
      </c>
      <c r="K2020" s="20" t="b">
        <f>IFERROR(__xludf.DUMMYFUNCTION("""COMPUTED_VALUE"""),FALSE)</f>
        <v>0</v>
      </c>
      <c r="L2020" s="20" t="str">
        <f>IFERROR(__xludf.DUMMYFUNCTION("""COMPUTED_VALUE"""),"Array;Math;String;Dynamic Programming;Stack;Memoization;")</f>
        <v>Array;Math;String;Dynamic Programming;Stack;Memoization;</v>
      </c>
      <c r="M2020" s="20" t="b">
        <f>IFERROR(__xludf.DUMMYFUNCTION("""COMPUTED_VALUE"""),FALSE)</f>
        <v>0</v>
      </c>
      <c r="N2020" s="20" t="b">
        <f>IFERROR(__xludf.DUMMYFUNCTION("""COMPUTED_VALUE"""),FALSE)</f>
        <v>0</v>
      </c>
      <c r="O2020" s="20">
        <f>IFERROR(__xludf.DUMMYFUNCTION("""COMPUTED_VALUE"""),33.8329498103115)</f>
        <v>33.83294981</v>
      </c>
      <c r="P2020" s="20">
        <f>IFERROR(__xludf.DUMMYFUNCTION("""COMPUTED_VALUE"""),5440.0)</f>
        <v>5440</v>
      </c>
      <c r="Q2020" s="20">
        <f>IFERROR(__xludf.DUMMYFUNCTION("""COMPUTED_VALUE"""),16079.0)</f>
        <v>16079</v>
      </c>
    </row>
    <row r="2021">
      <c r="A2021" s="20">
        <f>IFERROR(__xludf.DUMMYFUNCTION("""COMPUTED_VALUE"""),2167.0)</f>
        <v>2167</v>
      </c>
      <c r="B2021" s="20" t="str">
        <f>IFERROR(__xludf.DUMMYFUNCTION("""COMPUTED_VALUE"""),"Number of Accounts That Did Not Stream")</f>
        <v>Number of Accounts That Did Not Stream</v>
      </c>
      <c r="C2021" s="20" t="str">
        <f>IFERROR(__xludf.DUMMYFUNCTION("""COMPUTED_VALUE"""),"number-of-accounts-that-did-not-stream")</f>
        <v>number-of-accounts-that-did-not-stream</v>
      </c>
      <c r="D2021" s="20" t="b">
        <f>IFERROR(__xludf.DUMMYFUNCTION("""COMPUTED_VALUE"""),TRUE)</f>
        <v>1</v>
      </c>
      <c r="E2021" s="20" t="str">
        <f>IFERROR(__xludf.DUMMYFUNCTION("""COMPUTED_VALUE"""),"Medium")</f>
        <v>Medium</v>
      </c>
      <c r="F2021" s="20">
        <f>IFERROR(__xludf.DUMMYFUNCTION("""COMPUTED_VALUE"""),18.0)</f>
        <v>18</v>
      </c>
      <c r="G2021" s="20">
        <f>IFERROR(__xludf.DUMMYFUNCTION("""COMPUTED_VALUE"""),159.0)</f>
        <v>159</v>
      </c>
      <c r="H2021" s="20" t="str">
        <f>IFERROR(__xludf.DUMMYFUNCTION("""COMPUTED_VALUE"""),"Database")</f>
        <v>Database</v>
      </c>
      <c r="I2021" s="20">
        <f>IFERROR(__xludf.DUMMYFUNCTION("""COMPUTED_VALUE"""),0.737)</f>
        <v>0.737</v>
      </c>
      <c r="J2021" s="20">
        <f>IFERROR(__xludf.DUMMYFUNCTION("""COMPUTED_VALUE"""),2020.0)</f>
        <v>2020</v>
      </c>
      <c r="K2021" s="20" t="b">
        <f>IFERROR(__xludf.DUMMYFUNCTION("""COMPUTED_VALUE"""),TRUE)</f>
        <v>1</v>
      </c>
      <c r="L2021" s="20" t="str">
        <f>IFERROR(__xludf.DUMMYFUNCTION("""COMPUTED_VALUE"""),"Database;")</f>
        <v>Database;</v>
      </c>
      <c r="M2021" s="20" t="b">
        <f>IFERROR(__xludf.DUMMYFUNCTION("""COMPUTED_VALUE"""),FALSE)</f>
        <v>0</v>
      </c>
      <c r="N2021" s="20" t="b">
        <f>IFERROR(__xludf.DUMMYFUNCTION("""COMPUTED_VALUE"""),FALSE)</f>
        <v>0</v>
      </c>
      <c r="O2021" s="20">
        <f>IFERROR(__xludf.DUMMYFUNCTION("""COMPUTED_VALUE"""),73.7020069808027)</f>
        <v>73.70200698</v>
      </c>
      <c r="P2021" s="20">
        <f>IFERROR(__xludf.DUMMYFUNCTION("""COMPUTED_VALUE"""),6757.0)</f>
        <v>6757</v>
      </c>
      <c r="Q2021" s="20">
        <f>IFERROR(__xludf.DUMMYFUNCTION("""COMPUTED_VALUE"""),9168.0)</f>
        <v>9168</v>
      </c>
    </row>
    <row r="2022">
      <c r="A2022" s="20">
        <f>IFERROR(__xludf.DUMMYFUNCTION("""COMPUTED_VALUE"""),2075.0)</f>
        <v>2075</v>
      </c>
      <c r="B2022" s="20" t="str">
        <f>IFERROR(__xludf.DUMMYFUNCTION("""COMPUTED_VALUE"""),"Brightest Position on Street")</f>
        <v>Brightest Position on Street</v>
      </c>
      <c r="C2022" s="20" t="str">
        <f>IFERROR(__xludf.DUMMYFUNCTION("""COMPUTED_VALUE"""),"brightest-position-on-street")</f>
        <v>brightest-position-on-street</v>
      </c>
      <c r="D2022" s="20" t="b">
        <f>IFERROR(__xludf.DUMMYFUNCTION("""COMPUTED_VALUE"""),TRUE)</f>
        <v>1</v>
      </c>
      <c r="E2022" s="20" t="str">
        <f>IFERROR(__xludf.DUMMYFUNCTION("""COMPUTED_VALUE"""),"Medium")</f>
        <v>Medium</v>
      </c>
      <c r="F2022" s="20">
        <f>IFERROR(__xludf.DUMMYFUNCTION("""COMPUTED_VALUE"""),108.0)</f>
        <v>108</v>
      </c>
      <c r="G2022" s="20">
        <f>IFERROR(__xludf.DUMMYFUNCTION("""COMPUTED_VALUE"""),2.0)</f>
        <v>2</v>
      </c>
      <c r="H2022" s="20" t="str">
        <f>IFERROR(__xludf.DUMMYFUNCTION("""COMPUTED_VALUE"""),"Algorithms")</f>
        <v>Algorithms</v>
      </c>
      <c r="I2022" s="20">
        <f>IFERROR(__xludf.DUMMYFUNCTION("""COMPUTED_VALUE"""),0.625)</f>
        <v>0.625</v>
      </c>
      <c r="J2022" s="20">
        <f>IFERROR(__xludf.DUMMYFUNCTION("""COMPUTED_VALUE"""),2021.0)</f>
        <v>2021</v>
      </c>
      <c r="K2022" s="20" t="b">
        <f>IFERROR(__xludf.DUMMYFUNCTION("""COMPUTED_VALUE"""),TRUE)</f>
        <v>1</v>
      </c>
      <c r="L2022" s="20" t="str">
        <f>IFERROR(__xludf.DUMMYFUNCTION("""COMPUTED_VALUE"""),"Array;Prefix Sum;Ordered Set;")</f>
        <v>Array;Prefix Sum;Ordered Set;</v>
      </c>
      <c r="M2022" s="20" t="b">
        <f>IFERROR(__xludf.DUMMYFUNCTION("""COMPUTED_VALUE"""),FALSE)</f>
        <v>0</v>
      </c>
      <c r="N2022" s="20" t="b">
        <f>IFERROR(__xludf.DUMMYFUNCTION("""COMPUTED_VALUE"""),FALSE)</f>
        <v>0</v>
      </c>
      <c r="O2022" s="20">
        <f>IFERROR(__xludf.DUMMYFUNCTION("""COMPUTED_VALUE"""),62.4659400544959)</f>
        <v>62.46594005</v>
      </c>
      <c r="P2022" s="20">
        <f>IFERROR(__xludf.DUMMYFUNCTION("""COMPUTED_VALUE"""),3668.0)</f>
        <v>3668</v>
      </c>
      <c r="Q2022" s="20">
        <f>IFERROR(__xludf.DUMMYFUNCTION("""COMPUTED_VALUE"""),5872.0)</f>
        <v>5872</v>
      </c>
    </row>
    <row r="2023">
      <c r="A2023" s="20">
        <f>IFERROR(__xludf.DUMMYFUNCTION("""COMPUTED_VALUE"""),2132.0)</f>
        <v>2132</v>
      </c>
      <c r="B2023" s="20" t="str">
        <f>IFERROR(__xludf.DUMMYFUNCTION("""COMPUTED_VALUE"""),"Convert 1D Array Into 2D Array")</f>
        <v>Convert 1D Array Into 2D Array</v>
      </c>
      <c r="C2023" s="20" t="str">
        <f>IFERROR(__xludf.DUMMYFUNCTION("""COMPUTED_VALUE"""),"convert-1d-array-into-2d-array")</f>
        <v>convert-1d-array-into-2d-array</v>
      </c>
      <c r="D2023" s="20" t="b">
        <f>IFERROR(__xludf.DUMMYFUNCTION("""COMPUTED_VALUE"""),FALSE)</f>
        <v>0</v>
      </c>
      <c r="E2023" s="20" t="str">
        <f>IFERROR(__xludf.DUMMYFUNCTION("""COMPUTED_VALUE"""),"Easy")</f>
        <v>Easy</v>
      </c>
      <c r="F2023" s="20">
        <f>IFERROR(__xludf.DUMMYFUNCTION("""COMPUTED_VALUE"""),522.0)</f>
        <v>522</v>
      </c>
      <c r="G2023" s="20">
        <f>IFERROR(__xludf.DUMMYFUNCTION("""COMPUTED_VALUE"""),37.0)</f>
        <v>37</v>
      </c>
      <c r="H2023" s="20" t="str">
        <f>IFERROR(__xludf.DUMMYFUNCTION("""COMPUTED_VALUE"""),"Algorithms")</f>
        <v>Algorithms</v>
      </c>
      <c r="I2023" s="20">
        <f>IFERROR(__xludf.DUMMYFUNCTION("""COMPUTED_VALUE"""),0.585)</f>
        <v>0.585</v>
      </c>
      <c r="J2023" s="20">
        <f>IFERROR(__xludf.DUMMYFUNCTION("""COMPUTED_VALUE"""),2022.0)</f>
        <v>2022</v>
      </c>
      <c r="K2023" s="20" t="b">
        <f>IFERROR(__xludf.DUMMYFUNCTION("""COMPUTED_VALUE"""),FALSE)</f>
        <v>0</v>
      </c>
      <c r="L2023" s="20" t="str">
        <f>IFERROR(__xludf.DUMMYFUNCTION("""COMPUTED_VALUE"""),"Array;Matrix;Simulation;")</f>
        <v>Array;Matrix;Simulation;</v>
      </c>
      <c r="M2023" s="20" t="b">
        <f>IFERROR(__xludf.DUMMYFUNCTION("""COMPUTED_VALUE"""),FALSE)</f>
        <v>0</v>
      </c>
      <c r="N2023" s="20" t="b">
        <f>IFERROR(__xludf.DUMMYFUNCTION("""COMPUTED_VALUE"""),FALSE)</f>
        <v>0</v>
      </c>
      <c r="O2023" s="20">
        <f>IFERROR(__xludf.DUMMYFUNCTION("""COMPUTED_VALUE"""),58.5271630706781)</f>
        <v>58.52716307</v>
      </c>
      <c r="P2023" s="20">
        <f>IFERROR(__xludf.DUMMYFUNCTION("""COMPUTED_VALUE"""),50752.0)</f>
        <v>50752</v>
      </c>
      <c r="Q2023" s="20">
        <f>IFERROR(__xludf.DUMMYFUNCTION("""COMPUTED_VALUE"""),86716.0)</f>
        <v>86716</v>
      </c>
    </row>
    <row r="2024">
      <c r="A2024" s="20">
        <f>IFERROR(__xludf.DUMMYFUNCTION("""COMPUTED_VALUE"""),2133.0)</f>
        <v>2133</v>
      </c>
      <c r="B2024" s="20" t="str">
        <f>IFERROR(__xludf.DUMMYFUNCTION("""COMPUTED_VALUE"""),"Number of Pairs of Strings With Concatenation Equal to Target")</f>
        <v>Number of Pairs of Strings With Concatenation Equal to Target</v>
      </c>
      <c r="C2024" s="20" t="str">
        <f>IFERROR(__xludf.DUMMYFUNCTION("""COMPUTED_VALUE"""),"number-of-pairs-of-strings-with-concatenation-equal-to-target")</f>
        <v>number-of-pairs-of-strings-with-concatenation-equal-to-target</v>
      </c>
      <c r="D2024" s="20" t="b">
        <f>IFERROR(__xludf.DUMMYFUNCTION("""COMPUTED_VALUE"""),FALSE)</f>
        <v>0</v>
      </c>
      <c r="E2024" s="20" t="str">
        <f>IFERROR(__xludf.DUMMYFUNCTION("""COMPUTED_VALUE"""),"Medium")</f>
        <v>Medium</v>
      </c>
      <c r="F2024" s="20">
        <f>IFERROR(__xludf.DUMMYFUNCTION("""COMPUTED_VALUE"""),462.0)</f>
        <v>462</v>
      </c>
      <c r="G2024" s="20">
        <f>IFERROR(__xludf.DUMMYFUNCTION("""COMPUTED_VALUE"""),43.0)</f>
        <v>43</v>
      </c>
      <c r="H2024" s="20" t="str">
        <f>IFERROR(__xludf.DUMMYFUNCTION("""COMPUTED_VALUE"""),"Algorithms")</f>
        <v>Algorithms</v>
      </c>
      <c r="I2024" s="20">
        <f>IFERROR(__xludf.DUMMYFUNCTION("""COMPUTED_VALUE"""),0.73)</f>
        <v>0.73</v>
      </c>
      <c r="J2024" s="20">
        <f>IFERROR(__xludf.DUMMYFUNCTION("""COMPUTED_VALUE"""),2023.0)</f>
        <v>2023</v>
      </c>
      <c r="K2024" s="20" t="b">
        <f>IFERROR(__xludf.DUMMYFUNCTION("""COMPUTED_VALUE"""),FALSE)</f>
        <v>0</v>
      </c>
      <c r="L2024" s="20" t="str">
        <f>IFERROR(__xludf.DUMMYFUNCTION("""COMPUTED_VALUE"""),"Array;String;")</f>
        <v>Array;String;</v>
      </c>
      <c r="M2024" s="20" t="b">
        <f>IFERROR(__xludf.DUMMYFUNCTION("""COMPUTED_VALUE"""),FALSE)</f>
        <v>0</v>
      </c>
      <c r="N2024" s="20" t="b">
        <f>IFERROR(__xludf.DUMMYFUNCTION("""COMPUTED_VALUE"""),FALSE)</f>
        <v>0</v>
      </c>
      <c r="O2024" s="20">
        <f>IFERROR(__xludf.DUMMYFUNCTION("""COMPUTED_VALUE"""),73.0481170998344)</f>
        <v>73.0481171</v>
      </c>
      <c r="P2024" s="20">
        <f>IFERROR(__xludf.DUMMYFUNCTION("""COMPUTED_VALUE"""),27797.0)</f>
        <v>27797</v>
      </c>
      <c r="Q2024" s="20">
        <f>IFERROR(__xludf.DUMMYFUNCTION("""COMPUTED_VALUE"""),38053.0)</f>
        <v>38053</v>
      </c>
    </row>
    <row r="2025">
      <c r="A2025" s="20">
        <f>IFERROR(__xludf.DUMMYFUNCTION("""COMPUTED_VALUE"""),2134.0)</f>
        <v>2134</v>
      </c>
      <c r="B2025" s="20" t="str">
        <f>IFERROR(__xludf.DUMMYFUNCTION("""COMPUTED_VALUE"""),"Maximize the Confusion of an Exam")</f>
        <v>Maximize the Confusion of an Exam</v>
      </c>
      <c r="C2025" s="20" t="str">
        <f>IFERROR(__xludf.DUMMYFUNCTION("""COMPUTED_VALUE"""),"maximize-the-confusion-of-an-exam")</f>
        <v>maximize-the-confusion-of-an-exam</v>
      </c>
      <c r="D2025" s="20" t="b">
        <f>IFERROR(__xludf.DUMMYFUNCTION("""COMPUTED_VALUE"""),FALSE)</f>
        <v>0</v>
      </c>
      <c r="E2025" s="20" t="str">
        <f>IFERROR(__xludf.DUMMYFUNCTION("""COMPUTED_VALUE"""),"Medium")</f>
        <v>Medium</v>
      </c>
      <c r="F2025" s="20">
        <f>IFERROR(__xludf.DUMMYFUNCTION("""COMPUTED_VALUE"""),790.0)</f>
        <v>790</v>
      </c>
      <c r="G2025" s="20">
        <f>IFERROR(__xludf.DUMMYFUNCTION("""COMPUTED_VALUE"""),18.0)</f>
        <v>18</v>
      </c>
      <c r="H2025" s="20" t="str">
        <f>IFERROR(__xludf.DUMMYFUNCTION("""COMPUTED_VALUE"""),"Algorithms")</f>
        <v>Algorithms</v>
      </c>
      <c r="I2025" s="20">
        <f>IFERROR(__xludf.DUMMYFUNCTION("""COMPUTED_VALUE"""),0.597)</f>
        <v>0.597</v>
      </c>
      <c r="J2025" s="20">
        <f>IFERROR(__xludf.DUMMYFUNCTION("""COMPUTED_VALUE"""),2024.0)</f>
        <v>2024</v>
      </c>
      <c r="K2025" s="20" t="b">
        <f>IFERROR(__xludf.DUMMYFUNCTION("""COMPUTED_VALUE"""),FALSE)</f>
        <v>0</v>
      </c>
      <c r="L2025" s="20" t="str">
        <f>IFERROR(__xludf.DUMMYFUNCTION("""COMPUTED_VALUE"""),"String;Binary Search;Sliding Window;Prefix Sum;")</f>
        <v>String;Binary Search;Sliding Window;Prefix Sum;</v>
      </c>
      <c r="M2025" s="20" t="b">
        <f>IFERROR(__xludf.DUMMYFUNCTION("""COMPUTED_VALUE"""),FALSE)</f>
        <v>0</v>
      </c>
      <c r="N2025" s="20" t="b">
        <f>IFERROR(__xludf.DUMMYFUNCTION("""COMPUTED_VALUE"""),FALSE)</f>
        <v>0</v>
      </c>
      <c r="O2025" s="20">
        <f>IFERROR(__xludf.DUMMYFUNCTION("""COMPUTED_VALUE"""),59.7343329801972)</f>
        <v>59.73433298</v>
      </c>
      <c r="P2025" s="20">
        <f>IFERROR(__xludf.DUMMYFUNCTION("""COMPUTED_VALUE"""),21990.0)</f>
        <v>21990</v>
      </c>
      <c r="Q2025" s="20">
        <f>IFERROR(__xludf.DUMMYFUNCTION("""COMPUTED_VALUE"""),36813.0)</f>
        <v>36813</v>
      </c>
    </row>
    <row r="2026">
      <c r="A2026" s="20">
        <f>IFERROR(__xludf.DUMMYFUNCTION("""COMPUTED_VALUE"""),2135.0)</f>
        <v>2135</v>
      </c>
      <c r="B2026" s="20" t="str">
        <f>IFERROR(__xludf.DUMMYFUNCTION("""COMPUTED_VALUE"""),"Maximum Number of Ways to Partition an Array")</f>
        <v>Maximum Number of Ways to Partition an Array</v>
      </c>
      <c r="C2026" s="20" t="str">
        <f>IFERROR(__xludf.DUMMYFUNCTION("""COMPUTED_VALUE"""),"maximum-number-of-ways-to-partition-an-array")</f>
        <v>maximum-number-of-ways-to-partition-an-array</v>
      </c>
      <c r="D2026" s="20" t="b">
        <f>IFERROR(__xludf.DUMMYFUNCTION("""COMPUTED_VALUE"""),FALSE)</f>
        <v>0</v>
      </c>
      <c r="E2026" s="20" t="str">
        <f>IFERROR(__xludf.DUMMYFUNCTION("""COMPUTED_VALUE"""),"Hard")</f>
        <v>Hard</v>
      </c>
      <c r="F2026" s="20">
        <f>IFERROR(__xludf.DUMMYFUNCTION("""COMPUTED_VALUE"""),363.0)</f>
        <v>363</v>
      </c>
      <c r="G2026" s="20">
        <f>IFERROR(__xludf.DUMMYFUNCTION("""COMPUTED_VALUE"""),37.0)</f>
        <v>37</v>
      </c>
      <c r="H2026" s="20" t="str">
        <f>IFERROR(__xludf.DUMMYFUNCTION("""COMPUTED_VALUE"""),"Algorithms")</f>
        <v>Algorithms</v>
      </c>
      <c r="I2026" s="20">
        <f>IFERROR(__xludf.DUMMYFUNCTION("""COMPUTED_VALUE"""),0.326)</f>
        <v>0.326</v>
      </c>
      <c r="J2026" s="20">
        <f>IFERROR(__xludf.DUMMYFUNCTION("""COMPUTED_VALUE"""),2025.0)</f>
        <v>2025</v>
      </c>
      <c r="K2026" s="20" t="b">
        <f>IFERROR(__xludf.DUMMYFUNCTION("""COMPUTED_VALUE"""),FALSE)</f>
        <v>0</v>
      </c>
      <c r="L2026" s="20" t="str">
        <f>IFERROR(__xludf.DUMMYFUNCTION("""COMPUTED_VALUE"""),"Array;Hash Table;Counting;Enumeration;Prefix Sum;")</f>
        <v>Array;Hash Table;Counting;Enumeration;Prefix Sum;</v>
      </c>
      <c r="M2026" s="20" t="b">
        <f>IFERROR(__xludf.DUMMYFUNCTION("""COMPUTED_VALUE"""),FALSE)</f>
        <v>0</v>
      </c>
      <c r="N2026" s="20" t="b">
        <f>IFERROR(__xludf.DUMMYFUNCTION("""COMPUTED_VALUE"""),FALSE)</f>
        <v>0</v>
      </c>
      <c r="O2026" s="20">
        <f>IFERROR(__xludf.DUMMYFUNCTION("""COMPUTED_VALUE"""),32.6401671558628)</f>
        <v>32.64016716</v>
      </c>
      <c r="P2026" s="20">
        <f>IFERROR(__xludf.DUMMYFUNCTION("""COMPUTED_VALUE"""),6561.0)</f>
        <v>6561</v>
      </c>
      <c r="Q2026" s="20">
        <f>IFERROR(__xludf.DUMMYFUNCTION("""COMPUTED_VALUE"""),20101.0)</f>
        <v>20101</v>
      </c>
    </row>
    <row r="2027">
      <c r="A2027" s="20">
        <f>IFERROR(__xludf.DUMMYFUNCTION("""COMPUTED_VALUE"""),2172.0)</f>
        <v>2172</v>
      </c>
      <c r="B2027" s="20" t="str">
        <f>IFERROR(__xludf.DUMMYFUNCTION("""COMPUTED_VALUE"""),"Low-Quality Problems")</f>
        <v>Low-Quality Problems</v>
      </c>
      <c r="C2027" s="20" t="str">
        <f>IFERROR(__xludf.DUMMYFUNCTION("""COMPUTED_VALUE"""),"low-quality-problems")</f>
        <v>low-quality-problems</v>
      </c>
      <c r="D2027" s="20" t="b">
        <f>IFERROR(__xludf.DUMMYFUNCTION("""COMPUTED_VALUE"""),TRUE)</f>
        <v>1</v>
      </c>
      <c r="E2027" s="20" t="str">
        <f>IFERROR(__xludf.DUMMYFUNCTION("""COMPUTED_VALUE"""),"Easy")</f>
        <v>Easy</v>
      </c>
      <c r="F2027" s="20">
        <f>IFERROR(__xludf.DUMMYFUNCTION("""COMPUTED_VALUE"""),28.0)</f>
        <v>28</v>
      </c>
      <c r="G2027" s="20">
        <f>IFERROR(__xludf.DUMMYFUNCTION("""COMPUTED_VALUE"""),9.0)</f>
        <v>9</v>
      </c>
      <c r="H2027" s="20" t="str">
        <f>IFERROR(__xludf.DUMMYFUNCTION("""COMPUTED_VALUE"""),"Database")</f>
        <v>Database</v>
      </c>
      <c r="I2027" s="20">
        <f>IFERROR(__xludf.DUMMYFUNCTION("""COMPUTED_VALUE"""),0.855)</f>
        <v>0.855</v>
      </c>
      <c r="J2027" s="20">
        <f>IFERROR(__xludf.DUMMYFUNCTION("""COMPUTED_VALUE"""),2026.0)</f>
        <v>2026</v>
      </c>
      <c r="K2027" s="20" t="b">
        <f>IFERROR(__xludf.DUMMYFUNCTION("""COMPUTED_VALUE"""),TRUE)</f>
        <v>1</v>
      </c>
      <c r="L2027" s="20" t="str">
        <f>IFERROR(__xludf.DUMMYFUNCTION("""COMPUTED_VALUE"""),"Database;")</f>
        <v>Database;</v>
      </c>
      <c r="M2027" s="20" t="b">
        <f>IFERROR(__xludf.DUMMYFUNCTION("""COMPUTED_VALUE"""),FALSE)</f>
        <v>0</v>
      </c>
      <c r="N2027" s="20" t="b">
        <f>IFERROR(__xludf.DUMMYFUNCTION("""COMPUTED_VALUE"""),FALSE)</f>
        <v>0</v>
      </c>
      <c r="O2027" s="20">
        <f>IFERROR(__xludf.DUMMYFUNCTION("""COMPUTED_VALUE"""),85.5212141353716)</f>
        <v>85.52121414</v>
      </c>
      <c r="P2027" s="20">
        <f>IFERROR(__xludf.DUMMYFUNCTION("""COMPUTED_VALUE"""),7720.0)</f>
        <v>7720</v>
      </c>
      <c r="Q2027" s="20">
        <f>IFERROR(__xludf.DUMMYFUNCTION("""COMPUTED_VALUE"""),9027.0)</f>
        <v>9027</v>
      </c>
    </row>
    <row r="2028">
      <c r="A2028" s="20">
        <f>IFERROR(__xludf.DUMMYFUNCTION("""COMPUTED_VALUE"""),2154.0)</f>
        <v>2154</v>
      </c>
      <c r="B2028" s="20" t="str">
        <f>IFERROR(__xludf.DUMMYFUNCTION("""COMPUTED_VALUE"""),"Minimum Moves to Convert String")</f>
        <v>Minimum Moves to Convert String</v>
      </c>
      <c r="C2028" s="20" t="str">
        <f>IFERROR(__xludf.DUMMYFUNCTION("""COMPUTED_VALUE"""),"minimum-moves-to-convert-string")</f>
        <v>minimum-moves-to-convert-string</v>
      </c>
      <c r="D2028" s="20" t="b">
        <f>IFERROR(__xludf.DUMMYFUNCTION("""COMPUTED_VALUE"""),FALSE)</f>
        <v>0</v>
      </c>
      <c r="E2028" s="20" t="str">
        <f>IFERROR(__xludf.DUMMYFUNCTION("""COMPUTED_VALUE"""),"Easy")</f>
        <v>Easy</v>
      </c>
      <c r="F2028" s="20">
        <f>IFERROR(__xludf.DUMMYFUNCTION("""COMPUTED_VALUE"""),335.0)</f>
        <v>335</v>
      </c>
      <c r="G2028" s="20">
        <f>IFERROR(__xludf.DUMMYFUNCTION("""COMPUTED_VALUE"""),58.0)</f>
        <v>58</v>
      </c>
      <c r="H2028" s="20" t="str">
        <f>IFERROR(__xludf.DUMMYFUNCTION("""COMPUTED_VALUE"""),"Algorithms")</f>
        <v>Algorithms</v>
      </c>
      <c r="I2028" s="20">
        <f>IFERROR(__xludf.DUMMYFUNCTION("""COMPUTED_VALUE"""),0.538)</f>
        <v>0.538</v>
      </c>
      <c r="J2028" s="20">
        <f>IFERROR(__xludf.DUMMYFUNCTION("""COMPUTED_VALUE"""),2027.0)</f>
        <v>2027</v>
      </c>
      <c r="K2028" s="20" t="b">
        <f>IFERROR(__xludf.DUMMYFUNCTION("""COMPUTED_VALUE"""),FALSE)</f>
        <v>0</v>
      </c>
      <c r="L2028" s="20" t="str">
        <f>IFERROR(__xludf.DUMMYFUNCTION("""COMPUTED_VALUE"""),"String;Greedy;")</f>
        <v>String;Greedy;</v>
      </c>
      <c r="M2028" s="20" t="b">
        <f>IFERROR(__xludf.DUMMYFUNCTION("""COMPUTED_VALUE"""),FALSE)</f>
        <v>0</v>
      </c>
      <c r="N2028" s="20" t="b">
        <f>IFERROR(__xludf.DUMMYFUNCTION("""COMPUTED_VALUE"""),FALSE)</f>
        <v>0</v>
      </c>
      <c r="O2028" s="20">
        <f>IFERROR(__xludf.DUMMYFUNCTION("""COMPUTED_VALUE"""),53.7927571980528)</f>
        <v>53.7927572</v>
      </c>
      <c r="P2028" s="20">
        <f>IFERROR(__xludf.DUMMYFUNCTION("""COMPUTED_VALUE"""),24642.0)</f>
        <v>24642</v>
      </c>
      <c r="Q2028" s="20">
        <f>IFERROR(__xludf.DUMMYFUNCTION("""COMPUTED_VALUE"""),45810.0)</f>
        <v>45810</v>
      </c>
    </row>
    <row r="2029">
      <c r="A2029" s="20">
        <f>IFERROR(__xludf.DUMMYFUNCTION("""COMPUTED_VALUE"""),2155.0)</f>
        <v>2155</v>
      </c>
      <c r="B2029" s="20" t="str">
        <f>IFERROR(__xludf.DUMMYFUNCTION("""COMPUTED_VALUE"""),"Find Missing Observations")</f>
        <v>Find Missing Observations</v>
      </c>
      <c r="C2029" s="20" t="str">
        <f>IFERROR(__xludf.DUMMYFUNCTION("""COMPUTED_VALUE"""),"find-missing-observations")</f>
        <v>find-missing-observations</v>
      </c>
      <c r="D2029" s="20" t="b">
        <f>IFERROR(__xludf.DUMMYFUNCTION("""COMPUTED_VALUE"""),FALSE)</f>
        <v>0</v>
      </c>
      <c r="E2029" s="20" t="str">
        <f>IFERROR(__xludf.DUMMYFUNCTION("""COMPUTED_VALUE"""),"Medium")</f>
        <v>Medium</v>
      </c>
      <c r="F2029" s="20">
        <f>IFERROR(__xludf.DUMMYFUNCTION("""COMPUTED_VALUE"""),333.0)</f>
        <v>333</v>
      </c>
      <c r="G2029" s="20">
        <f>IFERROR(__xludf.DUMMYFUNCTION("""COMPUTED_VALUE"""),18.0)</f>
        <v>18</v>
      </c>
      <c r="H2029" s="20" t="str">
        <f>IFERROR(__xludf.DUMMYFUNCTION("""COMPUTED_VALUE"""),"Algorithms")</f>
        <v>Algorithms</v>
      </c>
      <c r="I2029" s="20">
        <f>IFERROR(__xludf.DUMMYFUNCTION("""COMPUTED_VALUE"""),0.441)</f>
        <v>0.441</v>
      </c>
      <c r="J2029" s="20">
        <f>IFERROR(__xludf.DUMMYFUNCTION("""COMPUTED_VALUE"""),2028.0)</f>
        <v>2028</v>
      </c>
      <c r="K2029" s="20" t="b">
        <f>IFERROR(__xludf.DUMMYFUNCTION("""COMPUTED_VALUE"""),FALSE)</f>
        <v>0</v>
      </c>
      <c r="L2029" s="20" t="str">
        <f>IFERROR(__xludf.DUMMYFUNCTION("""COMPUTED_VALUE"""),"Array;Math;Simulation;")</f>
        <v>Array;Math;Simulation;</v>
      </c>
      <c r="M2029" s="20" t="b">
        <f>IFERROR(__xludf.DUMMYFUNCTION("""COMPUTED_VALUE"""),FALSE)</f>
        <v>0</v>
      </c>
      <c r="N2029" s="20" t="b">
        <f>IFERROR(__xludf.DUMMYFUNCTION("""COMPUTED_VALUE"""),FALSE)</f>
        <v>0</v>
      </c>
      <c r="O2029" s="20">
        <f>IFERROR(__xludf.DUMMYFUNCTION("""COMPUTED_VALUE"""),44.1110058999198)</f>
        <v>44.1110059</v>
      </c>
      <c r="P2029" s="20">
        <f>IFERROR(__xludf.DUMMYFUNCTION("""COMPUTED_VALUE"""),18168.0)</f>
        <v>18168</v>
      </c>
      <c r="Q2029" s="20">
        <f>IFERROR(__xludf.DUMMYFUNCTION("""COMPUTED_VALUE"""),41187.0)</f>
        <v>41187</v>
      </c>
    </row>
    <row r="2030">
      <c r="A2030" s="20">
        <f>IFERROR(__xludf.DUMMYFUNCTION("""COMPUTED_VALUE"""),2156.0)</f>
        <v>2156</v>
      </c>
      <c r="B2030" s="20" t="str">
        <f>IFERROR(__xludf.DUMMYFUNCTION("""COMPUTED_VALUE"""),"Stone Game IX")</f>
        <v>Stone Game IX</v>
      </c>
      <c r="C2030" s="20" t="str">
        <f>IFERROR(__xludf.DUMMYFUNCTION("""COMPUTED_VALUE"""),"stone-game-ix")</f>
        <v>stone-game-ix</v>
      </c>
      <c r="D2030" s="20" t="b">
        <f>IFERROR(__xludf.DUMMYFUNCTION("""COMPUTED_VALUE"""),FALSE)</f>
        <v>0</v>
      </c>
      <c r="E2030" s="20" t="str">
        <f>IFERROR(__xludf.DUMMYFUNCTION("""COMPUTED_VALUE"""),"Medium")</f>
        <v>Medium</v>
      </c>
      <c r="F2030" s="20">
        <f>IFERROR(__xludf.DUMMYFUNCTION("""COMPUTED_VALUE"""),186.0)</f>
        <v>186</v>
      </c>
      <c r="G2030" s="20">
        <f>IFERROR(__xludf.DUMMYFUNCTION("""COMPUTED_VALUE"""),240.0)</f>
        <v>240</v>
      </c>
      <c r="H2030" s="20" t="str">
        <f>IFERROR(__xludf.DUMMYFUNCTION("""COMPUTED_VALUE"""),"Algorithms")</f>
        <v>Algorithms</v>
      </c>
      <c r="I2030" s="20">
        <f>IFERROR(__xludf.DUMMYFUNCTION("""COMPUTED_VALUE"""),0.264)</f>
        <v>0.264</v>
      </c>
      <c r="J2030" s="20">
        <f>IFERROR(__xludf.DUMMYFUNCTION("""COMPUTED_VALUE"""),2029.0)</f>
        <v>2029</v>
      </c>
      <c r="K2030" s="20" t="b">
        <f>IFERROR(__xludf.DUMMYFUNCTION("""COMPUTED_VALUE"""),FALSE)</f>
        <v>0</v>
      </c>
      <c r="L2030" s="20" t="str">
        <f>IFERROR(__xludf.DUMMYFUNCTION("""COMPUTED_VALUE"""),"Array;Math;Greedy;Counting;Game Theory;")</f>
        <v>Array;Math;Greedy;Counting;Game Theory;</v>
      </c>
      <c r="M2030" s="20" t="b">
        <f>IFERROR(__xludf.DUMMYFUNCTION("""COMPUTED_VALUE"""),FALSE)</f>
        <v>0</v>
      </c>
      <c r="N2030" s="20" t="b">
        <f>IFERROR(__xludf.DUMMYFUNCTION("""COMPUTED_VALUE"""),FALSE)</f>
        <v>0</v>
      </c>
      <c r="O2030" s="20">
        <f>IFERROR(__xludf.DUMMYFUNCTION("""COMPUTED_VALUE"""),26.4217698960426)</f>
        <v>26.4217699</v>
      </c>
      <c r="P2030" s="20">
        <f>IFERROR(__xludf.DUMMYFUNCTION("""COMPUTED_VALUE"""),6049.0)</f>
        <v>6049</v>
      </c>
      <c r="Q2030" s="20">
        <f>IFERROR(__xludf.DUMMYFUNCTION("""COMPUTED_VALUE"""),22894.0)</f>
        <v>22894</v>
      </c>
    </row>
    <row r="2031">
      <c r="A2031" s="20">
        <f>IFERROR(__xludf.DUMMYFUNCTION("""COMPUTED_VALUE"""),2157.0)</f>
        <v>2157</v>
      </c>
      <c r="B2031" s="20" t="str">
        <f>IFERROR(__xludf.DUMMYFUNCTION("""COMPUTED_VALUE"""),"Smallest K-Length Subsequence With Occurrences of a Letter")</f>
        <v>Smallest K-Length Subsequence With Occurrences of a Letter</v>
      </c>
      <c r="C2031" s="20" t="str">
        <f>IFERROR(__xludf.DUMMYFUNCTION("""COMPUTED_VALUE"""),"smallest-k-length-subsequence-with-occurrences-of-a-letter")</f>
        <v>smallest-k-length-subsequence-with-occurrences-of-a-letter</v>
      </c>
      <c r="D2031" s="20" t="b">
        <f>IFERROR(__xludf.DUMMYFUNCTION("""COMPUTED_VALUE"""),FALSE)</f>
        <v>0</v>
      </c>
      <c r="E2031" s="20" t="str">
        <f>IFERROR(__xludf.DUMMYFUNCTION("""COMPUTED_VALUE"""),"Hard")</f>
        <v>Hard</v>
      </c>
      <c r="F2031" s="20">
        <f>IFERROR(__xludf.DUMMYFUNCTION("""COMPUTED_VALUE"""),354.0)</f>
        <v>354</v>
      </c>
      <c r="G2031" s="20">
        <f>IFERROR(__xludf.DUMMYFUNCTION("""COMPUTED_VALUE"""),10.0)</f>
        <v>10</v>
      </c>
      <c r="H2031" s="20" t="str">
        <f>IFERROR(__xludf.DUMMYFUNCTION("""COMPUTED_VALUE"""),"Algorithms")</f>
        <v>Algorithms</v>
      </c>
      <c r="I2031" s="20">
        <f>IFERROR(__xludf.DUMMYFUNCTION("""COMPUTED_VALUE"""),0.388)</f>
        <v>0.388</v>
      </c>
      <c r="J2031" s="20">
        <f>IFERROR(__xludf.DUMMYFUNCTION("""COMPUTED_VALUE"""),2030.0)</f>
        <v>2030</v>
      </c>
      <c r="K2031" s="20" t="b">
        <f>IFERROR(__xludf.DUMMYFUNCTION("""COMPUTED_VALUE"""),FALSE)</f>
        <v>0</v>
      </c>
      <c r="L2031" s="20" t="str">
        <f>IFERROR(__xludf.DUMMYFUNCTION("""COMPUTED_VALUE"""),"String;Stack;Greedy;Monotonic Stack;")</f>
        <v>String;Stack;Greedy;Monotonic Stack;</v>
      </c>
      <c r="M2031" s="20" t="b">
        <f>IFERROR(__xludf.DUMMYFUNCTION("""COMPUTED_VALUE"""),FALSE)</f>
        <v>0</v>
      </c>
      <c r="N2031" s="20" t="b">
        <f>IFERROR(__xludf.DUMMYFUNCTION("""COMPUTED_VALUE"""),FALSE)</f>
        <v>0</v>
      </c>
      <c r="O2031" s="20">
        <f>IFERROR(__xludf.DUMMYFUNCTION("""COMPUTED_VALUE"""),38.801978874181)</f>
        <v>38.80197887</v>
      </c>
      <c r="P2031" s="20">
        <f>IFERROR(__xludf.DUMMYFUNCTION("""COMPUTED_VALUE"""),5804.0)</f>
        <v>5804</v>
      </c>
      <c r="Q2031" s="20">
        <f>IFERROR(__xludf.DUMMYFUNCTION("""COMPUTED_VALUE"""),14958.0)</f>
        <v>14958</v>
      </c>
    </row>
    <row r="2032">
      <c r="A2032" s="20">
        <f>IFERROR(__xludf.DUMMYFUNCTION("""COMPUTED_VALUE"""),510.0)</f>
        <v>510</v>
      </c>
      <c r="B2032" s="20" t="str">
        <f>IFERROR(__xludf.DUMMYFUNCTION("""COMPUTED_VALUE"""),"Count Subarrays With More Ones Than Zeros")</f>
        <v>Count Subarrays With More Ones Than Zeros</v>
      </c>
      <c r="C2032" s="20" t="str">
        <f>IFERROR(__xludf.DUMMYFUNCTION("""COMPUTED_VALUE"""),"count-subarrays-with-more-ones-than-zeros")</f>
        <v>count-subarrays-with-more-ones-than-zeros</v>
      </c>
      <c r="D2032" s="20" t="b">
        <f>IFERROR(__xludf.DUMMYFUNCTION("""COMPUTED_VALUE"""),TRUE)</f>
        <v>1</v>
      </c>
      <c r="E2032" s="20" t="str">
        <f>IFERROR(__xludf.DUMMYFUNCTION("""COMPUTED_VALUE"""),"Medium")</f>
        <v>Medium</v>
      </c>
      <c r="F2032" s="20">
        <f>IFERROR(__xludf.DUMMYFUNCTION("""COMPUTED_VALUE"""),127.0)</f>
        <v>127</v>
      </c>
      <c r="G2032" s="20">
        <f>IFERROR(__xludf.DUMMYFUNCTION("""COMPUTED_VALUE"""),12.0)</f>
        <v>12</v>
      </c>
      <c r="H2032" s="20" t="str">
        <f>IFERROR(__xludf.DUMMYFUNCTION("""COMPUTED_VALUE"""),"Algorithms")</f>
        <v>Algorithms</v>
      </c>
      <c r="I2032" s="20">
        <f>IFERROR(__xludf.DUMMYFUNCTION("""COMPUTED_VALUE"""),0.522)</f>
        <v>0.522</v>
      </c>
      <c r="J2032" s="20">
        <f>IFERROR(__xludf.DUMMYFUNCTION("""COMPUTED_VALUE"""),2031.0)</f>
        <v>2031</v>
      </c>
      <c r="K2032" s="20" t="b">
        <f>IFERROR(__xludf.DUMMYFUNCTION("""COMPUTED_VALUE"""),TRUE)</f>
        <v>1</v>
      </c>
      <c r="L2032" s="20" t="str">
        <f>IFERROR(__xludf.DUMMYFUNCTION("""COMPUTED_VALUE"""),"Array;Binary Search;Divide and Conquer;Binary Indexed Tree;Segment Tree;Merge Sort;Ordered Set;")</f>
        <v>Array;Binary Search;Divide and Conquer;Binary Indexed Tree;Segment Tree;Merge Sort;Ordered Set;</v>
      </c>
      <c r="M2032" s="20" t="b">
        <f>IFERROR(__xludf.DUMMYFUNCTION("""COMPUTED_VALUE"""),FALSE)</f>
        <v>0</v>
      </c>
      <c r="N2032" s="20" t="b">
        <f>IFERROR(__xludf.DUMMYFUNCTION("""COMPUTED_VALUE"""),FALSE)</f>
        <v>0</v>
      </c>
      <c r="O2032" s="20">
        <f>IFERROR(__xludf.DUMMYFUNCTION("""COMPUTED_VALUE"""),52.1739130434782)</f>
        <v>52.17391304</v>
      </c>
      <c r="P2032" s="20">
        <f>IFERROR(__xludf.DUMMYFUNCTION("""COMPUTED_VALUE"""),2544.0)</f>
        <v>2544</v>
      </c>
      <c r="Q2032" s="20">
        <f>IFERROR(__xludf.DUMMYFUNCTION("""COMPUTED_VALUE"""),4876.0)</f>
        <v>4876</v>
      </c>
    </row>
    <row r="2033">
      <c r="A2033" s="20">
        <f>IFERROR(__xludf.DUMMYFUNCTION("""COMPUTED_VALUE"""),2159.0)</f>
        <v>2159</v>
      </c>
      <c r="B2033" s="20" t="str">
        <f>IFERROR(__xludf.DUMMYFUNCTION("""COMPUTED_VALUE"""),"Two Out of Three")</f>
        <v>Two Out of Three</v>
      </c>
      <c r="C2033" s="20" t="str">
        <f>IFERROR(__xludf.DUMMYFUNCTION("""COMPUTED_VALUE"""),"two-out-of-three")</f>
        <v>two-out-of-three</v>
      </c>
      <c r="D2033" s="20" t="b">
        <f>IFERROR(__xludf.DUMMYFUNCTION("""COMPUTED_VALUE"""),FALSE)</f>
        <v>0</v>
      </c>
      <c r="E2033" s="20" t="str">
        <f>IFERROR(__xludf.DUMMYFUNCTION("""COMPUTED_VALUE"""),"Easy")</f>
        <v>Easy</v>
      </c>
      <c r="F2033" s="20">
        <f>IFERROR(__xludf.DUMMYFUNCTION("""COMPUTED_VALUE"""),494.0)</f>
        <v>494</v>
      </c>
      <c r="G2033" s="20">
        <f>IFERROR(__xludf.DUMMYFUNCTION("""COMPUTED_VALUE"""),34.0)</f>
        <v>34</v>
      </c>
      <c r="H2033" s="20" t="str">
        <f>IFERROR(__xludf.DUMMYFUNCTION("""COMPUTED_VALUE"""),"Algorithms")</f>
        <v>Algorithms</v>
      </c>
      <c r="I2033" s="20">
        <f>IFERROR(__xludf.DUMMYFUNCTION("""COMPUTED_VALUE"""),0.728)</f>
        <v>0.728</v>
      </c>
      <c r="J2033" s="20">
        <f>IFERROR(__xludf.DUMMYFUNCTION("""COMPUTED_VALUE"""),2032.0)</f>
        <v>2032</v>
      </c>
      <c r="K2033" s="20" t="b">
        <f>IFERROR(__xludf.DUMMYFUNCTION("""COMPUTED_VALUE"""),FALSE)</f>
        <v>0</v>
      </c>
      <c r="L2033" s="20" t="str">
        <f>IFERROR(__xludf.DUMMYFUNCTION("""COMPUTED_VALUE"""),"Array;Hash Table;")</f>
        <v>Array;Hash Table;</v>
      </c>
      <c r="M2033" s="20" t="b">
        <f>IFERROR(__xludf.DUMMYFUNCTION("""COMPUTED_VALUE"""),FALSE)</f>
        <v>0</v>
      </c>
      <c r="N2033" s="20" t="b">
        <f>IFERROR(__xludf.DUMMYFUNCTION("""COMPUTED_VALUE"""),FALSE)</f>
        <v>0</v>
      </c>
      <c r="O2033" s="20">
        <f>IFERROR(__xludf.DUMMYFUNCTION("""COMPUTED_VALUE"""),72.7890178603514)</f>
        <v>72.78901786</v>
      </c>
      <c r="P2033" s="20">
        <f>IFERROR(__xludf.DUMMYFUNCTION("""COMPUTED_VALUE"""),40510.0)</f>
        <v>40510</v>
      </c>
      <c r="Q2033" s="20">
        <f>IFERROR(__xludf.DUMMYFUNCTION("""COMPUTED_VALUE"""),55654.0)</f>
        <v>55654</v>
      </c>
    </row>
    <row r="2034">
      <c r="A2034" s="20">
        <f>IFERROR(__xludf.DUMMYFUNCTION("""COMPUTED_VALUE"""),2160.0)</f>
        <v>2160</v>
      </c>
      <c r="B2034" s="20" t="str">
        <f>IFERROR(__xludf.DUMMYFUNCTION("""COMPUTED_VALUE"""),"Minimum Operations to Make a Uni-Value Grid")</f>
        <v>Minimum Operations to Make a Uni-Value Grid</v>
      </c>
      <c r="C2034" s="20" t="str">
        <f>IFERROR(__xludf.DUMMYFUNCTION("""COMPUTED_VALUE"""),"minimum-operations-to-make-a-uni-value-grid")</f>
        <v>minimum-operations-to-make-a-uni-value-grid</v>
      </c>
      <c r="D2034" s="20" t="b">
        <f>IFERROR(__xludf.DUMMYFUNCTION("""COMPUTED_VALUE"""),FALSE)</f>
        <v>0</v>
      </c>
      <c r="E2034" s="20" t="str">
        <f>IFERROR(__xludf.DUMMYFUNCTION("""COMPUTED_VALUE"""),"Medium")</f>
        <v>Medium</v>
      </c>
      <c r="F2034" s="20">
        <f>IFERROR(__xludf.DUMMYFUNCTION("""COMPUTED_VALUE"""),438.0)</f>
        <v>438</v>
      </c>
      <c r="G2034" s="20">
        <f>IFERROR(__xludf.DUMMYFUNCTION("""COMPUTED_VALUE"""),34.0)</f>
        <v>34</v>
      </c>
      <c r="H2034" s="20" t="str">
        <f>IFERROR(__xludf.DUMMYFUNCTION("""COMPUTED_VALUE"""),"Algorithms")</f>
        <v>Algorithms</v>
      </c>
      <c r="I2034" s="20">
        <f>IFERROR(__xludf.DUMMYFUNCTION("""COMPUTED_VALUE"""),0.524)</f>
        <v>0.524</v>
      </c>
      <c r="J2034" s="20">
        <f>IFERROR(__xludf.DUMMYFUNCTION("""COMPUTED_VALUE"""),2033.0)</f>
        <v>2033</v>
      </c>
      <c r="K2034" s="20" t="b">
        <f>IFERROR(__xludf.DUMMYFUNCTION("""COMPUTED_VALUE"""),FALSE)</f>
        <v>0</v>
      </c>
      <c r="L2034" s="20" t="str">
        <f>IFERROR(__xludf.DUMMYFUNCTION("""COMPUTED_VALUE"""),"Array;Math;Sorting;Matrix;")</f>
        <v>Array;Math;Sorting;Matrix;</v>
      </c>
      <c r="M2034" s="20" t="b">
        <f>IFERROR(__xludf.DUMMYFUNCTION("""COMPUTED_VALUE"""),FALSE)</f>
        <v>0</v>
      </c>
      <c r="N2034" s="20" t="b">
        <f>IFERROR(__xludf.DUMMYFUNCTION("""COMPUTED_VALUE"""),FALSE)</f>
        <v>0</v>
      </c>
      <c r="O2034" s="20">
        <f>IFERROR(__xludf.DUMMYFUNCTION("""COMPUTED_VALUE"""),52.3771929824561)</f>
        <v>52.37719298</v>
      </c>
      <c r="P2034" s="20">
        <f>IFERROR(__xludf.DUMMYFUNCTION("""COMPUTED_VALUE"""),17913.0)</f>
        <v>17913</v>
      </c>
      <c r="Q2034" s="20">
        <f>IFERROR(__xludf.DUMMYFUNCTION("""COMPUTED_VALUE"""),34200.0)</f>
        <v>34200</v>
      </c>
    </row>
    <row r="2035">
      <c r="A2035" s="20">
        <f>IFERROR(__xludf.DUMMYFUNCTION("""COMPUTED_VALUE"""),2161.0)</f>
        <v>2161</v>
      </c>
      <c r="B2035" s="20" t="str">
        <f>IFERROR(__xludf.DUMMYFUNCTION("""COMPUTED_VALUE"""),"Stock Price Fluctuation ")</f>
        <v>Stock Price Fluctuation </v>
      </c>
      <c r="C2035" s="20" t="str">
        <f>IFERROR(__xludf.DUMMYFUNCTION("""COMPUTED_VALUE"""),"stock-price-fluctuation")</f>
        <v>stock-price-fluctuation</v>
      </c>
      <c r="D2035" s="20" t="b">
        <f>IFERROR(__xludf.DUMMYFUNCTION("""COMPUTED_VALUE"""),FALSE)</f>
        <v>0</v>
      </c>
      <c r="E2035" s="20" t="str">
        <f>IFERROR(__xludf.DUMMYFUNCTION("""COMPUTED_VALUE"""),"Medium")</f>
        <v>Medium</v>
      </c>
      <c r="F2035" s="20">
        <f>IFERROR(__xludf.DUMMYFUNCTION("""COMPUTED_VALUE"""),883.0)</f>
        <v>883</v>
      </c>
      <c r="G2035" s="20">
        <f>IFERROR(__xludf.DUMMYFUNCTION("""COMPUTED_VALUE"""),50.0)</f>
        <v>50</v>
      </c>
      <c r="H2035" s="20" t="str">
        <f>IFERROR(__xludf.DUMMYFUNCTION("""COMPUTED_VALUE"""),"Algorithms")</f>
        <v>Algorithms</v>
      </c>
      <c r="I2035" s="20">
        <f>IFERROR(__xludf.DUMMYFUNCTION("""COMPUTED_VALUE"""),0.491)</f>
        <v>0.491</v>
      </c>
      <c r="J2035" s="20">
        <f>IFERROR(__xludf.DUMMYFUNCTION("""COMPUTED_VALUE"""),2034.0)</f>
        <v>2034</v>
      </c>
      <c r="K2035" s="20" t="b">
        <f>IFERROR(__xludf.DUMMYFUNCTION("""COMPUTED_VALUE"""),FALSE)</f>
        <v>0</v>
      </c>
      <c r="L2035" s="20" t="str">
        <f>IFERROR(__xludf.DUMMYFUNCTION("""COMPUTED_VALUE"""),"Hash Table;Design;Heap (Priority Queue);Data Stream;Ordered Set;")</f>
        <v>Hash Table;Design;Heap (Priority Queue);Data Stream;Ordered Set;</v>
      </c>
      <c r="M2035" s="20" t="b">
        <f>IFERROR(__xludf.DUMMYFUNCTION("""COMPUTED_VALUE"""),TRUE)</f>
        <v>1</v>
      </c>
      <c r="N2035" s="20" t="b">
        <f>IFERROR(__xludf.DUMMYFUNCTION("""COMPUTED_VALUE"""),FALSE)</f>
        <v>0</v>
      </c>
      <c r="O2035" s="20">
        <f>IFERROR(__xludf.DUMMYFUNCTION("""COMPUTED_VALUE"""),49.1240337913178)</f>
        <v>49.12403379</v>
      </c>
      <c r="P2035" s="20">
        <f>IFERROR(__xludf.DUMMYFUNCTION("""COMPUTED_VALUE"""),51986.0)</f>
        <v>51986</v>
      </c>
      <c r="Q2035" s="20">
        <f>IFERROR(__xludf.DUMMYFUNCTION("""COMPUTED_VALUE"""),105826.0)</f>
        <v>105826</v>
      </c>
    </row>
    <row r="2036">
      <c r="A2036" s="20">
        <f>IFERROR(__xludf.DUMMYFUNCTION("""COMPUTED_VALUE"""),2162.0)</f>
        <v>2162</v>
      </c>
      <c r="B2036" s="20" t="str">
        <f>IFERROR(__xludf.DUMMYFUNCTION("""COMPUTED_VALUE"""),"Partition Array Into Two Arrays to Minimize Sum Difference")</f>
        <v>Partition Array Into Two Arrays to Minimize Sum Difference</v>
      </c>
      <c r="C2036" s="20" t="str">
        <f>IFERROR(__xludf.DUMMYFUNCTION("""COMPUTED_VALUE"""),"partition-array-into-two-arrays-to-minimize-sum-difference")</f>
        <v>partition-array-into-two-arrays-to-minimize-sum-difference</v>
      </c>
      <c r="D2036" s="20" t="b">
        <f>IFERROR(__xludf.DUMMYFUNCTION("""COMPUTED_VALUE"""),FALSE)</f>
        <v>0</v>
      </c>
      <c r="E2036" s="20" t="str">
        <f>IFERROR(__xludf.DUMMYFUNCTION("""COMPUTED_VALUE"""),"Hard")</f>
        <v>Hard</v>
      </c>
      <c r="F2036" s="20">
        <f>IFERROR(__xludf.DUMMYFUNCTION("""COMPUTED_VALUE"""),1652.0)</f>
        <v>1652</v>
      </c>
      <c r="G2036" s="20">
        <f>IFERROR(__xludf.DUMMYFUNCTION("""COMPUTED_VALUE"""),94.0)</f>
        <v>94</v>
      </c>
      <c r="H2036" s="20" t="str">
        <f>IFERROR(__xludf.DUMMYFUNCTION("""COMPUTED_VALUE"""),"Algorithms")</f>
        <v>Algorithms</v>
      </c>
      <c r="I2036" s="20">
        <f>IFERROR(__xludf.DUMMYFUNCTION("""COMPUTED_VALUE"""),0.185)</f>
        <v>0.185</v>
      </c>
      <c r="J2036" s="20">
        <f>IFERROR(__xludf.DUMMYFUNCTION("""COMPUTED_VALUE"""),2035.0)</f>
        <v>2035</v>
      </c>
      <c r="K2036" s="20" t="b">
        <f>IFERROR(__xludf.DUMMYFUNCTION("""COMPUTED_VALUE"""),FALSE)</f>
        <v>0</v>
      </c>
      <c r="L2036" s="20" t="str">
        <f>IFERROR(__xludf.DUMMYFUNCTION("""COMPUTED_VALUE"""),"Array;Two Pointers;Binary Search;Dynamic Programming;Bit Manipulation;Ordered Set;Bitmask;")</f>
        <v>Array;Two Pointers;Binary Search;Dynamic Programming;Bit Manipulation;Ordered Set;Bitmask;</v>
      </c>
      <c r="M2036" s="20" t="b">
        <f>IFERROR(__xludf.DUMMYFUNCTION("""COMPUTED_VALUE"""),FALSE)</f>
        <v>0</v>
      </c>
      <c r="N2036" s="20" t="b">
        <f>IFERROR(__xludf.DUMMYFUNCTION("""COMPUTED_VALUE"""),FALSE)</f>
        <v>0</v>
      </c>
      <c r="O2036" s="20">
        <f>IFERROR(__xludf.DUMMYFUNCTION("""COMPUTED_VALUE"""),18.4859268845034)</f>
        <v>18.48592688</v>
      </c>
      <c r="P2036" s="20">
        <f>IFERROR(__xludf.DUMMYFUNCTION("""COMPUTED_VALUE"""),11428.0)</f>
        <v>11428</v>
      </c>
      <c r="Q2036" s="20">
        <f>IFERROR(__xludf.DUMMYFUNCTION("""COMPUTED_VALUE"""),61819.0)</f>
        <v>61819</v>
      </c>
    </row>
    <row r="2037">
      <c r="A2037" s="20">
        <f>IFERROR(__xludf.DUMMYFUNCTION("""COMPUTED_VALUE"""),512.0)</f>
        <v>512</v>
      </c>
      <c r="B2037" s="20" t="str">
        <f>IFERROR(__xludf.DUMMYFUNCTION("""COMPUTED_VALUE"""),"Maximum Alternating Subarray Sum")</f>
        <v>Maximum Alternating Subarray Sum</v>
      </c>
      <c r="C2037" s="20" t="str">
        <f>IFERROR(__xludf.DUMMYFUNCTION("""COMPUTED_VALUE"""),"maximum-alternating-subarray-sum")</f>
        <v>maximum-alternating-subarray-sum</v>
      </c>
      <c r="D2037" s="20" t="b">
        <f>IFERROR(__xludf.DUMMYFUNCTION("""COMPUTED_VALUE"""),TRUE)</f>
        <v>1</v>
      </c>
      <c r="E2037" s="20" t="str">
        <f>IFERROR(__xludf.DUMMYFUNCTION("""COMPUTED_VALUE"""),"Medium")</f>
        <v>Medium</v>
      </c>
      <c r="F2037" s="20">
        <f>IFERROR(__xludf.DUMMYFUNCTION("""COMPUTED_VALUE"""),69.0)</f>
        <v>69</v>
      </c>
      <c r="G2037" s="20">
        <f>IFERROR(__xludf.DUMMYFUNCTION("""COMPUTED_VALUE"""),4.0)</f>
        <v>4</v>
      </c>
      <c r="H2037" s="20" t="str">
        <f>IFERROR(__xludf.DUMMYFUNCTION("""COMPUTED_VALUE"""),"Algorithms")</f>
        <v>Algorithms</v>
      </c>
      <c r="I2037" s="20">
        <f>IFERROR(__xludf.DUMMYFUNCTION("""COMPUTED_VALUE"""),0.409)</f>
        <v>0.409</v>
      </c>
      <c r="J2037" s="20">
        <f>IFERROR(__xludf.DUMMYFUNCTION("""COMPUTED_VALUE"""),2036.0)</f>
        <v>2036</v>
      </c>
      <c r="K2037" s="20" t="b">
        <f>IFERROR(__xludf.DUMMYFUNCTION("""COMPUTED_VALUE"""),TRUE)</f>
        <v>1</v>
      </c>
      <c r="L2037" s="20" t="str">
        <f>IFERROR(__xludf.DUMMYFUNCTION("""COMPUTED_VALUE"""),"Array;Dynamic Programming;")</f>
        <v>Array;Dynamic Programming;</v>
      </c>
      <c r="M2037" s="20" t="b">
        <f>IFERROR(__xludf.DUMMYFUNCTION("""COMPUTED_VALUE"""),FALSE)</f>
        <v>0</v>
      </c>
      <c r="N2037" s="20" t="b">
        <f>IFERROR(__xludf.DUMMYFUNCTION("""COMPUTED_VALUE"""),FALSE)</f>
        <v>0</v>
      </c>
      <c r="O2037" s="20">
        <f>IFERROR(__xludf.DUMMYFUNCTION("""COMPUTED_VALUE"""),40.8695652173913)</f>
        <v>40.86956522</v>
      </c>
      <c r="P2037" s="20">
        <f>IFERROR(__xludf.DUMMYFUNCTION("""COMPUTED_VALUE"""),1927.0)</f>
        <v>1927</v>
      </c>
      <c r="Q2037" s="20">
        <f>IFERROR(__xludf.DUMMYFUNCTION("""COMPUTED_VALUE"""),4715.0)</f>
        <v>4715</v>
      </c>
    </row>
    <row r="2038">
      <c r="A2038" s="20">
        <f>IFERROR(__xludf.DUMMYFUNCTION("""COMPUTED_VALUE"""),2148.0)</f>
        <v>2148</v>
      </c>
      <c r="B2038" s="20" t="str">
        <f>IFERROR(__xludf.DUMMYFUNCTION("""COMPUTED_VALUE"""),"Minimum Number of Moves to Seat Everyone")</f>
        <v>Minimum Number of Moves to Seat Everyone</v>
      </c>
      <c r="C2038" s="20" t="str">
        <f>IFERROR(__xludf.DUMMYFUNCTION("""COMPUTED_VALUE"""),"minimum-number-of-moves-to-seat-everyone")</f>
        <v>minimum-number-of-moves-to-seat-everyone</v>
      </c>
      <c r="D2038" s="20" t="b">
        <f>IFERROR(__xludf.DUMMYFUNCTION("""COMPUTED_VALUE"""),FALSE)</f>
        <v>0</v>
      </c>
      <c r="E2038" s="20" t="str">
        <f>IFERROR(__xludf.DUMMYFUNCTION("""COMPUTED_VALUE"""),"Easy")</f>
        <v>Easy</v>
      </c>
      <c r="F2038" s="20">
        <f>IFERROR(__xludf.DUMMYFUNCTION("""COMPUTED_VALUE"""),529.0)</f>
        <v>529</v>
      </c>
      <c r="G2038" s="20">
        <f>IFERROR(__xludf.DUMMYFUNCTION("""COMPUTED_VALUE"""),94.0)</f>
        <v>94</v>
      </c>
      <c r="H2038" s="20" t="str">
        <f>IFERROR(__xludf.DUMMYFUNCTION("""COMPUTED_VALUE"""),"Algorithms")</f>
        <v>Algorithms</v>
      </c>
      <c r="I2038" s="20">
        <f>IFERROR(__xludf.DUMMYFUNCTION("""COMPUTED_VALUE"""),0.821)</f>
        <v>0.821</v>
      </c>
      <c r="J2038" s="20">
        <f>IFERROR(__xludf.DUMMYFUNCTION("""COMPUTED_VALUE"""),2037.0)</f>
        <v>2037</v>
      </c>
      <c r="K2038" s="20" t="b">
        <f>IFERROR(__xludf.DUMMYFUNCTION("""COMPUTED_VALUE"""),FALSE)</f>
        <v>0</v>
      </c>
      <c r="L2038" s="20" t="str">
        <f>IFERROR(__xludf.DUMMYFUNCTION("""COMPUTED_VALUE"""),"Array;Sorting;")</f>
        <v>Array;Sorting;</v>
      </c>
      <c r="M2038" s="20" t="b">
        <f>IFERROR(__xludf.DUMMYFUNCTION("""COMPUTED_VALUE"""),FALSE)</f>
        <v>0</v>
      </c>
      <c r="N2038" s="20" t="b">
        <f>IFERROR(__xludf.DUMMYFUNCTION("""COMPUTED_VALUE"""),FALSE)</f>
        <v>0</v>
      </c>
      <c r="O2038" s="20">
        <f>IFERROR(__xludf.DUMMYFUNCTION("""COMPUTED_VALUE"""),82.0715920831392)</f>
        <v>82.07159208</v>
      </c>
      <c r="P2038" s="20">
        <f>IFERROR(__xludf.DUMMYFUNCTION("""COMPUTED_VALUE"""),40512.0)</f>
        <v>40512</v>
      </c>
      <c r="Q2038" s="20">
        <f>IFERROR(__xludf.DUMMYFUNCTION("""COMPUTED_VALUE"""),49361.0)</f>
        <v>49361</v>
      </c>
    </row>
    <row r="2039">
      <c r="A2039" s="20">
        <f>IFERROR(__xludf.DUMMYFUNCTION("""COMPUTED_VALUE"""),2149.0)</f>
        <v>2149</v>
      </c>
      <c r="B2039" s="20" t="str">
        <f>IFERROR(__xludf.DUMMYFUNCTION("""COMPUTED_VALUE"""),"Remove Colored Pieces if Both Neighbors are the Same Color")</f>
        <v>Remove Colored Pieces if Both Neighbors are the Same Color</v>
      </c>
      <c r="C2039" s="20" t="str">
        <f>IFERROR(__xludf.DUMMYFUNCTION("""COMPUTED_VALUE"""),"remove-colored-pieces-if-both-neighbors-are-the-same-color")</f>
        <v>remove-colored-pieces-if-both-neighbors-are-the-same-color</v>
      </c>
      <c r="D2039" s="20" t="b">
        <f>IFERROR(__xludf.DUMMYFUNCTION("""COMPUTED_VALUE"""),FALSE)</f>
        <v>0</v>
      </c>
      <c r="E2039" s="20" t="str">
        <f>IFERROR(__xludf.DUMMYFUNCTION("""COMPUTED_VALUE"""),"Medium")</f>
        <v>Medium</v>
      </c>
      <c r="F2039" s="20">
        <f>IFERROR(__xludf.DUMMYFUNCTION("""COMPUTED_VALUE"""),350.0)</f>
        <v>350</v>
      </c>
      <c r="G2039" s="20">
        <f>IFERROR(__xludf.DUMMYFUNCTION("""COMPUTED_VALUE"""),33.0)</f>
        <v>33</v>
      </c>
      <c r="H2039" s="20" t="str">
        <f>IFERROR(__xludf.DUMMYFUNCTION("""COMPUTED_VALUE"""),"Algorithms")</f>
        <v>Algorithms</v>
      </c>
      <c r="I2039" s="20">
        <f>IFERROR(__xludf.DUMMYFUNCTION("""COMPUTED_VALUE"""),0.582)</f>
        <v>0.582</v>
      </c>
      <c r="J2039" s="20">
        <f>IFERROR(__xludf.DUMMYFUNCTION("""COMPUTED_VALUE"""),2038.0)</f>
        <v>2038</v>
      </c>
      <c r="K2039" s="20" t="b">
        <f>IFERROR(__xludf.DUMMYFUNCTION("""COMPUTED_VALUE"""),FALSE)</f>
        <v>0</v>
      </c>
      <c r="L2039" s="20" t="str">
        <f>IFERROR(__xludf.DUMMYFUNCTION("""COMPUTED_VALUE"""),"Math;String;Greedy;Game Theory;")</f>
        <v>Math;String;Greedy;Game Theory;</v>
      </c>
      <c r="M2039" s="20" t="b">
        <f>IFERROR(__xludf.DUMMYFUNCTION("""COMPUTED_VALUE"""),FALSE)</f>
        <v>0</v>
      </c>
      <c r="N2039" s="20" t="b">
        <f>IFERROR(__xludf.DUMMYFUNCTION("""COMPUTED_VALUE"""),FALSE)</f>
        <v>0</v>
      </c>
      <c r="O2039" s="20">
        <f>IFERROR(__xludf.DUMMYFUNCTION("""COMPUTED_VALUE"""),58.1817669119927)</f>
        <v>58.18176691</v>
      </c>
      <c r="P2039" s="20">
        <f>IFERROR(__xludf.DUMMYFUNCTION("""COMPUTED_VALUE"""),20633.0)</f>
        <v>20633</v>
      </c>
      <c r="Q2039" s="20">
        <f>IFERROR(__xludf.DUMMYFUNCTION("""COMPUTED_VALUE"""),35463.0)</f>
        <v>35463</v>
      </c>
    </row>
    <row r="2040">
      <c r="A2040" s="20">
        <f>IFERROR(__xludf.DUMMYFUNCTION("""COMPUTED_VALUE"""),2151.0)</f>
        <v>2151</v>
      </c>
      <c r="B2040" s="20" t="str">
        <f>IFERROR(__xludf.DUMMYFUNCTION("""COMPUTED_VALUE"""),"The Time When the Network Becomes Idle")</f>
        <v>The Time When the Network Becomes Idle</v>
      </c>
      <c r="C2040" s="20" t="str">
        <f>IFERROR(__xludf.DUMMYFUNCTION("""COMPUTED_VALUE"""),"the-time-when-the-network-becomes-idle")</f>
        <v>the-time-when-the-network-becomes-idle</v>
      </c>
      <c r="D2040" s="20" t="b">
        <f>IFERROR(__xludf.DUMMYFUNCTION("""COMPUTED_VALUE"""),FALSE)</f>
        <v>0</v>
      </c>
      <c r="E2040" s="20" t="str">
        <f>IFERROR(__xludf.DUMMYFUNCTION("""COMPUTED_VALUE"""),"Medium")</f>
        <v>Medium</v>
      </c>
      <c r="F2040" s="20">
        <f>IFERROR(__xludf.DUMMYFUNCTION("""COMPUTED_VALUE"""),469.0)</f>
        <v>469</v>
      </c>
      <c r="G2040" s="20">
        <f>IFERROR(__xludf.DUMMYFUNCTION("""COMPUTED_VALUE"""),32.0)</f>
        <v>32</v>
      </c>
      <c r="H2040" s="20" t="str">
        <f>IFERROR(__xludf.DUMMYFUNCTION("""COMPUTED_VALUE"""),"Algorithms")</f>
        <v>Algorithms</v>
      </c>
      <c r="I2040" s="20">
        <f>IFERROR(__xludf.DUMMYFUNCTION("""COMPUTED_VALUE"""),0.508)</f>
        <v>0.508</v>
      </c>
      <c r="J2040" s="20">
        <f>IFERROR(__xludf.DUMMYFUNCTION("""COMPUTED_VALUE"""),2039.0)</f>
        <v>2039</v>
      </c>
      <c r="K2040" s="20" t="b">
        <f>IFERROR(__xludf.DUMMYFUNCTION("""COMPUTED_VALUE"""),FALSE)</f>
        <v>0</v>
      </c>
      <c r="L2040" s="20" t="str">
        <f>IFERROR(__xludf.DUMMYFUNCTION("""COMPUTED_VALUE"""),"Array;Breadth-First Search;Graph;")</f>
        <v>Array;Breadth-First Search;Graph;</v>
      </c>
      <c r="M2040" s="20" t="b">
        <f>IFERROR(__xludf.DUMMYFUNCTION("""COMPUTED_VALUE"""),FALSE)</f>
        <v>0</v>
      </c>
      <c r="N2040" s="20" t="b">
        <f>IFERROR(__xludf.DUMMYFUNCTION("""COMPUTED_VALUE"""),FALSE)</f>
        <v>0</v>
      </c>
      <c r="O2040" s="20">
        <f>IFERROR(__xludf.DUMMYFUNCTION("""COMPUTED_VALUE"""),50.808137459848)</f>
        <v>50.80813746</v>
      </c>
      <c r="P2040" s="20">
        <f>IFERROR(__xludf.DUMMYFUNCTION("""COMPUTED_VALUE"""),9965.0)</f>
        <v>9965</v>
      </c>
      <c r="Q2040" s="20">
        <f>IFERROR(__xludf.DUMMYFUNCTION("""COMPUTED_VALUE"""),19613.0)</f>
        <v>19613</v>
      </c>
    </row>
    <row r="2041">
      <c r="A2041" s="20">
        <f>IFERROR(__xludf.DUMMYFUNCTION("""COMPUTED_VALUE"""),2150.0)</f>
        <v>2150</v>
      </c>
      <c r="B2041" s="20" t="str">
        <f>IFERROR(__xludf.DUMMYFUNCTION("""COMPUTED_VALUE"""),"Kth Smallest Product of Two Sorted Arrays")</f>
        <v>Kth Smallest Product of Two Sorted Arrays</v>
      </c>
      <c r="C2041" s="20" t="str">
        <f>IFERROR(__xludf.DUMMYFUNCTION("""COMPUTED_VALUE"""),"kth-smallest-product-of-two-sorted-arrays")</f>
        <v>kth-smallest-product-of-two-sorted-arrays</v>
      </c>
      <c r="D2041" s="20" t="b">
        <f>IFERROR(__xludf.DUMMYFUNCTION("""COMPUTED_VALUE"""),FALSE)</f>
        <v>0</v>
      </c>
      <c r="E2041" s="20" t="str">
        <f>IFERROR(__xludf.DUMMYFUNCTION("""COMPUTED_VALUE"""),"Hard")</f>
        <v>Hard</v>
      </c>
      <c r="F2041" s="20">
        <f>IFERROR(__xludf.DUMMYFUNCTION("""COMPUTED_VALUE"""),491.0)</f>
        <v>491</v>
      </c>
      <c r="G2041" s="20">
        <f>IFERROR(__xludf.DUMMYFUNCTION("""COMPUTED_VALUE"""),30.0)</f>
        <v>30</v>
      </c>
      <c r="H2041" s="20" t="str">
        <f>IFERROR(__xludf.DUMMYFUNCTION("""COMPUTED_VALUE"""),"Algorithms")</f>
        <v>Algorithms</v>
      </c>
      <c r="I2041" s="20">
        <f>IFERROR(__xludf.DUMMYFUNCTION("""COMPUTED_VALUE"""),0.29)</f>
        <v>0.29</v>
      </c>
      <c r="J2041" s="20">
        <f>IFERROR(__xludf.DUMMYFUNCTION("""COMPUTED_VALUE"""),2040.0)</f>
        <v>2040</v>
      </c>
      <c r="K2041" s="20" t="b">
        <f>IFERROR(__xludf.DUMMYFUNCTION("""COMPUTED_VALUE"""),FALSE)</f>
        <v>0</v>
      </c>
      <c r="L2041" s="20" t="str">
        <f>IFERROR(__xludf.DUMMYFUNCTION("""COMPUTED_VALUE"""),"Array;Binary Search;")</f>
        <v>Array;Binary Search;</v>
      </c>
      <c r="M2041" s="20" t="b">
        <f>IFERROR(__xludf.DUMMYFUNCTION("""COMPUTED_VALUE"""),FALSE)</f>
        <v>0</v>
      </c>
      <c r="N2041" s="20" t="b">
        <f>IFERROR(__xludf.DUMMYFUNCTION("""COMPUTED_VALUE"""),FALSE)</f>
        <v>0</v>
      </c>
      <c r="O2041" s="20">
        <f>IFERROR(__xludf.DUMMYFUNCTION("""COMPUTED_VALUE"""),29.0241194873347)</f>
        <v>29.02411949</v>
      </c>
      <c r="P2041" s="20">
        <f>IFERROR(__xludf.DUMMYFUNCTION("""COMPUTED_VALUE"""),8628.0)</f>
        <v>8628</v>
      </c>
      <c r="Q2041" s="20">
        <f>IFERROR(__xludf.DUMMYFUNCTION("""COMPUTED_VALUE"""),29727.0)</f>
        <v>29727</v>
      </c>
    </row>
    <row r="2042">
      <c r="A2042" s="20">
        <f>IFERROR(__xludf.DUMMYFUNCTION("""COMPUTED_VALUE"""),2185.0)</f>
        <v>2185</v>
      </c>
      <c r="B2042" s="20" t="str">
        <f>IFERROR(__xludf.DUMMYFUNCTION("""COMPUTED_VALUE"""),"Accepted Candidates From the Interviews")</f>
        <v>Accepted Candidates From the Interviews</v>
      </c>
      <c r="C2042" s="20" t="str">
        <f>IFERROR(__xludf.DUMMYFUNCTION("""COMPUTED_VALUE"""),"accepted-candidates-from-the-interviews")</f>
        <v>accepted-candidates-from-the-interviews</v>
      </c>
      <c r="D2042" s="20" t="b">
        <f>IFERROR(__xludf.DUMMYFUNCTION("""COMPUTED_VALUE"""),TRUE)</f>
        <v>1</v>
      </c>
      <c r="E2042" s="20" t="str">
        <f>IFERROR(__xludf.DUMMYFUNCTION("""COMPUTED_VALUE"""),"Medium")</f>
        <v>Medium</v>
      </c>
      <c r="F2042" s="20">
        <f>IFERROR(__xludf.DUMMYFUNCTION("""COMPUTED_VALUE"""),30.0)</f>
        <v>30</v>
      </c>
      <c r="G2042" s="20">
        <f>IFERROR(__xludf.DUMMYFUNCTION("""COMPUTED_VALUE"""),24.0)</f>
        <v>24</v>
      </c>
      <c r="H2042" s="20" t="str">
        <f>IFERROR(__xludf.DUMMYFUNCTION("""COMPUTED_VALUE"""),"Database")</f>
        <v>Database</v>
      </c>
      <c r="I2042" s="20">
        <f>IFERROR(__xludf.DUMMYFUNCTION("""COMPUTED_VALUE"""),0.796)</f>
        <v>0.796</v>
      </c>
      <c r="J2042" s="20">
        <f>IFERROR(__xludf.DUMMYFUNCTION("""COMPUTED_VALUE"""),2041.0)</f>
        <v>2041</v>
      </c>
      <c r="K2042" s="20" t="b">
        <f>IFERROR(__xludf.DUMMYFUNCTION("""COMPUTED_VALUE"""),TRUE)</f>
        <v>1</v>
      </c>
      <c r="L2042" s="20" t="str">
        <f>IFERROR(__xludf.DUMMYFUNCTION("""COMPUTED_VALUE"""),"Database;")</f>
        <v>Database;</v>
      </c>
      <c r="M2042" s="20" t="b">
        <f>IFERROR(__xludf.DUMMYFUNCTION("""COMPUTED_VALUE"""),FALSE)</f>
        <v>0</v>
      </c>
      <c r="N2042" s="20" t="b">
        <f>IFERROR(__xludf.DUMMYFUNCTION("""COMPUTED_VALUE"""),FALSE)</f>
        <v>0</v>
      </c>
      <c r="O2042" s="20">
        <f>IFERROR(__xludf.DUMMYFUNCTION("""COMPUTED_VALUE"""),79.6233632484919)</f>
        <v>79.62336325</v>
      </c>
      <c r="P2042" s="20">
        <f>IFERROR(__xludf.DUMMYFUNCTION("""COMPUTED_VALUE"""),5412.0)</f>
        <v>5412</v>
      </c>
      <c r="Q2042" s="20">
        <f>IFERROR(__xludf.DUMMYFUNCTION("""COMPUTED_VALUE"""),6797.0)</f>
        <v>6797</v>
      </c>
    </row>
    <row r="2043">
      <c r="A2043" s="20">
        <f>IFERROR(__xludf.DUMMYFUNCTION("""COMPUTED_VALUE"""),2168.0)</f>
        <v>2168</v>
      </c>
      <c r="B2043" s="20" t="str">
        <f>IFERROR(__xludf.DUMMYFUNCTION("""COMPUTED_VALUE"""),"Check if Numbers Are Ascending in a Sentence")</f>
        <v>Check if Numbers Are Ascending in a Sentence</v>
      </c>
      <c r="C2043" s="20" t="str">
        <f>IFERROR(__xludf.DUMMYFUNCTION("""COMPUTED_VALUE"""),"check-if-numbers-are-ascending-in-a-sentence")</f>
        <v>check-if-numbers-are-ascending-in-a-sentence</v>
      </c>
      <c r="D2043" s="20" t="b">
        <f>IFERROR(__xludf.DUMMYFUNCTION("""COMPUTED_VALUE"""),FALSE)</f>
        <v>0</v>
      </c>
      <c r="E2043" s="20" t="str">
        <f>IFERROR(__xludf.DUMMYFUNCTION("""COMPUTED_VALUE"""),"Easy")</f>
        <v>Easy</v>
      </c>
      <c r="F2043" s="20">
        <f>IFERROR(__xludf.DUMMYFUNCTION("""COMPUTED_VALUE"""),406.0)</f>
        <v>406</v>
      </c>
      <c r="G2043" s="20">
        <f>IFERROR(__xludf.DUMMYFUNCTION("""COMPUTED_VALUE"""),15.0)</f>
        <v>15</v>
      </c>
      <c r="H2043" s="20" t="str">
        <f>IFERROR(__xludf.DUMMYFUNCTION("""COMPUTED_VALUE"""),"Algorithms")</f>
        <v>Algorithms</v>
      </c>
      <c r="I2043" s="20">
        <f>IFERROR(__xludf.DUMMYFUNCTION("""COMPUTED_VALUE"""),0.662)</f>
        <v>0.662</v>
      </c>
      <c r="J2043" s="20">
        <f>IFERROR(__xludf.DUMMYFUNCTION("""COMPUTED_VALUE"""),2042.0)</f>
        <v>2042</v>
      </c>
      <c r="K2043" s="20" t="b">
        <f>IFERROR(__xludf.DUMMYFUNCTION("""COMPUTED_VALUE"""),FALSE)</f>
        <v>0</v>
      </c>
      <c r="L2043" s="20" t="str">
        <f>IFERROR(__xludf.DUMMYFUNCTION("""COMPUTED_VALUE"""),"String;")</f>
        <v>String;</v>
      </c>
      <c r="M2043" s="20" t="b">
        <f>IFERROR(__xludf.DUMMYFUNCTION("""COMPUTED_VALUE"""),FALSE)</f>
        <v>0</v>
      </c>
      <c r="N2043" s="20" t="b">
        <f>IFERROR(__xludf.DUMMYFUNCTION("""COMPUTED_VALUE"""),FALSE)</f>
        <v>0</v>
      </c>
      <c r="O2043" s="20">
        <f>IFERROR(__xludf.DUMMYFUNCTION("""COMPUTED_VALUE"""),66.2380830624246)</f>
        <v>66.23808306</v>
      </c>
      <c r="P2043" s="20">
        <f>IFERROR(__xludf.DUMMYFUNCTION("""COMPUTED_VALUE"""),36267.0)</f>
        <v>36267</v>
      </c>
      <c r="Q2043" s="20">
        <f>IFERROR(__xludf.DUMMYFUNCTION("""COMPUTED_VALUE"""),54753.0)</f>
        <v>54753</v>
      </c>
    </row>
    <row r="2044">
      <c r="A2044" s="20">
        <f>IFERROR(__xludf.DUMMYFUNCTION("""COMPUTED_VALUE"""),2169.0)</f>
        <v>2169</v>
      </c>
      <c r="B2044" s="20" t="str">
        <f>IFERROR(__xludf.DUMMYFUNCTION("""COMPUTED_VALUE"""),"Simple Bank System")</f>
        <v>Simple Bank System</v>
      </c>
      <c r="C2044" s="20" t="str">
        <f>IFERROR(__xludf.DUMMYFUNCTION("""COMPUTED_VALUE"""),"simple-bank-system")</f>
        <v>simple-bank-system</v>
      </c>
      <c r="D2044" s="20" t="b">
        <f>IFERROR(__xludf.DUMMYFUNCTION("""COMPUTED_VALUE"""),FALSE)</f>
        <v>0</v>
      </c>
      <c r="E2044" s="20" t="str">
        <f>IFERROR(__xludf.DUMMYFUNCTION("""COMPUTED_VALUE"""),"Medium")</f>
        <v>Medium</v>
      </c>
      <c r="F2044" s="20">
        <f>IFERROR(__xludf.DUMMYFUNCTION("""COMPUTED_VALUE"""),151.0)</f>
        <v>151</v>
      </c>
      <c r="G2044" s="20">
        <f>IFERROR(__xludf.DUMMYFUNCTION("""COMPUTED_VALUE"""),159.0)</f>
        <v>159</v>
      </c>
      <c r="H2044" s="20" t="str">
        <f>IFERROR(__xludf.DUMMYFUNCTION("""COMPUTED_VALUE"""),"Algorithms")</f>
        <v>Algorithms</v>
      </c>
      <c r="I2044" s="20">
        <f>IFERROR(__xludf.DUMMYFUNCTION("""COMPUTED_VALUE"""),0.657)</f>
        <v>0.657</v>
      </c>
      <c r="J2044" s="20">
        <f>IFERROR(__xludf.DUMMYFUNCTION("""COMPUTED_VALUE"""),2043.0)</f>
        <v>2043</v>
      </c>
      <c r="K2044" s="20" t="b">
        <f>IFERROR(__xludf.DUMMYFUNCTION("""COMPUTED_VALUE"""),FALSE)</f>
        <v>0</v>
      </c>
      <c r="L2044" s="20" t="str">
        <f>IFERROR(__xludf.DUMMYFUNCTION("""COMPUTED_VALUE"""),"Array;Hash Table;Design;Simulation;")</f>
        <v>Array;Hash Table;Design;Simulation;</v>
      </c>
      <c r="M2044" s="20" t="b">
        <f>IFERROR(__xludf.DUMMYFUNCTION("""COMPUTED_VALUE"""),FALSE)</f>
        <v>0</v>
      </c>
      <c r="N2044" s="20" t="b">
        <f>IFERROR(__xludf.DUMMYFUNCTION("""COMPUTED_VALUE"""),FALSE)</f>
        <v>0</v>
      </c>
      <c r="O2044" s="20">
        <f>IFERROR(__xludf.DUMMYFUNCTION("""COMPUTED_VALUE"""),65.6864280679771)</f>
        <v>65.68642807</v>
      </c>
      <c r="P2044" s="20">
        <f>IFERROR(__xludf.DUMMYFUNCTION("""COMPUTED_VALUE"""),16775.0)</f>
        <v>16775</v>
      </c>
      <c r="Q2044" s="20">
        <f>IFERROR(__xludf.DUMMYFUNCTION("""COMPUTED_VALUE"""),25538.0)</f>
        <v>25538</v>
      </c>
    </row>
    <row r="2045">
      <c r="A2045" s="20">
        <f>IFERROR(__xludf.DUMMYFUNCTION("""COMPUTED_VALUE"""),2170.0)</f>
        <v>2170</v>
      </c>
      <c r="B2045" s="20" t="str">
        <f>IFERROR(__xludf.DUMMYFUNCTION("""COMPUTED_VALUE"""),"Count Number of Maximum Bitwise-OR Subsets")</f>
        <v>Count Number of Maximum Bitwise-OR Subsets</v>
      </c>
      <c r="C2045" s="20" t="str">
        <f>IFERROR(__xludf.DUMMYFUNCTION("""COMPUTED_VALUE"""),"count-number-of-maximum-bitwise-or-subsets")</f>
        <v>count-number-of-maximum-bitwise-or-subsets</v>
      </c>
      <c r="D2045" s="20" t="b">
        <f>IFERROR(__xludf.DUMMYFUNCTION("""COMPUTED_VALUE"""),FALSE)</f>
        <v>0</v>
      </c>
      <c r="E2045" s="20" t="str">
        <f>IFERROR(__xludf.DUMMYFUNCTION("""COMPUTED_VALUE"""),"Medium")</f>
        <v>Medium</v>
      </c>
      <c r="F2045" s="20">
        <f>IFERROR(__xludf.DUMMYFUNCTION("""COMPUTED_VALUE"""),420.0)</f>
        <v>420</v>
      </c>
      <c r="G2045" s="20">
        <f>IFERROR(__xludf.DUMMYFUNCTION("""COMPUTED_VALUE"""),16.0)</f>
        <v>16</v>
      </c>
      <c r="H2045" s="20" t="str">
        <f>IFERROR(__xludf.DUMMYFUNCTION("""COMPUTED_VALUE"""),"Algorithms")</f>
        <v>Algorithms</v>
      </c>
      <c r="I2045" s="20">
        <f>IFERROR(__xludf.DUMMYFUNCTION("""COMPUTED_VALUE"""),0.749)</f>
        <v>0.749</v>
      </c>
      <c r="J2045" s="20">
        <f>IFERROR(__xludf.DUMMYFUNCTION("""COMPUTED_VALUE"""),2044.0)</f>
        <v>2044</v>
      </c>
      <c r="K2045" s="20" t="b">
        <f>IFERROR(__xludf.DUMMYFUNCTION("""COMPUTED_VALUE"""),FALSE)</f>
        <v>0</v>
      </c>
      <c r="L2045" s="20" t="str">
        <f>IFERROR(__xludf.DUMMYFUNCTION("""COMPUTED_VALUE"""),"Array;Backtracking;Bit Manipulation;")</f>
        <v>Array;Backtracking;Bit Manipulation;</v>
      </c>
      <c r="M2045" s="20" t="b">
        <f>IFERROR(__xludf.DUMMYFUNCTION("""COMPUTED_VALUE"""),FALSE)</f>
        <v>0</v>
      </c>
      <c r="N2045" s="20" t="b">
        <f>IFERROR(__xludf.DUMMYFUNCTION("""COMPUTED_VALUE"""),FALSE)</f>
        <v>0</v>
      </c>
      <c r="O2045" s="20">
        <f>IFERROR(__xludf.DUMMYFUNCTION("""COMPUTED_VALUE"""),74.9114882187767)</f>
        <v>74.91148822</v>
      </c>
      <c r="P2045" s="20">
        <f>IFERROR(__xludf.DUMMYFUNCTION("""COMPUTED_VALUE"""),18406.0)</f>
        <v>18406</v>
      </c>
      <c r="Q2045" s="20">
        <f>IFERROR(__xludf.DUMMYFUNCTION("""COMPUTED_VALUE"""),24571.0)</f>
        <v>24571</v>
      </c>
    </row>
    <row r="2046">
      <c r="A2046" s="20">
        <f>IFERROR(__xludf.DUMMYFUNCTION("""COMPUTED_VALUE"""),2171.0)</f>
        <v>2171</v>
      </c>
      <c r="B2046" s="20" t="str">
        <f>IFERROR(__xludf.DUMMYFUNCTION("""COMPUTED_VALUE"""),"Second Minimum Time to Reach Destination")</f>
        <v>Second Minimum Time to Reach Destination</v>
      </c>
      <c r="C2046" s="20" t="str">
        <f>IFERROR(__xludf.DUMMYFUNCTION("""COMPUTED_VALUE"""),"second-minimum-time-to-reach-destination")</f>
        <v>second-minimum-time-to-reach-destination</v>
      </c>
      <c r="D2046" s="20" t="b">
        <f>IFERROR(__xludf.DUMMYFUNCTION("""COMPUTED_VALUE"""),FALSE)</f>
        <v>0</v>
      </c>
      <c r="E2046" s="20" t="str">
        <f>IFERROR(__xludf.DUMMYFUNCTION("""COMPUTED_VALUE"""),"Hard")</f>
        <v>Hard</v>
      </c>
      <c r="F2046" s="20">
        <f>IFERROR(__xludf.DUMMYFUNCTION("""COMPUTED_VALUE"""),511.0)</f>
        <v>511</v>
      </c>
      <c r="G2046" s="20">
        <f>IFERROR(__xludf.DUMMYFUNCTION("""COMPUTED_VALUE"""),7.0)</f>
        <v>7</v>
      </c>
      <c r="H2046" s="20" t="str">
        <f>IFERROR(__xludf.DUMMYFUNCTION("""COMPUTED_VALUE"""),"Algorithms")</f>
        <v>Algorithms</v>
      </c>
      <c r="I2046" s="20">
        <f>IFERROR(__xludf.DUMMYFUNCTION("""COMPUTED_VALUE"""),0.39)</f>
        <v>0.39</v>
      </c>
      <c r="J2046" s="20">
        <f>IFERROR(__xludf.DUMMYFUNCTION("""COMPUTED_VALUE"""),2045.0)</f>
        <v>2045</v>
      </c>
      <c r="K2046" s="20" t="b">
        <f>IFERROR(__xludf.DUMMYFUNCTION("""COMPUTED_VALUE"""),FALSE)</f>
        <v>0</v>
      </c>
      <c r="L2046" s="20" t="str">
        <f>IFERROR(__xludf.DUMMYFUNCTION("""COMPUTED_VALUE"""),"Breadth-First Search;Graph;Shortest Path;")</f>
        <v>Breadth-First Search;Graph;Shortest Path;</v>
      </c>
      <c r="M2046" s="20" t="b">
        <f>IFERROR(__xludf.DUMMYFUNCTION("""COMPUTED_VALUE"""),TRUE)</f>
        <v>1</v>
      </c>
      <c r="N2046" s="20" t="b">
        <f>IFERROR(__xludf.DUMMYFUNCTION("""COMPUTED_VALUE"""),FALSE)</f>
        <v>0</v>
      </c>
      <c r="O2046" s="20">
        <f>IFERROR(__xludf.DUMMYFUNCTION("""COMPUTED_VALUE"""),39.028198334595)</f>
        <v>39.02819833</v>
      </c>
      <c r="P2046" s="20">
        <f>IFERROR(__xludf.DUMMYFUNCTION("""COMPUTED_VALUE"""),8249.0)</f>
        <v>8249</v>
      </c>
      <c r="Q2046" s="20">
        <f>IFERROR(__xludf.DUMMYFUNCTION("""COMPUTED_VALUE"""),21136.0)</f>
        <v>21136</v>
      </c>
    </row>
    <row r="2047">
      <c r="A2047" s="20">
        <f>IFERROR(__xludf.DUMMYFUNCTION("""COMPUTED_VALUE"""),1992.0)</f>
        <v>1992</v>
      </c>
      <c r="B2047" s="20" t="str">
        <f>IFERROR(__xludf.DUMMYFUNCTION("""COMPUTED_VALUE"""),"Sort Linked List Already Sorted Using Absolute Values")</f>
        <v>Sort Linked List Already Sorted Using Absolute Values</v>
      </c>
      <c r="C2047" s="20" t="str">
        <f>IFERROR(__xludf.DUMMYFUNCTION("""COMPUTED_VALUE"""),"sort-linked-list-already-sorted-using-absolute-values")</f>
        <v>sort-linked-list-already-sorted-using-absolute-values</v>
      </c>
      <c r="D2047" s="20" t="b">
        <f>IFERROR(__xludf.DUMMYFUNCTION("""COMPUTED_VALUE"""),TRUE)</f>
        <v>1</v>
      </c>
      <c r="E2047" s="20" t="str">
        <f>IFERROR(__xludf.DUMMYFUNCTION("""COMPUTED_VALUE"""),"Medium")</f>
        <v>Medium</v>
      </c>
      <c r="F2047" s="20">
        <f>IFERROR(__xludf.DUMMYFUNCTION("""COMPUTED_VALUE"""),112.0)</f>
        <v>112</v>
      </c>
      <c r="G2047" s="20">
        <f>IFERROR(__xludf.DUMMYFUNCTION("""COMPUTED_VALUE"""),1.0)</f>
        <v>1</v>
      </c>
      <c r="H2047" s="20" t="str">
        <f>IFERROR(__xludf.DUMMYFUNCTION("""COMPUTED_VALUE"""),"Algorithms")</f>
        <v>Algorithms</v>
      </c>
      <c r="I2047" s="20">
        <f>IFERROR(__xludf.DUMMYFUNCTION("""COMPUTED_VALUE"""),0.691)</f>
        <v>0.691</v>
      </c>
      <c r="J2047" s="20">
        <f>IFERROR(__xludf.DUMMYFUNCTION("""COMPUTED_VALUE"""),2046.0)</f>
        <v>2046</v>
      </c>
      <c r="K2047" s="20" t="b">
        <f>IFERROR(__xludf.DUMMYFUNCTION("""COMPUTED_VALUE"""),TRUE)</f>
        <v>1</v>
      </c>
      <c r="L2047" s="20" t="str">
        <f>IFERROR(__xludf.DUMMYFUNCTION("""COMPUTED_VALUE"""),"Linked List;Two Pointers;Sorting;")</f>
        <v>Linked List;Two Pointers;Sorting;</v>
      </c>
      <c r="M2047" s="20" t="b">
        <f>IFERROR(__xludf.DUMMYFUNCTION("""COMPUTED_VALUE"""),FALSE)</f>
        <v>0</v>
      </c>
      <c r="N2047" s="20" t="b">
        <f>IFERROR(__xludf.DUMMYFUNCTION("""COMPUTED_VALUE"""),FALSE)</f>
        <v>0</v>
      </c>
      <c r="O2047" s="20">
        <f>IFERROR(__xludf.DUMMYFUNCTION("""COMPUTED_VALUE"""),69.0885501135257)</f>
        <v>69.08855011</v>
      </c>
      <c r="P2047" s="20">
        <f>IFERROR(__xludf.DUMMYFUNCTION("""COMPUTED_VALUE"""),4260.0)</f>
        <v>4260</v>
      </c>
      <c r="Q2047" s="20">
        <f>IFERROR(__xludf.DUMMYFUNCTION("""COMPUTED_VALUE"""),6166.0)</f>
        <v>6166</v>
      </c>
    </row>
    <row r="2048">
      <c r="A2048" s="20">
        <f>IFERROR(__xludf.DUMMYFUNCTION("""COMPUTED_VALUE"""),2173.0)</f>
        <v>2173</v>
      </c>
      <c r="B2048" s="20" t="str">
        <f>IFERROR(__xludf.DUMMYFUNCTION("""COMPUTED_VALUE"""),"Number of Valid Words in a Sentence")</f>
        <v>Number of Valid Words in a Sentence</v>
      </c>
      <c r="C2048" s="20" t="str">
        <f>IFERROR(__xludf.DUMMYFUNCTION("""COMPUTED_VALUE"""),"number-of-valid-words-in-a-sentence")</f>
        <v>number-of-valid-words-in-a-sentence</v>
      </c>
      <c r="D2048" s="20" t="b">
        <f>IFERROR(__xludf.DUMMYFUNCTION("""COMPUTED_VALUE"""),FALSE)</f>
        <v>0</v>
      </c>
      <c r="E2048" s="20" t="str">
        <f>IFERROR(__xludf.DUMMYFUNCTION("""COMPUTED_VALUE"""),"Easy")</f>
        <v>Easy</v>
      </c>
      <c r="F2048" s="20">
        <f>IFERROR(__xludf.DUMMYFUNCTION("""COMPUTED_VALUE"""),201.0)</f>
        <v>201</v>
      </c>
      <c r="G2048" s="20">
        <f>IFERROR(__xludf.DUMMYFUNCTION("""COMPUTED_VALUE"""),637.0)</f>
        <v>637</v>
      </c>
      <c r="H2048" s="20" t="str">
        <f>IFERROR(__xludf.DUMMYFUNCTION("""COMPUTED_VALUE"""),"Algorithms")</f>
        <v>Algorithms</v>
      </c>
      <c r="I2048" s="20">
        <f>IFERROR(__xludf.DUMMYFUNCTION("""COMPUTED_VALUE"""),0.295)</f>
        <v>0.295</v>
      </c>
      <c r="J2048" s="20">
        <f>IFERROR(__xludf.DUMMYFUNCTION("""COMPUTED_VALUE"""),2047.0)</f>
        <v>2047</v>
      </c>
      <c r="K2048" s="20" t="b">
        <f>IFERROR(__xludf.DUMMYFUNCTION("""COMPUTED_VALUE"""),FALSE)</f>
        <v>0</v>
      </c>
      <c r="L2048" s="20" t="str">
        <f>IFERROR(__xludf.DUMMYFUNCTION("""COMPUTED_VALUE"""),"String;")</f>
        <v>String;</v>
      </c>
      <c r="M2048" s="20" t="b">
        <f>IFERROR(__xludf.DUMMYFUNCTION("""COMPUTED_VALUE"""),FALSE)</f>
        <v>0</v>
      </c>
      <c r="N2048" s="20" t="b">
        <f>IFERROR(__xludf.DUMMYFUNCTION("""COMPUTED_VALUE"""),FALSE)</f>
        <v>0</v>
      </c>
      <c r="O2048" s="20">
        <f>IFERROR(__xludf.DUMMYFUNCTION("""COMPUTED_VALUE"""),29.4885940062621)</f>
        <v>29.48859401</v>
      </c>
      <c r="P2048" s="20">
        <f>IFERROR(__xludf.DUMMYFUNCTION("""COMPUTED_VALUE"""),19778.0)</f>
        <v>19778</v>
      </c>
      <c r="Q2048" s="20">
        <f>IFERROR(__xludf.DUMMYFUNCTION("""COMPUTED_VALUE"""),67068.0)</f>
        <v>67068</v>
      </c>
    </row>
    <row r="2049">
      <c r="A2049" s="20">
        <f>IFERROR(__xludf.DUMMYFUNCTION("""COMPUTED_VALUE"""),2174.0)</f>
        <v>2174</v>
      </c>
      <c r="B2049" s="20" t="str">
        <f>IFERROR(__xludf.DUMMYFUNCTION("""COMPUTED_VALUE"""),"Next Greater Numerically Balanced Number")</f>
        <v>Next Greater Numerically Balanced Number</v>
      </c>
      <c r="C2049" s="20" t="str">
        <f>IFERROR(__xludf.DUMMYFUNCTION("""COMPUTED_VALUE"""),"next-greater-numerically-balanced-number")</f>
        <v>next-greater-numerically-balanced-number</v>
      </c>
      <c r="D2049" s="20" t="b">
        <f>IFERROR(__xludf.DUMMYFUNCTION("""COMPUTED_VALUE"""),FALSE)</f>
        <v>0</v>
      </c>
      <c r="E2049" s="20" t="str">
        <f>IFERROR(__xludf.DUMMYFUNCTION("""COMPUTED_VALUE"""),"Medium")</f>
        <v>Medium</v>
      </c>
      <c r="F2049" s="20">
        <f>IFERROR(__xludf.DUMMYFUNCTION("""COMPUTED_VALUE"""),147.0)</f>
        <v>147</v>
      </c>
      <c r="G2049" s="20">
        <f>IFERROR(__xludf.DUMMYFUNCTION("""COMPUTED_VALUE"""),253.0)</f>
        <v>253</v>
      </c>
      <c r="H2049" s="20" t="str">
        <f>IFERROR(__xludf.DUMMYFUNCTION("""COMPUTED_VALUE"""),"Algorithms")</f>
        <v>Algorithms</v>
      </c>
      <c r="I2049" s="20">
        <f>IFERROR(__xludf.DUMMYFUNCTION("""COMPUTED_VALUE"""),0.472)</f>
        <v>0.472</v>
      </c>
      <c r="J2049" s="20">
        <f>IFERROR(__xludf.DUMMYFUNCTION("""COMPUTED_VALUE"""),2048.0)</f>
        <v>2048</v>
      </c>
      <c r="K2049" s="20" t="b">
        <f>IFERROR(__xludf.DUMMYFUNCTION("""COMPUTED_VALUE"""),FALSE)</f>
        <v>0</v>
      </c>
      <c r="L2049" s="20" t="str">
        <f>IFERROR(__xludf.DUMMYFUNCTION("""COMPUTED_VALUE"""),"Math;Backtracking;Enumeration;")</f>
        <v>Math;Backtracking;Enumeration;</v>
      </c>
      <c r="M2049" s="20" t="b">
        <f>IFERROR(__xludf.DUMMYFUNCTION("""COMPUTED_VALUE"""),FALSE)</f>
        <v>0</v>
      </c>
      <c r="N2049" s="20" t="b">
        <f>IFERROR(__xludf.DUMMYFUNCTION("""COMPUTED_VALUE"""),FALSE)</f>
        <v>0</v>
      </c>
      <c r="O2049" s="20">
        <f>IFERROR(__xludf.DUMMYFUNCTION("""COMPUTED_VALUE"""),47.1698113207547)</f>
        <v>47.16981132</v>
      </c>
      <c r="P2049" s="20">
        <f>IFERROR(__xludf.DUMMYFUNCTION("""COMPUTED_VALUE"""),10350.0)</f>
        <v>10350</v>
      </c>
      <c r="Q2049" s="20">
        <f>IFERROR(__xludf.DUMMYFUNCTION("""COMPUTED_VALUE"""),21942.0)</f>
        <v>21942</v>
      </c>
    </row>
    <row r="2050">
      <c r="A2050" s="20">
        <f>IFERROR(__xludf.DUMMYFUNCTION("""COMPUTED_VALUE"""),2175.0)</f>
        <v>2175</v>
      </c>
      <c r="B2050" s="20" t="str">
        <f>IFERROR(__xludf.DUMMYFUNCTION("""COMPUTED_VALUE"""),"Count Nodes With the Highest Score")</f>
        <v>Count Nodes With the Highest Score</v>
      </c>
      <c r="C2050" s="20" t="str">
        <f>IFERROR(__xludf.DUMMYFUNCTION("""COMPUTED_VALUE"""),"count-nodes-with-the-highest-score")</f>
        <v>count-nodes-with-the-highest-score</v>
      </c>
      <c r="D2050" s="20" t="b">
        <f>IFERROR(__xludf.DUMMYFUNCTION("""COMPUTED_VALUE"""),FALSE)</f>
        <v>0</v>
      </c>
      <c r="E2050" s="20" t="str">
        <f>IFERROR(__xludf.DUMMYFUNCTION("""COMPUTED_VALUE"""),"Medium")</f>
        <v>Medium</v>
      </c>
      <c r="F2050" s="20">
        <f>IFERROR(__xludf.DUMMYFUNCTION("""COMPUTED_VALUE"""),728.0)</f>
        <v>728</v>
      </c>
      <c r="G2050" s="20">
        <f>IFERROR(__xludf.DUMMYFUNCTION("""COMPUTED_VALUE"""),42.0)</f>
        <v>42</v>
      </c>
      <c r="H2050" s="20" t="str">
        <f>IFERROR(__xludf.DUMMYFUNCTION("""COMPUTED_VALUE"""),"Algorithms")</f>
        <v>Algorithms</v>
      </c>
      <c r="I2050" s="20">
        <f>IFERROR(__xludf.DUMMYFUNCTION("""COMPUTED_VALUE"""),0.473)</f>
        <v>0.473</v>
      </c>
      <c r="J2050" s="20">
        <f>IFERROR(__xludf.DUMMYFUNCTION("""COMPUTED_VALUE"""),2049.0)</f>
        <v>2049</v>
      </c>
      <c r="K2050" s="20" t="b">
        <f>IFERROR(__xludf.DUMMYFUNCTION("""COMPUTED_VALUE"""),FALSE)</f>
        <v>0</v>
      </c>
      <c r="L2050" s="20" t="str">
        <f>IFERROR(__xludf.DUMMYFUNCTION("""COMPUTED_VALUE"""),"Array;Tree;Depth-First Search;Binary Tree;")</f>
        <v>Array;Tree;Depth-First Search;Binary Tree;</v>
      </c>
      <c r="M2050" s="20" t="b">
        <f>IFERROR(__xludf.DUMMYFUNCTION("""COMPUTED_VALUE"""),FALSE)</f>
        <v>0</v>
      </c>
      <c r="N2050" s="20" t="b">
        <f>IFERROR(__xludf.DUMMYFUNCTION("""COMPUTED_VALUE"""),FALSE)</f>
        <v>0</v>
      </c>
      <c r="O2050" s="20">
        <f>IFERROR(__xludf.DUMMYFUNCTION("""COMPUTED_VALUE"""),47.3217677599088)</f>
        <v>47.32176776</v>
      </c>
      <c r="P2050" s="20">
        <f>IFERROR(__xludf.DUMMYFUNCTION("""COMPUTED_VALUE"""),14948.0)</f>
        <v>14948</v>
      </c>
      <c r="Q2050" s="20">
        <f>IFERROR(__xludf.DUMMYFUNCTION("""COMPUTED_VALUE"""),31588.0)</f>
        <v>31588</v>
      </c>
    </row>
    <row r="2051">
      <c r="A2051" s="20">
        <f>IFERROR(__xludf.DUMMYFUNCTION("""COMPUTED_VALUE"""),2176.0)</f>
        <v>2176</v>
      </c>
      <c r="B2051" s="20" t="str">
        <f>IFERROR(__xludf.DUMMYFUNCTION("""COMPUTED_VALUE"""),"Parallel Courses III")</f>
        <v>Parallel Courses III</v>
      </c>
      <c r="C2051" s="20" t="str">
        <f>IFERROR(__xludf.DUMMYFUNCTION("""COMPUTED_VALUE"""),"parallel-courses-iii")</f>
        <v>parallel-courses-iii</v>
      </c>
      <c r="D2051" s="20" t="b">
        <f>IFERROR(__xludf.DUMMYFUNCTION("""COMPUTED_VALUE"""),FALSE)</f>
        <v>0</v>
      </c>
      <c r="E2051" s="20" t="str">
        <f>IFERROR(__xludf.DUMMYFUNCTION("""COMPUTED_VALUE"""),"Hard")</f>
        <v>Hard</v>
      </c>
      <c r="F2051" s="20">
        <f>IFERROR(__xludf.DUMMYFUNCTION("""COMPUTED_VALUE"""),559.0)</f>
        <v>559</v>
      </c>
      <c r="G2051" s="20">
        <f>IFERROR(__xludf.DUMMYFUNCTION("""COMPUTED_VALUE"""),17.0)</f>
        <v>17</v>
      </c>
      <c r="H2051" s="20" t="str">
        <f>IFERROR(__xludf.DUMMYFUNCTION("""COMPUTED_VALUE"""),"Algorithms")</f>
        <v>Algorithms</v>
      </c>
      <c r="I2051" s="20">
        <f>IFERROR(__xludf.DUMMYFUNCTION("""COMPUTED_VALUE"""),0.595)</f>
        <v>0.595</v>
      </c>
      <c r="J2051" s="20">
        <f>IFERROR(__xludf.DUMMYFUNCTION("""COMPUTED_VALUE"""),2050.0)</f>
        <v>2050</v>
      </c>
      <c r="K2051" s="20" t="b">
        <f>IFERROR(__xludf.DUMMYFUNCTION("""COMPUTED_VALUE"""),FALSE)</f>
        <v>0</v>
      </c>
      <c r="L2051" s="20" t="str">
        <f>IFERROR(__xludf.DUMMYFUNCTION("""COMPUTED_VALUE"""),"Dynamic Programming;Graph;Topological Sort;")</f>
        <v>Dynamic Programming;Graph;Topological Sort;</v>
      </c>
      <c r="M2051" s="20" t="b">
        <f>IFERROR(__xludf.DUMMYFUNCTION("""COMPUTED_VALUE"""),FALSE)</f>
        <v>0</v>
      </c>
      <c r="N2051" s="20" t="b">
        <f>IFERROR(__xludf.DUMMYFUNCTION("""COMPUTED_VALUE"""),FALSE)</f>
        <v>0</v>
      </c>
      <c r="O2051" s="20">
        <f>IFERROR(__xludf.DUMMYFUNCTION("""COMPUTED_VALUE"""),59.4966259347072)</f>
        <v>59.49662593</v>
      </c>
      <c r="P2051" s="20">
        <f>IFERROR(__xludf.DUMMYFUNCTION("""COMPUTED_VALUE"""),16311.0)</f>
        <v>16311</v>
      </c>
      <c r="Q2051" s="20">
        <f>IFERROR(__xludf.DUMMYFUNCTION("""COMPUTED_VALUE"""),27415.0)</f>
        <v>27415</v>
      </c>
    </row>
    <row r="2052">
      <c r="A2052" s="20">
        <f>IFERROR(__xludf.DUMMYFUNCTION("""COMPUTED_VALUE"""),2194.0)</f>
        <v>2194</v>
      </c>
      <c r="B2052" s="20" t="str">
        <f>IFERROR(__xludf.DUMMYFUNCTION("""COMPUTED_VALUE"""),"The Category of Each Member in the Store")</f>
        <v>The Category of Each Member in the Store</v>
      </c>
      <c r="C2052" s="20" t="str">
        <f>IFERROR(__xludf.DUMMYFUNCTION("""COMPUTED_VALUE"""),"the-category-of-each-member-in-the-store")</f>
        <v>the-category-of-each-member-in-the-store</v>
      </c>
      <c r="D2052" s="20" t="b">
        <f>IFERROR(__xludf.DUMMYFUNCTION("""COMPUTED_VALUE"""),TRUE)</f>
        <v>1</v>
      </c>
      <c r="E2052" s="20" t="str">
        <f>IFERROR(__xludf.DUMMYFUNCTION("""COMPUTED_VALUE"""),"Medium")</f>
        <v>Medium</v>
      </c>
      <c r="F2052" s="20">
        <f>IFERROR(__xludf.DUMMYFUNCTION("""COMPUTED_VALUE"""),36.0)</f>
        <v>36</v>
      </c>
      <c r="G2052" s="20">
        <f>IFERROR(__xludf.DUMMYFUNCTION("""COMPUTED_VALUE"""),6.0)</f>
        <v>6</v>
      </c>
      <c r="H2052" s="20" t="str">
        <f>IFERROR(__xludf.DUMMYFUNCTION("""COMPUTED_VALUE"""),"Database")</f>
        <v>Database</v>
      </c>
      <c r="I2052" s="20">
        <f>IFERROR(__xludf.DUMMYFUNCTION("""COMPUTED_VALUE"""),0.73)</f>
        <v>0.73</v>
      </c>
      <c r="J2052" s="20">
        <f>IFERROR(__xludf.DUMMYFUNCTION("""COMPUTED_VALUE"""),2051.0)</f>
        <v>2051</v>
      </c>
      <c r="K2052" s="20" t="b">
        <f>IFERROR(__xludf.DUMMYFUNCTION("""COMPUTED_VALUE"""),TRUE)</f>
        <v>1</v>
      </c>
      <c r="L2052" s="20" t="str">
        <f>IFERROR(__xludf.DUMMYFUNCTION("""COMPUTED_VALUE"""),"Database;")</f>
        <v>Database;</v>
      </c>
      <c r="M2052" s="20" t="b">
        <f>IFERROR(__xludf.DUMMYFUNCTION("""COMPUTED_VALUE"""),FALSE)</f>
        <v>0</v>
      </c>
      <c r="N2052" s="20" t="b">
        <f>IFERROR(__xludf.DUMMYFUNCTION("""COMPUTED_VALUE"""),FALSE)</f>
        <v>0</v>
      </c>
      <c r="O2052" s="20">
        <f>IFERROR(__xludf.DUMMYFUNCTION("""COMPUTED_VALUE"""),73.0019640429067)</f>
        <v>73.00196404</v>
      </c>
      <c r="P2052" s="20">
        <f>IFERROR(__xludf.DUMMYFUNCTION("""COMPUTED_VALUE"""),4832.0)</f>
        <v>4832</v>
      </c>
      <c r="Q2052" s="20">
        <f>IFERROR(__xludf.DUMMYFUNCTION("""COMPUTED_VALUE"""),6619.0)</f>
        <v>6619</v>
      </c>
    </row>
    <row r="2053">
      <c r="A2053" s="20">
        <f>IFERROR(__xludf.DUMMYFUNCTION("""COMPUTED_VALUE"""),2082.0)</f>
        <v>2082</v>
      </c>
      <c r="B2053" s="20" t="str">
        <f>IFERROR(__xludf.DUMMYFUNCTION("""COMPUTED_VALUE"""),"Minimum Cost to Separate Sentence Into Rows")</f>
        <v>Minimum Cost to Separate Sentence Into Rows</v>
      </c>
      <c r="C2053" s="20" t="str">
        <f>IFERROR(__xludf.DUMMYFUNCTION("""COMPUTED_VALUE"""),"minimum-cost-to-separate-sentence-into-rows")</f>
        <v>minimum-cost-to-separate-sentence-into-rows</v>
      </c>
      <c r="D2053" s="20" t="b">
        <f>IFERROR(__xludf.DUMMYFUNCTION("""COMPUTED_VALUE"""),TRUE)</f>
        <v>1</v>
      </c>
      <c r="E2053" s="20" t="str">
        <f>IFERROR(__xludf.DUMMYFUNCTION("""COMPUTED_VALUE"""),"Medium")</f>
        <v>Medium</v>
      </c>
      <c r="F2053" s="20">
        <f>IFERROR(__xludf.DUMMYFUNCTION("""COMPUTED_VALUE"""),34.0)</f>
        <v>34</v>
      </c>
      <c r="G2053" s="20">
        <f>IFERROR(__xludf.DUMMYFUNCTION("""COMPUTED_VALUE"""),11.0)</f>
        <v>11</v>
      </c>
      <c r="H2053" s="20" t="str">
        <f>IFERROR(__xludf.DUMMYFUNCTION("""COMPUTED_VALUE"""),"Algorithms")</f>
        <v>Algorithms</v>
      </c>
      <c r="I2053" s="20">
        <f>IFERROR(__xludf.DUMMYFUNCTION("""COMPUTED_VALUE"""),0.503)</f>
        <v>0.503</v>
      </c>
      <c r="J2053" s="20">
        <f>IFERROR(__xludf.DUMMYFUNCTION("""COMPUTED_VALUE"""),2052.0)</f>
        <v>2052</v>
      </c>
      <c r="K2053" s="20" t="b">
        <f>IFERROR(__xludf.DUMMYFUNCTION("""COMPUTED_VALUE"""),TRUE)</f>
        <v>1</v>
      </c>
      <c r="L2053" s="20" t="str">
        <f>IFERROR(__xludf.DUMMYFUNCTION("""COMPUTED_VALUE"""),"Array;Dynamic Programming;")</f>
        <v>Array;Dynamic Programming;</v>
      </c>
      <c r="M2053" s="20" t="b">
        <f>IFERROR(__xludf.DUMMYFUNCTION("""COMPUTED_VALUE"""),FALSE)</f>
        <v>0</v>
      </c>
      <c r="N2053" s="20" t="b">
        <f>IFERROR(__xludf.DUMMYFUNCTION("""COMPUTED_VALUE"""),FALSE)</f>
        <v>0</v>
      </c>
      <c r="O2053" s="20">
        <f>IFERROR(__xludf.DUMMYFUNCTION("""COMPUTED_VALUE"""),50.3353057199211)</f>
        <v>50.33530572</v>
      </c>
      <c r="P2053" s="20">
        <f>IFERROR(__xludf.DUMMYFUNCTION("""COMPUTED_VALUE"""),1276.0)</f>
        <v>1276</v>
      </c>
      <c r="Q2053" s="20">
        <f>IFERROR(__xludf.DUMMYFUNCTION("""COMPUTED_VALUE"""),2535.0)</f>
        <v>2535</v>
      </c>
    </row>
    <row r="2054">
      <c r="A2054" s="20">
        <f>IFERROR(__xludf.DUMMYFUNCTION("""COMPUTED_VALUE"""),2163.0)</f>
        <v>2163</v>
      </c>
      <c r="B2054" s="20" t="str">
        <f>IFERROR(__xludf.DUMMYFUNCTION("""COMPUTED_VALUE"""),"Kth Distinct String in an Array")</f>
        <v>Kth Distinct String in an Array</v>
      </c>
      <c r="C2054" s="20" t="str">
        <f>IFERROR(__xludf.DUMMYFUNCTION("""COMPUTED_VALUE"""),"kth-distinct-string-in-an-array")</f>
        <v>kth-distinct-string-in-an-array</v>
      </c>
      <c r="D2054" s="20" t="b">
        <f>IFERROR(__xludf.DUMMYFUNCTION("""COMPUTED_VALUE"""),FALSE)</f>
        <v>0</v>
      </c>
      <c r="E2054" s="20" t="str">
        <f>IFERROR(__xludf.DUMMYFUNCTION("""COMPUTED_VALUE"""),"Easy")</f>
        <v>Easy</v>
      </c>
      <c r="F2054" s="20">
        <f>IFERROR(__xludf.DUMMYFUNCTION("""COMPUTED_VALUE"""),511.0)</f>
        <v>511</v>
      </c>
      <c r="G2054" s="20">
        <f>IFERROR(__xludf.DUMMYFUNCTION("""COMPUTED_VALUE"""),17.0)</f>
        <v>17</v>
      </c>
      <c r="H2054" s="20" t="str">
        <f>IFERROR(__xludf.DUMMYFUNCTION("""COMPUTED_VALUE"""),"Algorithms")</f>
        <v>Algorithms</v>
      </c>
      <c r="I2054" s="20">
        <f>IFERROR(__xludf.DUMMYFUNCTION("""COMPUTED_VALUE"""),0.719)</f>
        <v>0.719</v>
      </c>
      <c r="J2054" s="20">
        <f>IFERROR(__xludf.DUMMYFUNCTION("""COMPUTED_VALUE"""),2053.0)</f>
        <v>2053</v>
      </c>
      <c r="K2054" s="20" t="b">
        <f>IFERROR(__xludf.DUMMYFUNCTION("""COMPUTED_VALUE"""),FALSE)</f>
        <v>0</v>
      </c>
      <c r="L2054" s="20" t="str">
        <f>IFERROR(__xludf.DUMMYFUNCTION("""COMPUTED_VALUE"""),"Array;Hash Table;String;Counting;")</f>
        <v>Array;Hash Table;String;Counting;</v>
      </c>
      <c r="M2054" s="20" t="b">
        <f>IFERROR(__xludf.DUMMYFUNCTION("""COMPUTED_VALUE"""),FALSE)</f>
        <v>0</v>
      </c>
      <c r="N2054" s="20" t="b">
        <f>IFERROR(__xludf.DUMMYFUNCTION("""COMPUTED_VALUE"""),FALSE)</f>
        <v>0</v>
      </c>
      <c r="O2054" s="20">
        <f>IFERROR(__xludf.DUMMYFUNCTION("""COMPUTED_VALUE"""),71.8665018541409)</f>
        <v>71.86650185</v>
      </c>
      <c r="P2054" s="20">
        <f>IFERROR(__xludf.DUMMYFUNCTION("""COMPUTED_VALUE"""),37791.0)</f>
        <v>37791</v>
      </c>
      <c r="Q2054" s="20">
        <f>IFERROR(__xludf.DUMMYFUNCTION("""COMPUTED_VALUE"""),52585.0)</f>
        <v>52585</v>
      </c>
    </row>
    <row r="2055">
      <c r="A2055" s="20">
        <f>IFERROR(__xludf.DUMMYFUNCTION("""COMPUTED_VALUE"""),2164.0)</f>
        <v>2164</v>
      </c>
      <c r="B2055" s="20" t="str">
        <f>IFERROR(__xludf.DUMMYFUNCTION("""COMPUTED_VALUE"""),"Two Best Non-Overlapping Events")</f>
        <v>Two Best Non-Overlapping Events</v>
      </c>
      <c r="C2055" s="20" t="str">
        <f>IFERROR(__xludf.DUMMYFUNCTION("""COMPUTED_VALUE"""),"two-best-non-overlapping-events")</f>
        <v>two-best-non-overlapping-events</v>
      </c>
      <c r="D2055" s="20" t="b">
        <f>IFERROR(__xludf.DUMMYFUNCTION("""COMPUTED_VALUE"""),FALSE)</f>
        <v>0</v>
      </c>
      <c r="E2055" s="20" t="str">
        <f>IFERROR(__xludf.DUMMYFUNCTION("""COMPUTED_VALUE"""),"Medium")</f>
        <v>Medium</v>
      </c>
      <c r="F2055" s="20">
        <f>IFERROR(__xludf.DUMMYFUNCTION("""COMPUTED_VALUE"""),579.0)</f>
        <v>579</v>
      </c>
      <c r="G2055" s="20">
        <f>IFERROR(__xludf.DUMMYFUNCTION("""COMPUTED_VALUE"""),14.0)</f>
        <v>14</v>
      </c>
      <c r="H2055" s="20" t="str">
        <f>IFERROR(__xludf.DUMMYFUNCTION("""COMPUTED_VALUE"""),"Algorithms")</f>
        <v>Algorithms</v>
      </c>
      <c r="I2055" s="20">
        <f>IFERROR(__xludf.DUMMYFUNCTION("""COMPUTED_VALUE"""),0.451)</f>
        <v>0.451</v>
      </c>
      <c r="J2055" s="20">
        <f>IFERROR(__xludf.DUMMYFUNCTION("""COMPUTED_VALUE"""),2054.0)</f>
        <v>2054</v>
      </c>
      <c r="K2055" s="20" t="b">
        <f>IFERROR(__xludf.DUMMYFUNCTION("""COMPUTED_VALUE"""),FALSE)</f>
        <v>0</v>
      </c>
      <c r="L2055" s="20" t="str">
        <f>IFERROR(__xludf.DUMMYFUNCTION("""COMPUTED_VALUE"""),"Array;Binary Search;Dynamic Programming;Sorting;Heap (Priority Queue);")</f>
        <v>Array;Binary Search;Dynamic Programming;Sorting;Heap (Priority Queue);</v>
      </c>
      <c r="M2055" s="20" t="b">
        <f>IFERROR(__xludf.DUMMYFUNCTION("""COMPUTED_VALUE"""),FALSE)</f>
        <v>0</v>
      </c>
      <c r="N2055" s="20" t="b">
        <f>IFERROR(__xludf.DUMMYFUNCTION("""COMPUTED_VALUE"""),FALSE)</f>
        <v>0</v>
      </c>
      <c r="O2055" s="20">
        <f>IFERROR(__xludf.DUMMYFUNCTION("""COMPUTED_VALUE"""),45.1339608979)</f>
        <v>45.1339609</v>
      </c>
      <c r="P2055" s="20">
        <f>IFERROR(__xludf.DUMMYFUNCTION("""COMPUTED_VALUE"""),12466.0)</f>
        <v>12466</v>
      </c>
      <c r="Q2055" s="20">
        <f>IFERROR(__xludf.DUMMYFUNCTION("""COMPUTED_VALUE"""),27620.0)</f>
        <v>27620</v>
      </c>
    </row>
    <row r="2056">
      <c r="A2056" s="20">
        <f>IFERROR(__xludf.DUMMYFUNCTION("""COMPUTED_VALUE"""),2165.0)</f>
        <v>2165</v>
      </c>
      <c r="B2056" s="20" t="str">
        <f>IFERROR(__xludf.DUMMYFUNCTION("""COMPUTED_VALUE"""),"Plates Between Candles")</f>
        <v>Plates Between Candles</v>
      </c>
      <c r="C2056" s="20" t="str">
        <f>IFERROR(__xludf.DUMMYFUNCTION("""COMPUTED_VALUE"""),"plates-between-candles")</f>
        <v>plates-between-candles</v>
      </c>
      <c r="D2056" s="20" t="b">
        <f>IFERROR(__xludf.DUMMYFUNCTION("""COMPUTED_VALUE"""),FALSE)</f>
        <v>0</v>
      </c>
      <c r="E2056" s="20" t="str">
        <f>IFERROR(__xludf.DUMMYFUNCTION("""COMPUTED_VALUE"""),"Medium")</f>
        <v>Medium</v>
      </c>
      <c r="F2056" s="20">
        <f>IFERROR(__xludf.DUMMYFUNCTION("""COMPUTED_VALUE"""),793.0)</f>
        <v>793</v>
      </c>
      <c r="G2056" s="20">
        <f>IFERROR(__xludf.DUMMYFUNCTION("""COMPUTED_VALUE"""),30.0)</f>
        <v>30</v>
      </c>
      <c r="H2056" s="20" t="str">
        <f>IFERROR(__xludf.DUMMYFUNCTION("""COMPUTED_VALUE"""),"Algorithms")</f>
        <v>Algorithms</v>
      </c>
      <c r="I2056" s="20">
        <f>IFERROR(__xludf.DUMMYFUNCTION("""COMPUTED_VALUE"""),0.444)</f>
        <v>0.444</v>
      </c>
      <c r="J2056" s="20">
        <f>IFERROR(__xludf.DUMMYFUNCTION("""COMPUTED_VALUE"""),2055.0)</f>
        <v>2055</v>
      </c>
      <c r="K2056" s="20" t="b">
        <f>IFERROR(__xludf.DUMMYFUNCTION("""COMPUTED_VALUE"""),FALSE)</f>
        <v>0</v>
      </c>
      <c r="L2056" s="20" t="str">
        <f>IFERROR(__xludf.DUMMYFUNCTION("""COMPUTED_VALUE"""),"Array;String;Binary Search;Prefix Sum;")</f>
        <v>Array;String;Binary Search;Prefix Sum;</v>
      </c>
      <c r="M2056" s="20" t="b">
        <f>IFERROR(__xludf.DUMMYFUNCTION("""COMPUTED_VALUE"""),FALSE)</f>
        <v>0</v>
      </c>
      <c r="N2056" s="20" t="b">
        <f>IFERROR(__xludf.DUMMYFUNCTION("""COMPUTED_VALUE"""),FALSE)</f>
        <v>0</v>
      </c>
      <c r="O2056" s="20">
        <f>IFERROR(__xludf.DUMMYFUNCTION("""COMPUTED_VALUE"""),44.4080206339961)</f>
        <v>44.40802063</v>
      </c>
      <c r="P2056" s="20">
        <f>IFERROR(__xludf.DUMMYFUNCTION("""COMPUTED_VALUE"""),26687.0)</f>
        <v>26687</v>
      </c>
      <c r="Q2056" s="20">
        <f>IFERROR(__xludf.DUMMYFUNCTION("""COMPUTED_VALUE"""),60095.0)</f>
        <v>60095</v>
      </c>
    </row>
    <row r="2057">
      <c r="A2057" s="20">
        <f>IFERROR(__xludf.DUMMYFUNCTION("""COMPUTED_VALUE"""),2166.0)</f>
        <v>2166</v>
      </c>
      <c r="B2057" s="20" t="str">
        <f>IFERROR(__xludf.DUMMYFUNCTION("""COMPUTED_VALUE"""),"Number of Valid Move Combinations On Chessboard")</f>
        <v>Number of Valid Move Combinations On Chessboard</v>
      </c>
      <c r="C2057" s="20" t="str">
        <f>IFERROR(__xludf.DUMMYFUNCTION("""COMPUTED_VALUE"""),"number-of-valid-move-combinations-on-chessboard")</f>
        <v>number-of-valid-move-combinations-on-chessboard</v>
      </c>
      <c r="D2057" s="20" t="b">
        <f>IFERROR(__xludf.DUMMYFUNCTION("""COMPUTED_VALUE"""),FALSE)</f>
        <v>0</v>
      </c>
      <c r="E2057" s="20" t="str">
        <f>IFERROR(__xludf.DUMMYFUNCTION("""COMPUTED_VALUE"""),"Hard")</f>
        <v>Hard</v>
      </c>
      <c r="F2057" s="20">
        <f>IFERROR(__xludf.DUMMYFUNCTION("""COMPUTED_VALUE"""),47.0)</f>
        <v>47</v>
      </c>
      <c r="G2057" s="20">
        <f>IFERROR(__xludf.DUMMYFUNCTION("""COMPUTED_VALUE"""),244.0)</f>
        <v>244</v>
      </c>
      <c r="H2057" s="20" t="str">
        <f>IFERROR(__xludf.DUMMYFUNCTION("""COMPUTED_VALUE"""),"Algorithms")</f>
        <v>Algorithms</v>
      </c>
      <c r="I2057" s="20">
        <f>IFERROR(__xludf.DUMMYFUNCTION("""COMPUTED_VALUE"""),0.587)</f>
        <v>0.587</v>
      </c>
      <c r="J2057" s="20">
        <f>IFERROR(__xludf.DUMMYFUNCTION("""COMPUTED_VALUE"""),2056.0)</f>
        <v>2056</v>
      </c>
      <c r="K2057" s="20" t="b">
        <f>IFERROR(__xludf.DUMMYFUNCTION("""COMPUTED_VALUE"""),FALSE)</f>
        <v>0</v>
      </c>
      <c r="L2057" s="20" t="str">
        <f>IFERROR(__xludf.DUMMYFUNCTION("""COMPUTED_VALUE"""),"Array;String;Backtracking;Simulation;")</f>
        <v>Array;String;Backtracking;Simulation;</v>
      </c>
      <c r="M2057" s="20" t="b">
        <f>IFERROR(__xludf.DUMMYFUNCTION("""COMPUTED_VALUE"""),FALSE)</f>
        <v>0</v>
      </c>
      <c r="N2057" s="20" t="b">
        <f>IFERROR(__xludf.DUMMYFUNCTION("""COMPUTED_VALUE"""),FALSE)</f>
        <v>0</v>
      </c>
      <c r="O2057" s="20">
        <f>IFERROR(__xludf.DUMMYFUNCTION("""COMPUTED_VALUE"""),58.7461718609259)</f>
        <v>58.74617186</v>
      </c>
      <c r="P2057" s="20">
        <f>IFERROR(__xludf.DUMMYFUNCTION("""COMPUTED_VALUE"""),3261.0)</f>
        <v>3261</v>
      </c>
      <c r="Q2057" s="20">
        <f>IFERROR(__xludf.DUMMYFUNCTION("""COMPUTED_VALUE"""),5551.0)</f>
        <v>5551</v>
      </c>
    </row>
    <row r="2058">
      <c r="A2058" s="20">
        <f>IFERROR(__xludf.DUMMYFUNCTION("""COMPUTED_VALUE"""),2181.0)</f>
        <v>2181</v>
      </c>
      <c r="B2058" s="20" t="str">
        <f>IFERROR(__xludf.DUMMYFUNCTION("""COMPUTED_VALUE"""),"Smallest Index With Equal Value")</f>
        <v>Smallest Index With Equal Value</v>
      </c>
      <c r="C2058" s="20" t="str">
        <f>IFERROR(__xludf.DUMMYFUNCTION("""COMPUTED_VALUE"""),"smallest-index-with-equal-value")</f>
        <v>smallest-index-with-equal-value</v>
      </c>
      <c r="D2058" s="20" t="b">
        <f>IFERROR(__xludf.DUMMYFUNCTION("""COMPUTED_VALUE"""),FALSE)</f>
        <v>0</v>
      </c>
      <c r="E2058" s="20" t="str">
        <f>IFERROR(__xludf.DUMMYFUNCTION("""COMPUTED_VALUE"""),"Easy")</f>
        <v>Easy</v>
      </c>
      <c r="F2058" s="20">
        <f>IFERROR(__xludf.DUMMYFUNCTION("""COMPUTED_VALUE"""),269.0)</f>
        <v>269</v>
      </c>
      <c r="G2058" s="20">
        <f>IFERROR(__xludf.DUMMYFUNCTION("""COMPUTED_VALUE"""),96.0)</f>
        <v>96</v>
      </c>
      <c r="H2058" s="20" t="str">
        <f>IFERROR(__xludf.DUMMYFUNCTION("""COMPUTED_VALUE"""),"Algorithms")</f>
        <v>Algorithms</v>
      </c>
      <c r="I2058" s="20">
        <f>IFERROR(__xludf.DUMMYFUNCTION("""COMPUTED_VALUE"""),0.713)</f>
        <v>0.713</v>
      </c>
      <c r="J2058" s="20">
        <f>IFERROR(__xludf.DUMMYFUNCTION("""COMPUTED_VALUE"""),2057.0)</f>
        <v>2057</v>
      </c>
      <c r="K2058" s="20" t="b">
        <f>IFERROR(__xludf.DUMMYFUNCTION("""COMPUTED_VALUE"""),FALSE)</f>
        <v>0</v>
      </c>
      <c r="L2058" s="20" t="str">
        <f>IFERROR(__xludf.DUMMYFUNCTION("""COMPUTED_VALUE"""),"Array;")</f>
        <v>Array;</v>
      </c>
      <c r="M2058" s="20" t="b">
        <f>IFERROR(__xludf.DUMMYFUNCTION("""COMPUTED_VALUE"""),FALSE)</f>
        <v>0</v>
      </c>
      <c r="N2058" s="20" t="b">
        <f>IFERROR(__xludf.DUMMYFUNCTION("""COMPUTED_VALUE"""),FALSE)</f>
        <v>0</v>
      </c>
      <c r="O2058" s="20">
        <f>IFERROR(__xludf.DUMMYFUNCTION("""COMPUTED_VALUE"""),71.337021309751)</f>
        <v>71.33702131</v>
      </c>
      <c r="P2058" s="20">
        <f>IFERROR(__xludf.DUMMYFUNCTION("""COMPUTED_VALUE"""),36622.0)</f>
        <v>36622</v>
      </c>
      <c r="Q2058" s="20">
        <f>IFERROR(__xludf.DUMMYFUNCTION("""COMPUTED_VALUE"""),51337.0)</f>
        <v>51337</v>
      </c>
    </row>
    <row r="2059">
      <c r="A2059" s="20">
        <f>IFERROR(__xludf.DUMMYFUNCTION("""COMPUTED_VALUE"""),2182.0)</f>
        <v>2182</v>
      </c>
      <c r="B2059" s="20" t="str">
        <f>IFERROR(__xludf.DUMMYFUNCTION("""COMPUTED_VALUE"""),"Find the Minimum and Maximum Number of Nodes Between Critical Points")</f>
        <v>Find the Minimum and Maximum Number of Nodes Between Critical Points</v>
      </c>
      <c r="C2059" s="20" t="str">
        <f>IFERROR(__xludf.DUMMYFUNCTION("""COMPUTED_VALUE"""),"find-the-minimum-and-maximum-number-of-nodes-between-critical-points")</f>
        <v>find-the-minimum-and-maximum-number-of-nodes-between-critical-points</v>
      </c>
      <c r="D2059" s="20" t="b">
        <f>IFERROR(__xludf.DUMMYFUNCTION("""COMPUTED_VALUE"""),FALSE)</f>
        <v>0</v>
      </c>
      <c r="E2059" s="20" t="str">
        <f>IFERROR(__xludf.DUMMYFUNCTION("""COMPUTED_VALUE"""),"Medium")</f>
        <v>Medium</v>
      </c>
      <c r="F2059" s="20">
        <f>IFERROR(__xludf.DUMMYFUNCTION("""COMPUTED_VALUE"""),413.0)</f>
        <v>413</v>
      </c>
      <c r="G2059" s="20">
        <f>IFERROR(__xludf.DUMMYFUNCTION("""COMPUTED_VALUE"""),15.0)</f>
        <v>15</v>
      </c>
      <c r="H2059" s="20" t="str">
        <f>IFERROR(__xludf.DUMMYFUNCTION("""COMPUTED_VALUE"""),"Algorithms")</f>
        <v>Algorithms</v>
      </c>
      <c r="I2059" s="20">
        <f>IFERROR(__xludf.DUMMYFUNCTION("""COMPUTED_VALUE"""),0.57)</f>
        <v>0.57</v>
      </c>
      <c r="J2059" s="20">
        <f>IFERROR(__xludf.DUMMYFUNCTION("""COMPUTED_VALUE"""),2058.0)</f>
        <v>2058</v>
      </c>
      <c r="K2059" s="20" t="b">
        <f>IFERROR(__xludf.DUMMYFUNCTION("""COMPUTED_VALUE"""),FALSE)</f>
        <v>0</v>
      </c>
      <c r="L2059" s="20" t="str">
        <f>IFERROR(__xludf.DUMMYFUNCTION("""COMPUTED_VALUE"""),"Linked List;")</f>
        <v>Linked List;</v>
      </c>
      <c r="M2059" s="20" t="b">
        <f>IFERROR(__xludf.DUMMYFUNCTION("""COMPUTED_VALUE"""),FALSE)</f>
        <v>0</v>
      </c>
      <c r="N2059" s="20" t="b">
        <f>IFERROR(__xludf.DUMMYFUNCTION("""COMPUTED_VALUE"""),FALSE)</f>
        <v>0</v>
      </c>
      <c r="O2059" s="20">
        <f>IFERROR(__xludf.DUMMYFUNCTION("""COMPUTED_VALUE"""),57.0275111622062)</f>
        <v>57.02751116</v>
      </c>
      <c r="P2059" s="20">
        <f>IFERROR(__xludf.DUMMYFUNCTION("""COMPUTED_VALUE"""),21330.0)</f>
        <v>21330</v>
      </c>
      <c r="Q2059" s="20">
        <f>IFERROR(__xludf.DUMMYFUNCTION("""COMPUTED_VALUE"""),37403.0)</f>
        <v>37403</v>
      </c>
    </row>
    <row r="2060">
      <c r="A2060" s="20">
        <f>IFERROR(__xludf.DUMMYFUNCTION("""COMPUTED_VALUE"""),2183.0)</f>
        <v>2183</v>
      </c>
      <c r="B2060" s="20" t="str">
        <f>IFERROR(__xludf.DUMMYFUNCTION("""COMPUTED_VALUE"""),"Minimum Operations to Convert Number")</f>
        <v>Minimum Operations to Convert Number</v>
      </c>
      <c r="C2060" s="20" t="str">
        <f>IFERROR(__xludf.DUMMYFUNCTION("""COMPUTED_VALUE"""),"minimum-operations-to-convert-number")</f>
        <v>minimum-operations-to-convert-number</v>
      </c>
      <c r="D2060" s="20" t="b">
        <f>IFERROR(__xludf.DUMMYFUNCTION("""COMPUTED_VALUE"""),FALSE)</f>
        <v>0</v>
      </c>
      <c r="E2060" s="20" t="str">
        <f>IFERROR(__xludf.DUMMYFUNCTION("""COMPUTED_VALUE"""),"Medium")</f>
        <v>Medium</v>
      </c>
      <c r="F2060" s="20">
        <f>IFERROR(__xludf.DUMMYFUNCTION("""COMPUTED_VALUE"""),503.0)</f>
        <v>503</v>
      </c>
      <c r="G2060" s="20">
        <f>IFERROR(__xludf.DUMMYFUNCTION("""COMPUTED_VALUE"""),27.0)</f>
        <v>27</v>
      </c>
      <c r="H2060" s="20" t="str">
        <f>IFERROR(__xludf.DUMMYFUNCTION("""COMPUTED_VALUE"""),"Algorithms")</f>
        <v>Algorithms</v>
      </c>
      <c r="I2060" s="20">
        <f>IFERROR(__xludf.DUMMYFUNCTION("""COMPUTED_VALUE"""),0.473)</f>
        <v>0.473</v>
      </c>
      <c r="J2060" s="20">
        <f>IFERROR(__xludf.DUMMYFUNCTION("""COMPUTED_VALUE"""),2059.0)</f>
        <v>2059</v>
      </c>
      <c r="K2060" s="20" t="b">
        <f>IFERROR(__xludf.DUMMYFUNCTION("""COMPUTED_VALUE"""),FALSE)</f>
        <v>0</v>
      </c>
      <c r="L2060" s="20" t="str">
        <f>IFERROR(__xludf.DUMMYFUNCTION("""COMPUTED_VALUE"""),"Array;Breadth-First Search;")</f>
        <v>Array;Breadth-First Search;</v>
      </c>
      <c r="M2060" s="20" t="b">
        <f>IFERROR(__xludf.DUMMYFUNCTION("""COMPUTED_VALUE"""),FALSE)</f>
        <v>0</v>
      </c>
      <c r="N2060" s="20" t="b">
        <f>IFERROR(__xludf.DUMMYFUNCTION("""COMPUTED_VALUE"""),FALSE)</f>
        <v>0</v>
      </c>
      <c r="O2060" s="20">
        <f>IFERROR(__xludf.DUMMYFUNCTION("""COMPUTED_VALUE"""),47.3488724654159)</f>
        <v>47.34887247</v>
      </c>
      <c r="P2060" s="20">
        <f>IFERROR(__xludf.DUMMYFUNCTION("""COMPUTED_VALUE"""),12493.0)</f>
        <v>12493</v>
      </c>
      <c r="Q2060" s="20">
        <f>IFERROR(__xludf.DUMMYFUNCTION("""COMPUTED_VALUE"""),26385.0)</f>
        <v>26385</v>
      </c>
    </row>
    <row r="2061">
      <c r="A2061" s="20">
        <f>IFERROR(__xludf.DUMMYFUNCTION("""COMPUTED_VALUE"""),2184.0)</f>
        <v>2184</v>
      </c>
      <c r="B2061" s="20" t="str">
        <f>IFERROR(__xludf.DUMMYFUNCTION("""COMPUTED_VALUE"""),"Check if an Original String Exists Given Two Encoded Strings")</f>
        <v>Check if an Original String Exists Given Two Encoded Strings</v>
      </c>
      <c r="C2061" s="20" t="str">
        <f>IFERROR(__xludf.DUMMYFUNCTION("""COMPUTED_VALUE"""),"check-if-an-original-string-exists-given-two-encoded-strings")</f>
        <v>check-if-an-original-string-exists-given-two-encoded-strings</v>
      </c>
      <c r="D2061" s="20" t="b">
        <f>IFERROR(__xludf.DUMMYFUNCTION("""COMPUTED_VALUE"""),FALSE)</f>
        <v>0</v>
      </c>
      <c r="E2061" s="20" t="str">
        <f>IFERROR(__xludf.DUMMYFUNCTION("""COMPUTED_VALUE"""),"Hard")</f>
        <v>Hard</v>
      </c>
      <c r="F2061" s="20">
        <f>IFERROR(__xludf.DUMMYFUNCTION("""COMPUTED_VALUE"""),247.0)</f>
        <v>247</v>
      </c>
      <c r="G2061" s="20">
        <f>IFERROR(__xludf.DUMMYFUNCTION("""COMPUTED_VALUE"""),120.0)</f>
        <v>120</v>
      </c>
      <c r="H2061" s="20" t="str">
        <f>IFERROR(__xludf.DUMMYFUNCTION("""COMPUTED_VALUE"""),"Algorithms")</f>
        <v>Algorithms</v>
      </c>
      <c r="I2061" s="20">
        <f>IFERROR(__xludf.DUMMYFUNCTION("""COMPUTED_VALUE"""),0.408)</f>
        <v>0.408</v>
      </c>
      <c r="J2061" s="20">
        <f>IFERROR(__xludf.DUMMYFUNCTION("""COMPUTED_VALUE"""),2060.0)</f>
        <v>2060</v>
      </c>
      <c r="K2061" s="20" t="b">
        <f>IFERROR(__xludf.DUMMYFUNCTION("""COMPUTED_VALUE"""),FALSE)</f>
        <v>0</v>
      </c>
      <c r="L2061" s="20" t="str">
        <f>IFERROR(__xludf.DUMMYFUNCTION("""COMPUTED_VALUE"""),"String;Dynamic Programming;")</f>
        <v>String;Dynamic Programming;</v>
      </c>
      <c r="M2061" s="20" t="b">
        <f>IFERROR(__xludf.DUMMYFUNCTION("""COMPUTED_VALUE"""),FALSE)</f>
        <v>0</v>
      </c>
      <c r="N2061" s="20" t="b">
        <f>IFERROR(__xludf.DUMMYFUNCTION("""COMPUTED_VALUE"""),FALSE)</f>
        <v>0</v>
      </c>
      <c r="O2061" s="20">
        <f>IFERROR(__xludf.DUMMYFUNCTION("""COMPUTED_VALUE"""),40.7729333146408)</f>
        <v>40.77293331</v>
      </c>
      <c r="P2061" s="20">
        <f>IFERROR(__xludf.DUMMYFUNCTION("""COMPUTED_VALUE"""),8725.0)</f>
        <v>8725</v>
      </c>
      <c r="Q2061" s="20">
        <f>IFERROR(__xludf.DUMMYFUNCTION("""COMPUTED_VALUE"""),21399.0)</f>
        <v>21399</v>
      </c>
    </row>
    <row r="2062">
      <c r="A2062" s="20">
        <f>IFERROR(__xludf.DUMMYFUNCTION("""COMPUTED_VALUE"""),2203.0)</f>
        <v>2203</v>
      </c>
      <c r="B2062" s="20" t="str">
        <f>IFERROR(__xludf.DUMMYFUNCTION("""COMPUTED_VALUE"""),"Number of Spaces Cleaning Robot Cleaned")</f>
        <v>Number of Spaces Cleaning Robot Cleaned</v>
      </c>
      <c r="C2062" s="20" t="str">
        <f>IFERROR(__xludf.DUMMYFUNCTION("""COMPUTED_VALUE"""),"number-of-spaces-cleaning-robot-cleaned")</f>
        <v>number-of-spaces-cleaning-robot-cleaned</v>
      </c>
      <c r="D2062" s="20" t="b">
        <f>IFERROR(__xludf.DUMMYFUNCTION("""COMPUTED_VALUE"""),TRUE)</f>
        <v>1</v>
      </c>
      <c r="E2062" s="20" t="str">
        <f>IFERROR(__xludf.DUMMYFUNCTION("""COMPUTED_VALUE"""),"Medium")</f>
        <v>Medium</v>
      </c>
      <c r="F2062" s="20">
        <f>IFERROR(__xludf.DUMMYFUNCTION("""COMPUTED_VALUE"""),69.0)</f>
        <v>69</v>
      </c>
      <c r="G2062" s="20">
        <f>IFERROR(__xludf.DUMMYFUNCTION("""COMPUTED_VALUE"""),19.0)</f>
        <v>19</v>
      </c>
      <c r="H2062" s="20" t="str">
        <f>IFERROR(__xludf.DUMMYFUNCTION("""COMPUTED_VALUE"""),"Algorithms")</f>
        <v>Algorithms</v>
      </c>
      <c r="I2062" s="20">
        <f>IFERROR(__xludf.DUMMYFUNCTION("""COMPUTED_VALUE"""),0.547)</f>
        <v>0.547</v>
      </c>
      <c r="J2062" s="20">
        <f>IFERROR(__xludf.DUMMYFUNCTION("""COMPUTED_VALUE"""),2061.0)</f>
        <v>2061</v>
      </c>
      <c r="K2062" s="20" t="b">
        <f>IFERROR(__xludf.DUMMYFUNCTION("""COMPUTED_VALUE"""),TRUE)</f>
        <v>1</v>
      </c>
      <c r="L2062" s="20" t="str">
        <f>IFERROR(__xludf.DUMMYFUNCTION("""COMPUTED_VALUE"""),"Array;Matrix;Simulation;")</f>
        <v>Array;Matrix;Simulation;</v>
      </c>
      <c r="M2062" s="20" t="b">
        <f>IFERROR(__xludf.DUMMYFUNCTION("""COMPUTED_VALUE"""),FALSE)</f>
        <v>0</v>
      </c>
      <c r="N2062" s="20" t="b">
        <f>IFERROR(__xludf.DUMMYFUNCTION("""COMPUTED_VALUE"""),FALSE)</f>
        <v>0</v>
      </c>
      <c r="O2062" s="20">
        <f>IFERROR(__xludf.DUMMYFUNCTION("""COMPUTED_VALUE"""),54.7470433639947)</f>
        <v>54.74704336</v>
      </c>
      <c r="P2062" s="20">
        <f>IFERROR(__xludf.DUMMYFUNCTION("""COMPUTED_VALUE"""),3333.0)</f>
        <v>3333</v>
      </c>
      <c r="Q2062" s="20">
        <f>IFERROR(__xludf.DUMMYFUNCTION("""COMPUTED_VALUE"""),6088.0)</f>
        <v>6088</v>
      </c>
    </row>
    <row r="2063">
      <c r="A2063" s="20">
        <f>IFERROR(__xludf.DUMMYFUNCTION("""COMPUTED_VALUE"""),2186.0)</f>
        <v>2186</v>
      </c>
      <c r="B2063" s="20" t="str">
        <f>IFERROR(__xludf.DUMMYFUNCTION("""COMPUTED_VALUE"""),"Count Vowel Substrings of a String")</f>
        <v>Count Vowel Substrings of a String</v>
      </c>
      <c r="C2063" s="20" t="str">
        <f>IFERROR(__xludf.DUMMYFUNCTION("""COMPUTED_VALUE"""),"count-vowel-substrings-of-a-string")</f>
        <v>count-vowel-substrings-of-a-string</v>
      </c>
      <c r="D2063" s="20" t="b">
        <f>IFERROR(__xludf.DUMMYFUNCTION("""COMPUTED_VALUE"""),FALSE)</f>
        <v>0</v>
      </c>
      <c r="E2063" s="20" t="str">
        <f>IFERROR(__xludf.DUMMYFUNCTION("""COMPUTED_VALUE"""),"Easy")</f>
        <v>Easy</v>
      </c>
      <c r="F2063" s="20">
        <f>IFERROR(__xludf.DUMMYFUNCTION("""COMPUTED_VALUE"""),641.0)</f>
        <v>641</v>
      </c>
      <c r="G2063" s="20">
        <f>IFERROR(__xludf.DUMMYFUNCTION("""COMPUTED_VALUE"""),158.0)</f>
        <v>158</v>
      </c>
      <c r="H2063" s="20" t="str">
        <f>IFERROR(__xludf.DUMMYFUNCTION("""COMPUTED_VALUE"""),"Algorithms")</f>
        <v>Algorithms</v>
      </c>
      <c r="I2063" s="20">
        <f>IFERROR(__xludf.DUMMYFUNCTION("""COMPUTED_VALUE"""),0.66)</f>
        <v>0.66</v>
      </c>
      <c r="J2063" s="20">
        <f>IFERROR(__xludf.DUMMYFUNCTION("""COMPUTED_VALUE"""),2062.0)</f>
        <v>2062</v>
      </c>
      <c r="K2063" s="20" t="b">
        <f>IFERROR(__xludf.DUMMYFUNCTION("""COMPUTED_VALUE"""),FALSE)</f>
        <v>0</v>
      </c>
      <c r="L2063" s="20" t="str">
        <f>IFERROR(__xludf.DUMMYFUNCTION("""COMPUTED_VALUE"""),"Hash Table;String;")</f>
        <v>Hash Table;String;</v>
      </c>
      <c r="M2063" s="20" t="b">
        <f>IFERROR(__xludf.DUMMYFUNCTION("""COMPUTED_VALUE"""),FALSE)</f>
        <v>0</v>
      </c>
      <c r="N2063" s="20" t="b">
        <f>IFERROR(__xludf.DUMMYFUNCTION("""COMPUTED_VALUE"""),FALSE)</f>
        <v>0</v>
      </c>
      <c r="O2063" s="20">
        <f>IFERROR(__xludf.DUMMYFUNCTION("""COMPUTED_VALUE"""),66.0062565172054)</f>
        <v>66.00625652</v>
      </c>
      <c r="P2063" s="20">
        <f>IFERROR(__xludf.DUMMYFUNCTION("""COMPUTED_VALUE"""),24687.0)</f>
        <v>24687</v>
      </c>
      <c r="Q2063" s="20">
        <f>IFERROR(__xludf.DUMMYFUNCTION("""COMPUTED_VALUE"""),37401.0)</f>
        <v>37401</v>
      </c>
    </row>
    <row r="2064">
      <c r="A2064" s="20">
        <f>IFERROR(__xludf.DUMMYFUNCTION("""COMPUTED_VALUE"""),2187.0)</f>
        <v>2187</v>
      </c>
      <c r="B2064" s="20" t="str">
        <f>IFERROR(__xludf.DUMMYFUNCTION("""COMPUTED_VALUE"""),"Vowels of All Substrings")</f>
        <v>Vowels of All Substrings</v>
      </c>
      <c r="C2064" s="20" t="str">
        <f>IFERROR(__xludf.DUMMYFUNCTION("""COMPUTED_VALUE"""),"vowels-of-all-substrings")</f>
        <v>vowels-of-all-substrings</v>
      </c>
      <c r="D2064" s="20" t="b">
        <f>IFERROR(__xludf.DUMMYFUNCTION("""COMPUTED_VALUE"""),FALSE)</f>
        <v>0</v>
      </c>
      <c r="E2064" s="20" t="str">
        <f>IFERROR(__xludf.DUMMYFUNCTION("""COMPUTED_VALUE"""),"Medium")</f>
        <v>Medium</v>
      </c>
      <c r="F2064" s="20">
        <f>IFERROR(__xludf.DUMMYFUNCTION("""COMPUTED_VALUE"""),590.0)</f>
        <v>590</v>
      </c>
      <c r="G2064" s="20">
        <f>IFERROR(__xludf.DUMMYFUNCTION("""COMPUTED_VALUE"""),21.0)</f>
        <v>21</v>
      </c>
      <c r="H2064" s="20" t="str">
        <f>IFERROR(__xludf.DUMMYFUNCTION("""COMPUTED_VALUE"""),"Algorithms")</f>
        <v>Algorithms</v>
      </c>
      <c r="I2064" s="20">
        <f>IFERROR(__xludf.DUMMYFUNCTION("""COMPUTED_VALUE"""),0.549)</f>
        <v>0.549</v>
      </c>
      <c r="J2064" s="20">
        <f>IFERROR(__xludf.DUMMYFUNCTION("""COMPUTED_VALUE"""),2063.0)</f>
        <v>2063</v>
      </c>
      <c r="K2064" s="20" t="b">
        <f>IFERROR(__xludf.DUMMYFUNCTION("""COMPUTED_VALUE"""),FALSE)</f>
        <v>0</v>
      </c>
      <c r="L2064" s="20" t="str">
        <f>IFERROR(__xludf.DUMMYFUNCTION("""COMPUTED_VALUE"""),"Math;String;Dynamic Programming;Combinatorics;")</f>
        <v>Math;String;Dynamic Programming;Combinatorics;</v>
      </c>
      <c r="M2064" s="20" t="b">
        <f>IFERROR(__xludf.DUMMYFUNCTION("""COMPUTED_VALUE"""),FALSE)</f>
        <v>0</v>
      </c>
      <c r="N2064" s="20" t="b">
        <f>IFERROR(__xludf.DUMMYFUNCTION("""COMPUTED_VALUE"""),FALSE)</f>
        <v>0</v>
      </c>
      <c r="O2064" s="20">
        <f>IFERROR(__xludf.DUMMYFUNCTION("""COMPUTED_VALUE"""),54.9049976491412)</f>
        <v>54.90499765</v>
      </c>
      <c r="P2064" s="20">
        <f>IFERROR(__xludf.DUMMYFUNCTION("""COMPUTED_VALUE"""),19852.0)</f>
        <v>19852</v>
      </c>
      <c r="Q2064" s="20">
        <f>IFERROR(__xludf.DUMMYFUNCTION("""COMPUTED_VALUE"""),36157.0)</f>
        <v>36157</v>
      </c>
    </row>
    <row r="2065">
      <c r="A2065" s="20">
        <f>IFERROR(__xludf.DUMMYFUNCTION("""COMPUTED_VALUE"""),2188.0)</f>
        <v>2188</v>
      </c>
      <c r="B2065" s="20" t="str">
        <f>IFERROR(__xludf.DUMMYFUNCTION("""COMPUTED_VALUE"""),"Minimized Maximum of Products Distributed to Any Store")</f>
        <v>Minimized Maximum of Products Distributed to Any Store</v>
      </c>
      <c r="C2065" s="20" t="str">
        <f>IFERROR(__xludf.DUMMYFUNCTION("""COMPUTED_VALUE"""),"minimized-maximum-of-products-distributed-to-any-store")</f>
        <v>minimized-maximum-of-products-distributed-to-any-store</v>
      </c>
      <c r="D2065" s="20" t="b">
        <f>IFERROR(__xludf.DUMMYFUNCTION("""COMPUTED_VALUE"""),FALSE)</f>
        <v>0</v>
      </c>
      <c r="E2065" s="20" t="str">
        <f>IFERROR(__xludf.DUMMYFUNCTION("""COMPUTED_VALUE"""),"Medium")</f>
        <v>Medium</v>
      </c>
      <c r="F2065" s="20">
        <f>IFERROR(__xludf.DUMMYFUNCTION("""COMPUTED_VALUE"""),646.0)</f>
        <v>646</v>
      </c>
      <c r="G2065" s="20">
        <f>IFERROR(__xludf.DUMMYFUNCTION("""COMPUTED_VALUE"""),23.0)</f>
        <v>23</v>
      </c>
      <c r="H2065" s="20" t="str">
        <f>IFERROR(__xludf.DUMMYFUNCTION("""COMPUTED_VALUE"""),"Algorithms")</f>
        <v>Algorithms</v>
      </c>
      <c r="I2065" s="20">
        <f>IFERROR(__xludf.DUMMYFUNCTION("""COMPUTED_VALUE"""),0.501)</f>
        <v>0.501</v>
      </c>
      <c r="J2065" s="20">
        <f>IFERROR(__xludf.DUMMYFUNCTION("""COMPUTED_VALUE"""),2064.0)</f>
        <v>2064</v>
      </c>
      <c r="K2065" s="20" t="b">
        <f>IFERROR(__xludf.DUMMYFUNCTION("""COMPUTED_VALUE"""),FALSE)</f>
        <v>0</v>
      </c>
      <c r="L2065" s="20" t="str">
        <f>IFERROR(__xludf.DUMMYFUNCTION("""COMPUTED_VALUE"""),"Array;Binary Search;")</f>
        <v>Array;Binary Search;</v>
      </c>
      <c r="M2065" s="20" t="b">
        <f>IFERROR(__xludf.DUMMYFUNCTION("""COMPUTED_VALUE"""),FALSE)</f>
        <v>0</v>
      </c>
      <c r="N2065" s="20" t="b">
        <f>IFERROR(__xludf.DUMMYFUNCTION("""COMPUTED_VALUE"""),FALSE)</f>
        <v>0</v>
      </c>
      <c r="O2065" s="20">
        <f>IFERROR(__xludf.DUMMYFUNCTION("""COMPUTED_VALUE"""),50.0685271046569)</f>
        <v>50.0685271</v>
      </c>
      <c r="P2065" s="20">
        <f>IFERROR(__xludf.DUMMYFUNCTION("""COMPUTED_VALUE"""),17170.0)</f>
        <v>17170</v>
      </c>
      <c r="Q2065" s="20">
        <f>IFERROR(__xludf.DUMMYFUNCTION("""COMPUTED_VALUE"""),34293.0)</f>
        <v>34293</v>
      </c>
    </row>
    <row r="2066">
      <c r="A2066" s="20">
        <f>IFERROR(__xludf.DUMMYFUNCTION("""COMPUTED_VALUE"""),2189.0)</f>
        <v>2189</v>
      </c>
      <c r="B2066" s="20" t="str">
        <f>IFERROR(__xludf.DUMMYFUNCTION("""COMPUTED_VALUE"""),"Maximum Path Quality of a Graph")</f>
        <v>Maximum Path Quality of a Graph</v>
      </c>
      <c r="C2066" s="20" t="str">
        <f>IFERROR(__xludf.DUMMYFUNCTION("""COMPUTED_VALUE"""),"maximum-path-quality-of-a-graph")</f>
        <v>maximum-path-quality-of-a-graph</v>
      </c>
      <c r="D2066" s="20" t="b">
        <f>IFERROR(__xludf.DUMMYFUNCTION("""COMPUTED_VALUE"""),FALSE)</f>
        <v>0</v>
      </c>
      <c r="E2066" s="20" t="str">
        <f>IFERROR(__xludf.DUMMYFUNCTION("""COMPUTED_VALUE"""),"Hard")</f>
        <v>Hard</v>
      </c>
      <c r="F2066" s="20">
        <f>IFERROR(__xludf.DUMMYFUNCTION("""COMPUTED_VALUE"""),456.0)</f>
        <v>456</v>
      </c>
      <c r="G2066" s="20">
        <f>IFERROR(__xludf.DUMMYFUNCTION("""COMPUTED_VALUE"""),34.0)</f>
        <v>34</v>
      </c>
      <c r="H2066" s="20" t="str">
        <f>IFERROR(__xludf.DUMMYFUNCTION("""COMPUTED_VALUE"""),"Algorithms")</f>
        <v>Algorithms</v>
      </c>
      <c r="I2066" s="20">
        <f>IFERROR(__xludf.DUMMYFUNCTION("""COMPUTED_VALUE"""),0.575)</f>
        <v>0.575</v>
      </c>
      <c r="J2066" s="20">
        <f>IFERROR(__xludf.DUMMYFUNCTION("""COMPUTED_VALUE"""),2065.0)</f>
        <v>2065</v>
      </c>
      <c r="K2066" s="20" t="b">
        <f>IFERROR(__xludf.DUMMYFUNCTION("""COMPUTED_VALUE"""),FALSE)</f>
        <v>0</v>
      </c>
      <c r="L2066" s="20" t="str">
        <f>IFERROR(__xludf.DUMMYFUNCTION("""COMPUTED_VALUE"""),"Array;Backtracking;Graph;")</f>
        <v>Array;Backtracking;Graph;</v>
      </c>
      <c r="M2066" s="20" t="b">
        <f>IFERROR(__xludf.DUMMYFUNCTION("""COMPUTED_VALUE"""),FALSE)</f>
        <v>0</v>
      </c>
      <c r="N2066" s="20" t="b">
        <f>IFERROR(__xludf.DUMMYFUNCTION("""COMPUTED_VALUE"""),FALSE)</f>
        <v>0</v>
      </c>
      <c r="O2066" s="20">
        <f>IFERROR(__xludf.DUMMYFUNCTION("""COMPUTED_VALUE"""),57.497666490808)</f>
        <v>57.49766649</v>
      </c>
      <c r="P2066" s="20">
        <f>IFERROR(__xludf.DUMMYFUNCTION("""COMPUTED_VALUE"""),14168.0)</f>
        <v>14168</v>
      </c>
      <c r="Q2066" s="20">
        <f>IFERROR(__xludf.DUMMYFUNCTION("""COMPUTED_VALUE"""),24641.0)</f>
        <v>24641</v>
      </c>
    </row>
    <row r="2067">
      <c r="A2067" s="20">
        <f>IFERROR(__xludf.DUMMYFUNCTION("""COMPUTED_VALUE"""),2208.0)</f>
        <v>2208</v>
      </c>
      <c r="B2067" s="20" t="str">
        <f>IFERROR(__xludf.DUMMYFUNCTION("""COMPUTED_VALUE"""),"Account Balance")</f>
        <v>Account Balance</v>
      </c>
      <c r="C2067" s="20" t="str">
        <f>IFERROR(__xludf.DUMMYFUNCTION("""COMPUTED_VALUE"""),"account-balance")</f>
        <v>account-balance</v>
      </c>
      <c r="D2067" s="20" t="b">
        <f>IFERROR(__xludf.DUMMYFUNCTION("""COMPUTED_VALUE"""),TRUE)</f>
        <v>1</v>
      </c>
      <c r="E2067" s="20" t="str">
        <f>IFERROR(__xludf.DUMMYFUNCTION("""COMPUTED_VALUE"""),"Medium")</f>
        <v>Medium</v>
      </c>
      <c r="F2067" s="20">
        <f>IFERROR(__xludf.DUMMYFUNCTION("""COMPUTED_VALUE"""),52.0)</f>
        <v>52</v>
      </c>
      <c r="G2067" s="20">
        <f>IFERROR(__xludf.DUMMYFUNCTION("""COMPUTED_VALUE"""),2.0)</f>
        <v>2</v>
      </c>
      <c r="H2067" s="20" t="str">
        <f>IFERROR(__xludf.DUMMYFUNCTION("""COMPUTED_VALUE"""),"Database")</f>
        <v>Database</v>
      </c>
      <c r="I2067" s="20">
        <f>IFERROR(__xludf.DUMMYFUNCTION("""COMPUTED_VALUE"""),0.856)</f>
        <v>0.856</v>
      </c>
      <c r="J2067" s="20">
        <f>IFERROR(__xludf.DUMMYFUNCTION("""COMPUTED_VALUE"""),2066.0)</f>
        <v>2066</v>
      </c>
      <c r="K2067" s="20" t="b">
        <f>IFERROR(__xludf.DUMMYFUNCTION("""COMPUTED_VALUE"""),TRUE)</f>
        <v>1</v>
      </c>
      <c r="L2067" s="20" t="str">
        <f>IFERROR(__xludf.DUMMYFUNCTION("""COMPUTED_VALUE"""),"Database;")</f>
        <v>Database;</v>
      </c>
      <c r="M2067" s="20" t="b">
        <f>IFERROR(__xludf.DUMMYFUNCTION("""COMPUTED_VALUE"""),FALSE)</f>
        <v>0</v>
      </c>
      <c r="N2067" s="20" t="b">
        <f>IFERROR(__xludf.DUMMYFUNCTION("""COMPUTED_VALUE"""),FALSE)</f>
        <v>0</v>
      </c>
      <c r="O2067" s="20">
        <f>IFERROR(__xludf.DUMMYFUNCTION("""COMPUTED_VALUE"""),85.5733293466886)</f>
        <v>85.57332935</v>
      </c>
      <c r="P2067" s="20">
        <f>IFERROR(__xludf.DUMMYFUNCTION("""COMPUTED_VALUE"""),5724.0)</f>
        <v>5724</v>
      </c>
      <c r="Q2067" s="20">
        <f>IFERROR(__xludf.DUMMYFUNCTION("""COMPUTED_VALUE"""),6689.0)</f>
        <v>6689</v>
      </c>
    </row>
    <row r="2068">
      <c r="A2068" s="20">
        <f>IFERROR(__xludf.DUMMYFUNCTION("""COMPUTED_VALUE"""),2209.0)</f>
        <v>2209</v>
      </c>
      <c r="B2068" s="20" t="str">
        <f>IFERROR(__xludf.DUMMYFUNCTION("""COMPUTED_VALUE"""),"Number of Equal Count Substrings")</f>
        <v>Number of Equal Count Substrings</v>
      </c>
      <c r="C2068" s="20" t="str">
        <f>IFERROR(__xludf.DUMMYFUNCTION("""COMPUTED_VALUE"""),"number-of-equal-count-substrings")</f>
        <v>number-of-equal-count-substrings</v>
      </c>
      <c r="D2068" s="20" t="b">
        <f>IFERROR(__xludf.DUMMYFUNCTION("""COMPUTED_VALUE"""),TRUE)</f>
        <v>1</v>
      </c>
      <c r="E2068" s="20" t="str">
        <f>IFERROR(__xludf.DUMMYFUNCTION("""COMPUTED_VALUE"""),"Medium")</f>
        <v>Medium</v>
      </c>
      <c r="F2068" s="20">
        <f>IFERROR(__xludf.DUMMYFUNCTION("""COMPUTED_VALUE"""),77.0)</f>
        <v>77</v>
      </c>
      <c r="G2068" s="20">
        <f>IFERROR(__xludf.DUMMYFUNCTION("""COMPUTED_VALUE"""),6.0)</f>
        <v>6</v>
      </c>
      <c r="H2068" s="20" t="str">
        <f>IFERROR(__xludf.DUMMYFUNCTION("""COMPUTED_VALUE"""),"Algorithms")</f>
        <v>Algorithms</v>
      </c>
      <c r="I2068" s="20">
        <f>IFERROR(__xludf.DUMMYFUNCTION("""COMPUTED_VALUE"""),0.489)</f>
        <v>0.489</v>
      </c>
      <c r="J2068" s="20">
        <f>IFERROR(__xludf.DUMMYFUNCTION("""COMPUTED_VALUE"""),2067.0)</f>
        <v>2067</v>
      </c>
      <c r="K2068" s="20" t="b">
        <f>IFERROR(__xludf.DUMMYFUNCTION("""COMPUTED_VALUE"""),TRUE)</f>
        <v>1</v>
      </c>
      <c r="L2068" s="20" t="str">
        <f>IFERROR(__xludf.DUMMYFUNCTION("""COMPUTED_VALUE"""),"String;Counting;Prefix Sum;")</f>
        <v>String;Counting;Prefix Sum;</v>
      </c>
      <c r="M2068" s="20" t="b">
        <f>IFERROR(__xludf.DUMMYFUNCTION("""COMPUTED_VALUE"""),FALSE)</f>
        <v>0</v>
      </c>
      <c r="N2068" s="20" t="b">
        <f>IFERROR(__xludf.DUMMYFUNCTION("""COMPUTED_VALUE"""),FALSE)</f>
        <v>0</v>
      </c>
      <c r="O2068" s="20">
        <f>IFERROR(__xludf.DUMMYFUNCTION("""COMPUTED_VALUE"""),48.9173789173789)</f>
        <v>48.91737892</v>
      </c>
      <c r="P2068" s="20">
        <f>IFERROR(__xludf.DUMMYFUNCTION("""COMPUTED_VALUE"""),1717.0)</f>
        <v>1717</v>
      </c>
      <c r="Q2068" s="20">
        <f>IFERROR(__xludf.DUMMYFUNCTION("""COMPUTED_VALUE"""),3510.0)</f>
        <v>3510</v>
      </c>
    </row>
    <row r="2069">
      <c r="A2069" s="20">
        <f>IFERROR(__xludf.DUMMYFUNCTION("""COMPUTED_VALUE"""),2177.0)</f>
        <v>2177</v>
      </c>
      <c r="B2069" s="20" t="str">
        <f>IFERROR(__xludf.DUMMYFUNCTION("""COMPUTED_VALUE"""),"Check Whether Two Strings are Almost Equivalent")</f>
        <v>Check Whether Two Strings are Almost Equivalent</v>
      </c>
      <c r="C2069" s="20" t="str">
        <f>IFERROR(__xludf.DUMMYFUNCTION("""COMPUTED_VALUE"""),"check-whether-two-strings-are-almost-equivalent")</f>
        <v>check-whether-two-strings-are-almost-equivalent</v>
      </c>
      <c r="D2069" s="20" t="b">
        <f>IFERROR(__xludf.DUMMYFUNCTION("""COMPUTED_VALUE"""),FALSE)</f>
        <v>0</v>
      </c>
      <c r="E2069" s="20" t="str">
        <f>IFERROR(__xludf.DUMMYFUNCTION("""COMPUTED_VALUE"""),"Easy")</f>
        <v>Easy</v>
      </c>
      <c r="F2069" s="20">
        <f>IFERROR(__xludf.DUMMYFUNCTION("""COMPUTED_VALUE"""),313.0)</f>
        <v>313</v>
      </c>
      <c r="G2069" s="20">
        <f>IFERROR(__xludf.DUMMYFUNCTION("""COMPUTED_VALUE"""),12.0)</f>
        <v>12</v>
      </c>
      <c r="H2069" s="20" t="str">
        <f>IFERROR(__xludf.DUMMYFUNCTION("""COMPUTED_VALUE"""),"Algorithms")</f>
        <v>Algorithms</v>
      </c>
      <c r="I2069" s="20">
        <f>IFERROR(__xludf.DUMMYFUNCTION("""COMPUTED_VALUE"""),0.646)</f>
        <v>0.646</v>
      </c>
      <c r="J2069" s="20">
        <f>IFERROR(__xludf.DUMMYFUNCTION("""COMPUTED_VALUE"""),2068.0)</f>
        <v>2068</v>
      </c>
      <c r="K2069" s="20" t="b">
        <f>IFERROR(__xludf.DUMMYFUNCTION("""COMPUTED_VALUE"""),FALSE)</f>
        <v>0</v>
      </c>
      <c r="L2069" s="20" t="str">
        <f>IFERROR(__xludf.DUMMYFUNCTION("""COMPUTED_VALUE"""),"Hash Table;String;Counting;")</f>
        <v>Hash Table;String;Counting;</v>
      </c>
      <c r="M2069" s="20" t="b">
        <f>IFERROR(__xludf.DUMMYFUNCTION("""COMPUTED_VALUE"""),FALSE)</f>
        <v>0</v>
      </c>
      <c r="N2069" s="20" t="b">
        <f>IFERROR(__xludf.DUMMYFUNCTION("""COMPUTED_VALUE"""),FALSE)</f>
        <v>0</v>
      </c>
      <c r="O2069" s="20">
        <f>IFERROR(__xludf.DUMMYFUNCTION("""COMPUTED_VALUE"""),64.5829910096007)</f>
        <v>64.58299101</v>
      </c>
      <c r="P2069" s="20">
        <f>IFERROR(__xludf.DUMMYFUNCTION("""COMPUTED_VALUE"""),27511.0)</f>
        <v>27511</v>
      </c>
      <c r="Q2069" s="20">
        <f>IFERROR(__xludf.DUMMYFUNCTION("""COMPUTED_VALUE"""),42597.0)</f>
        <v>42597</v>
      </c>
    </row>
    <row r="2070">
      <c r="A2070" s="20">
        <f>IFERROR(__xludf.DUMMYFUNCTION("""COMPUTED_VALUE"""),2178.0)</f>
        <v>2178</v>
      </c>
      <c r="B2070" s="20" t="str">
        <f>IFERROR(__xludf.DUMMYFUNCTION("""COMPUTED_VALUE"""),"Walking Robot Simulation II")</f>
        <v>Walking Robot Simulation II</v>
      </c>
      <c r="C2070" s="20" t="str">
        <f>IFERROR(__xludf.DUMMYFUNCTION("""COMPUTED_VALUE"""),"walking-robot-simulation-ii")</f>
        <v>walking-robot-simulation-ii</v>
      </c>
      <c r="D2070" s="20" t="b">
        <f>IFERROR(__xludf.DUMMYFUNCTION("""COMPUTED_VALUE"""),FALSE)</f>
        <v>0</v>
      </c>
      <c r="E2070" s="20" t="str">
        <f>IFERROR(__xludf.DUMMYFUNCTION("""COMPUTED_VALUE"""),"Medium")</f>
        <v>Medium</v>
      </c>
      <c r="F2070" s="20">
        <f>IFERROR(__xludf.DUMMYFUNCTION("""COMPUTED_VALUE"""),132.0)</f>
        <v>132</v>
      </c>
      <c r="G2070" s="20">
        <f>IFERROR(__xludf.DUMMYFUNCTION("""COMPUTED_VALUE"""),263.0)</f>
        <v>263</v>
      </c>
      <c r="H2070" s="20" t="str">
        <f>IFERROR(__xludf.DUMMYFUNCTION("""COMPUTED_VALUE"""),"Algorithms")</f>
        <v>Algorithms</v>
      </c>
      <c r="I2070" s="20">
        <f>IFERROR(__xludf.DUMMYFUNCTION("""COMPUTED_VALUE"""),0.231)</f>
        <v>0.231</v>
      </c>
      <c r="J2070" s="20">
        <f>IFERROR(__xludf.DUMMYFUNCTION("""COMPUTED_VALUE"""),2069.0)</f>
        <v>2069</v>
      </c>
      <c r="K2070" s="20" t="b">
        <f>IFERROR(__xludf.DUMMYFUNCTION("""COMPUTED_VALUE"""),FALSE)</f>
        <v>0</v>
      </c>
      <c r="L2070" s="20" t="str">
        <f>IFERROR(__xludf.DUMMYFUNCTION("""COMPUTED_VALUE"""),"Design;Simulation;")</f>
        <v>Design;Simulation;</v>
      </c>
      <c r="M2070" s="20" t="b">
        <f>IFERROR(__xludf.DUMMYFUNCTION("""COMPUTED_VALUE"""),FALSE)</f>
        <v>0</v>
      </c>
      <c r="N2070" s="20" t="b">
        <f>IFERROR(__xludf.DUMMYFUNCTION("""COMPUTED_VALUE"""),FALSE)</f>
        <v>0</v>
      </c>
      <c r="O2070" s="20">
        <f>IFERROR(__xludf.DUMMYFUNCTION("""COMPUTED_VALUE"""),23.072150877846)</f>
        <v>23.07215088</v>
      </c>
      <c r="P2070" s="20">
        <f>IFERROR(__xludf.DUMMYFUNCTION("""COMPUTED_VALUE"""),7438.0)</f>
        <v>7438</v>
      </c>
      <c r="Q2070" s="20">
        <f>IFERROR(__xludf.DUMMYFUNCTION("""COMPUTED_VALUE"""),32238.0)</f>
        <v>32238</v>
      </c>
    </row>
    <row r="2071">
      <c r="A2071" s="20">
        <f>IFERROR(__xludf.DUMMYFUNCTION("""COMPUTED_VALUE"""),2179.0)</f>
        <v>2179</v>
      </c>
      <c r="B2071" s="20" t="str">
        <f>IFERROR(__xludf.DUMMYFUNCTION("""COMPUTED_VALUE"""),"Most Beautiful Item for Each Query")</f>
        <v>Most Beautiful Item for Each Query</v>
      </c>
      <c r="C2071" s="20" t="str">
        <f>IFERROR(__xludf.DUMMYFUNCTION("""COMPUTED_VALUE"""),"most-beautiful-item-for-each-query")</f>
        <v>most-beautiful-item-for-each-query</v>
      </c>
      <c r="D2071" s="20" t="b">
        <f>IFERROR(__xludf.DUMMYFUNCTION("""COMPUTED_VALUE"""),FALSE)</f>
        <v>0</v>
      </c>
      <c r="E2071" s="20" t="str">
        <f>IFERROR(__xludf.DUMMYFUNCTION("""COMPUTED_VALUE"""),"Medium")</f>
        <v>Medium</v>
      </c>
      <c r="F2071" s="20">
        <f>IFERROR(__xludf.DUMMYFUNCTION("""COMPUTED_VALUE"""),428.0)</f>
        <v>428</v>
      </c>
      <c r="G2071" s="20">
        <f>IFERROR(__xludf.DUMMYFUNCTION("""COMPUTED_VALUE"""),11.0)</f>
        <v>11</v>
      </c>
      <c r="H2071" s="20" t="str">
        <f>IFERROR(__xludf.DUMMYFUNCTION("""COMPUTED_VALUE"""),"Algorithms")</f>
        <v>Algorithms</v>
      </c>
      <c r="I2071" s="20">
        <f>IFERROR(__xludf.DUMMYFUNCTION("""COMPUTED_VALUE"""),0.498)</f>
        <v>0.498</v>
      </c>
      <c r="J2071" s="20">
        <f>IFERROR(__xludf.DUMMYFUNCTION("""COMPUTED_VALUE"""),2070.0)</f>
        <v>2070</v>
      </c>
      <c r="K2071" s="20" t="b">
        <f>IFERROR(__xludf.DUMMYFUNCTION("""COMPUTED_VALUE"""),FALSE)</f>
        <v>0</v>
      </c>
      <c r="L2071" s="20" t="str">
        <f>IFERROR(__xludf.DUMMYFUNCTION("""COMPUTED_VALUE"""),"Array;Binary Search;Sorting;")</f>
        <v>Array;Binary Search;Sorting;</v>
      </c>
      <c r="M2071" s="20" t="b">
        <f>IFERROR(__xludf.DUMMYFUNCTION("""COMPUTED_VALUE"""),FALSE)</f>
        <v>0</v>
      </c>
      <c r="N2071" s="20" t="b">
        <f>IFERROR(__xludf.DUMMYFUNCTION("""COMPUTED_VALUE"""),FALSE)</f>
        <v>0</v>
      </c>
      <c r="O2071" s="20">
        <f>IFERROR(__xludf.DUMMYFUNCTION("""COMPUTED_VALUE"""),49.8411437648927)</f>
        <v>49.84114376</v>
      </c>
      <c r="P2071" s="20">
        <f>IFERROR(__xludf.DUMMYFUNCTION("""COMPUTED_VALUE"""),11295.0)</f>
        <v>11295</v>
      </c>
      <c r="Q2071" s="20">
        <f>IFERROR(__xludf.DUMMYFUNCTION("""COMPUTED_VALUE"""),22662.0)</f>
        <v>22662</v>
      </c>
    </row>
    <row r="2072">
      <c r="A2072" s="20">
        <f>IFERROR(__xludf.DUMMYFUNCTION("""COMPUTED_VALUE"""),2180.0)</f>
        <v>2180</v>
      </c>
      <c r="B2072" s="20" t="str">
        <f>IFERROR(__xludf.DUMMYFUNCTION("""COMPUTED_VALUE"""),"Maximum Number of Tasks You Can Assign")</f>
        <v>Maximum Number of Tasks You Can Assign</v>
      </c>
      <c r="C2072" s="20" t="str">
        <f>IFERROR(__xludf.DUMMYFUNCTION("""COMPUTED_VALUE"""),"maximum-number-of-tasks-you-can-assign")</f>
        <v>maximum-number-of-tasks-you-can-assign</v>
      </c>
      <c r="D2072" s="20" t="b">
        <f>IFERROR(__xludf.DUMMYFUNCTION("""COMPUTED_VALUE"""),FALSE)</f>
        <v>0</v>
      </c>
      <c r="E2072" s="20" t="str">
        <f>IFERROR(__xludf.DUMMYFUNCTION("""COMPUTED_VALUE"""),"Hard")</f>
        <v>Hard</v>
      </c>
      <c r="F2072" s="20">
        <f>IFERROR(__xludf.DUMMYFUNCTION("""COMPUTED_VALUE"""),364.0)</f>
        <v>364</v>
      </c>
      <c r="G2072" s="20">
        <f>IFERROR(__xludf.DUMMYFUNCTION("""COMPUTED_VALUE"""),15.0)</f>
        <v>15</v>
      </c>
      <c r="H2072" s="20" t="str">
        <f>IFERROR(__xludf.DUMMYFUNCTION("""COMPUTED_VALUE"""),"Algorithms")</f>
        <v>Algorithms</v>
      </c>
      <c r="I2072" s="20">
        <f>IFERROR(__xludf.DUMMYFUNCTION("""COMPUTED_VALUE"""),0.347)</f>
        <v>0.347</v>
      </c>
      <c r="J2072" s="20">
        <f>IFERROR(__xludf.DUMMYFUNCTION("""COMPUTED_VALUE"""),2071.0)</f>
        <v>2071</v>
      </c>
      <c r="K2072" s="20" t="b">
        <f>IFERROR(__xludf.DUMMYFUNCTION("""COMPUTED_VALUE"""),FALSE)</f>
        <v>0</v>
      </c>
      <c r="L2072" s="20" t="str">
        <f>IFERROR(__xludf.DUMMYFUNCTION("""COMPUTED_VALUE"""),"Array;Binary Search;Greedy;Queue;Sorting;Monotonic Queue;")</f>
        <v>Array;Binary Search;Greedy;Queue;Sorting;Monotonic Queue;</v>
      </c>
      <c r="M2072" s="20" t="b">
        <f>IFERROR(__xludf.DUMMYFUNCTION("""COMPUTED_VALUE"""),FALSE)</f>
        <v>0</v>
      </c>
      <c r="N2072" s="20" t="b">
        <f>IFERROR(__xludf.DUMMYFUNCTION("""COMPUTED_VALUE"""),FALSE)</f>
        <v>0</v>
      </c>
      <c r="O2072" s="20">
        <f>IFERROR(__xludf.DUMMYFUNCTION("""COMPUTED_VALUE"""),34.6719174663042)</f>
        <v>34.67191747</v>
      </c>
      <c r="P2072" s="20">
        <f>IFERROR(__xludf.DUMMYFUNCTION("""COMPUTED_VALUE"""),6251.0)</f>
        <v>6251</v>
      </c>
      <c r="Q2072" s="20">
        <f>IFERROR(__xludf.DUMMYFUNCTION("""COMPUTED_VALUE"""),18029.0)</f>
        <v>18029</v>
      </c>
    </row>
    <row r="2073">
      <c r="A2073" s="20">
        <f>IFERROR(__xludf.DUMMYFUNCTION("""COMPUTED_VALUE"""),2214.0)</f>
        <v>2214</v>
      </c>
      <c r="B2073" s="20" t="str">
        <f>IFERROR(__xludf.DUMMYFUNCTION("""COMPUTED_VALUE"""),"The Winner University")</f>
        <v>The Winner University</v>
      </c>
      <c r="C2073" s="20" t="str">
        <f>IFERROR(__xludf.DUMMYFUNCTION("""COMPUTED_VALUE"""),"the-winner-university")</f>
        <v>the-winner-university</v>
      </c>
      <c r="D2073" s="20" t="b">
        <f>IFERROR(__xludf.DUMMYFUNCTION("""COMPUTED_VALUE"""),TRUE)</f>
        <v>1</v>
      </c>
      <c r="E2073" s="20" t="str">
        <f>IFERROR(__xludf.DUMMYFUNCTION("""COMPUTED_VALUE"""),"Easy")</f>
        <v>Easy</v>
      </c>
      <c r="F2073" s="20">
        <f>IFERROR(__xludf.DUMMYFUNCTION("""COMPUTED_VALUE"""),44.0)</f>
        <v>44</v>
      </c>
      <c r="G2073" s="20">
        <f>IFERROR(__xludf.DUMMYFUNCTION("""COMPUTED_VALUE"""),2.0)</f>
        <v>2</v>
      </c>
      <c r="H2073" s="20" t="str">
        <f>IFERROR(__xludf.DUMMYFUNCTION("""COMPUTED_VALUE"""),"Database")</f>
        <v>Database</v>
      </c>
      <c r="I2073" s="20">
        <f>IFERROR(__xludf.DUMMYFUNCTION("""COMPUTED_VALUE"""),0.73)</f>
        <v>0.73</v>
      </c>
      <c r="J2073" s="20">
        <f>IFERROR(__xludf.DUMMYFUNCTION("""COMPUTED_VALUE"""),2072.0)</f>
        <v>2072</v>
      </c>
      <c r="K2073" s="20" t="b">
        <f>IFERROR(__xludf.DUMMYFUNCTION("""COMPUTED_VALUE"""),TRUE)</f>
        <v>1</v>
      </c>
      <c r="L2073" s="20" t="str">
        <f>IFERROR(__xludf.DUMMYFUNCTION("""COMPUTED_VALUE"""),"Database;")</f>
        <v>Database;</v>
      </c>
      <c r="M2073" s="20" t="b">
        <f>IFERROR(__xludf.DUMMYFUNCTION("""COMPUTED_VALUE"""),FALSE)</f>
        <v>0</v>
      </c>
      <c r="N2073" s="20" t="b">
        <f>IFERROR(__xludf.DUMMYFUNCTION("""COMPUTED_VALUE"""),FALSE)</f>
        <v>0</v>
      </c>
      <c r="O2073" s="20">
        <f>IFERROR(__xludf.DUMMYFUNCTION("""COMPUTED_VALUE"""),72.9698004481912)</f>
        <v>72.96980045</v>
      </c>
      <c r="P2073" s="20">
        <f>IFERROR(__xludf.DUMMYFUNCTION("""COMPUTED_VALUE"""),6838.0)</f>
        <v>6838</v>
      </c>
      <c r="Q2073" s="20">
        <f>IFERROR(__xludf.DUMMYFUNCTION("""COMPUTED_VALUE"""),9371.0)</f>
        <v>9371</v>
      </c>
    </row>
    <row r="2074">
      <c r="A2074" s="20">
        <f>IFERROR(__xludf.DUMMYFUNCTION("""COMPUTED_VALUE"""),2195.0)</f>
        <v>2195</v>
      </c>
      <c r="B2074" s="20" t="str">
        <f>IFERROR(__xludf.DUMMYFUNCTION("""COMPUTED_VALUE"""),"Time Needed to Buy Tickets")</f>
        <v>Time Needed to Buy Tickets</v>
      </c>
      <c r="C2074" s="20" t="str">
        <f>IFERROR(__xludf.DUMMYFUNCTION("""COMPUTED_VALUE"""),"time-needed-to-buy-tickets")</f>
        <v>time-needed-to-buy-tickets</v>
      </c>
      <c r="D2074" s="20" t="b">
        <f>IFERROR(__xludf.DUMMYFUNCTION("""COMPUTED_VALUE"""),FALSE)</f>
        <v>0</v>
      </c>
      <c r="E2074" s="20" t="str">
        <f>IFERROR(__xludf.DUMMYFUNCTION("""COMPUTED_VALUE"""),"Easy")</f>
        <v>Easy</v>
      </c>
      <c r="F2074" s="20">
        <f>IFERROR(__xludf.DUMMYFUNCTION("""COMPUTED_VALUE"""),575.0)</f>
        <v>575</v>
      </c>
      <c r="G2074" s="20">
        <f>IFERROR(__xludf.DUMMYFUNCTION("""COMPUTED_VALUE"""),34.0)</f>
        <v>34</v>
      </c>
      <c r="H2074" s="20" t="str">
        <f>IFERROR(__xludf.DUMMYFUNCTION("""COMPUTED_VALUE"""),"Algorithms")</f>
        <v>Algorithms</v>
      </c>
      <c r="I2074" s="20">
        <f>IFERROR(__xludf.DUMMYFUNCTION("""COMPUTED_VALUE"""),0.62)</f>
        <v>0.62</v>
      </c>
      <c r="J2074" s="20">
        <f>IFERROR(__xludf.DUMMYFUNCTION("""COMPUTED_VALUE"""),2073.0)</f>
        <v>2073</v>
      </c>
      <c r="K2074" s="20" t="b">
        <f>IFERROR(__xludf.DUMMYFUNCTION("""COMPUTED_VALUE"""),FALSE)</f>
        <v>0</v>
      </c>
      <c r="L2074" s="20" t="str">
        <f>IFERROR(__xludf.DUMMYFUNCTION("""COMPUTED_VALUE"""),"Array;Queue;Simulation;")</f>
        <v>Array;Queue;Simulation;</v>
      </c>
      <c r="M2074" s="20" t="b">
        <f>IFERROR(__xludf.DUMMYFUNCTION("""COMPUTED_VALUE"""),FALSE)</f>
        <v>0</v>
      </c>
      <c r="N2074" s="20" t="b">
        <f>IFERROR(__xludf.DUMMYFUNCTION("""COMPUTED_VALUE"""),FALSE)</f>
        <v>0</v>
      </c>
      <c r="O2074" s="20">
        <f>IFERROR(__xludf.DUMMYFUNCTION("""COMPUTED_VALUE"""),62.0189745229719)</f>
        <v>62.01897452</v>
      </c>
      <c r="P2074" s="20">
        <f>IFERROR(__xludf.DUMMYFUNCTION("""COMPUTED_VALUE"""),34907.0)</f>
        <v>34907</v>
      </c>
      <c r="Q2074" s="20">
        <f>IFERROR(__xludf.DUMMYFUNCTION("""COMPUTED_VALUE"""),56285.0)</f>
        <v>56285</v>
      </c>
    </row>
    <row r="2075">
      <c r="A2075" s="20">
        <f>IFERROR(__xludf.DUMMYFUNCTION("""COMPUTED_VALUE"""),2196.0)</f>
        <v>2196</v>
      </c>
      <c r="B2075" s="20" t="str">
        <f>IFERROR(__xludf.DUMMYFUNCTION("""COMPUTED_VALUE"""),"Reverse Nodes in Even Length Groups")</f>
        <v>Reverse Nodes in Even Length Groups</v>
      </c>
      <c r="C2075" s="20" t="str">
        <f>IFERROR(__xludf.DUMMYFUNCTION("""COMPUTED_VALUE"""),"reverse-nodes-in-even-length-groups")</f>
        <v>reverse-nodes-in-even-length-groups</v>
      </c>
      <c r="D2075" s="20" t="b">
        <f>IFERROR(__xludf.DUMMYFUNCTION("""COMPUTED_VALUE"""),FALSE)</f>
        <v>0</v>
      </c>
      <c r="E2075" s="20" t="str">
        <f>IFERROR(__xludf.DUMMYFUNCTION("""COMPUTED_VALUE"""),"Medium")</f>
        <v>Medium</v>
      </c>
      <c r="F2075" s="20">
        <f>IFERROR(__xludf.DUMMYFUNCTION("""COMPUTED_VALUE"""),382.0)</f>
        <v>382</v>
      </c>
      <c r="G2075" s="20">
        <f>IFERROR(__xludf.DUMMYFUNCTION("""COMPUTED_VALUE"""),260.0)</f>
        <v>260</v>
      </c>
      <c r="H2075" s="20" t="str">
        <f>IFERROR(__xludf.DUMMYFUNCTION("""COMPUTED_VALUE"""),"Algorithms")</f>
        <v>Algorithms</v>
      </c>
      <c r="I2075" s="20">
        <f>IFERROR(__xludf.DUMMYFUNCTION("""COMPUTED_VALUE"""),0.523)</f>
        <v>0.523</v>
      </c>
      <c r="J2075" s="20">
        <f>IFERROR(__xludf.DUMMYFUNCTION("""COMPUTED_VALUE"""),2074.0)</f>
        <v>2074</v>
      </c>
      <c r="K2075" s="20" t="b">
        <f>IFERROR(__xludf.DUMMYFUNCTION("""COMPUTED_VALUE"""),FALSE)</f>
        <v>0</v>
      </c>
      <c r="L2075" s="20" t="str">
        <f>IFERROR(__xludf.DUMMYFUNCTION("""COMPUTED_VALUE"""),"Linked List;")</f>
        <v>Linked List;</v>
      </c>
      <c r="M2075" s="20" t="b">
        <f>IFERROR(__xludf.DUMMYFUNCTION("""COMPUTED_VALUE"""),FALSE)</f>
        <v>0</v>
      </c>
      <c r="N2075" s="20" t="b">
        <f>IFERROR(__xludf.DUMMYFUNCTION("""COMPUTED_VALUE"""),FALSE)</f>
        <v>0</v>
      </c>
      <c r="O2075" s="20">
        <f>IFERROR(__xludf.DUMMYFUNCTION("""COMPUTED_VALUE"""),52.3457343493201)</f>
        <v>52.34573435</v>
      </c>
      <c r="P2075" s="20">
        <f>IFERROR(__xludf.DUMMYFUNCTION("""COMPUTED_VALUE"""),14014.0)</f>
        <v>14014</v>
      </c>
      <c r="Q2075" s="20">
        <f>IFERROR(__xludf.DUMMYFUNCTION("""COMPUTED_VALUE"""),26772.0)</f>
        <v>26772</v>
      </c>
    </row>
    <row r="2076">
      <c r="A2076" s="20">
        <f>IFERROR(__xludf.DUMMYFUNCTION("""COMPUTED_VALUE"""),2197.0)</f>
        <v>2197</v>
      </c>
      <c r="B2076" s="20" t="str">
        <f>IFERROR(__xludf.DUMMYFUNCTION("""COMPUTED_VALUE"""),"Decode the Slanted Ciphertext")</f>
        <v>Decode the Slanted Ciphertext</v>
      </c>
      <c r="C2076" s="20" t="str">
        <f>IFERROR(__xludf.DUMMYFUNCTION("""COMPUTED_VALUE"""),"decode-the-slanted-ciphertext")</f>
        <v>decode-the-slanted-ciphertext</v>
      </c>
      <c r="D2076" s="20" t="b">
        <f>IFERROR(__xludf.DUMMYFUNCTION("""COMPUTED_VALUE"""),FALSE)</f>
        <v>0</v>
      </c>
      <c r="E2076" s="20" t="str">
        <f>IFERROR(__xludf.DUMMYFUNCTION("""COMPUTED_VALUE"""),"Medium")</f>
        <v>Medium</v>
      </c>
      <c r="F2076" s="20">
        <f>IFERROR(__xludf.DUMMYFUNCTION("""COMPUTED_VALUE"""),201.0)</f>
        <v>201</v>
      </c>
      <c r="G2076" s="20">
        <f>IFERROR(__xludf.DUMMYFUNCTION("""COMPUTED_VALUE"""),39.0)</f>
        <v>39</v>
      </c>
      <c r="H2076" s="20" t="str">
        <f>IFERROR(__xludf.DUMMYFUNCTION("""COMPUTED_VALUE"""),"Algorithms")</f>
        <v>Algorithms</v>
      </c>
      <c r="I2076" s="20">
        <f>IFERROR(__xludf.DUMMYFUNCTION("""COMPUTED_VALUE"""),0.502)</f>
        <v>0.502</v>
      </c>
      <c r="J2076" s="20">
        <f>IFERROR(__xludf.DUMMYFUNCTION("""COMPUTED_VALUE"""),2075.0)</f>
        <v>2075</v>
      </c>
      <c r="K2076" s="20" t="b">
        <f>IFERROR(__xludf.DUMMYFUNCTION("""COMPUTED_VALUE"""),FALSE)</f>
        <v>0</v>
      </c>
      <c r="L2076" s="20" t="str">
        <f>IFERROR(__xludf.DUMMYFUNCTION("""COMPUTED_VALUE"""),"String;Simulation;")</f>
        <v>String;Simulation;</v>
      </c>
      <c r="M2076" s="20" t="b">
        <f>IFERROR(__xludf.DUMMYFUNCTION("""COMPUTED_VALUE"""),FALSE)</f>
        <v>0</v>
      </c>
      <c r="N2076" s="20" t="b">
        <f>IFERROR(__xludf.DUMMYFUNCTION("""COMPUTED_VALUE"""),FALSE)</f>
        <v>0</v>
      </c>
      <c r="O2076" s="20">
        <f>IFERROR(__xludf.DUMMYFUNCTION("""COMPUTED_VALUE"""),50.2061855670103)</f>
        <v>50.20618557</v>
      </c>
      <c r="P2076" s="20">
        <f>IFERROR(__xludf.DUMMYFUNCTION("""COMPUTED_VALUE"""),10227.0)</f>
        <v>10227</v>
      </c>
      <c r="Q2076" s="20">
        <f>IFERROR(__xludf.DUMMYFUNCTION("""COMPUTED_VALUE"""),20370.0)</f>
        <v>20370</v>
      </c>
    </row>
    <row r="2077">
      <c r="A2077" s="20">
        <f>IFERROR(__xludf.DUMMYFUNCTION("""COMPUTED_VALUE"""),2198.0)</f>
        <v>2198</v>
      </c>
      <c r="B2077" s="20" t="str">
        <f>IFERROR(__xludf.DUMMYFUNCTION("""COMPUTED_VALUE"""),"Process Restricted Friend Requests")</f>
        <v>Process Restricted Friend Requests</v>
      </c>
      <c r="C2077" s="20" t="str">
        <f>IFERROR(__xludf.DUMMYFUNCTION("""COMPUTED_VALUE"""),"process-restricted-friend-requests")</f>
        <v>process-restricted-friend-requests</v>
      </c>
      <c r="D2077" s="20" t="b">
        <f>IFERROR(__xludf.DUMMYFUNCTION("""COMPUTED_VALUE"""),FALSE)</f>
        <v>0</v>
      </c>
      <c r="E2077" s="20" t="str">
        <f>IFERROR(__xludf.DUMMYFUNCTION("""COMPUTED_VALUE"""),"Hard")</f>
        <v>Hard</v>
      </c>
      <c r="F2077" s="20">
        <f>IFERROR(__xludf.DUMMYFUNCTION("""COMPUTED_VALUE"""),481.0)</f>
        <v>481</v>
      </c>
      <c r="G2077" s="20">
        <f>IFERROR(__xludf.DUMMYFUNCTION("""COMPUTED_VALUE"""),13.0)</f>
        <v>13</v>
      </c>
      <c r="H2077" s="20" t="str">
        <f>IFERROR(__xludf.DUMMYFUNCTION("""COMPUTED_VALUE"""),"Algorithms")</f>
        <v>Algorithms</v>
      </c>
      <c r="I2077" s="20">
        <f>IFERROR(__xludf.DUMMYFUNCTION("""COMPUTED_VALUE"""),0.533)</f>
        <v>0.533</v>
      </c>
      <c r="J2077" s="20">
        <f>IFERROR(__xludf.DUMMYFUNCTION("""COMPUTED_VALUE"""),2076.0)</f>
        <v>2076</v>
      </c>
      <c r="K2077" s="20" t="b">
        <f>IFERROR(__xludf.DUMMYFUNCTION("""COMPUTED_VALUE"""),FALSE)</f>
        <v>0</v>
      </c>
      <c r="L2077" s="20" t="str">
        <f>IFERROR(__xludf.DUMMYFUNCTION("""COMPUTED_VALUE"""),"Union Find;Graph;")</f>
        <v>Union Find;Graph;</v>
      </c>
      <c r="M2077" s="20" t="b">
        <f>IFERROR(__xludf.DUMMYFUNCTION("""COMPUTED_VALUE"""),FALSE)</f>
        <v>0</v>
      </c>
      <c r="N2077" s="20" t="b">
        <f>IFERROR(__xludf.DUMMYFUNCTION("""COMPUTED_VALUE"""),FALSE)</f>
        <v>0</v>
      </c>
      <c r="O2077" s="20">
        <f>IFERROR(__xludf.DUMMYFUNCTION("""COMPUTED_VALUE"""),53.2689051336059)</f>
        <v>53.26890513</v>
      </c>
      <c r="P2077" s="20">
        <f>IFERROR(__xludf.DUMMYFUNCTION("""COMPUTED_VALUE"""),12898.0)</f>
        <v>12898</v>
      </c>
      <c r="Q2077" s="20">
        <f>IFERROR(__xludf.DUMMYFUNCTION("""COMPUTED_VALUE"""),24213.0)</f>
        <v>24213</v>
      </c>
    </row>
    <row r="2078">
      <c r="A2078" s="20">
        <f>IFERROR(__xludf.DUMMYFUNCTION("""COMPUTED_VALUE"""),2218.0)</f>
        <v>2218</v>
      </c>
      <c r="B2078" s="20" t="str">
        <f>IFERROR(__xludf.DUMMYFUNCTION("""COMPUTED_VALUE"""),"Paths in Maze That Lead to Same Room")</f>
        <v>Paths in Maze That Lead to Same Room</v>
      </c>
      <c r="C2078" s="20" t="str">
        <f>IFERROR(__xludf.DUMMYFUNCTION("""COMPUTED_VALUE"""),"paths-in-maze-that-lead-to-same-room")</f>
        <v>paths-in-maze-that-lead-to-same-room</v>
      </c>
      <c r="D2078" s="20" t="b">
        <f>IFERROR(__xludf.DUMMYFUNCTION("""COMPUTED_VALUE"""),TRUE)</f>
        <v>1</v>
      </c>
      <c r="E2078" s="20" t="str">
        <f>IFERROR(__xludf.DUMMYFUNCTION("""COMPUTED_VALUE"""),"Medium")</f>
        <v>Medium</v>
      </c>
      <c r="F2078" s="20">
        <f>IFERROR(__xludf.DUMMYFUNCTION("""COMPUTED_VALUE"""),89.0)</f>
        <v>89</v>
      </c>
      <c r="G2078" s="20">
        <f>IFERROR(__xludf.DUMMYFUNCTION("""COMPUTED_VALUE"""),6.0)</f>
        <v>6</v>
      </c>
      <c r="H2078" s="20" t="str">
        <f>IFERROR(__xludf.DUMMYFUNCTION("""COMPUTED_VALUE"""),"Algorithms")</f>
        <v>Algorithms</v>
      </c>
      <c r="I2078" s="20">
        <f>IFERROR(__xludf.DUMMYFUNCTION("""COMPUTED_VALUE"""),0.559)</f>
        <v>0.559</v>
      </c>
      <c r="J2078" s="20">
        <f>IFERROR(__xludf.DUMMYFUNCTION("""COMPUTED_VALUE"""),2077.0)</f>
        <v>2077</v>
      </c>
      <c r="K2078" s="20" t="b">
        <f>IFERROR(__xludf.DUMMYFUNCTION("""COMPUTED_VALUE"""),TRUE)</f>
        <v>1</v>
      </c>
      <c r="L2078" s="20" t="str">
        <f>IFERROR(__xludf.DUMMYFUNCTION("""COMPUTED_VALUE"""),"Graph;")</f>
        <v>Graph;</v>
      </c>
      <c r="M2078" s="20" t="b">
        <f>IFERROR(__xludf.DUMMYFUNCTION("""COMPUTED_VALUE"""),FALSE)</f>
        <v>0</v>
      </c>
      <c r="N2078" s="20" t="b">
        <f>IFERROR(__xludf.DUMMYFUNCTION("""COMPUTED_VALUE"""),FALSE)</f>
        <v>0</v>
      </c>
      <c r="O2078" s="20">
        <f>IFERROR(__xludf.DUMMYFUNCTION("""COMPUTED_VALUE"""),55.9287323366782)</f>
        <v>55.92873234</v>
      </c>
      <c r="P2078" s="20">
        <f>IFERROR(__xludf.DUMMYFUNCTION("""COMPUTED_VALUE"""),2731.0)</f>
        <v>2731</v>
      </c>
      <c r="Q2078" s="20">
        <f>IFERROR(__xludf.DUMMYFUNCTION("""COMPUTED_VALUE"""),4883.0)</f>
        <v>4883</v>
      </c>
    </row>
    <row r="2079">
      <c r="A2079" s="20">
        <f>IFERROR(__xludf.DUMMYFUNCTION("""COMPUTED_VALUE"""),2199.0)</f>
        <v>2199</v>
      </c>
      <c r="B2079" s="20" t="str">
        <f>IFERROR(__xludf.DUMMYFUNCTION("""COMPUTED_VALUE"""),"Two Furthest Houses With Different Colors")</f>
        <v>Two Furthest Houses With Different Colors</v>
      </c>
      <c r="C2079" s="20" t="str">
        <f>IFERROR(__xludf.DUMMYFUNCTION("""COMPUTED_VALUE"""),"two-furthest-houses-with-different-colors")</f>
        <v>two-furthest-houses-with-different-colors</v>
      </c>
      <c r="D2079" s="20" t="b">
        <f>IFERROR(__xludf.DUMMYFUNCTION("""COMPUTED_VALUE"""),FALSE)</f>
        <v>0</v>
      </c>
      <c r="E2079" s="20" t="str">
        <f>IFERROR(__xludf.DUMMYFUNCTION("""COMPUTED_VALUE"""),"Easy")</f>
        <v>Easy</v>
      </c>
      <c r="F2079" s="20">
        <f>IFERROR(__xludf.DUMMYFUNCTION("""COMPUTED_VALUE"""),663.0)</f>
        <v>663</v>
      </c>
      <c r="G2079" s="20">
        <f>IFERROR(__xludf.DUMMYFUNCTION("""COMPUTED_VALUE"""),19.0)</f>
        <v>19</v>
      </c>
      <c r="H2079" s="20" t="str">
        <f>IFERROR(__xludf.DUMMYFUNCTION("""COMPUTED_VALUE"""),"Algorithms")</f>
        <v>Algorithms</v>
      </c>
      <c r="I2079" s="20">
        <f>IFERROR(__xludf.DUMMYFUNCTION("""COMPUTED_VALUE"""),0.671)</f>
        <v>0.671</v>
      </c>
      <c r="J2079" s="20">
        <f>IFERROR(__xludf.DUMMYFUNCTION("""COMPUTED_VALUE"""),2078.0)</f>
        <v>2078</v>
      </c>
      <c r="K2079" s="20" t="b">
        <f>IFERROR(__xludf.DUMMYFUNCTION("""COMPUTED_VALUE"""),FALSE)</f>
        <v>0</v>
      </c>
      <c r="L2079" s="20" t="str">
        <f>IFERROR(__xludf.DUMMYFUNCTION("""COMPUTED_VALUE"""),"Array;Greedy;")</f>
        <v>Array;Greedy;</v>
      </c>
      <c r="M2079" s="20" t="b">
        <f>IFERROR(__xludf.DUMMYFUNCTION("""COMPUTED_VALUE"""),FALSE)</f>
        <v>0</v>
      </c>
      <c r="N2079" s="20" t="b">
        <f>IFERROR(__xludf.DUMMYFUNCTION("""COMPUTED_VALUE"""),FALSE)</f>
        <v>0</v>
      </c>
      <c r="O2079" s="20">
        <f>IFERROR(__xludf.DUMMYFUNCTION("""COMPUTED_VALUE"""),67.0829697498545)</f>
        <v>67.08296975</v>
      </c>
      <c r="P2079" s="20">
        <f>IFERROR(__xludf.DUMMYFUNCTION("""COMPUTED_VALUE"""),36901.0)</f>
        <v>36901</v>
      </c>
      <c r="Q2079" s="20">
        <f>IFERROR(__xludf.DUMMYFUNCTION("""COMPUTED_VALUE"""),55007.0)</f>
        <v>55007</v>
      </c>
    </row>
    <row r="2080">
      <c r="A2080" s="20">
        <f>IFERROR(__xludf.DUMMYFUNCTION("""COMPUTED_VALUE"""),1310.0)</f>
        <v>1310</v>
      </c>
      <c r="B2080" s="20" t="str">
        <f>IFERROR(__xludf.DUMMYFUNCTION("""COMPUTED_VALUE"""),"Watering Plants")</f>
        <v>Watering Plants</v>
      </c>
      <c r="C2080" s="20" t="str">
        <f>IFERROR(__xludf.DUMMYFUNCTION("""COMPUTED_VALUE"""),"watering-plants")</f>
        <v>watering-plants</v>
      </c>
      <c r="D2080" s="20" t="b">
        <f>IFERROR(__xludf.DUMMYFUNCTION("""COMPUTED_VALUE"""),FALSE)</f>
        <v>0</v>
      </c>
      <c r="E2080" s="20" t="str">
        <f>IFERROR(__xludf.DUMMYFUNCTION("""COMPUTED_VALUE"""),"Medium")</f>
        <v>Medium</v>
      </c>
      <c r="F2080" s="20">
        <f>IFERROR(__xludf.DUMMYFUNCTION("""COMPUTED_VALUE"""),608.0)</f>
        <v>608</v>
      </c>
      <c r="G2080" s="20">
        <f>IFERROR(__xludf.DUMMYFUNCTION("""COMPUTED_VALUE"""),42.0)</f>
        <v>42</v>
      </c>
      <c r="H2080" s="20" t="str">
        <f>IFERROR(__xludf.DUMMYFUNCTION("""COMPUTED_VALUE"""),"Algorithms")</f>
        <v>Algorithms</v>
      </c>
      <c r="I2080" s="20">
        <f>IFERROR(__xludf.DUMMYFUNCTION("""COMPUTED_VALUE"""),0.8)</f>
        <v>0.8</v>
      </c>
      <c r="J2080" s="20">
        <f>IFERROR(__xludf.DUMMYFUNCTION("""COMPUTED_VALUE"""),2079.0)</f>
        <v>2079</v>
      </c>
      <c r="K2080" s="20" t="b">
        <f>IFERROR(__xludf.DUMMYFUNCTION("""COMPUTED_VALUE"""),FALSE)</f>
        <v>0</v>
      </c>
      <c r="L2080" s="20" t="str">
        <f>IFERROR(__xludf.DUMMYFUNCTION("""COMPUTED_VALUE"""),"Array;")</f>
        <v>Array;</v>
      </c>
      <c r="M2080" s="20" t="b">
        <f>IFERROR(__xludf.DUMMYFUNCTION("""COMPUTED_VALUE"""),FALSE)</f>
        <v>0</v>
      </c>
      <c r="N2080" s="20" t="b">
        <f>IFERROR(__xludf.DUMMYFUNCTION("""COMPUTED_VALUE"""),FALSE)</f>
        <v>0</v>
      </c>
      <c r="O2080" s="20">
        <f>IFERROR(__xludf.DUMMYFUNCTION("""COMPUTED_VALUE"""),79.9607432609264)</f>
        <v>79.96074326</v>
      </c>
      <c r="P2080" s="20">
        <f>IFERROR(__xludf.DUMMYFUNCTION("""COMPUTED_VALUE"""),30553.0)</f>
        <v>30553</v>
      </c>
      <c r="Q2080" s="20">
        <f>IFERROR(__xludf.DUMMYFUNCTION("""COMPUTED_VALUE"""),38210.0)</f>
        <v>38210</v>
      </c>
    </row>
    <row r="2081">
      <c r="A2081" s="20">
        <f>IFERROR(__xludf.DUMMYFUNCTION("""COMPUTED_VALUE"""),1294.0)</f>
        <v>1294</v>
      </c>
      <c r="B2081" s="20" t="str">
        <f>IFERROR(__xludf.DUMMYFUNCTION("""COMPUTED_VALUE"""),"Range Frequency Queries")</f>
        <v>Range Frequency Queries</v>
      </c>
      <c r="C2081" s="20" t="str">
        <f>IFERROR(__xludf.DUMMYFUNCTION("""COMPUTED_VALUE"""),"range-frequency-queries")</f>
        <v>range-frequency-queries</v>
      </c>
      <c r="D2081" s="20" t="b">
        <f>IFERROR(__xludf.DUMMYFUNCTION("""COMPUTED_VALUE"""),FALSE)</f>
        <v>0</v>
      </c>
      <c r="E2081" s="20" t="str">
        <f>IFERROR(__xludf.DUMMYFUNCTION("""COMPUTED_VALUE"""),"Medium")</f>
        <v>Medium</v>
      </c>
      <c r="F2081" s="20">
        <f>IFERROR(__xludf.DUMMYFUNCTION("""COMPUTED_VALUE"""),474.0)</f>
        <v>474</v>
      </c>
      <c r="G2081" s="20">
        <f>IFERROR(__xludf.DUMMYFUNCTION("""COMPUTED_VALUE"""),22.0)</f>
        <v>22</v>
      </c>
      <c r="H2081" s="20" t="str">
        <f>IFERROR(__xludf.DUMMYFUNCTION("""COMPUTED_VALUE"""),"Algorithms")</f>
        <v>Algorithms</v>
      </c>
      <c r="I2081" s="20">
        <f>IFERROR(__xludf.DUMMYFUNCTION("""COMPUTED_VALUE"""),0.383)</f>
        <v>0.383</v>
      </c>
      <c r="J2081" s="20">
        <f>IFERROR(__xludf.DUMMYFUNCTION("""COMPUTED_VALUE"""),2080.0)</f>
        <v>2080</v>
      </c>
      <c r="K2081" s="20" t="b">
        <f>IFERROR(__xludf.DUMMYFUNCTION("""COMPUTED_VALUE"""),FALSE)</f>
        <v>0</v>
      </c>
      <c r="L2081" s="20" t="str">
        <f>IFERROR(__xludf.DUMMYFUNCTION("""COMPUTED_VALUE"""),"Array;Hash Table;Binary Search;Design;Segment Tree;")</f>
        <v>Array;Hash Table;Binary Search;Design;Segment Tree;</v>
      </c>
      <c r="M2081" s="20" t="b">
        <f>IFERROR(__xludf.DUMMYFUNCTION("""COMPUTED_VALUE"""),FALSE)</f>
        <v>0</v>
      </c>
      <c r="N2081" s="20" t="b">
        <f>IFERROR(__xludf.DUMMYFUNCTION("""COMPUTED_VALUE"""),FALSE)</f>
        <v>0</v>
      </c>
      <c r="O2081" s="20">
        <f>IFERROR(__xludf.DUMMYFUNCTION("""COMPUTED_VALUE"""),38.3428190534789)</f>
        <v>38.34281905</v>
      </c>
      <c r="P2081" s="20">
        <f>IFERROR(__xludf.DUMMYFUNCTION("""COMPUTED_VALUE"""),14956.0)</f>
        <v>14956</v>
      </c>
      <c r="Q2081" s="20">
        <f>IFERROR(__xludf.DUMMYFUNCTION("""COMPUTED_VALUE"""),39006.0)</f>
        <v>39006</v>
      </c>
    </row>
    <row r="2082">
      <c r="A2082" s="20">
        <f>IFERROR(__xludf.DUMMYFUNCTION("""COMPUTED_VALUE"""),2202.0)</f>
        <v>2202</v>
      </c>
      <c r="B2082" s="20" t="str">
        <f>IFERROR(__xludf.DUMMYFUNCTION("""COMPUTED_VALUE"""),"Sum of k-Mirror Numbers")</f>
        <v>Sum of k-Mirror Numbers</v>
      </c>
      <c r="C2082" s="20" t="str">
        <f>IFERROR(__xludf.DUMMYFUNCTION("""COMPUTED_VALUE"""),"sum-of-k-mirror-numbers")</f>
        <v>sum-of-k-mirror-numbers</v>
      </c>
      <c r="D2082" s="20" t="b">
        <f>IFERROR(__xludf.DUMMYFUNCTION("""COMPUTED_VALUE"""),FALSE)</f>
        <v>0</v>
      </c>
      <c r="E2082" s="20" t="str">
        <f>IFERROR(__xludf.DUMMYFUNCTION("""COMPUTED_VALUE"""),"Hard")</f>
        <v>Hard</v>
      </c>
      <c r="F2082" s="20">
        <f>IFERROR(__xludf.DUMMYFUNCTION("""COMPUTED_VALUE"""),101.0)</f>
        <v>101</v>
      </c>
      <c r="G2082" s="20">
        <f>IFERROR(__xludf.DUMMYFUNCTION("""COMPUTED_VALUE"""),139.0)</f>
        <v>139</v>
      </c>
      <c r="H2082" s="20" t="str">
        <f>IFERROR(__xludf.DUMMYFUNCTION("""COMPUTED_VALUE"""),"Algorithms")</f>
        <v>Algorithms</v>
      </c>
      <c r="I2082" s="20">
        <f>IFERROR(__xludf.DUMMYFUNCTION("""COMPUTED_VALUE"""),0.421)</f>
        <v>0.421</v>
      </c>
      <c r="J2082" s="20">
        <f>IFERROR(__xludf.DUMMYFUNCTION("""COMPUTED_VALUE"""),2081.0)</f>
        <v>2081</v>
      </c>
      <c r="K2082" s="20" t="b">
        <f>IFERROR(__xludf.DUMMYFUNCTION("""COMPUTED_VALUE"""),FALSE)</f>
        <v>0</v>
      </c>
      <c r="L2082" s="20" t="str">
        <f>IFERROR(__xludf.DUMMYFUNCTION("""COMPUTED_VALUE"""),"Math;Enumeration;")</f>
        <v>Math;Enumeration;</v>
      </c>
      <c r="M2082" s="20" t="b">
        <f>IFERROR(__xludf.DUMMYFUNCTION("""COMPUTED_VALUE"""),FALSE)</f>
        <v>0</v>
      </c>
      <c r="N2082" s="20" t="b">
        <f>IFERROR(__xludf.DUMMYFUNCTION("""COMPUTED_VALUE"""),FALSE)</f>
        <v>0</v>
      </c>
      <c r="O2082" s="20">
        <f>IFERROR(__xludf.DUMMYFUNCTION("""COMPUTED_VALUE"""),42.0602327173169)</f>
        <v>42.06023272</v>
      </c>
      <c r="P2082" s="20">
        <f>IFERROR(__xludf.DUMMYFUNCTION("""COMPUTED_VALUE"""),6145.0)</f>
        <v>6145</v>
      </c>
      <c r="Q2082" s="20">
        <f>IFERROR(__xludf.DUMMYFUNCTION("""COMPUTED_VALUE"""),14610.0)</f>
        <v>14610</v>
      </c>
    </row>
    <row r="2083">
      <c r="A2083" s="20">
        <f>IFERROR(__xludf.DUMMYFUNCTION("""COMPUTED_VALUE"""),2223.0)</f>
        <v>2223</v>
      </c>
      <c r="B2083" s="20" t="str">
        <f>IFERROR(__xludf.DUMMYFUNCTION("""COMPUTED_VALUE"""),"The Number of Rich Customers")</f>
        <v>The Number of Rich Customers</v>
      </c>
      <c r="C2083" s="20" t="str">
        <f>IFERROR(__xludf.DUMMYFUNCTION("""COMPUTED_VALUE"""),"the-number-of-rich-customers")</f>
        <v>the-number-of-rich-customers</v>
      </c>
      <c r="D2083" s="20" t="b">
        <f>IFERROR(__xludf.DUMMYFUNCTION("""COMPUTED_VALUE"""),TRUE)</f>
        <v>1</v>
      </c>
      <c r="E2083" s="20" t="str">
        <f>IFERROR(__xludf.DUMMYFUNCTION("""COMPUTED_VALUE"""),"Easy")</f>
        <v>Easy</v>
      </c>
      <c r="F2083" s="20">
        <f>IFERROR(__xludf.DUMMYFUNCTION("""COMPUTED_VALUE"""),25.0)</f>
        <v>25</v>
      </c>
      <c r="G2083" s="20">
        <f>IFERROR(__xludf.DUMMYFUNCTION("""COMPUTED_VALUE"""),16.0)</f>
        <v>16</v>
      </c>
      <c r="H2083" s="20" t="str">
        <f>IFERROR(__xludf.DUMMYFUNCTION("""COMPUTED_VALUE"""),"Database")</f>
        <v>Database</v>
      </c>
      <c r="I2083" s="20">
        <f>IFERROR(__xludf.DUMMYFUNCTION("""COMPUTED_VALUE"""),0.804)</f>
        <v>0.804</v>
      </c>
      <c r="J2083" s="20">
        <f>IFERROR(__xludf.DUMMYFUNCTION("""COMPUTED_VALUE"""),2082.0)</f>
        <v>2082</v>
      </c>
      <c r="K2083" s="20" t="b">
        <f>IFERROR(__xludf.DUMMYFUNCTION("""COMPUTED_VALUE"""),TRUE)</f>
        <v>1</v>
      </c>
      <c r="L2083" s="20" t="str">
        <f>IFERROR(__xludf.DUMMYFUNCTION("""COMPUTED_VALUE"""),"Database;")</f>
        <v>Database;</v>
      </c>
      <c r="M2083" s="20" t="b">
        <f>IFERROR(__xludf.DUMMYFUNCTION("""COMPUTED_VALUE"""),FALSE)</f>
        <v>0</v>
      </c>
      <c r="N2083" s="20" t="b">
        <f>IFERROR(__xludf.DUMMYFUNCTION("""COMPUTED_VALUE"""),FALSE)</f>
        <v>0</v>
      </c>
      <c r="O2083" s="20">
        <f>IFERROR(__xludf.DUMMYFUNCTION("""COMPUTED_VALUE"""),80.35392245266)</f>
        <v>80.35392245</v>
      </c>
      <c r="P2083" s="20">
        <f>IFERROR(__xludf.DUMMYFUNCTION("""COMPUTED_VALUE"""),7129.0)</f>
        <v>7129</v>
      </c>
      <c r="Q2083" s="20">
        <f>IFERROR(__xludf.DUMMYFUNCTION("""COMPUTED_VALUE"""),8872.0)</f>
        <v>8872</v>
      </c>
    </row>
    <row r="2084">
      <c r="A2084" s="20">
        <f>IFERROR(__xludf.DUMMYFUNCTION("""COMPUTED_VALUE"""),2225.0)</f>
        <v>2225</v>
      </c>
      <c r="B2084" s="20" t="str">
        <f>IFERROR(__xludf.DUMMYFUNCTION("""COMPUTED_VALUE"""),"Substrings That Begin and End With the Same Letter")</f>
        <v>Substrings That Begin and End With the Same Letter</v>
      </c>
      <c r="C2084" s="20" t="str">
        <f>IFERROR(__xludf.DUMMYFUNCTION("""COMPUTED_VALUE"""),"substrings-that-begin-and-end-with-the-same-letter")</f>
        <v>substrings-that-begin-and-end-with-the-same-letter</v>
      </c>
      <c r="D2084" s="20" t="b">
        <f>IFERROR(__xludf.DUMMYFUNCTION("""COMPUTED_VALUE"""),TRUE)</f>
        <v>1</v>
      </c>
      <c r="E2084" s="20" t="str">
        <f>IFERROR(__xludf.DUMMYFUNCTION("""COMPUTED_VALUE"""),"Medium")</f>
        <v>Medium</v>
      </c>
      <c r="F2084" s="20">
        <f>IFERROR(__xludf.DUMMYFUNCTION("""COMPUTED_VALUE"""),93.0)</f>
        <v>93</v>
      </c>
      <c r="G2084" s="20">
        <f>IFERROR(__xludf.DUMMYFUNCTION("""COMPUTED_VALUE"""),4.0)</f>
        <v>4</v>
      </c>
      <c r="H2084" s="20" t="str">
        <f>IFERROR(__xludf.DUMMYFUNCTION("""COMPUTED_VALUE"""),"Algorithms")</f>
        <v>Algorithms</v>
      </c>
      <c r="I2084" s="20">
        <f>IFERROR(__xludf.DUMMYFUNCTION("""COMPUTED_VALUE"""),0.681)</f>
        <v>0.681</v>
      </c>
      <c r="J2084" s="20">
        <f>IFERROR(__xludf.DUMMYFUNCTION("""COMPUTED_VALUE"""),2083.0)</f>
        <v>2083</v>
      </c>
      <c r="K2084" s="20" t="b">
        <f>IFERROR(__xludf.DUMMYFUNCTION("""COMPUTED_VALUE"""),TRUE)</f>
        <v>1</v>
      </c>
      <c r="L2084" s="20" t="str">
        <f>IFERROR(__xludf.DUMMYFUNCTION("""COMPUTED_VALUE"""),"Hash Table;Math;String;Counting;Prefix Sum;")</f>
        <v>Hash Table;Math;String;Counting;Prefix Sum;</v>
      </c>
      <c r="M2084" s="20" t="b">
        <f>IFERROR(__xludf.DUMMYFUNCTION("""COMPUTED_VALUE"""),FALSE)</f>
        <v>0</v>
      </c>
      <c r="N2084" s="20" t="b">
        <f>IFERROR(__xludf.DUMMYFUNCTION("""COMPUTED_VALUE"""),FALSE)</f>
        <v>0</v>
      </c>
      <c r="O2084" s="20">
        <f>IFERROR(__xludf.DUMMYFUNCTION("""COMPUTED_VALUE"""),68.0806675938803)</f>
        <v>68.08066759</v>
      </c>
      <c r="P2084" s="20">
        <f>IFERROR(__xludf.DUMMYFUNCTION("""COMPUTED_VALUE"""),4893.0)</f>
        <v>4893</v>
      </c>
      <c r="Q2084" s="20">
        <f>IFERROR(__xludf.DUMMYFUNCTION("""COMPUTED_VALUE"""),7188.0)</f>
        <v>7188</v>
      </c>
    </row>
    <row r="2085">
      <c r="A2085" s="20">
        <f>IFERROR(__xludf.DUMMYFUNCTION("""COMPUTED_VALUE"""),2224.0)</f>
        <v>2224</v>
      </c>
      <c r="B2085" s="20" t="str">
        <f>IFERROR(__xludf.DUMMYFUNCTION("""COMPUTED_VALUE"""),"Drop Type 1 Orders for Customers With Type 0 Orders")</f>
        <v>Drop Type 1 Orders for Customers With Type 0 Orders</v>
      </c>
      <c r="C2085" s="20" t="str">
        <f>IFERROR(__xludf.DUMMYFUNCTION("""COMPUTED_VALUE"""),"drop-type-1-orders-for-customers-with-type-0-orders")</f>
        <v>drop-type-1-orders-for-customers-with-type-0-orders</v>
      </c>
      <c r="D2085" s="20" t="b">
        <f>IFERROR(__xludf.DUMMYFUNCTION("""COMPUTED_VALUE"""),TRUE)</f>
        <v>1</v>
      </c>
      <c r="E2085" s="20" t="str">
        <f>IFERROR(__xludf.DUMMYFUNCTION("""COMPUTED_VALUE"""),"Medium")</f>
        <v>Medium</v>
      </c>
      <c r="F2085" s="20">
        <f>IFERROR(__xludf.DUMMYFUNCTION("""COMPUTED_VALUE"""),54.0)</f>
        <v>54</v>
      </c>
      <c r="G2085" s="20">
        <f>IFERROR(__xludf.DUMMYFUNCTION("""COMPUTED_VALUE"""),12.0)</f>
        <v>12</v>
      </c>
      <c r="H2085" s="20" t="str">
        <f>IFERROR(__xludf.DUMMYFUNCTION("""COMPUTED_VALUE"""),"Database")</f>
        <v>Database</v>
      </c>
      <c r="I2085" s="20">
        <f>IFERROR(__xludf.DUMMYFUNCTION("""COMPUTED_VALUE"""),0.904)</f>
        <v>0.904</v>
      </c>
      <c r="J2085" s="20">
        <f>IFERROR(__xludf.DUMMYFUNCTION("""COMPUTED_VALUE"""),2084.0)</f>
        <v>2084</v>
      </c>
      <c r="K2085" s="20" t="b">
        <f>IFERROR(__xludf.DUMMYFUNCTION("""COMPUTED_VALUE"""),TRUE)</f>
        <v>1</v>
      </c>
      <c r="L2085" s="20" t="str">
        <f>IFERROR(__xludf.DUMMYFUNCTION("""COMPUTED_VALUE"""),"Database;")</f>
        <v>Database;</v>
      </c>
      <c r="M2085" s="20" t="b">
        <f>IFERROR(__xludf.DUMMYFUNCTION("""COMPUTED_VALUE"""),FALSE)</f>
        <v>0</v>
      </c>
      <c r="N2085" s="20" t="b">
        <f>IFERROR(__xludf.DUMMYFUNCTION("""COMPUTED_VALUE"""),FALSE)</f>
        <v>0</v>
      </c>
      <c r="O2085" s="20">
        <f>IFERROR(__xludf.DUMMYFUNCTION("""COMPUTED_VALUE"""),90.4028436018957)</f>
        <v>90.4028436</v>
      </c>
      <c r="P2085" s="20">
        <f>IFERROR(__xludf.DUMMYFUNCTION("""COMPUTED_VALUE"""),6104.0)</f>
        <v>6104</v>
      </c>
      <c r="Q2085" s="20">
        <f>IFERROR(__xludf.DUMMYFUNCTION("""COMPUTED_VALUE"""),6752.0)</f>
        <v>6752</v>
      </c>
    </row>
    <row r="2086">
      <c r="A2086" s="20">
        <f>IFERROR(__xludf.DUMMYFUNCTION("""COMPUTED_VALUE"""),2190.0)</f>
        <v>2190</v>
      </c>
      <c r="B2086" s="20" t="str">
        <f>IFERROR(__xludf.DUMMYFUNCTION("""COMPUTED_VALUE"""),"Count Common Words With One Occurrence")</f>
        <v>Count Common Words With One Occurrence</v>
      </c>
      <c r="C2086" s="20" t="str">
        <f>IFERROR(__xludf.DUMMYFUNCTION("""COMPUTED_VALUE"""),"count-common-words-with-one-occurrence")</f>
        <v>count-common-words-with-one-occurrence</v>
      </c>
      <c r="D2086" s="20" t="b">
        <f>IFERROR(__xludf.DUMMYFUNCTION("""COMPUTED_VALUE"""),FALSE)</f>
        <v>0</v>
      </c>
      <c r="E2086" s="20" t="str">
        <f>IFERROR(__xludf.DUMMYFUNCTION("""COMPUTED_VALUE"""),"Easy")</f>
        <v>Easy</v>
      </c>
      <c r="F2086" s="20">
        <f>IFERROR(__xludf.DUMMYFUNCTION("""COMPUTED_VALUE"""),528.0)</f>
        <v>528</v>
      </c>
      <c r="G2086" s="20">
        <f>IFERROR(__xludf.DUMMYFUNCTION("""COMPUTED_VALUE"""),12.0)</f>
        <v>12</v>
      </c>
      <c r="H2086" s="20" t="str">
        <f>IFERROR(__xludf.DUMMYFUNCTION("""COMPUTED_VALUE"""),"Algorithms")</f>
        <v>Algorithms</v>
      </c>
      <c r="I2086" s="20">
        <f>IFERROR(__xludf.DUMMYFUNCTION("""COMPUTED_VALUE"""),0.697)</f>
        <v>0.697</v>
      </c>
      <c r="J2086" s="20">
        <f>IFERROR(__xludf.DUMMYFUNCTION("""COMPUTED_VALUE"""),2085.0)</f>
        <v>2085</v>
      </c>
      <c r="K2086" s="20" t="b">
        <f>IFERROR(__xludf.DUMMYFUNCTION("""COMPUTED_VALUE"""),FALSE)</f>
        <v>0</v>
      </c>
      <c r="L2086" s="20" t="str">
        <f>IFERROR(__xludf.DUMMYFUNCTION("""COMPUTED_VALUE"""),"Array;Hash Table;String;Counting;")</f>
        <v>Array;Hash Table;String;Counting;</v>
      </c>
      <c r="M2086" s="20" t="b">
        <f>IFERROR(__xludf.DUMMYFUNCTION("""COMPUTED_VALUE"""),FALSE)</f>
        <v>0</v>
      </c>
      <c r="N2086" s="20" t="b">
        <f>IFERROR(__xludf.DUMMYFUNCTION("""COMPUTED_VALUE"""),FALSE)</f>
        <v>0</v>
      </c>
      <c r="O2086" s="20">
        <f>IFERROR(__xludf.DUMMYFUNCTION("""COMPUTED_VALUE"""),69.7114778883709)</f>
        <v>69.71147789</v>
      </c>
      <c r="P2086" s="20">
        <f>IFERROR(__xludf.DUMMYFUNCTION("""COMPUTED_VALUE"""),38731.0)</f>
        <v>38731</v>
      </c>
      <c r="Q2086" s="20">
        <f>IFERROR(__xludf.DUMMYFUNCTION("""COMPUTED_VALUE"""),55559.0)</f>
        <v>55559</v>
      </c>
    </row>
    <row r="2087">
      <c r="A2087" s="20">
        <f>IFERROR(__xludf.DUMMYFUNCTION("""COMPUTED_VALUE"""),2191.0)</f>
        <v>2191</v>
      </c>
      <c r="B2087" s="20" t="str">
        <f>IFERROR(__xludf.DUMMYFUNCTION("""COMPUTED_VALUE"""),"Minimum Number of Food Buckets to Feed the Hamsters")</f>
        <v>Minimum Number of Food Buckets to Feed the Hamsters</v>
      </c>
      <c r="C2087" s="20" t="str">
        <f>IFERROR(__xludf.DUMMYFUNCTION("""COMPUTED_VALUE"""),"minimum-number-of-food-buckets-to-feed-the-hamsters")</f>
        <v>minimum-number-of-food-buckets-to-feed-the-hamsters</v>
      </c>
      <c r="D2087" s="20" t="b">
        <f>IFERROR(__xludf.DUMMYFUNCTION("""COMPUTED_VALUE"""),FALSE)</f>
        <v>0</v>
      </c>
      <c r="E2087" s="20" t="str">
        <f>IFERROR(__xludf.DUMMYFUNCTION("""COMPUTED_VALUE"""),"Medium")</f>
        <v>Medium</v>
      </c>
      <c r="F2087" s="20">
        <f>IFERROR(__xludf.DUMMYFUNCTION("""COMPUTED_VALUE"""),412.0)</f>
        <v>412</v>
      </c>
      <c r="G2087" s="20">
        <f>IFERROR(__xludf.DUMMYFUNCTION("""COMPUTED_VALUE"""),18.0)</f>
        <v>18</v>
      </c>
      <c r="H2087" s="20" t="str">
        <f>IFERROR(__xludf.DUMMYFUNCTION("""COMPUTED_VALUE"""),"Algorithms")</f>
        <v>Algorithms</v>
      </c>
      <c r="I2087" s="20">
        <f>IFERROR(__xludf.DUMMYFUNCTION("""COMPUTED_VALUE"""),0.451)</f>
        <v>0.451</v>
      </c>
      <c r="J2087" s="20">
        <f>IFERROR(__xludf.DUMMYFUNCTION("""COMPUTED_VALUE"""),2086.0)</f>
        <v>2086</v>
      </c>
      <c r="K2087" s="20" t="b">
        <f>IFERROR(__xludf.DUMMYFUNCTION("""COMPUTED_VALUE"""),FALSE)</f>
        <v>0</v>
      </c>
      <c r="L2087" s="20" t="str">
        <f>IFERROR(__xludf.DUMMYFUNCTION("""COMPUTED_VALUE"""),"String;Dynamic Programming;Greedy;")</f>
        <v>String;Dynamic Programming;Greedy;</v>
      </c>
      <c r="M2087" s="20" t="b">
        <f>IFERROR(__xludf.DUMMYFUNCTION("""COMPUTED_VALUE"""),FALSE)</f>
        <v>0</v>
      </c>
      <c r="N2087" s="20" t="b">
        <f>IFERROR(__xludf.DUMMYFUNCTION("""COMPUTED_VALUE"""),FALSE)</f>
        <v>0</v>
      </c>
      <c r="O2087" s="20">
        <f>IFERROR(__xludf.DUMMYFUNCTION("""COMPUTED_VALUE"""),45.1278948606769)</f>
        <v>45.12789486</v>
      </c>
      <c r="P2087" s="20">
        <f>IFERROR(__xludf.DUMMYFUNCTION("""COMPUTED_VALUE"""),13426.0)</f>
        <v>13426</v>
      </c>
      <c r="Q2087" s="20">
        <f>IFERROR(__xludf.DUMMYFUNCTION("""COMPUTED_VALUE"""),29751.0)</f>
        <v>29751</v>
      </c>
    </row>
    <row r="2088">
      <c r="A2088" s="20">
        <f>IFERROR(__xludf.DUMMYFUNCTION("""COMPUTED_VALUE"""),2192.0)</f>
        <v>2192</v>
      </c>
      <c r="B2088" s="20" t="str">
        <f>IFERROR(__xludf.DUMMYFUNCTION("""COMPUTED_VALUE"""),"Minimum Cost Homecoming of a Robot in a Grid")</f>
        <v>Minimum Cost Homecoming of a Robot in a Grid</v>
      </c>
      <c r="C2088" s="20" t="str">
        <f>IFERROR(__xludf.DUMMYFUNCTION("""COMPUTED_VALUE"""),"minimum-cost-homecoming-of-a-robot-in-a-grid")</f>
        <v>minimum-cost-homecoming-of-a-robot-in-a-grid</v>
      </c>
      <c r="D2088" s="20" t="b">
        <f>IFERROR(__xludf.DUMMYFUNCTION("""COMPUTED_VALUE"""),FALSE)</f>
        <v>0</v>
      </c>
      <c r="E2088" s="20" t="str">
        <f>IFERROR(__xludf.DUMMYFUNCTION("""COMPUTED_VALUE"""),"Medium")</f>
        <v>Medium</v>
      </c>
      <c r="F2088" s="20">
        <f>IFERROR(__xludf.DUMMYFUNCTION("""COMPUTED_VALUE"""),472.0)</f>
        <v>472</v>
      </c>
      <c r="G2088" s="20">
        <f>IFERROR(__xludf.DUMMYFUNCTION("""COMPUTED_VALUE"""),72.0)</f>
        <v>72</v>
      </c>
      <c r="H2088" s="20" t="str">
        <f>IFERROR(__xludf.DUMMYFUNCTION("""COMPUTED_VALUE"""),"Algorithms")</f>
        <v>Algorithms</v>
      </c>
      <c r="I2088" s="20">
        <f>IFERROR(__xludf.DUMMYFUNCTION("""COMPUTED_VALUE"""),0.514)</f>
        <v>0.514</v>
      </c>
      <c r="J2088" s="20">
        <f>IFERROR(__xludf.DUMMYFUNCTION("""COMPUTED_VALUE"""),2087.0)</f>
        <v>2087</v>
      </c>
      <c r="K2088" s="20" t="b">
        <f>IFERROR(__xludf.DUMMYFUNCTION("""COMPUTED_VALUE"""),FALSE)</f>
        <v>0</v>
      </c>
      <c r="L2088" s="20" t="str">
        <f>IFERROR(__xludf.DUMMYFUNCTION("""COMPUTED_VALUE"""),"Array;Greedy;Matrix;")</f>
        <v>Array;Greedy;Matrix;</v>
      </c>
      <c r="M2088" s="20" t="b">
        <f>IFERROR(__xludf.DUMMYFUNCTION("""COMPUTED_VALUE"""),FALSE)</f>
        <v>0</v>
      </c>
      <c r="N2088" s="20" t="b">
        <f>IFERROR(__xludf.DUMMYFUNCTION("""COMPUTED_VALUE"""),FALSE)</f>
        <v>0</v>
      </c>
      <c r="O2088" s="20">
        <f>IFERROR(__xludf.DUMMYFUNCTION("""COMPUTED_VALUE"""),51.4018691588785)</f>
        <v>51.40186916</v>
      </c>
      <c r="P2088" s="20">
        <f>IFERROR(__xludf.DUMMYFUNCTION("""COMPUTED_VALUE"""),12485.0)</f>
        <v>12485</v>
      </c>
      <c r="Q2088" s="20">
        <f>IFERROR(__xludf.DUMMYFUNCTION("""COMPUTED_VALUE"""),24289.0)</f>
        <v>24289</v>
      </c>
    </row>
    <row r="2089">
      <c r="A2089" s="20">
        <f>IFERROR(__xludf.DUMMYFUNCTION("""COMPUTED_VALUE"""),2193.0)</f>
        <v>2193</v>
      </c>
      <c r="B2089" s="20" t="str">
        <f>IFERROR(__xludf.DUMMYFUNCTION("""COMPUTED_VALUE"""),"Count Fertile Pyramids in a Land")</f>
        <v>Count Fertile Pyramids in a Land</v>
      </c>
      <c r="C2089" s="20" t="str">
        <f>IFERROR(__xludf.DUMMYFUNCTION("""COMPUTED_VALUE"""),"count-fertile-pyramids-in-a-land")</f>
        <v>count-fertile-pyramids-in-a-land</v>
      </c>
      <c r="D2089" s="20" t="b">
        <f>IFERROR(__xludf.DUMMYFUNCTION("""COMPUTED_VALUE"""),FALSE)</f>
        <v>0</v>
      </c>
      <c r="E2089" s="20" t="str">
        <f>IFERROR(__xludf.DUMMYFUNCTION("""COMPUTED_VALUE"""),"Hard")</f>
        <v>Hard</v>
      </c>
      <c r="F2089" s="20">
        <f>IFERROR(__xludf.DUMMYFUNCTION("""COMPUTED_VALUE"""),257.0)</f>
        <v>257</v>
      </c>
      <c r="G2089" s="20">
        <f>IFERROR(__xludf.DUMMYFUNCTION("""COMPUTED_VALUE"""),8.0)</f>
        <v>8</v>
      </c>
      <c r="H2089" s="20" t="str">
        <f>IFERROR(__xludf.DUMMYFUNCTION("""COMPUTED_VALUE"""),"Algorithms")</f>
        <v>Algorithms</v>
      </c>
      <c r="I2089" s="20">
        <f>IFERROR(__xludf.DUMMYFUNCTION("""COMPUTED_VALUE"""),0.635)</f>
        <v>0.635</v>
      </c>
      <c r="J2089" s="20">
        <f>IFERROR(__xludf.DUMMYFUNCTION("""COMPUTED_VALUE"""),2088.0)</f>
        <v>2088</v>
      </c>
      <c r="K2089" s="20" t="b">
        <f>IFERROR(__xludf.DUMMYFUNCTION("""COMPUTED_VALUE"""),FALSE)</f>
        <v>0</v>
      </c>
      <c r="L2089" s="20" t="str">
        <f>IFERROR(__xludf.DUMMYFUNCTION("""COMPUTED_VALUE"""),"Array;Dynamic Programming;Matrix;")</f>
        <v>Array;Dynamic Programming;Matrix;</v>
      </c>
      <c r="M2089" s="20" t="b">
        <f>IFERROR(__xludf.DUMMYFUNCTION("""COMPUTED_VALUE"""),FALSE)</f>
        <v>0</v>
      </c>
      <c r="N2089" s="20" t="b">
        <f>IFERROR(__xludf.DUMMYFUNCTION("""COMPUTED_VALUE"""),FALSE)</f>
        <v>0</v>
      </c>
      <c r="O2089" s="20">
        <f>IFERROR(__xludf.DUMMYFUNCTION("""COMPUTED_VALUE"""),63.5092255259137)</f>
        <v>63.50922553</v>
      </c>
      <c r="P2089" s="20">
        <f>IFERROR(__xludf.DUMMYFUNCTION("""COMPUTED_VALUE"""),5404.0)</f>
        <v>5404</v>
      </c>
      <c r="Q2089" s="20">
        <f>IFERROR(__xludf.DUMMYFUNCTION("""COMPUTED_VALUE"""),8509.0)</f>
        <v>8509</v>
      </c>
    </row>
    <row r="2090">
      <c r="A2090" s="20">
        <f>IFERROR(__xludf.DUMMYFUNCTION("""COMPUTED_VALUE"""),2210.0)</f>
        <v>2210</v>
      </c>
      <c r="B2090" s="20" t="str">
        <f>IFERROR(__xludf.DUMMYFUNCTION("""COMPUTED_VALUE"""),"Find Target Indices After Sorting Array")</f>
        <v>Find Target Indices After Sorting Array</v>
      </c>
      <c r="C2090" s="20" t="str">
        <f>IFERROR(__xludf.DUMMYFUNCTION("""COMPUTED_VALUE"""),"find-target-indices-after-sorting-array")</f>
        <v>find-target-indices-after-sorting-array</v>
      </c>
      <c r="D2090" s="20" t="b">
        <f>IFERROR(__xludf.DUMMYFUNCTION("""COMPUTED_VALUE"""),FALSE)</f>
        <v>0</v>
      </c>
      <c r="E2090" s="20" t="str">
        <f>IFERROR(__xludf.DUMMYFUNCTION("""COMPUTED_VALUE"""),"Easy")</f>
        <v>Easy</v>
      </c>
      <c r="F2090" s="20">
        <f>IFERROR(__xludf.DUMMYFUNCTION("""COMPUTED_VALUE"""),1168.0)</f>
        <v>1168</v>
      </c>
      <c r="G2090" s="20">
        <f>IFERROR(__xludf.DUMMYFUNCTION("""COMPUTED_VALUE"""),51.0)</f>
        <v>51</v>
      </c>
      <c r="H2090" s="20" t="str">
        <f>IFERROR(__xludf.DUMMYFUNCTION("""COMPUTED_VALUE"""),"Algorithms")</f>
        <v>Algorithms</v>
      </c>
      <c r="I2090" s="20">
        <f>IFERROR(__xludf.DUMMYFUNCTION("""COMPUTED_VALUE"""),0.765)</f>
        <v>0.765</v>
      </c>
      <c r="J2090" s="20">
        <f>IFERROR(__xludf.DUMMYFUNCTION("""COMPUTED_VALUE"""),2089.0)</f>
        <v>2089</v>
      </c>
      <c r="K2090" s="20" t="b">
        <f>IFERROR(__xludf.DUMMYFUNCTION("""COMPUTED_VALUE"""),FALSE)</f>
        <v>0</v>
      </c>
      <c r="L2090" s="20" t="str">
        <f>IFERROR(__xludf.DUMMYFUNCTION("""COMPUTED_VALUE"""),"Array;Binary Search;Sorting;")</f>
        <v>Array;Binary Search;Sorting;</v>
      </c>
      <c r="M2090" s="20" t="b">
        <f>IFERROR(__xludf.DUMMYFUNCTION("""COMPUTED_VALUE"""),FALSE)</f>
        <v>0</v>
      </c>
      <c r="N2090" s="20" t="b">
        <f>IFERROR(__xludf.DUMMYFUNCTION("""COMPUTED_VALUE"""),FALSE)</f>
        <v>0</v>
      </c>
      <c r="O2090" s="20">
        <f>IFERROR(__xludf.DUMMYFUNCTION("""COMPUTED_VALUE"""),76.5264629014046)</f>
        <v>76.5264629</v>
      </c>
      <c r="P2090" s="20">
        <f>IFERROR(__xludf.DUMMYFUNCTION("""COMPUTED_VALUE"""),96918.0)</f>
        <v>96918</v>
      </c>
      <c r="Q2090" s="20">
        <f>IFERROR(__xludf.DUMMYFUNCTION("""COMPUTED_VALUE"""),126647.0)</f>
        <v>126647</v>
      </c>
    </row>
    <row r="2091">
      <c r="A2091" s="20">
        <f>IFERROR(__xludf.DUMMYFUNCTION("""COMPUTED_VALUE"""),2211.0)</f>
        <v>2211</v>
      </c>
      <c r="B2091" s="20" t="str">
        <f>IFERROR(__xludf.DUMMYFUNCTION("""COMPUTED_VALUE"""),"K Radius Subarray Averages")</f>
        <v>K Radius Subarray Averages</v>
      </c>
      <c r="C2091" s="20" t="str">
        <f>IFERROR(__xludf.DUMMYFUNCTION("""COMPUTED_VALUE"""),"k-radius-subarray-averages")</f>
        <v>k-radius-subarray-averages</v>
      </c>
      <c r="D2091" s="20" t="b">
        <f>IFERROR(__xludf.DUMMYFUNCTION("""COMPUTED_VALUE"""),FALSE)</f>
        <v>0</v>
      </c>
      <c r="E2091" s="20" t="str">
        <f>IFERROR(__xludf.DUMMYFUNCTION("""COMPUTED_VALUE"""),"Medium")</f>
        <v>Medium</v>
      </c>
      <c r="F2091" s="20">
        <f>IFERROR(__xludf.DUMMYFUNCTION("""COMPUTED_VALUE"""),425.0)</f>
        <v>425</v>
      </c>
      <c r="G2091" s="20">
        <f>IFERROR(__xludf.DUMMYFUNCTION("""COMPUTED_VALUE"""),17.0)</f>
        <v>17</v>
      </c>
      <c r="H2091" s="20" t="str">
        <f>IFERROR(__xludf.DUMMYFUNCTION("""COMPUTED_VALUE"""),"Algorithms")</f>
        <v>Algorithms</v>
      </c>
      <c r="I2091" s="20">
        <f>IFERROR(__xludf.DUMMYFUNCTION("""COMPUTED_VALUE"""),0.425)</f>
        <v>0.425</v>
      </c>
      <c r="J2091" s="20">
        <f>IFERROR(__xludf.DUMMYFUNCTION("""COMPUTED_VALUE"""),2090.0)</f>
        <v>2090</v>
      </c>
      <c r="K2091" s="20" t="b">
        <f>IFERROR(__xludf.DUMMYFUNCTION("""COMPUTED_VALUE"""),FALSE)</f>
        <v>0</v>
      </c>
      <c r="L2091" s="20" t="str">
        <f>IFERROR(__xludf.DUMMYFUNCTION("""COMPUTED_VALUE"""),"Array;Sliding Window;")</f>
        <v>Array;Sliding Window;</v>
      </c>
      <c r="M2091" s="20" t="b">
        <f>IFERROR(__xludf.DUMMYFUNCTION("""COMPUTED_VALUE"""),FALSE)</f>
        <v>0</v>
      </c>
      <c r="N2091" s="20" t="b">
        <f>IFERROR(__xludf.DUMMYFUNCTION("""COMPUTED_VALUE"""),FALSE)</f>
        <v>0</v>
      </c>
      <c r="O2091" s="20">
        <f>IFERROR(__xludf.DUMMYFUNCTION("""COMPUTED_VALUE"""),42.5169114998198)</f>
        <v>42.5169115</v>
      </c>
      <c r="P2091" s="20">
        <f>IFERROR(__xludf.DUMMYFUNCTION("""COMPUTED_VALUE"""),21244.0)</f>
        <v>21244</v>
      </c>
      <c r="Q2091" s="20">
        <f>IFERROR(__xludf.DUMMYFUNCTION("""COMPUTED_VALUE"""),49966.0)</f>
        <v>49966</v>
      </c>
    </row>
    <row r="2092">
      <c r="A2092" s="20">
        <f>IFERROR(__xludf.DUMMYFUNCTION("""COMPUTED_VALUE"""),2212.0)</f>
        <v>2212</v>
      </c>
      <c r="B2092" s="20" t="str">
        <f>IFERROR(__xludf.DUMMYFUNCTION("""COMPUTED_VALUE"""),"Removing Minimum and Maximum From Array")</f>
        <v>Removing Minimum and Maximum From Array</v>
      </c>
      <c r="C2092" s="20" t="str">
        <f>IFERROR(__xludf.DUMMYFUNCTION("""COMPUTED_VALUE"""),"removing-minimum-and-maximum-from-array")</f>
        <v>removing-minimum-and-maximum-from-array</v>
      </c>
      <c r="D2092" s="20" t="b">
        <f>IFERROR(__xludf.DUMMYFUNCTION("""COMPUTED_VALUE"""),FALSE)</f>
        <v>0</v>
      </c>
      <c r="E2092" s="20" t="str">
        <f>IFERROR(__xludf.DUMMYFUNCTION("""COMPUTED_VALUE"""),"Medium")</f>
        <v>Medium</v>
      </c>
      <c r="F2092" s="20">
        <f>IFERROR(__xludf.DUMMYFUNCTION("""COMPUTED_VALUE"""),635.0)</f>
        <v>635</v>
      </c>
      <c r="G2092" s="20">
        <f>IFERROR(__xludf.DUMMYFUNCTION("""COMPUTED_VALUE"""),34.0)</f>
        <v>34</v>
      </c>
      <c r="H2092" s="20" t="str">
        <f>IFERROR(__xludf.DUMMYFUNCTION("""COMPUTED_VALUE"""),"Algorithms")</f>
        <v>Algorithms</v>
      </c>
      <c r="I2092" s="20">
        <f>IFERROR(__xludf.DUMMYFUNCTION("""COMPUTED_VALUE"""),0.566)</f>
        <v>0.566</v>
      </c>
      <c r="J2092" s="20">
        <f>IFERROR(__xludf.DUMMYFUNCTION("""COMPUTED_VALUE"""),2091.0)</f>
        <v>2091</v>
      </c>
      <c r="K2092" s="20" t="b">
        <f>IFERROR(__xludf.DUMMYFUNCTION("""COMPUTED_VALUE"""),FALSE)</f>
        <v>0</v>
      </c>
      <c r="L2092" s="20" t="str">
        <f>IFERROR(__xludf.DUMMYFUNCTION("""COMPUTED_VALUE"""),"Array;Greedy;")</f>
        <v>Array;Greedy;</v>
      </c>
      <c r="M2092" s="20" t="b">
        <f>IFERROR(__xludf.DUMMYFUNCTION("""COMPUTED_VALUE"""),FALSE)</f>
        <v>0</v>
      </c>
      <c r="N2092" s="20" t="b">
        <f>IFERROR(__xludf.DUMMYFUNCTION("""COMPUTED_VALUE"""),FALSE)</f>
        <v>0</v>
      </c>
      <c r="O2092" s="20">
        <f>IFERROR(__xludf.DUMMYFUNCTION("""COMPUTED_VALUE"""),56.6221580656802)</f>
        <v>56.62215807</v>
      </c>
      <c r="P2092" s="20">
        <f>IFERROR(__xludf.DUMMYFUNCTION("""COMPUTED_VALUE"""),26673.0)</f>
        <v>26673</v>
      </c>
      <c r="Q2092" s="20">
        <f>IFERROR(__xludf.DUMMYFUNCTION("""COMPUTED_VALUE"""),47107.0)</f>
        <v>47107</v>
      </c>
    </row>
    <row r="2093">
      <c r="A2093" s="20">
        <f>IFERROR(__xludf.DUMMYFUNCTION("""COMPUTED_VALUE"""),2213.0)</f>
        <v>2213</v>
      </c>
      <c r="B2093" s="20" t="str">
        <f>IFERROR(__xludf.DUMMYFUNCTION("""COMPUTED_VALUE"""),"Find All People With Secret")</f>
        <v>Find All People With Secret</v>
      </c>
      <c r="C2093" s="20" t="str">
        <f>IFERROR(__xludf.DUMMYFUNCTION("""COMPUTED_VALUE"""),"find-all-people-with-secret")</f>
        <v>find-all-people-with-secret</v>
      </c>
      <c r="D2093" s="20" t="b">
        <f>IFERROR(__xludf.DUMMYFUNCTION("""COMPUTED_VALUE"""),FALSE)</f>
        <v>0</v>
      </c>
      <c r="E2093" s="20" t="str">
        <f>IFERROR(__xludf.DUMMYFUNCTION("""COMPUTED_VALUE"""),"Hard")</f>
        <v>Hard</v>
      </c>
      <c r="F2093" s="20">
        <f>IFERROR(__xludf.DUMMYFUNCTION("""COMPUTED_VALUE"""),657.0)</f>
        <v>657</v>
      </c>
      <c r="G2093" s="20">
        <f>IFERROR(__xludf.DUMMYFUNCTION("""COMPUTED_VALUE"""),25.0)</f>
        <v>25</v>
      </c>
      <c r="H2093" s="20" t="str">
        <f>IFERROR(__xludf.DUMMYFUNCTION("""COMPUTED_VALUE"""),"Algorithms")</f>
        <v>Algorithms</v>
      </c>
      <c r="I2093" s="20">
        <f>IFERROR(__xludf.DUMMYFUNCTION("""COMPUTED_VALUE"""),0.341)</f>
        <v>0.341</v>
      </c>
      <c r="J2093" s="20">
        <f>IFERROR(__xludf.DUMMYFUNCTION("""COMPUTED_VALUE"""),2092.0)</f>
        <v>2092</v>
      </c>
      <c r="K2093" s="20" t="b">
        <f>IFERROR(__xludf.DUMMYFUNCTION("""COMPUTED_VALUE"""),FALSE)</f>
        <v>0</v>
      </c>
      <c r="L2093" s="20" t="str">
        <f>IFERROR(__xludf.DUMMYFUNCTION("""COMPUTED_VALUE"""),"Depth-First Search;Breadth-First Search;Union Find;Graph;Sorting;")</f>
        <v>Depth-First Search;Breadth-First Search;Union Find;Graph;Sorting;</v>
      </c>
      <c r="M2093" s="20" t="b">
        <f>IFERROR(__xludf.DUMMYFUNCTION("""COMPUTED_VALUE"""),FALSE)</f>
        <v>0</v>
      </c>
      <c r="N2093" s="20" t="b">
        <f>IFERROR(__xludf.DUMMYFUNCTION("""COMPUTED_VALUE"""),FALSE)</f>
        <v>0</v>
      </c>
      <c r="O2093" s="20">
        <f>IFERROR(__xludf.DUMMYFUNCTION("""COMPUTED_VALUE"""),34.1493076669156)</f>
        <v>34.14930767</v>
      </c>
      <c r="P2093" s="20">
        <f>IFERROR(__xludf.DUMMYFUNCTION("""COMPUTED_VALUE"""),19656.0)</f>
        <v>19656</v>
      </c>
      <c r="Q2093" s="20">
        <f>IFERROR(__xludf.DUMMYFUNCTION("""COMPUTED_VALUE"""),57559.0)</f>
        <v>57559</v>
      </c>
    </row>
    <row r="2094">
      <c r="A2094" s="20">
        <f>IFERROR(__xludf.DUMMYFUNCTION("""COMPUTED_VALUE"""),2230.0)</f>
        <v>2230</v>
      </c>
      <c r="B2094" s="20" t="str">
        <f>IFERROR(__xludf.DUMMYFUNCTION("""COMPUTED_VALUE"""),"Minimum Cost to Reach City With Discounts")</f>
        <v>Minimum Cost to Reach City With Discounts</v>
      </c>
      <c r="C2094" s="20" t="str">
        <f>IFERROR(__xludf.DUMMYFUNCTION("""COMPUTED_VALUE"""),"minimum-cost-to-reach-city-with-discounts")</f>
        <v>minimum-cost-to-reach-city-with-discounts</v>
      </c>
      <c r="D2094" s="20" t="b">
        <f>IFERROR(__xludf.DUMMYFUNCTION("""COMPUTED_VALUE"""),TRUE)</f>
        <v>1</v>
      </c>
      <c r="E2094" s="20" t="str">
        <f>IFERROR(__xludf.DUMMYFUNCTION("""COMPUTED_VALUE"""),"Medium")</f>
        <v>Medium</v>
      </c>
      <c r="F2094" s="20">
        <f>IFERROR(__xludf.DUMMYFUNCTION("""COMPUTED_VALUE"""),132.0)</f>
        <v>132</v>
      </c>
      <c r="G2094" s="20">
        <f>IFERROR(__xludf.DUMMYFUNCTION("""COMPUTED_VALUE"""),8.0)</f>
        <v>8</v>
      </c>
      <c r="H2094" s="20" t="str">
        <f>IFERROR(__xludf.DUMMYFUNCTION("""COMPUTED_VALUE"""),"Algorithms")</f>
        <v>Algorithms</v>
      </c>
      <c r="I2094" s="20">
        <f>IFERROR(__xludf.DUMMYFUNCTION("""COMPUTED_VALUE"""),0.56)</f>
        <v>0.56</v>
      </c>
      <c r="J2094" s="20">
        <f>IFERROR(__xludf.DUMMYFUNCTION("""COMPUTED_VALUE"""),2093.0)</f>
        <v>2093</v>
      </c>
      <c r="K2094" s="20" t="b">
        <f>IFERROR(__xludf.DUMMYFUNCTION("""COMPUTED_VALUE"""),TRUE)</f>
        <v>1</v>
      </c>
      <c r="L2094" s="20" t="str">
        <f>IFERROR(__xludf.DUMMYFUNCTION("""COMPUTED_VALUE"""),"Graph;Shortest Path;")</f>
        <v>Graph;Shortest Path;</v>
      </c>
      <c r="M2094" s="20" t="b">
        <f>IFERROR(__xludf.DUMMYFUNCTION("""COMPUTED_VALUE"""),FALSE)</f>
        <v>0</v>
      </c>
      <c r="N2094" s="20" t="b">
        <f>IFERROR(__xludf.DUMMYFUNCTION("""COMPUTED_VALUE"""),FALSE)</f>
        <v>0</v>
      </c>
      <c r="O2094" s="20">
        <f>IFERROR(__xludf.DUMMYFUNCTION("""COMPUTED_VALUE"""),56.010656010656)</f>
        <v>56.01065601</v>
      </c>
      <c r="P2094" s="20">
        <f>IFERROR(__xludf.DUMMYFUNCTION("""COMPUTED_VALUE"""),3364.0)</f>
        <v>3364</v>
      </c>
      <c r="Q2094" s="20">
        <f>IFERROR(__xludf.DUMMYFUNCTION("""COMPUTED_VALUE"""),6006.0)</f>
        <v>6006</v>
      </c>
    </row>
    <row r="2095">
      <c r="A2095" s="20">
        <f>IFERROR(__xludf.DUMMYFUNCTION("""COMPUTED_VALUE"""),2215.0)</f>
        <v>2215</v>
      </c>
      <c r="B2095" s="20" t="str">
        <f>IFERROR(__xludf.DUMMYFUNCTION("""COMPUTED_VALUE"""),"Finding 3-Digit Even Numbers")</f>
        <v>Finding 3-Digit Even Numbers</v>
      </c>
      <c r="C2095" s="20" t="str">
        <f>IFERROR(__xludf.DUMMYFUNCTION("""COMPUTED_VALUE"""),"finding-3-digit-even-numbers")</f>
        <v>finding-3-digit-even-numbers</v>
      </c>
      <c r="D2095" s="20" t="b">
        <f>IFERROR(__xludf.DUMMYFUNCTION("""COMPUTED_VALUE"""),FALSE)</f>
        <v>0</v>
      </c>
      <c r="E2095" s="20" t="str">
        <f>IFERROR(__xludf.DUMMYFUNCTION("""COMPUTED_VALUE"""),"Easy")</f>
        <v>Easy</v>
      </c>
      <c r="F2095" s="20">
        <f>IFERROR(__xludf.DUMMYFUNCTION("""COMPUTED_VALUE"""),369.0)</f>
        <v>369</v>
      </c>
      <c r="G2095" s="20">
        <f>IFERROR(__xludf.DUMMYFUNCTION("""COMPUTED_VALUE"""),216.0)</f>
        <v>216</v>
      </c>
      <c r="H2095" s="20" t="str">
        <f>IFERROR(__xludf.DUMMYFUNCTION("""COMPUTED_VALUE"""),"Algorithms")</f>
        <v>Algorithms</v>
      </c>
      <c r="I2095" s="20">
        <f>IFERROR(__xludf.DUMMYFUNCTION("""COMPUTED_VALUE"""),0.575)</f>
        <v>0.575</v>
      </c>
      <c r="J2095" s="20">
        <f>IFERROR(__xludf.DUMMYFUNCTION("""COMPUTED_VALUE"""),2094.0)</f>
        <v>2094</v>
      </c>
      <c r="K2095" s="20" t="b">
        <f>IFERROR(__xludf.DUMMYFUNCTION("""COMPUTED_VALUE"""),FALSE)</f>
        <v>0</v>
      </c>
      <c r="L2095" s="20" t="str">
        <f>IFERROR(__xludf.DUMMYFUNCTION("""COMPUTED_VALUE"""),"Array;Hash Table;Sorting;Enumeration;")</f>
        <v>Array;Hash Table;Sorting;Enumeration;</v>
      </c>
      <c r="M2095" s="20" t="b">
        <f>IFERROR(__xludf.DUMMYFUNCTION("""COMPUTED_VALUE"""),FALSE)</f>
        <v>0</v>
      </c>
      <c r="N2095" s="20" t="b">
        <f>IFERROR(__xludf.DUMMYFUNCTION("""COMPUTED_VALUE"""),FALSE)</f>
        <v>0</v>
      </c>
      <c r="O2095" s="20">
        <f>IFERROR(__xludf.DUMMYFUNCTION("""COMPUTED_VALUE"""),57.4870629466363)</f>
        <v>57.48706295</v>
      </c>
      <c r="P2095" s="20">
        <f>IFERROR(__xludf.DUMMYFUNCTION("""COMPUTED_VALUE"""),20996.0)</f>
        <v>20996</v>
      </c>
      <c r="Q2095" s="20">
        <f>IFERROR(__xludf.DUMMYFUNCTION("""COMPUTED_VALUE"""),36523.0)</f>
        <v>36523</v>
      </c>
    </row>
    <row r="2096">
      <c r="A2096" s="20">
        <f>IFERROR(__xludf.DUMMYFUNCTION("""COMPUTED_VALUE"""),2216.0)</f>
        <v>2216</v>
      </c>
      <c r="B2096" s="20" t="str">
        <f>IFERROR(__xludf.DUMMYFUNCTION("""COMPUTED_VALUE"""),"Delete the Middle Node of a Linked List")</f>
        <v>Delete the Middle Node of a Linked List</v>
      </c>
      <c r="C2096" s="20" t="str">
        <f>IFERROR(__xludf.DUMMYFUNCTION("""COMPUTED_VALUE"""),"delete-the-middle-node-of-a-linked-list")</f>
        <v>delete-the-middle-node-of-a-linked-list</v>
      </c>
      <c r="D2096" s="20" t="b">
        <f>IFERROR(__xludf.DUMMYFUNCTION("""COMPUTED_VALUE"""),FALSE)</f>
        <v>0</v>
      </c>
      <c r="E2096" s="20" t="str">
        <f>IFERROR(__xludf.DUMMYFUNCTION("""COMPUTED_VALUE"""),"Medium")</f>
        <v>Medium</v>
      </c>
      <c r="F2096" s="20">
        <f>IFERROR(__xludf.DUMMYFUNCTION("""COMPUTED_VALUE"""),2601.0)</f>
        <v>2601</v>
      </c>
      <c r="G2096" s="20">
        <f>IFERROR(__xludf.DUMMYFUNCTION("""COMPUTED_VALUE"""),46.0)</f>
        <v>46</v>
      </c>
      <c r="H2096" s="20" t="str">
        <f>IFERROR(__xludf.DUMMYFUNCTION("""COMPUTED_VALUE"""),"Algorithms")</f>
        <v>Algorithms</v>
      </c>
      <c r="I2096" s="20">
        <f>IFERROR(__xludf.DUMMYFUNCTION("""COMPUTED_VALUE"""),0.602)</f>
        <v>0.602</v>
      </c>
      <c r="J2096" s="20">
        <f>IFERROR(__xludf.DUMMYFUNCTION("""COMPUTED_VALUE"""),2095.0)</f>
        <v>2095</v>
      </c>
      <c r="K2096" s="20" t="b">
        <f>IFERROR(__xludf.DUMMYFUNCTION("""COMPUTED_VALUE"""),FALSE)</f>
        <v>0</v>
      </c>
      <c r="L2096" s="20" t="str">
        <f>IFERROR(__xludf.DUMMYFUNCTION("""COMPUTED_VALUE"""),"Linked List;Two Pointers;")</f>
        <v>Linked List;Two Pointers;</v>
      </c>
      <c r="M2096" s="20" t="b">
        <f>IFERROR(__xludf.DUMMYFUNCTION("""COMPUTED_VALUE"""),TRUE)</f>
        <v>1</v>
      </c>
      <c r="N2096" s="20" t="b">
        <f>IFERROR(__xludf.DUMMYFUNCTION("""COMPUTED_VALUE"""),FALSE)</f>
        <v>0</v>
      </c>
      <c r="O2096" s="20">
        <f>IFERROR(__xludf.DUMMYFUNCTION("""COMPUTED_VALUE"""),60.2053297581222)</f>
        <v>60.20532976</v>
      </c>
      <c r="P2096" s="20">
        <f>IFERROR(__xludf.DUMMYFUNCTION("""COMPUTED_VALUE"""),163902.0)</f>
        <v>163902</v>
      </c>
      <c r="Q2096" s="20">
        <f>IFERROR(__xludf.DUMMYFUNCTION("""COMPUTED_VALUE"""),272239.0)</f>
        <v>272239</v>
      </c>
    </row>
    <row r="2097">
      <c r="A2097" s="20">
        <f>IFERROR(__xludf.DUMMYFUNCTION("""COMPUTED_VALUE"""),2217.0)</f>
        <v>2217</v>
      </c>
      <c r="B2097" s="20" t="str">
        <f>IFERROR(__xludf.DUMMYFUNCTION("""COMPUTED_VALUE"""),"Step-By-Step Directions From a Binary Tree Node to Another")</f>
        <v>Step-By-Step Directions From a Binary Tree Node to Another</v>
      </c>
      <c r="C2097" s="20" t="str">
        <f>IFERROR(__xludf.DUMMYFUNCTION("""COMPUTED_VALUE"""),"step-by-step-directions-from-a-binary-tree-node-to-another")</f>
        <v>step-by-step-directions-from-a-binary-tree-node-to-another</v>
      </c>
      <c r="D2097" s="20" t="b">
        <f>IFERROR(__xludf.DUMMYFUNCTION("""COMPUTED_VALUE"""),FALSE)</f>
        <v>0</v>
      </c>
      <c r="E2097" s="20" t="str">
        <f>IFERROR(__xludf.DUMMYFUNCTION("""COMPUTED_VALUE"""),"Medium")</f>
        <v>Medium</v>
      </c>
      <c r="F2097" s="20">
        <f>IFERROR(__xludf.DUMMYFUNCTION("""COMPUTED_VALUE"""),1880.0)</f>
        <v>1880</v>
      </c>
      <c r="G2097" s="20">
        <f>IFERROR(__xludf.DUMMYFUNCTION("""COMPUTED_VALUE"""),94.0)</f>
        <v>94</v>
      </c>
      <c r="H2097" s="20" t="str">
        <f>IFERROR(__xludf.DUMMYFUNCTION("""COMPUTED_VALUE"""),"Algorithms")</f>
        <v>Algorithms</v>
      </c>
      <c r="I2097" s="20">
        <f>IFERROR(__xludf.DUMMYFUNCTION("""COMPUTED_VALUE"""),0.486)</f>
        <v>0.486</v>
      </c>
      <c r="J2097" s="20">
        <f>IFERROR(__xludf.DUMMYFUNCTION("""COMPUTED_VALUE"""),2096.0)</f>
        <v>2096</v>
      </c>
      <c r="K2097" s="20" t="b">
        <f>IFERROR(__xludf.DUMMYFUNCTION("""COMPUTED_VALUE"""),FALSE)</f>
        <v>0</v>
      </c>
      <c r="L2097" s="20" t="str">
        <f>IFERROR(__xludf.DUMMYFUNCTION("""COMPUTED_VALUE"""),"String;Tree;Depth-First Search;Binary Tree;")</f>
        <v>String;Tree;Depth-First Search;Binary Tree;</v>
      </c>
      <c r="M2097" s="20" t="b">
        <f>IFERROR(__xludf.DUMMYFUNCTION("""COMPUTED_VALUE"""),FALSE)</f>
        <v>0</v>
      </c>
      <c r="N2097" s="20" t="b">
        <f>IFERROR(__xludf.DUMMYFUNCTION("""COMPUTED_VALUE"""),FALSE)</f>
        <v>0</v>
      </c>
      <c r="O2097" s="20">
        <f>IFERROR(__xludf.DUMMYFUNCTION("""COMPUTED_VALUE"""),48.6132100345331)</f>
        <v>48.61321003</v>
      </c>
      <c r="P2097" s="20">
        <f>IFERROR(__xludf.DUMMYFUNCTION("""COMPUTED_VALUE"""),75594.0)</f>
        <v>75594</v>
      </c>
      <c r="Q2097" s="20">
        <f>IFERROR(__xludf.DUMMYFUNCTION("""COMPUTED_VALUE"""),155502.0)</f>
        <v>155502</v>
      </c>
    </row>
    <row r="2098">
      <c r="A2098" s="20">
        <f>IFERROR(__xludf.DUMMYFUNCTION("""COMPUTED_VALUE"""),2201.0)</f>
        <v>2201</v>
      </c>
      <c r="B2098" s="20" t="str">
        <f>IFERROR(__xludf.DUMMYFUNCTION("""COMPUTED_VALUE"""),"Valid Arrangement of Pairs")</f>
        <v>Valid Arrangement of Pairs</v>
      </c>
      <c r="C2098" s="20" t="str">
        <f>IFERROR(__xludf.DUMMYFUNCTION("""COMPUTED_VALUE"""),"valid-arrangement-of-pairs")</f>
        <v>valid-arrangement-of-pairs</v>
      </c>
      <c r="D2098" s="20" t="b">
        <f>IFERROR(__xludf.DUMMYFUNCTION("""COMPUTED_VALUE"""),FALSE)</f>
        <v>0</v>
      </c>
      <c r="E2098" s="20" t="str">
        <f>IFERROR(__xludf.DUMMYFUNCTION("""COMPUTED_VALUE"""),"Hard")</f>
        <v>Hard</v>
      </c>
      <c r="F2098" s="20">
        <f>IFERROR(__xludf.DUMMYFUNCTION("""COMPUTED_VALUE"""),369.0)</f>
        <v>369</v>
      </c>
      <c r="G2098" s="20">
        <f>IFERROR(__xludf.DUMMYFUNCTION("""COMPUTED_VALUE"""),19.0)</f>
        <v>19</v>
      </c>
      <c r="H2098" s="20" t="str">
        <f>IFERROR(__xludf.DUMMYFUNCTION("""COMPUTED_VALUE"""),"Algorithms")</f>
        <v>Algorithms</v>
      </c>
      <c r="I2098" s="20">
        <f>IFERROR(__xludf.DUMMYFUNCTION("""COMPUTED_VALUE"""),0.411)</f>
        <v>0.411</v>
      </c>
      <c r="J2098" s="20">
        <f>IFERROR(__xludf.DUMMYFUNCTION("""COMPUTED_VALUE"""),2097.0)</f>
        <v>2097</v>
      </c>
      <c r="K2098" s="20" t="b">
        <f>IFERROR(__xludf.DUMMYFUNCTION("""COMPUTED_VALUE"""),FALSE)</f>
        <v>0</v>
      </c>
      <c r="L2098" s="20" t="str">
        <f>IFERROR(__xludf.DUMMYFUNCTION("""COMPUTED_VALUE"""),"Depth-First Search;Graph;Eulerian Circuit;")</f>
        <v>Depth-First Search;Graph;Eulerian Circuit;</v>
      </c>
      <c r="M2098" s="20" t="b">
        <f>IFERROR(__xludf.DUMMYFUNCTION("""COMPUTED_VALUE"""),FALSE)</f>
        <v>0</v>
      </c>
      <c r="N2098" s="20" t="b">
        <f>IFERROR(__xludf.DUMMYFUNCTION("""COMPUTED_VALUE"""),FALSE)</f>
        <v>0</v>
      </c>
      <c r="O2098" s="20">
        <f>IFERROR(__xludf.DUMMYFUNCTION("""COMPUTED_VALUE"""),41.0918049792531)</f>
        <v>41.09180498</v>
      </c>
      <c r="P2098" s="20">
        <f>IFERROR(__xludf.DUMMYFUNCTION("""COMPUTED_VALUE"""),6338.0)</f>
        <v>6338</v>
      </c>
      <c r="Q2098" s="20">
        <f>IFERROR(__xludf.DUMMYFUNCTION("""COMPUTED_VALUE"""),15424.0)</f>
        <v>15424</v>
      </c>
    </row>
    <row r="2099">
      <c r="A2099" s="20">
        <f>IFERROR(__xludf.DUMMYFUNCTION("""COMPUTED_VALUE"""),2242.0)</f>
        <v>2242</v>
      </c>
      <c r="B2099" s="20" t="str">
        <f>IFERROR(__xludf.DUMMYFUNCTION("""COMPUTED_VALUE"""),"Subsequence of Size K With the Largest Even Sum")</f>
        <v>Subsequence of Size K With the Largest Even Sum</v>
      </c>
      <c r="C2099" s="20" t="str">
        <f>IFERROR(__xludf.DUMMYFUNCTION("""COMPUTED_VALUE"""),"subsequence-of-size-k-with-the-largest-even-sum")</f>
        <v>subsequence-of-size-k-with-the-largest-even-sum</v>
      </c>
      <c r="D2099" s="20" t="b">
        <f>IFERROR(__xludf.DUMMYFUNCTION("""COMPUTED_VALUE"""),TRUE)</f>
        <v>1</v>
      </c>
      <c r="E2099" s="20" t="str">
        <f>IFERROR(__xludf.DUMMYFUNCTION("""COMPUTED_VALUE"""),"Medium")</f>
        <v>Medium</v>
      </c>
      <c r="F2099" s="20">
        <f>IFERROR(__xludf.DUMMYFUNCTION("""COMPUTED_VALUE"""),55.0)</f>
        <v>55</v>
      </c>
      <c r="G2099" s="20">
        <f>IFERROR(__xludf.DUMMYFUNCTION("""COMPUTED_VALUE"""),2.0)</f>
        <v>2</v>
      </c>
      <c r="H2099" s="20" t="str">
        <f>IFERROR(__xludf.DUMMYFUNCTION("""COMPUTED_VALUE"""),"Algorithms")</f>
        <v>Algorithms</v>
      </c>
      <c r="I2099" s="20">
        <f>IFERROR(__xludf.DUMMYFUNCTION("""COMPUTED_VALUE"""),0.384)</f>
        <v>0.384</v>
      </c>
      <c r="J2099" s="20">
        <f>IFERROR(__xludf.DUMMYFUNCTION("""COMPUTED_VALUE"""),2098.0)</f>
        <v>2098</v>
      </c>
      <c r="K2099" s="20" t="b">
        <f>IFERROR(__xludf.DUMMYFUNCTION("""COMPUTED_VALUE"""),TRUE)</f>
        <v>1</v>
      </c>
      <c r="L2099" s="20" t="str">
        <f>IFERROR(__xludf.DUMMYFUNCTION("""COMPUTED_VALUE"""),"Array;Greedy;Sorting;")</f>
        <v>Array;Greedy;Sorting;</v>
      </c>
      <c r="M2099" s="20" t="b">
        <f>IFERROR(__xludf.DUMMYFUNCTION("""COMPUTED_VALUE"""),FALSE)</f>
        <v>0</v>
      </c>
      <c r="N2099" s="20" t="b">
        <f>IFERROR(__xludf.DUMMYFUNCTION("""COMPUTED_VALUE"""),FALSE)</f>
        <v>0</v>
      </c>
      <c r="O2099" s="20">
        <f>IFERROR(__xludf.DUMMYFUNCTION("""COMPUTED_VALUE"""),38.4463722397476)</f>
        <v>38.44637224</v>
      </c>
      <c r="P2099" s="20">
        <f>IFERROR(__xludf.DUMMYFUNCTION("""COMPUTED_VALUE"""),1950.0)</f>
        <v>1950</v>
      </c>
      <c r="Q2099" s="20">
        <f>IFERROR(__xludf.DUMMYFUNCTION("""COMPUTED_VALUE"""),5072.0)</f>
        <v>5072</v>
      </c>
    </row>
    <row r="2100">
      <c r="A2100" s="20">
        <f>IFERROR(__xludf.DUMMYFUNCTION("""COMPUTED_VALUE"""),2204.0)</f>
        <v>2204</v>
      </c>
      <c r="B2100" s="20" t="str">
        <f>IFERROR(__xludf.DUMMYFUNCTION("""COMPUTED_VALUE"""),"Find Subsequence of Length K With the Largest Sum")</f>
        <v>Find Subsequence of Length K With the Largest Sum</v>
      </c>
      <c r="C2100" s="20" t="str">
        <f>IFERROR(__xludf.DUMMYFUNCTION("""COMPUTED_VALUE"""),"find-subsequence-of-length-k-with-the-largest-sum")</f>
        <v>find-subsequence-of-length-k-with-the-largest-sum</v>
      </c>
      <c r="D2100" s="20" t="b">
        <f>IFERROR(__xludf.DUMMYFUNCTION("""COMPUTED_VALUE"""),FALSE)</f>
        <v>0</v>
      </c>
      <c r="E2100" s="20" t="str">
        <f>IFERROR(__xludf.DUMMYFUNCTION("""COMPUTED_VALUE"""),"Easy")</f>
        <v>Easy</v>
      </c>
      <c r="F2100" s="20">
        <f>IFERROR(__xludf.DUMMYFUNCTION("""COMPUTED_VALUE"""),808.0)</f>
        <v>808</v>
      </c>
      <c r="G2100" s="20">
        <f>IFERROR(__xludf.DUMMYFUNCTION("""COMPUTED_VALUE"""),77.0)</f>
        <v>77</v>
      </c>
      <c r="H2100" s="20" t="str">
        <f>IFERROR(__xludf.DUMMYFUNCTION("""COMPUTED_VALUE"""),"Algorithms")</f>
        <v>Algorithms</v>
      </c>
      <c r="I2100" s="20">
        <f>IFERROR(__xludf.DUMMYFUNCTION("""COMPUTED_VALUE"""),0.426)</f>
        <v>0.426</v>
      </c>
      <c r="J2100" s="20">
        <f>IFERROR(__xludf.DUMMYFUNCTION("""COMPUTED_VALUE"""),2099.0)</f>
        <v>2099</v>
      </c>
      <c r="K2100" s="20" t="b">
        <f>IFERROR(__xludf.DUMMYFUNCTION("""COMPUTED_VALUE"""),FALSE)</f>
        <v>0</v>
      </c>
      <c r="L2100" s="20" t="str">
        <f>IFERROR(__xludf.DUMMYFUNCTION("""COMPUTED_VALUE"""),"Array;Hash Table;Sorting;Heap (Priority Queue);")</f>
        <v>Array;Hash Table;Sorting;Heap (Priority Queue);</v>
      </c>
      <c r="M2100" s="20" t="b">
        <f>IFERROR(__xludf.DUMMYFUNCTION("""COMPUTED_VALUE"""),FALSE)</f>
        <v>0</v>
      </c>
      <c r="N2100" s="20" t="b">
        <f>IFERROR(__xludf.DUMMYFUNCTION("""COMPUTED_VALUE"""),FALSE)</f>
        <v>0</v>
      </c>
      <c r="O2100" s="20">
        <f>IFERROR(__xludf.DUMMYFUNCTION("""COMPUTED_VALUE"""),42.5862503521179)</f>
        <v>42.58625035</v>
      </c>
      <c r="P2100" s="20">
        <f>IFERROR(__xludf.DUMMYFUNCTION("""COMPUTED_VALUE"""),28724.0)</f>
        <v>28724</v>
      </c>
      <c r="Q2100" s="20">
        <f>IFERROR(__xludf.DUMMYFUNCTION("""COMPUTED_VALUE"""),67449.0)</f>
        <v>67449</v>
      </c>
    </row>
    <row r="2101">
      <c r="A2101" s="20">
        <f>IFERROR(__xludf.DUMMYFUNCTION("""COMPUTED_VALUE"""),2205.0)</f>
        <v>2205</v>
      </c>
      <c r="B2101" s="20" t="str">
        <f>IFERROR(__xludf.DUMMYFUNCTION("""COMPUTED_VALUE"""),"Find Good Days to Rob the Bank")</f>
        <v>Find Good Days to Rob the Bank</v>
      </c>
      <c r="C2101" s="20" t="str">
        <f>IFERROR(__xludf.DUMMYFUNCTION("""COMPUTED_VALUE"""),"find-good-days-to-rob-the-bank")</f>
        <v>find-good-days-to-rob-the-bank</v>
      </c>
      <c r="D2101" s="20" t="b">
        <f>IFERROR(__xludf.DUMMYFUNCTION("""COMPUTED_VALUE"""),FALSE)</f>
        <v>0</v>
      </c>
      <c r="E2101" s="20" t="str">
        <f>IFERROR(__xludf.DUMMYFUNCTION("""COMPUTED_VALUE"""),"Medium")</f>
        <v>Medium</v>
      </c>
      <c r="F2101" s="20">
        <f>IFERROR(__xludf.DUMMYFUNCTION("""COMPUTED_VALUE"""),638.0)</f>
        <v>638</v>
      </c>
      <c r="G2101" s="20">
        <f>IFERROR(__xludf.DUMMYFUNCTION("""COMPUTED_VALUE"""),34.0)</f>
        <v>34</v>
      </c>
      <c r="H2101" s="20" t="str">
        <f>IFERROR(__xludf.DUMMYFUNCTION("""COMPUTED_VALUE"""),"Algorithms")</f>
        <v>Algorithms</v>
      </c>
      <c r="I2101" s="20">
        <f>IFERROR(__xludf.DUMMYFUNCTION("""COMPUTED_VALUE"""),0.493)</f>
        <v>0.493</v>
      </c>
      <c r="J2101" s="20">
        <f>IFERROR(__xludf.DUMMYFUNCTION("""COMPUTED_VALUE"""),2100.0)</f>
        <v>2100</v>
      </c>
      <c r="K2101" s="20" t="b">
        <f>IFERROR(__xludf.DUMMYFUNCTION("""COMPUTED_VALUE"""),FALSE)</f>
        <v>0</v>
      </c>
      <c r="L2101" s="20" t="str">
        <f>IFERROR(__xludf.DUMMYFUNCTION("""COMPUTED_VALUE"""),"Array;Dynamic Programming;Prefix Sum;")</f>
        <v>Array;Dynamic Programming;Prefix Sum;</v>
      </c>
      <c r="M2101" s="20" t="b">
        <f>IFERROR(__xludf.DUMMYFUNCTION("""COMPUTED_VALUE"""),FALSE)</f>
        <v>0</v>
      </c>
      <c r="N2101" s="20" t="b">
        <f>IFERROR(__xludf.DUMMYFUNCTION("""COMPUTED_VALUE"""),FALSE)</f>
        <v>0</v>
      </c>
      <c r="O2101" s="20">
        <f>IFERROR(__xludf.DUMMYFUNCTION("""COMPUTED_VALUE"""),49.2929079326478)</f>
        <v>49.29290793</v>
      </c>
      <c r="P2101" s="20">
        <f>IFERROR(__xludf.DUMMYFUNCTION("""COMPUTED_VALUE"""),18648.0)</f>
        <v>18648</v>
      </c>
      <c r="Q2101" s="20">
        <f>IFERROR(__xludf.DUMMYFUNCTION("""COMPUTED_VALUE"""),37831.0)</f>
        <v>37831</v>
      </c>
    </row>
    <row r="2102">
      <c r="A2102" s="20">
        <f>IFERROR(__xludf.DUMMYFUNCTION("""COMPUTED_VALUE"""),2206.0)</f>
        <v>2206</v>
      </c>
      <c r="B2102" s="20" t="str">
        <f>IFERROR(__xludf.DUMMYFUNCTION("""COMPUTED_VALUE"""),"Detonate the Maximum Bombs")</f>
        <v>Detonate the Maximum Bombs</v>
      </c>
      <c r="C2102" s="20" t="str">
        <f>IFERROR(__xludf.DUMMYFUNCTION("""COMPUTED_VALUE"""),"detonate-the-maximum-bombs")</f>
        <v>detonate-the-maximum-bombs</v>
      </c>
      <c r="D2102" s="20" t="b">
        <f>IFERROR(__xludf.DUMMYFUNCTION("""COMPUTED_VALUE"""),FALSE)</f>
        <v>0</v>
      </c>
      <c r="E2102" s="20" t="str">
        <f>IFERROR(__xludf.DUMMYFUNCTION("""COMPUTED_VALUE"""),"Medium")</f>
        <v>Medium</v>
      </c>
      <c r="F2102" s="20">
        <f>IFERROR(__xludf.DUMMYFUNCTION("""COMPUTED_VALUE"""),880.0)</f>
        <v>880</v>
      </c>
      <c r="G2102" s="20">
        <f>IFERROR(__xludf.DUMMYFUNCTION("""COMPUTED_VALUE"""),65.0)</f>
        <v>65</v>
      </c>
      <c r="H2102" s="20" t="str">
        <f>IFERROR(__xludf.DUMMYFUNCTION("""COMPUTED_VALUE"""),"Algorithms")</f>
        <v>Algorithms</v>
      </c>
      <c r="I2102" s="20">
        <f>IFERROR(__xludf.DUMMYFUNCTION("""COMPUTED_VALUE"""),0.416)</f>
        <v>0.416</v>
      </c>
      <c r="J2102" s="20">
        <f>IFERROR(__xludf.DUMMYFUNCTION("""COMPUTED_VALUE"""),2101.0)</f>
        <v>2101</v>
      </c>
      <c r="K2102" s="20" t="b">
        <f>IFERROR(__xludf.DUMMYFUNCTION("""COMPUTED_VALUE"""),FALSE)</f>
        <v>0</v>
      </c>
      <c r="L2102" s="20" t="str">
        <f>IFERROR(__xludf.DUMMYFUNCTION("""COMPUTED_VALUE"""),"Array;Math;Depth-First Search;Breadth-First Search;Graph;Geometry;")</f>
        <v>Array;Math;Depth-First Search;Breadth-First Search;Graph;Geometry;</v>
      </c>
      <c r="M2102" s="20" t="b">
        <f>IFERROR(__xludf.DUMMYFUNCTION("""COMPUTED_VALUE"""),FALSE)</f>
        <v>0</v>
      </c>
      <c r="N2102" s="20" t="b">
        <f>IFERROR(__xludf.DUMMYFUNCTION("""COMPUTED_VALUE"""),FALSE)</f>
        <v>0</v>
      </c>
      <c r="O2102" s="20">
        <f>IFERROR(__xludf.DUMMYFUNCTION("""COMPUTED_VALUE"""),41.595796169536)</f>
        <v>41.59579617</v>
      </c>
      <c r="P2102" s="20">
        <f>IFERROR(__xludf.DUMMYFUNCTION("""COMPUTED_VALUE"""),24064.0)</f>
        <v>24064</v>
      </c>
      <c r="Q2102" s="20">
        <f>IFERROR(__xludf.DUMMYFUNCTION("""COMPUTED_VALUE"""),57852.0)</f>
        <v>57852</v>
      </c>
    </row>
    <row r="2103">
      <c r="A2103" s="20">
        <f>IFERROR(__xludf.DUMMYFUNCTION("""COMPUTED_VALUE"""),2207.0)</f>
        <v>2207</v>
      </c>
      <c r="B2103" s="20" t="str">
        <f>IFERROR(__xludf.DUMMYFUNCTION("""COMPUTED_VALUE"""),"Sequentially Ordinal Rank Tracker")</f>
        <v>Sequentially Ordinal Rank Tracker</v>
      </c>
      <c r="C2103" s="20" t="str">
        <f>IFERROR(__xludf.DUMMYFUNCTION("""COMPUTED_VALUE"""),"sequentially-ordinal-rank-tracker")</f>
        <v>sequentially-ordinal-rank-tracker</v>
      </c>
      <c r="D2103" s="20" t="b">
        <f>IFERROR(__xludf.DUMMYFUNCTION("""COMPUTED_VALUE"""),FALSE)</f>
        <v>0</v>
      </c>
      <c r="E2103" s="20" t="str">
        <f>IFERROR(__xludf.DUMMYFUNCTION("""COMPUTED_VALUE"""),"Hard")</f>
        <v>Hard</v>
      </c>
      <c r="F2103" s="20">
        <f>IFERROR(__xludf.DUMMYFUNCTION("""COMPUTED_VALUE"""),285.0)</f>
        <v>285</v>
      </c>
      <c r="G2103" s="20">
        <f>IFERROR(__xludf.DUMMYFUNCTION("""COMPUTED_VALUE"""),35.0)</f>
        <v>35</v>
      </c>
      <c r="H2103" s="20" t="str">
        <f>IFERROR(__xludf.DUMMYFUNCTION("""COMPUTED_VALUE"""),"Algorithms")</f>
        <v>Algorithms</v>
      </c>
      <c r="I2103" s="20">
        <f>IFERROR(__xludf.DUMMYFUNCTION("""COMPUTED_VALUE"""),0.66)</f>
        <v>0.66</v>
      </c>
      <c r="J2103" s="20">
        <f>IFERROR(__xludf.DUMMYFUNCTION("""COMPUTED_VALUE"""),2102.0)</f>
        <v>2102</v>
      </c>
      <c r="K2103" s="20" t="b">
        <f>IFERROR(__xludf.DUMMYFUNCTION("""COMPUTED_VALUE"""),FALSE)</f>
        <v>0</v>
      </c>
      <c r="L2103" s="20" t="str">
        <f>IFERROR(__xludf.DUMMYFUNCTION("""COMPUTED_VALUE"""),"Design;Heap (Priority Queue);Data Stream;Ordered Set;")</f>
        <v>Design;Heap (Priority Queue);Data Stream;Ordered Set;</v>
      </c>
      <c r="M2103" s="20" t="b">
        <f>IFERROR(__xludf.DUMMYFUNCTION("""COMPUTED_VALUE"""),FALSE)</f>
        <v>0</v>
      </c>
      <c r="N2103" s="20" t="b">
        <f>IFERROR(__xludf.DUMMYFUNCTION("""COMPUTED_VALUE"""),FALSE)</f>
        <v>0</v>
      </c>
      <c r="O2103" s="20">
        <f>IFERROR(__xludf.DUMMYFUNCTION("""COMPUTED_VALUE"""),66.0474239889228)</f>
        <v>66.04742399</v>
      </c>
      <c r="P2103" s="20">
        <f>IFERROR(__xludf.DUMMYFUNCTION("""COMPUTED_VALUE"""),11448.0)</f>
        <v>11448</v>
      </c>
      <c r="Q2103" s="20">
        <f>IFERROR(__xludf.DUMMYFUNCTION("""COMPUTED_VALUE"""),17333.0)</f>
        <v>17333</v>
      </c>
    </row>
    <row r="2104">
      <c r="A2104" s="20">
        <f>IFERROR(__xludf.DUMMYFUNCTION("""COMPUTED_VALUE"""),2226.0)</f>
        <v>2226</v>
      </c>
      <c r="B2104" s="20" t="str">
        <f>IFERROR(__xludf.DUMMYFUNCTION("""COMPUTED_VALUE"""),"Rings and Rods")</f>
        <v>Rings and Rods</v>
      </c>
      <c r="C2104" s="20" t="str">
        <f>IFERROR(__xludf.DUMMYFUNCTION("""COMPUTED_VALUE"""),"rings-and-rods")</f>
        <v>rings-and-rods</v>
      </c>
      <c r="D2104" s="20" t="b">
        <f>IFERROR(__xludf.DUMMYFUNCTION("""COMPUTED_VALUE"""),FALSE)</f>
        <v>0</v>
      </c>
      <c r="E2104" s="20" t="str">
        <f>IFERROR(__xludf.DUMMYFUNCTION("""COMPUTED_VALUE"""),"Easy")</f>
        <v>Easy</v>
      </c>
      <c r="F2104" s="20">
        <f>IFERROR(__xludf.DUMMYFUNCTION("""COMPUTED_VALUE"""),651.0)</f>
        <v>651</v>
      </c>
      <c r="G2104" s="20">
        <f>IFERROR(__xludf.DUMMYFUNCTION("""COMPUTED_VALUE"""),13.0)</f>
        <v>13</v>
      </c>
      <c r="H2104" s="20" t="str">
        <f>IFERROR(__xludf.DUMMYFUNCTION("""COMPUTED_VALUE"""),"Algorithms")</f>
        <v>Algorithms</v>
      </c>
      <c r="I2104" s="20">
        <f>IFERROR(__xludf.DUMMYFUNCTION("""COMPUTED_VALUE"""),0.814)</f>
        <v>0.814</v>
      </c>
      <c r="J2104" s="20">
        <f>IFERROR(__xludf.DUMMYFUNCTION("""COMPUTED_VALUE"""),2103.0)</f>
        <v>2103</v>
      </c>
      <c r="K2104" s="20" t="b">
        <f>IFERROR(__xludf.DUMMYFUNCTION("""COMPUTED_VALUE"""),FALSE)</f>
        <v>0</v>
      </c>
      <c r="L2104" s="20" t="str">
        <f>IFERROR(__xludf.DUMMYFUNCTION("""COMPUTED_VALUE"""),"Hash Table;String;")</f>
        <v>Hash Table;String;</v>
      </c>
      <c r="M2104" s="20" t="b">
        <f>IFERROR(__xludf.DUMMYFUNCTION("""COMPUTED_VALUE"""),FALSE)</f>
        <v>0</v>
      </c>
      <c r="N2104" s="20" t="b">
        <f>IFERROR(__xludf.DUMMYFUNCTION("""COMPUTED_VALUE"""),FALSE)</f>
        <v>0</v>
      </c>
      <c r="O2104" s="20">
        <f>IFERROR(__xludf.DUMMYFUNCTION("""COMPUTED_VALUE"""),81.3955899633649)</f>
        <v>81.39558996</v>
      </c>
      <c r="P2104" s="20">
        <f>IFERROR(__xludf.DUMMYFUNCTION("""COMPUTED_VALUE"""),47102.0)</f>
        <v>47102</v>
      </c>
      <c r="Q2104" s="20">
        <f>IFERROR(__xludf.DUMMYFUNCTION("""COMPUTED_VALUE"""),57868.0)</f>
        <v>57868</v>
      </c>
    </row>
    <row r="2105">
      <c r="A2105" s="20">
        <f>IFERROR(__xludf.DUMMYFUNCTION("""COMPUTED_VALUE"""),2227.0)</f>
        <v>2227</v>
      </c>
      <c r="B2105" s="20" t="str">
        <f>IFERROR(__xludf.DUMMYFUNCTION("""COMPUTED_VALUE"""),"Sum of Subarray Ranges")</f>
        <v>Sum of Subarray Ranges</v>
      </c>
      <c r="C2105" s="20" t="str">
        <f>IFERROR(__xludf.DUMMYFUNCTION("""COMPUTED_VALUE"""),"sum-of-subarray-ranges")</f>
        <v>sum-of-subarray-ranges</v>
      </c>
      <c r="D2105" s="20" t="b">
        <f>IFERROR(__xludf.DUMMYFUNCTION("""COMPUTED_VALUE"""),FALSE)</f>
        <v>0</v>
      </c>
      <c r="E2105" s="20" t="str">
        <f>IFERROR(__xludf.DUMMYFUNCTION("""COMPUTED_VALUE"""),"Medium")</f>
        <v>Medium</v>
      </c>
      <c r="F2105" s="20">
        <f>IFERROR(__xludf.DUMMYFUNCTION("""COMPUTED_VALUE"""),1527.0)</f>
        <v>1527</v>
      </c>
      <c r="G2105" s="20">
        <f>IFERROR(__xludf.DUMMYFUNCTION("""COMPUTED_VALUE"""),83.0)</f>
        <v>83</v>
      </c>
      <c r="H2105" s="20" t="str">
        <f>IFERROR(__xludf.DUMMYFUNCTION("""COMPUTED_VALUE"""),"Algorithms")</f>
        <v>Algorithms</v>
      </c>
      <c r="I2105" s="20">
        <f>IFERROR(__xludf.DUMMYFUNCTION("""COMPUTED_VALUE"""),0.602)</f>
        <v>0.602</v>
      </c>
      <c r="J2105" s="20">
        <f>IFERROR(__xludf.DUMMYFUNCTION("""COMPUTED_VALUE"""),2104.0)</f>
        <v>2104</v>
      </c>
      <c r="K2105" s="20" t="b">
        <f>IFERROR(__xludf.DUMMYFUNCTION("""COMPUTED_VALUE"""),FALSE)</f>
        <v>0</v>
      </c>
      <c r="L2105" s="20" t="str">
        <f>IFERROR(__xludf.DUMMYFUNCTION("""COMPUTED_VALUE"""),"Array;Stack;Monotonic Stack;")</f>
        <v>Array;Stack;Monotonic Stack;</v>
      </c>
      <c r="M2105" s="20" t="b">
        <f>IFERROR(__xludf.DUMMYFUNCTION("""COMPUTED_VALUE"""),TRUE)</f>
        <v>1</v>
      </c>
      <c r="N2105" s="20" t="b">
        <f>IFERROR(__xludf.DUMMYFUNCTION("""COMPUTED_VALUE"""),FALSE)</f>
        <v>0</v>
      </c>
      <c r="O2105" s="20">
        <f>IFERROR(__xludf.DUMMYFUNCTION("""COMPUTED_VALUE"""),60.241792619954)</f>
        <v>60.24179262</v>
      </c>
      <c r="P2105" s="20">
        <f>IFERROR(__xludf.DUMMYFUNCTION("""COMPUTED_VALUE"""),63931.0)</f>
        <v>63931</v>
      </c>
      <c r="Q2105" s="20">
        <f>IFERROR(__xludf.DUMMYFUNCTION("""COMPUTED_VALUE"""),106124.0)</f>
        <v>106124</v>
      </c>
    </row>
    <row r="2106">
      <c r="A2106" s="20">
        <f>IFERROR(__xludf.DUMMYFUNCTION("""COMPUTED_VALUE"""),2228.0)</f>
        <v>2228</v>
      </c>
      <c r="B2106" s="20" t="str">
        <f>IFERROR(__xludf.DUMMYFUNCTION("""COMPUTED_VALUE"""),"Watering Plants II")</f>
        <v>Watering Plants II</v>
      </c>
      <c r="C2106" s="20" t="str">
        <f>IFERROR(__xludf.DUMMYFUNCTION("""COMPUTED_VALUE"""),"watering-plants-ii")</f>
        <v>watering-plants-ii</v>
      </c>
      <c r="D2106" s="20" t="b">
        <f>IFERROR(__xludf.DUMMYFUNCTION("""COMPUTED_VALUE"""),FALSE)</f>
        <v>0</v>
      </c>
      <c r="E2106" s="20" t="str">
        <f>IFERROR(__xludf.DUMMYFUNCTION("""COMPUTED_VALUE"""),"Medium")</f>
        <v>Medium</v>
      </c>
      <c r="F2106" s="20">
        <f>IFERROR(__xludf.DUMMYFUNCTION("""COMPUTED_VALUE"""),193.0)</f>
        <v>193</v>
      </c>
      <c r="G2106" s="20">
        <f>IFERROR(__xludf.DUMMYFUNCTION("""COMPUTED_VALUE"""),140.0)</f>
        <v>140</v>
      </c>
      <c r="H2106" s="20" t="str">
        <f>IFERROR(__xludf.DUMMYFUNCTION("""COMPUTED_VALUE"""),"Algorithms")</f>
        <v>Algorithms</v>
      </c>
      <c r="I2106" s="20">
        <f>IFERROR(__xludf.DUMMYFUNCTION("""COMPUTED_VALUE"""),0.501)</f>
        <v>0.501</v>
      </c>
      <c r="J2106" s="20">
        <f>IFERROR(__xludf.DUMMYFUNCTION("""COMPUTED_VALUE"""),2105.0)</f>
        <v>2105</v>
      </c>
      <c r="K2106" s="20" t="b">
        <f>IFERROR(__xludf.DUMMYFUNCTION("""COMPUTED_VALUE"""),FALSE)</f>
        <v>0</v>
      </c>
      <c r="L2106" s="20" t="str">
        <f>IFERROR(__xludf.DUMMYFUNCTION("""COMPUTED_VALUE"""),"Array;Two Pointers;Simulation;")</f>
        <v>Array;Two Pointers;Simulation;</v>
      </c>
      <c r="M2106" s="20" t="b">
        <f>IFERROR(__xludf.DUMMYFUNCTION("""COMPUTED_VALUE"""),FALSE)</f>
        <v>0</v>
      </c>
      <c r="N2106" s="20" t="b">
        <f>IFERROR(__xludf.DUMMYFUNCTION("""COMPUTED_VALUE"""),FALSE)</f>
        <v>0</v>
      </c>
      <c r="O2106" s="20">
        <f>IFERROR(__xludf.DUMMYFUNCTION("""COMPUTED_VALUE"""),50.0592747559274)</f>
        <v>50.05927476</v>
      </c>
      <c r="P2106" s="20">
        <f>IFERROR(__xludf.DUMMYFUNCTION("""COMPUTED_VALUE"""),14357.0)</f>
        <v>14357</v>
      </c>
      <c r="Q2106" s="20">
        <f>IFERROR(__xludf.DUMMYFUNCTION("""COMPUTED_VALUE"""),28680.0)</f>
        <v>28680</v>
      </c>
    </row>
    <row r="2107">
      <c r="A2107" s="20">
        <f>IFERROR(__xludf.DUMMYFUNCTION("""COMPUTED_VALUE"""),2229.0)</f>
        <v>2229</v>
      </c>
      <c r="B2107" s="20" t="str">
        <f>IFERROR(__xludf.DUMMYFUNCTION("""COMPUTED_VALUE"""),"Maximum Fruits Harvested After at Most K Steps")</f>
        <v>Maximum Fruits Harvested After at Most K Steps</v>
      </c>
      <c r="C2107" s="20" t="str">
        <f>IFERROR(__xludf.DUMMYFUNCTION("""COMPUTED_VALUE"""),"maximum-fruits-harvested-after-at-most-k-steps")</f>
        <v>maximum-fruits-harvested-after-at-most-k-steps</v>
      </c>
      <c r="D2107" s="20" t="b">
        <f>IFERROR(__xludf.DUMMYFUNCTION("""COMPUTED_VALUE"""),FALSE)</f>
        <v>0</v>
      </c>
      <c r="E2107" s="20" t="str">
        <f>IFERROR(__xludf.DUMMYFUNCTION("""COMPUTED_VALUE"""),"Hard")</f>
        <v>Hard</v>
      </c>
      <c r="F2107" s="20">
        <f>IFERROR(__xludf.DUMMYFUNCTION("""COMPUTED_VALUE"""),409.0)</f>
        <v>409</v>
      </c>
      <c r="G2107" s="20">
        <f>IFERROR(__xludf.DUMMYFUNCTION("""COMPUTED_VALUE"""),15.0)</f>
        <v>15</v>
      </c>
      <c r="H2107" s="20" t="str">
        <f>IFERROR(__xludf.DUMMYFUNCTION("""COMPUTED_VALUE"""),"Algorithms")</f>
        <v>Algorithms</v>
      </c>
      <c r="I2107" s="20">
        <f>IFERROR(__xludf.DUMMYFUNCTION("""COMPUTED_VALUE"""),0.352)</f>
        <v>0.352</v>
      </c>
      <c r="J2107" s="20">
        <f>IFERROR(__xludf.DUMMYFUNCTION("""COMPUTED_VALUE"""),2106.0)</f>
        <v>2106</v>
      </c>
      <c r="K2107" s="20" t="b">
        <f>IFERROR(__xludf.DUMMYFUNCTION("""COMPUTED_VALUE"""),FALSE)</f>
        <v>0</v>
      </c>
      <c r="L2107" s="20" t="str">
        <f>IFERROR(__xludf.DUMMYFUNCTION("""COMPUTED_VALUE"""),"Array;Binary Search;Sliding Window;Prefix Sum;")</f>
        <v>Array;Binary Search;Sliding Window;Prefix Sum;</v>
      </c>
      <c r="M2107" s="20" t="b">
        <f>IFERROR(__xludf.DUMMYFUNCTION("""COMPUTED_VALUE"""),FALSE)</f>
        <v>0</v>
      </c>
      <c r="N2107" s="20" t="b">
        <f>IFERROR(__xludf.DUMMYFUNCTION("""COMPUTED_VALUE"""),FALSE)</f>
        <v>0</v>
      </c>
      <c r="O2107" s="20">
        <f>IFERROR(__xludf.DUMMYFUNCTION("""COMPUTED_VALUE"""),35.2090728075491)</f>
        <v>35.20907281</v>
      </c>
      <c r="P2107" s="20">
        <f>IFERROR(__xludf.DUMMYFUNCTION("""COMPUTED_VALUE"""),8134.0)</f>
        <v>8134</v>
      </c>
      <c r="Q2107" s="20">
        <f>IFERROR(__xludf.DUMMYFUNCTION("""COMPUTED_VALUE"""),23102.0)</f>
        <v>23102</v>
      </c>
    </row>
    <row r="2108">
      <c r="A2108" s="20">
        <f>IFERROR(__xludf.DUMMYFUNCTION("""COMPUTED_VALUE"""),2247.0)</f>
        <v>2247</v>
      </c>
      <c r="B2108" s="20" t="str">
        <f>IFERROR(__xludf.DUMMYFUNCTION("""COMPUTED_VALUE"""),"Number of Unique Flavors After Sharing K Candies")</f>
        <v>Number of Unique Flavors After Sharing K Candies</v>
      </c>
      <c r="C2108" s="20" t="str">
        <f>IFERROR(__xludf.DUMMYFUNCTION("""COMPUTED_VALUE"""),"number-of-unique-flavors-after-sharing-k-candies")</f>
        <v>number-of-unique-flavors-after-sharing-k-candies</v>
      </c>
      <c r="D2108" s="20" t="b">
        <f>IFERROR(__xludf.DUMMYFUNCTION("""COMPUTED_VALUE"""),TRUE)</f>
        <v>1</v>
      </c>
      <c r="E2108" s="20" t="str">
        <f>IFERROR(__xludf.DUMMYFUNCTION("""COMPUTED_VALUE"""),"Medium")</f>
        <v>Medium</v>
      </c>
      <c r="F2108" s="20">
        <f>IFERROR(__xludf.DUMMYFUNCTION("""COMPUTED_VALUE"""),56.0)</f>
        <v>56</v>
      </c>
      <c r="G2108" s="20">
        <f>IFERROR(__xludf.DUMMYFUNCTION("""COMPUTED_VALUE"""),2.0)</f>
        <v>2</v>
      </c>
      <c r="H2108" s="20" t="str">
        <f>IFERROR(__xludf.DUMMYFUNCTION("""COMPUTED_VALUE"""),"Algorithms")</f>
        <v>Algorithms</v>
      </c>
      <c r="I2108" s="20">
        <f>IFERROR(__xludf.DUMMYFUNCTION("""COMPUTED_VALUE"""),0.567)</f>
        <v>0.567</v>
      </c>
      <c r="J2108" s="20">
        <f>IFERROR(__xludf.DUMMYFUNCTION("""COMPUTED_VALUE"""),2107.0)</f>
        <v>2107</v>
      </c>
      <c r="K2108" s="20" t="b">
        <f>IFERROR(__xludf.DUMMYFUNCTION("""COMPUTED_VALUE"""),TRUE)</f>
        <v>1</v>
      </c>
      <c r="L2108" s="20" t="str">
        <f>IFERROR(__xludf.DUMMYFUNCTION("""COMPUTED_VALUE"""),"Array;Hash Table;Sliding Window;")</f>
        <v>Array;Hash Table;Sliding Window;</v>
      </c>
      <c r="M2108" s="20" t="b">
        <f>IFERROR(__xludf.DUMMYFUNCTION("""COMPUTED_VALUE"""),FALSE)</f>
        <v>0</v>
      </c>
      <c r="N2108" s="20" t="b">
        <f>IFERROR(__xludf.DUMMYFUNCTION("""COMPUTED_VALUE"""),FALSE)</f>
        <v>0</v>
      </c>
      <c r="O2108" s="20">
        <f>IFERROR(__xludf.DUMMYFUNCTION("""COMPUTED_VALUE"""),56.6510603139631)</f>
        <v>56.65106031</v>
      </c>
      <c r="P2108" s="20">
        <f>IFERROR(__xludf.DUMMYFUNCTION("""COMPUTED_VALUE"""),2057.0)</f>
        <v>2057</v>
      </c>
      <c r="Q2108" s="20">
        <f>IFERROR(__xludf.DUMMYFUNCTION("""COMPUTED_VALUE"""),3631.0)</f>
        <v>3631</v>
      </c>
    </row>
    <row r="2109">
      <c r="A2109" s="20">
        <f>IFERROR(__xludf.DUMMYFUNCTION("""COMPUTED_VALUE"""),2231.0)</f>
        <v>2231</v>
      </c>
      <c r="B2109" s="20" t="str">
        <f>IFERROR(__xludf.DUMMYFUNCTION("""COMPUTED_VALUE"""),"Find First Palindromic String in the Array")</f>
        <v>Find First Palindromic String in the Array</v>
      </c>
      <c r="C2109" s="20" t="str">
        <f>IFERROR(__xludf.DUMMYFUNCTION("""COMPUTED_VALUE"""),"find-first-palindromic-string-in-the-array")</f>
        <v>find-first-palindromic-string-in-the-array</v>
      </c>
      <c r="D2109" s="20" t="b">
        <f>IFERROR(__xludf.DUMMYFUNCTION("""COMPUTED_VALUE"""),FALSE)</f>
        <v>0</v>
      </c>
      <c r="E2109" s="20" t="str">
        <f>IFERROR(__xludf.DUMMYFUNCTION("""COMPUTED_VALUE"""),"Easy")</f>
        <v>Easy</v>
      </c>
      <c r="F2109" s="20">
        <f>IFERROR(__xludf.DUMMYFUNCTION("""COMPUTED_VALUE"""),662.0)</f>
        <v>662</v>
      </c>
      <c r="G2109" s="20">
        <f>IFERROR(__xludf.DUMMYFUNCTION("""COMPUTED_VALUE"""),24.0)</f>
        <v>24</v>
      </c>
      <c r="H2109" s="20" t="str">
        <f>IFERROR(__xludf.DUMMYFUNCTION("""COMPUTED_VALUE"""),"Algorithms")</f>
        <v>Algorithms</v>
      </c>
      <c r="I2109" s="20">
        <f>IFERROR(__xludf.DUMMYFUNCTION("""COMPUTED_VALUE"""),0.787)</f>
        <v>0.787</v>
      </c>
      <c r="J2109" s="20">
        <f>IFERROR(__xludf.DUMMYFUNCTION("""COMPUTED_VALUE"""),2108.0)</f>
        <v>2108</v>
      </c>
      <c r="K2109" s="20" t="b">
        <f>IFERROR(__xludf.DUMMYFUNCTION("""COMPUTED_VALUE"""),FALSE)</f>
        <v>0</v>
      </c>
      <c r="L2109" s="20" t="str">
        <f>IFERROR(__xludf.DUMMYFUNCTION("""COMPUTED_VALUE"""),"Array;Two Pointers;String;")</f>
        <v>Array;Two Pointers;String;</v>
      </c>
      <c r="M2109" s="20" t="b">
        <f>IFERROR(__xludf.DUMMYFUNCTION("""COMPUTED_VALUE"""),FALSE)</f>
        <v>0</v>
      </c>
      <c r="N2109" s="20" t="b">
        <f>IFERROR(__xludf.DUMMYFUNCTION("""COMPUTED_VALUE"""),FALSE)</f>
        <v>0</v>
      </c>
      <c r="O2109" s="20">
        <f>IFERROR(__xludf.DUMMYFUNCTION("""COMPUTED_VALUE"""),78.6506913650363)</f>
        <v>78.65069137</v>
      </c>
      <c r="P2109" s="20">
        <f>IFERROR(__xludf.DUMMYFUNCTION("""COMPUTED_VALUE"""),72010.0)</f>
        <v>72010</v>
      </c>
      <c r="Q2109" s="20">
        <f>IFERROR(__xludf.DUMMYFUNCTION("""COMPUTED_VALUE"""),91557.0)</f>
        <v>91557</v>
      </c>
    </row>
    <row r="2110">
      <c r="A2110" s="20">
        <f>IFERROR(__xludf.DUMMYFUNCTION("""COMPUTED_VALUE"""),2232.0)</f>
        <v>2232</v>
      </c>
      <c r="B2110" s="20" t="str">
        <f>IFERROR(__xludf.DUMMYFUNCTION("""COMPUTED_VALUE"""),"Adding Spaces to a String")</f>
        <v>Adding Spaces to a String</v>
      </c>
      <c r="C2110" s="20" t="str">
        <f>IFERROR(__xludf.DUMMYFUNCTION("""COMPUTED_VALUE"""),"adding-spaces-to-a-string")</f>
        <v>adding-spaces-to-a-string</v>
      </c>
      <c r="D2110" s="20" t="b">
        <f>IFERROR(__xludf.DUMMYFUNCTION("""COMPUTED_VALUE"""),FALSE)</f>
        <v>0</v>
      </c>
      <c r="E2110" s="20" t="str">
        <f>IFERROR(__xludf.DUMMYFUNCTION("""COMPUTED_VALUE"""),"Medium")</f>
        <v>Medium</v>
      </c>
      <c r="F2110" s="20">
        <f>IFERROR(__xludf.DUMMYFUNCTION("""COMPUTED_VALUE"""),366.0)</f>
        <v>366</v>
      </c>
      <c r="G2110" s="20">
        <f>IFERROR(__xludf.DUMMYFUNCTION("""COMPUTED_VALUE"""),38.0)</f>
        <v>38</v>
      </c>
      <c r="H2110" s="20" t="str">
        <f>IFERROR(__xludf.DUMMYFUNCTION("""COMPUTED_VALUE"""),"Algorithms")</f>
        <v>Algorithms</v>
      </c>
      <c r="I2110" s="20">
        <f>IFERROR(__xludf.DUMMYFUNCTION("""COMPUTED_VALUE"""),0.563)</f>
        <v>0.563</v>
      </c>
      <c r="J2110" s="20">
        <f>IFERROR(__xludf.DUMMYFUNCTION("""COMPUTED_VALUE"""),2109.0)</f>
        <v>2109</v>
      </c>
      <c r="K2110" s="20" t="b">
        <f>IFERROR(__xludf.DUMMYFUNCTION("""COMPUTED_VALUE"""),FALSE)</f>
        <v>0</v>
      </c>
      <c r="L2110" s="20" t="str">
        <f>IFERROR(__xludf.DUMMYFUNCTION("""COMPUTED_VALUE"""),"Array;String;Simulation;")</f>
        <v>Array;String;Simulation;</v>
      </c>
      <c r="M2110" s="20" t="b">
        <f>IFERROR(__xludf.DUMMYFUNCTION("""COMPUTED_VALUE"""),FALSE)</f>
        <v>0</v>
      </c>
      <c r="N2110" s="20" t="b">
        <f>IFERROR(__xludf.DUMMYFUNCTION("""COMPUTED_VALUE"""),FALSE)</f>
        <v>0</v>
      </c>
      <c r="O2110" s="20">
        <f>IFERROR(__xludf.DUMMYFUNCTION("""COMPUTED_VALUE"""),56.2824004034291)</f>
        <v>56.2824004</v>
      </c>
      <c r="P2110" s="20">
        <f>IFERROR(__xludf.DUMMYFUNCTION("""COMPUTED_VALUE"""),27902.0)</f>
        <v>27902</v>
      </c>
      <c r="Q2110" s="20">
        <f>IFERROR(__xludf.DUMMYFUNCTION("""COMPUTED_VALUE"""),49575.0)</f>
        <v>49575</v>
      </c>
    </row>
    <row r="2111">
      <c r="A2111" s="20">
        <f>IFERROR(__xludf.DUMMYFUNCTION("""COMPUTED_VALUE"""),2233.0)</f>
        <v>2233</v>
      </c>
      <c r="B2111" s="20" t="str">
        <f>IFERROR(__xludf.DUMMYFUNCTION("""COMPUTED_VALUE"""),"Number of Smooth Descent Periods of a Stock")</f>
        <v>Number of Smooth Descent Periods of a Stock</v>
      </c>
      <c r="C2111" s="20" t="str">
        <f>IFERROR(__xludf.DUMMYFUNCTION("""COMPUTED_VALUE"""),"number-of-smooth-descent-periods-of-a-stock")</f>
        <v>number-of-smooth-descent-periods-of-a-stock</v>
      </c>
      <c r="D2111" s="20" t="b">
        <f>IFERROR(__xludf.DUMMYFUNCTION("""COMPUTED_VALUE"""),FALSE)</f>
        <v>0</v>
      </c>
      <c r="E2111" s="20" t="str">
        <f>IFERROR(__xludf.DUMMYFUNCTION("""COMPUTED_VALUE"""),"Medium")</f>
        <v>Medium</v>
      </c>
      <c r="F2111" s="20">
        <f>IFERROR(__xludf.DUMMYFUNCTION("""COMPUTED_VALUE"""),488.0)</f>
        <v>488</v>
      </c>
      <c r="G2111" s="20">
        <f>IFERROR(__xludf.DUMMYFUNCTION("""COMPUTED_VALUE"""),20.0)</f>
        <v>20</v>
      </c>
      <c r="H2111" s="20" t="str">
        <f>IFERROR(__xludf.DUMMYFUNCTION("""COMPUTED_VALUE"""),"Algorithms")</f>
        <v>Algorithms</v>
      </c>
      <c r="I2111" s="20">
        <f>IFERROR(__xludf.DUMMYFUNCTION("""COMPUTED_VALUE"""),0.575)</f>
        <v>0.575</v>
      </c>
      <c r="J2111" s="20">
        <f>IFERROR(__xludf.DUMMYFUNCTION("""COMPUTED_VALUE"""),2110.0)</f>
        <v>2110</v>
      </c>
      <c r="K2111" s="20" t="b">
        <f>IFERROR(__xludf.DUMMYFUNCTION("""COMPUTED_VALUE"""),FALSE)</f>
        <v>0</v>
      </c>
      <c r="L2111" s="20" t="str">
        <f>IFERROR(__xludf.DUMMYFUNCTION("""COMPUTED_VALUE"""),"Array;Math;Dynamic Programming;")</f>
        <v>Array;Math;Dynamic Programming;</v>
      </c>
      <c r="M2111" s="20" t="b">
        <f>IFERROR(__xludf.DUMMYFUNCTION("""COMPUTED_VALUE"""),FALSE)</f>
        <v>0</v>
      </c>
      <c r="N2111" s="20" t="b">
        <f>IFERROR(__xludf.DUMMYFUNCTION("""COMPUTED_VALUE"""),FALSE)</f>
        <v>0</v>
      </c>
      <c r="O2111" s="20">
        <f>IFERROR(__xludf.DUMMYFUNCTION("""COMPUTED_VALUE"""),57.5476683253335)</f>
        <v>57.54766833</v>
      </c>
      <c r="P2111" s="20">
        <f>IFERROR(__xludf.DUMMYFUNCTION("""COMPUTED_VALUE"""),26137.0)</f>
        <v>26137</v>
      </c>
      <c r="Q2111" s="20">
        <f>IFERROR(__xludf.DUMMYFUNCTION("""COMPUTED_VALUE"""),45418.0)</f>
        <v>45418</v>
      </c>
    </row>
    <row r="2112">
      <c r="A2112" s="20">
        <f>IFERROR(__xludf.DUMMYFUNCTION("""COMPUTED_VALUE"""),2234.0)</f>
        <v>2234</v>
      </c>
      <c r="B2112" s="20" t="str">
        <f>IFERROR(__xludf.DUMMYFUNCTION("""COMPUTED_VALUE"""),"Minimum Operations to Make the Array K-Increasing")</f>
        <v>Minimum Operations to Make the Array K-Increasing</v>
      </c>
      <c r="C2112" s="20" t="str">
        <f>IFERROR(__xludf.DUMMYFUNCTION("""COMPUTED_VALUE"""),"minimum-operations-to-make-the-array-k-increasing")</f>
        <v>minimum-operations-to-make-the-array-k-increasing</v>
      </c>
      <c r="D2112" s="20" t="b">
        <f>IFERROR(__xludf.DUMMYFUNCTION("""COMPUTED_VALUE"""),FALSE)</f>
        <v>0</v>
      </c>
      <c r="E2112" s="20" t="str">
        <f>IFERROR(__xludf.DUMMYFUNCTION("""COMPUTED_VALUE"""),"Hard")</f>
        <v>Hard</v>
      </c>
      <c r="F2112" s="20">
        <f>IFERROR(__xludf.DUMMYFUNCTION("""COMPUTED_VALUE"""),584.0)</f>
        <v>584</v>
      </c>
      <c r="G2112" s="20">
        <f>IFERROR(__xludf.DUMMYFUNCTION("""COMPUTED_VALUE"""),10.0)</f>
        <v>10</v>
      </c>
      <c r="H2112" s="20" t="str">
        <f>IFERROR(__xludf.DUMMYFUNCTION("""COMPUTED_VALUE"""),"Algorithms")</f>
        <v>Algorithms</v>
      </c>
      <c r="I2112" s="20">
        <f>IFERROR(__xludf.DUMMYFUNCTION("""COMPUTED_VALUE"""),0.378)</f>
        <v>0.378</v>
      </c>
      <c r="J2112" s="20">
        <f>IFERROR(__xludf.DUMMYFUNCTION("""COMPUTED_VALUE"""),2111.0)</f>
        <v>2111</v>
      </c>
      <c r="K2112" s="20" t="b">
        <f>IFERROR(__xludf.DUMMYFUNCTION("""COMPUTED_VALUE"""),FALSE)</f>
        <v>0</v>
      </c>
      <c r="L2112" s="20" t="str">
        <f>IFERROR(__xludf.DUMMYFUNCTION("""COMPUTED_VALUE"""),"Array;Binary Search;")</f>
        <v>Array;Binary Search;</v>
      </c>
      <c r="M2112" s="20" t="b">
        <f>IFERROR(__xludf.DUMMYFUNCTION("""COMPUTED_VALUE"""),FALSE)</f>
        <v>0</v>
      </c>
      <c r="N2112" s="20" t="b">
        <f>IFERROR(__xludf.DUMMYFUNCTION("""COMPUTED_VALUE"""),FALSE)</f>
        <v>0</v>
      </c>
      <c r="O2112" s="20">
        <f>IFERROR(__xludf.DUMMYFUNCTION("""COMPUTED_VALUE"""),37.8242101062865)</f>
        <v>37.82421011</v>
      </c>
      <c r="P2112" s="20">
        <f>IFERROR(__xludf.DUMMYFUNCTION("""COMPUTED_VALUE"""),10427.0)</f>
        <v>10427</v>
      </c>
      <c r="Q2112" s="20">
        <f>IFERROR(__xludf.DUMMYFUNCTION("""COMPUTED_VALUE"""),27567.0)</f>
        <v>27567</v>
      </c>
    </row>
    <row r="2113">
      <c r="A2113" s="20">
        <f>IFERROR(__xludf.DUMMYFUNCTION("""COMPUTED_VALUE"""),2252.0)</f>
        <v>2252</v>
      </c>
      <c r="B2113" s="20" t="str">
        <f>IFERROR(__xludf.DUMMYFUNCTION("""COMPUTED_VALUE"""),"The Airport With the Most Traffic")</f>
        <v>The Airport With the Most Traffic</v>
      </c>
      <c r="C2113" s="20" t="str">
        <f>IFERROR(__xludf.DUMMYFUNCTION("""COMPUTED_VALUE"""),"the-airport-with-the-most-traffic")</f>
        <v>the-airport-with-the-most-traffic</v>
      </c>
      <c r="D2113" s="20" t="b">
        <f>IFERROR(__xludf.DUMMYFUNCTION("""COMPUTED_VALUE"""),TRUE)</f>
        <v>1</v>
      </c>
      <c r="E2113" s="20" t="str">
        <f>IFERROR(__xludf.DUMMYFUNCTION("""COMPUTED_VALUE"""),"Medium")</f>
        <v>Medium</v>
      </c>
      <c r="F2113" s="20">
        <f>IFERROR(__xludf.DUMMYFUNCTION("""COMPUTED_VALUE"""),36.0)</f>
        <v>36</v>
      </c>
      <c r="G2113" s="20">
        <f>IFERROR(__xludf.DUMMYFUNCTION("""COMPUTED_VALUE"""),6.0)</f>
        <v>6</v>
      </c>
      <c r="H2113" s="20" t="str">
        <f>IFERROR(__xludf.DUMMYFUNCTION("""COMPUTED_VALUE"""),"Database")</f>
        <v>Database</v>
      </c>
      <c r="I2113" s="20">
        <f>IFERROR(__xludf.DUMMYFUNCTION("""COMPUTED_VALUE"""),0.713)</f>
        <v>0.713</v>
      </c>
      <c r="J2113" s="20">
        <f>IFERROR(__xludf.DUMMYFUNCTION("""COMPUTED_VALUE"""),2112.0)</f>
        <v>2112</v>
      </c>
      <c r="K2113" s="20" t="b">
        <f>IFERROR(__xludf.DUMMYFUNCTION("""COMPUTED_VALUE"""),TRUE)</f>
        <v>1</v>
      </c>
      <c r="L2113" s="20" t="str">
        <f>IFERROR(__xludf.DUMMYFUNCTION("""COMPUTED_VALUE"""),"Database;")</f>
        <v>Database;</v>
      </c>
      <c r="M2113" s="20" t="b">
        <f>IFERROR(__xludf.DUMMYFUNCTION("""COMPUTED_VALUE"""),FALSE)</f>
        <v>0</v>
      </c>
      <c r="N2113" s="20" t="b">
        <f>IFERROR(__xludf.DUMMYFUNCTION("""COMPUTED_VALUE"""),FALSE)</f>
        <v>0</v>
      </c>
      <c r="O2113" s="20">
        <f>IFERROR(__xludf.DUMMYFUNCTION("""COMPUTED_VALUE"""),71.3385354141656)</f>
        <v>71.33853541</v>
      </c>
      <c r="P2113" s="20">
        <f>IFERROR(__xludf.DUMMYFUNCTION("""COMPUTED_VALUE"""),4754.0)</f>
        <v>4754</v>
      </c>
      <c r="Q2113" s="20">
        <f>IFERROR(__xludf.DUMMYFUNCTION("""COMPUTED_VALUE"""),6664.0)</f>
        <v>6664</v>
      </c>
    </row>
    <row r="2114">
      <c r="A2114" s="20">
        <f>IFERROR(__xludf.DUMMYFUNCTION("""COMPUTED_VALUE"""),2258.0)</f>
        <v>2258</v>
      </c>
      <c r="B2114" s="20" t="str">
        <f>IFERROR(__xludf.DUMMYFUNCTION("""COMPUTED_VALUE"""),"Elements in Array After Removing and Replacing Elements")</f>
        <v>Elements in Array After Removing and Replacing Elements</v>
      </c>
      <c r="C2114" s="20" t="str">
        <f>IFERROR(__xludf.DUMMYFUNCTION("""COMPUTED_VALUE"""),"elements-in-array-after-removing-and-replacing-elements")</f>
        <v>elements-in-array-after-removing-and-replacing-elements</v>
      </c>
      <c r="D2114" s="20" t="b">
        <f>IFERROR(__xludf.DUMMYFUNCTION("""COMPUTED_VALUE"""),TRUE)</f>
        <v>1</v>
      </c>
      <c r="E2114" s="20" t="str">
        <f>IFERROR(__xludf.DUMMYFUNCTION("""COMPUTED_VALUE"""),"Medium")</f>
        <v>Medium</v>
      </c>
      <c r="F2114" s="20">
        <f>IFERROR(__xludf.DUMMYFUNCTION("""COMPUTED_VALUE"""),46.0)</f>
        <v>46</v>
      </c>
      <c r="G2114" s="20">
        <f>IFERROR(__xludf.DUMMYFUNCTION("""COMPUTED_VALUE"""),5.0)</f>
        <v>5</v>
      </c>
      <c r="H2114" s="20" t="str">
        <f>IFERROR(__xludf.DUMMYFUNCTION("""COMPUTED_VALUE"""),"Algorithms")</f>
        <v>Algorithms</v>
      </c>
      <c r="I2114" s="20">
        <f>IFERROR(__xludf.DUMMYFUNCTION("""COMPUTED_VALUE"""),0.728)</f>
        <v>0.728</v>
      </c>
      <c r="J2114" s="20">
        <f>IFERROR(__xludf.DUMMYFUNCTION("""COMPUTED_VALUE"""),2113.0)</f>
        <v>2113</v>
      </c>
      <c r="K2114" s="20" t="b">
        <f>IFERROR(__xludf.DUMMYFUNCTION("""COMPUTED_VALUE"""),TRUE)</f>
        <v>1</v>
      </c>
      <c r="L2114" s="20" t="str">
        <f>IFERROR(__xludf.DUMMYFUNCTION("""COMPUTED_VALUE"""),"Array;")</f>
        <v>Array;</v>
      </c>
      <c r="M2114" s="20" t="b">
        <f>IFERROR(__xludf.DUMMYFUNCTION("""COMPUTED_VALUE"""),FALSE)</f>
        <v>0</v>
      </c>
      <c r="N2114" s="20" t="b">
        <f>IFERROR(__xludf.DUMMYFUNCTION("""COMPUTED_VALUE"""),FALSE)</f>
        <v>0</v>
      </c>
      <c r="O2114" s="20">
        <f>IFERROR(__xludf.DUMMYFUNCTION("""COMPUTED_VALUE"""),72.8155339805825)</f>
        <v>72.81553398</v>
      </c>
      <c r="P2114" s="20">
        <f>IFERROR(__xludf.DUMMYFUNCTION("""COMPUTED_VALUE"""),1350.0)</f>
        <v>1350</v>
      </c>
      <c r="Q2114" s="20">
        <f>IFERROR(__xludf.DUMMYFUNCTION("""COMPUTED_VALUE"""),1854.0)</f>
        <v>1854</v>
      </c>
    </row>
    <row r="2115">
      <c r="A2115" s="20">
        <f>IFERROR(__xludf.DUMMYFUNCTION("""COMPUTED_VALUE"""),2219.0)</f>
        <v>2219</v>
      </c>
      <c r="B2115" s="20" t="str">
        <f>IFERROR(__xludf.DUMMYFUNCTION("""COMPUTED_VALUE"""),"Maximum Number of Words Found in Sentences")</f>
        <v>Maximum Number of Words Found in Sentences</v>
      </c>
      <c r="C2115" s="20" t="str">
        <f>IFERROR(__xludf.DUMMYFUNCTION("""COMPUTED_VALUE"""),"maximum-number-of-words-found-in-sentences")</f>
        <v>maximum-number-of-words-found-in-sentences</v>
      </c>
      <c r="D2115" s="20" t="b">
        <f>IFERROR(__xludf.DUMMYFUNCTION("""COMPUTED_VALUE"""),FALSE)</f>
        <v>0</v>
      </c>
      <c r="E2115" s="20" t="str">
        <f>IFERROR(__xludf.DUMMYFUNCTION("""COMPUTED_VALUE"""),"Easy")</f>
        <v>Easy</v>
      </c>
      <c r="F2115" s="20">
        <f>IFERROR(__xludf.DUMMYFUNCTION("""COMPUTED_VALUE"""),1097.0)</f>
        <v>1097</v>
      </c>
      <c r="G2115" s="20">
        <f>IFERROR(__xludf.DUMMYFUNCTION("""COMPUTED_VALUE"""),31.0)</f>
        <v>31</v>
      </c>
      <c r="H2115" s="20" t="str">
        <f>IFERROR(__xludf.DUMMYFUNCTION("""COMPUTED_VALUE"""),"Algorithms")</f>
        <v>Algorithms</v>
      </c>
      <c r="I2115" s="20">
        <f>IFERROR(__xludf.DUMMYFUNCTION("""COMPUTED_VALUE"""),0.879)</f>
        <v>0.879</v>
      </c>
      <c r="J2115" s="20">
        <f>IFERROR(__xludf.DUMMYFUNCTION("""COMPUTED_VALUE"""),2114.0)</f>
        <v>2114</v>
      </c>
      <c r="K2115" s="20" t="b">
        <f>IFERROR(__xludf.DUMMYFUNCTION("""COMPUTED_VALUE"""),FALSE)</f>
        <v>0</v>
      </c>
      <c r="L2115" s="20" t="str">
        <f>IFERROR(__xludf.DUMMYFUNCTION("""COMPUTED_VALUE"""),"Array;String;")</f>
        <v>Array;String;</v>
      </c>
      <c r="M2115" s="20" t="b">
        <f>IFERROR(__xludf.DUMMYFUNCTION("""COMPUTED_VALUE"""),FALSE)</f>
        <v>0</v>
      </c>
      <c r="N2115" s="20" t="b">
        <f>IFERROR(__xludf.DUMMYFUNCTION("""COMPUTED_VALUE"""),FALSE)</f>
        <v>0</v>
      </c>
      <c r="O2115" s="20">
        <f>IFERROR(__xludf.DUMMYFUNCTION("""COMPUTED_VALUE"""),87.8955916754542)</f>
        <v>87.89559168</v>
      </c>
      <c r="P2115" s="20">
        <f>IFERROR(__xludf.DUMMYFUNCTION("""COMPUTED_VALUE"""),145028.0)</f>
        <v>145028</v>
      </c>
      <c r="Q2115" s="20">
        <f>IFERROR(__xludf.DUMMYFUNCTION("""COMPUTED_VALUE"""),165001.0)</f>
        <v>165001</v>
      </c>
    </row>
    <row r="2116">
      <c r="A2116" s="20">
        <f>IFERROR(__xludf.DUMMYFUNCTION("""COMPUTED_VALUE"""),2220.0)</f>
        <v>2220</v>
      </c>
      <c r="B2116" s="20" t="str">
        <f>IFERROR(__xludf.DUMMYFUNCTION("""COMPUTED_VALUE"""),"Find All Possible Recipes from Given Supplies")</f>
        <v>Find All Possible Recipes from Given Supplies</v>
      </c>
      <c r="C2116" s="20" t="str">
        <f>IFERROR(__xludf.DUMMYFUNCTION("""COMPUTED_VALUE"""),"find-all-possible-recipes-from-given-supplies")</f>
        <v>find-all-possible-recipes-from-given-supplies</v>
      </c>
      <c r="D2116" s="20" t="b">
        <f>IFERROR(__xludf.DUMMYFUNCTION("""COMPUTED_VALUE"""),FALSE)</f>
        <v>0</v>
      </c>
      <c r="E2116" s="20" t="str">
        <f>IFERROR(__xludf.DUMMYFUNCTION("""COMPUTED_VALUE"""),"Medium")</f>
        <v>Medium</v>
      </c>
      <c r="F2116" s="20">
        <f>IFERROR(__xludf.DUMMYFUNCTION("""COMPUTED_VALUE"""),1318.0)</f>
        <v>1318</v>
      </c>
      <c r="G2116" s="20">
        <f>IFERROR(__xludf.DUMMYFUNCTION("""COMPUTED_VALUE"""),75.0)</f>
        <v>75</v>
      </c>
      <c r="H2116" s="20" t="str">
        <f>IFERROR(__xludf.DUMMYFUNCTION("""COMPUTED_VALUE"""),"Algorithms")</f>
        <v>Algorithms</v>
      </c>
      <c r="I2116" s="20">
        <f>IFERROR(__xludf.DUMMYFUNCTION("""COMPUTED_VALUE"""),0.486)</f>
        <v>0.486</v>
      </c>
      <c r="J2116" s="20">
        <f>IFERROR(__xludf.DUMMYFUNCTION("""COMPUTED_VALUE"""),2115.0)</f>
        <v>2115</v>
      </c>
      <c r="K2116" s="20" t="b">
        <f>IFERROR(__xludf.DUMMYFUNCTION("""COMPUTED_VALUE"""),FALSE)</f>
        <v>0</v>
      </c>
      <c r="L2116" s="20" t="str">
        <f>IFERROR(__xludf.DUMMYFUNCTION("""COMPUTED_VALUE"""),"Array;Hash Table;String;Graph;Topological Sort;")</f>
        <v>Array;Hash Table;String;Graph;Topological Sort;</v>
      </c>
      <c r="M2116" s="20" t="b">
        <f>IFERROR(__xludf.DUMMYFUNCTION("""COMPUTED_VALUE"""),FALSE)</f>
        <v>0</v>
      </c>
      <c r="N2116" s="20" t="b">
        <f>IFERROR(__xludf.DUMMYFUNCTION("""COMPUTED_VALUE"""),FALSE)</f>
        <v>0</v>
      </c>
      <c r="O2116" s="20">
        <f>IFERROR(__xludf.DUMMYFUNCTION("""COMPUTED_VALUE"""),48.6158860923715)</f>
        <v>48.61588609</v>
      </c>
      <c r="P2116" s="20">
        <f>IFERROR(__xludf.DUMMYFUNCTION("""COMPUTED_VALUE"""),59957.0)</f>
        <v>59957</v>
      </c>
      <c r="Q2116" s="20">
        <f>IFERROR(__xludf.DUMMYFUNCTION("""COMPUTED_VALUE"""),123328.0)</f>
        <v>123328</v>
      </c>
    </row>
    <row r="2117">
      <c r="A2117" s="20">
        <f>IFERROR(__xludf.DUMMYFUNCTION("""COMPUTED_VALUE"""),2221.0)</f>
        <v>2221</v>
      </c>
      <c r="B2117" s="20" t="str">
        <f>IFERROR(__xludf.DUMMYFUNCTION("""COMPUTED_VALUE"""),"Check if a Parentheses String Can Be Valid")</f>
        <v>Check if a Parentheses String Can Be Valid</v>
      </c>
      <c r="C2117" s="20" t="str">
        <f>IFERROR(__xludf.DUMMYFUNCTION("""COMPUTED_VALUE"""),"check-if-a-parentheses-string-can-be-valid")</f>
        <v>check-if-a-parentheses-string-can-be-valid</v>
      </c>
      <c r="D2117" s="20" t="b">
        <f>IFERROR(__xludf.DUMMYFUNCTION("""COMPUTED_VALUE"""),FALSE)</f>
        <v>0</v>
      </c>
      <c r="E2117" s="20" t="str">
        <f>IFERROR(__xludf.DUMMYFUNCTION("""COMPUTED_VALUE"""),"Medium")</f>
        <v>Medium</v>
      </c>
      <c r="F2117" s="20">
        <f>IFERROR(__xludf.DUMMYFUNCTION("""COMPUTED_VALUE"""),788.0)</f>
        <v>788</v>
      </c>
      <c r="G2117" s="20">
        <f>IFERROR(__xludf.DUMMYFUNCTION("""COMPUTED_VALUE"""),26.0)</f>
        <v>26</v>
      </c>
      <c r="H2117" s="20" t="str">
        <f>IFERROR(__xludf.DUMMYFUNCTION("""COMPUTED_VALUE"""),"Algorithms")</f>
        <v>Algorithms</v>
      </c>
      <c r="I2117" s="20">
        <f>IFERROR(__xludf.DUMMYFUNCTION("""COMPUTED_VALUE"""),0.314)</f>
        <v>0.314</v>
      </c>
      <c r="J2117" s="20">
        <f>IFERROR(__xludf.DUMMYFUNCTION("""COMPUTED_VALUE"""),2116.0)</f>
        <v>2116</v>
      </c>
      <c r="K2117" s="20" t="b">
        <f>IFERROR(__xludf.DUMMYFUNCTION("""COMPUTED_VALUE"""),FALSE)</f>
        <v>0</v>
      </c>
      <c r="L2117" s="20" t="str">
        <f>IFERROR(__xludf.DUMMYFUNCTION("""COMPUTED_VALUE"""),"String;Stack;Greedy;")</f>
        <v>String;Stack;Greedy;</v>
      </c>
      <c r="M2117" s="20" t="b">
        <f>IFERROR(__xludf.DUMMYFUNCTION("""COMPUTED_VALUE"""),FALSE)</f>
        <v>0</v>
      </c>
      <c r="N2117" s="20" t="b">
        <f>IFERROR(__xludf.DUMMYFUNCTION("""COMPUTED_VALUE"""),FALSE)</f>
        <v>0</v>
      </c>
      <c r="O2117" s="20">
        <f>IFERROR(__xludf.DUMMYFUNCTION("""COMPUTED_VALUE"""),31.4107315320171)</f>
        <v>31.41073153</v>
      </c>
      <c r="P2117" s="20">
        <f>IFERROR(__xludf.DUMMYFUNCTION("""COMPUTED_VALUE"""),13985.0)</f>
        <v>13985</v>
      </c>
      <c r="Q2117" s="20">
        <f>IFERROR(__xludf.DUMMYFUNCTION("""COMPUTED_VALUE"""),44523.0)</f>
        <v>44523</v>
      </c>
    </row>
    <row r="2118">
      <c r="A2118" s="20">
        <f>IFERROR(__xludf.DUMMYFUNCTION("""COMPUTED_VALUE"""),2222.0)</f>
        <v>2222</v>
      </c>
      <c r="B2118" s="20" t="str">
        <f>IFERROR(__xludf.DUMMYFUNCTION("""COMPUTED_VALUE"""),"Abbreviating the Product of a Range")</f>
        <v>Abbreviating the Product of a Range</v>
      </c>
      <c r="C2118" s="20" t="str">
        <f>IFERROR(__xludf.DUMMYFUNCTION("""COMPUTED_VALUE"""),"abbreviating-the-product-of-a-range")</f>
        <v>abbreviating-the-product-of-a-range</v>
      </c>
      <c r="D2118" s="20" t="b">
        <f>IFERROR(__xludf.DUMMYFUNCTION("""COMPUTED_VALUE"""),FALSE)</f>
        <v>0</v>
      </c>
      <c r="E2118" s="20" t="str">
        <f>IFERROR(__xludf.DUMMYFUNCTION("""COMPUTED_VALUE"""),"Hard")</f>
        <v>Hard</v>
      </c>
      <c r="F2118" s="20">
        <f>IFERROR(__xludf.DUMMYFUNCTION("""COMPUTED_VALUE"""),70.0)</f>
        <v>70</v>
      </c>
      <c r="G2118" s="20">
        <f>IFERROR(__xludf.DUMMYFUNCTION("""COMPUTED_VALUE"""),117.0)</f>
        <v>117</v>
      </c>
      <c r="H2118" s="20" t="str">
        <f>IFERROR(__xludf.DUMMYFUNCTION("""COMPUTED_VALUE"""),"Algorithms")</f>
        <v>Algorithms</v>
      </c>
      <c r="I2118" s="20">
        <f>IFERROR(__xludf.DUMMYFUNCTION("""COMPUTED_VALUE"""),0.279)</f>
        <v>0.279</v>
      </c>
      <c r="J2118" s="20">
        <f>IFERROR(__xludf.DUMMYFUNCTION("""COMPUTED_VALUE"""),2117.0)</f>
        <v>2117</v>
      </c>
      <c r="K2118" s="20" t="b">
        <f>IFERROR(__xludf.DUMMYFUNCTION("""COMPUTED_VALUE"""),FALSE)</f>
        <v>0</v>
      </c>
      <c r="L2118" s="20" t="str">
        <f>IFERROR(__xludf.DUMMYFUNCTION("""COMPUTED_VALUE"""),"Math;")</f>
        <v>Math;</v>
      </c>
      <c r="M2118" s="20" t="b">
        <f>IFERROR(__xludf.DUMMYFUNCTION("""COMPUTED_VALUE"""),FALSE)</f>
        <v>0</v>
      </c>
      <c r="N2118" s="20" t="b">
        <f>IFERROR(__xludf.DUMMYFUNCTION("""COMPUTED_VALUE"""),FALSE)</f>
        <v>0</v>
      </c>
      <c r="O2118" s="20">
        <f>IFERROR(__xludf.DUMMYFUNCTION("""COMPUTED_VALUE"""),27.9383209594517)</f>
        <v>27.93832096</v>
      </c>
      <c r="P2118" s="20">
        <f>IFERROR(__xludf.DUMMYFUNCTION("""COMPUTED_VALUE"""),2446.0)</f>
        <v>2446</v>
      </c>
      <c r="Q2118" s="20">
        <f>IFERROR(__xludf.DUMMYFUNCTION("""COMPUTED_VALUE"""),8755.0)</f>
        <v>8755</v>
      </c>
    </row>
    <row r="2119">
      <c r="A2119" s="20">
        <f>IFERROR(__xludf.DUMMYFUNCTION("""COMPUTED_VALUE"""),2253.0)</f>
        <v>2253</v>
      </c>
      <c r="B2119" s="20" t="str">
        <f>IFERROR(__xludf.DUMMYFUNCTION("""COMPUTED_VALUE"""),"Build the Equation")</f>
        <v>Build the Equation</v>
      </c>
      <c r="C2119" s="20" t="str">
        <f>IFERROR(__xludf.DUMMYFUNCTION("""COMPUTED_VALUE"""),"build-the-equation")</f>
        <v>build-the-equation</v>
      </c>
      <c r="D2119" s="20" t="b">
        <f>IFERROR(__xludf.DUMMYFUNCTION("""COMPUTED_VALUE"""),TRUE)</f>
        <v>1</v>
      </c>
      <c r="E2119" s="20" t="str">
        <f>IFERROR(__xludf.DUMMYFUNCTION("""COMPUTED_VALUE"""),"Hard")</f>
        <v>Hard</v>
      </c>
      <c r="F2119" s="20">
        <f>IFERROR(__xludf.DUMMYFUNCTION("""COMPUTED_VALUE"""),14.0)</f>
        <v>14</v>
      </c>
      <c r="G2119" s="20">
        <f>IFERROR(__xludf.DUMMYFUNCTION("""COMPUTED_VALUE"""),25.0)</f>
        <v>25</v>
      </c>
      <c r="H2119" s="20" t="str">
        <f>IFERROR(__xludf.DUMMYFUNCTION("""COMPUTED_VALUE"""),"Database")</f>
        <v>Database</v>
      </c>
      <c r="I2119" s="20">
        <f>IFERROR(__xludf.DUMMYFUNCTION("""COMPUTED_VALUE"""),0.57)</f>
        <v>0.57</v>
      </c>
      <c r="J2119" s="20">
        <f>IFERROR(__xludf.DUMMYFUNCTION("""COMPUTED_VALUE"""),2118.0)</f>
        <v>2118</v>
      </c>
      <c r="K2119" s="20" t="b">
        <f>IFERROR(__xludf.DUMMYFUNCTION("""COMPUTED_VALUE"""),TRUE)</f>
        <v>1</v>
      </c>
      <c r="L2119" s="20" t="str">
        <f>IFERROR(__xludf.DUMMYFUNCTION("""COMPUTED_VALUE"""),"Database;")</f>
        <v>Database;</v>
      </c>
      <c r="M2119" s="20" t="b">
        <f>IFERROR(__xludf.DUMMYFUNCTION("""COMPUTED_VALUE"""),FALSE)</f>
        <v>0</v>
      </c>
      <c r="N2119" s="20" t="b">
        <f>IFERROR(__xludf.DUMMYFUNCTION("""COMPUTED_VALUE"""),FALSE)</f>
        <v>0</v>
      </c>
      <c r="O2119" s="20">
        <f>IFERROR(__xludf.DUMMYFUNCTION("""COMPUTED_VALUE"""),57.022708158116)</f>
        <v>57.02270816</v>
      </c>
      <c r="P2119" s="20">
        <f>IFERROR(__xludf.DUMMYFUNCTION("""COMPUTED_VALUE"""),1356.0)</f>
        <v>1356</v>
      </c>
      <c r="Q2119" s="20">
        <f>IFERROR(__xludf.DUMMYFUNCTION("""COMPUTED_VALUE"""),2378.0)</f>
        <v>2378</v>
      </c>
    </row>
    <row r="2120">
      <c r="A2120" s="20">
        <f>IFERROR(__xludf.DUMMYFUNCTION("""COMPUTED_VALUE"""),2238.0)</f>
        <v>2238</v>
      </c>
      <c r="B2120" s="20" t="str">
        <f>IFERROR(__xludf.DUMMYFUNCTION("""COMPUTED_VALUE"""),"A Number After a Double Reversal")</f>
        <v>A Number After a Double Reversal</v>
      </c>
      <c r="C2120" s="20" t="str">
        <f>IFERROR(__xludf.DUMMYFUNCTION("""COMPUTED_VALUE"""),"a-number-after-a-double-reversal")</f>
        <v>a-number-after-a-double-reversal</v>
      </c>
      <c r="D2120" s="20" t="b">
        <f>IFERROR(__xludf.DUMMYFUNCTION("""COMPUTED_VALUE"""),FALSE)</f>
        <v>0</v>
      </c>
      <c r="E2120" s="20" t="str">
        <f>IFERROR(__xludf.DUMMYFUNCTION("""COMPUTED_VALUE"""),"Easy")</f>
        <v>Easy</v>
      </c>
      <c r="F2120" s="20">
        <f>IFERROR(__xludf.DUMMYFUNCTION("""COMPUTED_VALUE"""),417.0)</f>
        <v>417</v>
      </c>
      <c r="G2120" s="20">
        <f>IFERROR(__xludf.DUMMYFUNCTION("""COMPUTED_VALUE"""),25.0)</f>
        <v>25</v>
      </c>
      <c r="H2120" s="20" t="str">
        <f>IFERROR(__xludf.DUMMYFUNCTION("""COMPUTED_VALUE"""),"Algorithms")</f>
        <v>Algorithms</v>
      </c>
      <c r="I2120" s="20">
        <f>IFERROR(__xludf.DUMMYFUNCTION("""COMPUTED_VALUE"""),0.76)</f>
        <v>0.76</v>
      </c>
      <c r="J2120" s="20">
        <f>IFERROR(__xludf.DUMMYFUNCTION("""COMPUTED_VALUE"""),2119.0)</f>
        <v>2119</v>
      </c>
      <c r="K2120" s="20" t="b">
        <f>IFERROR(__xludf.DUMMYFUNCTION("""COMPUTED_VALUE"""),FALSE)</f>
        <v>0</v>
      </c>
      <c r="L2120" s="20" t="str">
        <f>IFERROR(__xludf.DUMMYFUNCTION("""COMPUTED_VALUE"""),"Math;")</f>
        <v>Math;</v>
      </c>
      <c r="M2120" s="20" t="b">
        <f>IFERROR(__xludf.DUMMYFUNCTION("""COMPUTED_VALUE"""),FALSE)</f>
        <v>0</v>
      </c>
      <c r="N2120" s="20" t="b">
        <f>IFERROR(__xludf.DUMMYFUNCTION("""COMPUTED_VALUE"""),FALSE)</f>
        <v>0</v>
      </c>
      <c r="O2120" s="20">
        <f>IFERROR(__xludf.DUMMYFUNCTION("""COMPUTED_VALUE"""),75.9951903807615)</f>
        <v>75.99519038</v>
      </c>
      <c r="P2120" s="20">
        <f>IFERROR(__xludf.DUMMYFUNCTION("""COMPUTED_VALUE"""),47402.0)</f>
        <v>47402</v>
      </c>
      <c r="Q2120" s="20">
        <f>IFERROR(__xludf.DUMMYFUNCTION("""COMPUTED_VALUE"""),62375.0)</f>
        <v>62375</v>
      </c>
    </row>
    <row r="2121">
      <c r="A2121" s="20">
        <f>IFERROR(__xludf.DUMMYFUNCTION("""COMPUTED_VALUE"""),2239.0)</f>
        <v>2239</v>
      </c>
      <c r="B2121" s="20" t="str">
        <f>IFERROR(__xludf.DUMMYFUNCTION("""COMPUTED_VALUE"""),"Execution of All Suffix Instructions Staying in a Grid")</f>
        <v>Execution of All Suffix Instructions Staying in a Grid</v>
      </c>
      <c r="C2121" s="20" t="str">
        <f>IFERROR(__xludf.DUMMYFUNCTION("""COMPUTED_VALUE"""),"execution-of-all-suffix-instructions-staying-in-a-grid")</f>
        <v>execution-of-all-suffix-instructions-staying-in-a-grid</v>
      </c>
      <c r="D2121" s="20" t="b">
        <f>IFERROR(__xludf.DUMMYFUNCTION("""COMPUTED_VALUE"""),FALSE)</f>
        <v>0</v>
      </c>
      <c r="E2121" s="20" t="str">
        <f>IFERROR(__xludf.DUMMYFUNCTION("""COMPUTED_VALUE"""),"Medium")</f>
        <v>Medium</v>
      </c>
      <c r="F2121" s="20">
        <f>IFERROR(__xludf.DUMMYFUNCTION("""COMPUTED_VALUE"""),386.0)</f>
        <v>386</v>
      </c>
      <c r="G2121" s="20">
        <f>IFERROR(__xludf.DUMMYFUNCTION("""COMPUTED_VALUE"""),37.0)</f>
        <v>37</v>
      </c>
      <c r="H2121" s="20" t="str">
        <f>IFERROR(__xludf.DUMMYFUNCTION("""COMPUTED_VALUE"""),"Algorithms")</f>
        <v>Algorithms</v>
      </c>
      <c r="I2121" s="20">
        <f>IFERROR(__xludf.DUMMYFUNCTION("""COMPUTED_VALUE"""),0.836)</f>
        <v>0.836</v>
      </c>
      <c r="J2121" s="20">
        <f>IFERROR(__xludf.DUMMYFUNCTION("""COMPUTED_VALUE"""),2120.0)</f>
        <v>2120</v>
      </c>
      <c r="K2121" s="20" t="b">
        <f>IFERROR(__xludf.DUMMYFUNCTION("""COMPUTED_VALUE"""),FALSE)</f>
        <v>0</v>
      </c>
      <c r="L2121" s="20" t="str">
        <f>IFERROR(__xludf.DUMMYFUNCTION("""COMPUTED_VALUE"""),"String;Simulation;")</f>
        <v>String;Simulation;</v>
      </c>
      <c r="M2121" s="20" t="b">
        <f>IFERROR(__xludf.DUMMYFUNCTION("""COMPUTED_VALUE"""),FALSE)</f>
        <v>0</v>
      </c>
      <c r="N2121" s="20" t="b">
        <f>IFERROR(__xludf.DUMMYFUNCTION("""COMPUTED_VALUE"""),FALSE)</f>
        <v>0</v>
      </c>
      <c r="O2121" s="20">
        <f>IFERROR(__xludf.DUMMYFUNCTION("""COMPUTED_VALUE"""),83.5569288536003)</f>
        <v>83.55692885</v>
      </c>
      <c r="P2121" s="20">
        <f>IFERROR(__xludf.DUMMYFUNCTION("""COMPUTED_VALUE"""),21363.0)</f>
        <v>21363</v>
      </c>
      <c r="Q2121" s="20">
        <f>IFERROR(__xludf.DUMMYFUNCTION("""COMPUTED_VALUE"""),25567.0)</f>
        <v>25567</v>
      </c>
    </row>
    <row r="2122">
      <c r="A2122" s="20">
        <f>IFERROR(__xludf.DUMMYFUNCTION("""COMPUTED_VALUE"""),2240.0)</f>
        <v>2240</v>
      </c>
      <c r="B2122" s="20" t="str">
        <f>IFERROR(__xludf.DUMMYFUNCTION("""COMPUTED_VALUE"""),"Intervals Between Identical Elements")</f>
        <v>Intervals Between Identical Elements</v>
      </c>
      <c r="C2122" s="20" t="str">
        <f>IFERROR(__xludf.DUMMYFUNCTION("""COMPUTED_VALUE"""),"intervals-between-identical-elements")</f>
        <v>intervals-between-identical-elements</v>
      </c>
      <c r="D2122" s="20" t="b">
        <f>IFERROR(__xludf.DUMMYFUNCTION("""COMPUTED_VALUE"""),FALSE)</f>
        <v>0</v>
      </c>
      <c r="E2122" s="20" t="str">
        <f>IFERROR(__xludf.DUMMYFUNCTION("""COMPUTED_VALUE"""),"Medium")</f>
        <v>Medium</v>
      </c>
      <c r="F2122" s="20">
        <f>IFERROR(__xludf.DUMMYFUNCTION("""COMPUTED_VALUE"""),674.0)</f>
        <v>674</v>
      </c>
      <c r="G2122" s="20">
        <f>IFERROR(__xludf.DUMMYFUNCTION("""COMPUTED_VALUE"""),27.0)</f>
        <v>27</v>
      </c>
      <c r="H2122" s="20" t="str">
        <f>IFERROR(__xludf.DUMMYFUNCTION("""COMPUTED_VALUE"""),"Algorithms")</f>
        <v>Algorithms</v>
      </c>
      <c r="I2122" s="20">
        <f>IFERROR(__xludf.DUMMYFUNCTION("""COMPUTED_VALUE"""),0.433)</f>
        <v>0.433</v>
      </c>
      <c r="J2122" s="20">
        <f>IFERROR(__xludf.DUMMYFUNCTION("""COMPUTED_VALUE"""),2121.0)</f>
        <v>2121</v>
      </c>
      <c r="K2122" s="20" t="b">
        <f>IFERROR(__xludf.DUMMYFUNCTION("""COMPUTED_VALUE"""),FALSE)</f>
        <v>0</v>
      </c>
      <c r="L2122" s="20" t="str">
        <f>IFERROR(__xludf.DUMMYFUNCTION("""COMPUTED_VALUE"""),"Array;Hash Table;Prefix Sum;")</f>
        <v>Array;Hash Table;Prefix Sum;</v>
      </c>
      <c r="M2122" s="20" t="b">
        <f>IFERROR(__xludf.DUMMYFUNCTION("""COMPUTED_VALUE"""),FALSE)</f>
        <v>0</v>
      </c>
      <c r="N2122" s="20" t="b">
        <f>IFERROR(__xludf.DUMMYFUNCTION("""COMPUTED_VALUE"""),FALSE)</f>
        <v>0</v>
      </c>
      <c r="O2122" s="20">
        <f>IFERROR(__xludf.DUMMYFUNCTION("""COMPUTED_VALUE"""),43.3242831995703)</f>
        <v>43.3242832</v>
      </c>
      <c r="P2122" s="20">
        <f>IFERROR(__xludf.DUMMYFUNCTION("""COMPUTED_VALUE"""),14521.0)</f>
        <v>14521</v>
      </c>
      <c r="Q2122" s="20">
        <f>IFERROR(__xludf.DUMMYFUNCTION("""COMPUTED_VALUE"""),33517.0)</f>
        <v>33517</v>
      </c>
    </row>
    <row r="2123">
      <c r="A2123" s="20">
        <f>IFERROR(__xludf.DUMMYFUNCTION("""COMPUTED_VALUE"""),2241.0)</f>
        <v>2241</v>
      </c>
      <c r="B2123" s="20" t="str">
        <f>IFERROR(__xludf.DUMMYFUNCTION("""COMPUTED_VALUE"""),"Recover the Original Array")</f>
        <v>Recover the Original Array</v>
      </c>
      <c r="C2123" s="20" t="str">
        <f>IFERROR(__xludf.DUMMYFUNCTION("""COMPUTED_VALUE"""),"recover-the-original-array")</f>
        <v>recover-the-original-array</v>
      </c>
      <c r="D2123" s="20" t="b">
        <f>IFERROR(__xludf.DUMMYFUNCTION("""COMPUTED_VALUE"""),FALSE)</f>
        <v>0</v>
      </c>
      <c r="E2123" s="20" t="str">
        <f>IFERROR(__xludf.DUMMYFUNCTION("""COMPUTED_VALUE"""),"Hard")</f>
        <v>Hard</v>
      </c>
      <c r="F2123" s="20">
        <f>IFERROR(__xludf.DUMMYFUNCTION("""COMPUTED_VALUE"""),311.0)</f>
        <v>311</v>
      </c>
      <c r="G2123" s="20">
        <f>IFERROR(__xludf.DUMMYFUNCTION("""COMPUTED_VALUE"""),28.0)</f>
        <v>28</v>
      </c>
      <c r="H2123" s="20" t="str">
        <f>IFERROR(__xludf.DUMMYFUNCTION("""COMPUTED_VALUE"""),"Algorithms")</f>
        <v>Algorithms</v>
      </c>
      <c r="I2123" s="20">
        <f>IFERROR(__xludf.DUMMYFUNCTION("""COMPUTED_VALUE"""),0.383)</f>
        <v>0.383</v>
      </c>
      <c r="J2123" s="20">
        <f>IFERROR(__xludf.DUMMYFUNCTION("""COMPUTED_VALUE"""),2122.0)</f>
        <v>2122</v>
      </c>
      <c r="K2123" s="20" t="b">
        <f>IFERROR(__xludf.DUMMYFUNCTION("""COMPUTED_VALUE"""),FALSE)</f>
        <v>0</v>
      </c>
      <c r="L2123" s="20" t="str">
        <f>IFERROR(__xludf.DUMMYFUNCTION("""COMPUTED_VALUE"""),"Array;Hash Table;Sorting;Enumeration;")</f>
        <v>Array;Hash Table;Sorting;Enumeration;</v>
      </c>
      <c r="M2123" s="20" t="b">
        <f>IFERROR(__xludf.DUMMYFUNCTION("""COMPUTED_VALUE"""),FALSE)</f>
        <v>0</v>
      </c>
      <c r="N2123" s="20" t="b">
        <f>IFERROR(__xludf.DUMMYFUNCTION("""COMPUTED_VALUE"""),FALSE)</f>
        <v>0</v>
      </c>
      <c r="O2123" s="20">
        <f>IFERROR(__xludf.DUMMYFUNCTION("""COMPUTED_VALUE"""),38.2721677684066)</f>
        <v>38.27216777</v>
      </c>
      <c r="P2123" s="20">
        <f>IFERROR(__xludf.DUMMYFUNCTION("""COMPUTED_VALUE"""),8395.0)</f>
        <v>8395</v>
      </c>
      <c r="Q2123" s="20">
        <f>IFERROR(__xludf.DUMMYFUNCTION("""COMPUTED_VALUE"""),21935.0)</f>
        <v>21935</v>
      </c>
    </row>
    <row r="2124">
      <c r="A2124" s="20">
        <f>IFERROR(__xludf.DUMMYFUNCTION("""COMPUTED_VALUE"""),2259.0)</f>
        <v>2259</v>
      </c>
      <c r="B2124" s="20" t="str">
        <f>IFERROR(__xludf.DUMMYFUNCTION("""COMPUTED_VALUE"""),"Minimum Operations to Remove Adjacent Ones in Matrix")</f>
        <v>Minimum Operations to Remove Adjacent Ones in Matrix</v>
      </c>
      <c r="C2124" s="20" t="str">
        <f>IFERROR(__xludf.DUMMYFUNCTION("""COMPUTED_VALUE"""),"minimum-operations-to-remove-adjacent-ones-in-matrix")</f>
        <v>minimum-operations-to-remove-adjacent-ones-in-matrix</v>
      </c>
      <c r="D2124" s="20" t="b">
        <f>IFERROR(__xludf.DUMMYFUNCTION("""COMPUTED_VALUE"""),TRUE)</f>
        <v>1</v>
      </c>
      <c r="E2124" s="20" t="str">
        <f>IFERROR(__xludf.DUMMYFUNCTION("""COMPUTED_VALUE"""),"Hard")</f>
        <v>Hard</v>
      </c>
      <c r="F2124" s="20">
        <f>IFERROR(__xludf.DUMMYFUNCTION("""COMPUTED_VALUE"""),36.0)</f>
        <v>36</v>
      </c>
      <c r="G2124" s="20">
        <f>IFERROR(__xludf.DUMMYFUNCTION("""COMPUTED_VALUE"""),7.0)</f>
        <v>7</v>
      </c>
      <c r="H2124" s="20" t="str">
        <f>IFERROR(__xludf.DUMMYFUNCTION("""COMPUTED_VALUE"""),"Algorithms")</f>
        <v>Algorithms</v>
      </c>
      <c r="I2124" s="20">
        <f>IFERROR(__xludf.DUMMYFUNCTION("""COMPUTED_VALUE"""),0.415)</f>
        <v>0.415</v>
      </c>
      <c r="J2124" s="20">
        <f>IFERROR(__xludf.DUMMYFUNCTION("""COMPUTED_VALUE"""),2123.0)</f>
        <v>2123</v>
      </c>
      <c r="K2124" s="20" t="b">
        <f>IFERROR(__xludf.DUMMYFUNCTION("""COMPUTED_VALUE"""),TRUE)</f>
        <v>1</v>
      </c>
      <c r="L2124" s="20" t="str">
        <f>IFERROR(__xludf.DUMMYFUNCTION("""COMPUTED_VALUE"""),"Array;Graph;Matrix;")</f>
        <v>Array;Graph;Matrix;</v>
      </c>
      <c r="M2124" s="20" t="b">
        <f>IFERROR(__xludf.DUMMYFUNCTION("""COMPUTED_VALUE"""),FALSE)</f>
        <v>0</v>
      </c>
      <c r="N2124" s="20" t="b">
        <f>IFERROR(__xludf.DUMMYFUNCTION("""COMPUTED_VALUE"""),FALSE)</f>
        <v>0</v>
      </c>
      <c r="O2124" s="20">
        <f>IFERROR(__xludf.DUMMYFUNCTION("""COMPUTED_VALUE"""),41.5131578947368)</f>
        <v>41.51315789</v>
      </c>
      <c r="P2124" s="20">
        <f>IFERROR(__xludf.DUMMYFUNCTION("""COMPUTED_VALUE"""),631.0)</f>
        <v>631</v>
      </c>
      <c r="Q2124" s="20">
        <f>IFERROR(__xludf.DUMMYFUNCTION("""COMPUTED_VALUE"""),1520.0)</f>
        <v>1520</v>
      </c>
    </row>
    <row r="2125">
      <c r="A2125" s="20">
        <f>IFERROR(__xludf.DUMMYFUNCTION("""COMPUTED_VALUE"""),2243.0)</f>
        <v>2243</v>
      </c>
      <c r="B2125" s="20" t="str">
        <f>IFERROR(__xludf.DUMMYFUNCTION("""COMPUTED_VALUE"""),"Check if All A's Appears Before All B's")</f>
        <v>Check if All A's Appears Before All B's</v>
      </c>
      <c r="C2125" s="20" t="str">
        <f>IFERROR(__xludf.DUMMYFUNCTION("""COMPUTED_VALUE"""),"check-if-all-as-appears-before-all-bs")</f>
        <v>check-if-all-as-appears-before-all-bs</v>
      </c>
      <c r="D2125" s="20" t="b">
        <f>IFERROR(__xludf.DUMMYFUNCTION("""COMPUTED_VALUE"""),FALSE)</f>
        <v>0</v>
      </c>
      <c r="E2125" s="20" t="str">
        <f>IFERROR(__xludf.DUMMYFUNCTION("""COMPUTED_VALUE"""),"Easy")</f>
        <v>Easy</v>
      </c>
      <c r="F2125" s="20">
        <f>IFERROR(__xludf.DUMMYFUNCTION("""COMPUTED_VALUE"""),508.0)</f>
        <v>508</v>
      </c>
      <c r="G2125" s="20">
        <f>IFERROR(__xludf.DUMMYFUNCTION("""COMPUTED_VALUE"""),11.0)</f>
        <v>11</v>
      </c>
      <c r="H2125" s="20" t="str">
        <f>IFERROR(__xludf.DUMMYFUNCTION("""COMPUTED_VALUE"""),"Algorithms")</f>
        <v>Algorithms</v>
      </c>
      <c r="I2125" s="20">
        <f>IFERROR(__xludf.DUMMYFUNCTION("""COMPUTED_VALUE"""),0.714)</f>
        <v>0.714</v>
      </c>
      <c r="J2125" s="20">
        <f>IFERROR(__xludf.DUMMYFUNCTION("""COMPUTED_VALUE"""),2124.0)</f>
        <v>2124</v>
      </c>
      <c r="K2125" s="20" t="b">
        <f>IFERROR(__xludf.DUMMYFUNCTION("""COMPUTED_VALUE"""),FALSE)</f>
        <v>0</v>
      </c>
      <c r="L2125" s="20" t="str">
        <f>IFERROR(__xludf.DUMMYFUNCTION("""COMPUTED_VALUE"""),"String;")</f>
        <v>String;</v>
      </c>
      <c r="M2125" s="20" t="b">
        <f>IFERROR(__xludf.DUMMYFUNCTION("""COMPUTED_VALUE"""),FALSE)</f>
        <v>0</v>
      </c>
      <c r="N2125" s="20" t="b">
        <f>IFERROR(__xludf.DUMMYFUNCTION("""COMPUTED_VALUE"""),FALSE)</f>
        <v>0</v>
      </c>
      <c r="O2125" s="20">
        <f>IFERROR(__xludf.DUMMYFUNCTION("""COMPUTED_VALUE"""),71.4488482959717)</f>
        <v>71.4488483</v>
      </c>
      <c r="P2125" s="20">
        <f>IFERROR(__xludf.DUMMYFUNCTION("""COMPUTED_VALUE"""),46310.0)</f>
        <v>46310</v>
      </c>
      <c r="Q2125" s="20">
        <f>IFERROR(__xludf.DUMMYFUNCTION("""COMPUTED_VALUE"""),64816.0)</f>
        <v>64816</v>
      </c>
    </row>
    <row r="2126">
      <c r="A2126" s="20">
        <f>IFERROR(__xludf.DUMMYFUNCTION("""COMPUTED_VALUE"""),2244.0)</f>
        <v>2244</v>
      </c>
      <c r="B2126" s="20" t="str">
        <f>IFERROR(__xludf.DUMMYFUNCTION("""COMPUTED_VALUE"""),"Number of Laser Beams in a Bank")</f>
        <v>Number of Laser Beams in a Bank</v>
      </c>
      <c r="C2126" s="20" t="str">
        <f>IFERROR(__xludf.DUMMYFUNCTION("""COMPUTED_VALUE"""),"number-of-laser-beams-in-a-bank")</f>
        <v>number-of-laser-beams-in-a-bank</v>
      </c>
      <c r="D2126" s="20" t="b">
        <f>IFERROR(__xludf.DUMMYFUNCTION("""COMPUTED_VALUE"""),FALSE)</f>
        <v>0</v>
      </c>
      <c r="E2126" s="20" t="str">
        <f>IFERROR(__xludf.DUMMYFUNCTION("""COMPUTED_VALUE"""),"Medium")</f>
        <v>Medium</v>
      </c>
      <c r="F2126" s="20">
        <f>IFERROR(__xludf.DUMMYFUNCTION("""COMPUTED_VALUE"""),586.0)</f>
        <v>586</v>
      </c>
      <c r="G2126" s="20">
        <f>IFERROR(__xludf.DUMMYFUNCTION("""COMPUTED_VALUE"""),54.0)</f>
        <v>54</v>
      </c>
      <c r="H2126" s="20" t="str">
        <f>IFERROR(__xludf.DUMMYFUNCTION("""COMPUTED_VALUE"""),"Algorithms")</f>
        <v>Algorithms</v>
      </c>
      <c r="I2126" s="20">
        <f>IFERROR(__xludf.DUMMYFUNCTION("""COMPUTED_VALUE"""),0.826)</f>
        <v>0.826</v>
      </c>
      <c r="J2126" s="20">
        <f>IFERROR(__xludf.DUMMYFUNCTION("""COMPUTED_VALUE"""),2125.0)</f>
        <v>2125</v>
      </c>
      <c r="K2126" s="20" t="b">
        <f>IFERROR(__xludf.DUMMYFUNCTION("""COMPUTED_VALUE"""),FALSE)</f>
        <v>0</v>
      </c>
      <c r="L2126" s="20" t="str">
        <f>IFERROR(__xludf.DUMMYFUNCTION("""COMPUTED_VALUE"""),"Array;Math;String;Matrix;")</f>
        <v>Array;Math;String;Matrix;</v>
      </c>
      <c r="M2126" s="20" t="b">
        <f>IFERROR(__xludf.DUMMYFUNCTION("""COMPUTED_VALUE"""),FALSE)</f>
        <v>0</v>
      </c>
      <c r="N2126" s="20" t="b">
        <f>IFERROR(__xludf.DUMMYFUNCTION("""COMPUTED_VALUE"""),FALSE)</f>
        <v>0</v>
      </c>
      <c r="O2126" s="20">
        <f>IFERROR(__xludf.DUMMYFUNCTION("""COMPUTED_VALUE"""),82.604247657241)</f>
        <v>82.60424766</v>
      </c>
      <c r="P2126" s="20">
        <f>IFERROR(__xludf.DUMMYFUNCTION("""COMPUTED_VALUE"""),40372.0)</f>
        <v>40372</v>
      </c>
      <c r="Q2126" s="20">
        <f>IFERROR(__xludf.DUMMYFUNCTION("""COMPUTED_VALUE"""),48867.0)</f>
        <v>48867</v>
      </c>
    </row>
    <row r="2127">
      <c r="A2127" s="20">
        <f>IFERROR(__xludf.DUMMYFUNCTION("""COMPUTED_VALUE"""),2245.0)</f>
        <v>2245</v>
      </c>
      <c r="B2127" s="20" t="str">
        <f>IFERROR(__xludf.DUMMYFUNCTION("""COMPUTED_VALUE"""),"Destroying Asteroids")</f>
        <v>Destroying Asteroids</v>
      </c>
      <c r="C2127" s="20" t="str">
        <f>IFERROR(__xludf.DUMMYFUNCTION("""COMPUTED_VALUE"""),"destroying-asteroids")</f>
        <v>destroying-asteroids</v>
      </c>
      <c r="D2127" s="20" t="b">
        <f>IFERROR(__xludf.DUMMYFUNCTION("""COMPUTED_VALUE"""),FALSE)</f>
        <v>0</v>
      </c>
      <c r="E2127" s="20" t="str">
        <f>IFERROR(__xludf.DUMMYFUNCTION("""COMPUTED_VALUE"""),"Medium")</f>
        <v>Medium</v>
      </c>
      <c r="F2127" s="20">
        <f>IFERROR(__xludf.DUMMYFUNCTION("""COMPUTED_VALUE"""),304.0)</f>
        <v>304</v>
      </c>
      <c r="G2127" s="20">
        <f>IFERROR(__xludf.DUMMYFUNCTION("""COMPUTED_VALUE"""),140.0)</f>
        <v>140</v>
      </c>
      <c r="H2127" s="20" t="str">
        <f>IFERROR(__xludf.DUMMYFUNCTION("""COMPUTED_VALUE"""),"Algorithms")</f>
        <v>Algorithms</v>
      </c>
      <c r="I2127" s="20">
        <f>IFERROR(__xludf.DUMMYFUNCTION("""COMPUTED_VALUE"""),0.497)</f>
        <v>0.497</v>
      </c>
      <c r="J2127" s="20">
        <f>IFERROR(__xludf.DUMMYFUNCTION("""COMPUTED_VALUE"""),2126.0)</f>
        <v>2126</v>
      </c>
      <c r="K2127" s="20" t="b">
        <f>IFERROR(__xludf.DUMMYFUNCTION("""COMPUTED_VALUE"""),FALSE)</f>
        <v>0</v>
      </c>
      <c r="L2127" s="20" t="str">
        <f>IFERROR(__xludf.DUMMYFUNCTION("""COMPUTED_VALUE"""),"Array;Greedy;Sorting;")</f>
        <v>Array;Greedy;Sorting;</v>
      </c>
      <c r="M2127" s="20" t="b">
        <f>IFERROR(__xludf.DUMMYFUNCTION("""COMPUTED_VALUE"""),FALSE)</f>
        <v>0</v>
      </c>
      <c r="N2127" s="20" t="b">
        <f>IFERROR(__xludf.DUMMYFUNCTION("""COMPUTED_VALUE"""),FALSE)</f>
        <v>0</v>
      </c>
      <c r="O2127" s="20">
        <f>IFERROR(__xludf.DUMMYFUNCTION("""COMPUTED_VALUE"""),49.7102707504694)</f>
        <v>49.71027075</v>
      </c>
      <c r="P2127" s="20">
        <f>IFERROR(__xludf.DUMMYFUNCTION("""COMPUTED_VALUE"""),24621.0)</f>
        <v>24621</v>
      </c>
      <c r="Q2127" s="20">
        <f>IFERROR(__xludf.DUMMYFUNCTION("""COMPUTED_VALUE"""),49529.0)</f>
        <v>49529</v>
      </c>
    </row>
    <row r="2128">
      <c r="A2128" s="20">
        <f>IFERROR(__xludf.DUMMYFUNCTION("""COMPUTED_VALUE"""),2246.0)</f>
        <v>2246</v>
      </c>
      <c r="B2128" s="20" t="str">
        <f>IFERROR(__xludf.DUMMYFUNCTION("""COMPUTED_VALUE"""),"Maximum Employees to Be Invited to a Meeting")</f>
        <v>Maximum Employees to Be Invited to a Meeting</v>
      </c>
      <c r="C2128" s="20" t="str">
        <f>IFERROR(__xludf.DUMMYFUNCTION("""COMPUTED_VALUE"""),"maximum-employees-to-be-invited-to-a-meeting")</f>
        <v>maximum-employees-to-be-invited-to-a-meeting</v>
      </c>
      <c r="D2128" s="20" t="b">
        <f>IFERROR(__xludf.DUMMYFUNCTION("""COMPUTED_VALUE"""),FALSE)</f>
        <v>0</v>
      </c>
      <c r="E2128" s="20" t="str">
        <f>IFERROR(__xludf.DUMMYFUNCTION("""COMPUTED_VALUE"""),"Hard")</f>
        <v>Hard</v>
      </c>
      <c r="F2128" s="20">
        <f>IFERROR(__xludf.DUMMYFUNCTION("""COMPUTED_VALUE"""),725.0)</f>
        <v>725</v>
      </c>
      <c r="G2128" s="20">
        <f>IFERROR(__xludf.DUMMYFUNCTION("""COMPUTED_VALUE"""),13.0)</f>
        <v>13</v>
      </c>
      <c r="H2128" s="20" t="str">
        <f>IFERROR(__xludf.DUMMYFUNCTION("""COMPUTED_VALUE"""),"Algorithms")</f>
        <v>Algorithms</v>
      </c>
      <c r="I2128" s="20">
        <f>IFERROR(__xludf.DUMMYFUNCTION("""COMPUTED_VALUE"""),0.342)</f>
        <v>0.342</v>
      </c>
      <c r="J2128" s="20">
        <f>IFERROR(__xludf.DUMMYFUNCTION("""COMPUTED_VALUE"""),2127.0)</f>
        <v>2127</v>
      </c>
      <c r="K2128" s="20" t="b">
        <f>IFERROR(__xludf.DUMMYFUNCTION("""COMPUTED_VALUE"""),FALSE)</f>
        <v>0</v>
      </c>
      <c r="L2128" s="20" t="str">
        <f>IFERROR(__xludf.DUMMYFUNCTION("""COMPUTED_VALUE"""),"Depth-First Search;Graph;Topological Sort;")</f>
        <v>Depth-First Search;Graph;Topological Sort;</v>
      </c>
      <c r="M2128" s="20" t="b">
        <f>IFERROR(__xludf.DUMMYFUNCTION("""COMPUTED_VALUE"""),FALSE)</f>
        <v>0</v>
      </c>
      <c r="N2128" s="20" t="b">
        <f>IFERROR(__xludf.DUMMYFUNCTION("""COMPUTED_VALUE"""),FALSE)</f>
        <v>0</v>
      </c>
      <c r="O2128" s="20">
        <f>IFERROR(__xludf.DUMMYFUNCTION("""COMPUTED_VALUE"""),34.2153570629057)</f>
        <v>34.21535706</v>
      </c>
      <c r="P2128" s="20">
        <f>IFERROR(__xludf.DUMMYFUNCTION("""COMPUTED_VALUE"""),7642.0)</f>
        <v>7642</v>
      </c>
      <c r="Q2128" s="20">
        <f>IFERROR(__xludf.DUMMYFUNCTION("""COMPUTED_VALUE"""),22335.0)</f>
        <v>22335</v>
      </c>
    </row>
    <row r="2129">
      <c r="A2129" s="20">
        <f>IFERROR(__xludf.DUMMYFUNCTION("""COMPUTED_VALUE"""),2268.0)</f>
        <v>2268</v>
      </c>
      <c r="B2129" s="20" t="str">
        <f>IFERROR(__xludf.DUMMYFUNCTION("""COMPUTED_VALUE"""),"Remove All Ones With Row and Column Flips")</f>
        <v>Remove All Ones With Row and Column Flips</v>
      </c>
      <c r="C2129" s="20" t="str">
        <f>IFERROR(__xludf.DUMMYFUNCTION("""COMPUTED_VALUE"""),"remove-all-ones-with-row-and-column-flips")</f>
        <v>remove-all-ones-with-row-and-column-flips</v>
      </c>
      <c r="D2129" s="20" t="b">
        <f>IFERROR(__xludf.DUMMYFUNCTION("""COMPUTED_VALUE"""),TRUE)</f>
        <v>1</v>
      </c>
      <c r="E2129" s="20" t="str">
        <f>IFERROR(__xludf.DUMMYFUNCTION("""COMPUTED_VALUE"""),"Medium")</f>
        <v>Medium</v>
      </c>
      <c r="F2129" s="20">
        <f>IFERROR(__xludf.DUMMYFUNCTION("""COMPUTED_VALUE"""),423.0)</f>
        <v>423</v>
      </c>
      <c r="G2129" s="20">
        <f>IFERROR(__xludf.DUMMYFUNCTION("""COMPUTED_VALUE"""),168.0)</f>
        <v>168</v>
      </c>
      <c r="H2129" s="20" t="str">
        <f>IFERROR(__xludf.DUMMYFUNCTION("""COMPUTED_VALUE"""),"Algorithms")</f>
        <v>Algorithms</v>
      </c>
      <c r="I2129" s="20">
        <f>IFERROR(__xludf.DUMMYFUNCTION("""COMPUTED_VALUE"""),0.764)</f>
        <v>0.764</v>
      </c>
      <c r="J2129" s="20">
        <f>IFERROR(__xludf.DUMMYFUNCTION("""COMPUTED_VALUE"""),2128.0)</f>
        <v>2128</v>
      </c>
      <c r="K2129" s="20" t="b">
        <f>IFERROR(__xludf.DUMMYFUNCTION("""COMPUTED_VALUE"""),TRUE)</f>
        <v>1</v>
      </c>
      <c r="L2129" s="20" t="str">
        <f>IFERROR(__xludf.DUMMYFUNCTION("""COMPUTED_VALUE"""),"Array;Math;Bit Manipulation;Matrix;")</f>
        <v>Array;Math;Bit Manipulation;Matrix;</v>
      </c>
      <c r="M2129" s="20" t="b">
        <f>IFERROR(__xludf.DUMMYFUNCTION("""COMPUTED_VALUE"""),FALSE)</f>
        <v>0</v>
      </c>
      <c r="N2129" s="20" t="b">
        <f>IFERROR(__xludf.DUMMYFUNCTION("""COMPUTED_VALUE"""),FALSE)</f>
        <v>0</v>
      </c>
      <c r="O2129" s="20">
        <f>IFERROR(__xludf.DUMMYFUNCTION("""COMPUTED_VALUE"""),76.3537022241694)</f>
        <v>76.35370222</v>
      </c>
      <c r="P2129" s="20">
        <f>IFERROR(__xludf.DUMMYFUNCTION("""COMPUTED_VALUE"""),29626.0)</f>
        <v>29626</v>
      </c>
      <c r="Q2129" s="20">
        <f>IFERROR(__xludf.DUMMYFUNCTION("""COMPUTED_VALUE"""),38801.0)</f>
        <v>38801</v>
      </c>
    </row>
    <row r="2130">
      <c r="A2130" s="20">
        <f>IFERROR(__xludf.DUMMYFUNCTION("""COMPUTED_VALUE"""),2235.0)</f>
        <v>2235</v>
      </c>
      <c r="B2130" s="20" t="str">
        <f>IFERROR(__xludf.DUMMYFUNCTION("""COMPUTED_VALUE"""),"Capitalize the Title")</f>
        <v>Capitalize the Title</v>
      </c>
      <c r="C2130" s="20" t="str">
        <f>IFERROR(__xludf.DUMMYFUNCTION("""COMPUTED_VALUE"""),"capitalize-the-title")</f>
        <v>capitalize-the-title</v>
      </c>
      <c r="D2130" s="20" t="b">
        <f>IFERROR(__xludf.DUMMYFUNCTION("""COMPUTED_VALUE"""),FALSE)</f>
        <v>0</v>
      </c>
      <c r="E2130" s="20" t="str">
        <f>IFERROR(__xludf.DUMMYFUNCTION("""COMPUTED_VALUE"""),"Easy")</f>
        <v>Easy</v>
      </c>
      <c r="F2130" s="20">
        <f>IFERROR(__xludf.DUMMYFUNCTION("""COMPUTED_VALUE"""),431.0)</f>
        <v>431</v>
      </c>
      <c r="G2130" s="20">
        <f>IFERROR(__xludf.DUMMYFUNCTION("""COMPUTED_VALUE"""),39.0)</f>
        <v>39</v>
      </c>
      <c r="H2130" s="20" t="str">
        <f>IFERROR(__xludf.DUMMYFUNCTION("""COMPUTED_VALUE"""),"Algorithms")</f>
        <v>Algorithms</v>
      </c>
      <c r="I2130" s="20">
        <f>IFERROR(__xludf.DUMMYFUNCTION("""COMPUTED_VALUE"""),0.606)</f>
        <v>0.606</v>
      </c>
      <c r="J2130" s="20">
        <f>IFERROR(__xludf.DUMMYFUNCTION("""COMPUTED_VALUE"""),2129.0)</f>
        <v>2129</v>
      </c>
      <c r="K2130" s="20" t="b">
        <f>IFERROR(__xludf.DUMMYFUNCTION("""COMPUTED_VALUE"""),FALSE)</f>
        <v>0</v>
      </c>
      <c r="L2130" s="20" t="str">
        <f>IFERROR(__xludf.DUMMYFUNCTION("""COMPUTED_VALUE"""),"String;")</f>
        <v>String;</v>
      </c>
      <c r="M2130" s="20" t="b">
        <f>IFERROR(__xludf.DUMMYFUNCTION("""COMPUTED_VALUE"""),FALSE)</f>
        <v>0</v>
      </c>
      <c r="N2130" s="20" t="b">
        <f>IFERROR(__xludf.DUMMYFUNCTION("""COMPUTED_VALUE"""),FALSE)</f>
        <v>0</v>
      </c>
      <c r="O2130" s="20">
        <f>IFERROR(__xludf.DUMMYFUNCTION("""COMPUTED_VALUE"""),60.563998649105)</f>
        <v>60.56399865</v>
      </c>
      <c r="P2130" s="20">
        <f>IFERROR(__xludf.DUMMYFUNCTION("""COMPUTED_VALUE"""),35866.0)</f>
        <v>35866</v>
      </c>
      <c r="Q2130" s="20">
        <f>IFERROR(__xludf.DUMMYFUNCTION("""COMPUTED_VALUE"""),59220.0)</f>
        <v>59220</v>
      </c>
    </row>
    <row r="2131">
      <c r="A2131" s="20">
        <f>IFERROR(__xludf.DUMMYFUNCTION("""COMPUTED_VALUE"""),2236.0)</f>
        <v>2236</v>
      </c>
      <c r="B2131" s="20" t="str">
        <f>IFERROR(__xludf.DUMMYFUNCTION("""COMPUTED_VALUE"""),"Maximum Twin Sum of a Linked List")</f>
        <v>Maximum Twin Sum of a Linked List</v>
      </c>
      <c r="C2131" s="20" t="str">
        <f>IFERROR(__xludf.DUMMYFUNCTION("""COMPUTED_VALUE"""),"maximum-twin-sum-of-a-linked-list")</f>
        <v>maximum-twin-sum-of-a-linked-list</v>
      </c>
      <c r="D2131" s="20" t="b">
        <f>IFERROR(__xludf.DUMMYFUNCTION("""COMPUTED_VALUE"""),FALSE)</f>
        <v>0</v>
      </c>
      <c r="E2131" s="20" t="str">
        <f>IFERROR(__xludf.DUMMYFUNCTION("""COMPUTED_VALUE"""),"Medium")</f>
        <v>Medium</v>
      </c>
      <c r="F2131" s="20">
        <f>IFERROR(__xludf.DUMMYFUNCTION("""COMPUTED_VALUE"""),1401.0)</f>
        <v>1401</v>
      </c>
      <c r="G2131" s="20">
        <f>IFERROR(__xludf.DUMMYFUNCTION("""COMPUTED_VALUE"""),38.0)</f>
        <v>38</v>
      </c>
      <c r="H2131" s="20" t="str">
        <f>IFERROR(__xludf.DUMMYFUNCTION("""COMPUTED_VALUE"""),"Algorithms")</f>
        <v>Algorithms</v>
      </c>
      <c r="I2131" s="20">
        <f>IFERROR(__xludf.DUMMYFUNCTION("""COMPUTED_VALUE"""),0.812)</f>
        <v>0.812</v>
      </c>
      <c r="J2131" s="20">
        <f>IFERROR(__xludf.DUMMYFUNCTION("""COMPUTED_VALUE"""),2130.0)</f>
        <v>2130</v>
      </c>
      <c r="K2131" s="20" t="b">
        <f>IFERROR(__xludf.DUMMYFUNCTION("""COMPUTED_VALUE"""),FALSE)</f>
        <v>0</v>
      </c>
      <c r="L2131" s="20" t="str">
        <f>IFERROR(__xludf.DUMMYFUNCTION("""COMPUTED_VALUE"""),"Linked List;Two Pointers;Stack;")</f>
        <v>Linked List;Two Pointers;Stack;</v>
      </c>
      <c r="M2131" s="20" t="b">
        <f>IFERROR(__xludf.DUMMYFUNCTION("""COMPUTED_VALUE"""),FALSE)</f>
        <v>0</v>
      </c>
      <c r="N2131" s="20" t="b">
        <f>IFERROR(__xludf.DUMMYFUNCTION("""COMPUTED_VALUE"""),FALSE)</f>
        <v>0</v>
      </c>
      <c r="O2131" s="20">
        <f>IFERROR(__xludf.DUMMYFUNCTION("""COMPUTED_VALUE"""),81.2509805972491)</f>
        <v>81.2509806</v>
      </c>
      <c r="P2131" s="20">
        <f>IFERROR(__xludf.DUMMYFUNCTION("""COMPUTED_VALUE"""),77668.0)</f>
        <v>77668</v>
      </c>
      <c r="Q2131" s="20">
        <f>IFERROR(__xludf.DUMMYFUNCTION("""COMPUTED_VALUE"""),95593.0)</f>
        <v>95593</v>
      </c>
    </row>
    <row r="2132">
      <c r="A2132" s="20">
        <f>IFERROR(__xludf.DUMMYFUNCTION("""COMPUTED_VALUE"""),2237.0)</f>
        <v>2237</v>
      </c>
      <c r="B2132" s="20" t="str">
        <f>IFERROR(__xludf.DUMMYFUNCTION("""COMPUTED_VALUE"""),"Longest Palindrome by Concatenating Two Letter Words")</f>
        <v>Longest Palindrome by Concatenating Two Letter Words</v>
      </c>
      <c r="C2132" s="20" t="str">
        <f>IFERROR(__xludf.DUMMYFUNCTION("""COMPUTED_VALUE"""),"longest-palindrome-by-concatenating-two-letter-words")</f>
        <v>longest-palindrome-by-concatenating-two-letter-words</v>
      </c>
      <c r="D2132" s="20" t="b">
        <f>IFERROR(__xludf.DUMMYFUNCTION("""COMPUTED_VALUE"""),FALSE)</f>
        <v>0</v>
      </c>
      <c r="E2132" s="20" t="str">
        <f>IFERROR(__xludf.DUMMYFUNCTION("""COMPUTED_VALUE"""),"Medium")</f>
        <v>Medium</v>
      </c>
      <c r="F2132" s="20">
        <f>IFERROR(__xludf.DUMMYFUNCTION("""COMPUTED_VALUE"""),2041.0)</f>
        <v>2041</v>
      </c>
      <c r="G2132" s="20">
        <f>IFERROR(__xludf.DUMMYFUNCTION("""COMPUTED_VALUE"""),39.0)</f>
        <v>39</v>
      </c>
      <c r="H2132" s="20" t="str">
        <f>IFERROR(__xludf.DUMMYFUNCTION("""COMPUTED_VALUE"""),"Algorithms")</f>
        <v>Algorithms</v>
      </c>
      <c r="I2132" s="20">
        <f>IFERROR(__xludf.DUMMYFUNCTION("""COMPUTED_VALUE"""),0.49)</f>
        <v>0.49</v>
      </c>
      <c r="J2132" s="20">
        <f>IFERROR(__xludf.DUMMYFUNCTION("""COMPUTED_VALUE"""),2131.0)</f>
        <v>2131</v>
      </c>
      <c r="K2132" s="20" t="b">
        <f>IFERROR(__xludf.DUMMYFUNCTION("""COMPUTED_VALUE"""),FALSE)</f>
        <v>0</v>
      </c>
      <c r="L2132" s="20" t="str">
        <f>IFERROR(__xludf.DUMMYFUNCTION("""COMPUTED_VALUE"""),"Array;Hash Table;String;Greedy;Counting;")</f>
        <v>Array;Hash Table;String;Greedy;Counting;</v>
      </c>
      <c r="M2132" s="20" t="b">
        <f>IFERROR(__xludf.DUMMYFUNCTION("""COMPUTED_VALUE"""),TRUE)</f>
        <v>1</v>
      </c>
      <c r="N2132" s="20" t="b">
        <f>IFERROR(__xludf.DUMMYFUNCTION("""COMPUTED_VALUE"""),FALSE)</f>
        <v>0</v>
      </c>
      <c r="O2132" s="20">
        <f>IFERROR(__xludf.DUMMYFUNCTION("""COMPUTED_VALUE"""),49.0098209376785)</f>
        <v>49.00982094</v>
      </c>
      <c r="P2132" s="20">
        <f>IFERROR(__xludf.DUMMYFUNCTION("""COMPUTED_VALUE"""),90921.0)</f>
        <v>90921</v>
      </c>
      <c r="Q2132" s="20">
        <f>IFERROR(__xludf.DUMMYFUNCTION("""COMPUTED_VALUE"""),185517.0)</f>
        <v>185517</v>
      </c>
    </row>
    <row r="2133">
      <c r="A2133" s="20">
        <f>IFERROR(__xludf.DUMMYFUNCTION("""COMPUTED_VALUE"""),2200.0)</f>
        <v>2200</v>
      </c>
      <c r="B2133" s="20" t="str">
        <f>IFERROR(__xludf.DUMMYFUNCTION("""COMPUTED_VALUE"""),"Stamping the Grid")</f>
        <v>Stamping the Grid</v>
      </c>
      <c r="C2133" s="20" t="str">
        <f>IFERROR(__xludf.DUMMYFUNCTION("""COMPUTED_VALUE"""),"stamping-the-grid")</f>
        <v>stamping-the-grid</v>
      </c>
      <c r="D2133" s="20" t="b">
        <f>IFERROR(__xludf.DUMMYFUNCTION("""COMPUTED_VALUE"""),FALSE)</f>
        <v>0</v>
      </c>
      <c r="E2133" s="20" t="str">
        <f>IFERROR(__xludf.DUMMYFUNCTION("""COMPUTED_VALUE"""),"Hard")</f>
        <v>Hard</v>
      </c>
      <c r="F2133" s="20">
        <f>IFERROR(__xludf.DUMMYFUNCTION("""COMPUTED_VALUE"""),301.0)</f>
        <v>301</v>
      </c>
      <c r="G2133" s="20">
        <f>IFERROR(__xludf.DUMMYFUNCTION("""COMPUTED_VALUE"""),30.0)</f>
        <v>30</v>
      </c>
      <c r="H2133" s="20" t="str">
        <f>IFERROR(__xludf.DUMMYFUNCTION("""COMPUTED_VALUE"""),"Algorithms")</f>
        <v>Algorithms</v>
      </c>
      <c r="I2133" s="20">
        <f>IFERROR(__xludf.DUMMYFUNCTION("""COMPUTED_VALUE"""),0.31)</f>
        <v>0.31</v>
      </c>
      <c r="J2133" s="20">
        <f>IFERROR(__xludf.DUMMYFUNCTION("""COMPUTED_VALUE"""),2132.0)</f>
        <v>2132</v>
      </c>
      <c r="K2133" s="20" t="b">
        <f>IFERROR(__xludf.DUMMYFUNCTION("""COMPUTED_VALUE"""),FALSE)</f>
        <v>0</v>
      </c>
      <c r="L2133" s="20" t="str">
        <f>IFERROR(__xludf.DUMMYFUNCTION("""COMPUTED_VALUE"""),"Array;Greedy;Matrix;Prefix Sum;")</f>
        <v>Array;Greedy;Matrix;Prefix Sum;</v>
      </c>
      <c r="M2133" s="20" t="b">
        <f>IFERROR(__xludf.DUMMYFUNCTION("""COMPUTED_VALUE"""),FALSE)</f>
        <v>0</v>
      </c>
      <c r="N2133" s="20" t="b">
        <f>IFERROR(__xludf.DUMMYFUNCTION("""COMPUTED_VALUE"""),FALSE)</f>
        <v>0</v>
      </c>
      <c r="O2133" s="20">
        <f>IFERROR(__xludf.DUMMYFUNCTION("""COMPUTED_VALUE"""),31.0146158044757)</f>
        <v>31.0146158</v>
      </c>
      <c r="P2133" s="20">
        <f>IFERROR(__xludf.DUMMYFUNCTION("""COMPUTED_VALUE"""),5114.0)</f>
        <v>5114</v>
      </c>
      <c r="Q2133" s="20">
        <f>IFERROR(__xludf.DUMMYFUNCTION("""COMPUTED_VALUE"""),16489.0)</f>
        <v>16489</v>
      </c>
    </row>
    <row r="2134">
      <c r="A2134" s="20">
        <f>IFERROR(__xludf.DUMMYFUNCTION("""COMPUTED_VALUE"""),2254.0)</f>
        <v>2254</v>
      </c>
      <c r="B2134" s="20" t="str">
        <f>IFERROR(__xludf.DUMMYFUNCTION("""COMPUTED_VALUE"""),"Check if Every Row and Column Contains All Numbers")</f>
        <v>Check if Every Row and Column Contains All Numbers</v>
      </c>
      <c r="C2134" s="20" t="str">
        <f>IFERROR(__xludf.DUMMYFUNCTION("""COMPUTED_VALUE"""),"check-if-every-row-and-column-contains-all-numbers")</f>
        <v>check-if-every-row-and-column-contains-all-numbers</v>
      </c>
      <c r="D2134" s="20" t="b">
        <f>IFERROR(__xludf.DUMMYFUNCTION("""COMPUTED_VALUE"""),FALSE)</f>
        <v>0</v>
      </c>
      <c r="E2134" s="20" t="str">
        <f>IFERROR(__xludf.DUMMYFUNCTION("""COMPUTED_VALUE"""),"Easy")</f>
        <v>Easy</v>
      </c>
      <c r="F2134" s="20">
        <f>IFERROR(__xludf.DUMMYFUNCTION("""COMPUTED_VALUE"""),663.0)</f>
        <v>663</v>
      </c>
      <c r="G2134" s="20">
        <f>IFERROR(__xludf.DUMMYFUNCTION("""COMPUTED_VALUE"""),38.0)</f>
        <v>38</v>
      </c>
      <c r="H2134" s="20" t="str">
        <f>IFERROR(__xludf.DUMMYFUNCTION("""COMPUTED_VALUE"""),"Algorithms")</f>
        <v>Algorithms</v>
      </c>
      <c r="I2134" s="20">
        <f>IFERROR(__xludf.DUMMYFUNCTION("""COMPUTED_VALUE"""),0.529)</f>
        <v>0.529</v>
      </c>
      <c r="J2134" s="20">
        <f>IFERROR(__xludf.DUMMYFUNCTION("""COMPUTED_VALUE"""),2133.0)</f>
        <v>2133</v>
      </c>
      <c r="K2134" s="20" t="b">
        <f>IFERROR(__xludf.DUMMYFUNCTION("""COMPUTED_VALUE"""),FALSE)</f>
        <v>0</v>
      </c>
      <c r="L2134" s="20" t="str">
        <f>IFERROR(__xludf.DUMMYFUNCTION("""COMPUTED_VALUE"""),"Array;Hash Table;Matrix;")</f>
        <v>Array;Hash Table;Matrix;</v>
      </c>
      <c r="M2134" s="20" t="b">
        <f>IFERROR(__xludf.DUMMYFUNCTION("""COMPUTED_VALUE"""),FALSE)</f>
        <v>0</v>
      </c>
      <c r="N2134" s="20" t="b">
        <f>IFERROR(__xludf.DUMMYFUNCTION("""COMPUTED_VALUE"""),FALSE)</f>
        <v>0</v>
      </c>
      <c r="O2134" s="20">
        <f>IFERROR(__xludf.DUMMYFUNCTION("""COMPUTED_VALUE"""),52.8982948526648)</f>
        <v>52.89829485</v>
      </c>
      <c r="P2134" s="20">
        <f>IFERROR(__xludf.DUMMYFUNCTION("""COMPUTED_VALUE"""),46441.0)</f>
        <v>46441</v>
      </c>
      <c r="Q2134" s="20">
        <f>IFERROR(__xludf.DUMMYFUNCTION("""COMPUTED_VALUE"""),87793.0)</f>
        <v>87793</v>
      </c>
    </row>
    <row r="2135">
      <c r="A2135" s="20">
        <f>IFERROR(__xludf.DUMMYFUNCTION("""COMPUTED_VALUE"""),2255.0)</f>
        <v>2255</v>
      </c>
      <c r="B2135" s="20" t="str">
        <f>IFERROR(__xludf.DUMMYFUNCTION("""COMPUTED_VALUE"""),"Minimum Swaps to Group All 1's Together II")</f>
        <v>Minimum Swaps to Group All 1's Together II</v>
      </c>
      <c r="C2135" s="20" t="str">
        <f>IFERROR(__xludf.DUMMYFUNCTION("""COMPUTED_VALUE"""),"minimum-swaps-to-group-all-1s-together-ii")</f>
        <v>minimum-swaps-to-group-all-1s-together-ii</v>
      </c>
      <c r="D2135" s="20" t="b">
        <f>IFERROR(__xludf.DUMMYFUNCTION("""COMPUTED_VALUE"""),FALSE)</f>
        <v>0</v>
      </c>
      <c r="E2135" s="20" t="str">
        <f>IFERROR(__xludf.DUMMYFUNCTION("""COMPUTED_VALUE"""),"Medium")</f>
        <v>Medium</v>
      </c>
      <c r="F2135" s="20">
        <f>IFERROR(__xludf.DUMMYFUNCTION("""COMPUTED_VALUE"""),826.0)</f>
        <v>826</v>
      </c>
      <c r="G2135" s="20">
        <f>IFERROR(__xludf.DUMMYFUNCTION("""COMPUTED_VALUE"""),12.0)</f>
        <v>12</v>
      </c>
      <c r="H2135" s="20" t="str">
        <f>IFERROR(__xludf.DUMMYFUNCTION("""COMPUTED_VALUE"""),"Algorithms")</f>
        <v>Algorithms</v>
      </c>
      <c r="I2135" s="20">
        <f>IFERROR(__xludf.DUMMYFUNCTION("""COMPUTED_VALUE"""),0.509)</f>
        <v>0.509</v>
      </c>
      <c r="J2135" s="20">
        <f>IFERROR(__xludf.DUMMYFUNCTION("""COMPUTED_VALUE"""),2134.0)</f>
        <v>2134</v>
      </c>
      <c r="K2135" s="20" t="b">
        <f>IFERROR(__xludf.DUMMYFUNCTION("""COMPUTED_VALUE"""),FALSE)</f>
        <v>0</v>
      </c>
      <c r="L2135" s="20" t="str">
        <f>IFERROR(__xludf.DUMMYFUNCTION("""COMPUTED_VALUE"""),"Array;Sliding Window;")</f>
        <v>Array;Sliding Window;</v>
      </c>
      <c r="M2135" s="20" t="b">
        <f>IFERROR(__xludf.DUMMYFUNCTION("""COMPUTED_VALUE"""),FALSE)</f>
        <v>0</v>
      </c>
      <c r="N2135" s="20" t="b">
        <f>IFERROR(__xludf.DUMMYFUNCTION("""COMPUTED_VALUE"""),FALSE)</f>
        <v>0</v>
      </c>
      <c r="O2135" s="20">
        <f>IFERROR(__xludf.DUMMYFUNCTION("""COMPUTED_VALUE"""),50.9011078776739)</f>
        <v>50.90110788</v>
      </c>
      <c r="P2135" s="20">
        <f>IFERROR(__xludf.DUMMYFUNCTION("""COMPUTED_VALUE"""),19939.0)</f>
        <v>19939</v>
      </c>
      <c r="Q2135" s="20">
        <f>IFERROR(__xludf.DUMMYFUNCTION("""COMPUTED_VALUE"""),39173.0)</f>
        <v>39173</v>
      </c>
    </row>
    <row r="2136">
      <c r="A2136" s="20">
        <f>IFERROR(__xludf.DUMMYFUNCTION("""COMPUTED_VALUE"""),2256.0)</f>
        <v>2256</v>
      </c>
      <c r="B2136" s="20" t="str">
        <f>IFERROR(__xludf.DUMMYFUNCTION("""COMPUTED_VALUE"""),"Count Words Obtained After Adding a Letter")</f>
        <v>Count Words Obtained After Adding a Letter</v>
      </c>
      <c r="C2136" s="20" t="str">
        <f>IFERROR(__xludf.DUMMYFUNCTION("""COMPUTED_VALUE"""),"count-words-obtained-after-adding-a-letter")</f>
        <v>count-words-obtained-after-adding-a-letter</v>
      </c>
      <c r="D2136" s="20" t="b">
        <f>IFERROR(__xludf.DUMMYFUNCTION("""COMPUTED_VALUE"""),FALSE)</f>
        <v>0</v>
      </c>
      <c r="E2136" s="20" t="str">
        <f>IFERROR(__xludf.DUMMYFUNCTION("""COMPUTED_VALUE"""),"Medium")</f>
        <v>Medium</v>
      </c>
      <c r="F2136" s="20">
        <f>IFERROR(__xludf.DUMMYFUNCTION("""COMPUTED_VALUE"""),557.0)</f>
        <v>557</v>
      </c>
      <c r="G2136" s="20">
        <f>IFERROR(__xludf.DUMMYFUNCTION("""COMPUTED_VALUE"""),129.0)</f>
        <v>129</v>
      </c>
      <c r="H2136" s="20" t="str">
        <f>IFERROR(__xludf.DUMMYFUNCTION("""COMPUTED_VALUE"""),"Algorithms")</f>
        <v>Algorithms</v>
      </c>
      <c r="I2136" s="20">
        <f>IFERROR(__xludf.DUMMYFUNCTION("""COMPUTED_VALUE"""),0.428)</f>
        <v>0.428</v>
      </c>
      <c r="J2136" s="20">
        <f>IFERROR(__xludf.DUMMYFUNCTION("""COMPUTED_VALUE"""),2135.0)</f>
        <v>2135</v>
      </c>
      <c r="K2136" s="20" t="b">
        <f>IFERROR(__xludf.DUMMYFUNCTION("""COMPUTED_VALUE"""),FALSE)</f>
        <v>0</v>
      </c>
      <c r="L2136" s="20" t="str">
        <f>IFERROR(__xludf.DUMMYFUNCTION("""COMPUTED_VALUE"""),"Array;Hash Table;String;Bit Manipulation;Sorting;")</f>
        <v>Array;Hash Table;String;Bit Manipulation;Sorting;</v>
      </c>
      <c r="M2136" s="20" t="b">
        <f>IFERROR(__xludf.DUMMYFUNCTION("""COMPUTED_VALUE"""),FALSE)</f>
        <v>0</v>
      </c>
      <c r="N2136" s="20" t="b">
        <f>IFERROR(__xludf.DUMMYFUNCTION("""COMPUTED_VALUE"""),FALSE)</f>
        <v>0</v>
      </c>
      <c r="O2136" s="20">
        <f>IFERROR(__xludf.DUMMYFUNCTION("""COMPUTED_VALUE"""),42.8082037412666)</f>
        <v>42.80820374</v>
      </c>
      <c r="P2136" s="20">
        <f>IFERROR(__xludf.DUMMYFUNCTION("""COMPUTED_VALUE"""),28491.0)</f>
        <v>28491</v>
      </c>
      <c r="Q2136" s="20">
        <f>IFERROR(__xludf.DUMMYFUNCTION("""COMPUTED_VALUE"""),66555.0)</f>
        <v>66555</v>
      </c>
    </row>
    <row r="2137">
      <c r="A2137" s="20">
        <f>IFERROR(__xludf.DUMMYFUNCTION("""COMPUTED_VALUE"""),2257.0)</f>
        <v>2257</v>
      </c>
      <c r="B2137" s="20" t="str">
        <f>IFERROR(__xludf.DUMMYFUNCTION("""COMPUTED_VALUE"""),"Earliest Possible Day of Full Bloom")</f>
        <v>Earliest Possible Day of Full Bloom</v>
      </c>
      <c r="C2137" s="20" t="str">
        <f>IFERROR(__xludf.DUMMYFUNCTION("""COMPUTED_VALUE"""),"earliest-possible-day-of-full-bloom")</f>
        <v>earliest-possible-day-of-full-bloom</v>
      </c>
      <c r="D2137" s="20" t="b">
        <f>IFERROR(__xludf.DUMMYFUNCTION("""COMPUTED_VALUE"""),FALSE)</f>
        <v>0</v>
      </c>
      <c r="E2137" s="20" t="str">
        <f>IFERROR(__xludf.DUMMYFUNCTION("""COMPUTED_VALUE"""),"Hard")</f>
        <v>Hard</v>
      </c>
      <c r="F2137" s="20">
        <f>IFERROR(__xludf.DUMMYFUNCTION("""COMPUTED_VALUE"""),1332.0)</f>
        <v>1332</v>
      </c>
      <c r="G2137" s="20">
        <f>IFERROR(__xludf.DUMMYFUNCTION("""COMPUTED_VALUE"""),73.0)</f>
        <v>73</v>
      </c>
      <c r="H2137" s="20" t="str">
        <f>IFERROR(__xludf.DUMMYFUNCTION("""COMPUTED_VALUE"""),"Algorithms")</f>
        <v>Algorithms</v>
      </c>
      <c r="I2137" s="20">
        <f>IFERROR(__xludf.DUMMYFUNCTION("""COMPUTED_VALUE"""),0.745)</f>
        <v>0.745</v>
      </c>
      <c r="J2137" s="20">
        <f>IFERROR(__xludf.DUMMYFUNCTION("""COMPUTED_VALUE"""),2136.0)</f>
        <v>2136</v>
      </c>
      <c r="K2137" s="20" t="b">
        <f>IFERROR(__xludf.DUMMYFUNCTION("""COMPUTED_VALUE"""),FALSE)</f>
        <v>0</v>
      </c>
      <c r="L2137" s="20" t="str">
        <f>IFERROR(__xludf.DUMMYFUNCTION("""COMPUTED_VALUE"""),"Array;Greedy;Sorting;")</f>
        <v>Array;Greedy;Sorting;</v>
      </c>
      <c r="M2137" s="20" t="b">
        <f>IFERROR(__xludf.DUMMYFUNCTION("""COMPUTED_VALUE"""),TRUE)</f>
        <v>1</v>
      </c>
      <c r="N2137" s="20" t="b">
        <f>IFERROR(__xludf.DUMMYFUNCTION("""COMPUTED_VALUE"""),FALSE)</f>
        <v>0</v>
      </c>
      <c r="O2137" s="20">
        <f>IFERROR(__xludf.DUMMYFUNCTION("""COMPUTED_VALUE"""),74.5302470983404)</f>
        <v>74.5302471</v>
      </c>
      <c r="P2137" s="20">
        <f>IFERROR(__xludf.DUMMYFUNCTION("""COMPUTED_VALUE"""),44821.0)</f>
        <v>44821</v>
      </c>
      <c r="Q2137" s="20">
        <f>IFERROR(__xludf.DUMMYFUNCTION("""COMPUTED_VALUE"""),60138.0)</f>
        <v>60138</v>
      </c>
    </row>
    <row r="2138">
      <c r="A2138" s="20">
        <f>IFERROR(__xludf.DUMMYFUNCTION("""COMPUTED_VALUE"""),2273.0)</f>
        <v>2273</v>
      </c>
      <c r="B2138" s="20" t="str">
        <f>IFERROR(__xludf.DUMMYFUNCTION("""COMPUTED_VALUE"""),"Pour Water Between Buckets to Make Water Levels Equal")</f>
        <v>Pour Water Between Buckets to Make Water Levels Equal</v>
      </c>
      <c r="C2138" s="20" t="str">
        <f>IFERROR(__xludf.DUMMYFUNCTION("""COMPUTED_VALUE"""),"pour-water-between-buckets-to-make-water-levels-equal")</f>
        <v>pour-water-between-buckets-to-make-water-levels-equal</v>
      </c>
      <c r="D2138" s="20" t="b">
        <f>IFERROR(__xludf.DUMMYFUNCTION("""COMPUTED_VALUE"""),TRUE)</f>
        <v>1</v>
      </c>
      <c r="E2138" s="20" t="str">
        <f>IFERROR(__xludf.DUMMYFUNCTION("""COMPUTED_VALUE"""),"Medium")</f>
        <v>Medium</v>
      </c>
      <c r="F2138" s="20">
        <f>IFERROR(__xludf.DUMMYFUNCTION("""COMPUTED_VALUE"""),73.0)</f>
        <v>73</v>
      </c>
      <c r="G2138" s="20">
        <f>IFERROR(__xludf.DUMMYFUNCTION("""COMPUTED_VALUE"""),5.0)</f>
        <v>5</v>
      </c>
      <c r="H2138" s="20" t="str">
        <f>IFERROR(__xludf.DUMMYFUNCTION("""COMPUTED_VALUE"""),"Algorithms")</f>
        <v>Algorithms</v>
      </c>
      <c r="I2138" s="20">
        <f>IFERROR(__xludf.DUMMYFUNCTION("""COMPUTED_VALUE"""),0.673)</f>
        <v>0.673</v>
      </c>
      <c r="J2138" s="20">
        <f>IFERROR(__xludf.DUMMYFUNCTION("""COMPUTED_VALUE"""),2137.0)</f>
        <v>2137</v>
      </c>
      <c r="K2138" s="20" t="b">
        <f>IFERROR(__xludf.DUMMYFUNCTION("""COMPUTED_VALUE"""),TRUE)</f>
        <v>1</v>
      </c>
      <c r="L2138" s="20" t="str">
        <f>IFERROR(__xludf.DUMMYFUNCTION("""COMPUTED_VALUE"""),"Array;Binary Search;")</f>
        <v>Array;Binary Search;</v>
      </c>
      <c r="M2138" s="20" t="b">
        <f>IFERROR(__xludf.DUMMYFUNCTION("""COMPUTED_VALUE"""),FALSE)</f>
        <v>0</v>
      </c>
      <c r="N2138" s="20" t="b">
        <f>IFERROR(__xludf.DUMMYFUNCTION("""COMPUTED_VALUE"""),FALSE)</f>
        <v>0</v>
      </c>
      <c r="O2138" s="20">
        <f>IFERROR(__xludf.DUMMYFUNCTION("""COMPUTED_VALUE"""),67.286084701815)</f>
        <v>67.2860847</v>
      </c>
      <c r="P2138" s="20">
        <f>IFERROR(__xludf.DUMMYFUNCTION("""COMPUTED_VALUE"""),1557.0)</f>
        <v>1557</v>
      </c>
      <c r="Q2138" s="20">
        <f>IFERROR(__xludf.DUMMYFUNCTION("""COMPUTED_VALUE"""),2314.0)</f>
        <v>2314</v>
      </c>
    </row>
    <row r="2139">
      <c r="A2139" s="20">
        <f>IFERROR(__xludf.DUMMYFUNCTION("""COMPUTED_VALUE"""),2260.0)</f>
        <v>2260</v>
      </c>
      <c r="B2139" s="20" t="str">
        <f>IFERROR(__xludf.DUMMYFUNCTION("""COMPUTED_VALUE"""),"Divide a String Into Groups of Size k")</f>
        <v>Divide a String Into Groups of Size k</v>
      </c>
      <c r="C2139" s="20" t="str">
        <f>IFERROR(__xludf.DUMMYFUNCTION("""COMPUTED_VALUE"""),"divide-a-string-into-groups-of-size-k")</f>
        <v>divide-a-string-into-groups-of-size-k</v>
      </c>
      <c r="D2139" s="20" t="b">
        <f>IFERROR(__xludf.DUMMYFUNCTION("""COMPUTED_VALUE"""),FALSE)</f>
        <v>0</v>
      </c>
      <c r="E2139" s="20" t="str">
        <f>IFERROR(__xludf.DUMMYFUNCTION("""COMPUTED_VALUE"""),"Easy")</f>
        <v>Easy</v>
      </c>
      <c r="F2139" s="20">
        <f>IFERROR(__xludf.DUMMYFUNCTION("""COMPUTED_VALUE"""),338.0)</f>
        <v>338</v>
      </c>
      <c r="G2139" s="20">
        <f>IFERROR(__xludf.DUMMYFUNCTION("""COMPUTED_VALUE"""),14.0)</f>
        <v>14</v>
      </c>
      <c r="H2139" s="20" t="str">
        <f>IFERROR(__xludf.DUMMYFUNCTION("""COMPUTED_VALUE"""),"Algorithms")</f>
        <v>Algorithms</v>
      </c>
      <c r="I2139" s="20">
        <f>IFERROR(__xludf.DUMMYFUNCTION("""COMPUTED_VALUE"""),0.652)</f>
        <v>0.652</v>
      </c>
      <c r="J2139" s="20">
        <f>IFERROR(__xludf.DUMMYFUNCTION("""COMPUTED_VALUE"""),2138.0)</f>
        <v>2138</v>
      </c>
      <c r="K2139" s="20" t="b">
        <f>IFERROR(__xludf.DUMMYFUNCTION("""COMPUTED_VALUE"""),FALSE)</f>
        <v>0</v>
      </c>
      <c r="L2139" s="20" t="str">
        <f>IFERROR(__xludf.DUMMYFUNCTION("""COMPUTED_VALUE"""),"String;Simulation;")</f>
        <v>String;Simulation;</v>
      </c>
      <c r="M2139" s="20" t="b">
        <f>IFERROR(__xludf.DUMMYFUNCTION("""COMPUTED_VALUE"""),FALSE)</f>
        <v>0</v>
      </c>
      <c r="N2139" s="20" t="b">
        <f>IFERROR(__xludf.DUMMYFUNCTION("""COMPUTED_VALUE"""),FALSE)</f>
        <v>0</v>
      </c>
      <c r="O2139" s="20">
        <f>IFERROR(__xludf.DUMMYFUNCTION("""COMPUTED_VALUE"""),65.2153004588534)</f>
        <v>65.21530046</v>
      </c>
      <c r="P2139" s="20">
        <f>IFERROR(__xludf.DUMMYFUNCTION("""COMPUTED_VALUE"""),32547.0)</f>
        <v>32547</v>
      </c>
      <c r="Q2139" s="20">
        <f>IFERROR(__xludf.DUMMYFUNCTION("""COMPUTED_VALUE"""),49907.0)</f>
        <v>49907</v>
      </c>
    </row>
    <row r="2140">
      <c r="A2140" s="20">
        <f>IFERROR(__xludf.DUMMYFUNCTION("""COMPUTED_VALUE"""),1303.0)</f>
        <v>1303</v>
      </c>
      <c r="B2140" s="20" t="str">
        <f>IFERROR(__xludf.DUMMYFUNCTION("""COMPUTED_VALUE"""),"Minimum Moves to Reach Target Score")</f>
        <v>Minimum Moves to Reach Target Score</v>
      </c>
      <c r="C2140" s="20" t="str">
        <f>IFERROR(__xludf.DUMMYFUNCTION("""COMPUTED_VALUE"""),"minimum-moves-to-reach-target-score")</f>
        <v>minimum-moves-to-reach-target-score</v>
      </c>
      <c r="D2140" s="20" t="b">
        <f>IFERROR(__xludf.DUMMYFUNCTION("""COMPUTED_VALUE"""),FALSE)</f>
        <v>0</v>
      </c>
      <c r="E2140" s="20" t="str">
        <f>IFERROR(__xludf.DUMMYFUNCTION("""COMPUTED_VALUE"""),"Medium")</f>
        <v>Medium</v>
      </c>
      <c r="F2140" s="20">
        <f>IFERROR(__xludf.DUMMYFUNCTION("""COMPUTED_VALUE"""),727.0)</f>
        <v>727</v>
      </c>
      <c r="G2140" s="20">
        <f>IFERROR(__xludf.DUMMYFUNCTION("""COMPUTED_VALUE"""),13.0)</f>
        <v>13</v>
      </c>
      <c r="H2140" s="20" t="str">
        <f>IFERROR(__xludf.DUMMYFUNCTION("""COMPUTED_VALUE"""),"Algorithms")</f>
        <v>Algorithms</v>
      </c>
      <c r="I2140" s="20">
        <f>IFERROR(__xludf.DUMMYFUNCTION("""COMPUTED_VALUE"""),0.484)</f>
        <v>0.484</v>
      </c>
      <c r="J2140" s="20">
        <f>IFERROR(__xludf.DUMMYFUNCTION("""COMPUTED_VALUE"""),2139.0)</f>
        <v>2139</v>
      </c>
      <c r="K2140" s="20" t="b">
        <f>IFERROR(__xludf.DUMMYFUNCTION("""COMPUTED_VALUE"""),FALSE)</f>
        <v>0</v>
      </c>
      <c r="L2140" s="20" t="str">
        <f>IFERROR(__xludf.DUMMYFUNCTION("""COMPUTED_VALUE"""),"Math;Greedy;")</f>
        <v>Math;Greedy;</v>
      </c>
      <c r="M2140" s="20" t="b">
        <f>IFERROR(__xludf.DUMMYFUNCTION("""COMPUTED_VALUE"""),FALSE)</f>
        <v>0</v>
      </c>
      <c r="N2140" s="20" t="b">
        <f>IFERROR(__xludf.DUMMYFUNCTION("""COMPUTED_VALUE"""),FALSE)</f>
        <v>0</v>
      </c>
      <c r="O2140" s="20">
        <f>IFERROR(__xludf.DUMMYFUNCTION("""COMPUTED_VALUE"""),48.3946199801923)</f>
        <v>48.39461998</v>
      </c>
      <c r="P2140" s="20">
        <f>IFERROR(__xludf.DUMMYFUNCTION("""COMPUTED_VALUE"""),30294.0)</f>
        <v>30294</v>
      </c>
      <c r="Q2140" s="20">
        <f>IFERROR(__xludf.DUMMYFUNCTION("""COMPUTED_VALUE"""),62599.0)</f>
        <v>62599</v>
      </c>
    </row>
    <row r="2141">
      <c r="A2141" s="20">
        <f>IFERROR(__xludf.DUMMYFUNCTION("""COMPUTED_VALUE"""),2262.0)</f>
        <v>2262</v>
      </c>
      <c r="B2141" s="20" t="str">
        <f>IFERROR(__xludf.DUMMYFUNCTION("""COMPUTED_VALUE"""),"Solving Questions With Brainpower")</f>
        <v>Solving Questions With Brainpower</v>
      </c>
      <c r="C2141" s="20" t="str">
        <f>IFERROR(__xludf.DUMMYFUNCTION("""COMPUTED_VALUE"""),"solving-questions-with-brainpower")</f>
        <v>solving-questions-with-brainpower</v>
      </c>
      <c r="D2141" s="20" t="b">
        <f>IFERROR(__xludf.DUMMYFUNCTION("""COMPUTED_VALUE"""),FALSE)</f>
        <v>0</v>
      </c>
      <c r="E2141" s="20" t="str">
        <f>IFERROR(__xludf.DUMMYFUNCTION("""COMPUTED_VALUE"""),"Medium")</f>
        <v>Medium</v>
      </c>
      <c r="F2141" s="20">
        <f>IFERROR(__xludf.DUMMYFUNCTION("""COMPUTED_VALUE"""),712.0)</f>
        <v>712</v>
      </c>
      <c r="G2141" s="20">
        <f>IFERROR(__xludf.DUMMYFUNCTION("""COMPUTED_VALUE"""),14.0)</f>
        <v>14</v>
      </c>
      <c r="H2141" s="20" t="str">
        <f>IFERROR(__xludf.DUMMYFUNCTION("""COMPUTED_VALUE"""),"Algorithms")</f>
        <v>Algorithms</v>
      </c>
      <c r="I2141" s="20">
        <f>IFERROR(__xludf.DUMMYFUNCTION("""COMPUTED_VALUE"""),0.461)</f>
        <v>0.461</v>
      </c>
      <c r="J2141" s="20">
        <f>IFERROR(__xludf.DUMMYFUNCTION("""COMPUTED_VALUE"""),2140.0)</f>
        <v>2140</v>
      </c>
      <c r="K2141" s="20" t="b">
        <f>IFERROR(__xludf.DUMMYFUNCTION("""COMPUTED_VALUE"""),FALSE)</f>
        <v>0</v>
      </c>
      <c r="L2141" s="20" t="str">
        <f>IFERROR(__xludf.DUMMYFUNCTION("""COMPUTED_VALUE"""),"Array;Dynamic Programming;")</f>
        <v>Array;Dynamic Programming;</v>
      </c>
      <c r="M2141" s="20" t="b">
        <f>IFERROR(__xludf.DUMMYFUNCTION("""COMPUTED_VALUE"""),FALSE)</f>
        <v>0</v>
      </c>
      <c r="N2141" s="20" t="b">
        <f>IFERROR(__xludf.DUMMYFUNCTION("""COMPUTED_VALUE"""),FALSE)</f>
        <v>0</v>
      </c>
      <c r="O2141" s="20">
        <f>IFERROR(__xludf.DUMMYFUNCTION("""COMPUTED_VALUE"""),46.10546875)</f>
        <v>46.10546875</v>
      </c>
      <c r="P2141" s="20">
        <f>IFERROR(__xludf.DUMMYFUNCTION("""COMPUTED_VALUE"""),23606.0)</f>
        <v>23606</v>
      </c>
      <c r="Q2141" s="20">
        <f>IFERROR(__xludf.DUMMYFUNCTION("""COMPUTED_VALUE"""),51198.0)</f>
        <v>51198</v>
      </c>
    </row>
    <row r="2142">
      <c r="A2142" s="20">
        <f>IFERROR(__xludf.DUMMYFUNCTION("""COMPUTED_VALUE"""),2263.0)</f>
        <v>2263</v>
      </c>
      <c r="B2142" s="20" t="str">
        <f>IFERROR(__xludf.DUMMYFUNCTION("""COMPUTED_VALUE"""),"Maximum Running Time of N Computers")</f>
        <v>Maximum Running Time of N Computers</v>
      </c>
      <c r="C2142" s="20" t="str">
        <f>IFERROR(__xludf.DUMMYFUNCTION("""COMPUTED_VALUE"""),"maximum-running-time-of-n-computers")</f>
        <v>maximum-running-time-of-n-computers</v>
      </c>
      <c r="D2142" s="20" t="b">
        <f>IFERROR(__xludf.DUMMYFUNCTION("""COMPUTED_VALUE"""),FALSE)</f>
        <v>0</v>
      </c>
      <c r="E2142" s="20" t="str">
        <f>IFERROR(__xludf.DUMMYFUNCTION("""COMPUTED_VALUE"""),"Hard")</f>
        <v>Hard</v>
      </c>
      <c r="F2142" s="20">
        <f>IFERROR(__xludf.DUMMYFUNCTION("""COMPUTED_VALUE"""),575.0)</f>
        <v>575</v>
      </c>
      <c r="G2142" s="20">
        <f>IFERROR(__xludf.DUMMYFUNCTION("""COMPUTED_VALUE"""),13.0)</f>
        <v>13</v>
      </c>
      <c r="H2142" s="20" t="str">
        <f>IFERROR(__xludf.DUMMYFUNCTION("""COMPUTED_VALUE"""),"Algorithms")</f>
        <v>Algorithms</v>
      </c>
      <c r="I2142" s="20">
        <f>IFERROR(__xludf.DUMMYFUNCTION("""COMPUTED_VALUE"""),0.39)</f>
        <v>0.39</v>
      </c>
      <c r="J2142" s="20">
        <f>IFERROR(__xludf.DUMMYFUNCTION("""COMPUTED_VALUE"""),2141.0)</f>
        <v>2141</v>
      </c>
      <c r="K2142" s="20" t="b">
        <f>IFERROR(__xludf.DUMMYFUNCTION("""COMPUTED_VALUE"""),FALSE)</f>
        <v>0</v>
      </c>
      <c r="L2142" s="20" t="str">
        <f>IFERROR(__xludf.DUMMYFUNCTION("""COMPUTED_VALUE"""),"Array;Binary Search;Greedy;Sorting;")</f>
        <v>Array;Binary Search;Greedy;Sorting;</v>
      </c>
      <c r="M2142" s="20" t="b">
        <f>IFERROR(__xludf.DUMMYFUNCTION("""COMPUTED_VALUE"""),FALSE)</f>
        <v>0</v>
      </c>
      <c r="N2142" s="20" t="b">
        <f>IFERROR(__xludf.DUMMYFUNCTION("""COMPUTED_VALUE"""),FALSE)</f>
        <v>0</v>
      </c>
      <c r="O2142" s="20">
        <f>IFERROR(__xludf.DUMMYFUNCTION("""COMPUTED_VALUE"""),39.0308699719363)</f>
        <v>39.03086997</v>
      </c>
      <c r="P2142" s="20">
        <f>IFERROR(__xludf.DUMMYFUNCTION("""COMPUTED_VALUE"""),10431.0)</f>
        <v>10431</v>
      </c>
      <c r="Q2142" s="20">
        <f>IFERROR(__xludf.DUMMYFUNCTION("""COMPUTED_VALUE"""),26725.0)</f>
        <v>26725</v>
      </c>
    </row>
    <row r="2143">
      <c r="A2143" s="20">
        <f>IFERROR(__xludf.DUMMYFUNCTION("""COMPUTED_VALUE"""),2281.0)</f>
        <v>2281</v>
      </c>
      <c r="B2143" s="20" t="str">
        <f>IFERROR(__xludf.DUMMYFUNCTION("""COMPUTED_VALUE"""),"The Number of Passengers in Each Bus I")</f>
        <v>The Number of Passengers in Each Bus I</v>
      </c>
      <c r="C2143" s="20" t="str">
        <f>IFERROR(__xludf.DUMMYFUNCTION("""COMPUTED_VALUE"""),"the-number-of-passengers-in-each-bus-i")</f>
        <v>the-number-of-passengers-in-each-bus-i</v>
      </c>
      <c r="D2143" s="20" t="b">
        <f>IFERROR(__xludf.DUMMYFUNCTION("""COMPUTED_VALUE"""),TRUE)</f>
        <v>1</v>
      </c>
      <c r="E2143" s="20" t="str">
        <f>IFERROR(__xludf.DUMMYFUNCTION("""COMPUTED_VALUE"""),"Medium")</f>
        <v>Medium</v>
      </c>
      <c r="F2143" s="20">
        <f>IFERROR(__xludf.DUMMYFUNCTION("""COMPUTED_VALUE"""),67.0)</f>
        <v>67</v>
      </c>
      <c r="G2143" s="20">
        <f>IFERROR(__xludf.DUMMYFUNCTION("""COMPUTED_VALUE"""),8.0)</f>
        <v>8</v>
      </c>
      <c r="H2143" s="20" t="str">
        <f>IFERROR(__xludf.DUMMYFUNCTION("""COMPUTED_VALUE"""),"Database")</f>
        <v>Database</v>
      </c>
      <c r="I2143" s="20">
        <f>IFERROR(__xludf.DUMMYFUNCTION("""COMPUTED_VALUE"""),0.51)</f>
        <v>0.51</v>
      </c>
      <c r="J2143" s="20">
        <f>IFERROR(__xludf.DUMMYFUNCTION("""COMPUTED_VALUE"""),2142.0)</f>
        <v>2142</v>
      </c>
      <c r="K2143" s="20" t="b">
        <f>IFERROR(__xludf.DUMMYFUNCTION("""COMPUTED_VALUE"""),TRUE)</f>
        <v>1</v>
      </c>
      <c r="L2143" s="20" t="str">
        <f>IFERROR(__xludf.DUMMYFUNCTION("""COMPUTED_VALUE"""),"Database;")</f>
        <v>Database;</v>
      </c>
      <c r="M2143" s="20" t="b">
        <f>IFERROR(__xludf.DUMMYFUNCTION("""COMPUTED_VALUE"""),FALSE)</f>
        <v>0</v>
      </c>
      <c r="N2143" s="20" t="b">
        <f>IFERROR(__xludf.DUMMYFUNCTION("""COMPUTED_VALUE"""),FALSE)</f>
        <v>0</v>
      </c>
      <c r="O2143" s="20">
        <f>IFERROR(__xludf.DUMMYFUNCTION("""COMPUTED_VALUE"""),50.9881815473234)</f>
        <v>50.98818155</v>
      </c>
      <c r="P2143" s="20">
        <f>IFERROR(__xludf.DUMMYFUNCTION("""COMPUTED_VALUE"""),5134.0)</f>
        <v>5134</v>
      </c>
      <c r="Q2143" s="20">
        <f>IFERROR(__xludf.DUMMYFUNCTION("""COMPUTED_VALUE"""),10069.0)</f>
        <v>10069</v>
      </c>
    </row>
    <row r="2144">
      <c r="A2144" s="20">
        <f>IFERROR(__xludf.DUMMYFUNCTION("""COMPUTED_VALUE"""),2282.0)</f>
        <v>2282</v>
      </c>
      <c r="B2144" s="20" t="str">
        <f>IFERROR(__xludf.DUMMYFUNCTION("""COMPUTED_VALUE"""),"Choose Numbers From Two Arrays in Range")</f>
        <v>Choose Numbers From Two Arrays in Range</v>
      </c>
      <c r="C2144" s="20" t="str">
        <f>IFERROR(__xludf.DUMMYFUNCTION("""COMPUTED_VALUE"""),"choose-numbers-from-two-arrays-in-range")</f>
        <v>choose-numbers-from-two-arrays-in-range</v>
      </c>
      <c r="D2144" s="20" t="b">
        <f>IFERROR(__xludf.DUMMYFUNCTION("""COMPUTED_VALUE"""),TRUE)</f>
        <v>1</v>
      </c>
      <c r="E2144" s="20" t="str">
        <f>IFERROR(__xludf.DUMMYFUNCTION("""COMPUTED_VALUE"""),"Hard")</f>
        <v>Hard</v>
      </c>
      <c r="F2144" s="20">
        <f>IFERROR(__xludf.DUMMYFUNCTION("""COMPUTED_VALUE"""),25.0)</f>
        <v>25</v>
      </c>
      <c r="G2144" s="20">
        <f>IFERROR(__xludf.DUMMYFUNCTION("""COMPUTED_VALUE"""),4.0)</f>
        <v>4</v>
      </c>
      <c r="H2144" s="20" t="str">
        <f>IFERROR(__xludf.DUMMYFUNCTION("""COMPUTED_VALUE"""),"Algorithms")</f>
        <v>Algorithms</v>
      </c>
      <c r="I2144" s="20">
        <f>IFERROR(__xludf.DUMMYFUNCTION("""COMPUTED_VALUE"""),0.528)</f>
        <v>0.528</v>
      </c>
      <c r="J2144" s="20">
        <f>IFERROR(__xludf.DUMMYFUNCTION("""COMPUTED_VALUE"""),2143.0)</f>
        <v>2143</v>
      </c>
      <c r="K2144" s="20" t="b">
        <f>IFERROR(__xludf.DUMMYFUNCTION("""COMPUTED_VALUE"""),TRUE)</f>
        <v>1</v>
      </c>
      <c r="L2144" s="20" t="str">
        <f>IFERROR(__xludf.DUMMYFUNCTION("""COMPUTED_VALUE"""),"Array;Dynamic Programming;")</f>
        <v>Array;Dynamic Programming;</v>
      </c>
      <c r="M2144" s="20" t="b">
        <f>IFERROR(__xludf.DUMMYFUNCTION("""COMPUTED_VALUE"""),FALSE)</f>
        <v>0</v>
      </c>
      <c r="N2144" s="20" t="b">
        <f>IFERROR(__xludf.DUMMYFUNCTION("""COMPUTED_VALUE"""),FALSE)</f>
        <v>0</v>
      </c>
      <c r="O2144" s="20">
        <f>IFERROR(__xludf.DUMMYFUNCTION("""COMPUTED_VALUE"""),52.7757216876387)</f>
        <v>52.77572169</v>
      </c>
      <c r="P2144" s="20">
        <f>IFERROR(__xludf.DUMMYFUNCTION("""COMPUTED_VALUE"""),713.0)</f>
        <v>713</v>
      </c>
      <c r="Q2144" s="20">
        <f>IFERROR(__xludf.DUMMYFUNCTION("""COMPUTED_VALUE"""),1351.0)</f>
        <v>1351</v>
      </c>
    </row>
    <row r="2145">
      <c r="A2145" s="20">
        <f>IFERROR(__xludf.DUMMYFUNCTION("""COMPUTED_VALUE"""),2248.0)</f>
        <v>2248</v>
      </c>
      <c r="B2145" s="20" t="str">
        <f>IFERROR(__xludf.DUMMYFUNCTION("""COMPUTED_VALUE"""),"Minimum Cost of Buying Candies With Discount")</f>
        <v>Minimum Cost of Buying Candies With Discount</v>
      </c>
      <c r="C2145" s="20" t="str">
        <f>IFERROR(__xludf.DUMMYFUNCTION("""COMPUTED_VALUE"""),"minimum-cost-of-buying-candies-with-discount")</f>
        <v>minimum-cost-of-buying-candies-with-discount</v>
      </c>
      <c r="D2145" s="20" t="b">
        <f>IFERROR(__xludf.DUMMYFUNCTION("""COMPUTED_VALUE"""),FALSE)</f>
        <v>0</v>
      </c>
      <c r="E2145" s="20" t="str">
        <f>IFERROR(__xludf.DUMMYFUNCTION("""COMPUTED_VALUE"""),"Easy")</f>
        <v>Easy</v>
      </c>
      <c r="F2145" s="20">
        <f>IFERROR(__xludf.DUMMYFUNCTION("""COMPUTED_VALUE"""),391.0)</f>
        <v>391</v>
      </c>
      <c r="G2145" s="20">
        <f>IFERROR(__xludf.DUMMYFUNCTION("""COMPUTED_VALUE"""),12.0)</f>
        <v>12</v>
      </c>
      <c r="H2145" s="20" t="str">
        <f>IFERROR(__xludf.DUMMYFUNCTION("""COMPUTED_VALUE"""),"Algorithms")</f>
        <v>Algorithms</v>
      </c>
      <c r="I2145" s="20">
        <f>IFERROR(__xludf.DUMMYFUNCTION("""COMPUTED_VALUE"""),0.61)</f>
        <v>0.61</v>
      </c>
      <c r="J2145" s="20">
        <f>IFERROR(__xludf.DUMMYFUNCTION("""COMPUTED_VALUE"""),2144.0)</f>
        <v>2144</v>
      </c>
      <c r="K2145" s="20" t="b">
        <f>IFERROR(__xludf.DUMMYFUNCTION("""COMPUTED_VALUE"""),FALSE)</f>
        <v>0</v>
      </c>
      <c r="L2145" s="20" t="str">
        <f>IFERROR(__xludf.DUMMYFUNCTION("""COMPUTED_VALUE"""),"Array;Greedy;Sorting;")</f>
        <v>Array;Greedy;Sorting;</v>
      </c>
      <c r="M2145" s="20" t="b">
        <f>IFERROR(__xludf.DUMMYFUNCTION("""COMPUTED_VALUE"""),FALSE)</f>
        <v>0</v>
      </c>
      <c r="N2145" s="20" t="b">
        <f>IFERROR(__xludf.DUMMYFUNCTION("""COMPUTED_VALUE"""),FALSE)</f>
        <v>0</v>
      </c>
      <c r="O2145" s="20">
        <f>IFERROR(__xludf.DUMMYFUNCTION("""COMPUTED_VALUE"""),60.9586814783656)</f>
        <v>60.95868148</v>
      </c>
      <c r="P2145" s="20">
        <f>IFERROR(__xludf.DUMMYFUNCTION("""COMPUTED_VALUE"""),31881.0)</f>
        <v>31881</v>
      </c>
      <c r="Q2145" s="20">
        <f>IFERROR(__xludf.DUMMYFUNCTION("""COMPUTED_VALUE"""),52300.0)</f>
        <v>52300</v>
      </c>
    </row>
    <row r="2146">
      <c r="A2146" s="20">
        <f>IFERROR(__xludf.DUMMYFUNCTION("""COMPUTED_VALUE"""),2249.0)</f>
        <v>2249</v>
      </c>
      <c r="B2146" s="20" t="str">
        <f>IFERROR(__xludf.DUMMYFUNCTION("""COMPUTED_VALUE"""),"Count the Hidden Sequences")</f>
        <v>Count the Hidden Sequences</v>
      </c>
      <c r="C2146" s="20" t="str">
        <f>IFERROR(__xludf.DUMMYFUNCTION("""COMPUTED_VALUE"""),"count-the-hidden-sequences")</f>
        <v>count-the-hidden-sequences</v>
      </c>
      <c r="D2146" s="20" t="b">
        <f>IFERROR(__xludf.DUMMYFUNCTION("""COMPUTED_VALUE"""),FALSE)</f>
        <v>0</v>
      </c>
      <c r="E2146" s="20" t="str">
        <f>IFERROR(__xludf.DUMMYFUNCTION("""COMPUTED_VALUE"""),"Medium")</f>
        <v>Medium</v>
      </c>
      <c r="F2146" s="20">
        <f>IFERROR(__xludf.DUMMYFUNCTION("""COMPUTED_VALUE"""),417.0)</f>
        <v>417</v>
      </c>
      <c r="G2146" s="20">
        <f>IFERROR(__xludf.DUMMYFUNCTION("""COMPUTED_VALUE"""),42.0)</f>
        <v>42</v>
      </c>
      <c r="H2146" s="20" t="str">
        <f>IFERROR(__xludf.DUMMYFUNCTION("""COMPUTED_VALUE"""),"Algorithms")</f>
        <v>Algorithms</v>
      </c>
      <c r="I2146" s="20">
        <f>IFERROR(__xludf.DUMMYFUNCTION("""COMPUTED_VALUE"""),0.366)</f>
        <v>0.366</v>
      </c>
      <c r="J2146" s="20">
        <f>IFERROR(__xludf.DUMMYFUNCTION("""COMPUTED_VALUE"""),2145.0)</f>
        <v>2145</v>
      </c>
      <c r="K2146" s="20" t="b">
        <f>IFERROR(__xludf.DUMMYFUNCTION("""COMPUTED_VALUE"""),FALSE)</f>
        <v>0</v>
      </c>
      <c r="L2146" s="20" t="str">
        <f>IFERROR(__xludf.DUMMYFUNCTION("""COMPUTED_VALUE"""),"Array;Prefix Sum;")</f>
        <v>Array;Prefix Sum;</v>
      </c>
      <c r="M2146" s="20" t="b">
        <f>IFERROR(__xludf.DUMMYFUNCTION("""COMPUTED_VALUE"""),FALSE)</f>
        <v>0</v>
      </c>
      <c r="N2146" s="20" t="b">
        <f>IFERROR(__xludf.DUMMYFUNCTION("""COMPUTED_VALUE"""),FALSE)</f>
        <v>0</v>
      </c>
      <c r="O2146" s="20">
        <f>IFERROR(__xludf.DUMMYFUNCTION("""COMPUTED_VALUE"""),36.6465915580707)</f>
        <v>36.64659156</v>
      </c>
      <c r="P2146" s="20">
        <f>IFERROR(__xludf.DUMMYFUNCTION("""COMPUTED_VALUE"""),14117.0)</f>
        <v>14117</v>
      </c>
      <c r="Q2146" s="20">
        <f>IFERROR(__xludf.DUMMYFUNCTION("""COMPUTED_VALUE"""),38522.0)</f>
        <v>38522</v>
      </c>
    </row>
    <row r="2147">
      <c r="A2147" s="20">
        <f>IFERROR(__xludf.DUMMYFUNCTION("""COMPUTED_VALUE"""),2250.0)</f>
        <v>2250</v>
      </c>
      <c r="B2147" s="20" t="str">
        <f>IFERROR(__xludf.DUMMYFUNCTION("""COMPUTED_VALUE"""),"K Highest Ranked Items Within a Price Range")</f>
        <v>K Highest Ranked Items Within a Price Range</v>
      </c>
      <c r="C2147" s="20" t="str">
        <f>IFERROR(__xludf.DUMMYFUNCTION("""COMPUTED_VALUE"""),"k-highest-ranked-items-within-a-price-range")</f>
        <v>k-highest-ranked-items-within-a-price-range</v>
      </c>
      <c r="D2147" s="20" t="b">
        <f>IFERROR(__xludf.DUMMYFUNCTION("""COMPUTED_VALUE"""),FALSE)</f>
        <v>0</v>
      </c>
      <c r="E2147" s="20" t="str">
        <f>IFERROR(__xludf.DUMMYFUNCTION("""COMPUTED_VALUE"""),"Medium")</f>
        <v>Medium</v>
      </c>
      <c r="F2147" s="20">
        <f>IFERROR(__xludf.DUMMYFUNCTION("""COMPUTED_VALUE"""),362.0)</f>
        <v>362</v>
      </c>
      <c r="G2147" s="20">
        <f>IFERROR(__xludf.DUMMYFUNCTION("""COMPUTED_VALUE"""),135.0)</f>
        <v>135</v>
      </c>
      <c r="H2147" s="20" t="str">
        <f>IFERROR(__xludf.DUMMYFUNCTION("""COMPUTED_VALUE"""),"Algorithms")</f>
        <v>Algorithms</v>
      </c>
      <c r="I2147" s="20">
        <f>IFERROR(__xludf.DUMMYFUNCTION("""COMPUTED_VALUE"""),0.411)</f>
        <v>0.411</v>
      </c>
      <c r="J2147" s="20">
        <f>IFERROR(__xludf.DUMMYFUNCTION("""COMPUTED_VALUE"""),2146.0)</f>
        <v>2146</v>
      </c>
      <c r="K2147" s="20" t="b">
        <f>IFERROR(__xludf.DUMMYFUNCTION("""COMPUTED_VALUE"""),FALSE)</f>
        <v>0</v>
      </c>
      <c r="L2147" s="20" t="str">
        <f>IFERROR(__xludf.DUMMYFUNCTION("""COMPUTED_VALUE"""),"Array;Breadth-First Search;Sorting;Heap (Priority Queue);Matrix;")</f>
        <v>Array;Breadth-First Search;Sorting;Heap (Priority Queue);Matrix;</v>
      </c>
      <c r="M2147" s="20" t="b">
        <f>IFERROR(__xludf.DUMMYFUNCTION("""COMPUTED_VALUE"""),FALSE)</f>
        <v>0</v>
      </c>
      <c r="N2147" s="20" t="b">
        <f>IFERROR(__xludf.DUMMYFUNCTION("""COMPUTED_VALUE"""),FALSE)</f>
        <v>0</v>
      </c>
      <c r="O2147" s="20">
        <f>IFERROR(__xludf.DUMMYFUNCTION("""COMPUTED_VALUE"""),41.1048997040447)</f>
        <v>41.1048997</v>
      </c>
      <c r="P2147" s="20">
        <f>IFERROR(__xludf.DUMMYFUNCTION("""COMPUTED_VALUE"""),11250.0)</f>
        <v>11250</v>
      </c>
      <c r="Q2147" s="20">
        <f>IFERROR(__xludf.DUMMYFUNCTION("""COMPUTED_VALUE"""),27369.0)</f>
        <v>27369</v>
      </c>
    </row>
    <row r="2148">
      <c r="A2148" s="20">
        <f>IFERROR(__xludf.DUMMYFUNCTION("""COMPUTED_VALUE"""),2251.0)</f>
        <v>2251</v>
      </c>
      <c r="B2148" s="20" t="str">
        <f>IFERROR(__xludf.DUMMYFUNCTION("""COMPUTED_VALUE"""),"Number of Ways to Divide a Long Corridor")</f>
        <v>Number of Ways to Divide a Long Corridor</v>
      </c>
      <c r="C2148" s="20" t="str">
        <f>IFERROR(__xludf.DUMMYFUNCTION("""COMPUTED_VALUE"""),"number-of-ways-to-divide-a-long-corridor")</f>
        <v>number-of-ways-to-divide-a-long-corridor</v>
      </c>
      <c r="D2148" s="20" t="b">
        <f>IFERROR(__xludf.DUMMYFUNCTION("""COMPUTED_VALUE"""),FALSE)</f>
        <v>0</v>
      </c>
      <c r="E2148" s="20" t="str">
        <f>IFERROR(__xludf.DUMMYFUNCTION("""COMPUTED_VALUE"""),"Hard")</f>
        <v>Hard</v>
      </c>
      <c r="F2148" s="20">
        <f>IFERROR(__xludf.DUMMYFUNCTION("""COMPUTED_VALUE"""),287.0)</f>
        <v>287</v>
      </c>
      <c r="G2148" s="20">
        <f>IFERROR(__xludf.DUMMYFUNCTION("""COMPUTED_VALUE"""),25.0)</f>
        <v>25</v>
      </c>
      <c r="H2148" s="20" t="str">
        <f>IFERROR(__xludf.DUMMYFUNCTION("""COMPUTED_VALUE"""),"Algorithms")</f>
        <v>Algorithms</v>
      </c>
      <c r="I2148" s="20">
        <f>IFERROR(__xludf.DUMMYFUNCTION("""COMPUTED_VALUE"""),0.398)</f>
        <v>0.398</v>
      </c>
      <c r="J2148" s="20">
        <f>IFERROR(__xludf.DUMMYFUNCTION("""COMPUTED_VALUE"""),2147.0)</f>
        <v>2147</v>
      </c>
      <c r="K2148" s="20" t="b">
        <f>IFERROR(__xludf.DUMMYFUNCTION("""COMPUTED_VALUE"""),FALSE)</f>
        <v>0</v>
      </c>
      <c r="L2148" s="20" t="str">
        <f>IFERROR(__xludf.DUMMYFUNCTION("""COMPUTED_VALUE"""),"Math;String;Dynamic Programming;")</f>
        <v>Math;String;Dynamic Programming;</v>
      </c>
      <c r="M2148" s="20" t="b">
        <f>IFERROR(__xludf.DUMMYFUNCTION("""COMPUTED_VALUE"""),FALSE)</f>
        <v>0</v>
      </c>
      <c r="N2148" s="20" t="b">
        <f>IFERROR(__xludf.DUMMYFUNCTION("""COMPUTED_VALUE"""),FALSE)</f>
        <v>0</v>
      </c>
      <c r="O2148" s="20">
        <f>IFERROR(__xludf.DUMMYFUNCTION("""COMPUTED_VALUE"""),39.7895109224374)</f>
        <v>39.78951092</v>
      </c>
      <c r="P2148" s="20">
        <f>IFERROR(__xludf.DUMMYFUNCTION("""COMPUTED_VALUE"""),8998.0)</f>
        <v>8998</v>
      </c>
      <c r="Q2148" s="20">
        <f>IFERROR(__xludf.DUMMYFUNCTION("""COMPUTED_VALUE"""),22614.0)</f>
        <v>22614</v>
      </c>
    </row>
    <row r="2149">
      <c r="A2149" s="20">
        <f>IFERROR(__xludf.DUMMYFUNCTION("""COMPUTED_VALUE"""),2269.0)</f>
        <v>2269</v>
      </c>
      <c r="B2149" s="20" t="str">
        <f>IFERROR(__xludf.DUMMYFUNCTION("""COMPUTED_VALUE"""),"Count Elements With Strictly Smaller and Greater Elements ")</f>
        <v>Count Elements With Strictly Smaller and Greater Elements </v>
      </c>
      <c r="C2149" s="20" t="str">
        <f>IFERROR(__xludf.DUMMYFUNCTION("""COMPUTED_VALUE"""),"count-elements-with-strictly-smaller-and-greater-elements")</f>
        <v>count-elements-with-strictly-smaller-and-greater-elements</v>
      </c>
      <c r="D2149" s="20" t="b">
        <f>IFERROR(__xludf.DUMMYFUNCTION("""COMPUTED_VALUE"""),FALSE)</f>
        <v>0</v>
      </c>
      <c r="E2149" s="20" t="str">
        <f>IFERROR(__xludf.DUMMYFUNCTION("""COMPUTED_VALUE"""),"Easy")</f>
        <v>Easy</v>
      </c>
      <c r="F2149" s="20">
        <f>IFERROR(__xludf.DUMMYFUNCTION("""COMPUTED_VALUE"""),421.0)</f>
        <v>421</v>
      </c>
      <c r="G2149" s="20">
        <f>IFERROR(__xludf.DUMMYFUNCTION("""COMPUTED_VALUE"""),17.0)</f>
        <v>17</v>
      </c>
      <c r="H2149" s="20" t="str">
        <f>IFERROR(__xludf.DUMMYFUNCTION("""COMPUTED_VALUE"""),"Algorithms")</f>
        <v>Algorithms</v>
      </c>
      <c r="I2149" s="20">
        <f>IFERROR(__xludf.DUMMYFUNCTION("""COMPUTED_VALUE"""),0.599)</f>
        <v>0.599</v>
      </c>
      <c r="J2149" s="20">
        <f>IFERROR(__xludf.DUMMYFUNCTION("""COMPUTED_VALUE"""),2148.0)</f>
        <v>2148</v>
      </c>
      <c r="K2149" s="20" t="b">
        <f>IFERROR(__xludf.DUMMYFUNCTION("""COMPUTED_VALUE"""),FALSE)</f>
        <v>0</v>
      </c>
      <c r="L2149" s="20" t="str">
        <f>IFERROR(__xludf.DUMMYFUNCTION("""COMPUTED_VALUE"""),"Array;Sorting;")</f>
        <v>Array;Sorting;</v>
      </c>
      <c r="M2149" s="20" t="b">
        <f>IFERROR(__xludf.DUMMYFUNCTION("""COMPUTED_VALUE"""),FALSE)</f>
        <v>0</v>
      </c>
      <c r="N2149" s="20" t="b">
        <f>IFERROR(__xludf.DUMMYFUNCTION("""COMPUTED_VALUE"""),FALSE)</f>
        <v>0</v>
      </c>
      <c r="O2149" s="20">
        <f>IFERROR(__xludf.DUMMYFUNCTION("""COMPUTED_VALUE"""),59.9067749975722)</f>
        <v>59.906775</v>
      </c>
      <c r="P2149" s="20">
        <f>IFERROR(__xludf.DUMMYFUNCTION("""COMPUTED_VALUE"""),37014.0)</f>
        <v>37014</v>
      </c>
      <c r="Q2149" s="20">
        <f>IFERROR(__xludf.DUMMYFUNCTION("""COMPUTED_VALUE"""),61786.0)</f>
        <v>61786</v>
      </c>
    </row>
    <row r="2150">
      <c r="A2150" s="20">
        <f>IFERROR(__xludf.DUMMYFUNCTION("""COMPUTED_VALUE"""),2271.0)</f>
        <v>2271</v>
      </c>
      <c r="B2150" s="20" t="str">
        <f>IFERROR(__xludf.DUMMYFUNCTION("""COMPUTED_VALUE"""),"Rearrange Array Elements by Sign")</f>
        <v>Rearrange Array Elements by Sign</v>
      </c>
      <c r="C2150" s="20" t="str">
        <f>IFERROR(__xludf.DUMMYFUNCTION("""COMPUTED_VALUE"""),"rearrange-array-elements-by-sign")</f>
        <v>rearrange-array-elements-by-sign</v>
      </c>
      <c r="D2150" s="20" t="b">
        <f>IFERROR(__xludf.DUMMYFUNCTION("""COMPUTED_VALUE"""),FALSE)</f>
        <v>0</v>
      </c>
      <c r="E2150" s="20" t="str">
        <f>IFERROR(__xludf.DUMMYFUNCTION("""COMPUTED_VALUE"""),"Medium")</f>
        <v>Medium</v>
      </c>
      <c r="F2150" s="20">
        <f>IFERROR(__xludf.DUMMYFUNCTION("""COMPUTED_VALUE"""),1090.0)</f>
        <v>1090</v>
      </c>
      <c r="G2150" s="20">
        <f>IFERROR(__xludf.DUMMYFUNCTION("""COMPUTED_VALUE"""),64.0)</f>
        <v>64</v>
      </c>
      <c r="H2150" s="20" t="str">
        <f>IFERROR(__xludf.DUMMYFUNCTION("""COMPUTED_VALUE"""),"Algorithms")</f>
        <v>Algorithms</v>
      </c>
      <c r="I2150" s="20">
        <f>IFERROR(__xludf.DUMMYFUNCTION("""COMPUTED_VALUE"""),0.81)</f>
        <v>0.81</v>
      </c>
      <c r="J2150" s="20">
        <f>IFERROR(__xludf.DUMMYFUNCTION("""COMPUTED_VALUE"""),2149.0)</f>
        <v>2149</v>
      </c>
      <c r="K2150" s="20" t="b">
        <f>IFERROR(__xludf.DUMMYFUNCTION("""COMPUTED_VALUE"""),FALSE)</f>
        <v>0</v>
      </c>
      <c r="L2150" s="20" t="str">
        <f>IFERROR(__xludf.DUMMYFUNCTION("""COMPUTED_VALUE"""),"Array;Two Pointers;Simulation;")</f>
        <v>Array;Two Pointers;Simulation;</v>
      </c>
      <c r="M2150" s="20" t="b">
        <f>IFERROR(__xludf.DUMMYFUNCTION("""COMPUTED_VALUE"""),FALSE)</f>
        <v>0</v>
      </c>
      <c r="N2150" s="20" t="b">
        <f>IFERROR(__xludf.DUMMYFUNCTION("""COMPUTED_VALUE"""),FALSE)</f>
        <v>0</v>
      </c>
      <c r="O2150" s="20">
        <f>IFERROR(__xludf.DUMMYFUNCTION("""COMPUTED_VALUE"""),80.9920874773339)</f>
        <v>80.99208748</v>
      </c>
      <c r="P2150" s="20">
        <f>IFERROR(__xludf.DUMMYFUNCTION("""COMPUTED_VALUE"""),58957.0)</f>
        <v>58957</v>
      </c>
      <c r="Q2150" s="20">
        <f>IFERROR(__xludf.DUMMYFUNCTION("""COMPUTED_VALUE"""),72793.0)</f>
        <v>72793</v>
      </c>
    </row>
    <row r="2151">
      <c r="A2151" s="20">
        <f>IFERROR(__xludf.DUMMYFUNCTION("""COMPUTED_VALUE"""),2270.0)</f>
        <v>2270</v>
      </c>
      <c r="B2151" s="20" t="str">
        <f>IFERROR(__xludf.DUMMYFUNCTION("""COMPUTED_VALUE"""),"Find All Lonely Numbers in the Array")</f>
        <v>Find All Lonely Numbers in the Array</v>
      </c>
      <c r="C2151" s="20" t="str">
        <f>IFERROR(__xludf.DUMMYFUNCTION("""COMPUTED_VALUE"""),"find-all-lonely-numbers-in-the-array")</f>
        <v>find-all-lonely-numbers-in-the-array</v>
      </c>
      <c r="D2151" s="20" t="b">
        <f>IFERROR(__xludf.DUMMYFUNCTION("""COMPUTED_VALUE"""),FALSE)</f>
        <v>0</v>
      </c>
      <c r="E2151" s="20" t="str">
        <f>IFERROR(__xludf.DUMMYFUNCTION("""COMPUTED_VALUE"""),"Medium")</f>
        <v>Medium</v>
      </c>
      <c r="F2151" s="20">
        <f>IFERROR(__xludf.DUMMYFUNCTION("""COMPUTED_VALUE"""),393.0)</f>
        <v>393</v>
      </c>
      <c r="G2151" s="20">
        <f>IFERROR(__xludf.DUMMYFUNCTION("""COMPUTED_VALUE"""),44.0)</f>
        <v>44</v>
      </c>
      <c r="H2151" s="20" t="str">
        <f>IFERROR(__xludf.DUMMYFUNCTION("""COMPUTED_VALUE"""),"Algorithms")</f>
        <v>Algorithms</v>
      </c>
      <c r="I2151" s="20">
        <f>IFERROR(__xludf.DUMMYFUNCTION("""COMPUTED_VALUE"""),0.608)</f>
        <v>0.608</v>
      </c>
      <c r="J2151" s="20">
        <f>IFERROR(__xludf.DUMMYFUNCTION("""COMPUTED_VALUE"""),2150.0)</f>
        <v>2150</v>
      </c>
      <c r="K2151" s="20" t="b">
        <f>IFERROR(__xludf.DUMMYFUNCTION("""COMPUTED_VALUE"""),FALSE)</f>
        <v>0</v>
      </c>
      <c r="L2151" s="20" t="str">
        <f>IFERROR(__xludf.DUMMYFUNCTION("""COMPUTED_VALUE"""),"Array;Hash Table;Counting;")</f>
        <v>Array;Hash Table;Counting;</v>
      </c>
      <c r="M2151" s="20" t="b">
        <f>IFERROR(__xludf.DUMMYFUNCTION("""COMPUTED_VALUE"""),FALSE)</f>
        <v>0</v>
      </c>
      <c r="N2151" s="20" t="b">
        <f>IFERROR(__xludf.DUMMYFUNCTION("""COMPUTED_VALUE"""),FALSE)</f>
        <v>0</v>
      </c>
      <c r="O2151" s="20">
        <f>IFERROR(__xludf.DUMMYFUNCTION("""COMPUTED_VALUE"""),60.7971028601468)</f>
        <v>60.79710286</v>
      </c>
      <c r="P2151" s="20">
        <f>IFERROR(__xludf.DUMMYFUNCTION("""COMPUTED_VALUE"""),31226.0)</f>
        <v>31226</v>
      </c>
      <c r="Q2151" s="20">
        <f>IFERROR(__xludf.DUMMYFUNCTION("""COMPUTED_VALUE"""),51361.0)</f>
        <v>51361</v>
      </c>
    </row>
    <row r="2152">
      <c r="A2152" s="20">
        <f>IFERROR(__xludf.DUMMYFUNCTION("""COMPUTED_VALUE"""),2272.0)</f>
        <v>2272</v>
      </c>
      <c r="B2152" s="20" t="str">
        <f>IFERROR(__xludf.DUMMYFUNCTION("""COMPUTED_VALUE"""),"Maximum Good People Based on Statements")</f>
        <v>Maximum Good People Based on Statements</v>
      </c>
      <c r="C2152" s="20" t="str">
        <f>IFERROR(__xludf.DUMMYFUNCTION("""COMPUTED_VALUE"""),"maximum-good-people-based-on-statements")</f>
        <v>maximum-good-people-based-on-statements</v>
      </c>
      <c r="D2152" s="20" t="b">
        <f>IFERROR(__xludf.DUMMYFUNCTION("""COMPUTED_VALUE"""),FALSE)</f>
        <v>0</v>
      </c>
      <c r="E2152" s="20" t="str">
        <f>IFERROR(__xludf.DUMMYFUNCTION("""COMPUTED_VALUE"""),"Hard")</f>
        <v>Hard</v>
      </c>
      <c r="F2152" s="20">
        <f>IFERROR(__xludf.DUMMYFUNCTION("""COMPUTED_VALUE"""),382.0)</f>
        <v>382</v>
      </c>
      <c r="G2152" s="20">
        <f>IFERROR(__xludf.DUMMYFUNCTION("""COMPUTED_VALUE"""),71.0)</f>
        <v>71</v>
      </c>
      <c r="H2152" s="20" t="str">
        <f>IFERROR(__xludf.DUMMYFUNCTION("""COMPUTED_VALUE"""),"Algorithms")</f>
        <v>Algorithms</v>
      </c>
      <c r="I2152" s="20">
        <f>IFERROR(__xludf.DUMMYFUNCTION("""COMPUTED_VALUE"""),0.487)</f>
        <v>0.487</v>
      </c>
      <c r="J2152" s="20">
        <f>IFERROR(__xludf.DUMMYFUNCTION("""COMPUTED_VALUE"""),2151.0)</f>
        <v>2151</v>
      </c>
      <c r="K2152" s="20" t="b">
        <f>IFERROR(__xludf.DUMMYFUNCTION("""COMPUTED_VALUE"""),FALSE)</f>
        <v>0</v>
      </c>
      <c r="L2152" s="20" t="str">
        <f>IFERROR(__xludf.DUMMYFUNCTION("""COMPUTED_VALUE"""),"Array;Backtracking;Bit Manipulation;Enumeration;")</f>
        <v>Array;Backtracking;Bit Manipulation;Enumeration;</v>
      </c>
      <c r="M2152" s="20" t="b">
        <f>IFERROR(__xludf.DUMMYFUNCTION("""COMPUTED_VALUE"""),FALSE)</f>
        <v>0</v>
      </c>
      <c r="N2152" s="20" t="b">
        <f>IFERROR(__xludf.DUMMYFUNCTION("""COMPUTED_VALUE"""),FALSE)</f>
        <v>0</v>
      </c>
      <c r="O2152" s="20">
        <f>IFERROR(__xludf.DUMMYFUNCTION("""COMPUTED_VALUE"""),48.6657897209433)</f>
        <v>48.66578972</v>
      </c>
      <c r="P2152" s="20">
        <f>IFERROR(__xludf.DUMMYFUNCTION("""COMPUTED_VALUE"""),10359.0)</f>
        <v>10359</v>
      </c>
      <c r="Q2152" s="20">
        <f>IFERROR(__xludf.DUMMYFUNCTION("""COMPUTED_VALUE"""),21286.0)</f>
        <v>21286</v>
      </c>
    </row>
    <row r="2153">
      <c r="A2153" s="20">
        <f>IFERROR(__xludf.DUMMYFUNCTION("""COMPUTED_VALUE"""),2287.0)</f>
        <v>2287</v>
      </c>
      <c r="B2153" s="20" t="str">
        <f>IFERROR(__xludf.DUMMYFUNCTION("""COMPUTED_VALUE"""),"Minimum Number of Lines to Cover Points")</f>
        <v>Minimum Number of Lines to Cover Points</v>
      </c>
      <c r="C2153" s="20" t="str">
        <f>IFERROR(__xludf.DUMMYFUNCTION("""COMPUTED_VALUE"""),"minimum-number-of-lines-to-cover-points")</f>
        <v>minimum-number-of-lines-to-cover-points</v>
      </c>
      <c r="D2153" s="20" t="b">
        <f>IFERROR(__xludf.DUMMYFUNCTION("""COMPUTED_VALUE"""),TRUE)</f>
        <v>1</v>
      </c>
      <c r="E2153" s="20" t="str">
        <f>IFERROR(__xludf.DUMMYFUNCTION("""COMPUTED_VALUE"""),"Medium")</f>
        <v>Medium</v>
      </c>
      <c r="F2153" s="20">
        <f>IFERROR(__xludf.DUMMYFUNCTION("""COMPUTED_VALUE"""),44.0)</f>
        <v>44</v>
      </c>
      <c r="G2153" s="20">
        <f>IFERROR(__xludf.DUMMYFUNCTION("""COMPUTED_VALUE"""),8.0)</f>
        <v>8</v>
      </c>
      <c r="H2153" s="20" t="str">
        <f>IFERROR(__xludf.DUMMYFUNCTION("""COMPUTED_VALUE"""),"Algorithms")</f>
        <v>Algorithms</v>
      </c>
      <c r="I2153" s="20">
        <f>IFERROR(__xludf.DUMMYFUNCTION("""COMPUTED_VALUE"""),0.469)</f>
        <v>0.469</v>
      </c>
      <c r="J2153" s="20">
        <f>IFERROR(__xludf.DUMMYFUNCTION("""COMPUTED_VALUE"""),2152.0)</f>
        <v>2152</v>
      </c>
      <c r="K2153" s="20" t="b">
        <f>IFERROR(__xludf.DUMMYFUNCTION("""COMPUTED_VALUE"""),TRUE)</f>
        <v>1</v>
      </c>
      <c r="L2153" s="20" t="str">
        <f>IFERROR(__xludf.DUMMYFUNCTION("""COMPUTED_VALUE"""),"Array;Hash Table;Math;Dynamic Programming;Backtracking;Bit Manipulation;Geometry;Bitmask;")</f>
        <v>Array;Hash Table;Math;Dynamic Programming;Backtracking;Bit Manipulation;Geometry;Bitmask;</v>
      </c>
      <c r="M2153" s="20" t="b">
        <f>IFERROR(__xludf.DUMMYFUNCTION("""COMPUTED_VALUE"""),FALSE)</f>
        <v>0</v>
      </c>
      <c r="N2153" s="20" t="b">
        <f>IFERROR(__xludf.DUMMYFUNCTION("""COMPUTED_VALUE"""),FALSE)</f>
        <v>0</v>
      </c>
      <c r="O2153" s="20">
        <f>IFERROR(__xludf.DUMMYFUNCTION("""COMPUTED_VALUE"""),46.9280060309084)</f>
        <v>46.92800603</v>
      </c>
      <c r="P2153" s="20">
        <f>IFERROR(__xludf.DUMMYFUNCTION("""COMPUTED_VALUE"""),1245.0)</f>
        <v>1245</v>
      </c>
      <c r="Q2153" s="20">
        <f>IFERROR(__xludf.DUMMYFUNCTION("""COMPUTED_VALUE"""),2653.0)</f>
        <v>2653</v>
      </c>
    </row>
    <row r="2154">
      <c r="A2154" s="20">
        <f>IFERROR(__xludf.DUMMYFUNCTION("""COMPUTED_VALUE"""),2296.0)</f>
        <v>2296</v>
      </c>
      <c r="B2154" s="20" t="str">
        <f>IFERROR(__xludf.DUMMYFUNCTION("""COMPUTED_VALUE"""),"The Number of Passengers in Each Bus II")</f>
        <v>The Number of Passengers in Each Bus II</v>
      </c>
      <c r="C2154" s="20" t="str">
        <f>IFERROR(__xludf.DUMMYFUNCTION("""COMPUTED_VALUE"""),"the-number-of-passengers-in-each-bus-ii")</f>
        <v>the-number-of-passengers-in-each-bus-ii</v>
      </c>
      <c r="D2154" s="20" t="b">
        <f>IFERROR(__xludf.DUMMYFUNCTION("""COMPUTED_VALUE"""),TRUE)</f>
        <v>1</v>
      </c>
      <c r="E2154" s="20" t="str">
        <f>IFERROR(__xludf.DUMMYFUNCTION("""COMPUTED_VALUE"""),"Hard")</f>
        <v>Hard</v>
      </c>
      <c r="F2154" s="20">
        <f>IFERROR(__xludf.DUMMYFUNCTION("""COMPUTED_VALUE"""),49.0)</f>
        <v>49</v>
      </c>
      <c r="G2154" s="20">
        <f>IFERROR(__xludf.DUMMYFUNCTION("""COMPUTED_VALUE"""),22.0)</f>
        <v>22</v>
      </c>
      <c r="H2154" s="20" t="str">
        <f>IFERROR(__xludf.DUMMYFUNCTION("""COMPUTED_VALUE"""),"Database")</f>
        <v>Database</v>
      </c>
      <c r="I2154" s="20">
        <f>IFERROR(__xludf.DUMMYFUNCTION("""COMPUTED_VALUE"""),0.505)</f>
        <v>0.505</v>
      </c>
      <c r="J2154" s="20">
        <f>IFERROR(__xludf.DUMMYFUNCTION("""COMPUTED_VALUE"""),2153.0)</f>
        <v>2153</v>
      </c>
      <c r="K2154" s="20" t="b">
        <f>IFERROR(__xludf.DUMMYFUNCTION("""COMPUTED_VALUE"""),TRUE)</f>
        <v>1</v>
      </c>
      <c r="L2154" s="20" t="str">
        <f>IFERROR(__xludf.DUMMYFUNCTION("""COMPUTED_VALUE"""),"Database;")</f>
        <v>Database;</v>
      </c>
      <c r="M2154" s="20" t="b">
        <f>IFERROR(__xludf.DUMMYFUNCTION("""COMPUTED_VALUE"""),FALSE)</f>
        <v>0</v>
      </c>
      <c r="N2154" s="20" t="b">
        <f>IFERROR(__xludf.DUMMYFUNCTION("""COMPUTED_VALUE"""),FALSE)</f>
        <v>0</v>
      </c>
      <c r="O2154" s="20">
        <f>IFERROR(__xludf.DUMMYFUNCTION("""COMPUTED_VALUE"""),50.4715447154471)</f>
        <v>50.47154472</v>
      </c>
      <c r="P2154" s="20">
        <f>IFERROR(__xludf.DUMMYFUNCTION("""COMPUTED_VALUE"""),1552.0)</f>
        <v>1552</v>
      </c>
      <c r="Q2154" s="20">
        <f>IFERROR(__xludf.DUMMYFUNCTION("""COMPUTED_VALUE"""),3075.0)</f>
        <v>3075</v>
      </c>
    </row>
    <row r="2155">
      <c r="A2155" s="20">
        <f>IFERROR(__xludf.DUMMYFUNCTION("""COMPUTED_VALUE"""),2274.0)</f>
        <v>2274</v>
      </c>
      <c r="B2155" s="20" t="str">
        <f>IFERROR(__xludf.DUMMYFUNCTION("""COMPUTED_VALUE"""),"Keep Multiplying Found Values by Two")</f>
        <v>Keep Multiplying Found Values by Two</v>
      </c>
      <c r="C2155" s="20" t="str">
        <f>IFERROR(__xludf.DUMMYFUNCTION("""COMPUTED_VALUE"""),"keep-multiplying-found-values-by-two")</f>
        <v>keep-multiplying-found-values-by-two</v>
      </c>
      <c r="D2155" s="20" t="b">
        <f>IFERROR(__xludf.DUMMYFUNCTION("""COMPUTED_VALUE"""),FALSE)</f>
        <v>0</v>
      </c>
      <c r="E2155" s="20" t="str">
        <f>IFERROR(__xludf.DUMMYFUNCTION("""COMPUTED_VALUE"""),"Easy")</f>
        <v>Easy</v>
      </c>
      <c r="F2155" s="20">
        <f>IFERROR(__xludf.DUMMYFUNCTION("""COMPUTED_VALUE"""),459.0)</f>
        <v>459</v>
      </c>
      <c r="G2155" s="20">
        <f>IFERROR(__xludf.DUMMYFUNCTION("""COMPUTED_VALUE"""),20.0)</f>
        <v>20</v>
      </c>
      <c r="H2155" s="20" t="str">
        <f>IFERROR(__xludf.DUMMYFUNCTION("""COMPUTED_VALUE"""),"Algorithms")</f>
        <v>Algorithms</v>
      </c>
      <c r="I2155" s="20">
        <f>IFERROR(__xludf.DUMMYFUNCTION("""COMPUTED_VALUE"""),0.731)</f>
        <v>0.731</v>
      </c>
      <c r="J2155" s="20">
        <f>IFERROR(__xludf.DUMMYFUNCTION("""COMPUTED_VALUE"""),2154.0)</f>
        <v>2154</v>
      </c>
      <c r="K2155" s="20" t="b">
        <f>IFERROR(__xludf.DUMMYFUNCTION("""COMPUTED_VALUE"""),FALSE)</f>
        <v>0</v>
      </c>
      <c r="L2155" s="20" t="str">
        <f>IFERROR(__xludf.DUMMYFUNCTION("""COMPUTED_VALUE"""),"Array;Hash Table;Sorting;Simulation;")</f>
        <v>Array;Hash Table;Sorting;Simulation;</v>
      </c>
      <c r="M2155" s="20" t="b">
        <f>IFERROR(__xludf.DUMMYFUNCTION("""COMPUTED_VALUE"""),FALSE)</f>
        <v>0</v>
      </c>
      <c r="N2155" s="20" t="b">
        <f>IFERROR(__xludf.DUMMYFUNCTION("""COMPUTED_VALUE"""),FALSE)</f>
        <v>0</v>
      </c>
      <c r="O2155" s="20">
        <f>IFERROR(__xludf.DUMMYFUNCTION("""COMPUTED_VALUE"""),73.0924993854076)</f>
        <v>73.09249939</v>
      </c>
      <c r="P2155" s="20">
        <f>IFERROR(__xludf.DUMMYFUNCTION("""COMPUTED_VALUE"""),56491.0)</f>
        <v>56491</v>
      </c>
      <c r="Q2155" s="20">
        <f>IFERROR(__xludf.DUMMYFUNCTION("""COMPUTED_VALUE"""),77287.0)</f>
        <v>77287</v>
      </c>
    </row>
    <row r="2156">
      <c r="A2156" s="20">
        <f>IFERROR(__xludf.DUMMYFUNCTION("""COMPUTED_VALUE"""),2261.0)</f>
        <v>2261</v>
      </c>
      <c r="B2156" s="20" t="str">
        <f>IFERROR(__xludf.DUMMYFUNCTION("""COMPUTED_VALUE"""),"All Divisions With the Highest Score of a Binary Array")</f>
        <v>All Divisions With the Highest Score of a Binary Array</v>
      </c>
      <c r="C2156" s="20" t="str">
        <f>IFERROR(__xludf.DUMMYFUNCTION("""COMPUTED_VALUE"""),"all-divisions-with-the-highest-score-of-a-binary-array")</f>
        <v>all-divisions-with-the-highest-score-of-a-binary-array</v>
      </c>
      <c r="D2156" s="20" t="b">
        <f>IFERROR(__xludf.DUMMYFUNCTION("""COMPUTED_VALUE"""),FALSE)</f>
        <v>0</v>
      </c>
      <c r="E2156" s="20" t="str">
        <f>IFERROR(__xludf.DUMMYFUNCTION("""COMPUTED_VALUE"""),"Medium")</f>
        <v>Medium</v>
      </c>
      <c r="F2156" s="20">
        <f>IFERROR(__xludf.DUMMYFUNCTION("""COMPUTED_VALUE"""),398.0)</f>
        <v>398</v>
      </c>
      <c r="G2156" s="20">
        <f>IFERROR(__xludf.DUMMYFUNCTION("""COMPUTED_VALUE"""),11.0)</f>
        <v>11</v>
      </c>
      <c r="H2156" s="20" t="str">
        <f>IFERROR(__xludf.DUMMYFUNCTION("""COMPUTED_VALUE"""),"Algorithms")</f>
        <v>Algorithms</v>
      </c>
      <c r="I2156" s="20">
        <f>IFERROR(__xludf.DUMMYFUNCTION("""COMPUTED_VALUE"""),0.634)</f>
        <v>0.634</v>
      </c>
      <c r="J2156" s="20">
        <f>IFERROR(__xludf.DUMMYFUNCTION("""COMPUTED_VALUE"""),2155.0)</f>
        <v>2155</v>
      </c>
      <c r="K2156" s="20" t="b">
        <f>IFERROR(__xludf.DUMMYFUNCTION("""COMPUTED_VALUE"""),FALSE)</f>
        <v>0</v>
      </c>
      <c r="L2156" s="20" t="str">
        <f>IFERROR(__xludf.DUMMYFUNCTION("""COMPUTED_VALUE"""),"Array;")</f>
        <v>Array;</v>
      </c>
      <c r="M2156" s="20" t="b">
        <f>IFERROR(__xludf.DUMMYFUNCTION("""COMPUTED_VALUE"""),FALSE)</f>
        <v>0</v>
      </c>
      <c r="N2156" s="20" t="b">
        <f>IFERROR(__xludf.DUMMYFUNCTION("""COMPUTED_VALUE"""),FALSE)</f>
        <v>0</v>
      </c>
      <c r="O2156" s="20">
        <f>IFERROR(__xludf.DUMMYFUNCTION("""COMPUTED_VALUE"""),63.4039933622397)</f>
        <v>63.40399336</v>
      </c>
      <c r="P2156" s="20">
        <f>IFERROR(__xludf.DUMMYFUNCTION("""COMPUTED_VALUE"""),23688.0)</f>
        <v>23688</v>
      </c>
      <c r="Q2156" s="20">
        <f>IFERROR(__xludf.DUMMYFUNCTION("""COMPUTED_VALUE"""),37361.0)</f>
        <v>37361</v>
      </c>
    </row>
    <row r="2157">
      <c r="A2157" s="20">
        <f>IFERROR(__xludf.DUMMYFUNCTION("""COMPUTED_VALUE"""),2275.0)</f>
        <v>2275</v>
      </c>
      <c r="B2157" s="20" t="str">
        <f>IFERROR(__xludf.DUMMYFUNCTION("""COMPUTED_VALUE"""),"Find Substring With Given Hash Value")</f>
        <v>Find Substring With Given Hash Value</v>
      </c>
      <c r="C2157" s="20" t="str">
        <f>IFERROR(__xludf.DUMMYFUNCTION("""COMPUTED_VALUE"""),"find-substring-with-given-hash-value")</f>
        <v>find-substring-with-given-hash-value</v>
      </c>
      <c r="D2157" s="20" t="b">
        <f>IFERROR(__xludf.DUMMYFUNCTION("""COMPUTED_VALUE"""),FALSE)</f>
        <v>0</v>
      </c>
      <c r="E2157" s="20" t="str">
        <f>IFERROR(__xludf.DUMMYFUNCTION("""COMPUTED_VALUE"""),"Hard")</f>
        <v>Hard</v>
      </c>
      <c r="F2157" s="20">
        <f>IFERROR(__xludf.DUMMYFUNCTION("""COMPUTED_VALUE"""),362.0)</f>
        <v>362</v>
      </c>
      <c r="G2157" s="20">
        <f>IFERROR(__xludf.DUMMYFUNCTION("""COMPUTED_VALUE"""),363.0)</f>
        <v>363</v>
      </c>
      <c r="H2157" s="20" t="str">
        <f>IFERROR(__xludf.DUMMYFUNCTION("""COMPUTED_VALUE"""),"Algorithms")</f>
        <v>Algorithms</v>
      </c>
      <c r="I2157" s="20">
        <f>IFERROR(__xludf.DUMMYFUNCTION("""COMPUTED_VALUE"""),0.221)</f>
        <v>0.221</v>
      </c>
      <c r="J2157" s="20">
        <f>IFERROR(__xludf.DUMMYFUNCTION("""COMPUTED_VALUE"""),2156.0)</f>
        <v>2156</v>
      </c>
      <c r="K2157" s="20" t="b">
        <f>IFERROR(__xludf.DUMMYFUNCTION("""COMPUTED_VALUE"""),FALSE)</f>
        <v>0</v>
      </c>
      <c r="L2157" s="20" t="str">
        <f>IFERROR(__xludf.DUMMYFUNCTION("""COMPUTED_VALUE"""),"String;Sliding Window;Rolling Hash;Hash Function;")</f>
        <v>String;Sliding Window;Rolling Hash;Hash Function;</v>
      </c>
      <c r="M2157" s="20" t="b">
        <f>IFERROR(__xludf.DUMMYFUNCTION("""COMPUTED_VALUE"""),FALSE)</f>
        <v>0</v>
      </c>
      <c r="N2157" s="20" t="b">
        <f>IFERROR(__xludf.DUMMYFUNCTION("""COMPUTED_VALUE"""),FALSE)</f>
        <v>0</v>
      </c>
      <c r="O2157" s="20">
        <f>IFERROR(__xludf.DUMMYFUNCTION("""COMPUTED_VALUE"""),22.1326238231682)</f>
        <v>22.13262382</v>
      </c>
      <c r="P2157" s="20">
        <f>IFERROR(__xludf.DUMMYFUNCTION("""COMPUTED_VALUE"""),10814.0)</f>
        <v>10814</v>
      </c>
      <c r="Q2157" s="20">
        <f>IFERROR(__xludf.DUMMYFUNCTION("""COMPUTED_VALUE"""),48860.0)</f>
        <v>48860</v>
      </c>
    </row>
    <row r="2158">
      <c r="A2158" s="20">
        <f>IFERROR(__xludf.DUMMYFUNCTION("""COMPUTED_VALUE"""),2276.0)</f>
        <v>2276</v>
      </c>
      <c r="B2158" s="20" t="str">
        <f>IFERROR(__xludf.DUMMYFUNCTION("""COMPUTED_VALUE"""),"Groups of Strings")</f>
        <v>Groups of Strings</v>
      </c>
      <c r="C2158" s="20" t="str">
        <f>IFERROR(__xludf.DUMMYFUNCTION("""COMPUTED_VALUE"""),"groups-of-strings")</f>
        <v>groups-of-strings</v>
      </c>
      <c r="D2158" s="20" t="b">
        <f>IFERROR(__xludf.DUMMYFUNCTION("""COMPUTED_VALUE"""),FALSE)</f>
        <v>0</v>
      </c>
      <c r="E2158" s="20" t="str">
        <f>IFERROR(__xludf.DUMMYFUNCTION("""COMPUTED_VALUE"""),"Hard")</f>
        <v>Hard</v>
      </c>
      <c r="F2158" s="20">
        <f>IFERROR(__xludf.DUMMYFUNCTION("""COMPUTED_VALUE"""),351.0)</f>
        <v>351</v>
      </c>
      <c r="G2158" s="20">
        <f>IFERROR(__xludf.DUMMYFUNCTION("""COMPUTED_VALUE"""),44.0)</f>
        <v>44</v>
      </c>
      <c r="H2158" s="20" t="str">
        <f>IFERROR(__xludf.DUMMYFUNCTION("""COMPUTED_VALUE"""),"Algorithms")</f>
        <v>Algorithms</v>
      </c>
      <c r="I2158" s="20">
        <f>IFERROR(__xludf.DUMMYFUNCTION("""COMPUTED_VALUE"""),0.255)</f>
        <v>0.255</v>
      </c>
      <c r="J2158" s="20">
        <f>IFERROR(__xludf.DUMMYFUNCTION("""COMPUTED_VALUE"""),2157.0)</f>
        <v>2157</v>
      </c>
      <c r="K2158" s="20" t="b">
        <f>IFERROR(__xludf.DUMMYFUNCTION("""COMPUTED_VALUE"""),FALSE)</f>
        <v>0</v>
      </c>
      <c r="L2158" s="20" t="str">
        <f>IFERROR(__xludf.DUMMYFUNCTION("""COMPUTED_VALUE"""),"String;Bit Manipulation;Union Find;")</f>
        <v>String;Bit Manipulation;Union Find;</v>
      </c>
      <c r="M2158" s="20" t="b">
        <f>IFERROR(__xludf.DUMMYFUNCTION("""COMPUTED_VALUE"""),FALSE)</f>
        <v>0</v>
      </c>
      <c r="N2158" s="20" t="b">
        <f>IFERROR(__xludf.DUMMYFUNCTION("""COMPUTED_VALUE"""),FALSE)</f>
        <v>0</v>
      </c>
      <c r="O2158" s="20">
        <f>IFERROR(__xludf.DUMMYFUNCTION("""COMPUTED_VALUE"""),25.4921364198621)</f>
        <v>25.49213642</v>
      </c>
      <c r="P2158" s="20">
        <f>IFERROR(__xludf.DUMMYFUNCTION("""COMPUTED_VALUE"""),7213.0)</f>
        <v>7213</v>
      </c>
      <c r="Q2158" s="20">
        <f>IFERROR(__xludf.DUMMYFUNCTION("""COMPUTED_VALUE"""),28295.0)</f>
        <v>28295</v>
      </c>
    </row>
    <row r="2159">
      <c r="A2159" s="20">
        <f>IFERROR(__xludf.DUMMYFUNCTION("""COMPUTED_VALUE"""),2297.0)</f>
        <v>2297</v>
      </c>
      <c r="B2159" s="20" t="str">
        <f>IFERROR(__xludf.DUMMYFUNCTION("""COMPUTED_VALUE"""),"Amount of New Area Painted Each Day")</f>
        <v>Amount of New Area Painted Each Day</v>
      </c>
      <c r="C2159" s="20" t="str">
        <f>IFERROR(__xludf.DUMMYFUNCTION("""COMPUTED_VALUE"""),"amount-of-new-area-painted-each-day")</f>
        <v>amount-of-new-area-painted-each-day</v>
      </c>
      <c r="D2159" s="20" t="b">
        <f>IFERROR(__xludf.DUMMYFUNCTION("""COMPUTED_VALUE"""),TRUE)</f>
        <v>1</v>
      </c>
      <c r="E2159" s="20" t="str">
        <f>IFERROR(__xludf.DUMMYFUNCTION("""COMPUTED_VALUE"""),"Hard")</f>
        <v>Hard</v>
      </c>
      <c r="F2159" s="20">
        <f>IFERROR(__xludf.DUMMYFUNCTION("""COMPUTED_VALUE"""),328.0)</f>
        <v>328</v>
      </c>
      <c r="G2159" s="20">
        <f>IFERROR(__xludf.DUMMYFUNCTION("""COMPUTED_VALUE"""),35.0)</f>
        <v>35</v>
      </c>
      <c r="H2159" s="20" t="str">
        <f>IFERROR(__xludf.DUMMYFUNCTION("""COMPUTED_VALUE"""),"Algorithms")</f>
        <v>Algorithms</v>
      </c>
      <c r="I2159" s="20">
        <f>IFERROR(__xludf.DUMMYFUNCTION("""COMPUTED_VALUE"""),0.547)</f>
        <v>0.547</v>
      </c>
      <c r="J2159" s="20">
        <f>IFERROR(__xludf.DUMMYFUNCTION("""COMPUTED_VALUE"""),2158.0)</f>
        <v>2158</v>
      </c>
      <c r="K2159" s="20" t="b">
        <f>IFERROR(__xludf.DUMMYFUNCTION("""COMPUTED_VALUE"""),TRUE)</f>
        <v>1</v>
      </c>
      <c r="L2159" s="20" t="str">
        <f>IFERROR(__xludf.DUMMYFUNCTION("""COMPUTED_VALUE"""),"Array;Segment Tree;Ordered Set;")</f>
        <v>Array;Segment Tree;Ordered Set;</v>
      </c>
      <c r="M2159" s="20" t="b">
        <f>IFERROR(__xludf.DUMMYFUNCTION("""COMPUTED_VALUE"""),FALSE)</f>
        <v>0</v>
      </c>
      <c r="N2159" s="20" t="b">
        <f>IFERROR(__xludf.DUMMYFUNCTION("""COMPUTED_VALUE"""),FALSE)</f>
        <v>0</v>
      </c>
      <c r="O2159" s="20">
        <f>IFERROR(__xludf.DUMMYFUNCTION("""COMPUTED_VALUE"""),54.6736147823679)</f>
        <v>54.67361478</v>
      </c>
      <c r="P2159" s="20">
        <f>IFERROR(__xludf.DUMMYFUNCTION("""COMPUTED_VALUE"""),21718.0)</f>
        <v>21718</v>
      </c>
      <c r="Q2159" s="20">
        <f>IFERROR(__xludf.DUMMYFUNCTION("""COMPUTED_VALUE"""),39723.0)</f>
        <v>39723</v>
      </c>
    </row>
    <row r="2160">
      <c r="A2160" s="20">
        <f>IFERROR(__xludf.DUMMYFUNCTION("""COMPUTED_VALUE"""),2302.0)</f>
        <v>2302</v>
      </c>
      <c r="B2160" s="20" t="str">
        <f>IFERROR(__xludf.DUMMYFUNCTION("""COMPUTED_VALUE"""),"Order Two Columns Independently")</f>
        <v>Order Two Columns Independently</v>
      </c>
      <c r="C2160" s="20" t="str">
        <f>IFERROR(__xludf.DUMMYFUNCTION("""COMPUTED_VALUE"""),"order-two-columns-independently")</f>
        <v>order-two-columns-independently</v>
      </c>
      <c r="D2160" s="20" t="b">
        <f>IFERROR(__xludf.DUMMYFUNCTION("""COMPUTED_VALUE"""),TRUE)</f>
        <v>1</v>
      </c>
      <c r="E2160" s="20" t="str">
        <f>IFERROR(__xludf.DUMMYFUNCTION("""COMPUTED_VALUE"""),"Medium")</f>
        <v>Medium</v>
      </c>
      <c r="F2160" s="20">
        <f>IFERROR(__xludf.DUMMYFUNCTION("""COMPUTED_VALUE"""),42.0)</f>
        <v>42</v>
      </c>
      <c r="G2160" s="20">
        <f>IFERROR(__xludf.DUMMYFUNCTION("""COMPUTED_VALUE"""),15.0)</f>
        <v>15</v>
      </c>
      <c r="H2160" s="20" t="str">
        <f>IFERROR(__xludf.DUMMYFUNCTION("""COMPUTED_VALUE"""),"Database")</f>
        <v>Database</v>
      </c>
      <c r="I2160" s="20">
        <f>IFERROR(__xludf.DUMMYFUNCTION("""COMPUTED_VALUE"""),0.631)</f>
        <v>0.631</v>
      </c>
      <c r="J2160" s="20">
        <f>IFERROR(__xludf.DUMMYFUNCTION("""COMPUTED_VALUE"""),2159.0)</f>
        <v>2159</v>
      </c>
      <c r="K2160" s="20" t="b">
        <f>IFERROR(__xludf.DUMMYFUNCTION("""COMPUTED_VALUE"""),TRUE)</f>
        <v>1</v>
      </c>
      <c r="L2160" s="20" t="str">
        <f>IFERROR(__xludf.DUMMYFUNCTION("""COMPUTED_VALUE"""),"Database;")</f>
        <v>Database;</v>
      </c>
      <c r="M2160" s="20" t="b">
        <f>IFERROR(__xludf.DUMMYFUNCTION("""COMPUTED_VALUE"""),FALSE)</f>
        <v>0</v>
      </c>
      <c r="N2160" s="20" t="b">
        <f>IFERROR(__xludf.DUMMYFUNCTION("""COMPUTED_VALUE"""),FALSE)</f>
        <v>0</v>
      </c>
      <c r="O2160" s="20">
        <f>IFERROR(__xludf.DUMMYFUNCTION("""COMPUTED_VALUE"""),63.1264520411549)</f>
        <v>63.12645204</v>
      </c>
      <c r="P2160" s="20">
        <f>IFERROR(__xludf.DUMMYFUNCTION("""COMPUTED_VALUE"""),3804.0)</f>
        <v>3804</v>
      </c>
      <c r="Q2160" s="20">
        <f>IFERROR(__xludf.DUMMYFUNCTION("""COMPUTED_VALUE"""),6026.0)</f>
        <v>6026</v>
      </c>
    </row>
    <row r="2161">
      <c r="A2161" s="20">
        <f>IFERROR(__xludf.DUMMYFUNCTION("""COMPUTED_VALUE"""),2264.0)</f>
        <v>2264</v>
      </c>
      <c r="B2161" s="20" t="str">
        <f>IFERROR(__xludf.DUMMYFUNCTION("""COMPUTED_VALUE"""),"Minimum Sum of Four Digit Number After Splitting Digits")</f>
        <v>Minimum Sum of Four Digit Number After Splitting Digits</v>
      </c>
      <c r="C2161" s="20" t="str">
        <f>IFERROR(__xludf.DUMMYFUNCTION("""COMPUTED_VALUE"""),"minimum-sum-of-four-digit-number-after-splitting-digits")</f>
        <v>minimum-sum-of-four-digit-number-after-splitting-digits</v>
      </c>
      <c r="D2161" s="20" t="b">
        <f>IFERROR(__xludf.DUMMYFUNCTION("""COMPUTED_VALUE"""),FALSE)</f>
        <v>0</v>
      </c>
      <c r="E2161" s="20" t="str">
        <f>IFERROR(__xludf.DUMMYFUNCTION("""COMPUTED_VALUE"""),"Easy")</f>
        <v>Easy</v>
      </c>
      <c r="F2161" s="20">
        <f>IFERROR(__xludf.DUMMYFUNCTION("""COMPUTED_VALUE"""),834.0)</f>
        <v>834</v>
      </c>
      <c r="G2161" s="20">
        <f>IFERROR(__xludf.DUMMYFUNCTION("""COMPUTED_VALUE"""),78.0)</f>
        <v>78</v>
      </c>
      <c r="H2161" s="20" t="str">
        <f>IFERROR(__xludf.DUMMYFUNCTION("""COMPUTED_VALUE"""),"Algorithms")</f>
        <v>Algorithms</v>
      </c>
      <c r="I2161" s="20">
        <f>IFERROR(__xludf.DUMMYFUNCTION("""COMPUTED_VALUE"""),0.877)</f>
        <v>0.877</v>
      </c>
      <c r="J2161" s="20">
        <f>IFERROR(__xludf.DUMMYFUNCTION("""COMPUTED_VALUE"""),2160.0)</f>
        <v>2160</v>
      </c>
      <c r="K2161" s="20" t="b">
        <f>IFERROR(__xludf.DUMMYFUNCTION("""COMPUTED_VALUE"""),FALSE)</f>
        <v>0</v>
      </c>
      <c r="L2161" s="20" t="str">
        <f>IFERROR(__xludf.DUMMYFUNCTION("""COMPUTED_VALUE"""),"Math;Greedy;Sorting;")</f>
        <v>Math;Greedy;Sorting;</v>
      </c>
      <c r="M2161" s="20" t="b">
        <f>IFERROR(__xludf.DUMMYFUNCTION("""COMPUTED_VALUE"""),FALSE)</f>
        <v>0</v>
      </c>
      <c r="N2161" s="20" t="b">
        <f>IFERROR(__xludf.DUMMYFUNCTION("""COMPUTED_VALUE"""),FALSE)</f>
        <v>0</v>
      </c>
      <c r="O2161" s="20">
        <f>IFERROR(__xludf.DUMMYFUNCTION("""COMPUTED_VALUE"""),87.7147168820943)</f>
        <v>87.71471688</v>
      </c>
      <c r="P2161" s="20">
        <f>IFERROR(__xludf.DUMMYFUNCTION("""COMPUTED_VALUE"""),66842.0)</f>
        <v>66842</v>
      </c>
      <c r="Q2161" s="20">
        <f>IFERROR(__xludf.DUMMYFUNCTION("""COMPUTED_VALUE"""),76204.0)</f>
        <v>76204</v>
      </c>
    </row>
    <row r="2162">
      <c r="A2162" s="20">
        <f>IFERROR(__xludf.DUMMYFUNCTION("""COMPUTED_VALUE"""),2265.0)</f>
        <v>2265</v>
      </c>
      <c r="B2162" s="20" t="str">
        <f>IFERROR(__xludf.DUMMYFUNCTION("""COMPUTED_VALUE"""),"Partition Array According to Given Pivot")</f>
        <v>Partition Array According to Given Pivot</v>
      </c>
      <c r="C2162" s="20" t="str">
        <f>IFERROR(__xludf.DUMMYFUNCTION("""COMPUTED_VALUE"""),"partition-array-according-to-given-pivot")</f>
        <v>partition-array-according-to-given-pivot</v>
      </c>
      <c r="D2162" s="20" t="b">
        <f>IFERROR(__xludf.DUMMYFUNCTION("""COMPUTED_VALUE"""),FALSE)</f>
        <v>0</v>
      </c>
      <c r="E2162" s="20" t="str">
        <f>IFERROR(__xludf.DUMMYFUNCTION("""COMPUTED_VALUE"""),"Medium")</f>
        <v>Medium</v>
      </c>
      <c r="F2162" s="20">
        <f>IFERROR(__xludf.DUMMYFUNCTION("""COMPUTED_VALUE"""),637.0)</f>
        <v>637</v>
      </c>
      <c r="G2162" s="20">
        <f>IFERROR(__xludf.DUMMYFUNCTION("""COMPUTED_VALUE"""),46.0)</f>
        <v>46</v>
      </c>
      <c r="H2162" s="20" t="str">
        <f>IFERROR(__xludf.DUMMYFUNCTION("""COMPUTED_VALUE"""),"Algorithms")</f>
        <v>Algorithms</v>
      </c>
      <c r="I2162" s="20">
        <f>IFERROR(__xludf.DUMMYFUNCTION("""COMPUTED_VALUE"""),0.846)</f>
        <v>0.846</v>
      </c>
      <c r="J2162" s="20">
        <f>IFERROR(__xludf.DUMMYFUNCTION("""COMPUTED_VALUE"""),2161.0)</f>
        <v>2161</v>
      </c>
      <c r="K2162" s="20" t="b">
        <f>IFERROR(__xludf.DUMMYFUNCTION("""COMPUTED_VALUE"""),FALSE)</f>
        <v>0</v>
      </c>
      <c r="L2162" s="20" t="str">
        <f>IFERROR(__xludf.DUMMYFUNCTION("""COMPUTED_VALUE"""),"Array;Two Pointers;Simulation;")</f>
        <v>Array;Two Pointers;Simulation;</v>
      </c>
      <c r="M2162" s="20" t="b">
        <f>IFERROR(__xludf.DUMMYFUNCTION("""COMPUTED_VALUE"""),FALSE)</f>
        <v>0</v>
      </c>
      <c r="N2162" s="20" t="b">
        <f>IFERROR(__xludf.DUMMYFUNCTION("""COMPUTED_VALUE"""),FALSE)</f>
        <v>0</v>
      </c>
      <c r="O2162" s="20">
        <f>IFERROR(__xludf.DUMMYFUNCTION("""COMPUTED_VALUE"""),84.5921576850492)</f>
        <v>84.59215769</v>
      </c>
      <c r="P2162" s="20">
        <f>IFERROR(__xludf.DUMMYFUNCTION("""COMPUTED_VALUE"""),40342.0)</f>
        <v>40342</v>
      </c>
      <c r="Q2162" s="20">
        <f>IFERROR(__xludf.DUMMYFUNCTION("""COMPUTED_VALUE"""),47690.0)</f>
        <v>47690</v>
      </c>
    </row>
    <row r="2163">
      <c r="A2163" s="20">
        <f>IFERROR(__xludf.DUMMYFUNCTION("""COMPUTED_VALUE"""),2266.0)</f>
        <v>2266</v>
      </c>
      <c r="B2163" s="20" t="str">
        <f>IFERROR(__xludf.DUMMYFUNCTION("""COMPUTED_VALUE"""),"Minimum Cost to Set Cooking Time")</f>
        <v>Minimum Cost to Set Cooking Time</v>
      </c>
      <c r="C2163" s="20" t="str">
        <f>IFERROR(__xludf.DUMMYFUNCTION("""COMPUTED_VALUE"""),"minimum-cost-to-set-cooking-time")</f>
        <v>minimum-cost-to-set-cooking-time</v>
      </c>
      <c r="D2163" s="20" t="b">
        <f>IFERROR(__xludf.DUMMYFUNCTION("""COMPUTED_VALUE"""),FALSE)</f>
        <v>0</v>
      </c>
      <c r="E2163" s="20" t="str">
        <f>IFERROR(__xludf.DUMMYFUNCTION("""COMPUTED_VALUE"""),"Medium")</f>
        <v>Medium</v>
      </c>
      <c r="F2163" s="20">
        <f>IFERROR(__xludf.DUMMYFUNCTION("""COMPUTED_VALUE"""),171.0)</f>
        <v>171</v>
      </c>
      <c r="G2163" s="20">
        <f>IFERROR(__xludf.DUMMYFUNCTION("""COMPUTED_VALUE"""),562.0)</f>
        <v>562</v>
      </c>
      <c r="H2163" s="20" t="str">
        <f>IFERROR(__xludf.DUMMYFUNCTION("""COMPUTED_VALUE"""),"Algorithms")</f>
        <v>Algorithms</v>
      </c>
      <c r="I2163" s="20">
        <f>IFERROR(__xludf.DUMMYFUNCTION("""COMPUTED_VALUE"""),0.397)</f>
        <v>0.397</v>
      </c>
      <c r="J2163" s="20">
        <f>IFERROR(__xludf.DUMMYFUNCTION("""COMPUTED_VALUE"""),2162.0)</f>
        <v>2162</v>
      </c>
      <c r="K2163" s="20" t="b">
        <f>IFERROR(__xludf.DUMMYFUNCTION("""COMPUTED_VALUE"""),FALSE)</f>
        <v>0</v>
      </c>
      <c r="L2163" s="20" t="str">
        <f>IFERROR(__xludf.DUMMYFUNCTION("""COMPUTED_VALUE"""),"Math;Enumeration;")</f>
        <v>Math;Enumeration;</v>
      </c>
      <c r="M2163" s="20" t="b">
        <f>IFERROR(__xludf.DUMMYFUNCTION("""COMPUTED_VALUE"""),FALSE)</f>
        <v>0</v>
      </c>
      <c r="N2163" s="20" t="b">
        <f>IFERROR(__xludf.DUMMYFUNCTION("""COMPUTED_VALUE"""),FALSE)</f>
        <v>0</v>
      </c>
      <c r="O2163" s="20">
        <f>IFERROR(__xludf.DUMMYFUNCTION("""COMPUTED_VALUE"""),39.7297297297297)</f>
        <v>39.72972973</v>
      </c>
      <c r="P2163" s="20">
        <f>IFERROR(__xludf.DUMMYFUNCTION("""COMPUTED_VALUE"""),12936.0)</f>
        <v>12936</v>
      </c>
      <c r="Q2163" s="20">
        <f>IFERROR(__xludf.DUMMYFUNCTION("""COMPUTED_VALUE"""),32560.0)</f>
        <v>32560</v>
      </c>
    </row>
    <row r="2164">
      <c r="A2164" s="20">
        <f>IFERROR(__xludf.DUMMYFUNCTION("""COMPUTED_VALUE"""),2267.0)</f>
        <v>2267</v>
      </c>
      <c r="B2164" s="20" t="str">
        <f>IFERROR(__xludf.DUMMYFUNCTION("""COMPUTED_VALUE"""),"Minimum Difference in Sums After Removal of Elements")</f>
        <v>Minimum Difference in Sums After Removal of Elements</v>
      </c>
      <c r="C2164" s="20" t="str">
        <f>IFERROR(__xludf.DUMMYFUNCTION("""COMPUTED_VALUE"""),"minimum-difference-in-sums-after-removal-of-elements")</f>
        <v>minimum-difference-in-sums-after-removal-of-elements</v>
      </c>
      <c r="D2164" s="20" t="b">
        <f>IFERROR(__xludf.DUMMYFUNCTION("""COMPUTED_VALUE"""),FALSE)</f>
        <v>0</v>
      </c>
      <c r="E2164" s="20" t="str">
        <f>IFERROR(__xludf.DUMMYFUNCTION("""COMPUTED_VALUE"""),"Hard")</f>
        <v>Hard</v>
      </c>
      <c r="F2164" s="20">
        <f>IFERROR(__xludf.DUMMYFUNCTION("""COMPUTED_VALUE"""),511.0)</f>
        <v>511</v>
      </c>
      <c r="G2164" s="20">
        <f>IFERROR(__xludf.DUMMYFUNCTION("""COMPUTED_VALUE"""),13.0)</f>
        <v>13</v>
      </c>
      <c r="H2164" s="20" t="str">
        <f>IFERROR(__xludf.DUMMYFUNCTION("""COMPUTED_VALUE"""),"Algorithms")</f>
        <v>Algorithms</v>
      </c>
      <c r="I2164" s="20">
        <f>IFERROR(__xludf.DUMMYFUNCTION("""COMPUTED_VALUE"""),0.469)</f>
        <v>0.469</v>
      </c>
      <c r="J2164" s="20">
        <f>IFERROR(__xludf.DUMMYFUNCTION("""COMPUTED_VALUE"""),2163.0)</f>
        <v>2163</v>
      </c>
      <c r="K2164" s="20" t="b">
        <f>IFERROR(__xludf.DUMMYFUNCTION("""COMPUTED_VALUE"""),FALSE)</f>
        <v>0</v>
      </c>
      <c r="L2164" s="20" t="str">
        <f>IFERROR(__xludf.DUMMYFUNCTION("""COMPUTED_VALUE"""),"Array;Dynamic Programming;Heap (Priority Queue);")</f>
        <v>Array;Dynamic Programming;Heap (Priority Queue);</v>
      </c>
      <c r="M2164" s="20" t="b">
        <f>IFERROR(__xludf.DUMMYFUNCTION("""COMPUTED_VALUE"""),FALSE)</f>
        <v>0</v>
      </c>
      <c r="N2164" s="20" t="b">
        <f>IFERROR(__xludf.DUMMYFUNCTION("""COMPUTED_VALUE"""),FALSE)</f>
        <v>0</v>
      </c>
      <c r="O2164" s="20">
        <f>IFERROR(__xludf.DUMMYFUNCTION("""COMPUTED_VALUE"""),46.875)</f>
        <v>46.875</v>
      </c>
      <c r="P2164" s="20">
        <f>IFERROR(__xludf.DUMMYFUNCTION("""COMPUTED_VALUE"""),6930.0)</f>
        <v>6930</v>
      </c>
      <c r="Q2164" s="20">
        <f>IFERROR(__xludf.DUMMYFUNCTION("""COMPUTED_VALUE"""),14784.0)</f>
        <v>14784</v>
      </c>
    </row>
    <row r="2165">
      <c r="A2165" s="20">
        <f>IFERROR(__xludf.DUMMYFUNCTION("""COMPUTED_VALUE"""),2283.0)</f>
        <v>2283</v>
      </c>
      <c r="B2165" s="20" t="str">
        <f>IFERROR(__xludf.DUMMYFUNCTION("""COMPUTED_VALUE"""),"Sort Even and Odd Indices Independently")</f>
        <v>Sort Even and Odd Indices Independently</v>
      </c>
      <c r="C2165" s="20" t="str">
        <f>IFERROR(__xludf.DUMMYFUNCTION("""COMPUTED_VALUE"""),"sort-even-and-odd-indices-independently")</f>
        <v>sort-even-and-odd-indices-independently</v>
      </c>
      <c r="D2165" s="20" t="b">
        <f>IFERROR(__xludf.DUMMYFUNCTION("""COMPUTED_VALUE"""),FALSE)</f>
        <v>0</v>
      </c>
      <c r="E2165" s="20" t="str">
        <f>IFERROR(__xludf.DUMMYFUNCTION("""COMPUTED_VALUE"""),"Easy")</f>
        <v>Easy</v>
      </c>
      <c r="F2165" s="20">
        <f>IFERROR(__xludf.DUMMYFUNCTION("""COMPUTED_VALUE"""),479.0)</f>
        <v>479</v>
      </c>
      <c r="G2165" s="20">
        <f>IFERROR(__xludf.DUMMYFUNCTION("""COMPUTED_VALUE"""),31.0)</f>
        <v>31</v>
      </c>
      <c r="H2165" s="20" t="str">
        <f>IFERROR(__xludf.DUMMYFUNCTION("""COMPUTED_VALUE"""),"Algorithms")</f>
        <v>Algorithms</v>
      </c>
      <c r="I2165" s="20">
        <f>IFERROR(__xludf.DUMMYFUNCTION("""COMPUTED_VALUE"""),0.662)</f>
        <v>0.662</v>
      </c>
      <c r="J2165" s="20">
        <f>IFERROR(__xludf.DUMMYFUNCTION("""COMPUTED_VALUE"""),2164.0)</f>
        <v>2164</v>
      </c>
      <c r="K2165" s="20" t="b">
        <f>IFERROR(__xludf.DUMMYFUNCTION("""COMPUTED_VALUE"""),FALSE)</f>
        <v>0</v>
      </c>
      <c r="L2165" s="20" t="str">
        <f>IFERROR(__xludf.DUMMYFUNCTION("""COMPUTED_VALUE"""),"Array;Sorting;")</f>
        <v>Array;Sorting;</v>
      </c>
      <c r="M2165" s="20" t="b">
        <f>IFERROR(__xludf.DUMMYFUNCTION("""COMPUTED_VALUE"""),FALSE)</f>
        <v>0</v>
      </c>
      <c r="N2165" s="20" t="b">
        <f>IFERROR(__xludf.DUMMYFUNCTION("""COMPUTED_VALUE"""),FALSE)</f>
        <v>0</v>
      </c>
      <c r="O2165" s="20">
        <f>IFERROR(__xludf.DUMMYFUNCTION("""COMPUTED_VALUE"""),66.2050576294512)</f>
        <v>66.20505763</v>
      </c>
      <c r="P2165" s="20">
        <f>IFERROR(__xludf.DUMMYFUNCTION("""COMPUTED_VALUE"""),38485.0)</f>
        <v>38485</v>
      </c>
      <c r="Q2165" s="20">
        <f>IFERROR(__xludf.DUMMYFUNCTION("""COMPUTED_VALUE"""),58130.0)</f>
        <v>58130</v>
      </c>
    </row>
    <row r="2166">
      <c r="A2166" s="20">
        <f>IFERROR(__xludf.DUMMYFUNCTION("""COMPUTED_VALUE"""),2284.0)</f>
        <v>2284</v>
      </c>
      <c r="B2166" s="20" t="str">
        <f>IFERROR(__xludf.DUMMYFUNCTION("""COMPUTED_VALUE"""),"Smallest Value of the Rearranged Number")</f>
        <v>Smallest Value of the Rearranged Number</v>
      </c>
      <c r="C2166" s="20" t="str">
        <f>IFERROR(__xludf.DUMMYFUNCTION("""COMPUTED_VALUE"""),"smallest-value-of-the-rearranged-number")</f>
        <v>smallest-value-of-the-rearranged-number</v>
      </c>
      <c r="D2166" s="20" t="b">
        <f>IFERROR(__xludf.DUMMYFUNCTION("""COMPUTED_VALUE"""),FALSE)</f>
        <v>0</v>
      </c>
      <c r="E2166" s="20" t="str">
        <f>IFERROR(__xludf.DUMMYFUNCTION("""COMPUTED_VALUE"""),"Medium")</f>
        <v>Medium</v>
      </c>
      <c r="F2166" s="20">
        <f>IFERROR(__xludf.DUMMYFUNCTION("""COMPUTED_VALUE"""),467.0)</f>
        <v>467</v>
      </c>
      <c r="G2166" s="20">
        <f>IFERROR(__xludf.DUMMYFUNCTION("""COMPUTED_VALUE"""),14.0)</f>
        <v>14</v>
      </c>
      <c r="H2166" s="20" t="str">
        <f>IFERROR(__xludf.DUMMYFUNCTION("""COMPUTED_VALUE"""),"Algorithms")</f>
        <v>Algorithms</v>
      </c>
      <c r="I2166" s="20">
        <f>IFERROR(__xludf.DUMMYFUNCTION("""COMPUTED_VALUE"""),0.514)</f>
        <v>0.514</v>
      </c>
      <c r="J2166" s="20">
        <f>IFERROR(__xludf.DUMMYFUNCTION("""COMPUTED_VALUE"""),2165.0)</f>
        <v>2165</v>
      </c>
      <c r="K2166" s="20" t="b">
        <f>IFERROR(__xludf.DUMMYFUNCTION("""COMPUTED_VALUE"""),FALSE)</f>
        <v>0</v>
      </c>
      <c r="L2166" s="20" t="str">
        <f>IFERROR(__xludf.DUMMYFUNCTION("""COMPUTED_VALUE"""),"Math;Sorting;")</f>
        <v>Math;Sorting;</v>
      </c>
      <c r="M2166" s="20" t="b">
        <f>IFERROR(__xludf.DUMMYFUNCTION("""COMPUTED_VALUE"""),FALSE)</f>
        <v>0</v>
      </c>
      <c r="N2166" s="20" t="b">
        <f>IFERROR(__xludf.DUMMYFUNCTION("""COMPUTED_VALUE"""),FALSE)</f>
        <v>0</v>
      </c>
      <c r="O2166" s="20">
        <f>IFERROR(__xludf.DUMMYFUNCTION("""COMPUTED_VALUE"""),51.3968006242684)</f>
        <v>51.39680062</v>
      </c>
      <c r="P2166" s="20">
        <f>IFERROR(__xludf.DUMMYFUNCTION("""COMPUTED_VALUE"""),26346.0)</f>
        <v>26346</v>
      </c>
      <c r="Q2166" s="20">
        <f>IFERROR(__xludf.DUMMYFUNCTION("""COMPUTED_VALUE"""),51260.0)</f>
        <v>51260</v>
      </c>
    </row>
    <row r="2167">
      <c r="A2167" s="20">
        <f>IFERROR(__xludf.DUMMYFUNCTION("""COMPUTED_VALUE"""),2285.0)</f>
        <v>2285</v>
      </c>
      <c r="B2167" s="20" t="str">
        <f>IFERROR(__xludf.DUMMYFUNCTION("""COMPUTED_VALUE"""),"Design Bitset")</f>
        <v>Design Bitset</v>
      </c>
      <c r="C2167" s="20" t="str">
        <f>IFERROR(__xludf.DUMMYFUNCTION("""COMPUTED_VALUE"""),"design-bitset")</f>
        <v>design-bitset</v>
      </c>
      <c r="D2167" s="20" t="b">
        <f>IFERROR(__xludf.DUMMYFUNCTION("""COMPUTED_VALUE"""),FALSE)</f>
        <v>0</v>
      </c>
      <c r="E2167" s="20" t="str">
        <f>IFERROR(__xludf.DUMMYFUNCTION("""COMPUTED_VALUE"""),"Medium")</f>
        <v>Medium</v>
      </c>
      <c r="F2167" s="20">
        <f>IFERROR(__xludf.DUMMYFUNCTION("""COMPUTED_VALUE"""),467.0)</f>
        <v>467</v>
      </c>
      <c r="G2167" s="20">
        <f>IFERROR(__xludf.DUMMYFUNCTION("""COMPUTED_VALUE"""),43.0)</f>
        <v>43</v>
      </c>
      <c r="H2167" s="20" t="str">
        <f>IFERROR(__xludf.DUMMYFUNCTION("""COMPUTED_VALUE"""),"Algorithms")</f>
        <v>Algorithms</v>
      </c>
      <c r="I2167" s="20">
        <f>IFERROR(__xludf.DUMMYFUNCTION("""COMPUTED_VALUE"""),0.316)</f>
        <v>0.316</v>
      </c>
      <c r="J2167" s="20">
        <f>IFERROR(__xludf.DUMMYFUNCTION("""COMPUTED_VALUE"""),2166.0)</f>
        <v>2166</v>
      </c>
      <c r="K2167" s="20" t="b">
        <f>IFERROR(__xludf.DUMMYFUNCTION("""COMPUTED_VALUE"""),FALSE)</f>
        <v>0</v>
      </c>
      <c r="L2167" s="20" t="str">
        <f>IFERROR(__xludf.DUMMYFUNCTION("""COMPUTED_VALUE"""),"Array;Hash Table;Design;")</f>
        <v>Array;Hash Table;Design;</v>
      </c>
      <c r="M2167" s="20" t="b">
        <f>IFERROR(__xludf.DUMMYFUNCTION("""COMPUTED_VALUE"""),FALSE)</f>
        <v>0</v>
      </c>
      <c r="N2167" s="20" t="b">
        <f>IFERROR(__xludf.DUMMYFUNCTION("""COMPUTED_VALUE"""),FALSE)</f>
        <v>0</v>
      </c>
      <c r="O2167" s="20">
        <f>IFERROR(__xludf.DUMMYFUNCTION("""COMPUTED_VALUE"""),31.5809084457061)</f>
        <v>31.58090845</v>
      </c>
      <c r="P2167" s="20">
        <f>IFERROR(__xludf.DUMMYFUNCTION("""COMPUTED_VALUE"""),17799.0)</f>
        <v>17799</v>
      </c>
      <c r="Q2167" s="20">
        <f>IFERROR(__xludf.DUMMYFUNCTION("""COMPUTED_VALUE"""),56360.0)</f>
        <v>56360</v>
      </c>
    </row>
    <row r="2168">
      <c r="A2168" s="20">
        <f>IFERROR(__xludf.DUMMYFUNCTION("""COMPUTED_VALUE"""),2286.0)</f>
        <v>2286</v>
      </c>
      <c r="B2168" s="20" t="str">
        <f>IFERROR(__xludf.DUMMYFUNCTION("""COMPUTED_VALUE"""),"Minimum Time to Remove All Cars Containing Illegal Goods")</f>
        <v>Minimum Time to Remove All Cars Containing Illegal Goods</v>
      </c>
      <c r="C2168" s="20" t="str">
        <f>IFERROR(__xludf.DUMMYFUNCTION("""COMPUTED_VALUE"""),"minimum-time-to-remove-all-cars-containing-illegal-goods")</f>
        <v>minimum-time-to-remove-all-cars-containing-illegal-goods</v>
      </c>
      <c r="D2168" s="20" t="b">
        <f>IFERROR(__xludf.DUMMYFUNCTION("""COMPUTED_VALUE"""),FALSE)</f>
        <v>0</v>
      </c>
      <c r="E2168" s="20" t="str">
        <f>IFERROR(__xludf.DUMMYFUNCTION("""COMPUTED_VALUE"""),"Hard")</f>
        <v>Hard</v>
      </c>
      <c r="F2168" s="20">
        <f>IFERROR(__xludf.DUMMYFUNCTION("""COMPUTED_VALUE"""),577.0)</f>
        <v>577</v>
      </c>
      <c r="G2168" s="20">
        <f>IFERROR(__xludf.DUMMYFUNCTION("""COMPUTED_VALUE"""),10.0)</f>
        <v>10</v>
      </c>
      <c r="H2168" s="20" t="str">
        <f>IFERROR(__xludf.DUMMYFUNCTION("""COMPUTED_VALUE"""),"Algorithms")</f>
        <v>Algorithms</v>
      </c>
      <c r="I2168" s="20">
        <f>IFERROR(__xludf.DUMMYFUNCTION("""COMPUTED_VALUE"""),0.402)</f>
        <v>0.402</v>
      </c>
      <c r="J2168" s="20">
        <f>IFERROR(__xludf.DUMMYFUNCTION("""COMPUTED_VALUE"""),2167.0)</f>
        <v>2167</v>
      </c>
      <c r="K2168" s="20" t="b">
        <f>IFERROR(__xludf.DUMMYFUNCTION("""COMPUTED_VALUE"""),FALSE)</f>
        <v>0</v>
      </c>
      <c r="L2168" s="20" t="str">
        <f>IFERROR(__xludf.DUMMYFUNCTION("""COMPUTED_VALUE"""),"String;Dynamic Programming;")</f>
        <v>String;Dynamic Programming;</v>
      </c>
      <c r="M2168" s="20" t="b">
        <f>IFERROR(__xludf.DUMMYFUNCTION("""COMPUTED_VALUE"""),FALSE)</f>
        <v>0</v>
      </c>
      <c r="N2168" s="20" t="b">
        <f>IFERROR(__xludf.DUMMYFUNCTION("""COMPUTED_VALUE"""),FALSE)</f>
        <v>0</v>
      </c>
      <c r="O2168" s="20">
        <f>IFERROR(__xludf.DUMMYFUNCTION("""COMPUTED_VALUE"""),40.209415450573)</f>
        <v>40.20941545</v>
      </c>
      <c r="P2168" s="20">
        <f>IFERROR(__xludf.DUMMYFUNCTION("""COMPUTED_VALUE"""),9754.0)</f>
        <v>9754</v>
      </c>
      <c r="Q2168" s="20">
        <f>IFERROR(__xludf.DUMMYFUNCTION("""COMPUTED_VALUE"""),24258.0)</f>
        <v>24258</v>
      </c>
    </row>
    <row r="2169">
      <c r="A2169" s="20">
        <f>IFERROR(__xludf.DUMMYFUNCTION("""COMPUTED_VALUE"""),2303.0)</f>
        <v>2303</v>
      </c>
      <c r="B2169" s="20" t="str">
        <f>IFERROR(__xludf.DUMMYFUNCTION("""COMPUTED_VALUE"""),"Unique Substrings With Equal Digit Frequency")</f>
        <v>Unique Substrings With Equal Digit Frequency</v>
      </c>
      <c r="C2169" s="20" t="str">
        <f>IFERROR(__xludf.DUMMYFUNCTION("""COMPUTED_VALUE"""),"unique-substrings-with-equal-digit-frequency")</f>
        <v>unique-substrings-with-equal-digit-frequency</v>
      </c>
      <c r="D2169" s="20" t="b">
        <f>IFERROR(__xludf.DUMMYFUNCTION("""COMPUTED_VALUE"""),TRUE)</f>
        <v>1</v>
      </c>
      <c r="E2169" s="20" t="str">
        <f>IFERROR(__xludf.DUMMYFUNCTION("""COMPUTED_VALUE"""),"Medium")</f>
        <v>Medium</v>
      </c>
      <c r="F2169" s="20">
        <f>IFERROR(__xludf.DUMMYFUNCTION("""COMPUTED_VALUE"""),50.0)</f>
        <v>50</v>
      </c>
      <c r="G2169" s="20">
        <f>IFERROR(__xludf.DUMMYFUNCTION("""COMPUTED_VALUE"""),5.0)</f>
        <v>5</v>
      </c>
      <c r="H2169" s="20" t="str">
        <f>IFERROR(__xludf.DUMMYFUNCTION("""COMPUTED_VALUE"""),"Algorithms")</f>
        <v>Algorithms</v>
      </c>
      <c r="I2169" s="20">
        <f>IFERROR(__xludf.DUMMYFUNCTION("""COMPUTED_VALUE"""),0.592)</f>
        <v>0.592</v>
      </c>
      <c r="J2169" s="20">
        <f>IFERROR(__xludf.DUMMYFUNCTION("""COMPUTED_VALUE"""),2168.0)</f>
        <v>2168</v>
      </c>
      <c r="K2169" s="20" t="b">
        <f>IFERROR(__xludf.DUMMYFUNCTION("""COMPUTED_VALUE"""),TRUE)</f>
        <v>1</v>
      </c>
      <c r="L2169" s="20" t="str">
        <f>IFERROR(__xludf.DUMMYFUNCTION("""COMPUTED_VALUE"""),"Hash Table;String;Rolling Hash;Counting;Hash Function;")</f>
        <v>Hash Table;String;Rolling Hash;Counting;Hash Function;</v>
      </c>
      <c r="M2169" s="20" t="b">
        <f>IFERROR(__xludf.DUMMYFUNCTION("""COMPUTED_VALUE"""),FALSE)</f>
        <v>0</v>
      </c>
      <c r="N2169" s="20" t="b">
        <f>IFERROR(__xludf.DUMMYFUNCTION("""COMPUTED_VALUE"""),FALSE)</f>
        <v>0</v>
      </c>
      <c r="O2169" s="20">
        <f>IFERROR(__xludf.DUMMYFUNCTION("""COMPUTED_VALUE"""),59.2393392239723)</f>
        <v>59.23933922</v>
      </c>
      <c r="P2169" s="20">
        <f>IFERROR(__xludf.DUMMYFUNCTION("""COMPUTED_VALUE"""),1542.0)</f>
        <v>1542</v>
      </c>
      <c r="Q2169" s="20">
        <f>IFERROR(__xludf.DUMMYFUNCTION("""COMPUTED_VALUE"""),2603.0)</f>
        <v>2603</v>
      </c>
    </row>
    <row r="2170">
      <c r="A2170" s="20">
        <f>IFERROR(__xludf.DUMMYFUNCTION("""COMPUTED_VALUE"""),2288.0)</f>
        <v>2288</v>
      </c>
      <c r="B2170" s="20" t="str">
        <f>IFERROR(__xludf.DUMMYFUNCTION("""COMPUTED_VALUE"""),"Count Operations to Obtain Zero")</f>
        <v>Count Operations to Obtain Zero</v>
      </c>
      <c r="C2170" s="20" t="str">
        <f>IFERROR(__xludf.DUMMYFUNCTION("""COMPUTED_VALUE"""),"count-operations-to-obtain-zero")</f>
        <v>count-operations-to-obtain-zero</v>
      </c>
      <c r="D2170" s="20" t="b">
        <f>IFERROR(__xludf.DUMMYFUNCTION("""COMPUTED_VALUE"""),FALSE)</f>
        <v>0</v>
      </c>
      <c r="E2170" s="20" t="str">
        <f>IFERROR(__xludf.DUMMYFUNCTION("""COMPUTED_VALUE"""),"Easy")</f>
        <v>Easy</v>
      </c>
      <c r="F2170" s="20">
        <f>IFERROR(__xludf.DUMMYFUNCTION("""COMPUTED_VALUE"""),410.0)</f>
        <v>410</v>
      </c>
      <c r="G2170" s="20">
        <f>IFERROR(__xludf.DUMMYFUNCTION("""COMPUTED_VALUE"""),12.0)</f>
        <v>12</v>
      </c>
      <c r="H2170" s="20" t="str">
        <f>IFERROR(__xludf.DUMMYFUNCTION("""COMPUTED_VALUE"""),"Algorithms")</f>
        <v>Algorithms</v>
      </c>
      <c r="I2170" s="20">
        <f>IFERROR(__xludf.DUMMYFUNCTION("""COMPUTED_VALUE"""),0.755)</f>
        <v>0.755</v>
      </c>
      <c r="J2170" s="20">
        <f>IFERROR(__xludf.DUMMYFUNCTION("""COMPUTED_VALUE"""),2169.0)</f>
        <v>2169</v>
      </c>
      <c r="K2170" s="20" t="b">
        <f>IFERROR(__xludf.DUMMYFUNCTION("""COMPUTED_VALUE"""),FALSE)</f>
        <v>0</v>
      </c>
      <c r="L2170" s="20" t="str">
        <f>IFERROR(__xludf.DUMMYFUNCTION("""COMPUTED_VALUE"""),"Math;Simulation;")</f>
        <v>Math;Simulation;</v>
      </c>
      <c r="M2170" s="20" t="b">
        <f>IFERROR(__xludf.DUMMYFUNCTION("""COMPUTED_VALUE"""),FALSE)</f>
        <v>0</v>
      </c>
      <c r="N2170" s="20" t="b">
        <f>IFERROR(__xludf.DUMMYFUNCTION("""COMPUTED_VALUE"""),FALSE)</f>
        <v>0</v>
      </c>
      <c r="O2170" s="20">
        <f>IFERROR(__xludf.DUMMYFUNCTION("""COMPUTED_VALUE"""),75.473364703615)</f>
        <v>75.4733647</v>
      </c>
      <c r="P2170" s="20">
        <f>IFERROR(__xludf.DUMMYFUNCTION("""COMPUTED_VALUE"""),46995.0)</f>
        <v>46995</v>
      </c>
      <c r="Q2170" s="20">
        <f>IFERROR(__xludf.DUMMYFUNCTION("""COMPUTED_VALUE"""),62267.0)</f>
        <v>62267</v>
      </c>
    </row>
    <row r="2171">
      <c r="A2171" s="20">
        <f>IFERROR(__xludf.DUMMYFUNCTION("""COMPUTED_VALUE"""),2289.0)</f>
        <v>2289</v>
      </c>
      <c r="B2171" s="20" t="str">
        <f>IFERROR(__xludf.DUMMYFUNCTION("""COMPUTED_VALUE"""),"Minimum Operations to Make the Array Alternating")</f>
        <v>Minimum Operations to Make the Array Alternating</v>
      </c>
      <c r="C2171" s="20" t="str">
        <f>IFERROR(__xludf.DUMMYFUNCTION("""COMPUTED_VALUE"""),"minimum-operations-to-make-the-array-alternating")</f>
        <v>minimum-operations-to-make-the-array-alternating</v>
      </c>
      <c r="D2171" s="20" t="b">
        <f>IFERROR(__xludf.DUMMYFUNCTION("""COMPUTED_VALUE"""),FALSE)</f>
        <v>0</v>
      </c>
      <c r="E2171" s="20" t="str">
        <f>IFERROR(__xludf.DUMMYFUNCTION("""COMPUTED_VALUE"""),"Medium")</f>
        <v>Medium</v>
      </c>
      <c r="F2171" s="20">
        <f>IFERROR(__xludf.DUMMYFUNCTION("""COMPUTED_VALUE"""),469.0)</f>
        <v>469</v>
      </c>
      <c r="G2171" s="20">
        <f>IFERROR(__xludf.DUMMYFUNCTION("""COMPUTED_VALUE"""),298.0)</f>
        <v>298</v>
      </c>
      <c r="H2171" s="20" t="str">
        <f>IFERROR(__xludf.DUMMYFUNCTION("""COMPUTED_VALUE"""),"Algorithms")</f>
        <v>Algorithms</v>
      </c>
      <c r="I2171" s="20">
        <f>IFERROR(__xludf.DUMMYFUNCTION("""COMPUTED_VALUE"""),0.332)</f>
        <v>0.332</v>
      </c>
      <c r="J2171" s="20">
        <f>IFERROR(__xludf.DUMMYFUNCTION("""COMPUTED_VALUE"""),2170.0)</f>
        <v>2170</v>
      </c>
      <c r="K2171" s="20" t="b">
        <f>IFERROR(__xludf.DUMMYFUNCTION("""COMPUTED_VALUE"""),FALSE)</f>
        <v>0</v>
      </c>
      <c r="L2171" s="20" t="str">
        <f>IFERROR(__xludf.DUMMYFUNCTION("""COMPUTED_VALUE"""),"Array;Hash Table;Greedy;Counting;")</f>
        <v>Array;Hash Table;Greedy;Counting;</v>
      </c>
      <c r="M2171" s="20" t="b">
        <f>IFERROR(__xludf.DUMMYFUNCTION("""COMPUTED_VALUE"""),FALSE)</f>
        <v>0</v>
      </c>
      <c r="N2171" s="20" t="b">
        <f>IFERROR(__xludf.DUMMYFUNCTION("""COMPUTED_VALUE"""),FALSE)</f>
        <v>0</v>
      </c>
      <c r="O2171" s="20">
        <f>IFERROR(__xludf.DUMMYFUNCTION("""COMPUTED_VALUE"""),33.1849991028171)</f>
        <v>33.1849991</v>
      </c>
      <c r="P2171" s="20">
        <f>IFERROR(__xludf.DUMMYFUNCTION("""COMPUTED_VALUE"""),18494.0)</f>
        <v>18494</v>
      </c>
      <c r="Q2171" s="20">
        <f>IFERROR(__xludf.DUMMYFUNCTION("""COMPUTED_VALUE"""),55730.0)</f>
        <v>55730</v>
      </c>
    </row>
    <row r="2172">
      <c r="A2172" s="20">
        <f>IFERROR(__xludf.DUMMYFUNCTION("""COMPUTED_VALUE"""),2290.0)</f>
        <v>2290</v>
      </c>
      <c r="B2172" s="20" t="str">
        <f>IFERROR(__xludf.DUMMYFUNCTION("""COMPUTED_VALUE"""),"Removing Minimum Number of Magic Beans")</f>
        <v>Removing Minimum Number of Magic Beans</v>
      </c>
      <c r="C2172" s="20" t="str">
        <f>IFERROR(__xludf.DUMMYFUNCTION("""COMPUTED_VALUE"""),"removing-minimum-number-of-magic-beans")</f>
        <v>removing-minimum-number-of-magic-beans</v>
      </c>
      <c r="D2172" s="20" t="b">
        <f>IFERROR(__xludf.DUMMYFUNCTION("""COMPUTED_VALUE"""),FALSE)</f>
        <v>0</v>
      </c>
      <c r="E2172" s="20" t="str">
        <f>IFERROR(__xludf.DUMMYFUNCTION("""COMPUTED_VALUE"""),"Medium")</f>
        <v>Medium</v>
      </c>
      <c r="F2172" s="20">
        <f>IFERROR(__xludf.DUMMYFUNCTION("""COMPUTED_VALUE"""),664.0)</f>
        <v>664</v>
      </c>
      <c r="G2172" s="20">
        <f>IFERROR(__xludf.DUMMYFUNCTION("""COMPUTED_VALUE"""),39.0)</f>
        <v>39</v>
      </c>
      <c r="H2172" s="20" t="str">
        <f>IFERROR(__xludf.DUMMYFUNCTION("""COMPUTED_VALUE"""),"Algorithms")</f>
        <v>Algorithms</v>
      </c>
      <c r="I2172" s="20">
        <f>IFERROR(__xludf.DUMMYFUNCTION("""COMPUTED_VALUE"""),0.421)</f>
        <v>0.421</v>
      </c>
      <c r="J2172" s="20">
        <f>IFERROR(__xludf.DUMMYFUNCTION("""COMPUTED_VALUE"""),2171.0)</f>
        <v>2171</v>
      </c>
      <c r="K2172" s="20" t="b">
        <f>IFERROR(__xludf.DUMMYFUNCTION("""COMPUTED_VALUE"""),FALSE)</f>
        <v>0</v>
      </c>
      <c r="L2172" s="20" t="str">
        <f>IFERROR(__xludf.DUMMYFUNCTION("""COMPUTED_VALUE"""),"Array;Sorting;Prefix Sum;")</f>
        <v>Array;Sorting;Prefix Sum;</v>
      </c>
      <c r="M2172" s="20" t="b">
        <f>IFERROR(__xludf.DUMMYFUNCTION("""COMPUTED_VALUE"""),FALSE)</f>
        <v>0</v>
      </c>
      <c r="N2172" s="20" t="b">
        <f>IFERROR(__xludf.DUMMYFUNCTION("""COMPUTED_VALUE"""),FALSE)</f>
        <v>0</v>
      </c>
      <c r="O2172" s="20">
        <f>IFERROR(__xludf.DUMMYFUNCTION("""COMPUTED_VALUE"""),42.0800540164159)</f>
        <v>42.08005402</v>
      </c>
      <c r="P2172" s="20">
        <f>IFERROR(__xludf.DUMMYFUNCTION("""COMPUTED_VALUE"""),19943.0)</f>
        <v>19943</v>
      </c>
      <c r="Q2172" s="20">
        <f>IFERROR(__xludf.DUMMYFUNCTION("""COMPUTED_VALUE"""),47393.0)</f>
        <v>47393</v>
      </c>
    </row>
    <row r="2173">
      <c r="A2173" s="20">
        <f>IFERROR(__xludf.DUMMYFUNCTION("""COMPUTED_VALUE"""),2291.0)</f>
        <v>2291</v>
      </c>
      <c r="B2173" s="20" t="str">
        <f>IFERROR(__xludf.DUMMYFUNCTION("""COMPUTED_VALUE"""),"Maximum AND Sum of Array")</f>
        <v>Maximum AND Sum of Array</v>
      </c>
      <c r="C2173" s="20" t="str">
        <f>IFERROR(__xludf.DUMMYFUNCTION("""COMPUTED_VALUE"""),"maximum-and-sum-of-array")</f>
        <v>maximum-and-sum-of-array</v>
      </c>
      <c r="D2173" s="20" t="b">
        <f>IFERROR(__xludf.DUMMYFUNCTION("""COMPUTED_VALUE"""),FALSE)</f>
        <v>0</v>
      </c>
      <c r="E2173" s="20" t="str">
        <f>IFERROR(__xludf.DUMMYFUNCTION("""COMPUTED_VALUE"""),"Hard")</f>
        <v>Hard</v>
      </c>
      <c r="F2173" s="20">
        <f>IFERROR(__xludf.DUMMYFUNCTION("""COMPUTED_VALUE"""),370.0)</f>
        <v>370</v>
      </c>
      <c r="G2173" s="20">
        <f>IFERROR(__xludf.DUMMYFUNCTION("""COMPUTED_VALUE"""),21.0)</f>
        <v>21</v>
      </c>
      <c r="H2173" s="20" t="str">
        <f>IFERROR(__xludf.DUMMYFUNCTION("""COMPUTED_VALUE"""),"Algorithms")</f>
        <v>Algorithms</v>
      </c>
      <c r="I2173" s="20">
        <f>IFERROR(__xludf.DUMMYFUNCTION("""COMPUTED_VALUE"""),0.479)</f>
        <v>0.479</v>
      </c>
      <c r="J2173" s="20">
        <f>IFERROR(__xludf.DUMMYFUNCTION("""COMPUTED_VALUE"""),2172.0)</f>
        <v>2172</v>
      </c>
      <c r="K2173" s="20" t="b">
        <f>IFERROR(__xludf.DUMMYFUNCTION("""COMPUTED_VALUE"""),FALSE)</f>
        <v>0</v>
      </c>
      <c r="L2173" s="20" t="str">
        <f>IFERROR(__xludf.DUMMYFUNCTION("""COMPUTED_VALUE"""),"Array;Dynamic Programming;Bit Manipulation;Bitmask;")</f>
        <v>Array;Dynamic Programming;Bit Manipulation;Bitmask;</v>
      </c>
      <c r="M2173" s="20" t="b">
        <f>IFERROR(__xludf.DUMMYFUNCTION("""COMPUTED_VALUE"""),FALSE)</f>
        <v>0</v>
      </c>
      <c r="N2173" s="20" t="b">
        <f>IFERROR(__xludf.DUMMYFUNCTION("""COMPUTED_VALUE"""),FALSE)</f>
        <v>0</v>
      </c>
      <c r="O2173" s="20">
        <f>IFERROR(__xludf.DUMMYFUNCTION("""COMPUTED_VALUE"""),47.9433681073025)</f>
        <v>47.94336811</v>
      </c>
      <c r="P2173" s="20">
        <f>IFERROR(__xludf.DUMMYFUNCTION("""COMPUTED_VALUE"""),9651.0)</f>
        <v>9651</v>
      </c>
      <c r="Q2173" s="20">
        <f>IFERROR(__xludf.DUMMYFUNCTION("""COMPUTED_VALUE"""),20130.0)</f>
        <v>20130</v>
      </c>
    </row>
    <row r="2174">
      <c r="A2174" s="20">
        <f>IFERROR(__xludf.DUMMYFUNCTION("""COMPUTED_VALUE"""),2313.0)</f>
        <v>2313</v>
      </c>
      <c r="B2174" s="20" t="str">
        <f>IFERROR(__xludf.DUMMYFUNCTION("""COMPUTED_VALUE"""),"Longest Winning Streak")</f>
        <v>Longest Winning Streak</v>
      </c>
      <c r="C2174" s="20" t="str">
        <f>IFERROR(__xludf.DUMMYFUNCTION("""COMPUTED_VALUE"""),"longest-winning-streak")</f>
        <v>longest-winning-streak</v>
      </c>
      <c r="D2174" s="20" t="b">
        <f>IFERROR(__xludf.DUMMYFUNCTION("""COMPUTED_VALUE"""),TRUE)</f>
        <v>1</v>
      </c>
      <c r="E2174" s="20" t="str">
        <f>IFERROR(__xludf.DUMMYFUNCTION("""COMPUTED_VALUE"""),"Hard")</f>
        <v>Hard</v>
      </c>
      <c r="F2174" s="20">
        <f>IFERROR(__xludf.DUMMYFUNCTION("""COMPUTED_VALUE"""),66.0)</f>
        <v>66</v>
      </c>
      <c r="G2174" s="20">
        <f>IFERROR(__xludf.DUMMYFUNCTION("""COMPUTED_VALUE"""),2.0)</f>
        <v>2</v>
      </c>
      <c r="H2174" s="20" t="str">
        <f>IFERROR(__xludf.DUMMYFUNCTION("""COMPUTED_VALUE"""),"Database")</f>
        <v>Database</v>
      </c>
      <c r="I2174" s="20">
        <f>IFERROR(__xludf.DUMMYFUNCTION("""COMPUTED_VALUE"""),0.589)</f>
        <v>0.589</v>
      </c>
      <c r="J2174" s="20">
        <f>IFERROR(__xludf.DUMMYFUNCTION("""COMPUTED_VALUE"""),2173.0)</f>
        <v>2173</v>
      </c>
      <c r="K2174" s="20" t="b">
        <f>IFERROR(__xludf.DUMMYFUNCTION("""COMPUTED_VALUE"""),TRUE)</f>
        <v>1</v>
      </c>
      <c r="L2174" s="20" t="str">
        <f>IFERROR(__xludf.DUMMYFUNCTION("""COMPUTED_VALUE"""),"Database;")</f>
        <v>Database;</v>
      </c>
      <c r="M2174" s="20" t="b">
        <f>IFERROR(__xludf.DUMMYFUNCTION("""COMPUTED_VALUE"""),FALSE)</f>
        <v>0</v>
      </c>
      <c r="N2174" s="20" t="b">
        <f>IFERROR(__xludf.DUMMYFUNCTION("""COMPUTED_VALUE"""),FALSE)</f>
        <v>0</v>
      </c>
      <c r="O2174" s="20">
        <f>IFERROR(__xludf.DUMMYFUNCTION("""COMPUTED_VALUE"""),58.8778054862842)</f>
        <v>58.87780549</v>
      </c>
      <c r="P2174" s="20">
        <f>IFERROR(__xludf.DUMMYFUNCTION("""COMPUTED_VALUE"""),2361.0)</f>
        <v>2361</v>
      </c>
      <c r="Q2174" s="20">
        <f>IFERROR(__xludf.DUMMYFUNCTION("""COMPUTED_VALUE"""),4010.0)</f>
        <v>4010</v>
      </c>
    </row>
    <row r="2175">
      <c r="A2175" s="20">
        <f>IFERROR(__xludf.DUMMYFUNCTION("""COMPUTED_VALUE"""),2314.0)</f>
        <v>2314</v>
      </c>
      <c r="B2175" s="20" t="str">
        <f>IFERROR(__xludf.DUMMYFUNCTION("""COMPUTED_VALUE"""),"Remove All Ones With Row and Column Flips II")</f>
        <v>Remove All Ones With Row and Column Flips II</v>
      </c>
      <c r="C2175" s="20" t="str">
        <f>IFERROR(__xludf.DUMMYFUNCTION("""COMPUTED_VALUE"""),"remove-all-ones-with-row-and-column-flips-ii")</f>
        <v>remove-all-ones-with-row-and-column-flips-ii</v>
      </c>
      <c r="D2175" s="20" t="b">
        <f>IFERROR(__xludf.DUMMYFUNCTION("""COMPUTED_VALUE"""),TRUE)</f>
        <v>1</v>
      </c>
      <c r="E2175" s="20" t="str">
        <f>IFERROR(__xludf.DUMMYFUNCTION("""COMPUTED_VALUE"""),"Medium")</f>
        <v>Medium</v>
      </c>
      <c r="F2175" s="20">
        <f>IFERROR(__xludf.DUMMYFUNCTION("""COMPUTED_VALUE"""),71.0)</f>
        <v>71</v>
      </c>
      <c r="G2175" s="20">
        <f>IFERROR(__xludf.DUMMYFUNCTION("""COMPUTED_VALUE"""),20.0)</f>
        <v>20</v>
      </c>
      <c r="H2175" s="20" t="str">
        <f>IFERROR(__xludf.DUMMYFUNCTION("""COMPUTED_VALUE"""),"Algorithms")</f>
        <v>Algorithms</v>
      </c>
      <c r="I2175" s="20">
        <f>IFERROR(__xludf.DUMMYFUNCTION("""COMPUTED_VALUE"""),0.685)</f>
        <v>0.685</v>
      </c>
      <c r="J2175" s="20">
        <f>IFERROR(__xludf.DUMMYFUNCTION("""COMPUTED_VALUE"""),2174.0)</f>
        <v>2174</v>
      </c>
      <c r="K2175" s="20" t="b">
        <f>IFERROR(__xludf.DUMMYFUNCTION("""COMPUTED_VALUE"""),TRUE)</f>
        <v>1</v>
      </c>
      <c r="L2175" s="20" t="str">
        <f>IFERROR(__xludf.DUMMYFUNCTION("""COMPUTED_VALUE"""),"Array;Bit Manipulation;Breadth-First Search;Matrix;")</f>
        <v>Array;Bit Manipulation;Breadth-First Search;Matrix;</v>
      </c>
      <c r="M2175" s="20" t="b">
        <f>IFERROR(__xludf.DUMMYFUNCTION("""COMPUTED_VALUE"""),FALSE)</f>
        <v>0</v>
      </c>
      <c r="N2175" s="20" t="b">
        <f>IFERROR(__xludf.DUMMYFUNCTION("""COMPUTED_VALUE"""),FALSE)</f>
        <v>0</v>
      </c>
      <c r="O2175" s="20">
        <f>IFERROR(__xludf.DUMMYFUNCTION("""COMPUTED_VALUE"""),68.4676858929812)</f>
        <v>68.46768589</v>
      </c>
      <c r="P2175" s="20">
        <f>IFERROR(__xludf.DUMMYFUNCTION("""COMPUTED_VALUE"""),3941.0)</f>
        <v>3941</v>
      </c>
      <c r="Q2175" s="20">
        <f>IFERROR(__xludf.DUMMYFUNCTION("""COMPUTED_VALUE"""),5756.0)</f>
        <v>5756</v>
      </c>
    </row>
    <row r="2176">
      <c r="A2176" s="20">
        <f>IFERROR(__xludf.DUMMYFUNCTION("""COMPUTED_VALUE"""),2315.0)</f>
        <v>2315</v>
      </c>
      <c r="B2176" s="20" t="str">
        <f>IFERROR(__xludf.DUMMYFUNCTION("""COMPUTED_VALUE"""),"The Change in Global Rankings")</f>
        <v>The Change in Global Rankings</v>
      </c>
      <c r="C2176" s="20" t="str">
        <f>IFERROR(__xludf.DUMMYFUNCTION("""COMPUTED_VALUE"""),"the-change-in-global-rankings")</f>
        <v>the-change-in-global-rankings</v>
      </c>
      <c r="D2176" s="20" t="b">
        <f>IFERROR(__xludf.DUMMYFUNCTION("""COMPUTED_VALUE"""),TRUE)</f>
        <v>1</v>
      </c>
      <c r="E2176" s="20" t="str">
        <f>IFERROR(__xludf.DUMMYFUNCTION("""COMPUTED_VALUE"""),"Medium")</f>
        <v>Medium</v>
      </c>
      <c r="F2176" s="20">
        <f>IFERROR(__xludf.DUMMYFUNCTION("""COMPUTED_VALUE"""),21.0)</f>
        <v>21</v>
      </c>
      <c r="G2176" s="20">
        <f>IFERROR(__xludf.DUMMYFUNCTION("""COMPUTED_VALUE"""),9.0)</f>
        <v>9</v>
      </c>
      <c r="H2176" s="20" t="str">
        <f>IFERROR(__xludf.DUMMYFUNCTION("""COMPUTED_VALUE"""),"Database")</f>
        <v>Database</v>
      </c>
      <c r="I2176" s="20">
        <f>IFERROR(__xludf.DUMMYFUNCTION("""COMPUTED_VALUE"""),0.684)</f>
        <v>0.684</v>
      </c>
      <c r="J2176" s="20">
        <f>IFERROR(__xludf.DUMMYFUNCTION("""COMPUTED_VALUE"""),2175.0)</f>
        <v>2175</v>
      </c>
      <c r="K2176" s="20" t="b">
        <f>IFERROR(__xludf.DUMMYFUNCTION("""COMPUTED_VALUE"""),TRUE)</f>
        <v>1</v>
      </c>
      <c r="L2176" s="20" t="str">
        <f>IFERROR(__xludf.DUMMYFUNCTION("""COMPUTED_VALUE"""),"Database;")</f>
        <v>Database;</v>
      </c>
      <c r="M2176" s="20" t="b">
        <f>IFERROR(__xludf.DUMMYFUNCTION("""COMPUTED_VALUE"""),FALSE)</f>
        <v>0</v>
      </c>
      <c r="N2176" s="20" t="b">
        <f>IFERROR(__xludf.DUMMYFUNCTION("""COMPUTED_VALUE"""),FALSE)</f>
        <v>0</v>
      </c>
      <c r="O2176" s="20">
        <f>IFERROR(__xludf.DUMMYFUNCTION("""COMPUTED_VALUE"""),68.4383336753539)</f>
        <v>68.43833368</v>
      </c>
      <c r="P2176" s="20">
        <f>IFERROR(__xludf.DUMMYFUNCTION("""COMPUTED_VALUE"""),3335.0)</f>
        <v>3335</v>
      </c>
      <c r="Q2176" s="20">
        <f>IFERROR(__xludf.DUMMYFUNCTION("""COMPUTED_VALUE"""),4873.0)</f>
        <v>4873</v>
      </c>
    </row>
    <row r="2177">
      <c r="A2177" s="20">
        <f>IFERROR(__xludf.DUMMYFUNCTION("""COMPUTED_VALUE"""),2277.0)</f>
        <v>2277</v>
      </c>
      <c r="B2177" s="20" t="str">
        <f>IFERROR(__xludf.DUMMYFUNCTION("""COMPUTED_VALUE"""),"Count Equal and Divisible Pairs in an Array")</f>
        <v>Count Equal and Divisible Pairs in an Array</v>
      </c>
      <c r="C2177" s="20" t="str">
        <f>IFERROR(__xludf.DUMMYFUNCTION("""COMPUTED_VALUE"""),"count-equal-and-divisible-pairs-in-an-array")</f>
        <v>count-equal-and-divisible-pairs-in-an-array</v>
      </c>
      <c r="D2177" s="20" t="b">
        <f>IFERROR(__xludf.DUMMYFUNCTION("""COMPUTED_VALUE"""),FALSE)</f>
        <v>0</v>
      </c>
      <c r="E2177" s="20" t="str">
        <f>IFERROR(__xludf.DUMMYFUNCTION("""COMPUTED_VALUE"""),"Easy")</f>
        <v>Easy</v>
      </c>
      <c r="F2177" s="20">
        <f>IFERROR(__xludf.DUMMYFUNCTION("""COMPUTED_VALUE"""),413.0)</f>
        <v>413</v>
      </c>
      <c r="G2177" s="20">
        <f>IFERROR(__xludf.DUMMYFUNCTION("""COMPUTED_VALUE"""),16.0)</f>
        <v>16</v>
      </c>
      <c r="H2177" s="20" t="str">
        <f>IFERROR(__xludf.DUMMYFUNCTION("""COMPUTED_VALUE"""),"Algorithms")</f>
        <v>Algorithms</v>
      </c>
      <c r="I2177" s="20">
        <f>IFERROR(__xludf.DUMMYFUNCTION("""COMPUTED_VALUE"""),0.803)</f>
        <v>0.803</v>
      </c>
      <c r="J2177" s="20">
        <f>IFERROR(__xludf.DUMMYFUNCTION("""COMPUTED_VALUE"""),2176.0)</f>
        <v>2176</v>
      </c>
      <c r="K2177" s="20" t="b">
        <f>IFERROR(__xludf.DUMMYFUNCTION("""COMPUTED_VALUE"""),FALSE)</f>
        <v>0</v>
      </c>
      <c r="L2177" s="20" t="str">
        <f>IFERROR(__xludf.DUMMYFUNCTION("""COMPUTED_VALUE"""),"Array;")</f>
        <v>Array;</v>
      </c>
      <c r="M2177" s="20" t="b">
        <f>IFERROR(__xludf.DUMMYFUNCTION("""COMPUTED_VALUE"""),FALSE)</f>
        <v>0</v>
      </c>
      <c r="N2177" s="20" t="b">
        <f>IFERROR(__xludf.DUMMYFUNCTION("""COMPUTED_VALUE"""),FALSE)</f>
        <v>0</v>
      </c>
      <c r="O2177" s="20">
        <f>IFERROR(__xludf.DUMMYFUNCTION("""COMPUTED_VALUE"""),80.3429835884196)</f>
        <v>80.34298359</v>
      </c>
      <c r="P2177" s="20">
        <f>IFERROR(__xludf.DUMMYFUNCTION("""COMPUTED_VALUE"""),43558.0)</f>
        <v>43558</v>
      </c>
      <c r="Q2177" s="20">
        <f>IFERROR(__xludf.DUMMYFUNCTION("""COMPUTED_VALUE"""),54218.0)</f>
        <v>54218</v>
      </c>
    </row>
    <row r="2178">
      <c r="A2178" s="20">
        <f>IFERROR(__xludf.DUMMYFUNCTION("""COMPUTED_VALUE"""),2278.0)</f>
        <v>2278</v>
      </c>
      <c r="B2178" s="20" t="str">
        <f>IFERROR(__xludf.DUMMYFUNCTION("""COMPUTED_VALUE"""),"Find Three Consecutive Integers That Sum to a Given Number")</f>
        <v>Find Three Consecutive Integers That Sum to a Given Number</v>
      </c>
      <c r="C2178" s="20" t="str">
        <f>IFERROR(__xludf.DUMMYFUNCTION("""COMPUTED_VALUE"""),"find-three-consecutive-integers-that-sum-to-a-given-number")</f>
        <v>find-three-consecutive-integers-that-sum-to-a-given-number</v>
      </c>
      <c r="D2178" s="20" t="b">
        <f>IFERROR(__xludf.DUMMYFUNCTION("""COMPUTED_VALUE"""),FALSE)</f>
        <v>0</v>
      </c>
      <c r="E2178" s="20" t="str">
        <f>IFERROR(__xludf.DUMMYFUNCTION("""COMPUTED_VALUE"""),"Medium")</f>
        <v>Medium</v>
      </c>
      <c r="F2178" s="20">
        <f>IFERROR(__xludf.DUMMYFUNCTION("""COMPUTED_VALUE"""),463.0)</f>
        <v>463</v>
      </c>
      <c r="G2178" s="20">
        <f>IFERROR(__xludf.DUMMYFUNCTION("""COMPUTED_VALUE"""),148.0)</f>
        <v>148</v>
      </c>
      <c r="H2178" s="20" t="str">
        <f>IFERROR(__xludf.DUMMYFUNCTION("""COMPUTED_VALUE"""),"Algorithms")</f>
        <v>Algorithms</v>
      </c>
      <c r="I2178" s="20">
        <f>IFERROR(__xludf.DUMMYFUNCTION("""COMPUTED_VALUE"""),0.638)</f>
        <v>0.638</v>
      </c>
      <c r="J2178" s="20">
        <f>IFERROR(__xludf.DUMMYFUNCTION("""COMPUTED_VALUE"""),2177.0)</f>
        <v>2177</v>
      </c>
      <c r="K2178" s="20" t="b">
        <f>IFERROR(__xludf.DUMMYFUNCTION("""COMPUTED_VALUE"""),FALSE)</f>
        <v>0</v>
      </c>
      <c r="L2178" s="20" t="str">
        <f>IFERROR(__xludf.DUMMYFUNCTION("""COMPUTED_VALUE"""),"Math;Simulation;")</f>
        <v>Math;Simulation;</v>
      </c>
      <c r="M2178" s="20" t="b">
        <f>IFERROR(__xludf.DUMMYFUNCTION("""COMPUTED_VALUE"""),FALSE)</f>
        <v>0</v>
      </c>
      <c r="N2178" s="20" t="b">
        <f>IFERROR(__xludf.DUMMYFUNCTION("""COMPUTED_VALUE"""),FALSE)</f>
        <v>0</v>
      </c>
      <c r="O2178" s="20">
        <f>IFERROR(__xludf.DUMMYFUNCTION("""COMPUTED_VALUE"""),63.7953576097906)</f>
        <v>63.79535761</v>
      </c>
      <c r="P2178" s="20">
        <f>IFERROR(__xludf.DUMMYFUNCTION("""COMPUTED_VALUE"""),29765.0)</f>
        <v>29765</v>
      </c>
      <c r="Q2178" s="20">
        <f>IFERROR(__xludf.DUMMYFUNCTION("""COMPUTED_VALUE"""),46657.0)</f>
        <v>46657</v>
      </c>
    </row>
    <row r="2179">
      <c r="A2179" s="20">
        <f>IFERROR(__xludf.DUMMYFUNCTION("""COMPUTED_VALUE"""),2279.0)</f>
        <v>2279</v>
      </c>
      <c r="B2179" s="20" t="str">
        <f>IFERROR(__xludf.DUMMYFUNCTION("""COMPUTED_VALUE"""),"Maximum Split of Positive Even Integers")</f>
        <v>Maximum Split of Positive Even Integers</v>
      </c>
      <c r="C2179" s="20" t="str">
        <f>IFERROR(__xludf.DUMMYFUNCTION("""COMPUTED_VALUE"""),"maximum-split-of-positive-even-integers")</f>
        <v>maximum-split-of-positive-even-integers</v>
      </c>
      <c r="D2179" s="20" t="b">
        <f>IFERROR(__xludf.DUMMYFUNCTION("""COMPUTED_VALUE"""),FALSE)</f>
        <v>0</v>
      </c>
      <c r="E2179" s="20" t="str">
        <f>IFERROR(__xludf.DUMMYFUNCTION("""COMPUTED_VALUE"""),"Medium")</f>
        <v>Medium</v>
      </c>
      <c r="F2179" s="20">
        <f>IFERROR(__xludf.DUMMYFUNCTION("""COMPUTED_VALUE"""),609.0)</f>
        <v>609</v>
      </c>
      <c r="G2179" s="20">
        <f>IFERROR(__xludf.DUMMYFUNCTION("""COMPUTED_VALUE"""),63.0)</f>
        <v>63</v>
      </c>
      <c r="H2179" s="20" t="str">
        <f>IFERROR(__xludf.DUMMYFUNCTION("""COMPUTED_VALUE"""),"Algorithms")</f>
        <v>Algorithms</v>
      </c>
      <c r="I2179" s="20">
        <f>IFERROR(__xludf.DUMMYFUNCTION("""COMPUTED_VALUE"""),0.592)</f>
        <v>0.592</v>
      </c>
      <c r="J2179" s="20">
        <f>IFERROR(__xludf.DUMMYFUNCTION("""COMPUTED_VALUE"""),2178.0)</f>
        <v>2178</v>
      </c>
      <c r="K2179" s="20" t="b">
        <f>IFERROR(__xludf.DUMMYFUNCTION("""COMPUTED_VALUE"""),FALSE)</f>
        <v>0</v>
      </c>
      <c r="L2179" s="20" t="str">
        <f>IFERROR(__xludf.DUMMYFUNCTION("""COMPUTED_VALUE"""),"Math;Backtracking;Greedy;")</f>
        <v>Math;Backtracking;Greedy;</v>
      </c>
      <c r="M2179" s="20" t="b">
        <f>IFERROR(__xludf.DUMMYFUNCTION("""COMPUTED_VALUE"""),FALSE)</f>
        <v>0</v>
      </c>
      <c r="N2179" s="20" t="b">
        <f>IFERROR(__xludf.DUMMYFUNCTION("""COMPUTED_VALUE"""),FALSE)</f>
        <v>0</v>
      </c>
      <c r="O2179" s="20">
        <f>IFERROR(__xludf.DUMMYFUNCTION("""COMPUTED_VALUE"""),59.197433350162)</f>
        <v>59.19743335</v>
      </c>
      <c r="P2179" s="20">
        <f>IFERROR(__xludf.DUMMYFUNCTION("""COMPUTED_VALUE"""),36349.0)</f>
        <v>36349</v>
      </c>
      <c r="Q2179" s="20">
        <f>IFERROR(__xludf.DUMMYFUNCTION("""COMPUTED_VALUE"""),61403.0)</f>
        <v>61403</v>
      </c>
    </row>
    <row r="2180">
      <c r="A2180" s="20">
        <f>IFERROR(__xludf.DUMMYFUNCTION("""COMPUTED_VALUE"""),2280.0)</f>
        <v>2280</v>
      </c>
      <c r="B2180" s="20" t="str">
        <f>IFERROR(__xludf.DUMMYFUNCTION("""COMPUTED_VALUE"""),"Count Good Triplets in an Array")</f>
        <v>Count Good Triplets in an Array</v>
      </c>
      <c r="C2180" s="20" t="str">
        <f>IFERROR(__xludf.DUMMYFUNCTION("""COMPUTED_VALUE"""),"count-good-triplets-in-an-array")</f>
        <v>count-good-triplets-in-an-array</v>
      </c>
      <c r="D2180" s="20" t="b">
        <f>IFERROR(__xludf.DUMMYFUNCTION("""COMPUTED_VALUE"""),FALSE)</f>
        <v>0</v>
      </c>
      <c r="E2180" s="20" t="str">
        <f>IFERROR(__xludf.DUMMYFUNCTION("""COMPUTED_VALUE"""),"Hard")</f>
        <v>Hard</v>
      </c>
      <c r="F2180" s="20">
        <f>IFERROR(__xludf.DUMMYFUNCTION("""COMPUTED_VALUE"""),445.0)</f>
        <v>445</v>
      </c>
      <c r="G2180" s="20">
        <f>IFERROR(__xludf.DUMMYFUNCTION("""COMPUTED_VALUE"""),15.0)</f>
        <v>15</v>
      </c>
      <c r="H2180" s="20" t="str">
        <f>IFERROR(__xludf.DUMMYFUNCTION("""COMPUTED_VALUE"""),"Algorithms")</f>
        <v>Algorithms</v>
      </c>
      <c r="I2180" s="20">
        <f>IFERROR(__xludf.DUMMYFUNCTION("""COMPUTED_VALUE"""),0.373)</f>
        <v>0.373</v>
      </c>
      <c r="J2180" s="20">
        <f>IFERROR(__xludf.DUMMYFUNCTION("""COMPUTED_VALUE"""),2179.0)</f>
        <v>2179</v>
      </c>
      <c r="K2180" s="20" t="b">
        <f>IFERROR(__xludf.DUMMYFUNCTION("""COMPUTED_VALUE"""),FALSE)</f>
        <v>0</v>
      </c>
      <c r="L2180" s="20" t="str">
        <f>IFERROR(__xludf.DUMMYFUNCTION("""COMPUTED_VALUE"""),"Array;Binary Search;Divide and Conquer;Binary Indexed Tree;Segment Tree;Merge Sort;Ordered Set;")</f>
        <v>Array;Binary Search;Divide and Conquer;Binary Indexed Tree;Segment Tree;Merge Sort;Ordered Set;</v>
      </c>
      <c r="M2180" s="20" t="b">
        <f>IFERROR(__xludf.DUMMYFUNCTION("""COMPUTED_VALUE"""),FALSE)</f>
        <v>0</v>
      </c>
      <c r="N2180" s="20" t="b">
        <f>IFERROR(__xludf.DUMMYFUNCTION("""COMPUTED_VALUE"""),FALSE)</f>
        <v>0</v>
      </c>
      <c r="O2180" s="20">
        <f>IFERROR(__xludf.DUMMYFUNCTION("""COMPUTED_VALUE"""),37.3220413229174)</f>
        <v>37.32204132</v>
      </c>
      <c r="P2180" s="20">
        <f>IFERROR(__xludf.DUMMYFUNCTION("""COMPUTED_VALUE"""),5112.0)</f>
        <v>5112</v>
      </c>
      <c r="Q2180" s="20">
        <f>IFERROR(__xludf.DUMMYFUNCTION("""COMPUTED_VALUE"""),13697.0)</f>
        <v>13697</v>
      </c>
    </row>
    <row r="2181">
      <c r="A2181" s="20">
        <f>IFERROR(__xludf.DUMMYFUNCTION("""COMPUTED_VALUE"""),2298.0)</f>
        <v>2298</v>
      </c>
      <c r="B2181" s="20" t="str">
        <f>IFERROR(__xludf.DUMMYFUNCTION("""COMPUTED_VALUE"""),"Count Integers With Even Digit Sum")</f>
        <v>Count Integers With Even Digit Sum</v>
      </c>
      <c r="C2181" s="20" t="str">
        <f>IFERROR(__xludf.DUMMYFUNCTION("""COMPUTED_VALUE"""),"count-integers-with-even-digit-sum")</f>
        <v>count-integers-with-even-digit-sum</v>
      </c>
      <c r="D2181" s="20" t="b">
        <f>IFERROR(__xludf.DUMMYFUNCTION("""COMPUTED_VALUE"""),FALSE)</f>
        <v>0</v>
      </c>
      <c r="E2181" s="20" t="str">
        <f>IFERROR(__xludf.DUMMYFUNCTION("""COMPUTED_VALUE"""),"Easy")</f>
        <v>Easy</v>
      </c>
      <c r="F2181" s="20">
        <f>IFERROR(__xludf.DUMMYFUNCTION("""COMPUTED_VALUE"""),394.0)</f>
        <v>394</v>
      </c>
      <c r="G2181" s="20">
        <f>IFERROR(__xludf.DUMMYFUNCTION("""COMPUTED_VALUE"""),19.0)</f>
        <v>19</v>
      </c>
      <c r="H2181" s="20" t="str">
        <f>IFERROR(__xludf.DUMMYFUNCTION("""COMPUTED_VALUE"""),"Algorithms")</f>
        <v>Algorithms</v>
      </c>
      <c r="I2181" s="20">
        <f>IFERROR(__xludf.DUMMYFUNCTION("""COMPUTED_VALUE"""),0.647)</f>
        <v>0.647</v>
      </c>
      <c r="J2181" s="20">
        <f>IFERROR(__xludf.DUMMYFUNCTION("""COMPUTED_VALUE"""),2180.0)</f>
        <v>2180</v>
      </c>
      <c r="K2181" s="20" t="b">
        <f>IFERROR(__xludf.DUMMYFUNCTION("""COMPUTED_VALUE"""),FALSE)</f>
        <v>0</v>
      </c>
      <c r="L2181" s="20" t="str">
        <f>IFERROR(__xludf.DUMMYFUNCTION("""COMPUTED_VALUE"""),"Math;Simulation;")</f>
        <v>Math;Simulation;</v>
      </c>
      <c r="M2181" s="20" t="b">
        <f>IFERROR(__xludf.DUMMYFUNCTION("""COMPUTED_VALUE"""),FALSE)</f>
        <v>0</v>
      </c>
      <c r="N2181" s="20" t="b">
        <f>IFERROR(__xludf.DUMMYFUNCTION("""COMPUTED_VALUE"""),FALSE)</f>
        <v>0</v>
      </c>
      <c r="O2181" s="20">
        <f>IFERROR(__xludf.DUMMYFUNCTION("""COMPUTED_VALUE"""),64.7343512813644)</f>
        <v>64.73435128</v>
      </c>
      <c r="P2181" s="20">
        <f>IFERROR(__xludf.DUMMYFUNCTION("""COMPUTED_VALUE"""),36248.0)</f>
        <v>36248</v>
      </c>
      <c r="Q2181" s="20">
        <f>IFERROR(__xludf.DUMMYFUNCTION("""COMPUTED_VALUE"""),55995.0)</f>
        <v>55995</v>
      </c>
    </row>
    <row r="2182">
      <c r="A2182" s="20">
        <f>IFERROR(__xludf.DUMMYFUNCTION("""COMPUTED_VALUE"""),2299.0)</f>
        <v>2299</v>
      </c>
      <c r="B2182" s="20" t="str">
        <f>IFERROR(__xludf.DUMMYFUNCTION("""COMPUTED_VALUE"""),"Merge Nodes in Between Zeros")</f>
        <v>Merge Nodes in Between Zeros</v>
      </c>
      <c r="C2182" s="20" t="str">
        <f>IFERROR(__xludf.DUMMYFUNCTION("""COMPUTED_VALUE"""),"merge-nodes-in-between-zeros")</f>
        <v>merge-nodes-in-between-zeros</v>
      </c>
      <c r="D2182" s="20" t="b">
        <f>IFERROR(__xludf.DUMMYFUNCTION("""COMPUTED_VALUE"""),FALSE)</f>
        <v>0</v>
      </c>
      <c r="E2182" s="20" t="str">
        <f>IFERROR(__xludf.DUMMYFUNCTION("""COMPUTED_VALUE"""),"Medium")</f>
        <v>Medium</v>
      </c>
      <c r="F2182" s="20">
        <f>IFERROR(__xludf.DUMMYFUNCTION("""COMPUTED_VALUE"""),1031.0)</f>
        <v>1031</v>
      </c>
      <c r="G2182" s="20">
        <f>IFERROR(__xludf.DUMMYFUNCTION("""COMPUTED_VALUE"""),20.0)</f>
        <v>20</v>
      </c>
      <c r="H2182" s="20" t="str">
        <f>IFERROR(__xludf.DUMMYFUNCTION("""COMPUTED_VALUE"""),"Algorithms")</f>
        <v>Algorithms</v>
      </c>
      <c r="I2182" s="20">
        <f>IFERROR(__xludf.DUMMYFUNCTION("""COMPUTED_VALUE"""),0.867)</f>
        <v>0.867</v>
      </c>
      <c r="J2182" s="20">
        <f>IFERROR(__xludf.DUMMYFUNCTION("""COMPUTED_VALUE"""),2181.0)</f>
        <v>2181</v>
      </c>
      <c r="K2182" s="20" t="b">
        <f>IFERROR(__xludf.DUMMYFUNCTION("""COMPUTED_VALUE"""),FALSE)</f>
        <v>0</v>
      </c>
      <c r="L2182" s="20" t="str">
        <f>IFERROR(__xludf.DUMMYFUNCTION("""COMPUTED_VALUE"""),"Linked List;Simulation;")</f>
        <v>Linked List;Simulation;</v>
      </c>
      <c r="M2182" s="20" t="b">
        <f>IFERROR(__xludf.DUMMYFUNCTION("""COMPUTED_VALUE"""),FALSE)</f>
        <v>0</v>
      </c>
      <c r="N2182" s="20" t="b">
        <f>IFERROR(__xludf.DUMMYFUNCTION("""COMPUTED_VALUE"""),FALSE)</f>
        <v>0</v>
      </c>
      <c r="O2182" s="20">
        <f>IFERROR(__xludf.DUMMYFUNCTION("""COMPUTED_VALUE"""),86.7147665781363)</f>
        <v>86.71476658</v>
      </c>
      <c r="P2182" s="20">
        <f>IFERROR(__xludf.DUMMYFUNCTION("""COMPUTED_VALUE"""),61054.0)</f>
        <v>61054</v>
      </c>
      <c r="Q2182" s="20">
        <f>IFERROR(__xludf.DUMMYFUNCTION("""COMPUTED_VALUE"""),70408.0)</f>
        <v>70408</v>
      </c>
    </row>
    <row r="2183">
      <c r="A2183" s="20">
        <f>IFERROR(__xludf.DUMMYFUNCTION("""COMPUTED_VALUE"""),2300.0)</f>
        <v>2300</v>
      </c>
      <c r="B2183" s="20" t="str">
        <f>IFERROR(__xludf.DUMMYFUNCTION("""COMPUTED_VALUE"""),"Construct String With Repeat Limit")</f>
        <v>Construct String With Repeat Limit</v>
      </c>
      <c r="C2183" s="20" t="str">
        <f>IFERROR(__xludf.DUMMYFUNCTION("""COMPUTED_VALUE"""),"construct-string-with-repeat-limit")</f>
        <v>construct-string-with-repeat-limit</v>
      </c>
      <c r="D2183" s="20" t="b">
        <f>IFERROR(__xludf.DUMMYFUNCTION("""COMPUTED_VALUE"""),FALSE)</f>
        <v>0</v>
      </c>
      <c r="E2183" s="20" t="str">
        <f>IFERROR(__xludf.DUMMYFUNCTION("""COMPUTED_VALUE"""),"Medium")</f>
        <v>Medium</v>
      </c>
      <c r="F2183" s="20">
        <f>IFERROR(__xludf.DUMMYFUNCTION("""COMPUTED_VALUE"""),481.0)</f>
        <v>481</v>
      </c>
      <c r="G2183" s="20">
        <f>IFERROR(__xludf.DUMMYFUNCTION("""COMPUTED_VALUE"""),30.0)</f>
        <v>30</v>
      </c>
      <c r="H2183" s="20" t="str">
        <f>IFERROR(__xludf.DUMMYFUNCTION("""COMPUTED_VALUE"""),"Algorithms")</f>
        <v>Algorithms</v>
      </c>
      <c r="I2183" s="20">
        <f>IFERROR(__xludf.DUMMYFUNCTION("""COMPUTED_VALUE"""),0.521)</f>
        <v>0.521</v>
      </c>
      <c r="J2183" s="20">
        <f>IFERROR(__xludf.DUMMYFUNCTION("""COMPUTED_VALUE"""),2182.0)</f>
        <v>2182</v>
      </c>
      <c r="K2183" s="20" t="b">
        <f>IFERROR(__xludf.DUMMYFUNCTION("""COMPUTED_VALUE"""),FALSE)</f>
        <v>0</v>
      </c>
      <c r="L2183" s="20" t="str">
        <f>IFERROR(__xludf.DUMMYFUNCTION("""COMPUTED_VALUE"""),"String;Greedy;Heap (Priority Queue);Counting;")</f>
        <v>String;Greedy;Heap (Priority Queue);Counting;</v>
      </c>
      <c r="M2183" s="20" t="b">
        <f>IFERROR(__xludf.DUMMYFUNCTION("""COMPUTED_VALUE"""),FALSE)</f>
        <v>0</v>
      </c>
      <c r="N2183" s="20" t="b">
        <f>IFERROR(__xludf.DUMMYFUNCTION("""COMPUTED_VALUE"""),FALSE)</f>
        <v>0</v>
      </c>
      <c r="O2183" s="20">
        <f>IFERROR(__xludf.DUMMYFUNCTION("""COMPUTED_VALUE"""),52.1329639889196)</f>
        <v>52.13296399</v>
      </c>
      <c r="P2183" s="20">
        <f>IFERROR(__xludf.DUMMYFUNCTION("""COMPUTED_VALUE"""),15997.0)</f>
        <v>15997</v>
      </c>
      <c r="Q2183" s="20">
        <f>IFERROR(__xludf.DUMMYFUNCTION("""COMPUTED_VALUE"""),30685.0)</f>
        <v>30685</v>
      </c>
    </row>
    <row r="2184">
      <c r="A2184" s="20">
        <f>IFERROR(__xludf.DUMMYFUNCTION("""COMPUTED_VALUE"""),2301.0)</f>
        <v>2301</v>
      </c>
      <c r="B2184" s="20" t="str">
        <f>IFERROR(__xludf.DUMMYFUNCTION("""COMPUTED_VALUE"""),"Count Array Pairs Divisible by K")</f>
        <v>Count Array Pairs Divisible by K</v>
      </c>
      <c r="C2184" s="20" t="str">
        <f>IFERROR(__xludf.DUMMYFUNCTION("""COMPUTED_VALUE"""),"count-array-pairs-divisible-by-k")</f>
        <v>count-array-pairs-divisible-by-k</v>
      </c>
      <c r="D2184" s="20" t="b">
        <f>IFERROR(__xludf.DUMMYFUNCTION("""COMPUTED_VALUE"""),FALSE)</f>
        <v>0</v>
      </c>
      <c r="E2184" s="20" t="str">
        <f>IFERROR(__xludf.DUMMYFUNCTION("""COMPUTED_VALUE"""),"Hard")</f>
        <v>Hard</v>
      </c>
      <c r="F2184" s="20">
        <f>IFERROR(__xludf.DUMMYFUNCTION("""COMPUTED_VALUE"""),613.0)</f>
        <v>613</v>
      </c>
      <c r="G2184" s="20">
        <f>IFERROR(__xludf.DUMMYFUNCTION("""COMPUTED_VALUE"""),31.0)</f>
        <v>31</v>
      </c>
      <c r="H2184" s="20" t="str">
        <f>IFERROR(__xludf.DUMMYFUNCTION("""COMPUTED_VALUE"""),"Algorithms")</f>
        <v>Algorithms</v>
      </c>
      <c r="I2184" s="20">
        <f>IFERROR(__xludf.DUMMYFUNCTION("""COMPUTED_VALUE"""),0.287)</f>
        <v>0.287</v>
      </c>
      <c r="J2184" s="20">
        <f>IFERROR(__xludf.DUMMYFUNCTION("""COMPUTED_VALUE"""),2183.0)</f>
        <v>2183</v>
      </c>
      <c r="K2184" s="20" t="b">
        <f>IFERROR(__xludf.DUMMYFUNCTION("""COMPUTED_VALUE"""),FALSE)</f>
        <v>0</v>
      </c>
      <c r="L2184" s="20" t="str">
        <f>IFERROR(__xludf.DUMMYFUNCTION("""COMPUTED_VALUE"""),"Array;Math;Number Theory;")</f>
        <v>Array;Math;Number Theory;</v>
      </c>
      <c r="M2184" s="20" t="b">
        <f>IFERROR(__xludf.DUMMYFUNCTION("""COMPUTED_VALUE"""),FALSE)</f>
        <v>0</v>
      </c>
      <c r="N2184" s="20" t="b">
        <f>IFERROR(__xludf.DUMMYFUNCTION("""COMPUTED_VALUE"""),FALSE)</f>
        <v>0</v>
      </c>
      <c r="O2184" s="20">
        <f>IFERROR(__xludf.DUMMYFUNCTION("""COMPUTED_VALUE"""),28.7076764021711)</f>
        <v>28.7076764</v>
      </c>
      <c r="P2184" s="20">
        <f>IFERROR(__xludf.DUMMYFUNCTION("""COMPUTED_VALUE"""),11107.0)</f>
        <v>11107</v>
      </c>
      <c r="Q2184" s="20">
        <f>IFERROR(__xludf.DUMMYFUNCTION("""COMPUTED_VALUE"""),38690.0)</f>
        <v>38690</v>
      </c>
    </row>
    <row r="2185">
      <c r="A2185" s="20">
        <f>IFERROR(__xludf.DUMMYFUNCTION("""COMPUTED_VALUE"""),2322.0)</f>
        <v>2322</v>
      </c>
      <c r="B2185" s="20" t="str">
        <f>IFERROR(__xludf.DUMMYFUNCTION("""COMPUTED_VALUE"""),"Number of Ways to Build Sturdy Brick Wall")</f>
        <v>Number of Ways to Build Sturdy Brick Wall</v>
      </c>
      <c r="C2185" s="20" t="str">
        <f>IFERROR(__xludf.DUMMYFUNCTION("""COMPUTED_VALUE"""),"number-of-ways-to-build-sturdy-brick-wall")</f>
        <v>number-of-ways-to-build-sturdy-brick-wall</v>
      </c>
      <c r="D2185" s="20" t="b">
        <f>IFERROR(__xludf.DUMMYFUNCTION("""COMPUTED_VALUE"""),TRUE)</f>
        <v>1</v>
      </c>
      <c r="E2185" s="20" t="str">
        <f>IFERROR(__xludf.DUMMYFUNCTION("""COMPUTED_VALUE"""),"Medium")</f>
        <v>Medium</v>
      </c>
      <c r="F2185" s="20">
        <f>IFERROR(__xludf.DUMMYFUNCTION("""COMPUTED_VALUE"""),111.0)</f>
        <v>111</v>
      </c>
      <c r="G2185" s="20">
        <f>IFERROR(__xludf.DUMMYFUNCTION("""COMPUTED_VALUE"""),73.0)</f>
        <v>73</v>
      </c>
      <c r="H2185" s="20" t="str">
        <f>IFERROR(__xludf.DUMMYFUNCTION("""COMPUTED_VALUE"""),"Algorithms")</f>
        <v>Algorithms</v>
      </c>
      <c r="I2185" s="20">
        <f>IFERROR(__xludf.DUMMYFUNCTION("""COMPUTED_VALUE"""),0.509)</f>
        <v>0.509</v>
      </c>
      <c r="J2185" s="20">
        <f>IFERROR(__xludf.DUMMYFUNCTION("""COMPUTED_VALUE"""),2184.0)</f>
        <v>2184</v>
      </c>
      <c r="K2185" s="20" t="b">
        <f>IFERROR(__xludf.DUMMYFUNCTION("""COMPUTED_VALUE"""),TRUE)</f>
        <v>1</v>
      </c>
      <c r="L2185" s="20" t="str">
        <f>IFERROR(__xludf.DUMMYFUNCTION("""COMPUTED_VALUE"""),"Array;Dynamic Programming;Bit Manipulation;Bitmask;")</f>
        <v>Array;Dynamic Programming;Bit Manipulation;Bitmask;</v>
      </c>
      <c r="M2185" s="20" t="b">
        <f>IFERROR(__xludf.DUMMYFUNCTION("""COMPUTED_VALUE"""),FALSE)</f>
        <v>0</v>
      </c>
      <c r="N2185" s="20" t="b">
        <f>IFERROR(__xludf.DUMMYFUNCTION("""COMPUTED_VALUE"""),FALSE)</f>
        <v>0</v>
      </c>
      <c r="O2185" s="20">
        <f>IFERROR(__xludf.DUMMYFUNCTION("""COMPUTED_VALUE"""),50.9181029627126)</f>
        <v>50.91810296</v>
      </c>
      <c r="P2185" s="20">
        <f>IFERROR(__xludf.DUMMYFUNCTION("""COMPUTED_VALUE"""),4520.0)</f>
        <v>4520</v>
      </c>
      <c r="Q2185" s="20">
        <f>IFERROR(__xludf.DUMMYFUNCTION("""COMPUTED_VALUE"""),8877.0)</f>
        <v>8877</v>
      </c>
    </row>
    <row r="2186">
      <c r="A2186" s="20">
        <f>IFERROR(__xludf.DUMMYFUNCTION("""COMPUTED_VALUE"""),2292.0)</f>
        <v>2292</v>
      </c>
      <c r="B2186" s="20" t="str">
        <f>IFERROR(__xludf.DUMMYFUNCTION("""COMPUTED_VALUE"""),"Counting Words With a Given Prefix")</f>
        <v>Counting Words With a Given Prefix</v>
      </c>
      <c r="C2186" s="20" t="str">
        <f>IFERROR(__xludf.DUMMYFUNCTION("""COMPUTED_VALUE"""),"counting-words-with-a-given-prefix")</f>
        <v>counting-words-with-a-given-prefix</v>
      </c>
      <c r="D2186" s="20" t="b">
        <f>IFERROR(__xludf.DUMMYFUNCTION("""COMPUTED_VALUE"""),FALSE)</f>
        <v>0</v>
      </c>
      <c r="E2186" s="20" t="str">
        <f>IFERROR(__xludf.DUMMYFUNCTION("""COMPUTED_VALUE"""),"Easy")</f>
        <v>Easy</v>
      </c>
      <c r="F2186" s="20">
        <f>IFERROR(__xludf.DUMMYFUNCTION("""COMPUTED_VALUE"""),427.0)</f>
        <v>427</v>
      </c>
      <c r="G2186" s="20">
        <f>IFERROR(__xludf.DUMMYFUNCTION("""COMPUTED_VALUE"""),11.0)</f>
        <v>11</v>
      </c>
      <c r="H2186" s="20" t="str">
        <f>IFERROR(__xludf.DUMMYFUNCTION("""COMPUTED_VALUE"""),"Algorithms")</f>
        <v>Algorithms</v>
      </c>
      <c r="I2186" s="20">
        <f>IFERROR(__xludf.DUMMYFUNCTION("""COMPUTED_VALUE"""),0.771)</f>
        <v>0.771</v>
      </c>
      <c r="J2186" s="20">
        <f>IFERROR(__xludf.DUMMYFUNCTION("""COMPUTED_VALUE"""),2185.0)</f>
        <v>2185</v>
      </c>
      <c r="K2186" s="20" t="b">
        <f>IFERROR(__xludf.DUMMYFUNCTION("""COMPUTED_VALUE"""),FALSE)</f>
        <v>0</v>
      </c>
      <c r="L2186" s="20" t="str">
        <f>IFERROR(__xludf.DUMMYFUNCTION("""COMPUTED_VALUE"""),"Array;String;")</f>
        <v>Array;String;</v>
      </c>
      <c r="M2186" s="20" t="b">
        <f>IFERROR(__xludf.DUMMYFUNCTION("""COMPUTED_VALUE"""),FALSE)</f>
        <v>0</v>
      </c>
      <c r="N2186" s="20" t="b">
        <f>IFERROR(__xludf.DUMMYFUNCTION("""COMPUTED_VALUE"""),FALSE)</f>
        <v>0</v>
      </c>
      <c r="O2186" s="20">
        <f>IFERROR(__xludf.DUMMYFUNCTION("""COMPUTED_VALUE"""),77.145116646896)</f>
        <v>77.14511665</v>
      </c>
      <c r="P2186" s="20">
        <f>IFERROR(__xludf.DUMMYFUNCTION("""COMPUTED_VALUE"""),52676.0)</f>
        <v>52676</v>
      </c>
      <c r="Q2186" s="20">
        <f>IFERROR(__xludf.DUMMYFUNCTION("""COMPUTED_VALUE"""),68282.0)</f>
        <v>68282</v>
      </c>
    </row>
    <row r="2187">
      <c r="A2187" s="20">
        <f>IFERROR(__xludf.DUMMYFUNCTION("""COMPUTED_VALUE"""),2293.0)</f>
        <v>2293</v>
      </c>
      <c r="B2187" s="20" t="str">
        <f>IFERROR(__xludf.DUMMYFUNCTION("""COMPUTED_VALUE"""),"Minimum Number of Steps to Make Two Strings Anagram II")</f>
        <v>Minimum Number of Steps to Make Two Strings Anagram II</v>
      </c>
      <c r="C2187" s="20" t="str">
        <f>IFERROR(__xludf.DUMMYFUNCTION("""COMPUTED_VALUE"""),"minimum-number-of-steps-to-make-two-strings-anagram-ii")</f>
        <v>minimum-number-of-steps-to-make-two-strings-anagram-ii</v>
      </c>
      <c r="D2187" s="20" t="b">
        <f>IFERROR(__xludf.DUMMYFUNCTION("""COMPUTED_VALUE"""),FALSE)</f>
        <v>0</v>
      </c>
      <c r="E2187" s="20" t="str">
        <f>IFERROR(__xludf.DUMMYFUNCTION("""COMPUTED_VALUE"""),"Medium")</f>
        <v>Medium</v>
      </c>
      <c r="F2187" s="20">
        <f>IFERROR(__xludf.DUMMYFUNCTION("""COMPUTED_VALUE"""),376.0)</f>
        <v>376</v>
      </c>
      <c r="G2187" s="20">
        <f>IFERROR(__xludf.DUMMYFUNCTION("""COMPUTED_VALUE"""),10.0)</f>
        <v>10</v>
      </c>
      <c r="H2187" s="20" t="str">
        <f>IFERROR(__xludf.DUMMYFUNCTION("""COMPUTED_VALUE"""),"Algorithms")</f>
        <v>Algorithms</v>
      </c>
      <c r="I2187" s="20">
        <f>IFERROR(__xludf.DUMMYFUNCTION("""COMPUTED_VALUE"""),0.721)</f>
        <v>0.721</v>
      </c>
      <c r="J2187" s="20">
        <f>IFERROR(__xludf.DUMMYFUNCTION("""COMPUTED_VALUE"""),2186.0)</f>
        <v>2186</v>
      </c>
      <c r="K2187" s="20" t="b">
        <f>IFERROR(__xludf.DUMMYFUNCTION("""COMPUTED_VALUE"""),FALSE)</f>
        <v>0</v>
      </c>
      <c r="L2187" s="20" t="str">
        <f>IFERROR(__xludf.DUMMYFUNCTION("""COMPUTED_VALUE"""),"Hash Table;String;Counting;")</f>
        <v>Hash Table;String;Counting;</v>
      </c>
      <c r="M2187" s="20" t="b">
        <f>IFERROR(__xludf.DUMMYFUNCTION("""COMPUTED_VALUE"""),FALSE)</f>
        <v>0</v>
      </c>
      <c r="N2187" s="20" t="b">
        <f>IFERROR(__xludf.DUMMYFUNCTION("""COMPUTED_VALUE"""),FALSE)</f>
        <v>0</v>
      </c>
      <c r="O2187" s="20">
        <f>IFERROR(__xludf.DUMMYFUNCTION("""COMPUTED_VALUE"""),72.0709089554832)</f>
        <v>72.07090896</v>
      </c>
      <c r="P2187" s="20">
        <f>IFERROR(__xludf.DUMMYFUNCTION("""COMPUTED_VALUE"""),29028.0)</f>
        <v>29028</v>
      </c>
      <c r="Q2187" s="20">
        <f>IFERROR(__xludf.DUMMYFUNCTION("""COMPUTED_VALUE"""),40277.0)</f>
        <v>40277</v>
      </c>
    </row>
    <row r="2188">
      <c r="A2188" s="20">
        <f>IFERROR(__xludf.DUMMYFUNCTION("""COMPUTED_VALUE"""),2294.0)</f>
        <v>2294</v>
      </c>
      <c r="B2188" s="20" t="str">
        <f>IFERROR(__xludf.DUMMYFUNCTION("""COMPUTED_VALUE"""),"Minimum Time to Complete Trips")</f>
        <v>Minimum Time to Complete Trips</v>
      </c>
      <c r="C2188" s="20" t="str">
        <f>IFERROR(__xludf.DUMMYFUNCTION("""COMPUTED_VALUE"""),"minimum-time-to-complete-trips")</f>
        <v>minimum-time-to-complete-trips</v>
      </c>
      <c r="D2188" s="20" t="b">
        <f>IFERROR(__xludf.DUMMYFUNCTION("""COMPUTED_VALUE"""),FALSE)</f>
        <v>0</v>
      </c>
      <c r="E2188" s="20" t="str">
        <f>IFERROR(__xludf.DUMMYFUNCTION("""COMPUTED_VALUE"""),"Medium")</f>
        <v>Medium</v>
      </c>
      <c r="F2188" s="20">
        <f>IFERROR(__xludf.DUMMYFUNCTION("""COMPUTED_VALUE"""),783.0)</f>
        <v>783</v>
      </c>
      <c r="G2188" s="20">
        <f>IFERROR(__xludf.DUMMYFUNCTION("""COMPUTED_VALUE"""),44.0)</f>
        <v>44</v>
      </c>
      <c r="H2188" s="20" t="str">
        <f>IFERROR(__xludf.DUMMYFUNCTION("""COMPUTED_VALUE"""),"Algorithms")</f>
        <v>Algorithms</v>
      </c>
      <c r="I2188" s="20">
        <f>IFERROR(__xludf.DUMMYFUNCTION("""COMPUTED_VALUE"""),0.321)</f>
        <v>0.321</v>
      </c>
      <c r="J2188" s="20">
        <f>IFERROR(__xludf.DUMMYFUNCTION("""COMPUTED_VALUE"""),2187.0)</f>
        <v>2187</v>
      </c>
      <c r="K2188" s="20" t="b">
        <f>IFERROR(__xludf.DUMMYFUNCTION("""COMPUTED_VALUE"""),FALSE)</f>
        <v>0</v>
      </c>
      <c r="L2188" s="20" t="str">
        <f>IFERROR(__xludf.DUMMYFUNCTION("""COMPUTED_VALUE"""),"Array;Binary Search;")</f>
        <v>Array;Binary Search;</v>
      </c>
      <c r="M2188" s="20" t="b">
        <f>IFERROR(__xludf.DUMMYFUNCTION("""COMPUTED_VALUE"""),FALSE)</f>
        <v>0</v>
      </c>
      <c r="N2188" s="20" t="b">
        <f>IFERROR(__xludf.DUMMYFUNCTION("""COMPUTED_VALUE"""),FALSE)</f>
        <v>0</v>
      </c>
      <c r="O2188" s="20">
        <f>IFERROR(__xludf.DUMMYFUNCTION("""COMPUTED_VALUE"""),32.1311118370902)</f>
        <v>32.13111184</v>
      </c>
      <c r="P2188" s="20">
        <f>IFERROR(__xludf.DUMMYFUNCTION("""COMPUTED_VALUE"""),29506.0)</f>
        <v>29506</v>
      </c>
      <c r="Q2188" s="20">
        <f>IFERROR(__xludf.DUMMYFUNCTION("""COMPUTED_VALUE"""),91830.0)</f>
        <v>91830</v>
      </c>
    </row>
    <row r="2189">
      <c r="A2189" s="20">
        <f>IFERROR(__xludf.DUMMYFUNCTION("""COMPUTED_VALUE"""),2295.0)</f>
        <v>2295</v>
      </c>
      <c r="B2189" s="20" t="str">
        <f>IFERROR(__xludf.DUMMYFUNCTION("""COMPUTED_VALUE"""),"Minimum Time to Finish the Race")</f>
        <v>Minimum Time to Finish the Race</v>
      </c>
      <c r="C2189" s="20" t="str">
        <f>IFERROR(__xludf.DUMMYFUNCTION("""COMPUTED_VALUE"""),"minimum-time-to-finish-the-race")</f>
        <v>minimum-time-to-finish-the-race</v>
      </c>
      <c r="D2189" s="20" t="b">
        <f>IFERROR(__xludf.DUMMYFUNCTION("""COMPUTED_VALUE"""),FALSE)</f>
        <v>0</v>
      </c>
      <c r="E2189" s="20" t="str">
        <f>IFERROR(__xludf.DUMMYFUNCTION("""COMPUTED_VALUE"""),"Hard")</f>
        <v>Hard</v>
      </c>
      <c r="F2189" s="20">
        <f>IFERROR(__xludf.DUMMYFUNCTION("""COMPUTED_VALUE"""),448.0)</f>
        <v>448</v>
      </c>
      <c r="G2189" s="20">
        <f>IFERROR(__xludf.DUMMYFUNCTION("""COMPUTED_VALUE"""),18.0)</f>
        <v>18</v>
      </c>
      <c r="H2189" s="20" t="str">
        <f>IFERROR(__xludf.DUMMYFUNCTION("""COMPUTED_VALUE"""),"Algorithms")</f>
        <v>Algorithms</v>
      </c>
      <c r="I2189" s="20">
        <f>IFERROR(__xludf.DUMMYFUNCTION("""COMPUTED_VALUE"""),0.417)</f>
        <v>0.417</v>
      </c>
      <c r="J2189" s="20">
        <f>IFERROR(__xludf.DUMMYFUNCTION("""COMPUTED_VALUE"""),2188.0)</f>
        <v>2188</v>
      </c>
      <c r="K2189" s="20" t="b">
        <f>IFERROR(__xludf.DUMMYFUNCTION("""COMPUTED_VALUE"""),FALSE)</f>
        <v>0</v>
      </c>
      <c r="L2189" s="20" t="str">
        <f>IFERROR(__xludf.DUMMYFUNCTION("""COMPUTED_VALUE"""),"Array;Dynamic Programming;")</f>
        <v>Array;Dynamic Programming;</v>
      </c>
      <c r="M2189" s="20" t="b">
        <f>IFERROR(__xludf.DUMMYFUNCTION("""COMPUTED_VALUE"""),FALSE)</f>
        <v>0</v>
      </c>
      <c r="N2189" s="20" t="b">
        <f>IFERROR(__xludf.DUMMYFUNCTION("""COMPUTED_VALUE"""),FALSE)</f>
        <v>0</v>
      </c>
      <c r="O2189" s="20">
        <f>IFERROR(__xludf.DUMMYFUNCTION("""COMPUTED_VALUE"""),41.7479730658238)</f>
        <v>41.74797307</v>
      </c>
      <c r="P2189" s="20">
        <f>IFERROR(__xludf.DUMMYFUNCTION("""COMPUTED_VALUE"""),9114.0)</f>
        <v>9114</v>
      </c>
      <c r="Q2189" s="20">
        <f>IFERROR(__xludf.DUMMYFUNCTION("""COMPUTED_VALUE"""),21831.0)</f>
        <v>21831</v>
      </c>
    </row>
    <row r="2190">
      <c r="A2190" s="20">
        <f>IFERROR(__xludf.DUMMYFUNCTION("""COMPUTED_VALUE"""),1385.0)</f>
        <v>1385</v>
      </c>
      <c r="B2190" s="20" t="str">
        <f>IFERROR(__xludf.DUMMYFUNCTION("""COMPUTED_VALUE"""),"Number of Ways to Build House of Cards")</f>
        <v>Number of Ways to Build House of Cards</v>
      </c>
      <c r="C2190" s="20" t="str">
        <f>IFERROR(__xludf.DUMMYFUNCTION("""COMPUTED_VALUE"""),"number-of-ways-to-build-house-of-cards")</f>
        <v>number-of-ways-to-build-house-of-cards</v>
      </c>
      <c r="D2190" s="20" t="b">
        <f>IFERROR(__xludf.DUMMYFUNCTION("""COMPUTED_VALUE"""),TRUE)</f>
        <v>1</v>
      </c>
      <c r="E2190" s="20" t="str">
        <f>IFERROR(__xludf.DUMMYFUNCTION("""COMPUTED_VALUE"""),"Medium")</f>
        <v>Medium</v>
      </c>
      <c r="F2190" s="20">
        <f>IFERROR(__xludf.DUMMYFUNCTION("""COMPUTED_VALUE"""),51.0)</f>
        <v>51</v>
      </c>
      <c r="G2190" s="20">
        <f>IFERROR(__xludf.DUMMYFUNCTION("""COMPUTED_VALUE"""),6.0)</f>
        <v>6</v>
      </c>
      <c r="H2190" s="20" t="str">
        <f>IFERROR(__xludf.DUMMYFUNCTION("""COMPUTED_VALUE"""),"Algorithms")</f>
        <v>Algorithms</v>
      </c>
      <c r="I2190" s="20">
        <f>IFERROR(__xludf.DUMMYFUNCTION("""COMPUTED_VALUE"""),0.629)</f>
        <v>0.629</v>
      </c>
      <c r="J2190" s="20">
        <f>IFERROR(__xludf.DUMMYFUNCTION("""COMPUTED_VALUE"""),2189.0)</f>
        <v>2189</v>
      </c>
      <c r="K2190" s="20" t="b">
        <f>IFERROR(__xludf.DUMMYFUNCTION("""COMPUTED_VALUE"""),TRUE)</f>
        <v>1</v>
      </c>
      <c r="L2190" s="20" t="str">
        <f>IFERROR(__xludf.DUMMYFUNCTION("""COMPUTED_VALUE"""),"Math;Dynamic Programming;")</f>
        <v>Math;Dynamic Programming;</v>
      </c>
      <c r="M2190" s="20" t="b">
        <f>IFERROR(__xludf.DUMMYFUNCTION("""COMPUTED_VALUE"""),FALSE)</f>
        <v>0</v>
      </c>
      <c r="N2190" s="20" t="b">
        <f>IFERROR(__xludf.DUMMYFUNCTION("""COMPUTED_VALUE"""),FALSE)</f>
        <v>0</v>
      </c>
      <c r="O2190" s="20">
        <f>IFERROR(__xludf.DUMMYFUNCTION("""COMPUTED_VALUE"""),62.8806186563557)</f>
        <v>62.88061866</v>
      </c>
      <c r="P2190" s="20">
        <f>IFERROR(__xludf.DUMMYFUNCTION("""COMPUTED_VALUE"""),1301.0)</f>
        <v>1301</v>
      </c>
      <c r="Q2190" s="20">
        <f>IFERROR(__xludf.DUMMYFUNCTION("""COMPUTED_VALUE"""),2069.0)</f>
        <v>2069</v>
      </c>
    </row>
    <row r="2191">
      <c r="A2191" s="20">
        <f>IFERROR(__xludf.DUMMYFUNCTION("""COMPUTED_VALUE"""),2312.0)</f>
        <v>2312</v>
      </c>
      <c r="B2191" s="20" t="str">
        <f>IFERROR(__xludf.DUMMYFUNCTION("""COMPUTED_VALUE"""),"Most Frequent Number Following Key In an Array")</f>
        <v>Most Frequent Number Following Key In an Array</v>
      </c>
      <c r="C2191" s="20" t="str">
        <f>IFERROR(__xludf.DUMMYFUNCTION("""COMPUTED_VALUE"""),"most-frequent-number-following-key-in-an-array")</f>
        <v>most-frequent-number-following-key-in-an-array</v>
      </c>
      <c r="D2191" s="20" t="b">
        <f>IFERROR(__xludf.DUMMYFUNCTION("""COMPUTED_VALUE"""),FALSE)</f>
        <v>0</v>
      </c>
      <c r="E2191" s="20" t="str">
        <f>IFERROR(__xludf.DUMMYFUNCTION("""COMPUTED_VALUE"""),"Easy")</f>
        <v>Easy</v>
      </c>
      <c r="F2191" s="20">
        <f>IFERROR(__xludf.DUMMYFUNCTION("""COMPUTED_VALUE"""),244.0)</f>
        <v>244</v>
      </c>
      <c r="G2191" s="20">
        <f>IFERROR(__xludf.DUMMYFUNCTION("""COMPUTED_VALUE"""),126.0)</f>
        <v>126</v>
      </c>
      <c r="H2191" s="20" t="str">
        <f>IFERROR(__xludf.DUMMYFUNCTION("""COMPUTED_VALUE"""),"Algorithms")</f>
        <v>Algorithms</v>
      </c>
      <c r="I2191" s="20">
        <f>IFERROR(__xludf.DUMMYFUNCTION("""COMPUTED_VALUE"""),0.604)</f>
        <v>0.604</v>
      </c>
      <c r="J2191" s="20">
        <f>IFERROR(__xludf.DUMMYFUNCTION("""COMPUTED_VALUE"""),2190.0)</f>
        <v>2190</v>
      </c>
      <c r="K2191" s="20" t="b">
        <f>IFERROR(__xludf.DUMMYFUNCTION("""COMPUTED_VALUE"""),FALSE)</f>
        <v>0</v>
      </c>
      <c r="L2191" s="20" t="str">
        <f>IFERROR(__xludf.DUMMYFUNCTION("""COMPUTED_VALUE"""),"Array;Hash Table;Counting;")</f>
        <v>Array;Hash Table;Counting;</v>
      </c>
      <c r="M2191" s="20" t="b">
        <f>IFERROR(__xludf.DUMMYFUNCTION("""COMPUTED_VALUE"""),FALSE)</f>
        <v>0</v>
      </c>
      <c r="N2191" s="20" t="b">
        <f>IFERROR(__xludf.DUMMYFUNCTION("""COMPUTED_VALUE"""),FALSE)</f>
        <v>0</v>
      </c>
      <c r="O2191" s="20">
        <f>IFERROR(__xludf.DUMMYFUNCTION("""COMPUTED_VALUE"""),60.3995299647473)</f>
        <v>60.39952996</v>
      </c>
      <c r="P2191" s="20">
        <f>IFERROR(__xludf.DUMMYFUNCTION("""COMPUTED_VALUE"""),24158.0)</f>
        <v>24158</v>
      </c>
      <c r="Q2191" s="20">
        <f>IFERROR(__xludf.DUMMYFUNCTION("""COMPUTED_VALUE"""),39997.0)</f>
        <v>39997</v>
      </c>
    </row>
    <row r="2192">
      <c r="A2192" s="20">
        <f>IFERROR(__xludf.DUMMYFUNCTION("""COMPUTED_VALUE"""),1333.0)</f>
        <v>1333</v>
      </c>
      <c r="B2192" s="20" t="str">
        <f>IFERROR(__xludf.DUMMYFUNCTION("""COMPUTED_VALUE"""),"Sort the Jumbled Numbers")</f>
        <v>Sort the Jumbled Numbers</v>
      </c>
      <c r="C2192" s="20" t="str">
        <f>IFERROR(__xludf.DUMMYFUNCTION("""COMPUTED_VALUE"""),"sort-the-jumbled-numbers")</f>
        <v>sort-the-jumbled-numbers</v>
      </c>
      <c r="D2192" s="20" t="b">
        <f>IFERROR(__xludf.DUMMYFUNCTION("""COMPUTED_VALUE"""),FALSE)</f>
        <v>0</v>
      </c>
      <c r="E2192" s="20" t="str">
        <f>IFERROR(__xludf.DUMMYFUNCTION("""COMPUTED_VALUE"""),"Medium")</f>
        <v>Medium</v>
      </c>
      <c r="F2192" s="20">
        <f>IFERROR(__xludf.DUMMYFUNCTION("""COMPUTED_VALUE"""),293.0)</f>
        <v>293</v>
      </c>
      <c r="G2192" s="20">
        <f>IFERROR(__xludf.DUMMYFUNCTION("""COMPUTED_VALUE"""),38.0)</f>
        <v>38</v>
      </c>
      <c r="H2192" s="20" t="str">
        <f>IFERROR(__xludf.DUMMYFUNCTION("""COMPUTED_VALUE"""),"Algorithms")</f>
        <v>Algorithms</v>
      </c>
      <c r="I2192" s="20">
        <f>IFERROR(__xludf.DUMMYFUNCTION("""COMPUTED_VALUE"""),0.454)</f>
        <v>0.454</v>
      </c>
      <c r="J2192" s="20">
        <f>IFERROR(__xludf.DUMMYFUNCTION("""COMPUTED_VALUE"""),2191.0)</f>
        <v>2191</v>
      </c>
      <c r="K2192" s="20" t="b">
        <f>IFERROR(__xludf.DUMMYFUNCTION("""COMPUTED_VALUE"""),FALSE)</f>
        <v>0</v>
      </c>
      <c r="L2192" s="20" t="str">
        <f>IFERROR(__xludf.DUMMYFUNCTION("""COMPUTED_VALUE"""),"Array;Sorting;")</f>
        <v>Array;Sorting;</v>
      </c>
      <c r="M2192" s="20" t="b">
        <f>IFERROR(__xludf.DUMMYFUNCTION("""COMPUTED_VALUE"""),FALSE)</f>
        <v>0</v>
      </c>
      <c r="N2192" s="20" t="b">
        <f>IFERROR(__xludf.DUMMYFUNCTION("""COMPUTED_VALUE"""),FALSE)</f>
        <v>0</v>
      </c>
      <c r="O2192" s="20">
        <f>IFERROR(__xludf.DUMMYFUNCTION("""COMPUTED_VALUE"""),45.4069870544422)</f>
        <v>45.40698705</v>
      </c>
      <c r="P2192" s="20">
        <f>IFERROR(__xludf.DUMMYFUNCTION("""COMPUTED_VALUE"""),15363.0)</f>
        <v>15363</v>
      </c>
      <c r="Q2192" s="20">
        <f>IFERROR(__xludf.DUMMYFUNCTION("""COMPUTED_VALUE"""),33834.0)</f>
        <v>33834</v>
      </c>
    </row>
    <row r="2193">
      <c r="A2193" s="20">
        <f>IFERROR(__xludf.DUMMYFUNCTION("""COMPUTED_VALUE"""),1431.0)</f>
        <v>1431</v>
      </c>
      <c r="B2193" s="20" t="str">
        <f>IFERROR(__xludf.DUMMYFUNCTION("""COMPUTED_VALUE"""),"All Ancestors of a Node in a Directed Acyclic Graph")</f>
        <v>All Ancestors of a Node in a Directed Acyclic Graph</v>
      </c>
      <c r="C2193" s="20" t="str">
        <f>IFERROR(__xludf.DUMMYFUNCTION("""COMPUTED_VALUE"""),"all-ancestors-of-a-node-in-a-directed-acyclic-graph")</f>
        <v>all-ancestors-of-a-node-in-a-directed-acyclic-graph</v>
      </c>
      <c r="D2193" s="20" t="b">
        <f>IFERROR(__xludf.DUMMYFUNCTION("""COMPUTED_VALUE"""),FALSE)</f>
        <v>0</v>
      </c>
      <c r="E2193" s="20" t="str">
        <f>IFERROR(__xludf.DUMMYFUNCTION("""COMPUTED_VALUE"""),"Medium")</f>
        <v>Medium</v>
      </c>
      <c r="F2193" s="20">
        <f>IFERROR(__xludf.DUMMYFUNCTION("""COMPUTED_VALUE"""),699.0)</f>
        <v>699</v>
      </c>
      <c r="G2193" s="20">
        <f>IFERROR(__xludf.DUMMYFUNCTION("""COMPUTED_VALUE"""),9.0)</f>
        <v>9</v>
      </c>
      <c r="H2193" s="20" t="str">
        <f>IFERROR(__xludf.DUMMYFUNCTION("""COMPUTED_VALUE"""),"Algorithms")</f>
        <v>Algorithms</v>
      </c>
      <c r="I2193" s="20">
        <f>IFERROR(__xludf.DUMMYFUNCTION("""COMPUTED_VALUE"""),0.505)</f>
        <v>0.505</v>
      </c>
      <c r="J2193" s="20">
        <f>IFERROR(__xludf.DUMMYFUNCTION("""COMPUTED_VALUE"""),2192.0)</f>
        <v>2192</v>
      </c>
      <c r="K2193" s="20" t="b">
        <f>IFERROR(__xludf.DUMMYFUNCTION("""COMPUTED_VALUE"""),FALSE)</f>
        <v>0</v>
      </c>
      <c r="L2193" s="20" t="str">
        <f>IFERROR(__xludf.DUMMYFUNCTION("""COMPUTED_VALUE"""),"Depth-First Search;Breadth-First Search;Graph;Topological Sort;")</f>
        <v>Depth-First Search;Breadth-First Search;Graph;Topological Sort;</v>
      </c>
      <c r="M2193" s="20" t="b">
        <f>IFERROR(__xludf.DUMMYFUNCTION("""COMPUTED_VALUE"""),FALSE)</f>
        <v>0</v>
      </c>
      <c r="N2193" s="20" t="b">
        <f>IFERROR(__xludf.DUMMYFUNCTION("""COMPUTED_VALUE"""),FALSE)</f>
        <v>0</v>
      </c>
      <c r="O2193" s="20">
        <f>IFERROR(__xludf.DUMMYFUNCTION("""COMPUTED_VALUE"""),50.5487956295008)</f>
        <v>50.54879563</v>
      </c>
      <c r="P2193" s="20">
        <f>IFERROR(__xludf.DUMMYFUNCTION("""COMPUTED_VALUE"""),20356.0)</f>
        <v>20356</v>
      </c>
      <c r="Q2193" s="20">
        <f>IFERROR(__xludf.DUMMYFUNCTION("""COMPUTED_VALUE"""),40270.0)</f>
        <v>40270</v>
      </c>
    </row>
    <row r="2194">
      <c r="A2194" s="20">
        <f>IFERROR(__xludf.DUMMYFUNCTION("""COMPUTED_VALUE"""),1356.0)</f>
        <v>1356</v>
      </c>
      <c r="B2194" s="20" t="str">
        <f>IFERROR(__xludf.DUMMYFUNCTION("""COMPUTED_VALUE"""),"Minimum Number of Moves to Make Palindrome")</f>
        <v>Minimum Number of Moves to Make Palindrome</v>
      </c>
      <c r="C2194" s="20" t="str">
        <f>IFERROR(__xludf.DUMMYFUNCTION("""COMPUTED_VALUE"""),"minimum-number-of-moves-to-make-palindrome")</f>
        <v>minimum-number-of-moves-to-make-palindrome</v>
      </c>
      <c r="D2194" s="20" t="b">
        <f>IFERROR(__xludf.DUMMYFUNCTION("""COMPUTED_VALUE"""),FALSE)</f>
        <v>0</v>
      </c>
      <c r="E2194" s="20" t="str">
        <f>IFERROR(__xludf.DUMMYFUNCTION("""COMPUTED_VALUE"""),"Hard")</f>
        <v>Hard</v>
      </c>
      <c r="F2194" s="20">
        <f>IFERROR(__xludf.DUMMYFUNCTION("""COMPUTED_VALUE"""),620.0)</f>
        <v>620</v>
      </c>
      <c r="G2194" s="20">
        <f>IFERROR(__xludf.DUMMYFUNCTION("""COMPUTED_VALUE"""),61.0)</f>
        <v>61</v>
      </c>
      <c r="H2194" s="20" t="str">
        <f>IFERROR(__xludf.DUMMYFUNCTION("""COMPUTED_VALUE"""),"Algorithms")</f>
        <v>Algorithms</v>
      </c>
      <c r="I2194" s="20">
        <f>IFERROR(__xludf.DUMMYFUNCTION("""COMPUTED_VALUE"""),0.514)</f>
        <v>0.514</v>
      </c>
      <c r="J2194" s="20">
        <f>IFERROR(__xludf.DUMMYFUNCTION("""COMPUTED_VALUE"""),2193.0)</f>
        <v>2193</v>
      </c>
      <c r="K2194" s="20" t="b">
        <f>IFERROR(__xludf.DUMMYFUNCTION("""COMPUTED_VALUE"""),FALSE)</f>
        <v>0</v>
      </c>
      <c r="L2194" s="20" t="str">
        <f>IFERROR(__xludf.DUMMYFUNCTION("""COMPUTED_VALUE"""),"Two Pointers;String;Greedy;Binary Indexed Tree;")</f>
        <v>Two Pointers;String;Greedy;Binary Indexed Tree;</v>
      </c>
      <c r="M2194" s="20" t="b">
        <f>IFERROR(__xludf.DUMMYFUNCTION("""COMPUTED_VALUE"""),FALSE)</f>
        <v>0</v>
      </c>
      <c r="N2194" s="20" t="b">
        <f>IFERROR(__xludf.DUMMYFUNCTION("""COMPUTED_VALUE"""),FALSE)</f>
        <v>0</v>
      </c>
      <c r="O2194" s="20">
        <f>IFERROR(__xludf.DUMMYFUNCTION("""COMPUTED_VALUE"""),51.4498366618394)</f>
        <v>51.44983666</v>
      </c>
      <c r="P2194" s="20">
        <f>IFERROR(__xludf.DUMMYFUNCTION("""COMPUTED_VALUE"""),15277.0)</f>
        <v>15277</v>
      </c>
      <c r="Q2194" s="20">
        <f>IFERROR(__xludf.DUMMYFUNCTION("""COMPUTED_VALUE"""),29693.0)</f>
        <v>29693</v>
      </c>
    </row>
    <row r="2195">
      <c r="A2195" s="20">
        <f>IFERROR(__xludf.DUMMYFUNCTION("""COMPUTED_VALUE"""),2304.0)</f>
        <v>2304</v>
      </c>
      <c r="B2195" s="20" t="str">
        <f>IFERROR(__xludf.DUMMYFUNCTION("""COMPUTED_VALUE"""),"Cells in a Range on an Excel Sheet")</f>
        <v>Cells in a Range on an Excel Sheet</v>
      </c>
      <c r="C2195" s="20" t="str">
        <f>IFERROR(__xludf.DUMMYFUNCTION("""COMPUTED_VALUE"""),"cells-in-a-range-on-an-excel-sheet")</f>
        <v>cells-in-a-range-on-an-excel-sheet</v>
      </c>
      <c r="D2195" s="20" t="b">
        <f>IFERROR(__xludf.DUMMYFUNCTION("""COMPUTED_VALUE"""),FALSE)</f>
        <v>0</v>
      </c>
      <c r="E2195" s="20" t="str">
        <f>IFERROR(__xludf.DUMMYFUNCTION("""COMPUTED_VALUE"""),"Easy")</f>
        <v>Easy</v>
      </c>
      <c r="F2195" s="20">
        <f>IFERROR(__xludf.DUMMYFUNCTION("""COMPUTED_VALUE"""),366.0)</f>
        <v>366</v>
      </c>
      <c r="G2195" s="20">
        <f>IFERROR(__xludf.DUMMYFUNCTION("""COMPUTED_VALUE"""),55.0)</f>
        <v>55</v>
      </c>
      <c r="H2195" s="20" t="str">
        <f>IFERROR(__xludf.DUMMYFUNCTION("""COMPUTED_VALUE"""),"Algorithms")</f>
        <v>Algorithms</v>
      </c>
      <c r="I2195" s="20">
        <f>IFERROR(__xludf.DUMMYFUNCTION("""COMPUTED_VALUE"""),0.855)</f>
        <v>0.855</v>
      </c>
      <c r="J2195" s="20">
        <f>IFERROR(__xludf.DUMMYFUNCTION("""COMPUTED_VALUE"""),2194.0)</f>
        <v>2194</v>
      </c>
      <c r="K2195" s="20" t="b">
        <f>IFERROR(__xludf.DUMMYFUNCTION("""COMPUTED_VALUE"""),FALSE)</f>
        <v>0</v>
      </c>
      <c r="L2195" s="20" t="str">
        <f>IFERROR(__xludf.DUMMYFUNCTION("""COMPUTED_VALUE"""),"String;")</f>
        <v>String;</v>
      </c>
      <c r="M2195" s="20" t="b">
        <f>IFERROR(__xludf.DUMMYFUNCTION("""COMPUTED_VALUE"""),FALSE)</f>
        <v>0</v>
      </c>
      <c r="N2195" s="20" t="b">
        <f>IFERROR(__xludf.DUMMYFUNCTION("""COMPUTED_VALUE"""),FALSE)</f>
        <v>0</v>
      </c>
      <c r="O2195" s="20">
        <f>IFERROR(__xludf.DUMMYFUNCTION("""COMPUTED_VALUE"""),85.4686211054)</f>
        <v>85.46862111</v>
      </c>
      <c r="P2195" s="20">
        <f>IFERROR(__xludf.DUMMYFUNCTION("""COMPUTED_VALUE"""),40406.0)</f>
        <v>40406</v>
      </c>
      <c r="Q2195" s="20">
        <f>IFERROR(__xludf.DUMMYFUNCTION("""COMPUTED_VALUE"""),47275.0)</f>
        <v>47275</v>
      </c>
    </row>
    <row r="2196">
      <c r="A2196" s="20">
        <f>IFERROR(__xludf.DUMMYFUNCTION("""COMPUTED_VALUE"""),2305.0)</f>
        <v>2305</v>
      </c>
      <c r="B2196" s="20" t="str">
        <f>IFERROR(__xludf.DUMMYFUNCTION("""COMPUTED_VALUE"""),"Append K Integers With Minimal Sum")</f>
        <v>Append K Integers With Minimal Sum</v>
      </c>
      <c r="C2196" s="20" t="str">
        <f>IFERROR(__xludf.DUMMYFUNCTION("""COMPUTED_VALUE"""),"append-k-integers-with-minimal-sum")</f>
        <v>append-k-integers-with-minimal-sum</v>
      </c>
      <c r="D2196" s="20" t="b">
        <f>IFERROR(__xludf.DUMMYFUNCTION("""COMPUTED_VALUE"""),FALSE)</f>
        <v>0</v>
      </c>
      <c r="E2196" s="20" t="str">
        <f>IFERROR(__xludf.DUMMYFUNCTION("""COMPUTED_VALUE"""),"Medium")</f>
        <v>Medium</v>
      </c>
      <c r="F2196" s="20">
        <f>IFERROR(__xludf.DUMMYFUNCTION("""COMPUTED_VALUE"""),492.0)</f>
        <v>492</v>
      </c>
      <c r="G2196" s="20">
        <f>IFERROR(__xludf.DUMMYFUNCTION("""COMPUTED_VALUE"""),261.0)</f>
        <v>261</v>
      </c>
      <c r="H2196" s="20" t="str">
        <f>IFERROR(__xludf.DUMMYFUNCTION("""COMPUTED_VALUE"""),"Algorithms")</f>
        <v>Algorithms</v>
      </c>
      <c r="I2196" s="20">
        <f>IFERROR(__xludf.DUMMYFUNCTION("""COMPUTED_VALUE"""),0.251)</f>
        <v>0.251</v>
      </c>
      <c r="J2196" s="20">
        <f>IFERROR(__xludf.DUMMYFUNCTION("""COMPUTED_VALUE"""),2195.0)</f>
        <v>2195</v>
      </c>
      <c r="K2196" s="20" t="b">
        <f>IFERROR(__xludf.DUMMYFUNCTION("""COMPUTED_VALUE"""),FALSE)</f>
        <v>0</v>
      </c>
      <c r="L2196" s="20" t="str">
        <f>IFERROR(__xludf.DUMMYFUNCTION("""COMPUTED_VALUE"""),"Array;Math;Greedy;Sorting;")</f>
        <v>Array;Math;Greedy;Sorting;</v>
      </c>
      <c r="M2196" s="20" t="b">
        <f>IFERROR(__xludf.DUMMYFUNCTION("""COMPUTED_VALUE"""),FALSE)</f>
        <v>0</v>
      </c>
      <c r="N2196" s="20" t="b">
        <f>IFERROR(__xludf.DUMMYFUNCTION("""COMPUTED_VALUE"""),FALSE)</f>
        <v>0</v>
      </c>
      <c r="O2196" s="20">
        <f>IFERROR(__xludf.DUMMYFUNCTION("""COMPUTED_VALUE"""),25.1360997176796)</f>
        <v>25.13609972</v>
      </c>
      <c r="P2196" s="20">
        <f>IFERROR(__xludf.DUMMYFUNCTION("""COMPUTED_VALUE"""),23594.0)</f>
        <v>23594</v>
      </c>
      <c r="Q2196" s="20">
        <f>IFERROR(__xludf.DUMMYFUNCTION("""COMPUTED_VALUE"""),93865.0)</f>
        <v>93865</v>
      </c>
    </row>
    <row r="2197">
      <c r="A2197" s="20">
        <f>IFERROR(__xludf.DUMMYFUNCTION("""COMPUTED_VALUE"""),2306.0)</f>
        <v>2306</v>
      </c>
      <c r="B2197" s="20" t="str">
        <f>IFERROR(__xludf.DUMMYFUNCTION("""COMPUTED_VALUE"""),"Create Binary Tree From Descriptions")</f>
        <v>Create Binary Tree From Descriptions</v>
      </c>
      <c r="C2197" s="20" t="str">
        <f>IFERROR(__xludf.DUMMYFUNCTION("""COMPUTED_VALUE"""),"create-binary-tree-from-descriptions")</f>
        <v>create-binary-tree-from-descriptions</v>
      </c>
      <c r="D2197" s="20" t="b">
        <f>IFERROR(__xludf.DUMMYFUNCTION("""COMPUTED_VALUE"""),FALSE)</f>
        <v>0</v>
      </c>
      <c r="E2197" s="20" t="str">
        <f>IFERROR(__xludf.DUMMYFUNCTION("""COMPUTED_VALUE"""),"Medium")</f>
        <v>Medium</v>
      </c>
      <c r="F2197" s="20">
        <f>IFERROR(__xludf.DUMMYFUNCTION("""COMPUTED_VALUE"""),664.0)</f>
        <v>664</v>
      </c>
      <c r="G2197" s="20">
        <f>IFERROR(__xludf.DUMMYFUNCTION("""COMPUTED_VALUE"""),16.0)</f>
        <v>16</v>
      </c>
      <c r="H2197" s="20" t="str">
        <f>IFERROR(__xludf.DUMMYFUNCTION("""COMPUTED_VALUE"""),"Algorithms")</f>
        <v>Algorithms</v>
      </c>
      <c r="I2197" s="20">
        <f>IFERROR(__xludf.DUMMYFUNCTION("""COMPUTED_VALUE"""),0.722)</f>
        <v>0.722</v>
      </c>
      <c r="J2197" s="20">
        <f>IFERROR(__xludf.DUMMYFUNCTION("""COMPUTED_VALUE"""),2196.0)</f>
        <v>2196</v>
      </c>
      <c r="K2197" s="20" t="b">
        <f>IFERROR(__xludf.DUMMYFUNCTION("""COMPUTED_VALUE"""),FALSE)</f>
        <v>0</v>
      </c>
      <c r="L2197" s="20" t="str">
        <f>IFERROR(__xludf.DUMMYFUNCTION("""COMPUTED_VALUE"""),"Array;Hash Table;Tree;Depth-First Search;Breadth-First Search;Binary Tree;")</f>
        <v>Array;Hash Table;Tree;Depth-First Search;Breadth-First Search;Binary Tree;</v>
      </c>
      <c r="M2197" s="20" t="b">
        <f>IFERROR(__xludf.DUMMYFUNCTION("""COMPUTED_VALUE"""),FALSE)</f>
        <v>0</v>
      </c>
      <c r="N2197" s="20" t="b">
        <f>IFERROR(__xludf.DUMMYFUNCTION("""COMPUTED_VALUE"""),FALSE)</f>
        <v>0</v>
      </c>
      <c r="O2197" s="20">
        <f>IFERROR(__xludf.DUMMYFUNCTION("""COMPUTED_VALUE"""),72.2010802848023)</f>
        <v>72.20108028</v>
      </c>
      <c r="P2197" s="20">
        <f>IFERROR(__xludf.DUMMYFUNCTION("""COMPUTED_VALUE"""),23526.0)</f>
        <v>23526</v>
      </c>
      <c r="Q2197" s="20">
        <f>IFERROR(__xludf.DUMMYFUNCTION("""COMPUTED_VALUE"""),32584.0)</f>
        <v>32584</v>
      </c>
    </row>
    <row r="2198">
      <c r="A2198" s="20">
        <f>IFERROR(__xludf.DUMMYFUNCTION("""COMPUTED_VALUE"""),2307.0)</f>
        <v>2307</v>
      </c>
      <c r="B2198" s="20" t="str">
        <f>IFERROR(__xludf.DUMMYFUNCTION("""COMPUTED_VALUE"""),"Replace Non-Coprime Numbers in Array")</f>
        <v>Replace Non-Coprime Numbers in Array</v>
      </c>
      <c r="C2198" s="20" t="str">
        <f>IFERROR(__xludf.DUMMYFUNCTION("""COMPUTED_VALUE"""),"replace-non-coprime-numbers-in-array")</f>
        <v>replace-non-coprime-numbers-in-array</v>
      </c>
      <c r="D2198" s="20" t="b">
        <f>IFERROR(__xludf.DUMMYFUNCTION("""COMPUTED_VALUE"""),FALSE)</f>
        <v>0</v>
      </c>
      <c r="E2198" s="20" t="str">
        <f>IFERROR(__xludf.DUMMYFUNCTION("""COMPUTED_VALUE"""),"Hard")</f>
        <v>Hard</v>
      </c>
      <c r="F2198" s="20">
        <f>IFERROR(__xludf.DUMMYFUNCTION("""COMPUTED_VALUE"""),342.0)</f>
        <v>342</v>
      </c>
      <c r="G2198" s="20">
        <f>IFERROR(__xludf.DUMMYFUNCTION("""COMPUTED_VALUE"""),9.0)</f>
        <v>9</v>
      </c>
      <c r="H2198" s="20" t="str">
        <f>IFERROR(__xludf.DUMMYFUNCTION("""COMPUTED_VALUE"""),"Algorithms")</f>
        <v>Algorithms</v>
      </c>
      <c r="I2198" s="20">
        <f>IFERROR(__xludf.DUMMYFUNCTION("""COMPUTED_VALUE"""),0.387)</f>
        <v>0.387</v>
      </c>
      <c r="J2198" s="20">
        <f>IFERROR(__xludf.DUMMYFUNCTION("""COMPUTED_VALUE"""),2197.0)</f>
        <v>2197</v>
      </c>
      <c r="K2198" s="20" t="b">
        <f>IFERROR(__xludf.DUMMYFUNCTION("""COMPUTED_VALUE"""),FALSE)</f>
        <v>0</v>
      </c>
      <c r="L2198" s="20" t="str">
        <f>IFERROR(__xludf.DUMMYFUNCTION("""COMPUTED_VALUE"""),"Array;Math;Stack;Number Theory;")</f>
        <v>Array;Math;Stack;Number Theory;</v>
      </c>
      <c r="M2198" s="20" t="b">
        <f>IFERROR(__xludf.DUMMYFUNCTION("""COMPUTED_VALUE"""),FALSE)</f>
        <v>0</v>
      </c>
      <c r="N2198" s="20" t="b">
        <f>IFERROR(__xludf.DUMMYFUNCTION("""COMPUTED_VALUE"""),FALSE)</f>
        <v>0</v>
      </c>
      <c r="O2198" s="20">
        <f>IFERROR(__xludf.DUMMYFUNCTION("""COMPUTED_VALUE"""),38.7000491607556)</f>
        <v>38.70004916</v>
      </c>
      <c r="P2198" s="20">
        <f>IFERROR(__xludf.DUMMYFUNCTION("""COMPUTED_VALUE"""),11021.0)</f>
        <v>11021</v>
      </c>
      <c r="Q2198" s="20">
        <f>IFERROR(__xludf.DUMMYFUNCTION("""COMPUTED_VALUE"""),28478.0)</f>
        <v>28478</v>
      </c>
    </row>
    <row r="2199">
      <c r="A2199" s="20">
        <f>IFERROR(__xludf.DUMMYFUNCTION("""COMPUTED_VALUE"""),1383.0)</f>
        <v>1383</v>
      </c>
      <c r="B2199" s="20" t="str">
        <f>IFERROR(__xludf.DUMMYFUNCTION("""COMPUTED_VALUE"""),"Number of Single Divisor Triplets")</f>
        <v>Number of Single Divisor Triplets</v>
      </c>
      <c r="C2199" s="20" t="str">
        <f>IFERROR(__xludf.DUMMYFUNCTION("""COMPUTED_VALUE"""),"number-of-single-divisor-triplets")</f>
        <v>number-of-single-divisor-triplets</v>
      </c>
      <c r="D2199" s="20" t="b">
        <f>IFERROR(__xludf.DUMMYFUNCTION("""COMPUTED_VALUE"""),TRUE)</f>
        <v>1</v>
      </c>
      <c r="E2199" s="20" t="str">
        <f>IFERROR(__xludf.DUMMYFUNCTION("""COMPUTED_VALUE"""),"Medium")</f>
        <v>Medium</v>
      </c>
      <c r="F2199" s="20">
        <f>IFERROR(__xludf.DUMMYFUNCTION("""COMPUTED_VALUE"""),19.0)</f>
        <v>19</v>
      </c>
      <c r="G2199" s="20">
        <f>IFERROR(__xludf.DUMMYFUNCTION("""COMPUTED_VALUE"""),6.0)</f>
        <v>6</v>
      </c>
      <c r="H2199" s="20" t="str">
        <f>IFERROR(__xludf.DUMMYFUNCTION("""COMPUTED_VALUE"""),"Algorithms")</f>
        <v>Algorithms</v>
      </c>
      <c r="I2199" s="20">
        <f>IFERROR(__xludf.DUMMYFUNCTION("""COMPUTED_VALUE"""),0.559)</f>
        <v>0.559</v>
      </c>
      <c r="J2199" s="20">
        <f>IFERROR(__xludf.DUMMYFUNCTION("""COMPUTED_VALUE"""),2198.0)</f>
        <v>2198</v>
      </c>
      <c r="K2199" s="20" t="b">
        <f>IFERROR(__xludf.DUMMYFUNCTION("""COMPUTED_VALUE"""),TRUE)</f>
        <v>1</v>
      </c>
      <c r="L2199" s="20" t="str">
        <f>IFERROR(__xludf.DUMMYFUNCTION("""COMPUTED_VALUE"""),"Math;")</f>
        <v>Math;</v>
      </c>
      <c r="M2199" s="20" t="b">
        <f>IFERROR(__xludf.DUMMYFUNCTION("""COMPUTED_VALUE"""),FALSE)</f>
        <v>0</v>
      </c>
      <c r="N2199" s="20" t="b">
        <f>IFERROR(__xludf.DUMMYFUNCTION("""COMPUTED_VALUE"""),FALSE)</f>
        <v>0</v>
      </c>
      <c r="O2199" s="20">
        <f>IFERROR(__xludf.DUMMYFUNCTION("""COMPUTED_VALUE"""),55.9105431309904)</f>
        <v>55.91054313</v>
      </c>
      <c r="P2199" s="20">
        <f>IFERROR(__xludf.DUMMYFUNCTION("""COMPUTED_VALUE"""),700.0)</f>
        <v>700</v>
      </c>
      <c r="Q2199" s="20">
        <f>IFERROR(__xludf.DUMMYFUNCTION("""COMPUTED_VALUE"""),1252.0)</f>
        <v>1252</v>
      </c>
    </row>
    <row r="2200">
      <c r="A2200" s="20">
        <f>IFERROR(__xludf.DUMMYFUNCTION("""COMPUTED_VALUE"""),2335.0)</f>
        <v>2335</v>
      </c>
      <c r="B2200" s="20" t="str">
        <f>IFERROR(__xludf.DUMMYFUNCTION("""COMPUTED_VALUE"""),"Finding the Topic of Each Post")</f>
        <v>Finding the Topic of Each Post</v>
      </c>
      <c r="C2200" s="20" t="str">
        <f>IFERROR(__xludf.DUMMYFUNCTION("""COMPUTED_VALUE"""),"finding-the-topic-of-each-post")</f>
        <v>finding-the-topic-of-each-post</v>
      </c>
      <c r="D2200" s="20" t="b">
        <f>IFERROR(__xludf.DUMMYFUNCTION("""COMPUTED_VALUE"""),TRUE)</f>
        <v>1</v>
      </c>
      <c r="E2200" s="20" t="str">
        <f>IFERROR(__xludf.DUMMYFUNCTION("""COMPUTED_VALUE"""),"Hard")</f>
        <v>Hard</v>
      </c>
      <c r="F2200" s="20">
        <f>IFERROR(__xludf.DUMMYFUNCTION("""COMPUTED_VALUE"""),23.0)</f>
        <v>23</v>
      </c>
      <c r="G2200" s="20">
        <f>IFERROR(__xludf.DUMMYFUNCTION("""COMPUTED_VALUE"""),10.0)</f>
        <v>10</v>
      </c>
      <c r="H2200" s="20" t="str">
        <f>IFERROR(__xludf.DUMMYFUNCTION("""COMPUTED_VALUE"""),"Database")</f>
        <v>Database</v>
      </c>
      <c r="I2200" s="20">
        <f>IFERROR(__xludf.DUMMYFUNCTION("""COMPUTED_VALUE"""),0.494)</f>
        <v>0.494</v>
      </c>
      <c r="J2200" s="20">
        <f>IFERROR(__xludf.DUMMYFUNCTION("""COMPUTED_VALUE"""),2199.0)</f>
        <v>2199</v>
      </c>
      <c r="K2200" s="20" t="b">
        <f>IFERROR(__xludf.DUMMYFUNCTION("""COMPUTED_VALUE"""),TRUE)</f>
        <v>1</v>
      </c>
      <c r="L2200" s="20" t="str">
        <f>IFERROR(__xludf.DUMMYFUNCTION("""COMPUTED_VALUE"""),"Database;")</f>
        <v>Database;</v>
      </c>
      <c r="M2200" s="20" t="b">
        <f>IFERROR(__xludf.DUMMYFUNCTION("""COMPUTED_VALUE"""),FALSE)</f>
        <v>0</v>
      </c>
      <c r="N2200" s="20" t="b">
        <f>IFERROR(__xludf.DUMMYFUNCTION("""COMPUTED_VALUE"""),FALSE)</f>
        <v>0</v>
      </c>
      <c r="O2200" s="20">
        <f>IFERROR(__xludf.DUMMYFUNCTION("""COMPUTED_VALUE"""),49.4422454120187)</f>
        <v>49.44224541</v>
      </c>
      <c r="P2200" s="20">
        <f>IFERROR(__xludf.DUMMYFUNCTION("""COMPUTED_VALUE"""),1374.0)</f>
        <v>1374</v>
      </c>
      <c r="Q2200" s="20">
        <f>IFERROR(__xludf.DUMMYFUNCTION("""COMPUTED_VALUE"""),2779.0)</f>
        <v>2779</v>
      </c>
    </row>
    <row r="2201">
      <c r="A2201" s="20">
        <f>IFERROR(__xludf.DUMMYFUNCTION("""COMPUTED_VALUE"""),2320.0)</f>
        <v>2320</v>
      </c>
      <c r="B2201" s="20" t="str">
        <f>IFERROR(__xludf.DUMMYFUNCTION("""COMPUTED_VALUE"""),"Find All K-Distant Indices in an Array")</f>
        <v>Find All K-Distant Indices in an Array</v>
      </c>
      <c r="C2201" s="20" t="str">
        <f>IFERROR(__xludf.DUMMYFUNCTION("""COMPUTED_VALUE"""),"find-all-k-distant-indices-in-an-array")</f>
        <v>find-all-k-distant-indices-in-an-array</v>
      </c>
      <c r="D2201" s="20" t="b">
        <f>IFERROR(__xludf.DUMMYFUNCTION("""COMPUTED_VALUE"""),FALSE)</f>
        <v>0</v>
      </c>
      <c r="E2201" s="20" t="str">
        <f>IFERROR(__xludf.DUMMYFUNCTION("""COMPUTED_VALUE"""),"Easy")</f>
        <v>Easy</v>
      </c>
      <c r="F2201" s="20">
        <f>IFERROR(__xludf.DUMMYFUNCTION("""COMPUTED_VALUE"""),289.0)</f>
        <v>289</v>
      </c>
      <c r="G2201" s="20">
        <f>IFERROR(__xludf.DUMMYFUNCTION("""COMPUTED_VALUE"""),47.0)</f>
        <v>47</v>
      </c>
      <c r="H2201" s="20" t="str">
        <f>IFERROR(__xludf.DUMMYFUNCTION("""COMPUTED_VALUE"""),"Algorithms")</f>
        <v>Algorithms</v>
      </c>
      <c r="I2201" s="20">
        <f>IFERROR(__xludf.DUMMYFUNCTION("""COMPUTED_VALUE"""),0.647)</f>
        <v>0.647</v>
      </c>
      <c r="J2201" s="20">
        <f>IFERROR(__xludf.DUMMYFUNCTION("""COMPUTED_VALUE"""),2200.0)</f>
        <v>2200</v>
      </c>
      <c r="K2201" s="20" t="b">
        <f>IFERROR(__xludf.DUMMYFUNCTION("""COMPUTED_VALUE"""),FALSE)</f>
        <v>0</v>
      </c>
      <c r="L2201" s="20" t="str">
        <f>IFERROR(__xludf.DUMMYFUNCTION("""COMPUTED_VALUE"""),"Array;")</f>
        <v>Array;</v>
      </c>
      <c r="M2201" s="20" t="b">
        <f>IFERROR(__xludf.DUMMYFUNCTION("""COMPUTED_VALUE"""),FALSE)</f>
        <v>0</v>
      </c>
      <c r="N2201" s="20" t="b">
        <f>IFERROR(__xludf.DUMMYFUNCTION("""COMPUTED_VALUE"""),FALSE)</f>
        <v>0</v>
      </c>
      <c r="O2201" s="20">
        <f>IFERROR(__xludf.DUMMYFUNCTION("""COMPUTED_VALUE"""),64.7032995982525)</f>
        <v>64.7032996</v>
      </c>
      <c r="P2201" s="20">
        <f>IFERROR(__xludf.DUMMYFUNCTION("""COMPUTED_VALUE"""),29473.0)</f>
        <v>29473</v>
      </c>
      <c r="Q2201" s="20">
        <f>IFERROR(__xludf.DUMMYFUNCTION("""COMPUTED_VALUE"""),45551.0)</f>
        <v>45551</v>
      </c>
    </row>
    <row r="2202">
      <c r="A2202" s="20">
        <f>IFERROR(__xludf.DUMMYFUNCTION("""COMPUTED_VALUE"""),1312.0)</f>
        <v>1312</v>
      </c>
      <c r="B2202" s="20" t="str">
        <f>IFERROR(__xludf.DUMMYFUNCTION("""COMPUTED_VALUE"""),"Count Artifacts That Can Be Extracted")</f>
        <v>Count Artifacts That Can Be Extracted</v>
      </c>
      <c r="C2202" s="20" t="str">
        <f>IFERROR(__xludf.DUMMYFUNCTION("""COMPUTED_VALUE"""),"count-artifacts-that-can-be-extracted")</f>
        <v>count-artifacts-that-can-be-extracted</v>
      </c>
      <c r="D2202" s="20" t="b">
        <f>IFERROR(__xludf.DUMMYFUNCTION("""COMPUTED_VALUE"""),FALSE)</f>
        <v>0</v>
      </c>
      <c r="E2202" s="20" t="str">
        <f>IFERROR(__xludf.DUMMYFUNCTION("""COMPUTED_VALUE"""),"Medium")</f>
        <v>Medium</v>
      </c>
      <c r="F2202" s="20">
        <f>IFERROR(__xludf.DUMMYFUNCTION("""COMPUTED_VALUE"""),156.0)</f>
        <v>156</v>
      </c>
      <c r="G2202" s="20">
        <f>IFERROR(__xludf.DUMMYFUNCTION("""COMPUTED_VALUE"""),168.0)</f>
        <v>168</v>
      </c>
      <c r="H2202" s="20" t="str">
        <f>IFERROR(__xludf.DUMMYFUNCTION("""COMPUTED_VALUE"""),"Algorithms")</f>
        <v>Algorithms</v>
      </c>
      <c r="I2202" s="20">
        <f>IFERROR(__xludf.DUMMYFUNCTION("""COMPUTED_VALUE"""),0.552)</f>
        <v>0.552</v>
      </c>
      <c r="J2202" s="20">
        <f>IFERROR(__xludf.DUMMYFUNCTION("""COMPUTED_VALUE"""),2201.0)</f>
        <v>2201</v>
      </c>
      <c r="K2202" s="20" t="b">
        <f>IFERROR(__xludf.DUMMYFUNCTION("""COMPUTED_VALUE"""),FALSE)</f>
        <v>0</v>
      </c>
      <c r="L2202" s="20" t="str">
        <f>IFERROR(__xludf.DUMMYFUNCTION("""COMPUTED_VALUE"""),"Array;Hash Table;Simulation;")</f>
        <v>Array;Hash Table;Simulation;</v>
      </c>
      <c r="M2202" s="20" t="b">
        <f>IFERROR(__xludf.DUMMYFUNCTION("""COMPUTED_VALUE"""),FALSE)</f>
        <v>0</v>
      </c>
      <c r="N2202" s="20" t="b">
        <f>IFERROR(__xludf.DUMMYFUNCTION("""COMPUTED_VALUE"""),FALSE)</f>
        <v>0</v>
      </c>
      <c r="O2202" s="20">
        <f>IFERROR(__xludf.DUMMYFUNCTION("""COMPUTED_VALUE"""),55.1665329052969)</f>
        <v>55.16653291</v>
      </c>
      <c r="P2202" s="20">
        <f>IFERROR(__xludf.DUMMYFUNCTION("""COMPUTED_VALUE"""),16497.0)</f>
        <v>16497</v>
      </c>
      <c r="Q2202" s="20">
        <f>IFERROR(__xludf.DUMMYFUNCTION("""COMPUTED_VALUE"""),29904.0)</f>
        <v>29904</v>
      </c>
    </row>
    <row r="2203">
      <c r="A2203" s="20">
        <f>IFERROR(__xludf.DUMMYFUNCTION("""COMPUTED_VALUE"""),1346.0)</f>
        <v>1346</v>
      </c>
      <c r="B2203" s="20" t="str">
        <f>IFERROR(__xludf.DUMMYFUNCTION("""COMPUTED_VALUE"""),"Maximize the Topmost Element After K Moves")</f>
        <v>Maximize the Topmost Element After K Moves</v>
      </c>
      <c r="C2203" s="20" t="str">
        <f>IFERROR(__xludf.DUMMYFUNCTION("""COMPUTED_VALUE"""),"maximize-the-topmost-element-after-k-moves")</f>
        <v>maximize-the-topmost-element-after-k-moves</v>
      </c>
      <c r="D2203" s="20" t="b">
        <f>IFERROR(__xludf.DUMMYFUNCTION("""COMPUTED_VALUE"""),FALSE)</f>
        <v>0</v>
      </c>
      <c r="E2203" s="20" t="str">
        <f>IFERROR(__xludf.DUMMYFUNCTION("""COMPUTED_VALUE"""),"Medium")</f>
        <v>Medium</v>
      </c>
      <c r="F2203" s="20">
        <f>IFERROR(__xludf.DUMMYFUNCTION("""COMPUTED_VALUE"""),418.0)</f>
        <v>418</v>
      </c>
      <c r="G2203" s="20">
        <f>IFERROR(__xludf.DUMMYFUNCTION("""COMPUTED_VALUE"""),252.0)</f>
        <v>252</v>
      </c>
      <c r="H2203" s="20" t="str">
        <f>IFERROR(__xludf.DUMMYFUNCTION("""COMPUTED_VALUE"""),"Algorithms")</f>
        <v>Algorithms</v>
      </c>
      <c r="I2203" s="20">
        <f>IFERROR(__xludf.DUMMYFUNCTION("""COMPUTED_VALUE"""),0.228)</f>
        <v>0.228</v>
      </c>
      <c r="J2203" s="20">
        <f>IFERROR(__xludf.DUMMYFUNCTION("""COMPUTED_VALUE"""),2202.0)</f>
        <v>2202</v>
      </c>
      <c r="K2203" s="20" t="b">
        <f>IFERROR(__xludf.DUMMYFUNCTION("""COMPUTED_VALUE"""),FALSE)</f>
        <v>0</v>
      </c>
      <c r="L2203" s="20" t="str">
        <f>IFERROR(__xludf.DUMMYFUNCTION("""COMPUTED_VALUE"""),"Array;Greedy;")</f>
        <v>Array;Greedy;</v>
      </c>
      <c r="M2203" s="20" t="b">
        <f>IFERROR(__xludf.DUMMYFUNCTION("""COMPUTED_VALUE"""),FALSE)</f>
        <v>0</v>
      </c>
      <c r="N2203" s="20" t="b">
        <f>IFERROR(__xludf.DUMMYFUNCTION("""COMPUTED_VALUE"""),FALSE)</f>
        <v>0</v>
      </c>
      <c r="O2203" s="20">
        <f>IFERROR(__xludf.DUMMYFUNCTION("""COMPUTED_VALUE"""),22.7624595760983)</f>
        <v>22.76245958</v>
      </c>
      <c r="P2203" s="20">
        <f>IFERROR(__xludf.DUMMYFUNCTION("""COMPUTED_VALUE"""),20201.0)</f>
        <v>20201</v>
      </c>
      <c r="Q2203" s="20">
        <f>IFERROR(__xludf.DUMMYFUNCTION("""COMPUTED_VALUE"""),88747.0)</f>
        <v>88747</v>
      </c>
    </row>
    <row r="2204">
      <c r="A2204" s="20">
        <f>IFERROR(__xludf.DUMMYFUNCTION("""COMPUTED_VALUE"""),2321.0)</f>
        <v>2321</v>
      </c>
      <c r="B2204" s="20" t="str">
        <f>IFERROR(__xludf.DUMMYFUNCTION("""COMPUTED_VALUE"""),"Minimum Weighted Subgraph With the Required Paths")</f>
        <v>Minimum Weighted Subgraph With the Required Paths</v>
      </c>
      <c r="C2204" s="20" t="str">
        <f>IFERROR(__xludf.DUMMYFUNCTION("""COMPUTED_VALUE"""),"minimum-weighted-subgraph-with-the-required-paths")</f>
        <v>minimum-weighted-subgraph-with-the-required-paths</v>
      </c>
      <c r="D2204" s="20" t="b">
        <f>IFERROR(__xludf.DUMMYFUNCTION("""COMPUTED_VALUE"""),FALSE)</f>
        <v>0</v>
      </c>
      <c r="E2204" s="20" t="str">
        <f>IFERROR(__xludf.DUMMYFUNCTION("""COMPUTED_VALUE"""),"Hard")</f>
        <v>Hard</v>
      </c>
      <c r="F2204" s="20">
        <f>IFERROR(__xludf.DUMMYFUNCTION("""COMPUTED_VALUE"""),525.0)</f>
        <v>525</v>
      </c>
      <c r="G2204" s="20">
        <f>IFERROR(__xludf.DUMMYFUNCTION("""COMPUTED_VALUE"""),15.0)</f>
        <v>15</v>
      </c>
      <c r="H2204" s="20" t="str">
        <f>IFERROR(__xludf.DUMMYFUNCTION("""COMPUTED_VALUE"""),"Algorithms")</f>
        <v>Algorithms</v>
      </c>
      <c r="I2204" s="20">
        <f>IFERROR(__xludf.DUMMYFUNCTION("""COMPUTED_VALUE"""),0.36)</f>
        <v>0.36</v>
      </c>
      <c r="J2204" s="20">
        <f>IFERROR(__xludf.DUMMYFUNCTION("""COMPUTED_VALUE"""),2203.0)</f>
        <v>2203</v>
      </c>
      <c r="K2204" s="20" t="b">
        <f>IFERROR(__xludf.DUMMYFUNCTION("""COMPUTED_VALUE"""),FALSE)</f>
        <v>0</v>
      </c>
      <c r="L2204" s="20" t="str">
        <f>IFERROR(__xludf.DUMMYFUNCTION("""COMPUTED_VALUE"""),"Graph;Shortest Path;")</f>
        <v>Graph;Shortest Path;</v>
      </c>
      <c r="M2204" s="20" t="b">
        <f>IFERROR(__xludf.DUMMYFUNCTION("""COMPUTED_VALUE"""),FALSE)</f>
        <v>0</v>
      </c>
      <c r="N2204" s="20" t="b">
        <f>IFERROR(__xludf.DUMMYFUNCTION("""COMPUTED_VALUE"""),FALSE)</f>
        <v>0</v>
      </c>
      <c r="O2204" s="20">
        <f>IFERROR(__xludf.DUMMYFUNCTION("""COMPUTED_VALUE"""),36.0175571874736)</f>
        <v>36.01755719</v>
      </c>
      <c r="P2204" s="20">
        <f>IFERROR(__xludf.DUMMYFUNCTION("""COMPUTED_VALUE"""),8534.0)</f>
        <v>8534</v>
      </c>
      <c r="Q2204" s="20">
        <f>IFERROR(__xludf.DUMMYFUNCTION("""COMPUTED_VALUE"""),23694.0)</f>
        <v>23694</v>
      </c>
    </row>
    <row r="2205">
      <c r="A2205" s="20">
        <f>IFERROR(__xludf.DUMMYFUNCTION("""COMPUTED_VALUE"""),1347.0)</f>
        <v>1347</v>
      </c>
      <c r="B2205" s="20" t="str">
        <f>IFERROR(__xludf.DUMMYFUNCTION("""COMPUTED_VALUE"""),"Distance to a Cycle in Undirected Graph")</f>
        <v>Distance to a Cycle in Undirected Graph</v>
      </c>
      <c r="C2205" s="20" t="str">
        <f>IFERROR(__xludf.DUMMYFUNCTION("""COMPUTED_VALUE"""),"distance-to-a-cycle-in-undirected-graph")</f>
        <v>distance-to-a-cycle-in-undirected-graph</v>
      </c>
      <c r="D2205" s="20" t="b">
        <f>IFERROR(__xludf.DUMMYFUNCTION("""COMPUTED_VALUE"""),TRUE)</f>
        <v>1</v>
      </c>
      <c r="E2205" s="20" t="str">
        <f>IFERROR(__xludf.DUMMYFUNCTION("""COMPUTED_VALUE"""),"Hard")</f>
        <v>Hard</v>
      </c>
      <c r="F2205" s="20">
        <f>IFERROR(__xludf.DUMMYFUNCTION("""COMPUTED_VALUE"""),70.0)</f>
        <v>70</v>
      </c>
      <c r="G2205" s="20">
        <f>IFERROR(__xludf.DUMMYFUNCTION("""COMPUTED_VALUE"""),7.0)</f>
        <v>7</v>
      </c>
      <c r="H2205" s="20" t="str">
        <f>IFERROR(__xludf.DUMMYFUNCTION("""COMPUTED_VALUE"""),"Algorithms")</f>
        <v>Algorithms</v>
      </c>
      <c r="I2205" s="20">
        <f>IFERROR(__xludf.DUMMYFUNCTION("""COMPUTED_VALUE"""),0.7)</f>
        <v>0.7</v>
      </c>
      <c r="J2205" s="20">
        <f>IFERROR(__xludf.DUMMYFUNCTION("""COMPUTED_VALUE"""),2204.0)</f>
        <v>2204</v>
      </c>
      <c r="K2205" s="20" t="b">
        <f>IFERROR(__xludf.DUMMYFUNCTION("""COMPUTED_VALUE"""),TRUE)</f>
        <v>1</v>
      </c>
      <c r="L2205" s="20" t="str">
        <f>IFERROR(__xludf.DUMMYFUNCTION("""COMPUTED_VALUE"""),"Depth-First Search;Breadth-First Search;Union Find;Graph;")</f>
        <v>Depth-First Search;Breadth-First Search;Union Find;Graph;</v>
      </c>
      <c r="M2205" s="20" t="b">
        <f>IFERROR(__xludf.DUMMYFUNCTION("""COMPUTED_VALUE"""),FALSE)</f>
        <v>0</v>
      </c>
      <c r="N2205" s="20" t="b">
        <f>IFERROR(__xludf.DUMMYFUNCTION("""COMPUTED_VALUE"""),FALSE)</f>
        <v>0</v>
      </c>
      <c r="O2205" s="20">
        <f>IFERROR(__xludf.DUMMYFUNCTION("""COMPUTED_VALUE"""),69.9806576402321)</f>
        <v>69.98065764</v>
      </c>
      <c r="P2205" s="20">
        <f>IFERROR(__xludf.DUMMYFUNCTION("""COMPUTED_VALUE"""),1809.0)</f>
        <v>1809</v>
      </c>
      <c r="Q2205" s="20">
        <f>IFERROR(__xludf.DUMMYFUNCTION("""COMPUTED_VALUE"""),2585.0)</f>
        <v>2585</v>
      </c>
    </row>
    <row r="2206">
      <c r="A2206" s="20">
        <f>IFERROR(__xludf.DUMMYFUNCTION("""COMPUTED_VALUE"""),2336.0)</f>
        <v>2336</v>
      </c>
      <c r="B2206" s="20" t="str">
        <f>IFERROR(__xludf.DUMMYFUNCTION("""COMPUTED_VALUE"""),"The Number of Users That Are Eligible for Discount")</f>
        <v>The Number of Users That Are Eligible for Discount</v>
      </c>
      <c r="C2206" s="20" t="str">
        <f>IFERROR(__xludf.DUMMYFUNCTION("""COMPUTED_VALUE"""),"the-number-of-users-that-are-eligible-for-discount")</f>
        <v>the-number-of-users-that-are-eligible-for-discount</v>
      </c>
      <c r="D2206" s="20" t="b">
        <f>IFERROR(__xludf.DUMMYFUNCTION("""COMPUTED_VALUE"""),TRUE)</f>
        <v>1</v>
      </c>
      <c r="E2206" s="20" t="str">
        <f>IFERROR(__xludf.DUMMYFUNCTION("""COMPUTED_VALUE"""),"Easy")</f>
        <v>Easy</v>
      </c>
      <c r="F2206" s="20">
        <f>IFERROR(__xludf.DUMMYFUNCTION("""COMPUTED_VALUE"""),16.0)</f>
        <v>16</v>
      </c>
      <c r="G2206" s="20">
        <f>IFERROR(__xludf.DUMMYFUNCTION("""COMPUTED_VALUE"""),49.0)</f>
        <v>49</v>
      </c>
      <c r="H2206" s="20" t="str">
        <f>IFERROR(__xludf.DUMMYFUNCTION("""COMPUTED_VALUE"""),"Database")</f>
        <v>Database</v>
      </c>
      <c r="I2206" s="20">
        <f>IFERROR(__xludf.DUMMYFUNCTION("""COMPUTED_VALUE"""),0.507)</f>
        <v>0.507</v>
      </c>
      <c r="J2206" s="20">
        <f>IFERROR(__xludf.DUMMYFUNCTION("""COMPUTED_VALUE"""),2205.0)</f>
        <v>2205</v>
      </c>
      <c r="K2206" s="20" t="b">
        <f>IFERROR(__xludf.DUMMYFUNCTION("""COMPUTED_VALUE"""),TRUE)</f>
        <v>1</v>
      </c>
      <c r="L2206" s="20" t="str">
        <f>IFERROR(__xludf.DUMMYFUNCTION("""COMPUTED_VALUE"""),"Database;")</f>
        <v>Database;</v>
      </c>
      <c r="M2206" s="20" t="b">
        <f>IFERROR(__xludf.DUMMYFUNCTION("""COMPUTED_VALUE"""),FALSE)</f>
        <v>0</v>
      </c>
      <c r="N2206" s="20" t="b">
        <f>IFERROR(__xludf.DUMMYFUNCTION("""COMPUTED_VALUE"""),FALSE)</f>
        <v>0</v>
      </c>
      <c r="O2206" s="20">
        <f>IFERROR(__xludf.DUMMYFUNCTION("""COMPUTED_VALUE"""),50.6741739516965)</f>
        <v>50.67417395</v>
      </c>
      <c r="P2206" s="20">
        <f>IFERROR(__xludf.DUMMYFUNCTION("""COMPUTED_VALUE"""),3419.0)</f>
        <v>3419</v>
      </c>
      <c r="Q2206" s="20">
        <f>IFERROR(__xludf.DUMMYFUNCTION("""COMPUTED_VALUE"""),6746.0)</f>
        <v>6746</v>
      </c>
    </row>
    <row r="2207">
      <c r="A2207" s="20">
        <f>IFERROR(__xludf.DUMMYFUNCTION("""COMPUTED_VALUE"""),2308.0)</f>
        <v>2308</v>
      </c>
      <c r="B2207" s="20" t="str">
        <f>IFERROR(__xludf.DUMMYFUNCTION("""COMPUTED_VALUE"""),"Divide Array Into Equal Pairs")</f>
        <v>Divide Array Into Equal Pairs</v>
      </c>
      <c r="C2207" s="20" t="str">
        <f>IFERROR(__xludf.DUMMYFUNCTION("""COMPUTED_VALUE"""),"divide-array-into-equal-pairs")</f>
        <v>divide-array-into-equal-pairs</v>
      </c>
      <c r="D2207" s="20" t="b">
        <f>IFERROR(__xludf.DUMMYFUNCTION("""COMPUTED_VALUE"""),FALSE)</f>
        <v>0</v>
      </c>
      <c r="E2207" s="20" t="str">
        <f>IFERROR(__xludf.DUMMYFUNCTION("""COMPUTED_VALUE"""),"Easy")</f>
        <v>Easy</v>
      </c>
      <c r="F2207" s="20">
        <f>IFERROR(__xludf.DUMMYFUNCTION("""COMPUTED_VALUE"""),432.0)</f>
        <v>432</v>
      </c>
      <c r="G2207" s="20">
        <f>IFERROR(__xludf.DUMMYFUNCTION("""COMPUTED_VALUE"""),17.0)</f>
        <v>17</v>
      </c>
      <c r="H2207" s="20" t="str">
        <f>IFERROR(__xludf.DUMMYFUNCTION("""COMPUTED_VALUE"""),"Algorithms")</f>
        <v>Algorithms</v>
      </c>
      <c r="I2207" s="20">
        <f>IFERROR(__xludf.DUMMYFUNCTION("""COMPUTED_VALUE"""),0.745)</f>
        <v>0.745</v>
      </c>
      <c r="J2207" s="20">
        <f>IFERROR(__xludf.DUMMYFUNCTION("""COMPUTED_VALUE"""),2206.0)</f>
        <v>2206</v>
      </c>
      <c r="K2207" s="20" t="b">
        <f>IFERROR(__xludf.DUMMYFUNCTION("""COMPUTED_VALUE"""),FALSE)</f>
        <v>0</v>
      </c>
      <c r="L2207" s="20" t="str">
        <f>IFERROR(__xludf.DUMMYFUNCTION("""COMPUTED_VALUE"""),"Array;Hash Table;Bit Manipulation;Counting;")</f>
        <v>Array;Hash Table;Bit Manipulation;Counting;</v>
      </c>
      <c r="M2207" s="20" t="b">
        <f>IFERROR(__xludf.DUMMYFUNCTION("""COMPUTED_VALUE"""),FALSE)</f>
        <v>0</v>
      </c>
      <c r="N2207" s="20" t="b">
        <f>IFERROR(__xludf.DUMMYFUNCTION("""COMPUTED_VALUE"""),FALSE)</f>
        <v>0</v>
      </c>
      <c r="O2207" s="20">
        <f>IFERROR(__xludf.DUMMYFUNCTION("""COMPUTED_VALUE"""),74.5306570800878)</f>
        <v>74.53065708</v>
      </c>
      <c r="P2207" s="20">
        <f>IFERROR(__xludf.DUMMYFUNCTION("""COMPUTED_VALUE"""),44781.0)</f>
        <v>44781</v>
      </c>
      <c r="Q2207" s="20">
        <f>IFERROR(__xludf.DUMMYFUNCTION("""COMPUTED_VALUE"""),60084.0)</f>
        <v>60084</v>
      </c>
    </row>
    <row r="2208">
      <c r="A2208" s="20">
        <f>IFERROR(__xludf.DUMMYFUNCTION("""COMPUTED_VALUE"""),2309.0)</f>
        <v>2309</v>
      </c>
      <c r="B2208" s="20" t="str">
        <f>IFERROR(__xludf.DUMMYFUNCTION("""COMPUTED_VALUE"""),"Maximize Number of Subsequences in a String")</f>
        <v>Maximize Number of Subsequences in a String</v>
      </c>
      <c r="C2208" s="20" t="str">
        <f>IFERROR(__xludf.DUMMYFUNCTION("""COMPUTED_VALUE"""),"maximize-number-of-subsequences-in-a-string")</f>
        <v>maximize-number-of-subsequences-in-a-string</v>
      </c>
      <c r="D2208" s="20" t="b">
        <f>IFERROR(__xludf.DUMMYFUNCTION("""COMPUTED_VALUE"""),FALSE)</f>
        <v>0</v>
      </c>
      <c r="E2208" s="20" t="str">
        <f>IFERROR(__xludf.DUMMYFUNCTION("""COMPUTED_VALUE"""),"Medium")</f>
        <v>Medium</v>
      </c>
      <c r="F2208" s="20">
        <f>IFERROR(__xludf.DUMMYFUNCTION("""COMPUTED_VALUE"""),373.0)</f>
        <v>373</v>
      </c>
      <c r="G2208" s="20">
        <f>IFERROR(__xludf.DUMMYFUNCTION("""COMPUTED_VALUE"""),21.0)</f>
        <v>21</v>
      </c>
      <c r="H2208" s="20" t="str">
        <f>IFERROR(__xludf.DUMMYFUNCTION("""COMPUTED_VALUE"""),"Algorithms")</f>
        <v>Algorithms</v>
      </c>
      <c r="I2208" s="20">
        <f>IFERROR(__xludf.DUMMYFUNCTION("""COMPUTED_VALUE"""),0.33)</f>
        <v>0.33</v>
      </c>
      <c r="J2208" s="20">
        <f>IFERROR(__xludf.DUMMYFUNCTION("""COMPUTED_VALUE"""),2207.0)</f>
        <v>2207</v>
      </c>
      <c r="K2208" s="20" t="b">
        <f>IFERROR(__xludf.DUMMYFUNCTION("""COMPUTED_VALUE"""),FALSE)</f>
        <v>0</v>
      </c>
      <c r="L2208" s="20" t="str">
        <f>IFERROR(__xludf.DUMMYFUNCTION("""COMPUTED_VALUE"""),"String;Greedy;Prefix Sum;")</f>
        <v>String;Greedy;Prefix Sum;</v>
      </c>
      <c r="M2208" s="20" t="b">
        <f>IFERROR(__xludf.DUMMYFUNCTION("""COMPUTED_VALUE"""),FALSE)</f>
        <v>0</v>
      </c>
      <c r="N2208" s="20" t="b">
        <f>IFERROR(__xludf.DUMMYFUNCTION("""COMPUTED_VALUE"""),FALSE)</f>
        <v>0</v>
      </c>
      <c r="O2208" s="20">
        <f>IFERROR(__xludf.DUMMYFUNCTION("""COMPUTED_VALUE"""),33.0424443646805)</f>
        <v>33.04244436</v>
      </c>
      <c r="P2208" s="20">
        <f>IFERROR(__xludf.DUMMYFUNCTION("""COMPUTED_VALUE"""),14729.0)</f>
        <v>14729</v>
      </c>
      <c r="Q2208" s="20">
        <f>IFERROR(__xludf.DUMMYFUNCTION("""COMPUTED_VALUE"""),44576.0)</f>
        <v>44576</v>
      </c>
    </row>
    <row r="2209">
      <c r="A2209" s="20">
        <f>IFERROR(__xludf.DUMMYFUNCTION("""COMPUTED_VALUE"""),2310.0)</f>
        <v>2310</v>
      </c>
      <c r="B2209" s="20" t="str">
        <f>IFERROR(__xludf.DUMMYFUNCTION("""COMPUTED_VALUE"""),"Minimum Operations to Halve Array Sum")</f>
        <v>Minimum Operations to Halve Array Sum</v>
      </c>
      <c r="C2209" s="20" t="str">
        <f>IFERROR(__xludf.DUMMYFUNCTION("""COMPUTED_VALUE"""),"minimum-operations-to-halve-array-sum")</f>
        <v>minimum-operations-to-halve-array-sum</v>
      </c>
      <c r="D2209" s="20" t="b">
        <f>IFERROR(__xludf.DUMMYFUNCTION("""COMPUTED_VALUE"""),FALSE)</f>
        <v>0</v>
      </c>
      <c r="E2209" s="20" t="str">
        <f>IFERROR(__xludf.DUMMYFUNCTION("""COMPUTED_VALUE"""),"Medium")</f>
        <v>Medium</v>
      </c>
      <c r="F2209" s="20">
        <f>IFERROR(__xludf.DUMMYFUNCTION("""COMPUTED_VALUE"""),321.0)</f>
        <v>321</v>
      </c>
      <c r="G2209" s="20">
        <f>IFERROR(__xludf.DUMMYFUNCTION("""COMPUTED_VALUE"""),13.0)</f>
        <v>13</v>
      </c>
      <c r="H2209" s="20" t="str">
        <f>IFERROR(__xludf.DUMMYFUNCTION("""COMPUTED_VALUE"""),"Algorithms")</f>
        <v>Algorithms</v>
      </c>
      <c r="I2209" s="20">
        <f>IFERROR(__xludf.DUMMYFUNCTION("""COMPUTED_VALUE"""),0.451)</f>
        <v>0.451</v>
      </c>
      <c r="J2209" s="20">
        <f>IFERROR(__xludf.DUMMYFUNCTION("""COMPUTED_VALUE"""),2208.0)</f>
        <v>2208</v>
      </c>
      <c r="K2209" s="20" t="b">
        <f>IFERROR(__xludf.DUMMYFUNCTION("""COMPUTED_VALUE"""),FALSE)</f>
        <v>0</v>
      </c>
      <c r="L2209" s="20" t="str">
        <f>IFERROR(__xludf.DUMMYFUNCTION("""COMPUTED_VALUE"""),"Array;Greedy;Heap (Priority Queue);")</f>
        <v>Array;Greedy;Heap (Priority Queue);</v>
      </c>
      <c r="M2209" s="20" t="b">
        <f>IFERROR(__xludf.DUMMYFUNCTION("""COMPUTED_VALUE"""),FALSE)</f>
        <v>0</v>
      </c>
      <c r="N2209" s="20" t="b">
        <f>IFERROR(__xludf.DUMMYFUNCTION("""COMPUTED_VALUE"""),FALSE)</f>
        <v>0</v>
      </c>
      <c r="O2209" s="20">
        <f>IFERROR(__xludf.DUMMYFUNCTION("""COMPUTED_VALUE"""),45.1163163377046)</f>
        <v>45.11631634</v>
      </c>
      <c r="P2209" s="20">
        <f>IFERROR(__xludf.DUMMYFUNCTION("""COMPUTED_VALUE"""),16892.0)</f>
        <v>16892</v>
      </c>
      <c r="Q2209" s="20">
        <f>IFERROR(__xludf.DUMMYFUNCTION("""COMPUTED_VALUE"""),37441.0)</f>
        <v>37441</v>
      </c>
    </row>
    <row r="2210">
      <c r="A2210" s="20">
        <f>IFERROR(__xludf.DUMMYFUNCTION("""COMPUTED_VALUE"""),2311.0)</f>
        <v>2311</v>
      </c>
      <c r="B2210" s="20" t="str">
        <f>IFERROR(__xludf.DUMMYFUNCTION("""COMPUTED_VALUE"""),"Minimum White Tiles After Covering With Carpets")</f>
        <v>Minimum White Tiles After Covering With Carpets</v>
      </c>
      <c r="C2210" s="20" t="str">
        <f>IFERROR(__xludf.DUMMYFUNCTION("""COMPUTED_VALUE"""),"minimum-white-tiles-after-covering-with-carpets")</f>
        <v>minimum-white-tiles-after-covering-with-carpets</v>
      </c>
      <c r="D2210" s="20" t="b">
        <f>IFERROR(__xludf.DUMMYFUNCTION("""COMPUTED_VALUE"""),FALSE)</f>
        <v>0</v>
      </c>
      <c r="E2210" s="20" t="str">
        <f>IFERROR(__xludf.DUMMYFUNCTION("""COMPUTED_VALUE"""),"Hard")</f>
        <v>Hard</v>
      </c>
      <c r="F2210" s="20">
        <f>IFERROR(__xludf.DUMMYFUNCTION("""COMPUTED_VALUE"""),397.0)</f>
        <v>397</v>
      </c>
      <c r="G2210" s="20">
        <f>IFERROR(__xludf.DUMMYFUNCTION("""COMPUTED_VALUE"""),16.0)</f>
        <v>16</v>
      </c>
      <c r="H2210" s="20" t="str">
        <f>IFERROR(__xludf.DUMMYFUNCTION("""COMPUTED_VALUE"""),"Algorithms")</f>
        <v>Algorithms</v>
      </c>
      <c r="I2210" s="20">
        <f>IFERROR(__xludf.DUMMYFUNCTION("""COMPUTED_VALUE"""),0.338)</f>
        <v>0.338</v>
      </c>
      <c r="J2210" s="20">
        <f>IFERROR(__xludf.DUMMYFUNCTION("""COMPUTED_VALUE"""),2209.0)</f>
        <v>2209</v>
      </c>
      <c r="K2210" s="20" t="b">
        <f>IFERROR(__xludf.DUMMYFUNCTION("""COMPUTED_VALUE"""),FALSE)</f>
        <v>0</v>
      </c>
      <c r="L2210" s="20" t="str">
        <f>IFERROR(__xludf.DUMMYFUNCTION("""COMPUTED_VALUE"""),"String;Dynamic Programming;Prefix Sum;")</f>
        <v>String;Dynamic Programming;Prefix Sum;</v>
      </c>
      <c r="M2210" s="20" t="b">
        <f>IFERROR(__xludf.DUMMYFUNCTION("""COMPUTED_VALUE"""),FALSE)</f>
        <v>0</v>
      </c>
      <c r="N2210" s="20" t="b">
        <f>IFERROR(__xludf.DUMMYFUNCTION("""COMPUTED_VALUE"""),FALSE)</f>
        <v>0</v>
      </c>
      <c r="O2210" s="20">
        <f>IFERROR(__xludf.DUMMYFUNCTION("""COMPUTED_VALUE"""),33.8499944111181)</f>
        <v>33.84999441</v>
      </c>
      <c r="P2210" s="20">
        <f>IFERROR(__xludf.DUMMYFUNCTION("""COMPUTED_VALUE"""),9085.0)</f>
        <v>9085</v>
      </c>
      <c r="Q2210" s="20">
        <f>IFERROR(__xludf.DUMMYFUNCTION("""COMPUTED_VALUE"""),26839.0)</f>
        <v>26839</v>
      </c>
    </row>
    <row r="2211">
      <c r="A2211" s="20">
        <f>IFERROR(__xludf.DUMMYFUNCTION("""COMPUTED_VALUE"""),2316.0)</f>
        <v>2316</v>
      </c>
      <c r="B2211" s="20" t="str">
        <f>IFERROR(__xludf.DUMMYFUNCTION("""COMPUTED_VALUE"""),"Count Hills and Valleys in an Array")</f>
        <v>Count Hills and Valleys in an Array</v>
      </c>
      <c r="C2211" s="20" t="str">
        <f>IFERROR(__xludf.DUMMYFUNCTION("""COMPUTED_VALUE"""),"count-hills-and-valleys-in-an-array")</f>
        <v>count-hills-and-valleys-in-an-array</v>
      </c>
      <c r="D2211" s="20" t="b">
        <f>IFERROR(__xludf.DUMMYFUNCTION("""COMPUTED_VALUE"""),FALSE)</f>
        <v>0</v>
      </c>
      <c r="E2211" s="20" t="str">
        <f>IFERROR(__xludf.DUMMYFUNCTION("""COMPUTED_VALUE"""),"Easy")</f>
        <v>Easy</v>
      </c>
      <c r="F2211" s="20">
        <f>IFERROR(__xludf.DUMMYFUNCTION("""COMPUTED_VALUE"""),421.0)</f>
        <v>421</v>
      </c>
      <c r="G2211" s="20">
        <f>IFERROR(__xludf.DUMMYFUNCTION("""COMPUTED_VALUE"""),67.0)</f>
        <v>67</v>
      </c>
      <c r="H2211" s="20" t="str">
        <f>IFERROR(__xludf.DUMMYFUNCTION("""COMPUTED_VALUE"""),"Algorithms")</f>
        <v>Algorithms</v>
      </c>
      <c r="I2211" s="20">
        <f>IFERROR(__xludf.DUMMYFUNCTION("""COMPUTED_VALUE"""),0.583)</f>
        <v>0.583</v>
      </c>
      <c r="J2211" s="20">
        <f>IFERROR(__xludf.DUMMYFUNCTION("""COMPUTED_VALUE"""),2210.0)</f>
        <v>2210</v>
      </c>
      <c r="K2211" s="20" t="b">
        <f>IFERROR(__xludf.DUMMYFUNCTION("""COMPUTED_VALUE"""),FALSE)</f>
        <v>0</v>
      </c>
      <c r="L2211" s="20" t="str">
        <f>IFERROR(__xludf.DUMMYFUNCTION("""COMPUTED_VALUE"""),"Array;")</f>
        <v>Array;</v>
      </c>
      <c r="M2211" s="20" t="b">
        <f>IFERROR(__xludf.DUMMYFUNCTION("""COMPUTED_VALUE"""),FALSE)</f>
        <v>0</v>
      </c>
      <c r="N2211" s="20" t="b">
        <f>IFERROR(__xludf.DUMMYFUNCTION("""COMPUTED_VALUE"""),FALSE)</f>
        <v>0</v>
      </c>
      <c r="O2211" s="20">
        <f>IFERROR(__xludf.DUMMYFUNCTION("""COMPUTED_VALUE"""),58.277248850952)</f>
        <v>58.27724885</v>
      </c>
      <c r="P2211" s="20">
        <f>IFERROR(__xludf.DUMMYFUNCTION("""COMPUTED_VALUE"""),28402.0)</f>
        <v>28402</v>
      </c>
      <c r="Q2211" s="20">
        <f>IFERROR(__xludf.DUMMYFUNCTION("""COMPUTED_VALUE"""),48736.0)</f>
        <v>48736</v>
      </c>
    </row>
    <row r="2212">
      <c r="A2212" s="20">
        <f>IFERROR(__xludf.DUMMYFUNCTION("""COMPUTED_VALUE"""),2317.0)</f>
        <v>2317</v>
      </c>
      <c r="B2212" s="20" t="str">
        <f>IFERROR(__xludf.DUMMYFUNCTION("""COMPUTED_VALUE"""),"Count Collisions on a Road")</f>
        <v>Count Collisions on a Road</v>
      </c>
      <c r="C2212" s="20" t="str">
        <f>IFERROR(__xludf.DUMMYFUNCTION("""COMPUTED_VALUE"""),"count-collisions-on-a-road")</f>
        <v>count-collisions-on-a-road</v>
      </c>
      <c r="D2212" s="20" t="b">
        <f>IFERROR(__xludf.DUMMYFUNCTION("""COMPUTED_VALUE"""),FALSE)</f>
        <v>0</v>
      </c>
      <c r="E2212" s="20" t="str">
        <f>IFERROR(__xludf.DUMMYFUNCTION("""COMPUTED_VALUE"""),"Medium")</f>
        <v>Medium</v>
      </c>
      <c r="F2212" s="20">
        <f>IFERROR(__xludf.DUMMYFUNCTION("""COMPUTED_VALUE"""),404.0)</f>
        <v>404</v>
      </c>
      <c r="G2212" s="20">
        <f>IFERROR(__xludf.DUMMYFUNCTION("""COMPUTED_VALUE"""),190.0)</f>
        <v>190</v>
      </c>
      <c r="H2212" s="20" t="str">
        <f>IFERROR(__xludf.DUMMYFUNCTION("""COMPUTED_VALUE"""),"Algorithms")</f>
        <v>Algorithms</v>
      </c>
      <c r="I2212" s="20">
        <f>IFERROR(__xludf.DUMMYFUNCTION("""COMPUTED_VALUE"""),0.42)</f>
        <v>0.42</v>
      </c>
      <c r="J2212" s="20">
        <f>IFERROR(__xludf.DUMMYFUNCTION("""COMPUTED_VALUE"""),2211.0)</f>
        <v>2211</v>
      </c>
      <c r="K2212" s="20" t="b">
        <f>IFERROR(__xludf.DUMMYFUNCTION("""COMPUTED_VALUE"""),FALSE)</f>
        <v>0</v>
      </c>
      <c r="L2212" s="20" t="str">
        <f>IFERROR(__xludf.DUMMYFUNCTION("""COMPUTED_VALUE"""),"String;Stack;")</f>
        <v>String;Stack;</v>
      </c>
      <c r="M2212" s="20" t="b">
        <f>IFERROR(__xludf.DUMMYFUNCTION("""COMPUTED_VALUE"""),FALSE)</f>
        <v>0</v>
      </c>
      <c r="N2212" s="20" t="b">
        <f>IFERROR(__xludf.DUMMYFUNCTION("""COMPUTED_VALUE"""),FALSE)</f>
        <v>0</v>
      </c>
      <c r="O2212" s="20">
        <f>IFERROR(__xludf.DUMMYFUNCTION("""COMPUTED_VALUE"""),42.0386021280063)</f>
        <v>42.03860213</v>
      </c>
      <c r="P2212" s="20">
        <f>IFERROR(__xludf.DUMMYFUNCTION("""COMPUTED_VALUE"""),18055.0)</f>
        <v>18055</v>
      </c>
      <c r="Q2212" s="20">
        <f>IFERROR(__xludf.DUMMYFUNCTION("""COMPUTED_VALUE"""),42950.0)</f>
        <v>42950</v>
      </c>
    </row>
    <row r="2213">
      <c r="A2213" s="20">
        <f>IFERROR(__xludf.DUMMYFUNCTION("""COMPUTED_VALUE"""),2318.0)</f>
        <v>2318</v>
      </c>
      <c r="B2213" s="20" t="str">
        <f>IFERROR(__xludf.DUMMYFUNCTION("""COMPUTED_VALUE"""),"Maximum Points in an Archery Competition")</f>
        <v>Maximum Points in an Archery Competition</v>
      </c>
      <c r="C2213" s="20" t="str">
        <f>IFERROR(__xludf.DUMMYFUNCTION("""COMPUTED_VALUE"""),"maximum-points-in-an-archery-competition")</f>
        <v>maximum-points-in-an-archery-competition</v>
      </c>
      <c r="D2213" s="20" t="b">
        <f>IFERROR(__xludf.DUMMYFUNCTION("""COMPUTED_VALUE"""),FALSE)</f>
        <v>0</v>
      </c>
      <c r="E2213" s="20" t="str">
        <f>IFERROR(__xludf.DUMMYFUNCTION("""COMPUTED_VALUE"""),"Medium")</f>
        <v>Medium</v>
      </c>
      <c r="F2213" s="20">
        <f>IFERROR(__xludf.DUMMYFUNCTION("""COMPUTED_VALUE"""),362.0)</f>
        <v>362</v>
      </c>
      <c r="G2213" s="20">
        <f>IFERROR(__xludf.DUMMYFUNCTION("""COMPUTED_VALUE"""),35.0)</f>
        <v>35</v>
      </c>
      <c r="H2213" s="20" t="str">
        <f>IFERROR(__xludf.DUMMYFUNCTION("""COMPUTED_VALUE"""),"Algorithms")</f>
        <v>Algorithms</v>
      </c>
      <c r="I2213" s="20">
        <f>IFERROR(__xludf.DUMMYFUNCTION("""COMPUTED_VALUE"""),0.489)</f>
        <v>0.489</v>
      </c>
      <c r="J2213" s="20">
        <f>IFERROR(__xludf.DUMMYFUNCTION("""COMPUTED_VALUE"""),2212.0)</f>
        <v>2212</v>
      </c>
      <c r="K2213" s="20" t="b">
        <f>IFERROR(__xludf.DUMMYFUNCTION("""COMPUTED_VALUE"""),FALSE)</f>
        <v>0</v>
      </c>
      <c r="L2213" s="20" t="str">
        <f>IFERROR(__xludf.DUMMYFUNCTION("""COMPUTED_VALUE"""),"Array;Bit Manipulation;Recursion;Enumeration;")</f>
        <v>Array;Bit Manipulation;Recursion;Enumeration;</v>
      </c>
      <c r="M2213" s="20" t="b">
        <f>IFERROR(__xludf.DUMMYFUNCTION("""COMPUTED_VALUE"""),FALSE)</f>
        <v>0</v>
      </c>
      <c r="N2213" s="20" t="b">
        <f>IFERROR(__xludf.DUMMYFUNCTION("""COMPUTED_VALUE"""),FALSE)</f>
        <v>0</v>
      </c>
      <c r="O2213" s="20">
        <f>IFERROR(__xludf.DUMMYFUNCTION("""COMPUTED_VALUE"""),48.8927637314734)</f>
        <v>48.89276373</v>
      </c>
      <c r="P2213" s="20">
        <f>IFERROR(__xludf.DUMMYFUNCTION("""COMPUTED_VALUE"""),11216.0)</f>
        <v>11216</v>
      </c>
      <c r="Q2213" s="20">
        <f>IFERROR(__xludf.DUMMYFUNCTION("""COMPUTED_VALUE"""),22940.0)</f>
        <v>22940</v>
      </c>
    </row>
    <row r="2214">
      <c r="A2214" s="20">
        <f>IFERROR(__xludf.DUMMYFUNCTION("""COMPUTED_VALUE"""),2319.0)</f>
        <v>2319</v>
      </c>
      <c r="B2214" s="20" t="str">
        <f>IFERROR(__xludf.DUMMYFUNCTION("""COMPUTED_VALUE"""),"Longest Substring of One Repeating Character")</f>
        <v>Longest Substring of One Repeating Character</v>
      </c>
      <c r="C2214" s="20" t="str">
        <f>IFERROR(__xludf.DUMMYFUNCTION("""COMPUTED_VALUE"""),"longest-substring-of-one-repeating-character")</f>
        <v>longest-substring-of-one-repeating-character</v>
      </c>
      <c r="D2214" s="20" t="b">
        <f>IFERROR(__xludf.DUMMYFUNCTION("""COMPUTED_VALUE"""),FALSE)</f>
        <v>0</v>
      </c>
      <c r="E2214" s="20" t="str">
        <f>IFERROR(__xludf.DUMMYFUNCTION("""COMPUTED_VALUE"""),"Hard")</f>
        <v>Hard</v>
      </c>
      <c r="F2214" s="20">
        <f>IFERROR(__xludf.DUMMYFUNCTION("""COMPUTED_VALUE"""),210.0)</f>
        <v>210</v>
      </c>
      <c r="G2214" s="20">
        <f>IFERROR(__xludf.DUMMYFUNCTION("""COMPUTED_VALUE"""),78.0)</f>
        <v>78</v>
      </c>
      <c r="H2214" s="20" t="str">
        <f>IFERROR(__xludf.DUMMYFUNCTION("""COMPUTED_VALUE"""),"Algorithms")</f>
        <v>Algorithms</v>
      </c>
      <c r="I2214" s="20">
        <f>IFERROR(__xludf.DUMMYFUNCTION("""COMPUTED_VALUE"""),0.31)</f>
        <v>0.31</v>
      </c>
      <c r="J2214" s="20">
        <f>IFERROR(__xludf.DUMMYFUNCTION("""COMPUTED_VALUE"""),2213.0)</f>
        <v>2213</v>
      </c>
      <c r="K2214" s="20" t="b">
        <f>IFERROR(__xludf.DUMMYFUNCTION("""COMPUTED_VALUE"""),FALSE)</f>
        <v>0</v>
      </c>
      <c r="L2214" s="20" t="str">
        <f>IFERROR(__xludf.DUMMYFUNCTION("""COMPUTED_VALUE"""),"Array;String;Segment Tree;Ordered Set;")</f>
        <v>Array;String;Segment Tree;Ordered Set;</v>
      </c>
      <c r="M2214" s="20" t="b">
        <f>IFERROR(__xludf.DUMMYFUNCTION("""COMPUTED_VALUE"""),FALSE)</f>
        <v>0</v>
      </c>
      <c r="N2214" s="20" t="b">
        <f>IFERROR(__xludf.DUMMYFUNCTION("""COMPUTED_VALUE"""),FALSE)</f>
        <v>0</v>
      </c>
      <c r="O2214" s="20">
        <f>IFERROR(__xludf.DUMMYFUNCTION("""COMPUTED_VALUE"""),31.0130877363063)</f>
        <v>31.01308774</v>
      </c>
      <c r="P2214" s="20">
        <f>IFERROR(__xludf.DUMMYFUNCTION("""COMPUTED_VALUE"""),3199.0)</f>
        <v>3199</v>
      </c>
      <c r="Q2214" s="20">
        <f>IFERROR(__xludf.DUMMYFUNCTION("""COMPUTED_VALUE"""),10315.0)</f>
        <v>10315</v>
      </c>
    </row>
    <row r="2215">
      <c r="A2215" s="20">
        <f>IFERROR(__xludf.DUMMYFUNCTION("""COMPUTED_VALUE"""),2354.0)</f>
        <v>2354</v>
      </c>
      <c r="B2215" s="20" t="str">
        <f>IFERROR(__xludf.DUMMYFUNCTION("""COMPUTED_VALUE"""),"Minimum Health to Beat Game")</f>
        <v>Minimum Health to Beat Game</v>
      </c>
      <c r="C2215" s="20" t="str">
        <f>IFERROR(__xludf.DUMMYFUNCTION("""COMPUTED_VALUE"""),"minimum-health-to-beat-game")</f>
        <v>minimum-health-to-beat-game</v>
      </c>
      <c r="D2215" s="20" t="b">
        <f>IFERROR(__xludf.DUMMYFUNCTION("""COMPUTED_VALUE"""),TRUE)</f>
        <v>1</v>
      </c>
      <c r="E2215" s="20" t="str">
        <f>IFERROR(__xludf.DUMMYFUNCTION("""COMPUTED_VALUE"""),"Medium")</f>
        <v>Medium</v>
      </c>
      <c r="F2215" s="20">
        <f>IFERROR(__xludf.DUMMYFUNCTION("""COMPUTED_VALUE"""),222.0)</f>
        <v>222</v>
      </c>
      <c r="G2215" s="20">
        <f>IFERROR(__xludf.DUMMYFUNCTION("""COMPUTED_VALUE"""),135.0)</f>
        <v>135</v>
      </c>
      <c r="H2215" s="20" t="str">
        <f>IFERROR(__xludf.DUMMYFUNCTION("""COMPUTED_VALUE"""),"Algorithms")</f>
        <v>Algorithms</v>
      </c>
      <c r="I2215" s="20">
        <f>IFERROR(__xludf.DUMMYFUNCTION("""COMPUTED_VALUE"""),0.575)</f>
        <v>0.575</v>
      </c>
      <c r="J2215" s="20">
        <f>IFERROR(__xludf.DUMMYFUNCTION("""COMPUTED_VALUE"""),2214.0)</f>
        <v>2214</v>
      </c>
      <c r="K2215" s="20" t="b">
        <f>IFERROR(__xludf.DUMMYFUNCTION("""COMPUTED_VALUE"""),TRUE)</f>
        <v>1</v>
      </c>
      <c r="L2215" s="20" t="str">
        <f>IFERROR(__xludf.DUMMYFUNCTION("""COMPUTED_VALUE"""),"Array;Greedy;Prefix Sum;")</f>
        <v>Array;Greedy;Prefix Sum;</v>
      </c>
      <c r="M2215" s="20" t="b">
        <f>IFERROR(__xludf.DUMMYFUNCTION("""COMPUTED_VALUE"""),TRUE)</f>
        <v>1</v>
      </c>
      <c r="N2215" s="20" t="b">
        <f>IFERROR(__xludf.DUMMYFUNCTION("""COMPUTED_VALUE"""),FALSE)</f>
        <v>0</v>
      </c>
      <c r="O2215" s="20">
        <f>IFERROR(__xludf.DUMMYFUNCTION("""COMPUTED_VALUE"""),57.4932870888341)</f>
        <v>57.49328709</v>
      </c>
      <c r="P2215" s="20">
        <f>IFERROR(__xludf.DUMMYFUNCTION("""COMPUTED_VALUE"""),20555.0)</f>
        <v>20555</v>
      </c>
      <c r="Q2215" s="20">
        <f>IFERROR(__xludf.DUMMYFUNCTION("""COMPUTED_VALUE"""),35752.0)</f>
        <v>35752</v>
      </c>
    </row>
    <row r="2216">
      <c r="A2216" s="20">
        <f>IFERROR(__xludf.DUMMYFUNCTION("""COMPUTED_VALUE"""),1392.0)</f>
        <v>1392</v>
      </c>
      <c r="B2216" s="20" t="str">
        <f>IFERROR(__xludf.DUMMYFUNCTION("""COMPUTED_VALUE"""),"Find the Difference of Two Arrays")</f>
        <v>Find the Difference of Two Arrays</v>
      </c>
      <c r="C2216" s="20" t="str">
        <f>IFERROR(__xludf.DUMMYFUNCTION("""COMPUTED_VALUE"""),"find-the-difference-of-two-arrays")</f>
        <v>find-the-difference-of-two-arrays</v>
      </c>
      <c r="D2216" s="20" t="b">
        <f>IFERROR(__xludf.DUMMYFUNCTION("""COMPUTED_VALUE"""),FALSE)</f>
        <v>0</v>
      </c>
      <c r="E2216" s="20" t="str">
        <f>IFERROR(__xludf.DUMMYFUNCTION("""COMPUTED_VALUE"""),"Easy")</f>
        <v>Easy</v>
      </c>
      <c r="F2216" s="20">
        <f>IFERROR(__xludf.DUMMYFUNCTION("""COMPUTED_VALUE"""),484.0)</f>
        <v>484</v>
      </c>
      <c r="G2216" s="20">
        <f>IFERROR(__xludf.DUMMYFUNCTION("""COMPUTED_VALUE"""),22.0)</f>
        <v>22</v>
      </c>
      <c r="H2216" s="20" t="str">
        <f>IFERROR(__xludf.DUMMYFUNCTION("""COMPUTED_VALUE"""),"Algorithms")</f>
        <v>Algorithms</v>
      </c>
      <c r="I2216" s="20">
        <f>IFERROR(__xludf.DUMMYFUNCTION("""COMPUTED_VALUE"""),0.696)</f>
        <v>0.696</v>
      </c>
      <c r="J2216" s="20">
        <f>IFERROR(__xludf.DUMMYFUNCTION("""COMPUTED_VALUE"""),2215.0)</f>
        <v>2215</v>
      </c>
      <c r="K2216" s="20" t="b">
        <f>IFERROR(__xludf.DUMMYFUNCTION("""COMPUTED_VALUE"""),FALSE)</f>
        <v>0</v>
      </c>
      <c r="L2216" s="20" t="str">
        <f>IFERROR(__xludf.DUMMYFUNCTION("""COMPUTED_VALUE"""),"Array;Hash Table;")</f>
        <v>Array;Hash Table;</v>
      </c>
      <c r="M2216" s="20" t="b">
        <f>IFERROR(__xludf.DUMMYFUNCTION("""COMPUTED_VALUE"""),FALSE)</f>
        <v>0</v>
      </c>
      <c r="N2216" s="20" t="b">
        <f>IFERROR(__xludf.DUMMYFUNCTION("""COMPUTED_VALUE"""),FALSE)</f>
        <v>0</v>
      </c>
      <c r="O2216" s="20">
        <f>IFERROR(__xludf.DUMMYFUNCTION("""COMPUTED_VALUE"""),69.6050088645402)</f>
        <v>69.60500886</v>
      </c>
      <c r="P2216" s="20">
        <f>IFERROR(__xludf.DUMMYFUNCTION("""COMPUTED_VALUE"""),43578.0)</f>
        <v>43578</v>
      </c>
      <c r="Q2216" s="20">
        <f>IFERROR(__xludf.DUMMYFUNCTION("""COMPUTED_VALUE"""),62608.0)</f>
        <v>62608</v>
      </c>
    </row>
    <row r="2217">
      <c r="A2217" s="20">
        <f>IFERROR(__xludf.DUMMYFUNCTION("""COMPUTED_VALUE"""),1355.0)</f>
        <v>1355</v>
      </c>
      <c r="B2217" s="20" t="str">
        <f>IFERROR(__xludf.DUMMYFUNCTION("""COMPUTED_VALUE"""),"Minimum Deletions to Make Array Beautiful")</f>
        <v>Minimum Deletions to Make Array Beautiful</v>
      </c>
      <c r="C2217" s="20" t="str">
        <f>IFERROR(__xludf.DUMMYFUNCTION("""COMPUTED_VALUE"""),"minimum-deletions-to-make-array-beautiful")</f>
        <v>minimum-deletions-to-make-array-beautiful</v>
      </c>
      <c r="D2217" s="20" t="b">
        <f>IFERROR(__xludf.DUMMYFUNCTION("""COMPUTED_VALUE"""),FALSE)</f>
        <v>0</v>
      </c>
      <c r="E2217" s="20" t="str">
        <f>IFERROR(__xludf.DUMMYFUNCTION("""COMPUTED_VALUE"""),"Medium")</f>
        <v>Medium</v>
      </c>
      <c r="F2217" s="20">
        <f>IFERROR(__xludf.DUMMYFUNCTION("""COMPUTED_VALUE"""),537.0)</f>
        <v>537</v>
      </c>
      <c r="G2217" s="20">
        <f>IFERROR(__xludf.DUMMYFUNCTION("""COMPUTED_VALUE"""),82.0)</f>
        <v>82</v>
      </c>
      <c r="H2217" s="20" t="str">
        <f>IFERROR(__xludf.DUMMYFUNCTION("""COMPUTED_VALUE"""),"Algorithms")</f>
        <v>Algorithms</v>
      </c>
      <c r="I2217" s="20">
        <f>IFERROR(__xludf.DUMMYFUNCTION("""COMPUTED_VALUE"""),0.465)</f>
        <v>0.465</v>
      </c>
      <c r="J2217" s="20">
        <f>IFERROR(__xludf.DUMMYFUNCTION("""COMPUTED_VALUE"""),2216.0)</f>
        <v>2216</v>
      </c>
      <c r="K2217" s="20" t="b">
        <f>IFERROR(__xludf.DUMMYFUNCTION("""COMPUTED_VALUE"""),FALSE)</f>
        <v>0</v>
      </c>
      <c r="L2217" s="20" t="str">
        <f>IFERROR(__xludf.DUMMYFUNCTION("""COMPUTED_VALUE"""),"Array;Stack;Greedy;")</f>
        <v>Array;Stack;Greedy;</v>
      </c>
      <c r="M2217" s="20" t="b">
        <f>IFERROR(__xludf.DUMMYFUNCTION("""COMPUTED_VALUE"""),FALSE)</f>
        <v>0</v>
      </c>
      <c r="N2217" s="20" t="b">
        <f>IFERROR(__xludf.DUMMYFUNCTION("""COMPUTED_VALUE"""),FALSE)</f>
        <v>0</v>
      </c>
      <c r="O2217" s="20">
        <f>IFERROR(__xludf.DUMMYFUNCTION("""COMPUTED_VALUE"""),46.5414007720791)</f>
        <v>46.54140077</v>
      </c>
      <c r="P2217" s="20">
        <f>IFERROR(__xludf.DUMMYFUNCTION("""COMPUTED_VALUE"""),23630.0)</f>
        <v>23630</v>
      </c>
      <c r="Q2217" s="20">
        <f>IFERROR(__xludf.DUMMYFUNCTION("""COMPUTED_VALUE"""),50772.0)</f>
        <v>50772</v>
      </c>
    </row>
    <row r="2218">
      <c r="A2218" s="20">
        <f>IFERROR(__xludf.DUMMYFUNCTION("""COMPUTED_VALUE"""),1375.0)</f>
        <v>1375</v>
      </c>
      <c r="B2218" s="20" t="str">
        <f>IFERROR(__xludf.DUMMYFUNCTION("""COMPUTED_VALUE"""),"Find Palindrome With Fixed Length")</f>
        <v>Find Palindrome With Fixed Length</v>
      </c>
      <c r="C2218" s="20" t="str">
        <f>IFERROR(__xludf.DUMMYFUNCTION("""COMPUTED_VALUE"""),"find-palindrome-with-fixed-length")</f>
        <v>find-palindrome-with-fixed-length</v>
      </c>
      <c r="D2218" s="20" t="b">
        <f>IFERROR(__xludf.DUMMYFUNCTION("""COMPUTED_VALUE"""),FALSE)</f>
        <v>0</v>
      </c>
      <c r="E2218" s="20" t="str">
        <f>IFERROR(__xludf.DUMMYFUNCTION("""COMPUTED_VALUE"""),"Medium")</f>
        <v>Medium</v>
      </c>
      <c r="F2218" s="20">
        <f>IFERROR(__xludf.DUMMYFUNCTION("""COMPUTED_VALUE"""),469.0)</f>
        <v>469</v>
      </c>
      <c r="G2218" s="20">
        <f>IFERROR(__xludf.DUMMYFUNCTION("""COMPUTED_VALUE"""),198.0)</f>
        <v>198</v>
      </c>
      <c r="H2218" s="20" t="str">
        <f>IFERROR(__xludf.DUMMYFUNCTION("""COMPUTED_VALUE"""),"Algorithms")</f>
        <v>Algorithms</v>
      </c>
      <c r="I2218" s="20">
        <f>IFERROR(__xludf.DUMMYFUNCTION("""COMPUTED_VALUE"""),0.342)</f>
        <v>0.342</v>
      </c>
      <c r="J2218" s="20">
        <f>IFERROR(__xludf.DUMMYFUNCTION("""COMPUTED_VALUE"""),2217.0)</f>
        <v>2217</v>
      </c>
      <c r="K2218" s="20" t="b">
        <f>IFERROR(__xludf.DUMMYFUNCTION("""COMPUTED_VALUE"""),FALSE)</f>
        <v>0</v>
      </c>
      <c r="L2218" s="20" t="str">
        <f>IFERROR(__xludf.DUMMYFUNCTION("""COMPUTED_VALUE"""),"Array;Math;")</f>
        <v>Array;Math;</v>
      </c>
      <c r="M2218" s="20" t="b">
        <f>IFERROR(__xludf.DUMMYFUNCTION("""COMPUTED_VALUE"""),FALSE)</f>
        <v>0</v>
      </c>
      <c r="N2218" s="20" t="b">
        <f>IFERROR(__xludf.DUMMYFUNCTION("""COMPUTED_VALUE"""),FALSE)</f>
        <v>0</v>
      </c>
      <c r="O2218" s="20">
        <f>IFERROR(__xludf.DUMMYFUNCTION("""COMPUTED_VALUE"""),34.2348682887593)</f>
        <v>34.23486829</v>
      </c>
      <c r="P2218" s="20">
        <f>IFERROR(__xludf.DUMMYFUNCTION("""COMPUTED_VALUE"""),13620.0)</f>
        <v>13620</v>
      </c>
      <c r="Q2218" s="20">
        <f>IFERROR(__xludf.DUMMYFUNCTION("""COMPUTED_VALUE"""),39781.0)</f>
        <v>39781</v>
      </c>
    </row>
    <row r="2219">
      <c r="A2219" s="20">
        <f>IFERROR(__xludf.DUMMYFUNCTION("""COMPUTED_VALUE"""),1393.0)</f>
        <v>1393</v>
      </c>
      <c r="B2219" s="20" t="str">
        <f>IFERROR(__xludf.DUMMYFUNCTION("""COMPUTED_VALUE"""),"Maximum Value of K Coins From Piles")</f>
        <v>Maximum Value of K Coins From Piles</v>
      </c>
      <c r="C2219" s="20" t="str">
        <f>IFERROR(__xludf.DUMMYFUNCTION("""COMPUTED_VALUE"""),"maximum-value-of-k-coins-from-piles")</f>
        <v>maximum-value-of-k-coins-from-piles</v>
      </c>
      <c r="D2219" s="20" t="b">
        <f>IFERROR(__xludf.DUMMYFUNCTION("""COMPUTED_VALUE"""),FALSE)</f>
        <v>0</v>
      </c>
      <c r="E2219" s="20" t="str">
        <f>IFERROR(__xludf.DUMMYFUNCTION("""COMPUTED_VALUE"""),"Hard")</f>
        <v>Hard</v>
      </c>
      <c r="F2219" s="20">
        <f>IFERROR(__xludf.DUMMYFUNCTION("""COMPUTED_VALUE"""),694.0)</f>
        <v>694</v>
      </c>
      <c r="G2219" s="20">
        <f>IFERROR(__xludf.DUMMYFUNCTION("""COMPUTED_VALUE"""),11.0)</f>
        <v>11</v>
      </c>
      <c r="H2219" s="20" t="str">
        <f>IFERROR(__xludf.DUMMYFUNCTION("""COMPUTED_VALUE"""),"Algorithms")</f>
        <v>Algorithms</v>
      </c>
      <c r="I2219" s="20">
        <f>IFERROR(__xludf.DUMMYFUNCTION("""COMPUTED_VALUE"""),0.479)</f>
        <v>0.479</v>
      </c>
      <c r="J2219" s="20">
        <f>IFERROR(__xludf.DUMMYFUNCTION("""COMPUTED_VALUE"""),2218.0)</f>
        <v>2218</v>
      </c>
      <c r="K2219" s="20" t="b">
        <f>IFERROR(__xludf.DUMMYFUNCTION("""COMPUTED_VALUE"""),FALSE)</f>
        <v>0</v>
      </c>
      <c r="L2219" s="20" t="str">
        <f>IFERROR(__xludf.DUMMYFUNCTION("""COMPUTED_VALUE"""),"Array;Dynamic Programming;Prefix Sum;")</f>
        <v>Array;Dynamic Programming;Prefix Sum;</v>
      </c>
      <c r="M2219" s="20" t="b">
        <f>IFERROR(__xludf.DUMMYFUNCTION("""COMPUTED_VALUE"""),FALSE)</f>
        <v>0</v>
      </c>
      <c r="N2219" s="20" t="b">
        <f>IFERROR(__xludf.DUMMYFUNCTION("""COMPUTED_VALUE"""),FALSE)</f>
        <v>0</v>
      </c>
      <c r="O2219" s="20">
        <f>IFERROR(__xludf.DUMMYFUNCTION("""COMPUTED_VALUE"""),47.9106547239815)</f>
        <v>47.91065472</v>
      </c>
      <c r="P2219" s="20">
        <f>IFERROR(__xludf.DUMMYFUNCTION("""COMPUTED_VALUE"""),12783.0)</f>
        <v>12783</v>
      </c>
      <c r="Q2219" s="20">
        <f>IFERROR(__xludf.DUMMYFUNCTION("""COMPUTED_VALUE"""),26682.0)</f>
        <v>26682</v>
      </c>
    </row>
    <row r="2220">
      <c r="A2220" s="20">
        <f>IFERROR(__xludf.DUMMYFUNCTION("""COMPUTED_VALUE"""),2369.0)</f>
        <v>2369</v>
      </c>
      <c r="B2220" s="20" t="str">
        <f>IFERROR(__xludf.DUMMYFUNCTION("""COMPUTED_VALUE"""),"Maximum Sum Score of Array")</f>
        <v>Maximum Sum Score of Array</v>
      </c>
      <c r="C2220" s="20" t="str">
        <f>IFERROR(__xludf.DUMMYFUNCTION("""COMPUTED_VALUE"""),"maximum-sum-score-of-array")</f>
        <v>maximum-sum-score-of-array</v>
      </c>
      <c r="D2220" s="20" t="b">
        <f>IFERROR(__xludf.DUMMYFUNCTION("""COMPUTED_VALUE"""),TRUE)</f>
        <v>1</v>
      </c>
      <c r="E2220" s="20" t="str">
        <f>IFERROR(__xludf.DUMMYFUNCTION("""COMPUTED_VALUE"""),"Medium")</f>
        <v>Medium</v>
      </c>
      <c r="F2220" s="20">
        <f>IFERROR(__xludf.DUMMYFUNCTION("""COMPUTED_VALUE"""),45.0)</f>
        <v>45</v>
      </c>
      <c r="G2220" s="20">
        <f>IFERROR(__xludf.DUMMYFUNCTION("""COMPUTED_VALUE"""),14.0)</f>
        <v>14</v>
      </c>
      <c r="H2220" s="20" t="str">
        <f>IFERROR(__xludf.DUMMYFUNCTION("""COMPUTED_VALUE"""),"Algorithms")</f>
        <v>Algorithms</v>
      </c>
      <c r="I2220" s="20">
        <f>IFERROR(__xludf.DUMMYFUNCTION("""COMPUTED_VALUE"""),0.601)</f>
        <v>0.601</v>
      </c>
      <c r="J2220" s="20">
        <f>IFERROR(__xludf.DUMMYFUNCTION("""COMPUTED_VALUE"""),2219.0)</f>
        <v>2219</v>
      </c>
      <c r="K2220" s="20" t="b">
        <f>IFERROR(__xludf.DUMMYFUNCTION("""COMPUTED_VALUE"""),TRUE)</f>
        <v>1</v>
      </c>
      <c r="L2220" s="20" t="str">
        <f>IFERROR(__xludf.DUMMYFUNCTION("""COMPUTED_VALUE"""),"Array;Prefix Sum;")</f>
        <v>Array;Prefix Sum;</v>
      </c>
      <c r="M2220" s="20" t="b">
        <f>IFERROR(__xludf.DUMMYFUNCTION("""COMPUTED_VALUE"""),FALSE)</f>
        <v>0</v>
      </c>
      <c r="N2220" s="20" t="b">
        <f>IFERROR(__xludf.DUMMYFUNCTION("""COMPUTED_VALUE"""),FALSE)</f>
        <v>0</v>
      </c>
      <c r="O2220" s="20">
        <f>IFERROR(__xludf.DUMMYFUNCTION("""COMPUTED_VALUE"""),60.1023641238118)</f>
        <v>60.10236412</v>
      </c>
      <c r="P2220" s="20">
        <f>IFERROR(__xludf.DUMMYFUNCTION("""COMPUTED_VALUE"""),2466.0)</f>
        <v>2466</v>
      </c>
      <c r="Q2220" s="20">
        <f>IFERROR(__xludf.DUMMYFUNCTION("""COMPUTED_VALUE"""),4103.0)</f>
        <v>4103</v>
      </c>
    </row>
    <row r="2221">
      <c r="A2221" s="20">
        <f>IFERROR(__xludf.DUMMYFUNCTION("""COMPUTED_VALUE"""),2323.0)</f>
        <v>2323</v>
      </c>
      <c r="B2221" s="20" t="str">
        <f>IFERROR(__xludf.DUMMYFUNCTION("""COMPUTED_VALUE"""),"Minimum Bit Flips to Convert Number")</f>
        <v>Minimum Bit Flips to Convert Number</v>
      </c>
      <c r="C2221" s="20" t="str">
        <f>IFERROR(__xludf.DUMMYFUNCTION("""COMPUTED_VALUE"""),"minimum-bit-flips-to-convert-number")</f>
        <v>minimum-bit-flips-to-convert-number</v>
      </c>
      <c r="D2221" s="20" t="b">
        <f>IFERROR(__xludf.DUMMYFUNCTION("""COMPUTED_VALUE"""),FALSE)</f>
        <v>0</v>
      </c>
      <c r="E2221" s="20" t="str">
        <f>IFERROR(__xludf.DUMMYFUNCTION("""COMPUTED_VALUE"""),"Easy")</f>
        <v>Easy</v>
      </c>
      <c r="F2221" s="20">
        <f>IFERROR(__xludf.DUMMYFUNCTION("""COMPUTED_VALUE"""),376.0)</f>
        <v>376</v>
      </c>
      <c r="G2221" s="20">
        <f>IFERROR(__xludf.DUMMYFUNCTION("""COMPUTED_VALUE"""),6.0)</f>
        <v>6</v>
      </c>
      <c r="H2221" s="20" t="str">
        <f>IFERROR(__xludf.DUMMYFUNCTION("""COMPUTED_VALUE"""),"Algorithms")</f>
        <v>Algorithms</v>
      </c>
      <c r="I2221" s="20">
        <f>IFERROR(__xludf.DUMMYFUNCTION("""COMPUTED_VALUE"""),0.822)</f>
        <v>0.822</v>
      </c>
      <c r="J2221" s="20">
        <f>IFERROR(__xludf.DUMMYFUNCTION("""COMPUTED_VALUE"""),2220.0)</f>
        <v>2220</v>
      </c>
      <c r="K2221" s="20" t="b">
        <f>IFERROR(__xludf.DUMMYFUNCTION("""COMPUTED_VALUE"""),FALSE)</f>
        <v>0</v>
      </c>
      <c r="L2221" s="20" t="str">
        <f>IFERROR(__xludf.DUMMYFUNCTION("""COMPUTED_VALUE"""),"Bit Manipulation;")</f>
        <v>Bit Manipulation;</v>
      </c>
      <c r="M2221" s="20" t="b">
        <f>IFERROR(__xludf.DUMMYFUNCTION("""COMPUTED_VALUE"""),FALSE)</f>
        <v>0</v>
      </c>
      <c r="N2221" s="20" t="b">
        <f>IFERROR(__xludf.DUMMYFUNCTION("""COMPUTED_VALUE"""),FALSE)</f>
        <v>0</v>
      </c>
      <c r="O2221" s="20">
        <f>IFERROR(__xludf.DUMMYFUNCTION("""COMPUTED_VALUE"""),82.1952559039673)</f>
        <v>82.1952559</v>
      </c>
      <c r="P2221" s="20">
        <f>IFERROR(__xludf.DUMMYFUNCTION("""COMPUTED_VALUE"""),31429.0)</f>
        <v>31429</v>
      </c>
      <c r="Q2221" s="20">
        <f>IFERROR(__xludf.DUMMYFUNCTION("""COMPUTED_VALUE"""),38237.0)</f>
        <v>38237</v>
      </c>
    </row>
    <row r="2222">
      <c r="A2222" s="20">
        <f>IFERROR(__xludf.DUMMYFUNCTION("""COMPUTED_VALUE"""),2324.0)</f>
        <v>2324</v>
      </c>
      <c r="B2222" s="20" t="str">
        <f>IFERROR(__xludf.DUMMYFUNCTION("""COMPUTED_VALUE"""),"Find Triangular Sum of an Array")</f>
        <v>Find Triangular Sum of an Array</v>
      </c>
      <c r="C2222" s="20" t="str">
        <f>IFERROR(__xludf.DUMMYFUNCTION("""COMPUTED_VALUE"""),"find-triangular-sum-of-an-array")</f>
        <v>find-triangular-sum-of-an-array</v>
      </c>
      <c r="D2222" s="20" t="b">
        <f>IFERROR(__xludf.DUMMYFUNCTION("""COMPUTED_VALUE"""),FALSE)</f>
        <v>0</v>
      </c>
      <c r="E2222" s="20" t="str">
        <f>IFERROR(__xludf.DUMMYFUNCTION("""COMPUTED_VALUE"""),"Medium")</f>
        <v>Medium</v>
      </c>
      <c r="F2222" s="20">
        <f>IFERROR(__xludf.DUMMYFUNCTION("""COMPUTED_VALUE"""),694.0)</f>
        <v>694</v>
      </c>
      <c r="G2222" s="20">
        <f>IFERROR(__xludf.DUMMYFUNCTION("""COMPUTED_VALUE"""),33.0)</f>
        <v>33</v>
      </c>
      <c r="H2222" s="20" t="str">
        <f>IFERROR(__xludf.DUMMYFUNCTION("""COMPUTED_VALUE"""),"Algorithms")</f>
        <v>Algorithms</v>
      </c>
      <c r="I2222" s="20">
        <f>IFERROR(__xludf.DUMMYFUNCTION("""COMPUTED_VALUE"""),0.789)</f>
        <v>0.789</v>
      </c>
      <c r="J2222" s="20">
        <f>IFERROR(__xludf.DUMMYFUNCTION("""COMPUTED_VALUE"""),2221.0)</f>
        <v>2221</v>
      </c>
      <c r="K2222" s="20" t="b">
        <f>IFERROR(__xludf.DUMMYFUNCTION("""COMPUTED_VALUE"""),FALSE)</f>
        <v>0</v>
      </c>
      <c r="L2222" s="20" t="str">
        <f>IFERROR(__xludf.DUMMYFUNCTION("""COMPUTED_VALUE"""),"Array;Math;Simulation;Combinatorics;")</f>
        <v>Array;Math;Simulation;Combinatorics;</v>
      </c>
      <c r="M2222" s="20" t="b">
        <f>IFERROR(__xludf.DUMMYFUNCTION("""COMPUTED_VALUE"""),FALSE)</f>
        <v>0</v>
      </c>
      <c r="N2222" s="20" t="b">
        <f>IFERROR(__xludf.DUMMYFUNCTION("""COMPUTED_VALUE"""),FALSE)</f>
        <v>0</v>
      </c>
      <c r="O2222" s="20">
        <f>IFERROR(__xludf.DUMMYFUNCTION("""COMPUTED_VALUE"""),78.9161924040551)</f>
        <v>78.9161924</v>
      </c>
      <c r="P2222" s="20">
        <f>IFERROR(__xludf.DUMMYFUNCTION("""COMPUTED_VALUE"""),47557.0)</f>
        <v>47557</v>
      </c>
      <c r="Q2222" s="20">
        <f>IFERROR(__xludf.DUMMYFUNCTION("""COMPUTED_VALUE"""),60264.0)</f>
        <v>60264</v>
      </c>
    </row>
    <row r="2223">
      <c r="A2223" s="20">
        <f>IFERROR(__xludf.DUMMYFUNCTION("""COMPUTED_VALUE"""),2325.0)</f>
        <v>2325</v>
      </c>
      <c r="B2223" s="20" t="str">
        <f>IFERROR(__xludf.DUMMYFUNCTION("""COMPUTED_VALUE"""),"Number of Ways to Select Buildings")</f>
        <v>Number of Ways to Select Buildings</v>
      </c>
      <c r="C2223" s="20" t="str">
        <f>IFERROR(__xludf.DUMMYFUNCTION("""COMPUTED_VALUE"""),"number-of-ways-to-select-buildings")</f>
        <v>number-of-ways-to-select-buildings</v>
      </c>
      <c r="D2223" s="20" t="b">
        <f>IFERROR(__xludf.DUMMYFUNCTION("""COMPUTED_VALUE"""),FALSE)</f>
        <v>0</v>
      </c>
      <c r="E2223" s="20" t="str">
        <f>IFERROR(__xludf.DUMMYFUNCTION("""COMPUTED_VALUE"""),"Medium")</f>
        <v>Medium</v>
      </c>
      <c r="F2223" s="20">
        <f>IFERROR(__xludf.DUMMYFUNCTION("""COMPUTED_VALUE"""),712.0)</f>
        <v>712</v>
      </c>
      <c r="G2223" s="20">
        <f>IFERROR(__xludf.DUMMYFUNCTION("""COMPUTED_VALUE"""),30.0)</f>
        <v>30</v>
      </c>
      <c r="H2223" s="20" t="str">
        <f>IFERROR(__xludf.DUMMYFUNCTION("""COMPUTED_VALUE"""),"Algorithms")</f>
        <v>Algorithms</v>
      </c>
      <c r="I2223" s="20">
        <f>IFERROR(__xludf.DUMMYFUNCTION("""COMPUTED_VALUE"""),0.513)</f>
        <v>0.513</v>
      </c>
      <c r="J2223" s="20">
        <f>IFERROR(__xludf.DUMMYFUNCTION("""COMPUTED_VALUE"""),2222.0)</f>
        <v>2222</v>
      </c>
      <c r="K2223" s="20" t="b">
        <f>IFERROR(__xludf.DUMMYFUNCTION("""COMPUTED_VALUE"""),FALSE)</f>
        <v>0</v>
      </c>
      <c r="L2223" s="20" t="str">
        <f>IFERROR(__xludf.DUMMYFUNCTION("""COMPUTED_VALUE"""),"String;Dynamic Programming;Prefix Sum;")</f>
        <v>String;Dynamic Programming;Prefix Sum;</v>
      </c>
      <c r="M2223" s="20" t="b">
        <f>IFERROR(__xludf.DUMMYFUNCTION("""COMPUTED_VALUE"""),FALSE)</f>
        <v>0</v>
      </c>
      <c r="N2223" s="20" t="b">
        <f>IFERROR(__xludf.DUMMYFUNCTION("""COMPUTED_VALUE"""),FALSE)</f>
        <v>0</v>
      </c>
      <c r="O2223" s="20">
        <f>IFERROR(__xludf.DUMMYFUNCTION("""COMPUTED_VALUE"""),51.3271436373566)</f>
        <v>51.32714364</v>
      </c>
      <c r="P2223" s="20">
        <f>IFERROR(__xludf.DUMMYFUNCTION("""COMPUTED_VALUE"""),23495.0)</f>
        <v>23495</v>
      </c>
      <c r="Q2223" s="20">
        <f>IFERROR(__xludf.DUMMYFUNCTION("""COMPUTED_VALUE"""),45775.0)</f>
        <v>45775</v>
      </c>
    </row>
    <row r="2224">
      <c r="A2224" s="20">
        <f>IFERROR(__xludf.DUMMYFUNCTION("""COMPUTED_VALUE"""),2326.0)</f>
        <v>2326</v>
      </c>
      <c r="B2224" s="20" t="str">
        <f>IFERROR(__xludf.DUMMYFUNCTION("""COMPUTED_VALUE"""),"Sum of Scores of Built Strings")</f>
        <v>Sum of Scores of Built Strings</v>
      </c>
      <c r="C2224" s="20" t="str">
        <f>IFERROR(__xludf.DUMMYFUNCTION("""COMPUTED_VALUE"""),"sum-of-scores-of-built-strings")</f>
        <v>sum-of-scores-of-built-strings</v>
      </c>
      <c r="D2224" s="20" t="b">
        <f>IFERROR(__xludf.DUMMYFUNCTION("""COMPUTED_VALUE"""),FALSE)</f>
        <v>0</v>
      </c>
      <c r="E2224" s="20" t="str">
        <f>IFERROR(__xludf.DUMMYFUNCTION("""COMPUTED_VALUE"""),"Hard")</f>
        <v>Hard</v>
      </c>
      <c r="F2224" s="20">
        <f>IFERROR(__xludf.DUMMYFUNCTION("""COMPUTED_VALUE"""),172.0)</f>
        <v>172</v>
      </c>
      <c r="G2224" s="20">
        <f>IFERROR(__xludf.DUMMYFUNCTION("""COMPUTED_VALUE"""),169.0)</f>
        <v>169</v>
      </c>
      <c r="H2224" s="20" t="str">
        <f>IFERROR(__xludf.DUMMYFUNCTION("""COMPUTED_VALUE"""),"Algorithms")</f>
        <v>Algorithms</v>
      </c>
      <c r="I2224" s="20">
        <f>IFERROR(__xludf.DUMMYFUNCTION("""COMPUTED_VALUE"""),0.371)</f>
        <v>0.371</v>
      </c>
      <c r="J2224" s="20">
        <f>IFERROR(__xludf.DUMMYFUNCTION("""COMPUTED_VALUE"""),2223.0)</f>
        <v>2223</v>
      </c>
      <c r="K2224" s="20" t="b">
        <f>IFERROR(__xludf.DUMMYFUNCTION("""COMPUTED_VALUE"""),FALSE)</f>
        <v>0</v>
      </c>
      <c r="L2224" s="20" t="str">
        <f>IFERROR(__xludf.DUMMYFUNCTION("""COMPUTED_VALUE"""),"String;Binary Search;Rolling Hash;Suffix Array;String Matching;Hash Function;")</f>
        <v>String;Binary Search;Rolling Hash;Suffix Array;String Matching;Hash Function;</v>
      </c>
      <c r="M2224" s="20" t="b">
        <f>IFERROR(__xludf.DUMMYFUNCTION("""COMPUTED_VALUE"""),FALSE)</f>
        <v>0</v>
      </c>
      <c r="N2224" s="20" t="b">
        <f>IFERROR(__xludf.DUMMYFUNCTION("""COMPUTED_VALUE"""),FALSE)</f>
        <v>0</v>
      </c>
      <c r="O2224" s="20">
        <f>IFERROR(__xludf.DUMMYFUNCTION("""COMPUTED_VALUE"""),37.1140990009764)</f>
        <v>37.114099</v>
      </c>
      <c r="P2224" s="20">
        <f>IFERROR(__xludf.DUMMYFUNCTION("""COMPUTED_VALUE"""),4941.0)</f>
        <v>4941</v>
      </c>
      <c r="Q2224" s="20">
        <f>IFERROR(__xludf.DUMMYFUNCTION("""COMPUTED_VALUE"""),13313.0)</f>
        <v>13313</v>
      </c>
    </row>
    <row r="2225">
      <c r="A2225" s="20">
        <f>IFERROR(__xludf.DUMMYFUNCTION("""COMPUTED_VALUE"""),2345.0)</f>
        <v>2345</v>
      </c>
      <c r="B2225" s="20" t="str">
        <f>IFERROR(__xludf.DUMMYFUNCTION("""COMPUTED_VALUE"""),"Minimum Number of Operations to Convert Time")</f>
        <v>Minimum Number of Operations to Convert Time</v>
      </c>
      <c r="C2225" s="20" t="str">
        <f>IFERROR(__xludf.DUMMYFUNCTION("""COMPUTED_VALUE"""),"minimum-number-of-operations-to-convert-time")</f>
        <v>minimum-number-of-operations-to-convert-time</v>
      </c>
      <c r="D2225" s="20" t="b">
        <f>IFERROR(__xludf.DUMMYFUNCTION("""COMPUTED_VALUE"""),FALSE)</f>
        <v>0</v>
      </c>
      <c r="E2225" s="20" t="str">
        <f>IFERROR(__xludf.DUMMYFUNCTION("""COMPUTED_VALUE"""),"Easy")</f>
        <v>Easy</v>
      </c>
      <c r="F2225" s="20">
        <f>IFERROR(__xludf.DUMMYFUNCTION("""COMPUTED_VALUE"""),321.0)</f>
        <v>321</v>
      </c>
      <c r="G2225" s="20">
        <f>IFERROR(__xludf.DUMMYFUNCTION("""COMPUTED_VALUE"""),27.0)</f>
        <v>27</v>
      </c>
      <c r="H2225" s="20" t="str">
        <f>IFERROR(__xludf.DUMMYFUNCTION("""COMPUTED_VALUE"""),"Algorithms")</f>
        <v>Algorithms</v>
      </c>
      <c r="I2225" s="20">
        <f>IFERROR(__xludf.DUMMYFUNCTION("""COMPUTED_VALUE"""),0.655)</f>
        <v>0.655</v>
      </c>
      <c r="J2225" s="20">
        <f>IFERROR(__xludf.DUMMYFUNCTION("""COMPUTED_VALUE"""),2224.0)</f>
        <v>2224</v>
      </c>
      <c r="K2225" s="20" t="b">
        <f>IFERROR(__xludf.DUMMYFUNCTION("""COMPUTED_VALUE"""),FALSE)</f>
        <v>0</v>
      </c>
      <c r="L2225" s="20" t="str">
        <f>IFERROR(__xludf.DUMMYFUNCTION("""COMPUTED_VALUE"""),"String;Greedy;")</f>
        <v>String;Greedy;</v>
      </c>
      <c r="M2225" s="20" t="b">
        <f>IFERROR(__xludf.DUMMYFUNCTION("""COMPUTED_VALUE"""),FALSE)</f>
        <v>0</v>
      </c>
      <c r="N2225" s="20" t="b">
        <f>IFERROR(__xludf.DUMMYFUNCTION("""COMPUTED_VALUE"""),FALSE)</f>
        <v>0</v>
      </c>
      <c r="O2225" s="20">
        <f>IFERROR(__xludf.DUMMYFUNCTION("""COMPUTED_VALUE"""),65.5216228265715)</f>
        <v>65.52162283</v>
      </c>
      <c r="P2225" s="20">
        <f>IFERROR(__xludf.DUMMYFUNCTION("""COMPUTED_VALUE"""),29393.0)</f>
        <v>29393</v>
      </c>
      <c r="Q2225" s="20">
        <f>IFERROR(__xludf.DUMMYFUNCTION("""COMPUTED_VALUE"""),44860.0)</f>
        <v>44860</v>
      </c>
    </row>
    <row r="2226">
      <c r="A2226" s="20">
        <f>IFERROR(__xludf.DUMMYFUNCTION("""COMPUTED_VALUE"""),1354.0)</f>
        <v>1354</v>
      </c>
      <c r="B2226" s="20" t="str">
        <f>IFERROR(__xludf.DUMMYFUNCTION("""COMPUTED_VALUE"""),"Find Players With Zero or One Losses")</f>
        <v>Find Players With Zero or One Losses</v>
      </c>
      <c r="C2226" s="20" t="str">
        <f>IFERROR(__xludf.DUMMYFUNCTION("""COMPUTED_VALUE"""),"find-players-with-zero-or-one-losses")</f>
        <v>find-players-with-zero-or-one-losses</v>
      </c>
      <c r="D2226" s="20" t="b">
        <f>IFERROR(__xludf.DUMMYFUNCTION("""COMPUTED_VALUE"""),FALSE)</f>
        <v>0</v>
      </c>
      <c r="E2226" s="20" t="str">
        <f>IFERROR(__xludf.DUMMYFUNCTION("""COMPUTED_VALUE"""),"Medium")</f>
        <v>Medium</v>
      </c>
      <c r="F2226" s="20">
        <f>IFERROR(__xludf.DUMMYFUNCTION("""COMPUTED_VALUE"""),1239.0)</f>
        <v>1239</v>
      </c>
      <c r="G2226" s="20">
        <f>IFERROR(__xludf.DUMMYFUNCTION("""COMPUTED_VALUE"""),87.0)</f>
        <v>87</v>
      </c>
      <c r="H2226" s="20" t="str">
        <f>IFERROR(__xludf.DUMMYFUNCTION("""COMPUTED_VALUE"""),"Algorithms")</f>
        <v>Algorithms</v>
      </c>
      <c r="I2226" s="20">
        <f>IFERROR(__xludf.DUMMYFUNCTION("""COMPUTED_VALUE"""),0.733)</f>
        <v>0.733</v>
      </c>
      <c r="J2226" s="20">
        <f>IFERROR(__xludf.DUMMYFUNCTION("""COMPUTED_VALUE"""),2225.0)</f>
        <v>2225</v>
      </c>
      <c r="K2226" s="20" t="b">
        <f>IFERROR(__xludf.DUMMYFUNCTION("""COMPUTED_VALUE"""),FALSE)</f>
        <v>0</v>
      </c>
      <c r="L2226" s="20" t="str">
        <f>IFERROR(__xludf.DUMMYFUNCTION("""COMPUTED_VALUE"""),"Array;Hash Table;Sorting;Counting;")</f>
        <v>Array;Hash Table;Sorting;Counting;</v>
      </c>
      <c r="M2226" s="20" t="b">
        <f>IFERROR(__xludf.DUMMYFUNCTION("""COMPUTED_VALUE"""),TRUE)</f>
        <v>1</v>
      </c>
      <c r="N2226" s="20" t="b">
        <f>IFERROR(__xludf.DUMMYFUNCTION("""COMPUTED_VALUE"""),FALSE)</f>
        <v>0</v>
      </c>
      <c r="O2226" s="20">
        <f>IFERROR(__xludf.DUMMYFUNCTION("""COMPUTED_VALUE"""),73.3406438613852)</f>
        <v>73.34064386</v>
      </c>
      <c r="P2226" s="20">
        <f>IFERROR(__xludf.DUMMYFUNCTION("""COMPUTED_VALUE"""),82264.0)</f>
        <v>82264</v>
      </c>
      <c r="Q2226" s="20">
        <f>IFERROR(__xludf.DUMMYFUNCTION("""COMPUTED_VALUE"""),112167.0)</f>
        <v>112167</v>
      </c>
    </row>
    <row r="2227">
      <c r="A2227" s="20">
        <f>IFERROR(__xludf.DUMMYFUNCTION("""COMPUTED_VALUE"""),1335.0)</f>
        <v>1335</v>
      </c>
      <c r="B2227" s="20" t="str">
        <f>IFERROR(__xludf.DUMMYFUNCTION("""COMPUTED_VALUE"""),"Maximum Candies Allocated to K Children")</f>
        <v>Maximum Candies Allocated to K Children</v>
      </c>
      <c r="C2227" s="20" t="str">
        <f>IFERROR(__xludf.DUMMYFUNCTION("""COMPUTED_VALUE"""),"maximum-candies-allocated-to-k-children")</f>
        <v>maximum-candies-allocated-to-k-children</v>
      </c>
      <c r="D2227" s="20" t="b">
        <f>IFERROR(__xludf.DUMMYFUNCTION("""COMPUTED_VALUE"""),FALSE)</f>
        <v>0</v>
      </c>
      <c r="E2227" s="20" t="str">
        <f>IFERROR(__xludf.DUMMYFUNCTION("""COMPUTED_VALUE"""),"Medium")</f>
        <v>Medium</v>
      </c>
      <c r="F2227" s="20">
        <f>IFERROR(__xludf.DUMMYFUNCTION("""COMPUTED_VALUE"""),588.0)</f>
        <v>588</v>
      </c>
      <c r="G2227" s="20">
        <f>IFERROR(__xludf.DUMMYFUNCTION("""COMPUTED_VALUE"""),28.0)</f>
        <v>28</v>
      </c>
      <c r="H2227" s="20" t="str">
        <f>IFERROR(__xludf.DUMMYFUNCTION("""COMPUTED_VALUE"""),"Algorithms")</f>
        <v>Algorithms</v>
      </c>
      <c r="I2227" s="20">
        <f>IFERROR(__xludf.DUMMYFUNCTION("""COMPUTED_VALUE"""),0.362)</f>
        <v>0.362</v>
      </c>
      <c r="J2227" s="20">
        <f>IFERROR(__xludf.DUMMYFUNCTION("""COMPUTED_VALUE"""),2226.0)</f>
        <v>2226</v>
      </c>
      <c r="K2227" s="20" t="b">
        <f>IFERROR(__xludf.DUMMYFUNCTION("""COMPUTED_VALUE"""),FALSE)</f>
        <v>0</v>
      </c>
      <c r="L2227" s="20" t="str">
        <f>IFERROR(__xludf.DUMMYFUNCTION("""COMPUTED_VALUE"""),"Array;Binary Search;")</f>
        <v>Array;Binary Search;</v>
      </c>
      <c r="M2227" s="20" t="b">
        <f>IFERROR(__xludf.DUMMYFUNCTION("""COMPUTED_VALUE"""),FALSE)</f>
        <v>0</v>
      </c>
      <c r="N2227" s="20" t="b">
        <f>IFERROR(__xludf.DUMMYFUNCTION("""COMPUTED_VALUE"""),FALSE)</f>
        <v>0</v>
      </c>
      <c r="O2227" s="20">
        <f>IFERROR(__xludf.DUMMYFUNCTION("""COMPUTED_VALUE"""),36.2269938650306)</f>
        <v>36.22699387</v>
      </c>
      <c r="P2227" s="20">
        <f>IFERROR(__xludf.DUMMYFUNCTION("""COMPUTED_VALUE"""),22437.0)</f>
        <v>22437</v>
      </c>
      <c r="Q2227" s="20">
        <f>IFERROR(__xludf.DUMMYFUNCTION("""COMPUTED_VALUE"""),61938.0)</f>
        <v>61938</v>
      </c>
    </row>
    <row r="2228">
      <c r="A2228" s="20">
        <f>IFERROR(__xludf.DUMMYFUNCTION("""COMPUTED_VALUE"""),1433.0)</f>
        <v>1433</v>
      </c>
      <c r="B2228" s="20" t="str">
        <f>IFERROR(__xludf.DUMMYFUNCTION("""COMPUTED_VALUE"""),"Encrypt and Decrypt Strings")</f>
        <v>Encrypt and Decrypt Strings</v>
      </c>
      <c r="C2228" s="20" t="str">
        <f>IFERROR(__xludf.DUMMYFUNCTION("""COMPUTED_VALUE"""),"encrypt-and-decrypt-strings")</f>
        <v>encrypt-and-decrypt-strings</v>
      </c>
      <c r="D2228" s="20" t="b">
        <f>IFERROR(__xludf.DUMMYFUNCTION("""COMPUTED_VALUE"""),FALSE)</f>
        <v>0</v>
      </c>
      <c r="E2228" s="20" t="str">
        <f>IFERROR(__xludf.DUMMYFUNCTION("""COMPUTED_VALUE"""),"Hard")</f>
        <v>Hard</v>
      </c>
      <c r="F2228" s="20">
        <f>IFERROR(__xludf.DUMMYFUNCTION("""COMPUTED_VALUE"""),269.0)</f>
        <v>269</v>
      </c>
      <c r="G2228" s="20">
        <f>IFERROR(__xludf.DUMMYFUNCTION("""COMPUTED_VALUE"""),49.0)</f>
        <v>49</v>
      </c>
      <c r="H2228" s="20" t="str">
        <f>IFERROR(__xludf.DUMMYFUNCTION("""COMPUTED_VALUE"""),"Algorithms")</f>
        <v>Algorithms</v>
      </c>
      <c r="I2228" s="20">
        <f>IFERROR(__xludf.DUMMYFUNCTION("""COMPUTED_VALUE"""),0.394)</f>
        <v>0.394</v>
      </c>
      <c r="J2228" s="20">
        <f>IFERROR(__xludf.DUMMYFUNCTION("""COMPUTED_VALUE"""),2227.0)</f>
        <v>2227</v>
      </c>
      <c r="K2228" s="20" t="b">
        <f>IFERROR(__xludf.DUMMYFUNCTION("""COMPUTED_VALUE"""),FALSE)</f>
        <v>0</v>
      </c>
      <c r="L2228" s="20" t="str">
        <f>IFERROR(__xludf.DUMMYFUNCTION("""COMPUTED_VALUE"""),"Array;Hash Table;String;Design;Trie;")</f>
        <v>Array;Hash Table;String;Design;Trie;</v>
      </c>
      <c r="M2228" s="20" t="b">
        <f>IFERROR(__xludf.DUMMYFUNCTION("""COMPUTED_VALUE"""),FALSE)</f>
        <v>0</v>
      </c>
      <c r="N2228" s="20" t="b">
        <f>IFERROR(__xludf.DUMMYFUNCTION("""COMPUTED_VALUE"""),FALSE)</f>
        <v>0</v>
      </c>
      <c r="O2228" s="20">
        <f>IFERROR(__xludf.DUMMYFUNCTION("""COMPUTED_VALUE"""),39.4271760274823)</f>
        <v>39.42717603</v>
      </c>
      <c r="P2228" s="20">
        <f>IFERROR(__xludf.DUMMYFUNCTION("""COMPUTED_VALUE"""),9526.0)</f>
        <v>9526</v>
      </c>
      <c r="Q2228" s="20">
        <f>IFERROR(__xludf.DUMMYFUNCTION("""COMPUTED_VALUE"""),24161.0)</f>
        <v>24161</v>
      </c>
    </row>
    <row r="2229">
      <c r="A2229" s="20">
        <f>IFERROR(__xludf.DUMMYFUNCTION("""COMPUTED_VALUE"""),2370.0)</f>
        <v>2370</v>
      </c>
      <c r="B2229" s="20" t="str">
        <f>IFERROR(__xludf.DUMMYFUNCTION("""COMPUTED_VALUE"""),"Users With Two Purchases Within Seven Days")</f>
        <v>Users With Two Purchases Within Seven Days</v>
      </c>
      <c r="C2229" s="20" t="str">
        <f>IFERROR(__xludf.DUMMYFUNCTION("""COMPUTED_VALUE"""),"users-with-two-purchases-within-seven-days")</f>
        <v>users-with-two-purchases-within-seven-days</v>
      </c>
      <c r="D2229" s="20" t="b">
        <f>IFERROR(__xludf.DUMMYFUNCTION("""COMPUTED_VALUE"""),TRUE)</f>
        <v>1</v>
      </c>
      <c r="E2229" s="20" t="str">
        <f>IFERROR(__xludf.DUMMYFUNCTION("""COMPUTED_VALUE"""),"Medium")</f>
        <v>Medium</v>
      </c>
      <c r="F2229" s="20">
        <f>IFERROR(__xludf.DUMMYFUNCTION("""COMPUTED_VALUE"""),36.0)</f>
        <v>36</v>
      </c>
      <c r="G2229" s="20">
        <f>IFERROR(__xludf.DUMMYFUNCTION("""COMPUTED_VALUE"""),6.0)</f>
        <v>6</v>
      </c>
      <c r="H2229" s="20" t="str">
        <f>IFERROR(__xludf.DUMMYFUNCTION("""COMPUTED_VALUE"""),"Database")</f>
        <v>Database</v>
      </c>
      <c r="I2229" s="20">
        <f>IFERROR(__xludf.DUMMYFUNCTION("""COMPUTED_VALUE"""),0.445)</f>
        <v>0.445</v>
      </c>
      <c r="J2229" s="20">
        <f>IFERROR(__xludf.DUMMYFUNCTION("""COMPUTED_VALUE"""),2228.0)</f>
        <v>2228</v>
      </c>
      <c r="K2229" s="20" t="b">
        <f>IFERROR(__xludf.DUMMYFUNCTION("""COMPUTED_VALUE"""),TRUE)</f>
        <v>1</v>
      </c>
      <c r="L2229" s="20" t="str">
        <f>IFERROR(__xludf.DUMMYFUNCTION("""COMPUTED_VALUE"""),"Database;")</f>
        <v>Database;</v>
      </c>
      <c r="M2229" s="20" t="b">
        <f>IFERROR(__xludf.DUMMYFUNCTION("""COMPUTED_VALUE"""),FALSE)</f>
        <v>0</v>
      </c>
      <c r="N2229" s="20" t="b">
        <f>IFERROR(__xludf.DUMMYFUNCTION("""COMPUTED_VALUE"""),FALSE)</f>
        <v>0</v>
      </c>
      <c r="O2229" s="20">
        <f>IFERROR(__xludf.DUMMYFUNCTION("""COMPUTED_VALUE"""),44.490735664949)</f>
        <v>44.49073566</v>
      </c>
      <c r="P2229" s="20">
        <f>IFERROR(__xludf.DUMMYFUNCTION("""COMPUTED_VALUE"""),4058.0)</f>
        <v>4058</v>
      </c>
      <c r="Q2229" s="20">
        <f>IFERROR(__xludf.DUMMYFUNCTION("""COMPUTED_VALUE"""),9121.0)</f>
        <v>9121</v>
      </c>
    </row>
    <row r="2230">
      <c r="A2230" s="20">
        <f>IFERROR(__xludf.DUMMYFUNCTION("""COMPUTED_VALUE"""),1416.0)</f>
        <v>1416</v>
      </c>
      <c r="B2230" s="20" t="str">
        <f>IFERROR(__xludf.DUMMYFUNCTION("""COMPUTED_VALUE"""),"Check if an Array Is Consecutive")</f>
        <v>Check if an Array Is Consecutive</v>
      </c>
      <c r="C2230" s="20" t="str">
        <f>IFERROR(__xludf.DUMMYFUNCTION("""COMPUTED_VALUE"""),"check-if-an-array-is-consecutive")</f>
        <v>check-if-an-array-is-consecutive</v>
      </c>
      <c r="D2230" s="20" t="b">
        <f>IFERROR(__xludf.DUMMYFUNCTION("""COMPUTED_VALUE"""),TRUE)</f>
        <v>1</v>
      </c>
      <c r="E2230" s="20" t="str">
        <f>IFERROR(__xludf.DUMMYFUNCTION("""COMPUTED_VALUE"""),"Easy")</f>
        <v>Easy</v>
      </c>
      <c r="F2230" s="20">
        <f>IFERROR(__xludf.DUMMYFUNCTION("""COMPUTED_VALUE"""),56.0)</f>
        <v>56</v>
      </c>
      <c r="G2230" s="20">
        <f>IFERROR(__xludf.DUMMYFUNCTION("""COMPUTED_VALUE"""),7.0)</f>
        <v>7</v>
      </c>
      <c r="H2230" s="20" t="str">
        <f>IFERROR(__xludf.DUMMYFUNCTION("""COMPUTED_VALUE"""),"Algorithms")</f>
        <v>Algorithms</v>
      </c>
      <c r="I2230" s="20">
        <f>IFERROR(__xludf.DUMMYFUNCTION("""COMPUTED_VALUE"""),0.616)</f>
        <v>0.616</v>
      </c>
      <c r="J2230" s="20">
        <f>IFERROR(__xludf.DUMMYFUNCTION("""COMPUTED_VALUE"""),2229.0)</f>
        <v>2229</v>
      </c>
      <c r="K2230" s="20" t="b">
        <f>IFERROR(__xludf.DUMMYFUNCTION("""COMPUTED_VALUE"""),TRUE)</f>
        <v>1</v>
      </c>
      <c r="L2230" s="20" t="str">
        <f>IFERROR(__xludf.DUMMYFUNCTION("""COMPUTED_VALUE"""),"Array;")</f>
        <v>Array;</v>
      </c>
      <c r="M2230" s="20" t="b">
        <f>IFERROR(__xludf.DUMMYFUNCTION("""COMPUTED_VALUE"""),FALSE)</f>
        <v>0</v>
      </c>
      <c r="N2230" s="20" t="b">
        <f>IFERROR(__xludf.DUMMYFUNCTION("""COMPUTED_VALUE"""),FALSE)</f>
        <v>0</v>
      </c>
      <c r="O2230" s="20">
        <f>IFERROR(__xludf.DUMMYFUNCTION("""COMPUTED_VALUE"""),61.5755627009646)</f>
        <v>61.5755627</v>
      </c>
      <c r="P2230" s="20">
        <f>IFERROR(__xludf.DUMMYFUNCTION("""COMPUTED_VALUE"""),3447.0)</f>
        <v>3447</v>
      </c>
      <c r="Q2230" s="20">
        <f>IFERROR(__xludf.DUMMYFUNCTION("""COMPUTED_VALUE"""),5595.0)</f>
        <v>5595</v>
      </c>
    </row>
    <row r="2231">
      <c r="A2231" s="20">
        <f>IFERROR(__xludf.DUMMYFUNCTION("""COMPUTED_VALUE"""),2371.0)</f>
        <v>2371</v>
      </c>
      <c r="B2231" s="20" t="str">
        <f>IFERROR(__xludf.DUMMYFUNCTION("""COMPUTED_VALUE"""),"The Users That Are Eligible for Discount")</f>
        <v>The Users That Are Eligible for Discount</v>
      </c>
      <c r="C2231" s="20" t="str">
        <f>IFERROR(__xludf.DUMMYFUNCTION("""COMPUTED_VALUE"""),"the-users-that-are-eligible-for-discount")</f>
        <v>the-users-that-are-eligible-for-discount</v>
      </c>
      <c r="D2231" s="20" t="b">
        <f>IFERROR(__xludf.DUMMYFUNCTION("""COMPUTED_VALUE"""),TRUE)</f>
        <v>1</v>
      </c>
      <c r="E2231" s="20" t="str">
        <f>IFERROR(__xludf.DUMMYFUNCTION("""COMPUTED_VALUE"""),"Easy")</f>
        <v>Easy</v>
      </c>
      <c r="F2231" s="20">
        <f>IFERROR(__xludf.DUMMYFUNCTION("""COMPUTED_VALUE"""),11.0)</f>
        <v>11</v>
      </c>
      <c r="G2231" s="20">
        <f>IFERROR(__xludf.DUMMYFUNCTION("""COMPUTED_VALUE"""),22.0)</f>
        <v>22</v>
      </c>
      <c r="H2231" s="20" t="str">
        <f>IFERROR(__xludf.DUMMYFUNCTION("""COMPUTED_VALUE"""),"Database")</f>
        <v>Database</v>
      </c>
      <c r="I2231" s="20">
        <f>IFERROR(__xludf.DUMMYFUNCTION("""COMPUTED_VALUE"""),0.509)</f>
        <v>0.509</v>
      </c>
      <c r="J2231" s="20">
        <f>IFERROR(__xludf.DUMMYFUNCTION("""COMPUTED_VALUE"""),2230.0)</f>
        <v>2230</v>
      </c>
      <c r="K2231" s="20" t="b">
        <f>IFERROR(__xludf.DUMMYFUNCTION("""COMPUTED_VALUE"""),TRUE)</f>
        <v>1</v>
      </c>
      <c r="L2231" s="20" t="str">
        <f>IFERROR(__xludf.DUMMYFUNCTION("""COMPUTED_VALUE"""),"Database;")</f>
        <v>Database;</v>
      </c>
      <c r="M2231" s="20" t="b">
        <f>IFERROR(__xludf.DUMMYFUNCTION("""COMPUTED_VALUE"""),FALSE)</f>
        <v>0</v>
      </c>
      <c r="N2231" s="20" t="b">
        <f>IFERROR(__xludf.DUMMYFUNCTION("""COMPUTED_VALUE"""),FALSE)</f>
        <v>0</v>
      </c>
      <c r="O2231" s="20">
        <f>IFERROR(__xludf.DUMMYFUNCTION("""COMPUTED_VALUE"""),50.9172661870503)</f>
        <v>50.91726619</v>
      </c>
      <c r="P2231" s="20">
        <f>IFERROR(__xludf.DUMMYFUNCTION("""COMPUTED_VALUE"""),2831.0)</f>
        <v>2831</v>
      </c>
      <c r="Q2231" s="20">
        <f>IFERROR(__xludf.DUMMYFUNCTION("""COMPUTED_VALUE"""),5560.0)</f>
        <v>5560</v>
      </c>
    </row>
    <row r="2232">
      <c r="A2232" s="20">
        <f>IFERROR(__xludf.DUMMYFUNCTION("""COMPUTED_VALUE"""),2327.0)</f>
        <v>2327</v>
      </c>
      <c r="B2232" s="20" t="str">
        <f>IFERROR(__xludf.DUMMYFUNCTION("""COMPUTED_VALUE"""),"Largest Number After Digit Swaps by Parity")</f>
        <v>Largest Number After Digit Swaps by Parity</v>
      </c>
      <c r="C2232" s="20" t="str">
        <f>IFERROR(__xludf.DUMMYFUNCTION("""COMPUTED_VALUE"""),"largest-number-after-digit-swaps-by-parity")</f>
        <v>largest-number-after-digit-swaps-by-parity</v>
      </c>
      <c r="D2232" s="20" t="b">
        <f>IFERROR(__xludf.DUMMYFUNCTION("""COMPUTED_VALUE"""),FALSE)</f>
        <v>0</v>
      </c>
      <c r="E2232" s="20" t="str">
        <f>IFERROR(__xludf.DUMMYFUNCTION("""COMPUTED_VALUE"""),"Easy")</f>
        <v>Easy</v>
      </c>
      <c r="F2232" s="20">
        <f>IFERROR(__xludf.DUMMYFUNCTION("""COMPUTED_VALUE"""),372.0)</f>
        <v>372</v>
      </c>
      <c r="G2232" s="20">
        <f>IFERROR(__xludf.DUMMYFUNCTION("""COMPUTED_VALUE"""),232.0)</f>
        <v>232</v>
      </c>
      <c r="H2232" s="20" t="str">
        <f>IFERROR(__xludf.DUMMYFUNCTION("""COMPUTED_VALUE"""),"Algorithms")</f>
        <v>Algorithms</v>
      </c>
      <c r="I2232" s="20">
        <f>IFERROR(__xludf.DUMMYFUNCTION("""COMPUTED_VALUE"""),0.606)</f>
        <v>0.606</v>
      </c>
      <c r="J2232" s="20">
        <f>IFERROR(__xludf.DUMMYFUNCTION("""COMPUTED_VALUE"""),2231.0)</f>
        <v>2231</v>
      </c>
      <c r="K2232" s="20" t="b">
        <f>IFERROR(__xludf.DUMMYFUNCTION("""COMPUTED_VALUE"""),FALSE)</f>
        <v>0</v>
      </c>
      <c r="L2232" s="20" t="str">
        <f>IFERROR(__xludf.DUMMYFUNCTION("""COMPUTED_VALUE"""),"Sorting;Heap (Priority Queue);")</f>
        <v>Sorting;Heap (Priority Queue);</v>
      </c>
      <c r="M2232" s="20" t="b">
        <f>IFERROR(__xludf.DUMMYFUNCTION("""COMPUTED_VALUE"""),FALSE)</f>
        <v>0</v>
      </c>
      <c r="N2232" s="20" t="b">
        <f>IFERROR(__xludf.DUMMYFUNCTION("""COMPUTED_VALUE"""),FALSE)</f>
        <v>0</v>
      </c>
      <c r="O2232" s="20">
        <f>IFERROR(__xludf.DUMMYFUNCTION("""COMPUTED_VALUE"""),60.6491136600625)</f>
        <v>60.64911366</v>
      </c>
      <c r="P2232" s="20">
        <f>IFERROR(__xludf.DUMMYFUNCTION("""COMPUTED_VALUE"""),27918.0)</f>
        <v>27918</v>
      </c>
      <c r="Q2232" s="20">
        <f>IFERROR(__xludf.DUMMYFUNCTION("""COMPUTED_VALUE"""),46032.0)</f>
        <v>46032</v>
      </c>
    </row>
    <row r="2233">
      <c r="A2233" s="20">
        <f>IFERROR(__xludf.DUMMYFUNCTION("""COMPUTED_VALUE"""),2328.0)</f>
        <v>2328</v>
      </c>
      <c r="B2233" s="20" t="str">
        <f>IFERROR(__xludf.DUMMYFUNCTION("""COMPUTED_VALUE"""),"Minimize Result by Adding Parentheses to Expression")</f>
        <v>Minimize Result by Adding Parentheses to Expression</v>
      </c>
      <c r="C2233" s="20" t="str">
        <f>IFERROR(__xludf.DUMMYFUNCTION("""COMPUTED_VALUE"""),"minimize-result-by-adding-parentheses-to-expression")</f>
        <v>minimize-result-by-adding-parentheses-to-expression</v>
      </c>
      <c r="D2233" s="20" t="b">
        <f>IFERROR(__xludf.DUMMYFUNCTION("""COMPUTED_VALUE"""),FALSE)</f>
        <v>0</v>
      </c>
      <c r="E2233" s="20" t="str">
        <f>IFERROR(__xludf.DUMMYFUNCTION("""COMPUTED_VALUE"""),"Medium")</f>
        <v>Medium</v>
      </c>
      <c r="F2233" s="20">
        <f>IFERROR(__xludf.DUMMYFUNCTION("""COMPUTED_VALUE"""),155.0)</f>
        <v>155</v>
      </c>
      <c r="G2233" s="20">
        <f>IFERROR(__xludf.DUMMYFUNCTION("""COMPUTED_VALUE"""),287.0)</f>
        <v>287</v>
      </c>
      <c r="H2233" s="20" t="str">
        <f>IFERROR(__xludf.DUMMYFUNCTION("""COMPUTED_VALUE"""),"Algorithms")</f>
        <v>Algorithms</v>
      </c>
      <c r="I2233" s="20">
        <f>IFERROR(__xludf.DUMMYFUNCTION("""COMPUTED_VALUE"""),0.653)</f>
        <v>0.653</v>
      </c>
      <c r="J2233" s="20">
        <f>IFERROR(__xludf.DUMMYFUNCTION("""COMPUTED_VALUE"""),2232.0)</f>
        <v>2232</v>
      </c>
      <c r="K2233" s="20" t="b">
        <f>IFERROR(__xludf.DUMMYFUNCTION("""COMPUTED_VALUE"""),FALSE)</f>
        <v>0</v>
      </c>
      <c r="L2233" s="20" t="str">
        <f>IFERROR(__xludf.DUMMYFUNCTION("""COMPUTED_VALUE"""),"String;Enumeration;")</f>
        <v>String;Enumeration;</v>
      </c>
      <c r="M2233" s="20" t="b">
        <f>IFERROR(__xludf.DUMMYFUNCTION("""COMPUTED_VALUE"""),FALSE)</f>
        <v>0</v>
      </c>
      <c r="N2233" s="20" t="b">
        <f>IFERROR(__xludf.DUMMYFUNCTION("""COMPUTED_VALUE"""),FALSE)</f>
        <v>0</v>
      </c>
      <c r="O2233" s="20">
        <f>IFERROR(__xludf.DUMMYFUNCTION("""COMPUTED_VALUE"""),65.3130287648054)</f>
        <v>65.31302876</v>
      </c>
      <c r="P2233" s="20">
        <f>IFERROR(__xludf.DUMMYFUNCTION("""COMPUTED_VALUE"""),14282.0)</f>
        <v>14282</v>
      </c>
      <c r="Q2233" s="20">
        <f>IFERROR(__xludf.DUMMYFUNCTION("""COMPUTED_VALUE"""),21867.0)</f>
        <v>21867</v>
      </c>
    </row>
    <row r="2234">
      <c r="A2234" s="20">
        <f>IFERROR(__xludf.DUMMYFUNCTION("""COMPUTED_VALUE"""),2329.0)</f>
        <v>2329</v>
      </c>
      <c r="B2234" s="20" t="str">
        <f>IFERROR(__xludf.DUMMYFUNCTION("""COMPUTED_VALUE"""),"Maximum Product After K Increments")</f>
        <v>Maximum Product After K Increments</v>
      </c>
      <c r="C2234" s="20" t="str">
        <f>IFERROR(__xludf.DUMMYFUNCTION("""COMPUTED_VALUE"""),"maximum-product-after-k-increments")</f>
        <v>maximum-product-after-k-increments</v>
      </c>
      <c r="D2234" s="20" t="b">
        <f>IFERROR(__xludf.DUMMYFUNCTION("""COMPUTED_VALUE"""),FALSE)</f>
        <v>0</v>
      </c>
      <c r="E2234" s="20" t="str">
        <f>IFERROR(__xludf.DUMMYFUNCTION("""COMPUTED_VALUE"""),"Medium")</f>
        <v>Medium</v>
      </c>
      <c r="F2234" s="20">
        <f>IFERROR(__xludf.DUMMYFUNCTION("""COMPUTED_VALUE"""),473.0)</f>
        <v>473</v>
      </c>
      <c r="G2234" s="20">
        <f>IFERROR(__xludf.DUMMYFUNCTION("""COMPUTED_VALUE"""),34.0)</f>
        <v>34</v>
      </c>
      <c r="H2234" s="20" t="str">
        <f>IFERROR(__xludf.DUMMYFUNCTION("""COMPUTED_VALUE"""),"Algorithms")</f>
        <v>Algorithms</v>
      </c>
      <c r="I2234" s="20">
        <f>IFERROR(__xludf.DUMMYFUNCTION("""COMPUTED_VALUE"""),0.413)</f>
        <v>0.413</v>
      </c>
      <c r="J2234" s="20">
        <f>IFERROR(__xludf.DUMMYFUNCTION("""COMPUTED_VALUE"""),2233.0)</f>
        <v>2233</v>
      </c>
      <c r="K2234" s="20" t="b">
        <f>IFERROR(__xludf.DUMMYFUNCTION("""COMPUTED_VALUE"""),FALSE)</f>
        <v>0</v>
      </c>
      <c r="L2234" s="20" t="str">
        <f>IFERROR(__xludf.DUMMYFUNCTION("""COMPUTED_VALUE"""),"Array;Greedy;Heap (Priority Queue);")</f>
        <v>Array;Greedy;Heap (Priority Queue);</v>
      </c>
      <c r="M2234" s="20" t="b">
        <f>IFERROR(__xludf.DUMMYFUNCTION("""COMPUTED_VALUE"""),FALSE)</f>
        <v>0</v>
      </c>
      <c r="N2234" s="20" t="b">
        <f>IFERROR(__xludf.DUMMYFUNCTION("""COMPUTED_VALUE"""),FALSE)</f>
        <v>0</v>
      </c>
      <c r="O2234" s="20">
        <f>IFERROR(__xludf.DUMMYFUNCTION("""COMPUTED_VALUE"""),41.270802406438)</f>
        <v>41.27080241</v>
      </c>
      <c r="P2234" s="20">
        <f>IFERROR(__xludf.DUMMYFUNCTION("""COMPUTED_VALUE"""),21128.0)</f>
        <v>21128</v>
      </c>
      <c r="Q2234" s="20">
        <f>IFERROR(__xludf.DUMMYFUNCTION("""COMPUTED_VALUE"""),51194.0)</f>
        <v>51194</v>
      </c>
    </row>
    <row r="2235">
      <c r="A2235" s="20">
        <f>IFERROR(__xludf.DUMMYFUNCTION("""COMPUTED_VALUE"""),2330.0)</f>
        <v>2330</v>
      </c>
      <c r="B2235" s="20" t="str">
        <f>IFERROR(__xludf.DUMMYFUNCTION("""COMPUTED_VALUE"""),"Maximum Total Beauty of the Gardens")</f>
        <v>Maximum Total Beauty of the Gardens</v>
      </c>
      <c r="C2235" s="20" t="str">
        <f>IFERROR(__xludf.DUMMYFUNCTION("""COMPUTED_VALUE"""),"maximum-total-beauty-of-the-gardens")</f>
        <v>maximum-total-beauty-of-the-gardens</v>
      </c>
      <c r="D2235" s="20" t="b">
        <f>IFERROR(__xludf.DUMMYFUNCTION("""COMPUTED_VALUE"""),FALSE)</f>
        <v>0</v>
      </c>
      <c r="E2235" s="20" t="str">
        <f>IFERROR(__xludf.DUMMYFUNCTION("""COMPUTED_VALUE"""),"Hard")</f>
        <v>Hard</v>
      </c>
      <c r="F2235" s="20">
        <f>IFERROR(__xludf.DUMMYFUNCTION("""COMPUTED_VALUE"""),329.0)</f>
        <v>329</v>
      </c>
      <c r="G2235" s="20">
        <f>IFERROR(__xludf.DUMMYFUNCTION("""COMPUTED_VALUE"""),32.0)</f>
        <v>32</v>
      </c>
      <c r="H2235" s="20" t="str">
        <f>IFERROR(__xludf.DUMMYFUNCTION("""COMPUTED_VALUE"""),"Algorithms")</f>
        <v>Algorithms</v>
      </c>
      <c r="I2235" s="20">
        <f>IFERROR(__xludf.DUMMYFUNCTION("""COMPUTED_VALUE"""),0.285)</f>
        <v>0.285</v>
      </c>
      <c r="J2235" s="20">
        <f>IFERROR(__xludf.DUMMYFUNCTION("""COMPUTED_VALUE"""),2234.0)</f>
        <v>2234</v>
      </c>
      <c r="K2235" s="20" t="b">
        <f>IFERROR(__xludf.DUMMYFUNCTION("""COMPUTED_VALUE"""),FALSE)</f>
        <v>0</v>
      </c>
      <c r="L2235" s="20" t="str">
        <f>IFERROR(__xludf.DUMMYFUNCTION("""COMPUTED_VALUE"""),"Array;Two Pointers;Binary Search;Greedy;Sorting;")</f>
        <v>Array;Two Pointers;Binary Search;Greedy;Sorting;</v>
      </c>
      <c r="M2235" s="20" t="b">
        <f>IFERROR(__xludf.DUMMYFUNCTION("""COMPUTED_VALUE"""),FALSE)</f>
        <v>0</v>
      </c>
      <c r="N2235" s="20" t="b">
        <f>IFERROR(__xludf.DUMMYFUNCTION("""COMPUTED_VALUE"""),FALSE)</f>
        <v>0</v>
      </c>
      <c r="O2235" s="20">
        <f>IFERROR(__xludf.DUMMYFUNCTION("""COMPUTED_VALUE"""),28.4809052333804)</f>
        <v>28.48090523</v>
      </c>
      <c r="P2235" s="20">
        <f>IFERROR(__xludf.DUMMYFUNCTION("""COMPUTED_VALUE"""),5033.0)</f>
        <v>5033</v>
      </c>
      <c r="Q2235" s="20">
        <f>IFERROR(__xludf.DUMMYFUNCTION("""COMPUTED_VALUE"""),17674.0)</f>
        <v>17674</v>
      </c>
    </row>
    <row r="2236">
      <c r="A2236" s="20">
        <f>IFERROR(__xludf.DUMMYFUNCTION("""COMPUTED_VALUE"""),2383.0)</f>
        <v>2383</v>
      </c>
      <c r="B2236" s="20" t="str">
        <f>IFERROR(__xludf.DUMMYFUNCTION("""COMPUTED_VALUE"""),"Add Two Integers")</f>
        <v>Add Two Integers</v>
      </c>
      <c r="C2236" s="20" t="str">
        <f>IFERROR(__xludf.DUMMYFUNCTION("""COMPUTED_VALUE"""),"add-two-integers")</f>
        <v>add-two-integers</v>
      </c>
      <c r="D2236" s="20" t="b">
        <f>IFERROR(__xludf.DUMMYFUNCTION("""COMPUTED_VALUE"""),FALSE)</f>
        <v>0</v>
      </c>
      <c r="E2236" s="20" t="str">
        <f>IFERROR(__xludf.DUMMYFUNCTION("""COMPUTED_VALUE"""),"Easy")</f>
        <v>Easy</v>
      </c>
      <c r="F2236" s="20">
        <f>IFERROR(__xludf.DUMMYFUNCTION("""COMPUTED_VALUE"""),753.0)</f>
        <v>753</v>
      </c>
      <c r="G2236" s="20">
        <f>IFERROR(__xludf.DUMMYFUNCTION("""COMPUTED_VALUE"""),1985.0)</f>
        <v>1985</v>
      </c>
      <c r="H2236" s="20" t="str">
        <f>IFERROR(__xludf.DUMMYFUNCTION("""COMPUTED_VALUE"""),"Algorithms")</f>
        <v>Algorithms</v>
      </c>
      <c r="I2236" s="20">
        <f>IFERROR(__xludf.DUMMYFUNCTION("""COMPUTED_VALUE"""),0.892)</f>
        <v>0.892</v>
      </c>
      <c r="J2236" s="20">
        <f>IFERROR(__xludf.DUMMYFUNCTION("""COMPUTED_VALUE"""),2235.0)</f>
        <v>2235</v>
      </c>
      <c r="K2236" s="20" t="b">
        <f>IFERROR(__xludf.DUMMYFUNCTION("""COMPUTED_VALUE"""),FALSE)</f>
        <v>0</v>
      </c>
      <c r="L2236" s="20" t="str">
        <f>IFERROR(__xludf.DUMMYFUNCTION("""COMPUTED_VALUE"""),"Math;")</f>
        <v>Math;</v>
      </c>
      <c r="M2236" s="20" t="b">
        <f>IFERROR(__xludf.DUMMYFUNCTION("""COMPUTED_VALUE"""),FALSE)</f>
        <v>0</v>
      </c>
      <c r="N2236" s="20" t="b">
        <f>IFERROR(__xludf.DUMMYFUNCTION("""COMPUTED_VALUE"""),FALSE)</f>
        <v>0</v>
      </c>
      <c r="O2236" s="20">
        <f>IFERROR(__xludf.DUMMYFUNCTION("""COMPUTED_VALUE"""),89.2074182900536)</f>
        <v>89.20741829</v>
      </c>
      <c r="P2236" s="20">
        <f>IFERROR(__xludf.DUMMYFUNCTION("""COMPUTED_VALUE"""),187011.0)</f>
        <v>187011</v>
      </c>
      <c r="Q2236" s="20">
        <f>IFERROR(__xludf.DUMMYFUNCTION("""COMPUTED_VALUE"""),209634.0)</f>
        <v>209634</v>
      </c>
    </row>
    <row r="2237">
      <c r="A2237" s="20">
        <f>IFERROR(__xludf.DUMMYFUNCTION("""COMPUTED_VALUE"""),2384.0)</f>
        <v>2384</v>
      </c>
      <c r="B2237" s="20" t="str">
        <f>IFERROR(__xludf.DUMMYFUNCTION("""COMPUTED_VALUE"""),"Root Equals Sum of Children")</f>
        <v>Root Equals Sum of Children</v>
      </c>
      <c r="C2237" s="20" t="str">
        <f>IFERROR(__xludf.DUMMYFUNCTION("""COMPUTED_VALUE"""),"root-equals-sum-of-children")</f>
        <v>root-equals-sum-of-children</v>
      </c>
      <c r="D2237" s="20" t="b">
        <f>IFERROR(__xludf.DUMMYFUNCTION("""COMPUTED_VALUE"""),FALSE)</f>
        <v>0</v>
      </c>
      <c r="E2237" s="20" t="str">
        <f>IFERROR(__xludf.DUMMYFUNCTION("""COMPUTED_VALUE"""),"Easy")</f>
        <v>Easy</v>
      </c>
      <c r="F2237" s="20">
        <f>IFERROR(__xludf.DUMMYFUNCTION("""COMPUTED_VALUE"""),633.0)</f>
        <v>633</v>
      </c>
      <c r="G2237" s="20">
        <f>IFERROR(__xludf.DUMMYFUNCTION("""COMPUTED_VALUE"""),866.0)</f>
        <v>866</v>
      </c>
      <c r="H2237" s="20" t="str">
        <f>IFERROR(__xludf.DUMMYFUNCTION("""COMPUTED_VALUE"""),"Algorithms")</f>
        <v>Algorithms</v>
      </c>
      <c r="I2237" s="20">
        <f>IFERROR(__xludf.DUMMYFUNCTION("""COMPUTED_VALUE"""),0.863)</f>
        <v>0.863</v>
      </c>
      <c r="J2237" s="20">
        <f>IFERROR(__xludf.DUMMYFUNCTION("""COMPUTED_VALUE"""),2236.0)</f>
        <v>2236</v>
      </c>
      <c r="K2237" s="20" t="b">
        <f>IFERROR(__xludf.DUMMYFUNCTION("""COMPUTED_VALUE"""),FALSE)</f>
        <v>0</v>
      </c>
      <c r="L2237" s="20" t="str">
        <f>IFERROR(__xludf.DUMMYFUNCTION("""COMPUTED_VALUE"""),"Tree;Binary Tree;")</f>
        <v>Tree;Binary Tree;</v>
      </c>
      <c r="M2237" s="20" t="b">
        <f>IFERROR(__xludf.DUMMYFUNCTION("""COMPUTED_VALUE"""),FALSE)</f>
        <v>0</v>
      </c>
      <c r="N2237" s="20" t="b">
        <f>IFERROR(__xludf.DUMMYFUNCTION("""COMPUTED_VALUE"""),FALSE)</f>
        <v>0</v>
      </c>
      <c r="O2237" s="20">
        <f>IFERROR(__xludf.DUMMYFUNCTION("""COMPUTED_VALUE"""),86.2974973763579)</f>
        <v>86.29749738</v>
      </c>
      <c r="P2237" s="20">
        <f>IFERROR(__xludf.DUMMYFUNCTION("""COMPUTED_VALUE"""),91272.0)</f>
        <v>91272</v>
      </c>
      <c r="Q2237" s="20">
        <f>IFERROR(__xludf.DUMMYFUNCTION("""COMPUTED_VALUE"""),105765.0)</f>
        <v>105765</v>
      </c>
    </row>
    <row r="2238">
      <c r="A2238" s="20">
        <f>IFERROR(__xludf.DUMMYFUNCTION("""COMPUTED_VALUE"""),2385.0)</f>
        <v>2385</v>
      </c>
      <c r="B2238" s="20" t="str">
        <f>IFERROR(__xludf.DUMMYFUNCTION("""COMPUTED_VALUE"""),"Count Positions on Street With Required Brightness")</f>
        <v>Count Positions on Street With Required Brightness</v>
      </c>
      <c r="C2238" s="20" t="str">
        <f>IFERROR(__xludf.DUMMYFUNCTION("""COMPUTED_VALUE"""),"count-positions-on-street-with-required-brightness")</f>
        <v>count-positions-on-street-with-required-brightness</v>
      </c>
      <c r="D2238" s="20" t="b">
        <f>IFERROR(__xludf.DUMMYFUNCTION("""COMPUTED_VALUE"""),TRUE)</f>
        <v>1</v>
      </c>
      <c r="E2238" s="20" t="str">
        <f>IFERROR(__xludf.DUMMYFUNCTION("""COMPUTED_VALUE"""),"Medium")</f>
        <v>Medium</v>
      </c>
      <c r="F2238" s="20">
        <f>IFERROR(__xludf.DUMMYFUNCTION("""COMPUTED_VALUE"""),45.0)</f>
        <v>45</v>
      </c>
      <c r="G2238" s="20">
        <f>IFERROR(__xludf.DUMMYFUNCTION("""COMPUTED_VALUE"""),5.0)</f>
        <v>5</v>
      </c>
      <c r="H2238" s="20" t="str">
        <f>IFERROR(__xludf.DUMMYFUNCTION("""COMPUTED_VALUE"""),"Algorithms")</f>
        <v>Algorithms</v>
      </c>
      <c r="I2238" s="20">
        <f>IFERROR(__xludf.DUMMYFUNCTION("""COMPUTED_VALUE"""),0.68)</f>
        <v>0.68</v>
      </c>
      <c r="J2238" s="20">
        <f>IFERROR(__xludf.DUMMYFUNCTION("""COMPUTED_VALUE"""),2237.0)</f>
        <v>2237</v>
      </c>
      <c r="K2238" s="20" t="b">
        <f>IFERROR(__xludf.DUMMYFUNCTION("""COMPUTED_VALUE"""),TRUE)</f>
        <v>1</v>
      </c>
      <c r="L2238" s="20" t="str">
        <f>IFERROR(__xludf.DUMMYFUNCTION("""COMPUTED_VALUE"""),"Array;Prefix Sum;")</f>
        <v>Array;Prefix Sum;</v>
      </c>
      <c r="M2238" s="20" t="b">
        <f>IFERROR(__xludf.DUMMYFUNCTION("""COMPUTED_VALUE"""),FALSE)</f>
        <v>0</v>
      </c>
      <c r="N2238" s="20" t="b">
        <f>IFERROR(__xludf.DUMMYFUNCTION("""COMPUTED_VALUE"""),FALSE)</f>
        <v>0</v>
      </c>
      <c r="O2238" s="20">
        <f>IFERROR(__xludf.DUMMYFUNCTION("""COMPUTED_VALUE"""),68.0178354276449)</f>
        <v>68.01783543</v>
      </c>
      <c r="P2238" s="20">
        <f>IFERROR(__xludf.DUMMYFUNCTION("""COMPUTED_VALUE"""),1678.0)</f>
        <v>1678</v>
      </c>
      <c r="Q2238" s="20">
        <f>IFERROR(__xludf.DUMMYFUNCTION("""COMPUTED_VALUE"""),2467.0)</f>
        <v>2467</v>
      </c>
    </row>
    <row r="2239">
      <c r="A2239" s="20">
        <f>IFERROR(__xludf.DUMMYFUNCTION("""COMPUTED_VALUE"""),2376.0)</f>
        <v>2376</v>
      </c>
      <c r="B2239" s="20" t="str">
        <f>IFERROR(__xludf.DUMMYFUNCTION("""COMPUTED_VALUE"""),"Number of Times a Driver Was a Passenger")</f>
        <v>Number of Times a Driver Was a Passenger</v>
      </c>
      <c r="C2239" s="20" t="str">
        <f>IFERROR(__xludf.DUMMYFUNCTION("""COMPUTED_VALUE"""),"number-of-times-a-driver-was-a-passenger")</f>
        <v>number-of-times-a-driver-was-a-passenger</v>
      </c>
      <c r="D2239" s="20" t="b">
        <f>IFERROR(__xludf.DUMMYFUNCTION("""COMPUTED_VALUE"""),TRUE)</f>
        <v>1</v>
      </c>
      <c r="E2239" s="20" t="str">
        <f>IFERROR(__xludf.DUMMYFUNCTION("""COMPUTED_VALUE"""),"Medium")</f>
        <v>Medium</v>
      </c>
      <c r="F2239" s="20">
        <f>IFERROR(__xludf.DUMMYFUNCTION("""COMPUTED_VALUE"""),38.0)</f>
        <v>38</v>
      </c>
      <c r="G2239" s="20">
        <f>IFERROR(__xludf.DUMMYFUNCTION("""COMPUTED_VALUE"""),2.0)</f>
        <v>2</v>
      </c>
      <c r="H2239" s="20" t="str">
        <f>IFERROR(__xludf.DUMMYFUNCTION("""COMPUTED_VALUE"""),"Database")</f>
        <v>Database</v>
      </c>
      <c r="I2239" s="20">
        <f>IFERROR(__xludf.DUMMYFUNCTION("""COMPUTED_VALUE"""),0.76)</f>
        <v>0.76</v>
      </c>
      <c r="J2239" s="20">
        <f>IFERROR(__xludf.DUMMYFUNCTION("""COMPUTED_VALUE"""),2238.0)</f>
        <v>2238</v>
      </c>
      <c r="K2239" s="20" t="b">
        <f>IFERROR(__xludf.DUMMYFUNCTION("""COMPUTED_VALUE"""),TRUE)</f>
        <v>1</v>
      </c>
      <c r="L2239" s="20" t="str">
        <f>IFERROR(__xludf.DUMMYFUNCTION("""COMPUTED_VALUE"""),"Database;")</f>
        <v>Database;</v>
      </c>
      <c r="M2239" s="20" t="b">
        <f>IFERROR(__xludf.DUMMYFUNCTION("""COMPUTED_VALUE"""),FALSE)</f>
        <v>0</v>
      </c>
      <c r="N2239" s="20" t="b">
        <f>IFERROR(__xludf.DUMMYFUNCTION("""COMPUTED_VALUE"""),FALSE)</f>
        <v>0</v>
      </c>
      <c r="O2239" s="20">
        <f>IFERROR(__xludf.DUMMYFUNCTION("""COMPUTED_VALUE"""),76.0394342048864)</f>
        <v>76.0394342</v>
      </c>
      <c r="P2239" s="20">
        <f>IFERROR(__xludf.DUMMYFUNCTION("""COMPUTED_VALUE"""),3548.0)</f>
        <v>3548</v>
      </c>
      <c r="Q2239" s="20">
        <f>IFERROR(__xludf.DUMMYFUNCTION("""COMPUTED_VALUE"""),4666.0)</f>
        <v>4666</v>
      </c>
    </row>
    <row r="2240">
      <c r="A2240" s="20">
        <f>IFERROR(__xludf.DUMMYFUNCTION("""COMPUTED_VALUE"""),2350.0)</f>
        <v>2350</v>
      </c>
      <c r="B2240" s="20" t="str">
        <f>IFERROR(__xludf.DUMMYFUNCTION("""COMPUTED_VALUE"""),"Find Closest Number to Zero")</f>
        <v>Find Closest Number to Zero</v>
      </c>
      <c r="C2240" s="20" t="str">
        <f>IFERROR(__xludf.DUMMYFUNCTION("""COMPUTED_VALUE"""),"find-closest-number-to-zero")</f>
        <v>find-closest-number-to-zero</v>
      </c>
      <c r="D2240" s="20" t="b">
        <f>IFERROR(__xludf.DUMMYFUNCTION("""COMPUTED_VALUE"""),FALSE)</f>
        <v>0</v>
      </c>
      <c r="E2240" s="20" t="str">
        <f>IFERROR(__xludf.DUMMYFUNCTION("""COMPUTED_VALUE"""),"Easy")</f>
        <v>Easy</v>
      </c>
      <c r="F2240" s="20">
        <f>IFERROR(__xludf.DUMMYFUNCTION("""COMPUTED_VALUE"""),359.0)</f>
        <v>359</v>
      </c>
      <c r="G2240" s="20">
        <f>IFERROR(__xludf.DUMMYFUNCTION("""COMPUTED_VALUE"""),25.0)</f>
        <v>25</v>
      </c>
      <c r="H2240" s="20" t="str">
        <f>IFERROR(__xludf.DUMMYFUNCTION("""COMPUTED_VALUE"""),"Algorithms")</f>
        <v>Algorithms</v>
      </c>
      <c r="I2240" s="20">
        <f>IFERROR(__xludf.DUMMYFUNCTION("""COMPUTED_VALUE"""),0.459)</f>
        <v>0.459</v>
      </c>
      <c r="J2240" s="20">
        <f>IFERROR(__xludf.DUMMYFUNCTION("""COMPUTED_VALUE"""),2239.0)</f>
        <v>2239</v>
      </c>
      <c r="K2240" s="20" t="b">
        <f>IFERROR(__xludf.DUMMYFUNCTION("""COMPUTED_VALUE"""),FALSE)</f>
        <v>0</v>
      </c>
      <c r="L2240" s="20" t="str">
        <f>IFERROR(__xludf.DUMMYFUNCTION("""COMPUTED_VALUE"""),"Array;")</f>
        <v>Array;</v>
      </c>
      <c r="M2240" s="20" t="b">
        <f>IFERROR(__xludf.DUMMYFUNCTION("""COMPUTED_VALUE"""),FALSE)</f>
        <v>0</v>
      </c>
      <c r="N2240" s="20" t="b">
        <f>IFERROR(__xludf.DUMMYFUNCTION("""COMPUTED_VALUE"""),FALSE)</f>
        <v>0</v>
      </c>
      <c r="O2240" s="20">
        <f>IFERROR(__xludf.DUMMYFUNCTION("""COMPUTED_VALUE"""),45.8509789064931)</f>
        <v>45.85097891</v>
      </c>
      <c r="P2240" s="20">
        <f>IFERROR(__xludf.DUMMYFUNCTION("""COMPUTED_VALUE"""),33888.0)</f>
        <v>33888</v>
      </c>
      <c r="Q2240" s="20">
        <f>IFERROR(__xludf.DUMMYFUNCTION("""COMPUTED_VALUE"""),73909.0)</f>
        <v>73909</v>
      </c>
    </row>
    <row r="2241">
      <c r="A2241" s="20">
        <f>IFERROR(__xludf.DUMMYFUNCTION("""COMPUTED_VALUE"""),2351.0)</f>
        <v>2351</v>
      </c>
      <c r="B2241" s="20" t="str">
        <f>IFERROR(__xludf.DUMMYFUNCTION("""COMPUTED_VALUE"""),"Number of Ways to Buy Pens and Pencils")</f>
        <v>Number of Ways to Buy Pens and Pencils</v>
      </c>
      <c r="C2241" s="20" t="str">
        <f>IFERROR(__xludf.DUMMYFUNCTION("""COMPUTED_VALUE"""),"number-of-ways-to-buy-pens-and-pencils")</f>
        <v>number-of-ways-to-buy-pens-and-pencils</v>
      </c>
      <c r="D2241" s="20" t="b">
        <f>IFERROR(__xludf.DUMMYFUNCTION("""COMPUTED_VALUE"""),FALSE)</f>
        <v>0</v>
      </c>
      <c r="E2241" s="20" t="str">
        <f>IFERROR(__xludf.DUMMYFUNCTION("""COMPUTED_VALUE"""),"Medium")</f>
        <v>Medium</v>
      </c>
      <c r="F2241" s="20">
        <f>IFERROR(__xludf.DUMMYFUNCTION("""COMPUTED_VALUE"""),296.0)</f>
        <v>296</v>
      </c>
      <c r="G2241" s="20">
        <f>IFERROR(__xludf.DUMMYFUNCTION("""COMPUTED_VALUE"""),19.0)</f>
        <v>19</v>
      </c>
      <c r="H2241" s="20" t="str">
        <f>IFERROR(__xludf.DUMMYFUNCTION("""COMPUTED_VALUE"""),"Algorithms")</f>
        <v>Algorithms</v>
      </c>
      <c r="I2241" s="20">
        <f>IFERROR(__xludf.DUMMYFUNCTION("""COMPUTED_VALUE"""),0.57)</f>
        <v>0.57</v>
      </c>
      <c r="J2241" s="20">
        <f>IFERROR(__xludf.DUMMYFUNCTION("""COMPUTED_VALUE"""),2240.0)</f>
        <v>2240</v>
      </c>
      <c r="K2241" s="20" t="b">
        <f>IFERROR(__xludf.DUMMYFUNCTION("""COMPUTED_VALUE"""),FALSE)</f>
        <v>0</v>
      </c>
      <c r="L2241" s="20" t="str">
        <f>IFERROR(__xludf.DUMMYFUNCTION("""COMPUTED_VALUE"""),"Math;Enumeration;")</f>
        <v>Math;Enumeration;</v>
      </c>
      <c r="M2241" s="20" t="b">
        <f>IFERROR(__xludf.DUMMYFUNCTION("""COMPUTED_VALUE"""),FALSE)</f>
        <v>0</v>
      </c>
      <c r="N2241" s="20" t="b">
        <f>IFERROR(__xludf.DUMMYFUNCTION("""COMPUTED_VALUE"""),FALSE)</f>
        <v>0</v>
      </c>
      <c r="O2241" s="20">
        <f>IFERROR(__xludf.DUMMYFUNCTION("""COMPUTED_VALUE"""),57.0288221314971)</f>
        <v>57.02882213</v>
      </c>
      <c r="P2241" s="20">
        <f>IFERROR(__xludf.DUMMYFUNCTION("""COMPUTED_VALUE"""),18718.0)</f>
        <v>18718</v>
      </c>
      <c r="Q2241" s="20">
        <f>IFERROR(__xludf.DUMMYFUNCTION("""COMPUTED_VALUE"""),32822.0)</f>
        <v>32822</v>
      </c>
    </row>
    <row r="2242">
      <c r="A2242" s="20">
        <f>IFERROR(__xludf.DUMMYFUNCTION("""COMPUTED_VALUE"""),2352.0)</f>
        <v>2352</v>
      </c>
      <c r="B2242" s="20" t="str">
        <f>IFERROR(__xludf.DUMMYFUNCTION("""COMPUTED_VALUE"""),"Design an ATM Machine")</f>
        <v>Design an ATM Machine</v>
      </c>
      <c r="C2242" s="20" t="str">
        <f>IFERROR(__xludf.DUMMYFUNCTION("""COMPUTED_VALUE"""),"design-an-atm-machine")</f>
        <v>design-an-atm-machine</v>
      </c>
      <c r="D2242" s="20" t="b">
        <f>IFERROR(__xludf.DUMMYFUNCTION("""COMPUTED_VALUE"""),FALSE)</f>
        <v>0</v>
      </c>
      <c r="E2242" s="20" t="str">
        <f>IFERROR(__xludf.DUMMYFUNCTION("""COMPUTED_VALUE"""),"Medium")</f>
        <v>Medium</v>
      </c>
      <c r="F2242" s="20">
        <f>IFERROR(__xludf.DUMMYFUNCTION("""COMPUTED_VALUE"""),156.0)</f>
        <v>156</v>
      </c>
      <c r="G2242" s="20">
        <f>IFERROR(__xludf.DUMMYFUNCTION("""COMPUTED_VALUE"""),225.0)</f>
        <v>225</v>
      </c>
      <c r="H2242" s="20" t="str">
        <f>IFERROR(__xludf.DUMMYFUNCTION("""COMPUTED_VALUE"""),"Algorithms")</f>
        <v>Algorithms</v>
      </c>
      <c r="I2242" s="20">
        <f>IFERROR(__xludf.DUMMYFUNCTION("""COMPUTED_VALUE"""),0.387)</f>
        <v>0.387</v>
      </c>
      <c r="J2242" s="20">
        <f>IFERROR(__xludf.DUMMYFUNCTION("""COMPUTED_VALUE"""),2241.0)</f>
        <v>2241</v>
      </c>
      <c r="K2242" s="20" t="b">
        <f>IFERROR(__xludf.DUMMYFUNCTION("""COMPUTED_VALUE"""),FALSE)</f>
        <v>0</v>
      </c>
      <c r="L2242" s="20" t="str">
        <f>IFERROR(__xludf.DUMMYFUNCTION("""COMPUTED_VALUE"""),"Array;Greedy;Design;")</f>
        <v>Array;Greedy;Design;</v>
      </c>
      <c r="M2242" s="20" t="b">
        <f>IFERROR(__xludf.DUMMYFUNCTION("""COMPUTED_VALUE"""),FALSE)</f>
        <v>0</v>
      </c>
      <c r="N2242" s="20" t="b">
        <f>IFERROR(__xludf.DUMMYFUNCTION("""COMPUTED_VALUE"""),FALSE)</f>
        <v>0</v>
      </c>
      <c r="O2242" s="20">
        <f>IFERROR(__xludf.DUMMYFUNCTION("""COMPUTED_VALUE"""),38.6997672614429)</f>
        <v>38.69976726</v>
      </c>
      <c r="P2242" s="20">
        <f>IFERROR(__xludf.DUMMYFUNCTION("""COMPUTED_VALUE"""),12471.0)</f>
        <v>12471</v>
      </c>
      <c r="Q2242" s="20">
        <f>IFERROR(__xludf.DUMMYFUNCTION("""COMPUTED_VALUE"""),32225.0)</f>
        <v>32225</v>
      </c>
    </row>
    <row r="2243">
      <c r="A2243" s="20">
        <f>IFERROR(__xludf.DUMMYFUNCTION("""COMPUTED_VALUE"""),2353.0)</f>
        <v>2353</v>
      </c>
      <c r="B2243" s="20" t="str">
        <f>IFERROR(__xludf.DUMMYFUNCTION("""COMPUTED_VALUE"""),"Maximum Score of a Node Sequence")</f>
        <v>Maximum Score of a Node Sequence</v>
      </c>
      <c r="C2243" s="20" t="str">
        <f>IFERROR(__xludf.DUMMYFUNCTION("""COMPUTED_VALUE"""),"maximum-score-of-a-node-sequence")</f>
        <v>maximum-score-of-a-node-sequence</v>
      </c>
      <c r="D2243" s="20" t="b">
        <f>IFERROR(__xludf.DUMMYFUNCTION("""COMPUTED_VALUE"""),FALSE)</f>
        <v>0</v>
      </c>
      <c r="E2243" s="20" t="str">
        <f>IFERROR(__xludf.DUMMYFUNCTION("""COMPUTED_VALUE"""),"Hard")</f>
        <v>Hard</v>
      </c>
      <c r="F2243" s="20">
        <f>IFERROR(__xludf.DUMMYFUNCTION("""COMPUTED_VALUE"""),420.0)</f>
        <v>420</v>
      </c>
      <c r="G2243" s="20">
        <f>IFERROR(__xludf.DUMMYFUNCTION("""COMPUTED_VALUE"""),9.0)</f>
        <v>9</v>
      </c>
      <c r="H2243" s="20" t="str">
        <f>IFERROR(__xludf.DUMMYFUNCTION("""COMPUTED_VALUE"""),"Algorithms")</f>
        <v>Algorithms</v>
      </c>
      <c r="I2243" s="20">
        <f>IFERROR(__xludf.DUMMYFUNCTION("""COMPUTED_VALUE"""),0.376)</f>
        <v>0.376</v>
      </c>
      <c r="J2243" s="20">
        <f>IFERROR(__xludf.DUMMYFUNCTION("""COMPUTED_VALUE"""),2242.0)</f>
        <v>2242</v>
      </c>
      <c r="K2243" s="20" t="b">
        <f>IFERROR(__xludf.DUMMYFUNCTION("""COMPUTED_VALUE"""),FALSE)</f>
        <v>0</v>
      </c>
      <c r="L2243" s="20" t="str">
        <f>IFERROR(__xludf.DUMMYFUNCTION("""COMPUTED_VALUE"""),"Array;Graph;Sorting;Enumeration;")</f>
        <v>Array;Graph;Sorting;Enumeration;</v>
      </c>
      <c r="M2243" s="20" t="b">
        <f>IFERROR(__xludf.DUMMYFUNCTION("""COMPUTED_VALUE"""),FALSE)</f>
        <v>0</v>
      </c>
      <c r="N2243" s="20" t="b">
        <f>IFERROR(__xludf.DUMMYFUNCTION("""COMPUTED_VALUE"""),FALSE)</f>
        <v>0</v>
      </c>
      <c r="O2243" s="20">
        <f>IFERROR(__xludf.DUMMYFUNCTION("""COMPUTED_VALUE"""),37.5978787753241)</f>
        <v>37.59787878</v>
      </c>
      <c r="P2243" s="20">
        <f>IFERROR(__xludf.DUMMYFUNCTION("""COMPUTED_VALUE"""),9074.0)</f>
        <v>9074</v>
      </c>
      <c r="Q2243" s="20">
        <f>IFERROR(__xludf.DUMMYFUNCTION("""COMPUTED_VALUE"""),24136.0)</f>
        <v>24136</v>
      </c>
    </row>
    <row r="2244">
      <c r="A2244" s="20">
        <f>IFERROR(__xludf.DUMMYFUNCTION("""COMPUTED_VALUE"""),2361.0)</f>
        <v>2361</v>
      </c>
      <c r="B2244" s="20" t="str">
        <f>IFERROR(__xludf.DUMMYFUNCTION("""COMPUTED_VALUE"""),"Calculate Digit Sum of a String")</f>
        <v>Calculate Digit Sum of a String</v>
      </c>
      <c r="C2244" s="20" t="str">
        <f>IFERROR(__xludf.DUMMYFUNCTION("""COMPUTED_VALUE"""),"calculate-digit-sum-of-a-string")</f>
        <v>calculate-digit-sum-of-a-string</v>
      </c>
      <c r="D2244" s="20" t="b">
        <f>IFERROR(__xludf.DUMMYFUNCTION("""COMPUTED_VALUE"""),FALSE)</f>
        <v>0</v>
      </c>
      <c r="E2244" s="20" t="str">
        <f>IFERROR(__xludf.DUMMYFUNCTION("""COMPUTED_VALUE"""),"Easy")</f>
        <v>Easy</v>
      </c>
      <c r="F2244" s="20">
        <f>IFERROR(__xludf.DUMMYFUNCTION("""COMPUTED_VALUE"""),364.0)</f>
        <v>364</v>
      </c>
      <c r="G2244" s="20">
        <f>IFERROR(__xludf.DUMMYFUNCTION("""COMPUTED_VALUE"""),30.0)</f>
        <v>30</v>
      </c>
      <c r="H2244" s="20" t="str">
        <f>IFERROR(__xludf.DUMMYFUNCTION("""COMPUTED_VALUE"""),"Algorithms")</f>
        <v>Algorithms</v>
      </c>
      <c r="I2244" s="20">
        <f>IFERROR(__xludf.DUMMYFUNCTION("""COMPUTED_VALUE"""),0.668)</f>
        <v>0.668</v>
      </c>
      <c r="J2244" s="20">
        <f>IFERROR(__xludf.DUMMYFUNCTION("""COMPUTED_VALUE"""),2243.0)</f>
        <v>2243</v>
      </c>
      <c r="K2244" s="20" t="b">
        <f>IFERROR(__xludf.DUMMYFUNCTION("""COMPUTED_VALUE"""),FALSE)</f>
        <v>0</v>
      </c>
      <c r="L2244" s="20" t="str">
        <f>IFERROR(__xludf.DUMMYFUNCTION("""COMPUTED_VALUE"""),"String;Simulation;")</f>
        <v>String;Simulation;</v>
      </c>
      <c r="M2244" s="20" t="b">
        <f>IFERROR(__xludf.DUMMYFUNCTION("""COMPUTED_VALUE"""),FALSE)</f>
        <v>0</v>
      </c>
      <c r="N2244" s="20" t="b">
        <f>IFERROR(__xludf.DUMMYFUNCTION("""COMPUTED_VALUE"""),FALSE)</f>
        <v>0</v>
      </c>
      <c r="O2244" s="20">
        <f>IFERROR(__xludf.DUMMYFUNCTION("""COMPUTED_VALUE"""),66.7716850448828)</f>
        <v>66.77168504</v>
      </c>
      <c r="P2244" s="20">
        <f>IFERROR(__xludf.DUMMYFUNCTION("""COMPUTED_VALUE"""),26704.0)</f>
        <v>26704</v>
      </c>
      <c r="Q2244" s="20">
        <f>IFERROR(__xludf.DUMMYFUNCTION("""COMPUTED_VALUE"""),39993.0)</f>
        <v>39993</v>
      </c>
    </row>
    <row r="2245">
      <c r="A2245" s="20">
        <f>IFERROR(__xludf.DUMMYFUNCTION("""COMPUTED_VALUE"""),2362.0)</f>
        <v>2362</v>
      </c>
      <c r="B2245" s="20" t="str">
        <f>IFERROR(__xludf.DUMMYFUNCTION("""COMPUTED_VALUE"""),"Minimum Rounds to Complete All Tasks")</f>
        <v>Minimum Rounds to Complete All Tasks</v>
      </c>
      <c r="C2245" s="20" t="str">
        <f>IFERROR(__xludf.DUMMYFUNCTION("""COMPUTED_VALUE"""),"minimum-rounds-to-complete-all-tasks")</f>
        <v>minimum-rounds-to-complete-all-tasks</v>
      </c>
      <c r="D2245" s="20" t="b">
        <f>IFERROR(__xludf.DUMMYFUNCTION("""COMPUTED_VALUE"""),FALSE)</f>
        <v>0</v>
      </c>
      <c r="E2245" s="20" t="str">
        <f>IFERROR(__xludf.DUMMYFUNCTION("""COMPUTED_VALUE"""),"Medium")</f>
        <v>Medium</v>
      </c>
      <c r="F2245" s="20">
        <f>IFERROR(__xludf.DUMMYFUNCTION("""COMPUTED_VALUE"""),520.0)</f>
        <v>520</v>
      </c>
      <c r="G2245" s="20">
        <f>IFERROR(__xludf.DUMMYFUNCTION("""COMPUTED_VALUE"""),12.0)</f>
        <v>12</v>
      </c>
      <c r="H2245" s="20" t="str">
        <f>IFERROR(__xludf.DUMMYFUNCTION("""COMPUTED_VALUE"""),"Algorithms")</f>
        <v>Algorithms</v>
      </c>
      <c r="I2245" s="20">
        <f>IFERROR(__xludf.DUMMYFUNCTION("""COMPUTED_VALUE"""),0.578)</f>
        <v>0.578</v>
      </c>
      <c r="J2245" s="20">
        <f>IFERROR(__xludf.DUMMYFUNCTION("""COMPUTED_VALUE"""),2244.0)</f>
        <v>2244</v>
      </c>
      <c r="K2245" s="20" t="b">
        <f>IFERROR(__xludf.DUMMYFUNCTION("""COMPUTED_VALUE"""),FALSE)</f>
        <v>0</v>
      </c>
      <c r="L2245" s="20" t="str">
        <f>IFERROR(__xludf.DUMMYFUNCTION("""COMPUTED_VALUE"""),"Array;Hash Table;Greedy;Counting;")</f>
        <v>Array;Hash Table;Greedy;Counting;</v>
      </c>
      <c r="M2245" s="20" t="b">
        <f>IFERROR(__xludf.DUMMYFUNCTION("""COMPUTED_VALUE"""),TRUE)</f>
        <v>1</v>
      </c>
      <c r="N2245" s="20" t="b">
        <f>IFERROR(__xludf.DUMMYFUNCTION("""COMPUTED_VALUE"""),FALSE)</f>
        <v>0</v>
      </c>
      <c r="O2245" s="20">
        <f>IFERROR(__xludf.DUMMYFUNCTION("""COMPUTED_VALUE"""),57.818056670873)</f>
        <v>57.81805667</v>
      </c>
      <c r="P2245" s="20">
        <f>IFERROR(__xludf.DUMMYFUNCTION("""COMPUTED_VALUE"""),30240.0)</f>
        <v>30240</v>
      </c>
      <c r="Q2245" s="20">
        <f>IFERROR(__xludf.DUMMYFUNCTION("""COMPUTED_VALUE"""),52302.0)</f>
        <v>52302</v>
      </c>
    </row>
    <row r="2246">
      <c r="A2246" s="20">
        <f>IFERROR(__xludf.DUMMYFUNCTION("""COMPUTED_VALUE"""),2363.0)</f>
        <v>2363</v>
      </c>
      <c r="B2246" s="20" t="str">
        <f>IFERROR(__xludf.DUMMYFUNCTION("""COMPUTED_VALUE"""),"Maximum Trailing Zeros in a Cornered Path")</f>
        <v>Maximum Trailing Zeros in a Cornered Path</v>
      </c>
      <c r="C2246" s="20" t="str">
        <f>IFERROR(__xludf.DUMMYFUNCTION("""COMPUTED_VALUE"""),"maximum-trailing-zeros-in-a-cornered-path")</f>
        <v>maximum-trailing-zeros-in-a-cornered-path</v>
      </c>
      <c r="D2246" s="20" t="b">
        <f>IFERROR(__xludf.DUMMYFUNCTION("""COMPUTED_VALUE"""),FALSE)</f>
        <v>0</v>
      </c>
      <c r="E2246" s="20" t="str">
        <f>IFERROR(__xludf.DUMMYFUNCTION("""COMPUTED_VALUE"""),"Medium")</f>
        <v>Medium</v>
      </c>
      <c r="F2246" s="20">
        <f>IFERROR(__xludf.DUMMYFUNCTION("""COMPUTED_VALUE"""),140.0)</f>
        <v>140</v>
      </c>
      <c r="G2246" s="20">
        <f>IFERROR(__xludf.DUMMYFUNCTION("""COMPUTED_VALUE"""),354.0)</f>
        <v>354</v>
      </c>
      <c r="H2246" s="20" t="str">
        <f>IFERROR(__xludf.DUMMYFUNCTION("""COMPUTED_VALUE"""),"Algorithms")</f>
        <v>Algorithms</v>
      </c>
      <c r="I2246" s="20">
        <f>IFERROR(__xludf.DUMMYFUNCTION("""COMPUTED_VALUE"""),0.351)</f>
        <v>0.351</v>
      </c>
      <c r="J2246" s="20">
        <f>IFERROR(__xludf.DUMMYFUNCTION("""COMPUTED_VALUE"""),2245.0)</f>
        <v>2245</v>
      </c>
      <c r="K2246" s="20" t="b">
        <f>IFERROR(__xludf.DUMMYFUNCTION("""COMPUTED_VALUE"""),FALSE)</f>
        <v>0</v>
      </c>
      <c r="L2246" s="20" t="str">
        <f>IFERROR(__xludf.DUMMYFUNCTION("""COMPUTED_VALUE"""),"Array;Matrix;Prefix Sum;")</f>
        <v>Array;Matrix;Prefix Sum;</v>
      </c>
      <c r="M2246" s="20" t="b">
        <f>IFERROR(__xludf.DUMMYFUNCTION("""COMPUTED_VALUE"""),FALSE)</f>
        <v>0</v>
      </c>
      <c r="N2246" s="20" t="b">
        <f>IFERROR(__xludf.DUMMYFUNCTION("""COMPUTED_VALUE"""),FALSE)</f>
        <v>0</v>
      </c>
      <c r="O2246" s="20">
        <f>IFERROR(__xludf.DUMMYFUNCTION("""COMPUTED_VALUE"""),35.0743054059875)</f>
        <v>35.07430541</v>
      </c>
      <c r="P2246" s="20">
        <f>IFERROR(__xludf.DUMMYFUNCTION("""COMPUTED_VALUE"""),6514.0)</f>
        <v>6514</v>
      </c>
      <c r="Q2246" s="20">
        <f>IFERROR(__xludf.DUMMYFUNCTION("""COMPUTED_VALUE"""),18572.0)</f>
        <v>18572</v>
      </c>
    </row>
    <row r="2247">
      <c r="A2247" s="20">
        <f>IFERROR(__xludf.DUMMYFUNCTION("""COMPUTED_VALUE"""),2364.0)</f>
        <v>2364</v>
      </c>
      <c r="B2247" s="20" t="str">
        <f>IFERROR(__xludf.DUMMYFUNCTION("""COMPUTED_VALUE"""),"Longest Path With Different Adjacent Characters")</f>
        <v>Longest Path With Different Adjacent Characters</v>
      </c>
      <c r="C2247" s="20" t="str">
        <f>IFERROR(__xludf.DUMMYFUNCTION("""COMPUTED_VALUE"""),"longest-path-with-different-adjacent-characters")</f>
        <v>longest-path-with-different-adjacent-characters</v>
      </c>
      <c r="D2247" s="20" t="b">
        <f>IFERROR(__xludf.DUMMYFUNCTION("""COMPUTED_VALUE"""),FALSE)</f>
        <v>0</v>
      </c>
      <c r="E2247" s="20" t="str">
        <f>IFERROR(__xludf.DUMMYFUNCTION("""COMPUTED_VALUE"""),"Hard")</f>
        <v>Hard</v>
      </c>
      <c r="F2247" s="20">
        <f>IFERROR(__xludf.DUMMYFUNCTION("""COMPUTED_VALUE"""),584.0)</f>
        <v>584</v>
      </c>
      <c r="G2247" s="20">
        <f>IFERROR(__xludf.DUMMYFUNCTION("""COMPUTED_VALUE"""),14.0)</f>
        <v>14</v>
      </c>
      <c r="H2247" s="20" t="str">
        <f>IFERROR(__xludf.DUMMYFUNCTION("""COMPUTED_VALUE"""),"Algorithms")</f>
        <v>Algorithms</v>
      </c>
      <c r="I2247" s="20">
        <f>IFERROR(__xludf.DUMMYFUNCTION("""COMPUTED_VALUE"""),0.453)</f>
        <v>0.453</v>
      </c>
      <c r="J2247" s="20">
        <f>IFERROR(__xludf.DUMMYFUNCTION("""COMPUTED_VALUE"""),2246.0)</f>
        <v>2246</v>
      </c>
      <c r="K2247" s="20" t="b">
        <f>IFERROR(__xludf.DUMMYFUNCTION("""COMPUTED_VALUE"""),FALSE)</f>
        <v>0</v>
      </c>
      <c r="L2247" s="20" t="str">
        <f>IFERROR(__xludf.DUMMYFUNCTION("""COMPUTED_VALUE"""),"Array;String;Tree;Depth-First Search;Graph;Topological Sort;")</f>
        <v>Array;String;Tree;Depth-First Search;Graph;Topological Sort;</v>
      </c>
      <c r="M2247" s="20" t="b">
        <f>IFERROR(__xludf.DUMMYFUNCTION("""COMPUTED_VALUE"""),TRUE)</f>
        <v>1</v>
      </c>
      <c r="N2247" s="20" t="b">
        <f>IFERROR(__xludf.DUMMYFUNCTION("""COMPUTED_VALUE"""),FALSE)</f>
        <v>0</v>
      </c>
      <c r="O2247" s="20">
        <f>IFERROR(__xludf.DUMMYFUNCTION("""COMPUTED_VALUE"""),45.3023596365693)</f>
        <v>45.30235964</v>
      </c>
      <c r="P2247" s="20">
        <f>IFERROR(__xludf.DUMMYFUNCTION("""COMPUTED_VALUE"""),13611.0)</f>
        <v>13611</v>
      </c>
      <c r="Q2247" s="20">
        <f>IFERROR(__xludf.DUMMYFUNCTION("""COMPUTED_VALUE"""),30046.0)</f>
        <v>30046</v>
      </c>
    </row>
    <row r="2248">
      <c r="A2248" s="20">
        <f>IFERROR(__xludf.DUMMYFUNCTION("""COMPUTED_VALUE"""),2007.0)</f>
        <v>2007</v>
      </c>
      <c r="B2248" s="20" t="str">
        <f>IFERROR(__xludf.DUMMYFUNCTION("""COMPUTED_VALUE"""),"Maximum Cost of Trip With K Highways")</f>
        <v>Maximum Cost of Trip With K Highways</v>
      </c>
      <c r="C2248" s="20" t="str">
        <f>IFERROR(__xludf.DUMMYFUNCTION("""COMPUTED_VALUE"""),"maximum-cost-of-trip-with-k-highways")</f>
        <v>maximum-cost-of-trip-with-k-highways</v>
      </c>
      <c r="D2248" s="20" t="b">
        <f>IFERROR(__xludf.DUMMYFUNCTION("""COMPUTED_VALUE"""),TRUE)</f>
        <v>1</v>
      </c>
      <c r="E2248" s="20" t="str">
        <f>IFERROR(__xludf.DUMMYFUNCTION("""COMPUTED_VALUE"""),"Hard")</f>
        <v>Hard</v>
      </c>
      <c r="F2248" s="20">
        <f>IFERROR(__xludf.DUMMYFUNCTION("""COMPUTED_VALUE"""),43.0)</f>
        <v>43</v>
      </c>
      <c r="G2248" s="20">
        <f>IFERROR(__xludf.DUMMYFUNCTION("""COMPUTED_VALUE"""),0.0)</f>
        <v>0</v>
      </c>
      <c r="H2248" s="20" t="str">
        <f>IFERROR(__xludf.DUMMYFUNCTION("""COMPUTED_VALUE"""),"Algorithms")</f>
        <v>Algorithms</v>
      </c>
      <c r="I2248" s="20">
        <f>IFERROR(__xludf.DUMMYFUNCTION("""COMPUTED_VALUE"""),0.492)</f>
        <v>0.492</v>
      </c>
      <c r="J2248" s="20">
        <f>IFERROR(__xludf.DUMMYFUNCTION("""COMPUTED_VALUE"""),2247.0)</f>
        <v>2247</v>
      </c>
      <c r="K2248" s="20" t="b">
        <f>IFERROR(__xludf.DUMMYFUNCTION("""COMPUTED_VALUE"""),TRUE)</f>
        <v>1</v>
      </c>
      <c r="L2248" s="20" t="str">
        <f>IFERROR(__xludf.DUMMYFUNCTION("""COMPUTED_VALUE"""),"Dynamic Programming;Bit Manipulation;Graph;Bitmask;")</f>
        <v>Dynamic Programming;Bit Manipulation;Graph;Bitmask;</v>
      </c>
      <c r="M2248" s="20" t="b">
        <f>IFERROR(__xludf.DUMMYFUNCTION("""COMPUTED_VALUE"""),FALSE)</f>
        <v>0</v>
      </c>
      <c r="N2248" s="20" t="b">
        <f>IFERROR(__xludf.DUMMYFUNCTION("""COMPUTED_VALUE"""),FALSE)</f>
        <v>0</v>
      </c>
      <c r="O2248" s="20">
        <f>IFERROR(__xludf.DUMMYFUNCTION("""COMPUTED_VALUE"""),49.2179353493222)</f>
        <v>49.21793535</v>
      </c>
      <c r="P2248" s="20">
        <f>IFERROR(__xludf.DUMMYFUNCTION("""COMPUTED_VALUE"""),944.0)</f>
        <v>944</v>
      </c>
      <c r="Q2248" s="20">
        <f>IFERROR(__xludf.DUMMYFUNCTION("""COMPUTED_VALUE"""),1918.0)</f>
        <v>1918</v>
      </c>
    </row>
    <row r="2249">
      <c r="A2249" s="20">
        <f>IFERROR(__xludf.DUMMYFUNCTION("""COMPUTED_VALUE"""),2331.0)</f>
        <v>2331</v>
      </c>
      <c r="B2249" s="20" t="str">
        <f>IFERROR(__xludf.DUMMYFUNCTION("""COMPUTED_VALUE"""),"Intersection of Multiple Arrays")</f>
        <v>Intersection of Multiple Arrays</v>
      </c>
      <c r="C2249" s="20" t="str">
        <f>IFERROR(__xludf.DUMMYFUNCTION("""COMPUTED_VALUE"""),"intersection-of-multiple-arrays")</f>
        <v>intersection-of-multiple-arrays</v>
      </c>
      <c r="D2249" s="20" t="b">
        <f>IFERROR(__xludf.DUMMYFUNCTION("""COMPUTED_VALUE"""),FALSE)</f>
        <v>0</v>
      </c>
      <c r="E2249" s="20" t="str">
        <f>IFERROR(__xludf.DUMMYFUNCTION("""COMPUTED_VALUE"""),"Easy")</f>
        <v>Easy</v>
      </c>
      <c r="F2249" s="20">
        <f>IFERROR(__xludf.DUMMYFUNCTION("""COMPUTED_VALUE"""),406.0)</f>
        <v>406</v>
      </c>
      <c r="G2249" s="20">
        <f>IFERROR(__xludf.DUMMYFUNCTION("""COMPUTED_VALUE"""),25.0)</f>
        <v>25</v>
      </c>
      <c r="H2249" s="20" t="str">
        <f>IFERROR(__xludf.DUMMYFUNCTION("""COMPUTED_VALUE"""),"Algorithms")</f>
        <v>Algorithms</v>
      </c>
      <c r="I2249" s="20">
        <f>IFERROR(__xludf.DUMMYFUNCTION("""COMPUTED_VALUE"""),0.693)</f>
        <v>0.693</v>
      </c>
      <c r="J2249" s="20">
        <f>IFERROR(__xludf.DUMMYFUNCTION("""COMPUTED_VALUE"""),2248.0)</f>
        <v>2248</v>
      </c>
      <c r="K2249" s="20" t="b">
        <f>IFERROR(__xludf.DUMMYFUNCTION("""COMPUTED_VALUE"""),FALSE)</f>
        <v>0</v>
      </c>
      <c r="L2249" s="20" t="str">
        <f>IFERROR(__xludf.DUMMYFUNCTION("""COMPUTED_VALUE"""),"Array;Hash Table;Counting;")</f>
        <v>Array;Hash Table;Counting;</v>
      </c>
      <c r="M2249" s="20" t="b">
        <f>IFERROR(__xludf.DUMMYFUNCTION("""COMPUTED_VALUE"""),FALSE)</f>
        <v>0</v>
      </c>
      <c r="N2249" s="20" t="b">
        <f>IFERROR(__xludf.DUMMYFUNCTION("""COMPUTED_VALUE"""),FALSE)</f>
        <v>0</v>
      </c>
      <c r="O2249" s="20">
        <f>IFERROR(__xludf.DUMMYFUNCTION("""COMPUTED_VALUE"""),69.3348479967446)</f>
        <v>69.334848</v>
      </c>
      <c r="P2249" s="20">
        <f>IFERROR(__xludf.DUMMYFUNCTION("""COMPUTED_VALUE"""),40889.0)</f>
        <v>40889</v>
      </c>
      <c r="Q2249" s="20">
        <f>IFERROR(__xludf.DUMMYFUNCTION("""COMPUTED_VALUE"""),58972.0)</f>
        <v>58972</v>
      </c>
    </row>
    <row r="2250">
      <c r="A2250" s="20">
        <f>IFERROR(__xludf.DUMMYFUNCTION("""COMPUTED_VALUE"""),2332.0)</f>
        <v>2332</v>
      </c>
      <c r="B2250" s="20" t="str">
        <f>IFERROR(__xludf.DUMMYFUNCTION("""COMPUTED_VALUE"""),"Count Lattice Points Inside a Circle")</f>
        <v>Count Lattice Points Inside a Circle</v>
      </c>
      <c r="C2250" s="20" t="str">
        <f>IFERROR(__xludf.DUMMYFUNCTION("""COMPUTED_VALUE"""),"count-lattice-points-inside-a-circle")</f>
        <v>count-lattice-points-inside-a-circle</v>
      </c>
      <c r="D2250" s="20" t="b">
        <f>IFERROR(__xludf.DUMMYFUNCTION("""COMPUTED_VALUE"""),FALSE)</f>
        <v>0</v>
      </c>
      <c r="E2250" s="20" t="str">
        <f>IFERROR(__xludf.DUMMYFUNCTION("""COMPUTED_VALUE"""),"Medium")</f>
        <v>Medium</v>
      </c>
      <c r="F2250" s="20">
        <f>IFERROR(__xludf.DUMMYFUNCTION("""COMPUTED_VALUE"""),165.0)</f>
        <v>165</v>
      </c>
      <c r="G2250" s="20">
        <f>IFERROR(__xludf.DUMMYFUNCTION("""COMPUTED_VALUE"""),190.0)</f>
        <v>190</v>
      </c>
      <c r="H2250" s="20" t="str">
        <f>IFERROR(__xludf.DUMMYFUNCTION("""COMPUTED_VALUE"""),"Algorithms")</f>
        <v>Algorithms</v>
      </c>
      <c r="I2250" s="20">
        <f>IFERROR(__xludf.DUMMYFUNCTION("""COMPUTED_VALUE"""),0.503)</f>
        <v>0.503</v>
      </c>
      <c r="J2250" s="20">
        <f>IFERROR(__xludf.DUMMYFUNCTION("""COMPUTED_VALUE"""),2249.0)</f>
        <v>2249</v>
      </c>
      <c r="K2250" s="20" t="b">
        <f>IFERROR(__xludf.DUMMYFUNCTION("""COMPUTED_VALUE"""),FALSE)</f>
        <v>0</v>
      </c>
      <c r="L2250" s="20" t="str">
        <f>IFERROR(__xludf.DUMMYFUNCTION("""COMPUTED_VALUE"""),"Array;Hash Table;Math;Geometry;Enumeration;")</f>
        <v>Array;Hash Table;Math;Geometry;Enumeration;</v>
      </c>
      <c r="M2250" s="20" t="b">
        <f>IFERROR(__xludf.DUMMYFUNCTION("""COMPUTED_VALUE"""),FALSE)</f>
        <v>0</v>
      </c>
      <c r="N2250" s="20" t="b">
        <f>IFERROR(__xludf.DUMMYFUNCTION("""COMPUTED_VALUE"""),FALSE)</f>
        <v>0</v>
      </c>
      <c r="O2250" s="20">
        <f>IFERROR(__xludf.DUMMYFUNCTION("""COMPUTED_VALUE"""),50.3459955035183)</f>
        <v>50.3459955</v>
      </c>
      <c r="P2250" s="20">
        <f>IFERROR(__xludf.DUMMYFUNCTION("""COMPUTED_VALUE"""),17243.0)</f>
        <v>17243</v>
      </c>
      <c r="Q2250" s="20">
        <f>IFERROR(__xludf.DUMMYFUNCTION("""COMPUTED_VALUE"""),34249.0)</f>
        <v>34249</v>
      </c>
    </row>
    <row r="2251">
      <c r="A2251" s="20">
        <f>IFERROR(__xludf.DUMMYFUNCTION("""COMPUTED_VALUE"""),2333.0)</f>
        <v>2333</v>
      </c>
      <c r="B2251" s="20" t="str">
        <f>IFERROR(__xludf.DUMMYFUNCTION("""COMPUTED_VALUE"""),"Count Number of Rectangles Containing Each Point")</f>
        <v>Count Number of Rectangles Containing Each Point</v>
      </c>
      <c r="C2251" s="20" t="str">
        <f>IFERROR(__xludf.DUMMYFUNCTION("""COMPUTED_VALUE"""),"count-number-of-rectangles-containing-each-point")</f>
        <v>count-number-of-rectangles-containing-each-point</v>
      </c>
      <c r="D2251" s="20" t="b">
        <f>IFERROR(__xludf.DUMMYFUNCTION("""COMPUTED_VALUE"""),FALSE)</f>
        <v>0</v>
      </c>
      <c r="E2251" s="20" t="str">
        <f>IFERROR(__xludf.DUMMYFUNCTION("""COMPUTED_VALUE"""),"Medium")</f>
        <v>Medium</v>
      </c>
      <c r="F2251" s="20">
        <f>IFERROR(__xludf.DUMMYFUNCTION("""COMPUTED_VALUE"""),376.0)</f>
        <v>376</v>
      </c>
      <c r="G2251" s="20">
        <f>IFERROR(__xludf.DUMMYFUNCTION("""COMPUTED_VALUE"""),119.0)</f>
        <v>119</v>
      </c>
      <c r="H2251" s="20" t="str">
        <f>IFERROR(__xludf.DUMMYFUNCTION("""COMPUTED_VALUE"""),"Algorithms")</f>
        <v>Algorithms</v>
      </c>
      <c r="I2251" s="20">
        <f>IFERROR(__xludf.DUMMYFUNCTION("""COMPUTED_VALUE"""),0.341)</f>
        <v>0.341</v>
      </c>
      <c r="J2251" s="20">
        <f>IFERROR(__xludf.DUMMYFUNCTION("""COMPUTED_VALUE"""),2250.0)</f>
        <v>2250</v>
      </c>
      <c r="K2251" s="20" t="b">
        <f>IFERROR(__xludf.DUMMYFUNCTION("""COMPUTED_VALUE"""),FALSE)</f>
        <v>0</v>
      </c>
      <c r="L2251" s="20" t="str">
        <f>IFERROR(__xludf.DUMMYFUNCTION("""COMPUTED_VALUE"""),"Array;Binary Search;Binary Indexed Tree;Sorting;")</f>
        <v>Array;Binary Search;Binary Indexed Tree;Sorting;</v>
      </c>
      <c r="M2251" s="20" t="b">
        <f>IFERROR(__xludf.DUMMYFUNCTION("""COMPUTED_VALUE"""),FALSE)</f>
        <v>0</v>
      </c>
      <c r="N2251" s="20" t="b">
        <f>IFERROR(__xludf.DUMMYFUNCTION("""COMPUTED_VALUE"""),FALSE)</f>
        <v>0</v>
      </c>
      <c r="O2251" s="20">
        <f>IFERROR(__xludf.DUMMYFUNCTION("""COMPUTED_VALUE"""),34.1101308183754)</f>
        <v>34.11013082</v>
      </c>
      <c r="P2251" s="20">
        <f>IFERROR(__xludf.DUMMYFUNCTION("""COMPUTED_VALUE"""),11212.0)</f>
        <v>11212</v>
      </c>
      <c r="Q2251" s="20">
        <f>IFERROR(__xludf.DUMMYFUNCTION("""COMPUTED_VALUE"""),32870.0)</f>
        <v>32870</v>
      </c>
    </row>
    <row r="2252">
      <c r="A2252" s="20">
        <f>IFERROR(__xludf.DUMMYFUNCTION("""COMPUTED_VALUE"""),2334.0)</f>
        <v>2334</v>
      </c>
      <c r="B2252" s="20" t="str">
        <f>IFERROR(__xludf.DUMMYFUNCTION("""COMPUTED_VALUE"""),"Number of Flowers in Full Bloom")</f>
        <v>Number of Flowers in Full Bloom</v>
      </c>
      <c r="C2252" s="20" t="str">
        <f>IFERROR(__xludf.DUMMYFUNCTION("""COMPUTED_VALUE"""),"number-of-flowers-in-full-bloom")</f>
        <v>number-of-flowers-in-full-bloom</v>
      </c>
      <c r="D2252" s="20" t="b">
        <f>IFERROR(__xludf.DUMMYFUNCTION("""COMPUTED_VALUE"""),FALSE)</f>
        <v>0</v>
      </c>
      <c r="E2252" s="20" t="str">
        <f>IFERROR(__xludf.DUMMYFUNCTION("""COMPUTED_VALUE"""),"Hard")</f>
        <v>Hard</v>
      </c>
      <c r="F2252" s="20">
        <f>IFERROR(__xludf.DUMMYFUNCTION("""COMPUTED_VALUE"""),443.0)</f>
        <v>443</v>
      </c>
      <c r="G2252" s="20">
        <f>IFERROR(__xludf.DUMMYFUNCTION("""COMPUTED_VALUE"""),10.0)</f>
        <v>10</v>
      </c>
      <c r="H2252" s="20" t="str">
        <f>IFERROR(__xludf.DUMMYFUNCTION("""COMPUTED_VALUE"""),"Algorithms")</f>
        <v>Algorithms</v>
      </c>
      <c r="I2252" s="20">
        <f>IFERROR(__xludf.DUMMYFUNCTION("""COMPUTED_VALUE"""),0.518)</f>
        <v>0.518</v>
      </c>
      <c r="J2252" s="20">
        <f>IFERROR(__xludf.DUMMYFUNCTION("""COMPUTED_VALUE"""),2251.0)</f>
        <v>2251</v>
      </c>
      <c r="K2252" s="20" t="b">
        <f>IFERROR(__xludf.DUMMYFUNCTION("""COMPUTED_VALUE"""),FALSE)</f>
        <v>0</v>
      </c>
      <c r="L2252" s="20" t="str">
        <f>IFERROR(__xludf.DUMMYFUNCTION("""COMPUTED_VALUE"""),"Array;Hash Table;Binary Search;Sorting;Prefix Sum;Ordered Set;")</f>
        <v>Array;Hash Table;Binary Search;Sorting;Prefix Sum;Ordered Set;</v>
      </c>
      <c r="M2252" s="20" t="b">
        <f>IFERROR(__xludf.DUMMYFUNCTION("""COMPUTED_VALUE"""),FALSE)</f>
        <v>0</v>
      </c>
      <c r="N2252" s="20" t="b">
        <f>IFERROR(__xludf.DUMMYFUNCTION("""COMPUTED_VALUE"""),FALSE)</f>
        <v>0</v>
      </c>
      <c r="O2252" s="20">
        <f>IFERROR(__xludf.DUMMYFUNCTION("""COMPUTED_VALUE"""),51.8309483601457)</f>
        <v>51.83094836</v>
      </c>
      <c r="P2252" s="20">
        <f>IFERROR(__xludf.DUMMYFUNCTION("""COMPUTED_VALUE"""),11663.0)</f>
        <v>11663</v>
      </c>
      <c r="Q2252" s="20">
        <f>IFERROR(__xludf.DUMMYFUNCTION("""COMPUTED_VALUE"""),22502.0)</f>
        <v>22502</v>
      </c>
    </row>
    <row r="2253">
      <c r="A2253" s="20">
        <f>IFERROR(__xludf.DUMMYFUNCTION("""COMPUTED_VALUE"""),2381.0)</f>
        <v>2381</v>
      </c>
      <c r="B2253" s="20" t="str">
        <f>IFERROR(__xludf.DUMMYFUNCTION("""COMPUTED_VALUE"""),"Dynamic Pivoting of a Table")</f>
        <v>Dynamic Pivoting of a Table</v>
      </c>
      <c r="C2253" s="20" t="str">
        <f>IFERROR(__xludf.DUMMYFUNCTION("""COMPUTED_VALUE"""),"dynamic-pivoting-of-a-table")</f>
        <v>dynamic-pivoting-of-a-table</v>
      </c>
      <c r="D2253" s="20" t="b">
        <f>IFERROR(__xludf.DUMMYFUNCTION("""COMPUTED_VALUE"""),TRUE)</f>
        <v>1</v>
      </c>
      <c r="E2253" s="20" t="str">
        <f>IFERROR(__xludf.DUMMYFUNCTION("""COMPUTED_VALUE"""),"Hard")</f>
        <v>Hard</v>
      </c>
      <c r="F2253" s="20">
        <f>IFERROR(__xludf.DUMMYFUNCTION("""COMPUTED_VALUE"""),17.0)</f>
        <v>17</v>
      </c>
      <c r="G2253" s="20">
        <f>IFERROR(__xludf.DUMMYFUNCTION("""COMPUTED_VALUE"""),5.0)</f>
        <v>5</v>
      </c>
      <c r="H2253" s="20" t="str">
        <f>IFERROR(__xludf.DUMMYFUNCTION("""COMPUTED_VALUE"""),"Database")</f>
        <v>Database</v>
      </c>
      <c r="I2253" s="20">
        <f>IFERROR(__xludf.DUMMYFUNCTION("""COMPUTED_VALUE"""),0.567)</f>
        <v>0.567</v>
      </c>
      <c r="J2253" s="20">
        <f>IFERROR(__xludf.DUMMYFUNCTION("""COMPUTED_VALUE"""),2252.0)</f>
        <v>2252</v>
      </c>
      <c r="K2253" s="20" t="b">
        <f>IFERROR(__xludf.DUMMYFUNCTION("""COMPUTED_VALUE"""),TRUE)</f>
        <v>1</v>
      </c>
      <c r="L2253" s="20" t="str">
        <f>IFERROR(__xludf.DUMMYFUNCTION("""COMPUTED_VALUE"""),"Database;")</f>
        <v>Database;</v>
      </c>
      <c r="M2253" s="20" t="b">
        <f>IFERROR(__xludf.DUMMYFUNCTION("""COMPUTED_VALUE"""),FALSE)</f>
        <v>0</v>
      </c>
      <c r="N2253" s="20" t="b">
        <f>IFERROR(__xludf.DUMMYFUNCTION("""COMPUTED_VALUE"""),FALSE)</f>
        <v>0</v>
      </c>
      <c r="O2253" s="20">
        <f>IFERROR(__xludf.DUMMYFUNCTION("""COMPUTED_VALUE"""),56.6635601118359)</f>
        <v>56.66356011</v>
      </c>
      <c r="P2253" s="20">
        <f>IFERROR(__xludf.DUMMYFUNCTION("""COMPUTED_VALUE"""),608.0)</f>
        <v>608</v>
      </c>
      <c r="Q2253" s="20">
        <f>IFERROR(__xludf.DUMMYFUNCTION("""COMPUTED_VALUE"""),1073.0)</f>
        <v>1073</v>
      </c>
    </row>
    <row r="2254">
      <c r="A2254" s="20">
        <f>IFERROR(__xludf.DUMMYFUNCTION("""COMPUTED_VALUE"""),2382.0)</f>
        <v>2382</v>
      </c>
      <c r="B2254" s="20" t="str">
        <f>IFERROR(__xludf.DUMMYFUNCTION("""COMPUTED_VALUE"""),"Dynamic Unpivoting of a Table")</f>
        <v>Dynamic Unpivoting of a Table</v>
      </c>
      <c r="C2254" s="20" t="str">
        <f>IFERROR(__xludf.DUMMYFUNCTION("""COMPUTED_VALUE"""),"dynamic-unpivoting-of-a-table")</f>
        <v>dynamic-unpivoting-of-a-table</v>
      </c>
      <c r="D2254" s="20" t="b">
        <f>IFERROR(__xludf.DUMMYFUNCTION("""COMPUTED_VALUE"""),TRUE)</f>
        <v>1</v>
      </c>
      <c r="E2254" s="20" t="str">
        <f>IFERROR(__xludf.DUMMYFUNCTION("""COMPUTED_VALUE"""),"Hard")</f>
        <v>Hard</v>
      </c>
      <c r="F2254" s="20">
        <f>IFERROR(__xludf.DUMMYFUNCTION("""COMPUTED_VALUE"""),9.0)</f>
        <v>9</v>
      </c>
      <c r="G2254" s="20">
        <f>IFERROR(__xludf.DUMMYFUNCTION("""COMPUTED_VALUE"""),5.0)</f>
        <v>5</v>
      </c>
      <c r="H2254" s="20" t="str">
        <f>IFERROR(__xludf.DUMMYFUNCTION("""COMPUTED_VALUE"""),"Database")</f>
        <v>Database</v>
      </c>
      <c r="I2254" s="20">
        <f>IFERROR(__xludf.DUMMYFUNCTION("""COMPUTED_VALUE"""),0.679)</f>
        <v>0.679</v>
      </c>
      <c r="J2254" s="20">
        <f>IFERROR(__xludf.DUMMYFUNCTION("""COMPUTED_VALUE"""),2253.0)</f>
        <v>2253</v>
      </c>
      <c r="K2254" s="20" t="b">
        <f>IFERROR(__xludf.DUMMYFUNCTION("""COMPUTED_VALUE"""),TRUE)</f>
        <v>1</v>
      </c>
      <c r="L2254" s="20" t="str">
        <f>IFERROR(__xludf.DUMMYFUNCTION("""COMPUTED_VALUE"""),"Database;")</f>
        <v>Database;</v>
      </c>
      <c r="M2254" s="20" t="b">
        <f>IFERROR(__xludf.DUMMYFUNCTION("""COMPUTED_VALUE"""),FALSE)</f>
        <v>0</v>
      </c>
      <c r="N2254" s="20" t="b">
        <f>IFERROR(__xludf.DUMMYFUNCTION("""COMPUTED_VALUE"""),FALSE)</f>
        <v>0</v>
      </c>
      <c r="O2254" s="20">
        <f>IFERROR(__xludf.DUMMYFUNCTION("""COMPUTED_VALUE"""),67.9442508710801)</f>
        <v>67.94425087</v>
      </c>
      <c r="P2254" s="20">
        <f>IFERROR(__xludf.DUMMYFUNCTION("""COMPUTED_VALUE"""),390.0)</f>
        <v>390</v>
      </c>
      <c r="Q2254" s="20">
        <f>IFERROR(__xludf.DUMMYFUNCTION("""COMPUTED_VALUE"""),574.0)</f>
        <v>574</v>
      </c>
    </row>
    <row r="2255">
      <c r="A2255" s="20">
        <f>IFERROR(__xludf.DUMMYFUNCTION("""COMPUTED_VALUE"""),2396.0)</f>
        <v>2396</v>
      </c>
      <c r="B2255" s="20" t="str">
        <f>IFERROR(__xludf.DUMMYFUNCTION("""COMPUTED_VALUE"""),"Design Video Sharing Platform")</f>
        <v>Design Video Sharing Platform</v>
      </c>
      <c r="C2255" s="20" t="str">
        <f>IFERROR(__xludf.DUMMYFUNCTION("""COMPUTED_VALUE"""),"design-video-sharing-platform")</f>
        <v>design-video-sharing-platform</v>
      </c>
      <c r="D2255" s="20" t="b">
        <f>IFERROR(__xludf.DUMMYFUNCTION("""COMPUTED_VALUE"""),TRUE)</f>
        <v>1</v>
      </c>
      <c r="E2255" s="20" t="str">
        <f>IFERROR(__xludf.DUMMYFUNCTION("""COMPUTED_VALUE"""),"Hard")</f>
        <v>Hard</v>
      </c>
      <c r="F2255" s="20">
        <f>IFERROR(__xludf.DUMMYFUNCTION("""COMPUTED_VALUE"""),41.0)</f>
        <v>41</v>
      </c>
      <c r="G2255" s="20">
        <f>IFERROR(__xludf.DUMMYFUNCTION("""COMPUTED_VALUE"""),4.0)</f>
        <v>4</v>
      </c>
      <c r="H2255" s="20" t="str">
        <f>IFERROR(__xludf.DUMMYFUNCTION("""COMPUTED_VALUE"""),"Algorithms")</f>
        <v>Algorithms</v>
      </c>
      <c r="I2255" s="20">
        <f>IFERROR(__xludf.DUMMYFUNCTION("""COMPUTED_VALUE"""),0.645)</f>
        <v>0.645</v>
      </c>
      <c r="J2255" s="20">
        <f>IFERROR(__xludf.DUMMYFUNCTION("""COMPUTED_VALUE"""),2254.0)</f>
        <v>2254</v>
      </c>
      <c r="K2255" s="20" t="b">
        <f>IFERROR(__xludf.DUMMYFUNCTION("""COMPUTED_VALUE"""),TRUE)</f>
        <v>1</v>
      </c>
      <c r="L2255" s="20" t="str">
        <f>IFERROR(__xludf.DUMMYFUNCTION("""COMPUTED_VALUE"""),"Hash Table;Stack;Design;Ordered Set;")</f>
        <v>Hash Table;Stack;Design;Ordered Set;</v>
      </c>
      <c r="M2255" s="20" t="b">
        <f>IFERROR(__xludf.DUMMYFUNCTION("""COMPUTED_VALUE"""),FALSE)</f>
        <v>0</v>
      </c>
      <c r="N2255" s="20" t="b">
        <f>IFERROR(__xludf.DUMMYFUNCTION("""COMPUTED_VALUE"""),FALSE)</f>
        <v>0</v>
      </c>
      <c r="O2255" s="20">
        <f>IFERROR(__xludf.DUMMYFUNCTION("""COMPUTED_VALUE"""),64.4787644787644)</f>
        <v>64.47876448</v>
      </c>
      <c r="P2255" s="20">
        <f>IFERROR(__xludf.DUMMYFUNCTION("""COMPUTED_VALUE"""),1169.0)</f>
        <v>1169</v>
      </c>
      <c r="Q2255" s="20">
        <f>IFERROR(__xludf.DUMMYFUNCTION("""COMPUTED_VALUE"""),1813.0)</f>
        <v>1813</v>
      </c>
    </row>
    <row r="2256">
      <c r="A2256" s="20">
        <f>IFERROR(__xludf.DUMMYFUNCTION("""COMPUTED_VALUE"""),2341.0)</f>
        <v>2341</v>
      </c>
      <c r="B2256" s="20" t="str">
        <f>IFERROR(__xludf.DUMMYFUNCTION("""COMPUTED_VALUE"""),"Count Prefixes of a Given String")</f>
        <v>Count Prefixes of a Given String</v>
      </c>
      <c r="C2256" s="20" t="str">
        <f>IFERROR(__xludf.DUMMYFUNCTION("""COMPUTED_VALUE"""),"count-prefixes-of-a-given-string")</f>
        <v>count-prefixes-of-a-given-string</v>
      </c>
      <c r="D2256" s="20" t="b">
        <f>IFERROR(__xludf.DUMMYFUNCTION("""COMPUTED_VALUE"""),FALSE)</f>
        <v>0</v>
      </c>
      <c r="E2256" s="20" t="str">
        <f>IFERROR(__xludf.DUMMYFUNCTION("""COMPUTED_VALUE"""),"Easy")</f>
        <v>Easy</v>
      </c>
      <c r="F2256" s="20">
        <f>IFERROR(__xludf.DUMMYFUNCTION("""COMPUTED_VALUE"""),329.0)</f>
        <v>329</v>
      </c>
      <c r="G2256" s="20">
        <f>IFERROR(__xludf.DUMMYFUNCTION("""COMPUTED_VALUE"""),10.0)</f>
        <v>10</v>
      </c>
      <c r="H2256" s="20" t="str">
        <f>IFERROR(__xludf.DUMMYFUNCTION("""COMPUTED_VALUE"""),"Algorithms")</f>
        <v>Algorithms</v>
      </c>
      <c r="I2256" s="20">
        <f>IFERROR(__xludf.DUMMYFUNCTION("""COMPUTED_VALUE"""),0.734)</f>
        <v>0.734</v>
      </c>
      <c r="J2256" s="20">
        <f>IFERROR(__xludf.DUMMYFUNCTION("""COMPUTED_VALUE"""),2255.0)</f>
        <v>2255</v>
      </c>
      <c r="K2256" s="20" t="b">
        <f>IFERROR(__xludf.DUMMYFUNCTION("""COMPUTED_VALUE"""),FALSE)</f>
        <v>0</v>
      </c>
      <c r="L2256" s="20" t="str">
        <f>IFERROR(__xludf.DUMMYFUNCTION("""COMPUTED_VALUE"""),"Array;String;")</f>
        <v>Array;String;</v>
      </c>
      <c r="M2256" s="20" t="b">
        <f>IFERROR(__xludf.DUMMYFUNCTION("""COMPUTED_VALUE"""),FALSE)</f>
        <v>0</v>
      </c>
      <c r="N2256" s="20" t="b">
        <f>IFERROR(__xludf.DUMMYFUNCTION("""COMPUTED_VALUE"""),FALSE)</f>
        <v>0</v>
      </c>
      <c r="O2256" s="20">
        <f>IFERROR(__xludf.DUMMYFUNCTION("""COMPUTED_VALUE"""),73.3539117014107)</f>
        <v>73.3539117</v>
      </c>
      <c r="P2256" s="20">
        <f>IFERROR(__xludf.DUMMYFUNCTION("""COMPUTED_VALUE"""),33745.0)</f>
        <v>33745</v>
      </c>
      <c r="Q2256" s="20">
        <f>IFERROR(__xludf.DUMMYFUNCTION("""COMPUTED_VALUE"""),46003.0)</f>
        <v>46003</v>
      </c>
    </row>
    <row r="2257">
      <c r="A2257" s="20">
        <f>IFERROR(__xludf.DUMMYFUNCTION("""COMPUTED_VALUE"""),2342.0)</f>
        <v>2342</v>
      </c>
      <c r="B2257" s="20" t="str">
        <f>IFERROR(__xludf.DUMMYFUNCTION("""COMPUTED_VALUE"""),"Minimum Average Difference")</f>
        <v>Minimum Average Difference</v>
      </c>
      <c r="C2257" s="20" t="str">
        <f>IFERROR(__xludf.DUMMYFUNCTION("""COMPUTED_VALUE"""),"minimum-average-difference")</f>
        <v>minimum-average-difference</v>
      </c>
      <c r="D2257" s="20" t="b">
        <f>IFERROR(__xludf.DUMMYFUNCTION("""COMPUTED_VALUE"""),FALSE)</f>
        <v>0</v>
      </c>
      <c r="E2257" s="20" t="str">
        <f>IFERROR(__xludf.DUMMYFUNCTION("""COMPUTED_VALUE"""),"Medium")</f>
        <v>Medium</v>
      </c>
      <c r="F2257" s="20">
        <f>IFERROR(__xludf.DUMMYFUNCTION("""COMPUTED_VALUE"""),1314.0)</f>
        <v>1314</v>
      </c>
      <c r="G2257" s="20">
        <f>IFERROR(__xludf.DUMMYFUNCTION("""COMPUTED_VALUE"""),150.0)</f>
        <v>150</v>
      </c>
      <c r="H2257" s="20" t="str">
        <f>IFERROR(__xludf.DUMMYFUNCTION("""COMPUTED_VALUE"""),"Algorithms")</f>
        <v>Algorithms</v>
      </c>
      <c r="I2257" s="20">
        <f>IFERROR(__xludf.DUMMYFUNCTION("""COMPUTED_VALUE"""),0.432)</f>
        <v>0.432</v>
      </c>
      <c r="J2257" s="20">
        <f>IFERROR(__xludf.DUMMYFUNCTION("""COMPUTED_VALUE"""),2256.0)</f>
        <v>2256</v>
      </c>
      <c r="K2257" s="20" t="b">
        <f>IFERROR(__xludf.DUMMYFUNCTION("""COMPUTED_VALUE"""),FALSE)</f>
        <v>0</v>
      </c>
      <c r="L2257" s="20" t="str">
        <f>IFERROR(__xludf.DUMMYFUNCTION("""COMPUTED_VALUE"""),"Array;Prefix Sum;")</f>
        <v>Array;Prefix Sum;</v>
      </c>
      <c r="M2257" s="20" t="b">
        <f>IFERROR(__xludf.DUMMYFUNCTION("""COMPUTED_VALUE"""),TRUE)</f>
        <v>1</v>
      </c>
      <c r="N2257" s="20" t="b">
        <f>IFERROR(__xludf.DUMMYFUNCTION("""COMPUTED_VALUE"""),FALSE)</f>
        <v>0</v>
      </c>
      <c r="O2257" s="20">
        <f>IFERROR(__xludf.DUMMYFUNCTION("""COMPUTED_VALUE"""),43.1720266719104)</f>
        <v>43.17202667</v>
      </c>
      <c r="P2257" s="20">
        <f>IFERROR(__xludf.DUMMYFUNCTION("""COMPUTED_VALUE"""),72448.0)</f>
        <v>72448</v>
      </c>
      <c r="Q2257" s="20">
        <f>IFERROR(__xludf.DUMMYFUNCTION("""COMPUTED_VALUE"""),167815.0)</f>
        <v>167815</v>
      </c>
    </row>
    <row r="2258">
      <c r="A2258" s="20">
        <f>IFERROR(__xludf.DUMMYFUNCTION("""COMPUTED_VALUE"""),2343.0)</f>
        <v>2343</v>
      </c>
      <c r="B2258" s="20" t="str">
        <f>IFERROR(__xludf.DUMMYFUNCTION("""COMPUTED_VALUE"""),"Count Unguarded Cells in the Grid")</f>
        <v>Count Unguarded Cells in the Grid</v>
      </c>
      <c r="C2258" s="20" t="str">
        <f>IFERROR(__xludf.DUMMYFUNCTION("""COMPUTED_VALUE"""),"count-unguarded-cells-in-the-grid")</f>
        <v>count-unguarded-cells-in-the-grid</v>
      </c>
      <c r="D2258" s="20" t="b">
        <f>IFERROR(__xludf.DUMMYFUNCTION("""COMPUTED_VALUE"""),FALSE)</f>
        <v>0</v>
      </c>
      <c r="E2258" s="20" t="str">
        <f>IFERROR(__xludf.DUMMYFUNCTION("""COMPUTED_VALUE"""),"Medium")</f>
        <v>Medium</v>
      </c>
      <c r="F2258" s="20">
        <f>IFERROR(__xludf.DUMMYFUNCTION("""COMPUTED_VALUE"""),323.0)</f>
        <v>323</v>
      </c>
      <c r="G2258" s="20">
        <f>IFERROR(__xludf.DUMMYFUNCTION("""COMPUTED_VALUE"""),30.0)</f>
        <v>30</v>
      </c>
      <c r="H2258" s="20" t="str">
        <f>IFERROR(__xludf.DUMMYFUNCTION("""COMPUTED_VALUE"""),"Algorithms")</f>
        <v>Algorithms</v>
      </c>
      <c r="I2258" s="20">
        <f>IFERROR(__xludf.DUMMYFUNCTION("""COMPUTED_VALUE"""),0.524)</f>
        <v>0.524</v>
      </c>
      <c r="J2258" s="20">
        <f>IFERROR(__xludf.DUMMYFUNCTION("""COMPUTED_VALUE"""),2257.0)</f>
        <v>2257</v>
      </c>
      <c r="K2258" s="20" t="b">
        <f>IFERROR(__xludf.DUMMYFUNCTION("""COMPUTED_VALUE"""),FALSE)</f>
        <v>0</v>
      </c>
      <c r="L2258" s="20" t="str">
        <f>IFERROR(__xludf.DUMMYFUNCTION("""COMPUTED_VALUE"""),"Array;Matrix;Simulation;")</f>
        <v>Array;Matrix;Simulation;</v>
      </c>
      <c r="M2258" s="20" t="b">
        <f>IFERROR(__xludf.DUMMYFUNCTION("""COMPUTED_VALUE"""),FALSE)</f>
        <v>0</v>
      </c>
      <c r="N2258" s="20" t="b">
        <f>IFERROR(__xludf.DUMMYFUNCTION("""COMPUTED_VALUE"""),FALSE)</f>
        <v>0</v>
      </c>
      <c r="O2258" s="20">
        <f>IFERROR(__xludf.DUMMYFUNCTION("""COMPUTED_VALUE"""),52.3614306630412)</f>
        <v>52.36143066</v>
      </c>
      <c r="P2258" s="20">
        <f>IFERROR(__xludf.DUMMYFUNCTION("""COMPUTED_VALUE"""),12517.0)</f>
        <v>12517</v>
      </c>
      <c r="Q2258" s="20">
        <f>IFERROR(__xludf.DUMMYFUNCTION("""COMPUTED_VALUE"""),23905.0)</f>
        <v>23905</v>
      </c>
    </row>
    <row r="2259">
      <c r="A2259" s="20">
        <f>IFERROR(__xludf.DUMMYFUNCTION("""COMPUTED_VALUE"""),2344.0)</f>
        <v>2344</v>
      </c>
      <c r="B2259" s="20" t="str">
        <f>IFERROR(__xludf.DUMMYFUNCTION("""COMPUTED_VALUE"""),"Escape the Spreading Fire")</f>
        <v>Escape the Spreading Fire</v>
      </c>
      <c r="C2259" s="20" t="str">
        <f>IFERROR(__xludf.DUMMYFUNCTION("""COMPUTED_VALUE"""),"escape-the-spreading-fire")</f>
        <v>escape-the-spreading-fire</v>
      </c>
      <c r="D2259" s="20" t="b">
        <f>IFERROR(__xludf.DUMMYFUNCTION("""COMPUTED_VALUE"""),FALSE)</f>
        <v>0</v>
      </c>
      <c r="E2259" s="20" t="str">
        <f>IFERROR(__xludf.DUMMYFUNCTION("""COMPUTED_VALUE"""),"Hard")</f>
        <v>Hard</v>
      </c>
      <c r="F2259" s="20">
        <f>IFERROR(__xludf.DUMMYFUNCTION("""COMPUTED_VALUE"""),471.0)</f>
        <v>471</v>
      </c>
      <c r="G2259" s="20">
        <f>IFERROR(__xludf.DUMMYFUNCTION("""COMPUTED_VALUE"""),17.0)</f>
        <v>17</v>
      </c>
      <c r="H2259" s="20" t="str">
        <f>IFERROR(__xludf.DUMMYFUNCTION("""COMPUTED_VALUE"""),"Algorithms")</f>
        <v>Algorithms</v>
      </c>
      <c r="I2259" s="20">
        <f>IFERROR(__xludf.DUMMYFUNCTION("""COMPUTED_VALUE"""),0.349)</f>
        <v>0.349</v>
      </c>
      <c r="J2259" s="20">
        <f>IFERROR(__xludf.DUMMYFUNCTION("""COMPUTED_VALUE"""),2258.0)</f>
        <v>2258</v>
      </c>
      <c r="K2259" s="20" t="b">
        <f>IFERROR(__xludf.DUMMYFUNCTION("""COMPUTED_VALUE"""),FALSE)</f>
        <v>0</v>
      </c>
      <c r="L2259" s="20" t="str">
        <f>IFERROR(__xludf.DUMMYFUNCTION("""COMPUTED_VALUE"""),"Array;Binary Search;Breadth-First Search;Matrix;")</f>
        <v>Array;Binary Search;Breadth-First Search;Matrix;</v>
      </c>
      <c r="M2259" s="20" t="b">
        <f>IFERROR(__xludf.DUMMYFUNCTION("""COMPUTED_VALUE"""),FALSE)</f>
        <v>0</v>
      </c>
      <c r="N2259" s="20" t="b">
        <f>IFERROR(__xludf.DUMMYFUNCTION("""COMPUTED_VALUE"""),FALSE)</f>
        <v>0</v>
      </c>
      <c r="O2259" s="20">
        <f>IFERROR(__xludf.DUMMYFUNCTION("""COMPUTED_VALUE"""),34.8863129736959)</f>
        <v>34.88631297</v>
      </c>
      <c r="P2259" s="20">
        <f>IFERROR(__xludf.DUMMYFUNCTION("""COMPUTED_VALUE"""),6260.0)</f>
        <v>6260</v>
      </c>
      <c r="Q2259" s="20">
        <f>IFERROR(__xludf.DUMMYFUNCTION("""COMPUTED_VALUE"""),17944.0)</f>
        <v>17944</v>
      </c>
    </row>
    <row r="2260">
      <c r="A2260" s="20">
        <f>IFERROR(__xludf.DUMMYFUNCTION("""COMPUTED_VALUE"""),2337.0)</f>
        <v>2337</v>
      </c>
      <c r="B2260" s="20" t="str">
        <f>IFERROR(__xludf.DUMMYFUNCTION("""COMPUTED_VALUE"""),"Remove Digit From Number to Maximize Result")</f>
        <v>Remove Digit From Number to Maximize Result</v>
      </c>
      <c r="C2260" s="20" t="str">
        <f>IFERROR(__xludf.DUMMYFUNCTION("""COMPUTED_VALUE"""),"remove-digit-from-number-to-maximize-result")</f>
        <v>remove-digit-from-number-to-maximize-result</v>
      </c>
      <c r="D2260" s="20" t="b">
        <f>IFERROR(__xludf.DUMMYFUNCTION("""COMPUTED_VALUE"""),FALSE)</f>
        <v>0</v>
      </c>
      <c r="E2260" s="20" t="str">
        <f>IFERROR(__xludf.DUMMYFUNCTION("""COMPUTED_VALUE"""),"Easy")</f>
        <v>Easy</v>
      </c>
      <c r="F2260" s="20">
        <f>IFERROR(__xludf.DUMMYFUNCTION("""COMPUTED_VALUE"""),506.0)</f>
        <v>506</v>
      </c>
      <c r="G2260" s="20">
        <f>IFERROR(__xludf.DUMMYFUNCTION("""COMPUTED_VALUE"""),25.0)</f>
        <v>25</v>
      </c>
      <c r="H2260" s="20" t="str">
        <f>IFERROR(__xludf.DUMMYFUNCTION("""COMPUTED_VALUE"""),"Algorithms")</f>
        <v>Algorithms</v>
      </c>
      <c r="I2260" s="20">
        <f>IFERROR(__xludf.DUMMYFUNCTION("""COMPUTED_VALUE"""),0.468)</f>
        <v>0.468</v>
      </c>
      <c r="J2260" s="20">
        <f>IFERROR(__xludf.DUMMYFUNCTION("""COMPUTED_VALUE"""),2259.0)</f>
        <v>2259</v>
      </c>
      <c r="K2260" s="20" t="b">
        <f>IFERROR(__xludf.DUMMYFUNCTION("""COMPUTED_VALUE"""),FALSE)</f>
        <v>0</v>
      </c>
      <c r="L2260" s="20" t="str">
        <f>IFERROR(__xludf.DUMMYFUNCTION("""COMPUTED_VALUE"""),"String;Greedy;Enumeration;")</f>
        <v>String;Greedy;Enumeration;</v>
      </c>
      <c r="M2260" s="20" t="b">
        <f>IFERROR(__xludf.DUMMYFUNCTION("""COMPUTED_VALUE"""),FALSE)</f>
        <v>0</v>
      </c>
      <c r="N2260" s="20" t="b">
        <f>IFERROR(__xludf.DUMMYFUNCTION("""COMPUTED_VALUE"""),FALSE)</f>
        <v>0</v>
      </c>
      <c r="O2260" s="20">
        <f>IFERROR(__xludf.DUMMYFUNCTION("""COMPUTED_VALUE"""),46.8400362866646)</f>
        <v>46.84003629</v>
      </c>
      <c r="P2260" s="20">
        <f>IFERROR(__xludf.DUMMYFUNCTION("""COMPUTED_VALUE"""),43370.0)</f>
        <v>43370</v>
      </c>
      <c r="Q2260" s="20">
        <f>IFERROR(__xludf.DUMMYFUNCTION("""COMPUTED_VALUE"""),92593.0)</f>
        <v>92593</v>
      </c>
    </row>
    <row r="2261">
      <c r="A2261" s="20">
        <f>IFERROR(__xludf.DUMMYFUNCTION("""COMPUTED_VALUE"""),2338.0)</f>
        <v>2338</v>
      </c>
      <c r="B2261" s="20" t="str">
        <f>IFERROR(__xludf.DUMMYFUNCTION("""COMPUTED_VALUE"""),"Minimum Consecutive Cards to Pick Up")</f>
        <v>Minimum Consecutive Cards to Pick Up</v>
      </c>
      <c r="C2261" s="20" t="str">
        <f>IFERROR(__xludf.DUMMYFUNCTION("""COMPUTED_VALUE"""),"minimum-consecutive-cards-to-pick-up")</f>
        <v>minimum-consecutive-cards-to-pick-up</v>
      </c>
      <c r="D2261" s="20" t="b">
        <f>IFERROR(__xludf.DUMMYFUNCTION("""COMPUTED_VALUE"""),FALSE)</f>
        <v>0</v>
      </c>
      <c r="E2261" s="20" t="str">
        <f>IFERROR(__xludf.DUMMYFUNCTION("""COMPUTED_VALUE"""),"Medium")</f>
        <v>Medium</v>
      </c>
      <c r="F2261" s="20">
        <f>IFERROR(__xludf.DUMMYFUNCTION("""COMPUTED_VALUE"""),532.0)</f>
        <v>532</v>
      </c>
      <c r="G2261" s="20">
        <f>IFERROR(__xludf.DUMMYFUNCTION("""COMPUTED_VALUE"""),16.0)</f>
        <v>16</v>
      </c>
      <c r="H2261" s="20" t="str">
        <f>IFERROR(__xludf.DUMMYFUNCTION("""COMPUTED_VALUE"""),"Algorithms")</f>
        <v>Algorithms</v>
      </c>
      <c r="I2261" s="20">
        <f>IFERROR(__xludf.DUMMYFUNCTION("""COMPUTED_VALUE"""),0.515)</f>
        <v>0.515</v>
      </c>
      <c r="J2261" s="20">
        <f>IFERROR(__xludf.DUMMYFUNCTION("""COMPUTED_VALUE"""),2260.0)</f>
        <v>2260</v>
      </c>
      <c r="K2261" s="20" t="b">
        <f>IFERROR(__xludf.DUMMYFUNCTION("""COMPUTED_VALUE"""),FALSE)</f>
        <v>0</v>
      </c>
      <c r="L2261" s="20" t="str">
        <f>IFERROR(__xludf.DUMMYFUNCTION("""COMPUTED_VALUE"""),"Array;Hash Table;Sliding Window;")</f>
        <v>Array;Hash Table;Sliding Window;</v>
      </c>
      <c r="M2261" s="20" t="b">
        <f>IFERROR(__xludf.DUMMYFUNCTION("""COMPUTED_VALUE"""),FALSE)</f>
        <v>0</v>
      </c>
      <c r="N2261" s="20" t="b">
        <f>IFERROR(__xludf.DUMMYFUNCTION("""COMPUTED_VALUE"""),FALSE)</f>
        <v>0</v>
      </c>
      <c r="O2261" s="20">
        <f>IFERROR(__xludf.DUMMYFUNCTION("""COMPUTED_VALUE"""),51.5434569878124)</f>
        <v>51.54345699</v>
      </c>
      <c r="P2261" s="20">
        <f>IFERROR(__xludf.DUMMYFUNCTION("""COMPUTED_VALUE"""),34764.0)</f>
        <v>34764</v>
      </c>
      <c r="Q2261" s="20">
        <f>IFERROR(__xludf.DUMMYFUNCTION("""COMPUTED_VALUE"""),67444.0)</f>
        <v>67444</v>
      </c>
    </row>
    <row r="2262">
      <c r="A2262" s="20">
        <f>IFERROR(__xludf.DUMMYFUNCTION("""COMPUTED_VALUE"""),2339.0)</f>
        <v>2339</v>
      </c>
      <c r="B2262" s="20" t="str">
        <f>IFERROR(__xludf.DUMMYFUNCTION("""COMPUTED_VALUE"""),"K Divisible Elements Subarrays")</f>
        <v>K Divisible Elements Subarrays</v>
      </c>
      <c r="C2262" s="20" t="str">
        <f>IFERROR(__xludf.DUMMYFUNCTION("""COMPUTED_VALUE"""),"k-divisible-elements-subarrays")</f>
        <v>k-divisible-elements-subarrays</v>
      </c>
      <c r="D2262" s="20" t="b">
        <f>IFERROR(__xludf.DUMMYFUNCTION("""COMPUTED_VALUE"""),FALSE)</f>
        <v>0</v>
      </c>
      <c r="E2262" s="20" t="str">
        <f>IFERROR(__xludf.DUMMYFUNCTION("""COMPUTED_VALUE"""),"Medium")</f>
        <v>Medium</v>
      </c>
      <c r="F2262" s="20">
        <f>IFERROR(__xludf.DUMMYFUNCTION("""COMPUTED_VALUE"""),386.0)</f>
        <v>386</v>
      </c>
      <c r="G2262" s="20">
        <f>IFERROR(__xludf.DUMMYFUNCTION("""COMPUTED_VALUE"""),120.0)</f>
        <v>120</v>
      </c>
      <c r="H2262" s="20" t="str">
        <f>IFERROR(__xludf.DUMMYFUNCTION("""COMPUTED_VALUE"""),"Algorithms")</f>
        <v>Algorithms</v>
      </c>
      <c r="I2262" s="20">
        <f>IFERROR(__xludf.DUMMYFUNCTION("""COMPUTED_VALUE"""),0.476)</f>
        <v>0.476</v>
      </c>
      <c r="J2262" s="20">
        <f>IFERROR(__xludf.DUMMYFUNCTION("""COMPUTED_VALUE"""),2261.0)</f>
        <v>2261</v>
      </c>
      <c r="K2262" s="20" t="b">
        <f>IFERROR(__xludf.DUMMYFUNCTION("""COMPUTED_VALUE"""),FALSE)</f>
        <v>0</v>
      </c>
      <c r="L2262" s="20" t="str">
        <f>IFERROR(__xludf.DUMMYFUNCTION("""COMPUTED_VALUE"""),"Array;Hash Table;Trie;Rolling Hash;Hash Function;Enumeration;")</f>
        <v>Array;Hash Table;Trie;Rolling Hash;Hash Function;Enumeration;</v>
      </c>
      <c r="M2262" s="20" t="b">
        <f>IFERROR(__xludf.DUMMYFUNCTION("""COMPUTED_VALUE"""),FALSE)</f>
        <v>0</v>
      </c>
      <c r="N2262" s="20" t="b">
        <f>IFERROR(__xludf.DUMMYFUNCTION("""COMPUTED_VALUE"""),FALSE)</f>
        <v>0</v>
      </c>
      <c r="O2262" s="20">
        <f>IFERROR(__xludf.DUMMYFUNCTION("""COMPUTED_VALUE"""),47.6445123503947)</f>
        <v>47.64451235</v>
      </c>
      <c r="P2262" s="20">
        <f>IFERROR(__xludf.DUMMYFUNCTION("""COMPUTED_VALUE"""),18709.0)</f>
        <v>18709</v>
      </c>
      <c r="Q2262" s="20">
        <f>IFERROR(__xludf.DUMMYFUNCTION("""COMPUTED_VALUE"""),39269.0)</f>
        <v>39269</v>
      </c>
    </row>
    <row r="2263">
      <c r="A2263" s="20">
        <f>IFERROR(__xludf.DUMMYFUNCTION("""COMPUTED_VALUE"""),2340.0)</f>
        <v>2340</v>
      </c>
      <c r="B2263" s="20" t="str">
        <f>IFERROR(__xludf.DUMMYFUNCTION("""COMPUTED_VALUE"""),"Total Appeal of A String")</f>
        <v>Total Appeal of A String</v>
      </c>
      <c r="C2263" s="20" t="str">
        <f>IFERROR(__xludf.DUMMYFUNCTION("""COMPUTED_VALUE"""),"total-appeal-of-a-string")</f>
        <v>total-appeal-of-a-string</v>
      </c>
      <c r="D2263" s="20" t="b">
        <f>IFERROR(__xludf.DUMMYFUNCTION("""COMPUTED_VALUE"""),FALSE)</f>
        <v>0</v>
      </c>
      <c r="E2263" s="20" t="str">
        <f>IFERROR(__xludf.DUMMYFUNCTION("""COMPUTED_VALUE"""),"Hard")</f>
        <v>Hard</v>
      </c>
      <c r="F2263" s="20">
        <f>IFERROR(__xludf.DUMMYFUNCTION("""COMPUTED_VALUE"""),766.0)</f>
        <v>766</v>
      </c>
      <c r="G2263" s="20">
        <f>IFERROR(__xludf.DUMMYFUNCTION("""COMPUTED_VALUE"""),17.0)</f>
        <v>17</v>
      </c>
      <c r="H2263" s="20" t="str">
        <f>IFERROR(__xludf.DUMMYFUNCTION("""COMPUTED_VALUE"""),"Algorithms")</f>
        <v>Algorithms</v>
      </c>
      <c r="I2263" s="20">
        <f>IFERROR(__xludf.DUMMYFUNCTION("""COMPUTED_VALUE"""),0.579)</f>
        <v>0.579</v>
      </c>
      <c r="J2263" s="20">
        <f>IFERROR(__xludf.DUMMYFUNCTION("""COMPUTED_VALUE"""),2262.0)</f>
        <v>2262</v>
      </c>
      <c r="K2263" s="20" t="b">
        <f>IFERROR(__xludf.DUMMYFUNCTION("""COMPUTED_VALUE"""),FALSE)</f>
        <v>0</v>
      </c>
      <c r="L2263" s="20" t="str">
        <f>IFERROR(__xludf.DUMMYFUNCTION("""COMPUTED_VALUE"""),"Hash Table;String;Dynamic Programming;")</f>
        <v>Hash Table;String;Dynamic Programming;</v>
      </c>
      <c r="M2263" s="20" t="b">
        <f>IFERROR(__xludf.DUMMYFUNCTION("""COMPUTED_VALUE"""),FALSE)</f>
        <v>0</v>
      </c>
      <c r="N2263" s="20" t="b">
        <f>IFERROR(__xludf.DUMMYFUNCTION("""COMPUTED_VALUE"""),FALSE)</f>
        <v>0</v>
      </c>
      <c r="O2263" s="20">
        <f>IFERROR(__xludf.DUMMYFUNCTION("""COMPUTED_VALUE"""),57.9367657408911)</f>
        <v>57.93676574</v>
      </c>
      <c r="P2263" s="20">
        <f>IFERROR(__xludf.DUMMYFUNCTION("""COMPUTED_VALUE"""),21402.0)</f>
        <v>21402</v>
      </c>
      <c r="Q2263" s="20">
        <f>IFERROR(__xludf.DUMMYFUNCTION("""COMPUTED_VALUE"""),36941.0)</f>
        <v>36941</v>
      </c>
    </row>
    <row r="2264">
      <c r="A2264" s="20">
        <f>IFERROR(__xludf.DUMMYFUNCTION("""COMPUTED_VALUE"""),1419.0)</f>
        <v>1419</v>
      </c>
      <c r="B2264" s="20" t="str">
        <f>IFERROR(__xludf.DUMMYFUNCTION("""COMPUTED_VALUE"""),"Make Array Non-decreasing or Non-increasing")</f>
        <v>Make Array Non-decreasing or Non-increasing</v>
      </c>
      <c r="C2264" s="20" t="str">
        <f>IFERROR(__xludf.DUMMYFUNCTION("""COMPUTED_VALUE"""),"make-array-non-decreasing-or-non-increasing")</f>
        <v>make-array-non-decreasing-or-non-increasing</v>
      </c>
      <c r="D2264" s="20" t="b">
        <f>IFERROR(__xludf.DUMMYFUNCTION("""COMPUTED_VALUE"""),TRUE)</f>
        <v>1</v>
      </c>
      <c r="E2264" s="20" t="str">
        <f>IFERROR(__xludf.DUMMYFUNCTION("""COMPUTED_VALUE"""),"Hard")</f>
        <v>Hard</v>
      </c>
      <c r="F2264" s="20">
        <f>IFERROR(__xludf.DUMMYFUNCTION("""COMPUTED_VALUE"""),51.0)</f>
        <v>51</v>
      </c>
      <c r="G2264" s="20">
        <f>IFERROR(__xludf.DUMMYFUNCTION("""COMPUTED_VALUE"""),3.0)</f>
        <v>3</v>
      </c>
      <c r="H2264" s="20" t="str">
        <f>IFERROR(__xludf.DUMMYFUNCTION("""COMPUTED_VALUE"""),"Algorithms")</f>
        <v>Algorithms</v>
      </c>
      <c r="I2264" s="20">
        <f>IFERROR(__xludf.DUMMYFUNCTION("""COMPUTED_VALUE"""),0.677)</f>
        <v>0.677</v>
      </c>
      <c r="J2264" s="20">
        <f>IFERROR(__xludf.DUMMYFUNCTION("""COMPUTED_VALUE"""),2263.0)</f>
        <v>2263</v>
      </c>
      <c r="K2264" s="20" t="b">
        <f>IFERROR(__xludf.DUMMYFUNCTION("""COMPUTED_VALUE"""),TRUE)</f>
        <v>1</v>
      </c>
      <c r="L2264" s="20" t="str">
        <f>IFERROR(__xludf.DUMMYFUNCTION("""COMPUTED_VALUE"""),"Dynamic Programming;Greedy;")</f>
        <v>Dynamic Programming;Greedy;</v>
      </c>
      <c r="M2264" s="20" t="b">
        <f>IFERROR(__xludf.DUMMYFUNCTION("""COMPUTED_VALUE"""),FALSE)</f>
        <v>0</v>
      </c>
      <c r="N2264" s="20" t="b">
        <f>IFERROR(__xludf.DUMMYFUNCTION("""COMPUTED_VALUE"""),FALSE)</f>
        <v>0</v>
      </c>
      <c r="O2264" s="20">
        <f>IFERROR(__xludf.DUMMYFUNCTION("""COMPUTED_VALUE"""),67.6609105180533)</f>
        <v>67.66091052</v>
      </c>
      <c r="P2264" s="20">
        <f>IFERROR(__xludf.DUMMYFUNCTION("""COMPUTED_VALUE"""),862.0)</f>
        <v>862</v>
      </c>
      <c r="Q2264" s="20">
        <f>IFERROR(__xludf.DUMMYFUNCTION("""COMPUTED_VALUE"""),1274.0)</f>
        <v>1274</v>
      </c>
    </row>
    <row r="2265">
      <c r="A2265" s="20">
        <f>IFERROR(__xludf.DUMMYFUNCTION("""COMPUTED_VALUE"""),2346.0)</f>
        <v>2346</v>
      </c>
      <c r="B2265" s="20" t="str">
        <f>IFERROR(__xludf.DUMMYFUNCTION("""COMPUTED_VALUE"""),"Largest 3-Same-Digit Number in String")</f>
        <v>Largest 3-Same-Digit Number in String</v>
      </c>
      <c r="C2265" s="20" t="str">
        <f>IFERROR(__xludf.DUMMYFUNCTION("""COMPUTED_VALUE"""),"largest-3-same-digit-number-in-string")</f>
        <v>largest-3-same-digit-number-in-string</v>
      </c>
      <c r="D2265" s="20" t="b">
        <f>IFERROR(__xludf.DUMMYFUNCTION("""COMPUTED_VALUE"""),FALSE)</f>
        <v>0</v>
      </c>
      <c r="E2265" s="20" t="str">
        <f>IFERROR(__xludf.DUMMYFUNCTION("""COMPUTED_VALUE"""),"Easy")</f>
        <v>Easy</v>
      </c>
      <c r="F2265" s="20">
        <f>IFERROR(__xludf.DUMMYFUNCTION("""COMPUTED_VALUE"""),254.0)</f>
        <v>254</v>
      </c>
      <c r="G2265" s="20">
        <f>IFERROR(__xludf.DUMMYFUNCTION("""COMPUTED_VALUE"""),16.0)</f>
        <v>16</v>
      </c>
      <c r="H2265" s="20" t="str">
        <f>IFERROR(__xludf.DUMMYFUNCTION("""COMPUTED_VALUE"""),"Algorithms")</f>
        <v>Algorithms</v>
      </c>
      <c r="I2265" s="20">
        <f>IFERROR(__xludf.DUMMYFUNCTION("""COMPUTED_VALUE"""),0.592)</f>
        <v>0.592</v>
      </c>
      <c r="J2265" s="20">
        <f>IFERROR(__xludf.DUMMYFUNCTION("""COMPUTED_VALUE"""),2264.0)</f>
        <v>2264</v>
      </c>
      <c r="K2265" s="20" t="b">
        <f>IFERROR(__xludf.DUMMYFUNCTION("""COMPUTED_VALUE"""),FALSE)</f>
        <v>0</v>
      </c>
      <c r="L2265" s="20" t="str">
        <f>IFERROR(__xludf.DUMMYFUNCTION("""COMPUTED_VALUE"""),"String;")</f>
        <v>String;</v>
      </c>
      <c r="M2265" s="20" t="b">
        <f>IFERROR(__xludf.DUMMYFUNCTION("""COMPUTED_VALUE"""),FALSE)</f>
        <v>0</v>
      </c>
      <c r="N2265" s="20" t="b">
        <f>IFERROR(__xludf.DUMMYFUNCTION("""COMPUTED_VALUE"""),FALSE)</f>
        <v>0</v>
      </c>
      <c r="O2265" s="20">
        <f>IFERROR(__xludf.DUMMYFUNCTION("""COMPUTED_VALUE"""),59.1768138001014)</f>
        <v>59.1768138</v>
      </c>
      <c r="P2265" s="20">
        <f>IFERROR(__xludf.DUMMYFUNCTION("""COMPUTED_VALUE"""),27992.0)</f>
        <v>27992</v>
      </c>
      <c r="Q2265" s="20">
        <f>IFERROR(__xludf.DUMMYFUNCTION("""COMPUTED_VALUE"""),47303.0)</f>
        <v>47303</v>
      </c>
    </row>
    <row r="2266">
      <c r="A2266" s="20">
        <f>IFERROR(__xludf.DUMMYFUNCTION("""COMPUTED_VALUE"""),2347.0)</f>
        <v>2347</v>
      </c>
      <c r="B2266" s="20" t="str">
        <f>IFERROR(__xludf.DUMMYFUNCTION("""COMPUTED_VALUE"""),"Count Nodes Equal to Average of Subtree")</f>
        <v>Count Nodes Equal to Average of Subtree</v>
      </c>
      <c r="C2266" s="20" t="str">
        <f>IFERROR(__xludf.DUMMYFUNCTION("""COMPUTED_VALUE"""),"count-nodes-equal-to-average-of-subtree")</f>
        <v>count-nodes-equal-to-average-of-subtree</v>
      </c>
      <c r="D2266" s="20" t="b">
        <f>IFERROR(__xludf.DUMMYFUNCTION("""COMPUTED_VALUE"""),FALSE)</f>
        <v>0</v>
      </c>
      <c r="E2266" s="20" t="str">
        <f>IFERROR(__xludf.DUMMYFUNCTION("""COMPUTED_VALUE"""),"Medium")</f>
        <v>Medium</v>
      </c>
      <c r="F2266" s="20">
        <f>IFERROR(__xludf.DUMMYFUNCTION("""COMPUTED_VALUE"""),888.0)</f>
        <v>888</v>
      </c>
      <c r="G2266" s="20">
        <f>IFERROR(__xludf.DUMMYFUNCTION("""COMPUTED_VALUE"""),20.0)</f>
        <v>20</v>
      </c>
      <c r="H2266" s="20" t="str">
        <f>IFERROR(__xludf.DUMMYFUNCTION("""COMPUTED_VALUE"""),"Algorithms")</f>
        <v>Algorithms</v>
      </c>
      <c r="I2266" s="20">
        <f>IFERROR(__xludf.DUMMYFUNCTION("""COMPUTED_VALUE"""),0.857)</f>
        <v>0.857</v>
      </c>
      <c r="J2266" s="20">
        <f>IFERROR(__xludf.DUMMYFUNCTION("""COMPUTED_VALUE"""),2265.0)</f>
        <v>2265</v>
      </c>
      <c r="K2266" s="20" t="b">
        <f>IFERROR(__xludf.DUMMYFUNCTION("""COMPUTED_VALUE"""),FALSE)</f>
        <v>0</v>
      </c>
      <c r="L2266" s="20" t="str">
        <f>IFERROR(__xludf.DUMMYFUNCTION("""COMPUTED_VALUE"""),"Tree;Depth-First Search;Binary Tree;")</f>
        <v>Tree;Depth-First Search;Binary Tree;</v>
      </c>
      <c r="M2266" s="20" t="b">
        <f>IFERROR(__xludf.DUMMYFUNCTION("""COMPUTED_VALUE"""),FALSE)</f>
        <v>0</v>
      </c>
      <c r="N2266" s="20" t="b">
        <f>IFERROR(__xludf.DUMMYFUNCTION("""COMPUTED_VALUE"""),FALSE)</f>
        <v>0</v>
      </c>
      <c r="O2266" s="20">
        <f>IFERROR(__xludf.DUMMYFUNCTION("""COMPUTED_VALUE"""),85.66395523548)</f>
        <v>85.66395524</v>
      </c>
      <c r="P2266" s="20">
        <f>IFERROR(__xludf.DUMMYFUNCTION("""COMPUTED_VALUE"""),33068.0)</f>
        <v>33068</v>
      </c>
      <c r="Q2266" s="20">
        <f>IFERROR(__xludf.DUMMYFUNCTION("""COMPUTED_VALUE"""),38602.0)</f>
        <v>38602</v>
      </c>
    </row>
    <row r="2267">
      <c r="A2267" s="20">
        <f>IFERROR(__xludf.DUMMYFUNCTION("""COMPUTED_VALUE"""),2348.0)</f>
        <v>2348</v>
      </c>
      <c r="B2267" s="20" t="str">
        <f>IFERROR(__xludf.DUMMYFUNCTION("""COMPUTED_VALUE"""),"Count Number of Texts")</f>
        <v>Count Number of Texts</v>
      </c>
      <c r="C2267" s="20" t="str">
        <f>IFERROR(__xludf.DUMMYFUNCTION("""COMPUTED_VALUE"""),"count-number-of-texts")</f>
        <v>count-number-of-texts</v>
      </c>
      <c r="D2267" s="20" t="b">
        <f>IFERROR(__xludf.DUMMYFUNCTION("""COMPUTED_VALUE"""),FALSE)</f>
        <v>0</v>
      </c>
      <c r="E2267" s="20" t="str">
        <f>IFERROR(__xludf.DUMMYFUNCTION("""COMPUTED_VALUE"""),"Medium")</f>
        <v>Medium</v>
      </c>
      <c r="F2267" s="20">
        <f>IFERROR(__xludf.DUMMYFUNCTION("""COMPUTED_VALUE"""),637.0)</f>
        <v>637</v>
      </c>
      <c r="G2267" s="20">
        <f>IFERROR(__xludf.DUMMYFUNCTION("""COMPUTED_VALUE"""),20.0)</f>
        <v>20</v>
      </c>
      <c r="H2267" s="20" t="str">
        <f>IFERROR(__xludf.DUMMYFUNCTION("""COMPUTED_VALUE"""),"Algorithms")</f>
        <v>Algorithms</v>
      </c>
      <c r="I2267" s="20">
        <f>IFERROR(__xludf.DUMMYFUNCTION("""COMPUTED_VALUE"""),0.473)</f>
        <v>0.473</v>
      </c>
      <c r="J2267" s="20">
        <f>IFERROR(__xludf.DUMMYFUNCTION("""COMPUTED_VALUE"""),2266.0)</f>
        <v>2266</v>
      </c>
      <c r="K2267" s="20" t="b">
        <f>IFERROR(__xludf.DUMMYFUNCTION("""COMPUTED_VALUE"""),FALSE)</f>
        <v>0</v>
      </c>
      <c r="L2267" s="20" t="str">
        <f>IFERROR(__xludf.DUMMYFUNCTION("""COMPUTED_VALUE"""),"Hash Table;Math;String;Dynamic Programming;")</f>
        <v>Hash Table;Math;String;Dynamic Programming;</v>
      </c>
      <c r="M2267" s="20" t="b">
        <f>IFERROR(__xludf.DUMMYFUNCTION("""COMPUTED_VALUE"""),FALSE)</f>
        <v>0</v>
      </c>
      <c r="N2267" s="20" t="b">
        <f>IFERROR(__xludf.DUMMYFUNCTION("""COMPUTED_VALUE"""),FALSE)</f>
        <v>0</v>
      </c>
      <c r="O2267" s="20">
        <f>IFERROR(__xludf.DUMMYFUNCTION("""COMPUTED_VALUE"""),47.2568327974276)</f>
        <v>47.2568328</v>
      </c>
      <c r="P2267" s="20">
        <f>IFERROR(__xludf.DUMMYFUNCTION("""COMPUTED_VALUE"""),14109.0)</f>
        <v>14109</v>
      </c>
      <c r="Q2267" s="20">
        <f>IFERROR(__xludf.DUMMYFUNCTION("""COMPUTED_VALUE"""),29856.0)</f>
        <v>29856</v>
      </c>
    </row>
    <row r="2268">
      <c r="A2268" s="20">
        <f>IFERROR(__xludf.DUMMYFUNCTION("""COMPUTED_VALUE"""),2349.0)</f>
        <v>2349</v>
      </c>
      <c r="B2268" s="20" t="str">
        <f>IFERROR(__xludf.DUMMYFUNCTION("""COMPUTED_VALUE""")," Check if There Is a Valid Parentheses String Path")</f>
        <v> Check if There Is a Valid Parentheses String Path</v>
      </c>
      <c r="C2268" s="20" t="str">
        <f>IFERROR(__xludf.DUMMYFUNCTION("""COMPUTED_VALUE"""),"check-if-there-is-a-valid-parentheses-string-path")</f>
        <v>check-if-there-is-a-valid-parentheses-string-path</v>
      </c>
      <c r="D2268" s="20" t="b">
        <f>IFERROR(__xludf.DUMMYFUNCTION("""COMPUTED_VALUE"""),FALSE)</f>
        <v>0</v>
      </c>
      <c r="E2268" s="20" t="str">
        <f>IFERROR(__xludf.DUMMYFUNCTION("""COMPUTED_VALUE"""),"Hard")</f>
        <v>Hard</v>
      </c>
      <c r="F2268" s="20">
        <f>IFERROR(__xludf.DUMMYFUNCTION("""COMPUTED_VALUE"""),412.0)</f>
        <v>412</v>
      </c>
      <c r="G2268" s="20">
        <f>IFERROR(__xludf.DUMMYFUNCTION("""COMPUTED_VALUE"""),4.0)</f>
        <v>4</v>
      </c>
      <c r="H2268" s="20" t="str">
        <f>IFERROR(__xludf.DUMMYFUNCTION("""COMPUTED_VALUE"""),"Algorithms")</f>
        <v>Algorithms</v>
      </c>
      <c r="I2268" s="20">
        <f>IFERROR(__xludf.DUMMYFUNCTION("""COMPUTED_VALUE"""),0.38)</f>
        <v>0.38</v>
      </c>
      <c r="J2268" s="20">
        <f>IFERROR(__xludf.DUMMYFUNCTION("""COMPUTED_VALUE"""),2267.0)</f>
        <v>2267</v>
      </c>
      <c r="K2268" s="20" t="b">
        <f>IFERROR(__xludf.DUMMYFUNCTION("""COMPUTED_VALUE"""),FALSE)</f>
        <v>0</v>
      </c>
      <c r="L2268" s="20" t="str">
        <f>IFERROR(__xludf.DUMMYFUNCTION("""COMPUTED_VALUE"""),"Array;Dynamic Programming;Matrix;")</f>
        <v>Array;Dynamic Programming;Matrix;</v>
      </c>
      <c r="M2268" s="20" t="b">
        <f>IFERROR(__xludf.DUMMYFUNCTION("""COMPUTED_VALUE"""),FALSE)</f>
        <v>0</v>
      </c>
      <c r="N2268" s="20" t="b">
        <f>IFERROR(__xludf.DUMMYFUNCTION("""COMPUTED_VALUE"""),FALSE)</f>
        <v>0</v>
      </c>
      <c r="O2268" s="20">
        <f>IFERROR(__xludf.DUMMYFUNCTION("""COMPUTED_VALUE"""),38.0041713460612)</f>
        <v>38.00417135</v>
      </c>
      <c r="P2268" s="20">
        <f>IFERROR(__xludf.DUMMYFUNCTION("""COMPUTED_VALUE"""),11844.0)</f>
        <v>11844</v>
      </c>
      <c r="Q2268" s="20">
        <f>IFERROR(__xludf.DUMMYFUNCTION("""COMPUTED_VALUE"""),31165.0)</f>
        <v>31165</v>
      </c>
    </row>
    <row r="2269">
      <c r="A2269" s="20">
        <f>IFERROR(__xludf.DUMMYFUNCTION("""COMPUTED_VALUE"""),2405.0)</f>
        <v>2405</v>
      </c>
      <c r="B2269" s="20" t="str">
        <f>IFERROR(__xludf.DUMMYFUNCTION("""COMPUTED_VALUE"""),"Minimum Number of Keypresses")</f>
        <v>Minimum Number of Keypresses</v>
      </c>
      <c r="C2269" s="20" t="str">
        <f>IFERROR(__xludf.DUMMYFUNCTION("""COMPUTED_VALUE"""),"minimum-number-of-keypresses")</f>
        <v>minimum-number-of-keypresses</v>
      </c>
      <c r="D2269" s="20" t="b">
        <f>IFERROR(__xludf.DUMMYFUNCTION("""COMPUTED_VALUE"""),TRUE)</f>
        <v>1</v>
      </c>
      <c r="E2269" s="20" t="str">
        <f>IFERROR(__xludf.DUMMYFUNCTION("""COMPUTED_VALUE"""),"Medium")</f>
        <v>Medium</v>
      </c>
      <c r="F2269" s="20">
        <f>IFERROR(__xludf.DUMMYFUNCTION("""COMPUTED_VALUE"""),133.0)</f>
        <v>133</v>
      </c>
      <c r="G2269" s="20">
        <f>IFERROR(__xludf.DUMMYFUNCTION("""COMPUTED_VALUE"""),23.0)</f>
        <v>23</v>
      </c>
      <c r="H2269" s="20" t="str">
        <f>IFERROR(__xludf.DUMMYFUNCTION("""COMPUTED_VALUE"""),"Algorithms")</f>
        <v>Algorithms</v>
      </c>
      <c r="I2269" s="20">
        <f>IFERROR(__xludf.DUMMYFUNCTION("""COMPUTED_VALUE"""),0.737)</f>
        <v>0.737</v>
      </c>
      <c r="J2269" s="20">
        <f>IFERROR(__xludf.DUMMYFUNCTION("""COMPUTED_VALUE"""),2268.0)</f>
        <v>2268</v>
      </c>
      <c r="K2269" s="20" t="b">
        <f>IFERROR(__xludf.DUMMYFUNCTION("""COMPUTED_VALUE"""),TRUE)</f>
        <v>1</v>
      </c>
      <c r="L2269" s="20" t="str">
        <f>IFERROR(__xludf.DUMMYFUNCTION("""COMPUTED_VALUE"""),"Array;String;Greedy;Sorting;Counting;")</f>
        <v>Array;String;Greedy;Sorting;Counting;</v>
      </c>
      <c r="M2269" s="20" t="b">
        <f>IFERROR(__xludf.DUMMYFUNCTION("""COMPUTED_VALUE"""),FALSE)</f>
        <v>0</v>
      </c>
      <c r="N2269" s="20" t="b">
        <f>IFERROR(__xludf.DUMMYFUNCTION("""COMPUTED_VALUE"""),FALSE)</f>
        <v>0</v>
      </c>
      <c r="O2269" s="20">
        <f>IFERROR(__xludf.DUMMYFUNCTION("""COMPUTED_VALUE"""),73.7441992998453)</f>
        <v>73.7441993</v>
      </c>
      <c r="P2269" s="20">
        <f>IFERROR(__xludf.DUMMYFUNCTION("""COMPUTED_VALUE"""),9058.0)</f>
        <v>9058</v>
      </c>
      <c r="Q2269" s="20">
        <f>IFERROR(__xludf.DUMMYFUNCTION("""COMPUTED_VALUE"""),12283.0)</f>
        <v>12283</v>
      </c>
    </row>
    <row r="2270">
      <c r="A2270" s="20">
        <f>IFERROR(__xludf.DUMMYFUNCTION("""COMPUTED_VALUE"""),1430.0)</f>
        <v>1430</v>
      </c>
      <c r="B2270" s="20" t="str">
        <f>IFERROR(__xludf.DUMMYFUNCTION("""COMPUTED_VALUE"""),"Find the K-Beauty of a Number")</f>
        <v>Find the K-Beauty of a Number</v>
      </c>
      <c r="C2270" s="20" t="str">
        <f>IFERROR(__xludf.DUMMYFUNCTION("""COMPUTED_VALUE"""),"find-the-k-beauty-of-a-number")</f>
        <v>find-the-k-beauty-of-a-number</v>
      </c>
      <c r="D2270" s="20" t="b">
        <f>IFERROR(__xludf.DUMMYFUNCTION("""COMPUTED_VALUE"""),FALSE)</f>
        <v>0</v>
      </c>
      <c r="E2270" s="20" t="str">
        <f>IFERROR(__xludf.DUMMYFUNCTION("""COMPUTED_VALUE"""),"Easy")</f>
        <v>Easy</v>
      </c>
      <c r="F2270" s="20">
        <f>IFERROR(__xludf.DUMMYFUNCTION("""COMPUTED_VALUE"""),365.0)</f>
        <v>365</v>
      </c>
      <c r="G2270" s="20">
        <f>IFERROR(__xludf.DUMMYFUNCTION("""COMPUTED_VALUE"""),22.0)</f>
        <v>22</v>
      </c>
      <c r="H2270" s="20" t="str">
        <f>IFERROR(__xludf.DUMMYFUNCTION("""COMPUTED_VALUE"""),"Algorithms")</f>
        <v>Algorithms</v>
      </c>
      <c r="I2270" s="20">
        <f>IFERROR(__xludf.DUMMYFUNCTION("""COMPUTED_VALUE"""),0.569)</f>
        <v>0.569</v>
      </c>
      <c r="J2270" s="20">
        <f>IFERROR(__xludf.DUMMYFUNCTION("""COMPUTED_VALUE"""),2269.0)</f>
        <v>2269</v>
      </c>
      <c r="K2270" s="20" t="b">
        <f>IFERROR(__xludf.DUMMYFUNCTION("""COMPUTED_VALUE"""),FALSE)</f>
        <v>0</v>
      </c>
      <c r="L2270" s="20" t="str">
        <f>IFERROR(__xludf.DUMMYFUNCTION("""COMPUTED_VALUE"""),"Math;String;Sliding Window;")</f>
        <v>Math;String;Sliding Window;</v>
      </c>
      <c r="M2270" s="20" t="b">
        <f>IFERROR(__xludf.DUMMYFUNCTION("""COMPUTED_VALUE"""),FALSE)</f>
        <v>0</v>
      </c>
      <c r="N2270" s="20" t="b">
        <f>IFERROR(__xludf.DUMMYFUNCTION("""COMPUTED_VALUE"""),FALSE)</f>
        <v>0</v>
      </c>
      <c r="O2270" s="20">
        <f>IFERROR(__xludf.DUMMYFUNCTION("""COMPUTED_VALUE"""),56.9007218524421)</f>
        <v>56.90072185</v>
      </c>
      <c r="P2270" s="20">
        <f>IFERROR(__xludf.DUMMYFUNCTION("""COMPUTED_VALUE"""),30348.0)</f>
        <v>30348</v>
      </c>
      <c r="Q2270" s="20">
        <f>IFERROR(__xludf.DUMMYFUNCTION("""COMPUTED_VALUE"""),53335.0)</f>
        <v>53335</v>
      </c>
    </row>
    <row r="2271">
      <c r="A2271" s="20">
        <f>IFERROR(__xludf.DUMMYFUNCTION("""COMPUTED_VALUE"""),2358.0)</f>
        <v>2358</v>
      </c>
      <c r="B2271" s="20" t="str">
        <f>IFERROR(__xludf.DUMMYFUNCTION("""COMPUTED_VALUE"""),"Number of Ways to Split Array")</f>
        <v>Number of Ways to Split Array</v>
      </c>
      <c r="C2271" s="20" t="str">
        <f>IFERROR(__xludf.DUMMYFUNCTION("""COMPUTED_VALUE"""),"number-of-ways-to-split-array")</f>
        <v>number-of-ways-to-split-array</v>
      </c>
      <c r="D2271" s="20" t="b">
        <f>IFERROR(__xludf.DUMMYFUNCTION("""COMPUTED_VALUE"""),FALSE)</f>
        <v>0</v>
      </c>
      <c r="E2271" s="20" t="str">
        <f>IFERROR(__xludf.DUMMYFUNCTION("""COMPUTED_VALUE"""),"Medium")</f>
        <v>Medium</v>
      </c>
      <c r="F2271" s="20">
        <f>IFERROR(__xludf.DUMMYFUNCTION("""COMPUTED_VALUE"""),354.0)</f>
        <v>354</v>
      </c>
      <c r="G2271" s="20">
        <f>IFERROR(__xludf.DUMMYFUNCTION("""COMPUTED_VALUE"""),30.0)</f>
        <v>30</v>
      </c>
      <c r="H2271" s="20" t="str">
        <f>IFERROR(__xludf.DUMMYFUNCTION("""COMPUTED_VALUE"""),"Algorithms")</f>
        <v>Algorithms</v>
      </c>
      <c r="I2271" s="20">
        <f>IFERROR(__xludf.DUMMYFUNCTION("""COMPUTED_VALUE"""),0.453)</f>
        <v>0.453</v>
      </c>
      <c r="J2271" s="20">
        <f>IFERROR(__xludf.DUMMYFUNCTION("""COMPUTED_VALUE"""),2270.0)</f>
        <v>2270</v>
      </c>
      <c r="K2271" s="20" t="b">
        <f>IFERROR(__xludf.DUMMYFUNCTION("""COMPUTED_VALUE"""),FALSE)</f>
        <v>0</v>
      </c>
      <c r="L2271" s="20" t="str">
        <f>IFERROR(__xludf.DUMMYFUNCTION("""COMPUTED_VALUE"""),"Array;Prefix Sum;")</f>
        <v>Array;Prefix Sum;</v>
      </c>
      <c r="M2271" s="20" t="b">
        <f>IFERROR(__xludf.DUMMYFUNCTION("""COMPUTED_VALUE"""),FALSE)</f>
        <v>0</v>
      </c>
      <c r="N2271" s="20" t="b">
        <f>IFERROR(__xludf.DUMMYFUNCTION("""COMPUTED_VALUE"""),FALSE)</f>
        <v>0</v>
      </c>
      <c r="O2271" s="20">
        <f>IFERROR(__xludf.DUMMYFUNCTION("""COMPUTED_VALUE"""),45.3413311617375)</f>
        <v>45.34133116</v>
      </c>
      <c r="P2271" s="20">
        <f>IFERROR(__xludf.DUMMYFUNCTION("""COMPUTED_VALUE"""),22828.0)</f>
        <v>22828</v>
      </c>
      <c r="Q2271" s="20">
        <f>IFERROR(__xludf.DUMMYFUNCTION("""COMPUTED_VALUE"""),50347.0)</f>
        <v>50347</v>
      </c>
    </row>
    <row r="2272">
      <c r="A2272" s="20">
        <f>IFERROR(__xludf.DUMMYFUNCTION("""COMPUTED_VALUE"""),2359.0)</f>
        <v>2359</v>
      </c>
      <c r="B2272" s="20" t="str">
        <f>IFERROR(__xludf.DUMMYFUNCTION("""COMPUTED_VALUE"""),"Maximum White Tiles Covered by a Carpet")</f>
        <v>Maximum White Tiles Covered by a Carpet</v>
      </c>
      <c r="C2272" s="20" t="str">
        <f>IFERROR(__xludf.DUMMYFUNCTION("""COMPUTED_VALUE"""),"maximum-white-tiles-covered-by-a-carpet")</f>
        <v>maximum-white-tiles-covered-by-a-carpet</v>
      </c>
      <c r="D2272" s="20" t="b">
        <f>IFERROR(__xludf.DUMMYFUNCTION("""COMPUTED_VALUE"""),FALSE)</f>
        <v>0</v>
      </c>
      <c r="E2272" s="20" t="str">
        <f>IFERROR(__xludf.DUMMYFUNCTION("""COMPUTED_VALUE"""),"Medium")</f>
        <v>Medium</v>
      </c>
      <c r="F2272" s="20">
        <f>IFERROR(__xludf.DUMMYFUNCTION("""COMPUTED_VALUE"""),605.0)</f>
        <v>605</v>
      </c>
      <c r="G2272" s="20">
        <f>IFERROR(__xludf.DUMMYFUNCTION("""COMPUTED_VALUE"""),37.0)</f>
        <v>37</v>
      </c>
      <c r="H2272" s="20" t="str">
        <f>IFERROR(__xludf.DUMMYFUNCTION("""COMPUTED_VALUE"""),"Algorithms")</f>
        <v>Algorithms</v>
      </c>
      <c r="I2272" s="20">
        <f>IFERROR(__xludf.DUMMYFUNCTION("""COMPUTED_VALUE"""),0.329)</f>
        <v>0.329</v>
      </c>
      <c r="J2272" s="20">
        <f>IFERROR(__xludf.DUMMYFUNCTION("""COMPUTED_VALUE"""),2271.0)</f>
        <v>2271</v>
      </c>
      <c r="K2272" s="20" t="b">
        <f>IFERROR(__xludf.DUMMYFUNCTION("""COMPUTED_VALUE"""),FALSE)</f>
        <v>0</v>
      </c>
      <c r="L2272" s="20" t="str">
        <f>IFERROR(__xludf.DUMMYFUNCTION("""COMPUTED_VALUE"""),"Array;Binary Search;Greedy;Sorting;Prefix Sum;")</f>
        <v>Array;Binary Search;Greedy;Sorting;Prefix Sum;</v>
      </c>
      <c r="M2272" s="20" t="b">
        <f>IFERROR(__xludf.DUMMYFUNCTION("""COMPUTED_VALUE"""),FALSE)</f>
        <v>0</v>
      </c>
      <c r="N2272" s="20" t="b">
        <f>IFERROR(__xludf.DUMMYFUNCTION("""COMPUTED_VALUE"""),FALSE)</f>
        <v>0</v>
      </c>
      <c r="O2272" s="20">
        <f>IFERROR(__xludf.DUMMYFUNCTION("""COMPUTED_VALUE"""),32.8708502777556)</f>
        <v>32.87085028</v>
      </c>
      <c r="P2272" s="20">
        <f>IFERROR(__xludf.DUMMYFUNCTION("""COMPUTED_VALUE"""),12366.0)</f>
        <v>12366</v>
      </c>
      <c r="Q2272" s="20">
        <f>IFERROR(__xludf.DUMMYFUNCTION("""COMPUTED_VALUE"""),37621.0)</f>
        <v>37621</v>
      </c>
    </row>
    <row r="2273">
      <c r="A2273" s="20">
        <f>IFERROR(__xludf.DUMMYFUNCTION("""COMPUTED_VALUE"""),2360.0)</f>
        <v>2360</v>
      </c>
      <c r="B2273" s="20" t="str">
        <f>IFERROR(__xludf.DUMMYFUNCTION("""COMPUTED_VALUE"""),"Substring With Largest Variance")</f>
        <v>Substring With Largest Variance</v>
      </c>
      <c r="C2273" s="20" t="str">
        <f>IFERROR(__xludf.DUMMYFUNCTION("""COMPUTED_VALUE"""),"substring-with-largest-variance")</f>
        <v>substring-with-largest-variance</v>
      </c>
      <c r="D2273" s="20" t="b">
        <f>IFERROR(__xludf.DUMMYFUNCTION("""COMPUTED_VALUE"""),FALSE)</f>
        <v>0</v>
      </c>
      <c r="E2273" s="20" t="str">
        <f>IFERROR(__xludf.DUMMYFUNCTION("""COMPUTED_VALUE"""),"Hard")</f>
        <v>Hard</v>
      </c>
      <c r="F2273" s="20">
        <f>IFERROR(__xludf.DUMMYFUNCTION("""COMPUTED_VALUE"""),633.0)</f>
        <v>633</v>
      </c>
      <c r="G2273" s="20">
        <f>IFERROR(__xludf.DUMMYFUNCTION("""COMPUTED_VALUE"""),77.0)</f>
        <v>77</v>
      </c>
      <c r="H2273" s="20" t="str">
        <f>IFERROR(__xludf.DUMMYFUNCTION("""COMPUTED_VALUE"""),"Algorithms")</f>
        <v>Algorithms</v>
      </c>
      <c r="I2273" s="20">
        <f>IFERROR(__xludf.DUMMYFUNCTION("""COMPUTED_VALUE"""),0.374)</f>
        <v>0.374</v>
      </c>
      <c r="J2273" s="20">
        <f>IFERROR(__xludf.DUMMYFUNCTION("""COMPUTED_VALUE"""),2272.0)</f>
        <v>2272</v>
      </c>
      <c r="K2273" s="20" t="b">
        <f>IFERROR(__xludf.DUMMYFUNCTION("""COMPUTED_VALUE"""),FALSE)</f>
        <v>0</v>
      </c>
      <c r="L2273" s="20" t="str">
        <f>IFERROR(__xludf.DUMMYFUNCTION("""COMPUTED_VALUE"""),"Array;Dynamic Programming;")</f>
        <v>Array;Dynamic Programming;</v>
      </c>
      <c r="M2273" s="20" t="b">
        <f>IFERROR(__xludf.DUMMYFUNCTION("""COMPUTED_VALUE"""),FALSE)</f>
        <v>0</v>
      </c>
      <c r="N2273" s="20" t="b">
        <f>IFERROR(__xludf.DUMMYFUNCTION("""COMPUTED_VALUE"""),FALSE)</f>
        <v>0</v>
      </c>
      <c r="O2273" s="20">
        <f>IFERROR(__xludf.DUMMYFUNCTION("""COMPUTED_VALUE"""),37.3549443917579)</f>
        <v>37.35494439</v>
      </c>
      <c r="P2273" s="20">
        <f>IFERROR(__xludf.DUMMYFUNCTION("""COMPUTED_VALUE"""),21664.0)</f>
        <v>21664</v>
      </c>
      <c r="Q2273" s="20">
        <f>IFERROR(__xludf.DUMMYFUNCTION("""COMPUTED_VALUE"""),57994.0)</f>
        <v>57994</v>
      </c>
    </row>
    <row r="2274">
      <c r="A2274" s="20">
        <f>IFERROR(__xludf.DUMMYFUNCTION("""COMPUTED_VALUE"""),1353.0)</f>
        <v>1353</v>
      </c>
      <c r="B2274" s="20" t="str">
        <f>IFERROR(__xludf.DUMMYFUNCTION("""COMPUTED_VALUE"""),"Find Resultant Array After Removing Anagrams")</f>
        <v>Find Resultant Array After Removing Anagrams</v>
      </c>
      <c r="C2274" s="20" t="str">
        <f>IFERROR(__xludf.DUMMYFUNCTION("""COMPUTED_VALUE"""),"find-resultant-array-after-removing-anagrams")</f>
        <v>find-resultant-array-after-removing-anagrams</v>
      </c>
      <c r="D2274" s="20" t="b">
        <f>IFERROR(__xludf.DUMMYFUNCTION("""COMPUTED_VALUE"""),FALSE)</f>
        <v>0</v>
      </c>
      <c r="E2274" s="20" t="str">
        <f>IFERROR(__xludf.DUMMYFUNCTION("""COMPUTED_VALUE"""),"Easy")</f>
        <v>Easy</v>
      </c>
      <c r="F2274" s="20">
        <f>IFERROR(__xludf.DUMMYFUNCTION("""COMPUTED_VALUE"""),405.0)</f>
        <v>405</v>
      </c>
      <c r="G2274" s="20">
        <f>IFERROR(__xludf.DUMMYFUNCTION("""COMPUTED_VALUE"""),96.0)</f>
        <v>96</v>
      </c>
      <c r="H2274" s="20" t="str">
        <f>IFERROR(__xludf.DUMMYFUNCTION("""COMPUTED_VALUE"""),"Algorithms")</f>
        <v>Algorithms</v>
      </c>
      <c r="I2274" s="20">
        <f>IFERROR(__xludf.DUMMYFUNCTION("""COMPUTED_VALUE"""),0.583)</f>
        <v>0.583</v>
      </c>
      <c r="J2274" s="20">
        <f>IFERROR(__xludf.DUMMYFUNCTION("""COMPUTED_VALUE"""),2273.0)</f>
        <v>2273</v>
      </c>
      <c r="K2274" s="20" t="b">
        <f>IFERROR(__xludf.DUMMYFUNCTION("""COMPUTED_VALUE"""),FALSE)</f>
        <v>0</v>
      </c>
      <c r="L2274" s="20" t="str">
        <f>IFERROR(__xludf.DUMMYFUNCTION("""COMPUTED_VALUE"""),"Array;Hash Table;String;Sorting;")</f>
        <v>Array;Hash Table;String;Sorting;</v>
      </c>
      <c r="M2274" s="20" t="b">
        <f>IFERROR(__xludf.DUMMYFUNCTION("""COMPUTED_VALUE"""),FALSE)</f>
        <v>0</v>
      </c>
      <c r="N2274" s="20" t="b">
        <f>IFERROR(__xludf.DUMMYFUNCTION("""COMPUTED_VALUE"""),FALSE)</f>
        <v>0</v>
      </c>
      <c r="O2274" s="20">
        <f>IFERROR(__xludf.DUMMYFUNCTION("""COMPUTED_VALUE"""),58.2600311252452)</f>
        <v>58.26003113</v>
      </c>
      <c r="P2274" s="20">
        <f>IFERROR(__xludf.DUMMYFUNCTION("""COMPUTED_VALUE"""),34438.0)</f>
        <v>34438</v>
      </c>
      <c r="Q2274" s="20">
        <f>IFERROR(__xludf.DUMMYFUNCTION("""COMPUTED_VALUE"""),59113.0)</f>
        <v>59113</v>
      </c>
    </row>
    <row r="2275">
      <c r="A2275" s="20">
        <f>IFERROR(__xludf.DUMMYFUNCTION("""COMPUTED_VALUE"""),2355.0)</f>
        <v>2355</v>
      </c>
      <c r="B2275" s="20" t="str">
        <f>IFERROR(__xludf.DUMMYFUNCTION("""COMPUTED_VALUE"""),"Maximum Consecutive Floors Without Special Floors")</f>
        <v>Maximum Consecutive Floors Without Special Floors</v>
      </c>
      <c r="C2275" s="20" t="str">
        <f>IFERROR(__xludf.DUMMYFUNCTION("""COMPUTED_VALUE"""),"maximum-consecutive-floors-without-special-floors")</f>
        <v>maximum-consecutive-floors-without-special-floors</v>
      </c>
      <c r="D2275" s="20" t="b">
        <f>IFERROR(__xludf.DUMMYFUNCTION("""COMPUTED_VALUE"""),FALSE)</f>
        <v>0</v>
      </c>
      <c r="E2275" s="20" t="str">
        <f>IFERROR(__xludf.DUMMYFUNCTION("""COMPUTED_VALUE"""),"Medium")</f>
        <v>Medium</v>
      </c>
      <c r="F2275" s="20">
        <f>IFERROR(__xludf.DUMMYFUNCTION("""COMPUTED_VALUE"""),277.0)</f>
        <v>277</v>
      </c>
      <c r="G2275" s="20">
        <f>IFERROR(__xludf.DUMMYFUNCTION("""COMPUTED_VALUE"""),27.0)</f>
        <v>27</v>
      </c>
      <c r="H2275" s="20" t="str">
        <f>IFERROR(__xludf.DUMMYFUNCTION("""COMPUTED_VALUE"""),"Algorithms")</f>
        <v>Algorithms</v>
      </c>
      <c r="I2275" s="20">
        <f>IFERROR(__xludf.DUMMYFUNCTION("""COMPUTED_VALUE"""),0.522)</f>
        <v>0.522</v>
      </c>
      <c r="J2275" s="20">
        <f>IFERROR(__xludf.DUMMYFUNCTION("""COMPUTED_VALUE"""),2274.0)</f>
        <v>2274</v>
      </c>
      <c r="K2275" s="20" t="b">
        <f>IFERROR(__xludf.DUMMYFUNCTION("""COMPUTED_VALUE"""),FALSE)</f>
        <v>0</v>
      </c>
      <c r="L2275" s="20" t="str">
        <f>IFERROR(__xludf.DUMMYFUNCTION("""COMPUTED_VALUE"""),"Array;Sorting;")</f>
        <v>Array;Sorting;</v>
      </c>
      <c r="M2275" s="20" t="b">
        <f>IFERROR(__xludf.DUMMYFUNCTION("""COMPUTED_VALUE"""),FALSE)</f>
        <v>0</v>
      </c>
      <c r="N2275" s="20" t="b">
        <f>IFERROR(__xludf.DUMMYFUNCTION("""COMPUTED_VALUE"""),FALSE)</f>
        <v>0</v>
      </c>
      <c r="O2275" s="20">
        <f>IFERROR(__xludf.DUMMYFUNCTION("""COMPUTED_VALUE"""),52.188589330627)</f>
        <v>52.18858933</v>
      </c>
      <c r="P2275" s="20">
        <f>IFERROR(__xludf.DUMMYFUNCTION("""COMPUTED_VALUE"""),23655.0)</f>
        <v>23655</v>
      </c>
      <c r="Q2275" s="20">
        <f>IFERROR(__xludf.DUMMYFUNCTION("""COMPUTED_VALUE"""),45326.0)</f>
        <v>45326</v>
      </c>
    </row>
    <row r="2276">
      <c r="A2276" s="20">
        <f>IFERROR(__xludf.DUMMYFUNCTION("""COMPUTED_VALUE"""),2356.0)</f>
        <v>2356</v>
      </c>
      <c r="B2276" s="20" t="str">
        <f>IFERROR(__xludf.DUMMYFUNCTION("""COMPUTED_VALUE"""),"Largest Combination With Bitwise AND Greater Than Zero")</f>
        <v>Largest Combination With Bitwise AND Greater Than Zero</v>
      </c>
      <c r="C2276" s="20" t="str">
        <f>IFERROR(__xludf.DUMMYFUNCTION("""COMPUTED_VALUE"""),"largest-combination-with-bitwise-and-greater-than-zero")</f>
        <v>largest-combination-with-bitwise-and-greater-than-zero</v>
      </c>
      <c r="D2276" s="20" t="b">
        <f>IFERROR(__xludf.DUMMYFUNCTION("""COMPUTED_VALUE"""),FALSE)</f>
        <v>0</v>
      </c>
      <c r="E2276" s="20" t="str">
        <f>IFERROR(__xludf.DUMMYFUNCTION("""COMPUTED_VALUE"""),"Medium")</f>
        <v>Medium</v>
      </c>
      <c r="F2276" s="20">
        <f>IFERROR(__xludf.DUMMYFUNCTION("""COMPUTED_VALUE"""),398.0)</f>
        <v>398</v>
      </c>
      <c r="G2276" s="20">
        <f>IFERROR(__xludf.DUMMYFUNCTION("""COMPUTED_VALUE"""),11.0)</f>
        <v>11</v>
      </c>
      <c r="H2276" s="20" t="str">
        <f>IFERROR(__xludf.DUMMYFUNCTION("""COMPUTED_VALUE"""),"Algorithms")</f>
        <v>Algorithms</v>
      </c>
      <c r="I2276" s="20">
        <f>IFERROR(__xludf.DUMMYFUNCTION("""COMPUTED_VALUE"""),0.724)</f>
        <v>0.724</v>
      </c>
      <c r="J2276" s="20">
        <f>IFERROR(__xludf.DUMMYFUNCTION("""COMPUTED_VALUE"""),2275.0)</f>
        <v>2275</v>
      </c>
      <c r="K2276" s="20" t="b">
        <f>IFERROR(__xludf.DUMMYFUNCTION("""COMPUTED_VALUE"""),FALSE)</f>
        <v>0</v>
      </c>
      <c r="L2276" s="20" t="str">
        <f>IFERROR(__xludf.DUMMYFUNCTION("""COMPUTED_VALUE"""),"Array;Hash Table;Bit Manipulation;Counting;")</f>
        <v>Array;Hash Table;Bit Manipulation;Counting;</v>
      </c>
      <c r="M2276" s="20" t="b">
        <f>IFERROR(__xludf.DUMMYFUNCTION("""COMPUTED_VALUE"""),FALSE)</f>
        <v>0</v>
      </c>
      <c r="N2276" s="20" t="b">
        <f>IFERROR(__xludf.DUMMYFUNCTION("""COMPUTED_VALUE"""),FALSE)</f>
        <v>0</v>
      </c>
      <c r="O2276" s="20">
        <f>IFERROR(__xludf.DUMMYFUNCTION("""COMPUTED_VALUE"""),72.4120795107033)</f>
        <v>72.41207951</v>
      </c>
      <c r="P2276" s="20">
        <f>IFERROR(__xludf.DUMMYFUNCTION("""COMPUTED_VALUE"""),18943.0)</f>
        <v>18943</v>
      </c>
      <c r="Q2276" s="20">
        <f>IFERROR(__xludf.DUMMYFUNCTION("""COMPUTED_VALUE"""),26160.0)</f>
        <v>26160</v>
      </c>
    </row>
    <row r="2277">
      <c r="A2277" s="20">
        <f>IFERROR(__xludf.DUMMYFUNCTION("""COMPUTED_VALUE"""),2357.0)</f>
        <v>2357</v>
      </c>
      <c r="B2277" s="20" t="str">
        <f>IFERROR(__xludf.DUMMYFUNCTION("""COMPUTED_VALUE"""),"Count Integers in Intervals")</f>
        <v>Count Integers in Intervals</v>
      </c>
      <c r="C2277" s="20" t="str">
        <f>IFERROR(__xludf.DUMMYFUNCTION("""COMPUTED_VALUE"""),"count-integers-in-intervals")</f>
        <v>count-integers-in-intervals</v>
      </c>
      <c r="D2277" s="20" t="b">
        <f>IFERROR(__xludf.DUMMYFUNCTION("""COMPUTED_VALUE"""),FALSE)</f>
        <v>0</v>
      </c>
      <c r="E2277" s="20" t="str">
        <f>IFERROR(__xludf.DUMMYFUNCTION("""COMPUTED_VALUE"""),"Hard")</f>
        <v>Hard</v>
      </c>
      <c r="F2277" s="20">
        <f>IFERROR(__xludf.DUMMYFUNCTION("""COMPUTED_VALUE"""),401.0)</f>
        <v>401</v>
      </c>
      <c r="G2277" s="20">
        <f>IFERROR(__xludf.DUMMYFUNCTION("""COMPUTED_VALUE"""),50.0)</f>
        <v>50</v>
      </c>
      <c r="H2277" s="20" t="str">
        <f>IFERROR(__xludf.DUMMYFUNCTION("""COMPUTED_VALUE"""),"Algorithms")</f>
        <v>Algorithms</v>
      </c>
      <c r="I2277" s="20">
        <f>IFERROR(__xludf.DUMMYFUNCTION("""COMPUTED_VALUE"""),0.343)</f>
        <v>0.343</v>
      </c>
      <c r="J2277" s="20">
        <f>IFERROR(__xludf.DUMMYFUNCTION("""COMPUTED_VALUE"""),2276.0)</f>
        <v>2276</v>
      </c>
      <c r="K2277" s="20" t="b">
        <f>IFERROR(__xludf.DUMMYFUNCTION("""COMPUTED_VALUE"""),FALSE)</f>
        <v>0</v>
      </c>
      <c r="L2277" s="20" t="str">
        <f>IFERROR(__xludf.DUMMYFUNCTION("""COMPUTED_VALUE"""),"Design;Segment Tree;Ordered Set;")</f>
        <v>Design;Segment Tree;Ordered Set;</v>
      </c>
      <c r="M2277" s="20" t="b">
        <f>IFERROR(__xludf.DUMMYFUNCTION("""COMPUTED_VALUE"""),FALSE)</f>
        <v>0</v>
      </c>
      <c r="N2277" s="20" t="b">
        <f>IFERROR(__xludf.DUMMYFUNCTION("""COMPUTED_VALUE"""),FALSE)</f>
        <v>0</v>
      </c>
      <c r="O2277" s="20">
        <f>IFERROR(__xludf.DUMMYFUNCTION("""COMPUTED_VALUE"""),34.3194403963858)</f>
        <v>34.3194404</v>
      </c>
      <c r="P2277" s="20">
        <f>IFERROR(__xludf.DUMMYFUNCTION("""COMPUTED_VALUE"""),11775.0)</f>
        <v>11775</v>
      </c>
      <c r="Q2277" s="20">
        <f>IFERROR(__xludf.DUMMYFUNCTION("""COMPUTED_VALUE"""),34310.0)</f>
        <v>34310</v>
      </c>
    </row>
    <row r="2278">
      <c r="A2278" s="20">
        <f>IFERROR(__xludf.DUMMYFUNCTION("""COMPUTED_VALUE"""),2420.0)</f>
        <v>2420</v>
      </c>
      <c r="B2278" s="20" t="str">
        <f>IFERROR(__xludf.DUMMYFUNCTION("""COMPUTED_VALUE"""),"Closest Node to Path in Tree")</f>
        <v>Closest Node to Path in Tree</v>
      </c>
      <c r="C2278" s="20" t="str">
        <f>IFERROR(__xludf.DUMMYFUNCTION("""COMPUTED_VALUE"""),"closest-node-to-path-in-tree")</f>
        <v>closest-node-to-path-in-tree</v>
      </c>
      <c r="D2278" s="20" t="b">
        <f>IFERROR(__xludf.DUMMYFUNCTION("""COMPUTED_VALUE"""),TRUE)</f>
        <v>1</v>
      </c>
      <c r="E2278" s="20" t="str">
        <f>IFERROR(__xludf.DUMMYFUNCTION("""COMPUTED_VALUE"""),"Hard")</f>
        <v>Hard</v>
      </c>
      <c r="F2278" s="20">
        <f>IFERROR(__xludf.DUMMYFUNCTION("""COMPUTED_VALUE"""),76.0)</f>
        <v>76</v>
      </c>
      <c r="G2278" s="20">
        <f>IFERROR(__xludf.DUMMYFUNCTION("""COMPUTED_VALUE"""),1.0)</f>
        <v>1</v>
      </c>
      <c r="H2278" s="20" t="str">
        <f>IFERROR(__xludf.DUMMYFUNCTION("""COMPUTED_VALUE"""),"Algorithms")</f>
        <v>Algorithms</v>
      </c>
      <c r="I2278" s="20">
        <f>IFERROR(__xludf.DUMMYFUNCTION("""COMPUTED_VALUE"""),0.636)</f>
        <v>0.636</v>
      </c>
      <c r="J2278" s="20">
        <f>IFERROR(__xludf.DUMMYFUNCTION("""COMPUTED_VALUE"""),2277.0)</f>
        <v>2277</v>
      </c>
      <c r="K2278" s="20" t="b">
        <f>IFERROR(__xludf.DUMMYFUNCTION("""COMPUTED_VALUE"""),TRUE)</f>
        <v>1</v>
      </c>
      <c r="L2278" s="20" t="str">
        <f>IFERROR(__xludf.DUMMYFUNCTION("""COMPUTED_VALUE"""),"Array;Tree;Depth-First Search;Breadth-First Search;")</f>
        <v>Array;Tree;Depth-First Search;Breadth-First Search;</v>
      </c>
      <c r="M2278" s="20" t="b">
        <f>IFERROR(__xludf.DUMMYFUNCTION("""COMPUTED_VALUE"""),FALSE)</f>
        <v>0</v>
      </c>
      <c r="N2278" s="20" t="b">
        <f>IFERROR(__xludf.DUMMYFUNCTION("""COMPUTED_VALUE"""),FALSE)</f>
        <v>0</v>
      </c>
      <c r="O2278" s="20">
        <f>IFERROR(__xludf.DUMMYFUNCTION("""COMPUTED_VALUE"""),63.5555555555555)</f>
        <v>63.55555556</v>
      </c>
      <c r="P2278" s="20">
        <f>IFERROR(__xludf.DUMMYFUNCTION("""COMPUTED_VALUE"""),2288.0)</f>
        <v>2288</v>
      </c>
      <c r="Q2278" s="20">
        <f>IFERROR(__xludf.DUMMYFUNCTION("""COMPUTED_VALUE"""),3600.0)</f>
        <v>3600</v>
      </c>
    </row>
    <row r="2279">
      <c r="A2279" s="20">
        <f>IFERROR(__xludf.DUMMYFUNCTION("""COMPUTED_VALUE"""),2365.0)</f>
        <v>2365</v>
      </c>
      <c r="B2279" s="20" t="str">
        <f>IFERROR(__xludf.DUMMYFUNCTION("""COMPUTED_VALUE"""),"Percentage of Letter in String")</f>
        <v>Percentage of Letter in String</v>
      </c>
      <c r="C2279" s="20" t="str">
        <f>IFERROR(__xludf.DUMMYFUNCTION("""COMPUTED_VALUE"""),"percentage-of-letter-in-string")</f>
        <v>percentage-of-letter-in-string</v>
      </c>
      <c r="D2279" s="20" t="b">
        <f>IFERROR(__xludf.DUMMYFUNCTION("""COMPUTED_VALUE"""),FALSE)</f>
        <v>0</v>
      </c>
      <c r="E2279" s="20" t="str">
        <f>IFERROR(__xludf.DUMMYFUNCTION("""COMPUTED_VALUE"""),"Easy")</f>
        <v>Easy</v>
      </c>
      <c r="F2279" s="20">
        <f>IFERROR(__xludf.DUMMYFUNCTION("""COMPUTED_VALUE"""),297.0)</f>
        <v>297</v>
      </c>
      <c r="G2279" s="20">
        <f>IFERROR(__xludf.DUMMYFUNCTION("""COMPUTED_VALUE"""),34.0)</f>
        <v>34</v>
      </c>
      <c r="H2279" s="20" t="str">
        <f>IFERROR(__xludf.DUMMYFUNCTION("""COMPUTED_VALUE"""),"Algorithms")</f>
        <v>Algorithms</v>
      </c>
      <c r="I2279" s="20">
        <f>IFERROR(__xludf.DUMMYFUNCTION("""COMPUTED_VALUE"""),0.743)</f>
        <v>0.743</v>
      </c>
      <c r="J2279" s="20">
        <f>IFERROR(__xludf.DUMMYFUNCTION("""COMPUTED_VALUE"""),2278.0)</f>
        <v>2278</v>
      </c>
      <c r="K2279" s="20" t="b">
        <f>IFERROR(__xludf.DUMMYFUNCTION("""COMPUTED_VALUE"""),FALSE)</f>
        <v>0</v>
      </c>
      <c r="L2279" s="20" t="str">
        <f>IFERROR(__xludf.DUMMYFUNCTION("""COMPUTED_VALUE"""),"String;")</f>
        <v>String;</v>
      </c>
      <c r="M2279" s="20" t="b">
        <f>IFERROR(__xludf.DUMMYFUNCTION("""COMPUTED_VALUE"""),FALSE)</f>
        <v>0</v>
      </c>
      <c r="N2279" s="20" t="b">
        <f>IFERROR(__xludf.DUMMYFUNCTION("""COMPUTED_VALUE"""),FALSE)</f>
        <v>0</v>
      </c>
      <c r="O2279" s="20">
        <f>IFERROR(__xludf.DUMMYFUNCTION("""COMPUTED_VALUE"""),74.2565984269132)</f>
        <v>74.25659843</v>
      </c>
      <c r="P2279" s="20">
        <f>IFERROR(__xludf.DUMMYFUNCTION("""COMPUTED_VALUE"""),40878.0)</f>
        <v>40878</v>
      </c>
      <c r="Q2279" s="20">
        <f>IFERROR(__xludf.DUMMYFUNCTION("""COMPUTED_VALUE"""),55050.0)</f>
        <v>55050</v>
      </c>
    </row>
    <row r="2280">
      <c r="A2280" s="20">
        <f>IFERROR(__xludf.DUMMYFUNCTION("""COMPUTED_VALUE"""),2366.0)</f>
        <v>2366</v>
      </c>
      <c r="B2280" s="20" t="str">
        <f>IFERROR(__xludf.DUMMYFUNCTION("""COMPUTED_VALUE"""),"Maximum Bags With Full Capacity of Rocks")</f>
        <v>Maximum Bags With Full Capacity of Rocks</v>
      </c>
      <c r="C2280" s="20" t="str">
        <f>IFERROR(__xludf.DUMMYFUNCTION("""COMPUTED_VALUE"""),"maximum-bags-with-full-capacity-of-rocks")</f>
        <v>maximum-bags-with-full-capacity-of-rocks</v>
      </c>
      <c r="D2280" s="20" t="b">
        <f>IFERROR(__xludf.DUMMYFUNCTION("""COMPUTED_VALUE"""),FALSE)</f>
        <v>0</v>
      </c>
      <c r="E2280" s="20" t="str">
        <f>IFERROR(__xludf.DUMMYFUNCTION("""COMPUTED_VALUE"""),"Medium")</f>
        <v>Medium</v>
      </c>
      <c r="F2280" s="20">
        <f>IFERROR(__xludf.DUMMYFUNCTION("""COMPUTED_VALUE"""),429.0)</f>
        <v>429</v>
      </c>
      <c r="G2280" s="20">
        <f>IFERROR(__xludf.DUMMYFUNCTION("""COMPUTED_VALUE"""),18.0)</f>
        <v>18</v>
      </c>
      <c r="H2280" s="20" t="str">
        <f>IFERROR(__xludf.DUMMYFUNCTION("""COMPUTED_VALUE"""),"Algorithms")</f>
        <v>Algorithms</v>
      </c>
      <c r="I2280" s="20">
        <f>IFERROR(__xludf.DUMMYFUNCTION("""COMPUTED_VALUE"""),0.623)</f>
        <v>0.623</v>
      </c>
      <c r="J2280" s="20">
        <f>IFERROR(__xludf.DUMMYFUNCTION("""COMPUTED_VALUE"""),2279.0)</f>
        <v>2279</v>
      </c>
      <c r="K2280" s="20" t="b">
        <f>IFERROR(__xludf.DUMMYFUNCTION("""COMPUTED_VALUE"""),FALSE)</f>
        <v>0</v>
      </c>
      <c r="L2280" s="20" t="str">
        <f>IFERROR(__xludf.DUMMYFUNCTION("""COMPUTED_VALUE"""),"Array;Greedy;Sorting;")</f>
        <v>Array;Greedy;Sorting;</v>
      </c>
      <c r="M2280" s="20" t="b">
        <f>IFERROR(__xludf.DUMMYFUNCTION("""COMPUTED_VALUE"""),TRUE)</f>
        <v>1</v>
      </c>
      <c r="N2280" s="20" t="b">
        <f>IFERROR(__xludf.DUMMYFUNCTION("""COMPUTED_VALUE"""),FALSE)</f>
        <v>0</v>
      </c>
      <c r="O2280" s="20">
        <f>IFERROR(__xludf.DUMMYFUNCTION("""COMPUTED_VALUE"""),62.3053406922587)</f>
        <v>62.30534069</v>
      </c>
      <c r="P2280" s="20">
        <f>IFERROR(__xludf.DUMMYFUNCTION("""COMPUTED_VALUE"""),30366.0)</f>
        <v>30366</v>
      </c>
      <c r="Q2280" s="20">
        <f>IFERROR(__xludf.DUMMYFUNCTION("""COMPUTED_VALUE"""),48734.0)</f>
        <v>48734</v>
      </c>
    </row>
    <row r="2281">
      <c r="A2281" s="20">
        <f>IFERROR(__xludf.DUMMYFUNCTION("""COMPUTED_VALUE"""),2367.0)</f>
        <v>2367</v>
      </c>
      <c r="B2281" s="20" t="str">
        <f>IFERROR(__xludf.DUMMYFUNCTION("""COMPUTED_VALUE"""),"Minimum Lines to Represent a Line Chart")</f>
        <v>Minimum Lines to Represent a Line Chart</v>
      </c>
      <c r="C2281" s="20" t="str">
        <f>IFERROR(__xludf.DUMMYFUNCTION("""COMPUTED_VALUE"""),"minimum-lines-to-represent-a-line-chart")</f>
        <v>minimum-lines-to-represent-a-line-chart</v>
      </c>
      <c r="D2281" s="20" t="b">
        <f>IFERROR(__xludf.DUMMYFUNCTION("""COMPUTED_VALUE"""),FALSE)</f>
        <v>0</v>
      </c>
      <c r="E2281" s="20" t="str">
        <f>IFERROR(__xludf.DUMMYFUNCTION("""COMPUTED_VALUE"""),"Medium")</f>
        <v>Medium</v>
      </c>
      <c r="F2281" s="20">
        <f>IFERROR(__xludf.DUMMYFUNCTION("""COMPUTED_VALUE"""),256.0)</f>
        <v>256</v>
      </c>
      <c r="G2281" s="20">
        <f>IFERROR(__xludf.DUMMYFUNCTION("""COMPUTED_VALUE"""),432.0)</f>
        <v>432</v>
      </c>
      <c r="H2281" s="20" t="str">
        <f>IFERROR(__xludf.DUMMYFUNCTION("""COMPUTED_VALUE"""),"Algorithms")</f>
        <v>Algorithms</v>
      </c>
      <c r="I2281" s="20">
        <f>IFERROR(__xludf.DUMMYFUNCTION("""COMPUTED_VALUE"""),0.239)</f>
        <v>0.239</v>
      </c>
      <c r="J2281" s="20">
        <f>IFERROR(__xludf.DUMMYFUNCTION("""COMPUTED_VALUE"""),2280.0)</f>
        <v>2280</v>
      </c>
      <c r="K2281" s="20" t="b">
        <f>IFERROR(__xludf.DUMMYFUNCTION("""COMPUTED_VALUE"""),FALSE)</f>
        <v>0</v>
      </c>
      <c r="L2281" s="20" t="str">
        <f>IFERROR(__xludf.DUMMYFUNCTION("""COMPUTED_VALUE"""),"Array;Math;Geometry;Sorting;Number Theory;")</f>
        <v>Array;Math;Geometry;Sorting;Number Theory;</v>
      </c>
      <c r="M2281" s="20" t="b">
        <f>IFERROR(__xludf.DUMMYFUNCTION("""COMPUTED_VALUE"""),FALSE)</f>
        <v>0</v>
      </c>
      <c r="N2281" s="20" t="b">
        <f>IFERROR(__xludf.DUMMYFUNCTION("""COMPUTED_VALUE"""),FALSE)</f>
        <v>0</v>
      </c>
      <c r="O2281" s="20">
        <f>IFERROR(__xludf.DUMMYFUNCTION("""COMPUTED_VALUE"""),23.9034317347643)</f>
        <v>23.90343173</v>
      </c>
      <c r="P2281" s="20">
        <f>IFERROR(__xludf.DUMMYFUNCTION("""COMPUTED_VALUE"""),19733.0)</f>
        <v>19733</v>
      </c>
      <c r="Q2281" s="20">
        <f>IFERROR(__xludf.DUMMYFUNCTION("""COMPUTED_VALUE"""),82553.0)</f>
        <v>82553</v>
      </c>
    </row>
    <row r="2282">
      <c r="A2282" s="20">
        <f>IFERROR(__xludf.DUMMYFUNCTION("""COMPUTED_VALUE"""),2368.0)</f>
        <v>2368</v>
      </c>
      <c r="B2282" s="20" t="str">
        <f>IFERROR(__xludf.DUMMYFUNCTION("""COMPUTED_VALUE"""),"Sum of Total Strength of Wizards")</f>
        <v>Sum of Total Strength of Wizards</v>
      </c>
      <c r="C2282" s="20" t="str">
        <f>IFERROR(__xludf.DUMMYFUNCTION("""COMPUTED_VALUE"""),"sum-of-total-strength-of-wizards")</f>
        <v>sum-of-total-strength-of-wizards</v>
      </c>
      <c r="D2282" s="20" t="b">
        <f>IFERROR(__xludf.DUMMYFUNCTION("""COMPUTED_VALUE"""),FALSE)</f>
        <v>0</v>
      </c>
      <c r="E2282" s="20" t="str">
        <f>IFERROR(__xludf.DUMMYFUNCTION("""COMPUTED_VALUE"""),"Hard")</f>
        <v>Hard</v>
      </c>
      <c r="F2282" s="20">
        <f>IFERROR(__xludf.DUMMYFUNCTION("""COMPUTED_VALUE"""),849.0)</f>
        <v>849</v>
      </c>
      <c r="G2282" s="20">
        <f>IFERROR(__xludf.DUMMYFUNCTION("""COMPUTED_VALUE"""),75.0)</f>
        <v>75</v>
      </c>
      <c r="H2282" s="20" t="str">
        <f>IFERROR(__xludf.DUMMYFUNCTION("""COMPUTED_VALUE"""),"Algorithms")</f>
        <v>Algorithms</v>
      </c>
      <c r="I2282" s="20">
        <f>IFERROR(__xludf.DUMMYFUNCTION("""COMPUTED_VALUE"""),0.279)</f>
        <v>0.279</v>
      </c>
      <c r="J2282" s="20">
        <f>IFERROR(__xludf.DUMMYFUNCTION("""COMPUTED_VALUE"""),2281.0)</f>
        <v>2281</v>
      </c>
      <c r="K2282" s="20" t="b">
        <f>IFERROR(__xludf.DUMMYFUNCTION("""COMPUTED_VALUE"""),FALSE)</f>
        <v>0</v>
      </c>
      <c r="L2282" s="20" t="str">
        <f>IFERROR(__xludf.DUMMYFUNCTION("""COMPUTED_VALUE"""),"Array;Stack;Monotonic Stack;Prefix Sum;")</f>
        <v>Array;Stack;Monotonic Stack;Prefix Sum;</v>
      </c>
      <c r="M2282" s="20" t="b">
        <f>IFERROR(__xludf.DUMMYFUNCTION("""COMPUTED_VALUE"""),FALSE)</f>
        <v>0</v>
      </c>
      <c r="N2282" s="20" t="b">
        <f>IFERROR(__xludf.DUMMYFUNCTION("""COMPUTED_VALUE"""),FALSE)</f>
        <v>0</v>
      </c>
      <c r="O2282" s="20">
        <f>IFERROR(__xludf.DUMMYFUNCTION("""COMPUTED_VALUE"""),27.8583177980041)</f>
        <v>27.8583178</v>
      </c>
      <c r="P2282" s="20">
        <f>IFERROR(__xludf.DUMMYFUNCTION("""COMPUTED_VALUE"""),12701.0)</f>
        <v>12701</v>
      </c>
      <c r="Q2282" s="20">
        <f>IFERROR(__xludf.DUMMYFUNCTION("""COMPUTED_VALUE"""),45592.0)</f>
        <v>45592</v>
      </c>
    </row>
    <row r="2283">
      <c r="A2283" s="20">
        <f>IFERROR(__xludf.DUMMYFUNCTION("""COMPUTED_VALUE"""),2425.0)</f>
        <v>2425</v>
      </c>
      <c r="B2283" s="20" t="str">
        <f>IFERROR(__xludf.DUMMYFUNCTION("""COMPUTED_VALUE"""),"Number of People That Can Be Seen in a Grid")</f>
        <v>Number of People That Can Be Seen in a Grid</v>
      </c>
      <c r="C2283" s="20" t="str">
        <f>IFERROR(__xludf.DUMMYFUNCTION("""COMPUTED_VALUE"""),"number-of-people-that-can-be-seen-in-a-grid")</f>
        <v>number-of-people-that-can-be-seen-in-a-grid</v>
      </c>
      <c r="D2283" s="20" t="b">
        <f>IFERROR(__xludf.DUMMYFUNCTION("""COMPUTED_VALUE"""),TRUE)</f>
        <v>1</v>
      </c>
      <c r="E2283" s="20" t="str">
        <f>IFERROR(__xludf.DUMMYFUNCTION("""COMPUTED_VALUE"""),"Medium")</f>
        <v>Medium</v>
      </c>
      <c r="F2283" s="20">
        <f>IFERROR(__xludf.DUMMYFUNCTION("""COMPUTED_VALUE"""),39.0)</f>
        <v>39</v>
      </c>
      <c r="G2283" s="20">
        <f>IFERROR(__xludf.DUMMYFUNCTION("""COMPUTED_VALUE"""),15.0)</f>
        <v>15</v>
      </c>
      <c r="H2283" s="20" t="str">
        <f>IFERROR(__xludf.DUMMYFUNCTION("""COMPUTED_VALUE"""),"Algorithms")</f>
        <v>Algorithms</v>
      </c>
      <c r="I2283" s="20">
        <f>IFERROR(__xludf.DUMMYFUNCTION("""COMPUTED_VALUE"""),0.496)</f>
        <v>0.496</v>
      </c>
      <c r="J2283" s="20">
        <f>IFERROR(__xludf.DUMMYFUNCTION("""COMPUTED_VALUE"""),2282.0)</f>
        <v>2282</v>
      </c>
      <c r="K2283" s="20" t="b">
        <f>IFERROR(__xludf.DUMMYFUNCTION("""COMPUTED_VALUE"""),TRUE)</f>
        <v>1</v>
      </c>
      <c r="L2283" s="20" t="str">
        <f>IFERROR(__xludf.DUMMYFUNCTION("""COMPUTED_VALUE"""),"Array;Stack;Matrix;Monotonic Stack;")</f>
        <v>Array;Stack;Matrix;Monotonic Stack;</v>
      </c>
      <c r="M2283" s="20" t="b">
        <f>IFERROR(__xludf.DUMMYFUNCTION("""COMPUTED_VALUE"""),FALSE)</f>
        <v>0</v>
      </c>
      <c r="N2283" s="20" t="b">
        <f>IFERROR(__xludf.DUMMYFUNCTION("""COMPUTED_VALUE"""),FALSE)</f>
        <v>0</v>
      </c>
      <c r="O2283" s="20">
        <f>IFERROR(__xludf.DUMMYFUNCTION("""COMPUTED_VALUE"""),49.6468213925328)</f>
        <v>49.64682139</v>
      </c>
      <c r="P2283" s="20">
        <f>IFERROR(__xludf.DUMMYFUNCTION("""COMPUTED_VALUE"""),984.0)</f>
        <v>984</v>
      </c>
      <c r="Q2283" s="20">
        <f>IFERROR(__xludf.DUMMYFUNCTION("""COMPUTED_VALUE"""),1982.0)</f>
        <v>1982</v>
      </c>
    </row>
    <row r="2284">
      <c r="A2284" s="20">
        <f>IFERROR(__xludf.DUMMYFUNCTION("""COMPUTED_VALUE"""),2377.0)</f>
        <v>2377</v>
      </c>
      <c r="B2284" s="20" t="str">
        <f>IFERROR(__xludf.DUMMYFUNCTION("""COMPUTED_VALUE"""),"Check if Number Has Equal Digit Count and Digit Value")</f>
        <v>Check if Number Has Equal Digit Count and Digit Value</v>
      </c>
      <c r="C2284" s="20" t="str">
        <f>IFERROR(__xludf.DUMMYFUNCTION("""COMPUTED_VALUE"""),"check-if-number-has-equal-digit-count-and-digit-value")</f>
        <v>check-if-number-has-equal-digit-count-and-digit-value</v>
      </c>
      <c r="D2284" s="20" t="b">
        <f>IFERROR(__xludf.DUMMYFUNCTION("""COMPUTED_VALUE"""),FALSE)</f>
        <v>0</v>
      </c>
      <c r="E2284" s="20" t="str">
        <f>IFERROR(__xludf.DUMMYFUNCTION("""COMPUTED_VALUE"""),"Easy")</f>
        <v>Easy</v>
      </c>
      <c r="F2284" s="20">
        <f>IFERROR(__xludf.DUMMYFUNCTION("""COMPUTED_VALUE"""),349.0)</f>
        <v>349</v>
      </c>
      <c r="G2284" s="20">
        <f>IFERROR(__xludf.DUMMYFUNCTION("""COMPUTED_VALUE"""),35.0)</f>
        <v>35</v>
      </c>
      <c r="H2284" s="20" t="str">
        <f>IFERROR(__xludf.DUMMYFUNCTION("""COMPUTED_VALUE"""),"Algorithms")</f>
        <v>Algorithms</v>
      </c>
      <c r="I2284" s="20">
        <f>IFERROR(__xludf.DUMMYFUNCTION("""COMPUTED_VALUE"""),0.733)</f>
        <v>0.733</v>
      </c>
      <c r="J2284" s="20">
        <f>IFERROR(__xludf.DUMMYFUNCTION("""COMPUTED_VALUE"""),2283.0)</f>
        <v>2283</v>
      </c>
      <c r="K2284" s="20" t="b">
        <f>IFERROR(__xludf.DUMMYFUNCTION("""COMPUTED_VALUE"""),FALSE)</f>
        <v>0</v>
      </c>
      <c r="L2284" s="20" t="str">
        <f>IFERROR(__xludf.DUMMYFUNCTION("""COMPUTED_VALUE"""),"Hash Table;String;Counting;")</f>
        <v>Hash Table;String;Counting;</v>
      </c>
      <c r="M2284" s="20" t="b">
        <f>IFERROR(__xludf.DUMMYFUNCTION("""COMPUTED_VALUE"""),FALSE)</f>
        <v>0</v>
      </c>
      <c r="N2284" s="20" t="b">
        <f>IFERROR(__xludf.DUMMYFUNCTION("""COMPUTED_VALUE"""),FALSE)</f>
        <v>0</v>
      </c>
      <c r="O2284" s="20">
        <f>IFERROR(__xludf.DUMMYFUNCTION("""COMPUTED_VALUE"""),73.3327421071301)</f>
        <v>73.33274211</v>
      </c>
      <c r="P2284" s="20">
        <f>IFERROR(__xludf.DUMMYFUNCTION("""COMPUTED_VALUE"""),33076.0)</f>
        <v>33076</v>
      </c>
      <c r="Q2284" s="20">
        <f>IFERROR(__xludf.DUMMYFUNCTION("""COMPUTED_VALUE"""),45104.0)</f>
        <v>45104</v>
      </c>
    </row>
    <row r="2285">
      <c r="A2285" s="20">
        <f>IFERROR(__xludf.DUMMYFUNCTION("""COMPUTED_VALUE"""),2378.0)</f>
        <v>2378</v>
      </c>
      <c r="B2285" s="20" t="str">
        <f>IFERROR(__xludf.DUMMYFUNCTION("""COMPUTED_VALUE"""),"Sender With Largest Word Count")</f>
        <v>Sender With Largest Word Count</v>
      </c>
      <c r="C2285" s="20" t="str">
        <f>IFERROR(__xludf.DUMMYFUNCTION("""COMPUTED_VALUE"""),"sender-with-largest-word-count")</f>
        <v>sender-with-largest-word-count</v>
      </c>
      <c r="D2285" s="20" t="b">
        <f>IFERROR(__xludf.DUMMYFUNCTION("""COMPUTED_VALUE"""),FALSE)</f>
        <v>0</v>
      </c>
      <c r="E2285" s="20" t="str">
        <f>IFERROR(__xludf.DUMMYFUNCTION("""COMPUTED_VALUE"""),"Medium")</f>
        <v>Medium</v>
      </c>
      <c r="F2285" s="20">
        <f>IFERROR(__xludf.DUMMYFUNCTION("""COMPUTED_VALUE"""),282.0)</f>
        <v>282</v>
      </c>
      <c r="G2285" s="20">
        <f>IFERROR(__xludf.DUMMYFUNCTION("""COMPUTED_VALUE"""),23.0)</f>
        <v>23</v>
      </c>
      <c r="H2285" s="20" t="str">
        <f>IFERROR(__xludf.DUMMYFUNCTION("""COMPUTED_VALUE"""),"Algorithms")</f>
        <v>Algorithms</v>
      </c>
      <c r="I2285" s="20">
        <f>IFERROR(__xludf.DUMMYFUNCTION("""COMPUTED_VALUE"""),0.559)</f>
        <v>0.559</v>
      </c>
      <c r="J2285" s="20">
        <f>IFERROR(__xludf.DUMMYFUNCTION("""COMPUTED_VALUE"""),2284.0)</f>
        <v>2284</v>
      </c>
      <c r="K2285" s="20" t="b">
        <f>IFERROR(__xludf.DUMMYFUNCTION("""COMPUTED_VALUE"""),FALSE)</f>
        <v>0</v>
      </c>
      <c r="L2285" s="20" t="str">
        <f>IFERROR(__xludf.DUMMYFUNCTION("""COMPUTED_VALUE"""),"Array;Hash Table;String;Counting;")</f>
        <v>Array;Hash Table;String;Counting;</v>
      </c>
      <c r="M2285" s="20" t="b">
        <f>IFERROR(__xludf.DUMMYFUNCTION("""COMPUTED_VALUE"""),FALSE)</f>
        <v>0</v>
      </c>
      <c r="N2285" s="20" t="b">
        <f>IFERROR(__xludf.DUMMYFUNCTION("""COMPUTED_VALUE"""),FALSE)</f>
        <v>0</v>
      </c>
      <c r="O2285" s="20">
        <f>IFERROR(__xludf.DUMMYFUNCTION("""COMPUTED_VALUE"""),55.9265519716581)</f>
        <v>55.92655197</v>
      </c>
      <c r="P2285" s="20">
        <f>IFERROR(__xludf.DUMMYFUNCTION("""COMPUTED_VALUE"""),24153.0)</f>
        <v>24153</v>
      </c>
      <c r="Q2285" s="20">
        <f>IFERROR(__xludf.DUMMYFUNCTION("""COMPUTED_VALUE"""),43187.0)</f>
        <v>43187</v>
      </c>
    </row>
    <row r="2286">
      <c r="A2286" s="20">
        <f>IFERROR(__xludf.DUMMYFUNCTION("""COMPUTED_VALUE"""),2379.0)</f>
        <v>2379</v>
      </c>
      <c r="B2286" s="20" t="str">
        <f>IFERROR(__xludf.DUMMYFUNCTION("""COMPUTED_VALUE"""),"Maximum Total Importance of Roads")</f>
        <v>Maximum Total Importance of Roads</v>
      </c>
      <c r="C2286" s="20" t="str">
        <f>IFERROR(__xludf.DUMMYFUNCTION("""COMPUTED_VALUE"""),"maximum-total-importance-of-roads")</f>
        <v>maximum-total-importance-of-roads</v>
      </c>
      <c r="D2286" s="20" t="b">
        <f>IFERROR(__xludf.DUMMYFUNCTION("""COMPUTED_VALUE"""),FALSE)</f>
        <v>0</v>
      </c>
      <c r="E2286" s="20" t="str">
        <f>IFERROR(__xludf.DUMMYFUNCTION("""COMPUTED_VALUE"""),"Medium")</f>
        <v>Medium</v>
      </c>
      <c r="F2286" s="20">
        <f>IFERROR(__xludf.DUMMYFUNCTION("""COMPUTED_VALUE"""),487.0)</f>
        <v>487</v>
      </c>
      <c r="G2286" s="20">
        <f>IFERROR(__xludf.DUMMYFUNCTION("""COMPUTED_VALUE"""),16.0)</f>
        <v>16</v>
      </c>
      <c r="H2286" s="20" t="str">
        <f>IFERROR(__xludf.DUMMYFUNCTION("""COMPUTED_VALUE"""),"Algorithms")</f>
        <v>Algorithms</v>
      </c>
      <c r="I2286" s="20">
        <f>IFERROR(__xludf.DUMMYFUNCTION("""COMPUTED_VALUE"""),0.608)</f>
        <v>0.608</v>
      </c>
      <c r="J2286" s="20">
        <f>IFERROR(__xludf.DUMMYFUNCTION("""COMPUTED_VALUE"""),2285.0)</f>
        <v>2285</v>
      </c>
      <c r="K2286" s="20" t="b">
        <f>IFERROR(__xludf.DUMMYFUNCTION("""COMPUTED_VALUE"""),FALSE)</f>
        <v>0</v>
      </c>
      <c r="L2286" s="20" t="str">
        <f>IFERROR(__xludf.DUMMYFUNCTION("""COMPUTED_VALUE"""),"Greedy;Graph;Sorting;Heap (Priority Queue);")</f>
        <v>Greedy;Graph;Sorting;Heap (Priority Queue);</v>
      </c>
      <c r="M2286" s="20" t="b">
        <f>IFERROR(__xludf.DUMMYFUNCTION("""COMPUTED_VALUE"""),FALSE)</f>
        <v>0</v>
      </c>
      <c r="N2286" s="20" t="b">
        <f>IFERROR(__xludf.DUMMYFUNCTION("""COMPUTED_VALUE"""),FALSE)</f>
        <v>0</v>
      </c>
      <c r="O2286" s="20">
        <f>IFERROR(__xludf.DUMMYFUNCTION("""COMPUTED_VALUE"""),60.8349083737365)</f>
        <v>60.83490837</v>
      </c>
      <c r="P2286" s="20">
        <f>IFERROR(__xludf.DUMMYFUNCTION("""COMPUTED_VALUE"""),22209.0)</f>
        <v>22209</v>
      </c>
      <c r="Q2286" s="20">
        <f>IFERROR(__xludf.DUMMYFUNCTION("""COMPUTED_VALUE"""),36507.0)</f>
        <v>36507</v>
      </c>
    </row>
    <row r="2287">
      <c r="A2287" s="20">
        <f>IFERROR(__xludf.DUMMYFUNCTION("""COMPUTED_VALUE"""),2380.0)</f>
        <v>2380</v>
      </c>
      <c r="B2287" s="20" t="str">
        <f>IFERROR(__xludf.DUMMYFUNCTION("""COMPUTED_VALUE"""),"Booking Concert Tickets in Groups")</f>
        <v>Booking Concert Tickets in Groups</v>
      </c>
      <c r="C2287" s="20" t="str">
        <f>IFERROR(__xludf.DUMMYFUNCTION("""COMPUTED_VALUE"""),"booking-concert-tickets-in-groups")</f>
        <v>booking-concert-tickets-in-groups</v>
      </c>
      <c r="D2287" s="20" t="b">
        <f>IFERROR(__xludf.DUMMYFUNCTION("""COMPUTED_VALUE"""),FALSE)</f>
        <v>0</v>
      </c>
      <c r="E2287" s="20" t="str">
        <f>IFERROR(__xludf.DUMMYFUNCTION("""COMPUTED_VALUE"""),"Hard")</f>
        <v>Hard</v>
      </c>
      <c r="F2287" s="20">
        <f>IFERROR(__xludf.DUMMYFUNCTION("""COMPUTED_VALUE"""),227.0)</f>
        <v>227</v>
      </c>
      <c r="G2287" s="20">
        <f>IFERROR(__xludf.DUMMYFUNCTION("""COMPUTED_VALUE"""),45.0)</f>
        <v>45</v>
      </c>
      <c r="H2287" s="20" t="str">
        <f>IFERROR(__xludf.DUMMYFUNCTION("""COMPUTED_VALUE"""),"Algorithms")</f>
        <v>Algorithms</v>
      </c>
      <c r="I2287" s="20">
        <f>IFERROR(__xludf.DUMMYFUNCTION("""COMPUTED_VALUE"""),0.155)</f>
        <v>0.155</v>
      </c>
      <c r="J2287" s="20">
        <f>IFERROR(__xludf.DUMMYFUNCTION("""COMPUTED_VALUE"""),2286.0)</f>
        <v>2286</v>
      </c>
      <c r="K2287" s="20" t="b">
        <f>IFERROR(__xludf.DUMMYFUNCTION("""COMPUTED_VALUE"""),FALSE)</f>
        <v>0</v>
      </c>
      <c r="L2287" s="20" t="str">
        <f>IFERROR(__xludf.DUMMYFUNCTION("""COMPUTED_VALUE"""),"Binary Search;Design;Binary Indexed Tree;Segment Tree;")</f>
        <v>Binary Search;Design;Binary Indexed Tree;Segment Tree;</v>
      </c>
      <c r="M2287" s="20" t="b">
        <f>IFERROR(__xludf.DUMMYFUNCTION("""COMPUTED_VALUE"""),FALSE)</f>
        <v>0</v>
      </c>
      <c r="N2287" s="20" t="b">
        <f>IFERROR(__xludf.DUMMYFUNCTION("""COMPUTED_VALUE"""),FALSE)</f>
        <v>0</v>
      </c>
      <c r="O2287" s="20">
        <f>IFERROR(__xludf.DUMMYFUNCTION("""COMPUTED_VALUE"""),15.5124223602484)</f>
        <v>15.51242236</v>
      </c>
      <c r="P2287" s="20">
        <f>IFERROR(__xludf.DUMMYFUNCTION("""COMPUTED_VALUE"""),3996.0)</f>
        <v>3996</v>
      </c>
      <c r="Q2287" s="20">
        <f>IFERROR(__xludf.DUMMYFUNCTION("""COMPUTED_VALUE"""),25760.0)</f>
        <v>25760</v>
      </c>
    </row>
    <row r="2288">
      <c r="A2288" s="20">
        <f>IFERROR(__xludf.DUMMYFUNCTION("""COMPUTED_VALUE"""),2372.0)</f>
        <v>2372</v>
      </c>
      <c r="B2288" s="20" t="str">
        <f>IFERROR(__xludf.DUMMYFUNCTION("""COMPUTED_VALUE"""),"Rearrange Characters to Make Target String")</f>
        <v>Rearrange Characters to Make Target String</v>
      </c>
      <c r="C2288" s="20" t="str">
        <f>IFERROR(__xludf.DUMMYFUNCTION("""COMPUTED_VALUE"""),"rearrange-characters-to-make-target-string")</f>
        <v>rearrange-characters-to-make-target-string</v>
      </c>
      <c r="D2288" s="20" t="b">
        <f>IFERROR(__xludf.DUMMYFUNCTION("""COMPUTED_VALUE"""),FALSE)</f>
        <v>0</v>
      </c>
      <c r="E2288" s="20" t="str">
        <f>IFERROR(__xludf.DUMMYFUNCTION("""COMPUTED_VALUE"""),"Easy")</f>
        <v>Easy</v>
      </c>
      <c r="F2288" s="20">
        <f>IFERROR(__xludf.DUMMYFUNCTION("""COMPUTED_VALUE"""),311.0)</f>
        <v>311</v>
      </c>
      <c r="G2288" s="20">
        <f>IFERROR(__xludf.DUMMYFUNCTION("""COMPUTED_VALUE"""),23.0)</f>
        <v>23</v>
      </c>
      <c r="H2288" s="20" t="str">
        <f>IFERROR(__xludf.DUMMYFUNCTION("""COMPUTED_VALUE"""),"Algorithms")</f>
        <v>Algorithms</v>
      </c>
      <c r="I2288" s="20">
        <f>IFERROR(__xludf.DUMMYFUNCTION("""COMPUTED_VALUE"""),0.579)</f>
        <v>0.579</v>
      </c>
      <c r="J2288" s="20">
        <f>IFERROR(__xludf.DUMMYFUNCTION("""COMPUTED_VALUE"""),2287.0)</f>
        <v>2287</v>
      </c>
      <c r="K2288" s="20" t="b">
        <f>IFERROR(__xludf.DUMMYFUNCTION("""COMPUTED_VALUE"""),FALSE)</f>
        <v>0</v>
      </c>
      <c r="L2288" s="20" t="str">
        <f>IFERROR(__xludf.DUMMYFUNCTION("""COMPUTED_VALUE"""),"Hash Table;String;Counting;")</f>
        <v>Hash Table;String;Counting;</v>
      </c>
      <c r="M2288" s="20" t="b">
        <f>IFERROR(__xludf.DUMMYFUNCTION("""COMPUTED_VALUE"""),FALSE)</f>
        <v>0</v>
      </c>
      <c r="N2288" s="20" t="b">
        <f>IFERROR(__xludf.DUMMYFUNCTION("""COMPUTED_VALUE"""),FALSE)</f>
        <v>0</v>
      </c>
      <c r="O2288" s="20">
        <f>IFERROR(__xludf.DUMMYFUNCTION("""COMPUTED_VALUE"""),57.9021242720073)</f>
        <v>57.90212427</v>
      </c>
      <c r="P2288" s="20">
        <f>IFERROR(__xludf.DUMMYFUNCTION("""COMPUTED_VALUE"""),27639.0)</f>
        <v>27639</v>
      </c>
      <c r="Q2288" s="20">
        <f>IFERROR(__xludf.DUMMYFUNCTION("""COMPUTED_VALUE"""),47734.0)</f>
        <v>47734</v>
      </c>
    </row>
    <row r="2289">
      <c r="A2289" s="20">
        <f>IFERROR(__xludf.DUMMYFUNCTION("""COMPUTED_VALUE"""),2373.0)</f>
        <v>2373</v>
      </c>
      <c r="B2289" s="20" t="str">
        <f>IFERROR(__xludf.DUMMYFUNCTION("""COMPUTED_VALUE"""),"Apply Discount to Prices")</f>
        <v>Apply Discount to Prices</v>
      </c>
      <c r="C2289" s="20" t="str">
        <f>IFERROR(__xludf.DUMMYFUNCTION("""COMPUTED_VALUE"""),"apply-discount-to-prices")</f>
        <v>apply-discount-to-prices</v>
      </c>
      <c r="D2289" s="20" t="b">
        <f>IFERROR(__xludf.DUMMYFUNCTION("""COMPUTED_VALUE"""),FALSE)</f>
        <v>0</v>
      </c>
      <c r="E2289" s="20" t="str">
        <f>IFERROR(__xludf.DUMMYFUNCTION("""COMPUTED_VALUE"""),"Medium")</f>
        <v>Medium</v>
      </c>
      <c r="F2289" s="20">
        <f>IFERROR(__xludf.DUMMYFUNCTION("""COMPUTED_VALUE"""),132.0)</f>
        <v>132</v>
      </c>
      <c r="G2289" s="20">
        <f>IFERROR(__xludf.DUMMYFUNCTION("""COMPUTED_VALUE"""),971.0)</f>
        <v>971</v>
      </c>
      <c r="H2289" s="20" t="str">
        <f>IFERROR(__xludf.DUMMYFUNCTION("""COMPUTED_VALUE"""),"Algorithms")</f>
        <v>Algorithms</v>
      </c>
      <c r="I2289" s="20">
        <f>IFERROR(__xludf.DUMMYFUNCTION("""COMPUTED_VALUE"""),0.276)</f>
        <v>0.276</v>
      </c>
      <c r="J2289" s="20">
        <f>IFERROR(__xludf.DUMMYFUNCTION("""COMPUTED_VALUE"""),2288.0)</f>
        <v>2288</v>
      </c>
      <c r="K2289" s="20" t="b">
        <f>IFERROR(__xludf.DUMMYFUNCTION("""COMPUTED_VALUE"""),FALSE)</f>
        <v>0</v>
      </c>
      <c r="L2289" s="20" t="str">
        <f>IFERROR(__xludf.DUMMYFUNCTION("""COMPUTED_VALUE"""),"String;")</f>
        <v>String;</v>
      </c>
      <c r="M2289" s="20" t="b">
        <f>IFERROR(__xludf.DUMMYFUNCTION("""COMPUTED_VALUE"""),FALSE)</f>
        <v>0</v>
      </c>
      <c r="N2289" s="20" t="b">
        <f>IFERROR(__xludf.DUMMYFUNCTION("""COMPUTED_VALUE"""),FALSE)</f>
        <v>0</v>
      </c>
      <c r="O2289" s="20">
        <f>IFERROR(__xludf.DUMMYFUNCTION("""COMPUTED_VALUE"""),27.6050405780228)</f>
        <v>27.60504058</v>
      </c>
      <c r="P2289" s="20">
        <f>IFERROR(__xludf.DUMMYFUNCTION("""COMPUTED_VALUE"""),16123.0)</f>
        <v>16123</v>
      </c>
      <c r="Q2289" s="20">
        <f>IFERROR(__xludf.DUMMYFUNCTION("""COMPUTED_VALUE"""),58406.0)</f>
        <v>58406</v>
      </c>
    </row>
    <row r="2290">
      <c r="A2290" s="20">
        <f>IFERROR(__xludf.DUMMYFUNCTION("""COMPUTED_VALUE"""),2374.0)</f>
        <v>2374</v>
      </c>
      <c r="B2290" s="20" t="str">
        <f>IFERROR(__xludf.DUMMYFUNCTION("""COMPUTED_VALUE"""),"Steps to Make Array Non-decreasing")</f>
        <v>Steps to Make Array Non-decreasing</v>
      </c>
      <c r="C2290" s="20" t="str">
        <f>IFERROR(__xludf.DUMMYFUNCTION("""COMPUTED_VALUE"""),"steps-to-make-array-non-decreasing")</f>
        <v>steps-to-make-array-non-decreasing</v>
      </c>
      <c r="D2290" s="20" t="b">
        <f>IFERROR(__xludf.DUMMYFUNCTION("""COMPUTED_VALUE"""),FALSE)</f>
        <v>0</v>
      </c>
      <c r="E2290" s="20" t="str">
        <f>IFERROR(__xludf.DUMMYFUNCTION("""COMPUTED_VALUE"""),"Medium")</f>
        <v>Medium</v>
      </c>
      <c r="F2290" s="20">
        <f>IFERROR(__xludf.DUMMYFUNCTION("""COMPUTED_VALUE"""),931.0)</f>
        <v>931</v>
      </c>
      <c r="G2290" s="20">
        <f>IFERROR(__xludf.DUMMYFUNCTION("""COMPUTED_VALUE"""),103.0)</f>
        <v>103</v>
      </c>
      <c r="H2290" s="20" t="str">
        <f>IFERROR(__xludf.DUMMYFUNCTION("""COMPUTED_VALUE"""),"Algorithms")</f>
        <v>Algorithms</v>
      </c>
      <c r="I2290" s="20">
        <f>IFERROR(__xludf.DUMMYFUNCTION("""COMPUTED_VALUE"""),0.213)</f>
        <v>0.213</v>
      </c>
      <c r="J2290" s="20">
        <f>IFERROR(__xludf.DUMMYFUNCTION("""COMPUTED_VALUE"""),2289.0)</f>
        <v>2289</v>
      </c>
      <c r="K2290" s="20" t="b">
        <f>IFERROR(__xludf.DUMMYFUNCTION("""COMPUTED_VALUE"""),FALSE)</f>
        <v>0</v>
      </c>
      <c r="L2290" s="20" t="str">
        <f>IFERROR(__xludf.DUMMYFUNCTION("""COMPUTED_VALUE"""),"Array;Linked List;Stack;Monotonic Stack;")</f>
        <v>Array;Linked List;Stack;Monotonic Stack;</v>
      </c>
      <c r="M2290" s="20" t="b">
        <f>IFERROR(__xludf.DUMMYFUNCTION("""COMPUTED_VALUE"""),FALSE)</f>
        <v>0</v>
      </c>
      <c r="N2290" s="20" t="b">
        <f>IFERROR(__xludf.DUMMYFUNCTION("""COMPUTED_VALUE"""),FALSE)</f>
        <v>0</v>
      </c>
      <c r="O2290" s="20">
        <f>IFERROR(__xludf.DUMMYFUNCTION("""COMPUTED_VALUE"""),21.3034636578325)</f>
        <v>21.30346366</v>
      </c>
      <c r="P2290" s="20">
        <f>IFERROR(__xludf.DUMMYFUNCTION("""COMPUTED_VALUE"""),12990.0)</f>
        <v>12990</v>
      </c>
      <c r="Q2290" s="20">
        <f>IFERROR(__xludf.DUMMYFUNCTION("""COMPUTED_VALUE"""),60976.0)</f>
        <v>60976</v>
      </c>
    </row>
    <row r="2291">
      <c r="A2291" s="20">
        <f>IFERROR(__xludf.DUMMYFUNCTION("""COMPUTED_VALUE"""),2375.0)</f>
        <v>2375</v>
      </c>
      <c r="B2291" s="20" t="str">
        <f>IFERROR(__xludf.DUMMYFUNCTION("""COMPUTED_VALUE"""),"Minimum Obstacle Removal to Reach Corner")</f>
        <v>Minimum Obstacle Removal to Reach Corner</v>
      </c>
      <c r="C2291" s="20" t="str">
        <f>IFERROR(__xludf.DUMMYFUNCTION("""COMPUTED_VALUE"""),"minimum-obstacle-removal-to-reach-corner")</f>
        <v>minimum-obstacle-removal-to-reach-corner</v>
      </c>
      <c r="D2291" s="20" t="b">
        <f>IFERROR(__xludf.DUMMYFUNCTION("""COMPUTED_VALUE"""),FALSE)</f>
        <v>0</v>
      </c>
      <c r="E2291" s="20" t="str">
        <f>IFERROR(__xludf.DUMMYFUNCTION("""COMPUTED_VALUE"""),"Hard")</f>
        <v>Hard</v>
      </c>
      <c r="F2291" s="20">
        <f>IFERROR(__xludf.DUMMYFUNCTION("""COMPUTED_VALUE"""),649.0)</f>
        <v>649</v>
      </c>
      <c r="G2291" s="20">
        <f>IFERROR(__xludf.DUMMYFUNCTION("""COMPUTED_VALUE"""),13.0)</f>
        <v>13</v>
      </c>
      <c r="H2291" s="20" t="str">
        <f>IFERROR(__xludf.DUMMYFUNCTION("""COMPUTED_VALUE"""),"Algorithms")</f>
        <v>Algorithms</v>
      </c>
      <c r="I2291" s="20">
        <f>IFERROR(__xludf.DUMMYFUNCTION("""COMPUTED_VALUE"""),0.487)</f>
        <v>0.487</v>
      </c>
      <c r="J2291" s="20">
        <f>IFERROR(__xludf.DUMMYFUNCTION("""COMPUTED_VALUE"""),2290.0)</f>
        <v>2290</v>
      </c>
      <c r="K2291" s="20" t="b">
        <f>IFERROR(__xludf.DUMMYFUNCTION("""COMPUTED_VALUE"""),FALSE)</f>
        <v>0</v>
      </c>
      <c r="L2291" s="20" t="str">
        <f>IFERROR(__xludf.DUMMYFUNCTION("""COMPUTED_VALUE"""),"Array;Breadth-First Search;Graph;Heap (Priority Queue);Matrix;Shortest Path;")</f>
        <v>Array;Breadth-First Search;Graph;Heap (Priority Queue);Matrix;Shortest Path;</v>
      </c>
      <c r="M2291" s="20" t="b">
        <f>IFERROR(__xludf.DUMMYFUNCTION("""COMPUTED_VALUE"""),FALSE)</f>
        <v>0</v>
      </c>
      <c r="N2291" s="20" t="b">
        <f>IFERROR(__xludf.DUMMYFUNCTION("""COMPUTED_VALUE"""),FALSE)</f>
        <v>0</v>
      </c>
      <c r="O2291" s="20">
        <f>IFERROR(__xludf.DUMMYFUNCTION("""COMPUTED_VALUE"""),48.7419914575547)</f>
        <v>48.74199146</v>
      </c>
      <c r="P2291" s="20">
        <f>IFERROR(__xludf.DUMMYFUNCTION("""COMPUTED_VALUE"""),14607.0)</f>
        <v>14607</v>
      </c>
      <c r="Q2291" s="20">
        <f>IFERROR(__xludf.DUMMYFUNCTION("""COMPUTED_VALUE"""),29968.0)</f>
        <v>29968</v>
      </c>
    </row>
    <row r="2292">
      <c r="A2292" s="20">
        <f>IFERROR(__xludf.DUMMYFUNCTION("""COMPUTED_VALUE"""),2426.0)</f>
        <v>2426</v>
      </c>
      <c r="B2292" s="20" t="str">
        <f>IFERROR(__xludf.DUMMYFUNCTION("""COMPUTED_VALUE"""),"Maximum Profit From Trading Stocks")</f>
        <v>Maximum Profit From Trading Stocks</v>
      </c>
      <c r="C2292" s="20" t="str">
        <f>IFERROR(__xludf.DUMMYFUNCTION("""COMPUTED_VALUE"""),"maximum-profit-from-trading-stocks")</f>
        <v>maximum-profit-from-trading-stocks</v>
      </c>
      <c r="D2292" s="20" t="b">
        <f>IFERROR(__xludf.DUMMYFUNCTION("""COMPUTED_VALUE"""),TRUE)</f>
        <v>1</v>
      </c>
      <c r="E2292" s="20" t="str">
        <f>IFERROR(__xludf.DUMMYFUNCTION("""COMPUTED_VALUE"""),"Medium")</f>
        <v>Medium</v>
      </c>
      <c r="F2292" s="20">
        <f>IFERROR(__xludf.DUMMYFUNCTION("""COMPUTED_VALUE"""),86.0)</f>
        <v>86</v>
      </c>
      <c r="G2292" s="20">
        <f>IFERROR(__xludf.DUMMYFUNCTION("""COMPUTED_VALUE"""),1.0)</f>
        <v>1</v>
      </c>
      <c r="H2292" s="20" t="str">
        <f>IFERROR(__xludf.DUMMYFUNCTION("""COMPUTED_VALUE"""),"Algorithms")</f>
        <v>Algorithms</v>
      </c>
      <c r="I2292" s="20">
        <f>IFERROR(__xludf.DUMMYFUNCTION("""COMPUTED_VALUE"""),0.456)</f>
        <v>0.456</v>
      </c>
      <c r="J2292" s="20">
        <f>IFERROR(__xludf.DUMMYFUNCTION("""COMPUTED_VALUE"""),2291.0)</f>
        <v>2291</v>
      </c>
      <c r="K2292" s="20" t="b">
        <f>IFERROR(__xludf.DUMMYFUNCTION("""COMPUTED_VALUE"""),TRUE)</f>
        <v>1</v>
      </c>
      <c r="L2292" s="20" t="str">
        <f>IFERROR(__xludf.DUMMYFUNCTION("""COMPUTED_VALUE"""),"Array;Dynamic Programming;")</f>
        <v>Array;Dynamic Programming;</v>
      </c>
      <c r="M2292" s="20" t="b">
        <f>IFERROR(__xludf.DUMMYFUNCTION("""COMPUTED_VALUE"""),FALSE)</f>
        <v>0</v>
      </c>
      <c r="N2292" s="20" t="b">
        <f>IFERROR(__xludf.DUMMYFUNCTION("""COMPUTED_VALUE"""),FALSE)</f>
        <v>0</v>
      </c>
      <c r="O2292" s="20">
        <f>IFERROR(__xludf.DUMMYFUNCTION("""COMPUTED_VALUE"""),45.6237424547283)</f>
        <v>45.62374245</v>
      </c>
      <c r="P2292" s="20">
        <f>IFERROR(__xludf.DUMMYFUNCTION("""COMPUTED_VALUE"""),2720.0)</f>
        <v>2720</v>
      </c>
      <c r="Q2292" s="20">
        <f>IFERROR(__xludf.DUMMYFUNCTION("""COMPUTED_VALUE"""),5960.0)</f>
        <v>5960</v>
      </c>
    </row>
    <row r="2293">
      <c r="A2293" s="20">
        <f>IFERROR(__xludf.DUMMYFUNCTION("""COMPUTED_VALUE"""),2431.0)</f>
        <v>2431</v>
      </c>
      <c r="B2293" s="20" t="str">
        <f>IFERROR(__xludf.DUMMYFUNCTION("""COMPUTED_VALUE"""),"Products With Three or More Orders in Two Consecutive Years")</f>
        <v>Products With Three or More Orders in Two Consecutive Years</v>
      </c>
      <c r="C2293" s="20" t="str">
        <f>IFERROR(__xludf.DUMMYFUNCTION("""COMPUTED_VALUE"""),"products-with-three-or-more-orders-in-two-consecutive-years")</f>
        <v>products-with-three-or-more-orders-in-two-consecutive-years</v>
      </c>
      <c r="D2293" s="20" t="b">
        <f>IFERROR(__xludf.DUMMYFUNCTION("""COMPUTED_VALUE"""),TRUE)</f>
        <v>1</v>
      </c>
      <c r="E2293" s="20" t="str">
        <f>IFERROR(__xludf.DUMMYFUNCTION("""COMPUTED_VALUE"""),"Medium")</f>
        <v>Medium</v>
      </c>
      <c r="F2293" s="20">
        <f>IFERROR(__xludf.DUMMYFUNCTION("""COMPUTED_VALUE"""),34.0)</f>
        <v>34</v>
      </c>
      <c r="G2293" s="20">
        <f>IFERROR(__xludf.DUMMYFUNCTION("""COMPUTED_VALUE"""),17.0)</f>
        <v>17</v>
      </c>
      <c r="H2293" s="20" t="str">
        <f>IFERROR(__xludf.DUMMYFUNCTION("""COMPUTED_VALUE"""),"Database")</f>
        <v>Database</v>
      </c>
      <c r="I2293" s="20">
        <f>IFERROR(__xludf.DUMMYFUNCTION("""COMPUTED_VALUE"""),0.401)</f>
        <v>0.401</v>
      </c>
      <c r="J2293" s="20">
        <f>IFERROR(__xludf.DUMMYFUNCTION("""COMPUTED_VALUE"""),2292.0)</f>
        <v>2292</v>
      </c>
      <c r="K2293" s="20" t="b">
        <f>IFERROR(__xludf.DUMMYFUNCTION("""COMPUTED_VALUE"""),TRUE)</f>
        <v>1</v>
      </c>
      <c r="L2293" s="20" t="str">
        <f>IFERROR(__xludf.DUMMYFUNCTION("""COMPUTED_VALUE"""),"Database;")</f>
        <v>Database;</v>
      </c>
      <c r="M2293" s="20" t="b">
        <f>IFERROR(__xludf.DUMMYFUNCTION("""COMPUTED_VALUE"""),FALSE)</f>
        <v>0</v>
      </c>
      <c r="N2293" s="20" t="b">
        <f>IFERROR(__xludf.DUMMYFUNCTION("""COMPUTED_VALUE"""),FALSE)</f>
        <v>0</v>
      </c>
      <c r="O2293" s="20">
        <f>IFERROR(__xludf.DUMMYFUNCTION("""COMPUTED_VALUE"""),40.1439254973895)</f>
        <v>40.1439255</v>
      </c>
      <c r="P2293" s="20">
        <f>IFERROR(__xludf.DUMMYFUNCTION("""COMPUTED_VALUE"""),2845.0)</f>
        <v>2845</v>
      </c>
      <c r="Q2293" s="20">
        <f>IFERROR(__xludf.DUMMYFUNCTION("""COMPUTED_VALUE"""),7087.0)</f>
        <v>7087</v>
      </c>
    </row>
    <row r="2294">
      <c r="A2294" s="20">
        <f>IFERROR(__xludf.DUMMYFUNCTION("""COMPUTED_VALUE"""),2386.0)</f>
        <v>2386</v>
      </c>
      <c r="B2294" s="20" t="str">
        <f>IFERROR(__xludf.DUMMYFUNCTION("""COMPUTED_VALUE"""),"Min Max Game")</f>
        <v>Min Max Game</v>
      </c>
      <c r="C2294" s="20" t="str">
        <f>IFERROR(__xludf.DUMMYFUNCTION("""COMPUTED_VALUE"""),"min-max-game")</f>
        <v>min-max-game</v>
      </c>
      <c r="D2294" s="20" t="b">
        <f>IFERROR(__xludf.DUMMYFUNCTION("""COMPUTED_VALUE"""),FALSE)</f>
        <v>0</v>
      </c>
      <c r="E2294" s="20" t="str">
        <f>IFERROR(__xludf.DUMMYFUNCTION("""COMPUTED_VALUE"""),"Easy")</f>
        <v>Easy</v>
      </c>
      <c r="F2294" s="20">
        <f>IFERROR(__xludf.DUMMYFUNCTION("""COMPUTED_VALUE"""),348.0)</f>
        <v>348</v>
      </c>
      <c r="G2294" s="20">
        <f>IFERROR(__xludf.DUMMYFUNCTION("""COMPUTED_VALUE"""),17.0)</f>
        <v>17</v>
      </c>
      <c r="H2294" s="20" t="str">
        <f>IFERROR(__xludf.DUMMYFUNCTION("""COMPUTED_VALUE"""),"Algorithms")</f>
        <v>Algorithms</v>
      </c>
      <c r="I2294" s="20">
        <f>IFERROR(__xludf.DUMMYFUNCTION("""COMPUTED_VALUE"""),0.641)</f>
        <v>0.641</v>
      </c>
      <c r="J2294" s="20">
        <f>IFERROR(__xludf.DUMMYFUNCTION("""COMPUTED_VALUE"""),2293.0)</f>
        <v>2293</v>
      </c>
      <c r="K2294" s="20" t="b">
        <f>IFERROR(__xludf.DUMMYFUNCTION("""COMPUTED_VALUE"""),FALSE)</f>
        <v>0</v>
      </c>
      <c r="L2294" s="20" t="str">
        <f>IFERROR(__xludf.DUMMYFUNCTION("""COMPUTED_VALUE"""),"Array;Simulation;")</f>
        <v>Array;Simulation;</v>
      </c>
      <c r="M2294" s="20" t="b">
        <f>IFERROR(__xludf.DUMMYFUNCTION("""COMPUTED_VALUE"""),FALSE)</f>
        <v>0</v>
      </c>
      <c r="N2294" s="20" t="b">
        <f>IFERROR(__xludf.DUMMYFUNCTION("""COMPUTED_VALUE"""),FALSE)</f>
        <v>0</v>
      </c>
      <c r="O2294" s="20">
        <f>IFERROR(__xludf.DUMMYFUNCTION("""COMPUTED_VALUE"""),64.110772856722)</f>
        <v>64.11077286</v>
      </c>
      <c r="P2294" s="20">
        <f>IFERROR(__xludf.DUMMYFUNCTION("""COMPUTED_VALUE"""),32642.0)</f>
        <v>32642</v>
      </c>
      <c r="Q2294" s="20">
        <f>IFERROR(__xludf.DUMMYFUNCTION("""COMPUTED_VALUE"""),50915.0)</f>
        <v>50915</v>
      </c>
    </row>
    <row r="2295">
      <c r="A2295" s="20">
        <f>IFERROR(__xludf.DUMMYFUNCTION("""COMPUTED_VALUE"""),2387.0)</f>
        <v>2387</v>
      </c>
      <c r="B2295" s="20" t="str">
        <f>IFERROR(__xludf.DUMMYFUNCTION("""COMPUTED_VALUE"""),"Partition Array Such That Maximum Difference Is K")</f>
        <v>Partition Array Such That Maximum Difference Is K</v>
      </c>
      <c r="C2295" s="20" t="str">
        <f>IFERROR(__xludf.DUMMYFUNCTION("""COMPUTED_VALUE"""),"partition-array-such-that-maximum-difference-is-k")</f>
        <v>partition-array-such-that-maximum-difference-is-k</v>
      </c>
      <c r="D2295" s="20" t="b">
        <f>IFERROR(__xludf.DUMMYFUNCTION("""COMPUTED_VALUE"""),FALSE)</f>
        <v>0</v>
      </c>
      <c r="E2295" s="20" t="str">
        <f>IFERROR(__xludf.DUMMYFUNCTION("""COMPUTED_VALUE"""),"Medium")</f>
        <v>Medium</v>
      </c>
      <c r="F2295" s="20">
        <f>IFERROR(__xludf.DUMMYFUNCTION("""COMPUTED_VALUE"""),490.0)</f>
        <v>490</v>
      </c>
      <c r="G2295" s="20">
        <f>IFERROR(__xludf.DUMMYFUNCTION("""COMPUTED_VALUE"""),17.0)</f>
        <v>17</v>
      </c>
      <c r="H2295" s="20" t="str">
        <f>IFERROR(__xludf.DUMMYFUNCTION("""COMPUTED_VALUE"""),"Algorithms")</f>
        <v>Algorithms</v>
      </c>
      <c r="I2295" s="20">
        <f>IFERROR(__xludf.DUMMYFUNCTION("""COMPUTED_VALUE"""),0.727)</f>
        <v>0.727</v>
      </c>
      <c r="J2295" s="20">
        <f>IFERROR(__xludf.DUMMYFUNCTION("""COMPUTED_VALUE"""),2294.0)</f>
        <v>2294</v>
      </c>
      <c r="K2295" s="20" t="b">
        <f>IFERROR(__xludf.DUMMYFUNCTION("""COMPUTED_VALUE"""),FALSE)</f>
        <v>0</v>
      </c>
      <c r="L2295" s="20" t="str">
        <f>IFERROR(__xludf.DUMMYFUNCTION("""COMPUTED_VALUE"""),"Array;Greedy;Sorting;")</f>
        <v>Array;Greedy;Sorting;</v>
      </c>
      <c r="M2295" s="20" t="b">
        <f>IFERROR(__xludf.DUMMYFUNCTION("""COMPUTED_VALUE"""),FALSE)</f>
        <v>0</v>
      </c>
      <c r="N2295" s="20" t="b">
        <f>IFERROR(__xludf.DUMMYFUNCTION("""COMPUTED_VALUE"""),FALSE)</f>
        <v>0</v>
      </c>
      <c r="O2295" s="20">
        <f>IFERROR(__xludf.DUMMYFUNCTION("""COMPUTED_VALUE"""),72.6668742863074)</f>
        <v>72.66687429</v>
      </c>
      <c r="P2295" s="20">
        <f>IFERROR(__xludf.DUMMYFUNCTION("""COMPUTED_VALUE"""),27999.0)</f>
        <v>27999</v>
      </c>
      <c r="Q2295" s="20">
        <f>IFERROR(__xludf.DUMMYFUNCTION("""COMPUTED_VALUE"""),38531.0)</f>
        <v>38531</v>
      </c>
    </row>
    <row r="2296">
      <c r="A2296" s="20">
        <f>IFERROR(__xludf.DUMMYFUNCTION("""COMPUTED_VALUE"""),2388.0)</f>
        <v>2388</v>
      </c>
      <c r="B2296" s="20" t="str">
        <f>IFERROR(__xludf.DUMMYFUNCTION("""COMPUTED_VALUE"""),"Replace Elements in an Array")</f>
        <v>Replace Elements in an Array</v>
      </c>
      <c r="C2296" s="20" t="str">
        <f>IFERROR(__xludf.DUMMYFUNCTION("""COMPUTED_VALUE"""),"replace-elements-in-an-array")</f>
        <v>replace-elements-in-an-array</v>
      </c>
      <c r="D2296" s="20" t="b">
        <f>IFERROR(__xludf.DUMMYFUNCTION("""COMPUTED_VALUE"""),FALSE)</f>
        <v>0</v>
      </c>
      <c r="E2296" s="20" t="str">
        <f>IFERROR(__xludf.DUMMYFUNCTION("""COMPUTED_VALUE"""),"Medium")</f>
        <v>Medium</v>
      </c>
      <c r="F2296" s="20">
        <f>IFERROR(__xludf.DUMMYFUNCTION("""COMPUTED_VALUE"""),430.0)</f>
        <v>430</v>
      </c>
      <c r="G2296" s="20">
        <f>IFERROR(__xludf.DUMMYFUNCTION("""COMPUTED_VALUE"""),21.0)</f>
        <v>21</v>
      </c>
      <c r="H2296" s="20" t="str">
        <f>IFERROR(__xludf.DUMMYFUNCTION("""COMPUTED_VALUE"""),"Algorithms")</f>
        <v>Algorithms</v>
      </c>
      <c r="I2296" s="20">
        <f>IFERROR(__xludf.DUMMYFUNCTION("""COMPUTED_VALUE"""),0.576)</f>
        <v>0.576</v>
      </c>
      <c r="J2296" s="20">
        <f>IFERROR(__xludf.DUMMYFUNCTION("""COMPUTED_VALUE"""),2295.0)</f>
        <v>2295</v>
      </c>
      <c r="K2296" s="20" t="b">
        <f>IFERROR(__xludf.DUMMYFUNCTION("""COMPUTED_VALUE"""),FALSE)</f>
        <v>0</v>
      </c>
      <c r="L2296" s="20" t="str">
        <f>IFERROR(__xludf.DUMMYFUNCTION("""COMPUTED_VALUE"""),"Array;Hash Table;Simulation;")</f>
        <v>Array;Hash Table;Simulation;</v>
      </c>
      <c r="M2296" s="20" t="b">
        <f>IFERROR(__xludf.DUMMYFUNCTION("""COMPUTED_VALUE"""),FALSE)</f>
        <v>0</v>
      </c>
      <c r="N2296" s="20" t="b">
        <f>IFERROR(__xludf.DUMMYFUNCTION("""COMPUTED_VALUE"""),FALSE)</f>
        <v>0</v>
      </c>
      <c r="O2296" s="20">
        <f>IFERROR(__xludf.DUMMYFUNCTION("""COMPUTED_VALUE"""),57.5753477153355)</f>
        <v>57.57534772</v>
      </c>
      <c r="P2296" s="20">
        <f>IFERROR(__xludf.DUMMYFUNCTION("""COMPUTED_VALUE"""),25541.0)</f>
        <v>25541</v>
      </c>
      <c r="Q2296" s="20">
        <f>IFERROR(__xludf.DUMMYFUNCTION("""COMPUTED_VALUE"""),44361.0)</f>
        <v>44361</v>
      </c>
    </row>
    <row r="2297">
      <c r="A2297" s="20">
        <f>IFERROR(__xludf.DUMMYFUNCTION("""COMPUTED_VALUE"""),2389.0)</f>
        <v>2389</v>
      </c>
      <c r="B2297" s="20" t="str">
        <f>IFERROR(__xludf.DUMMYFUNCTION("""COMPUTED_VALUE"""),"Design a Text Editor")</f>
        <v>Design a Text Editor</v>
      </c>
      <c r="C2297" s="20" t="str">
        <f>IFERROR(__xludf.DUMMYFUNCTION("""COMPUTED_VALUE"""),"design-a-text-editor")</f>
        <v>design-a-text-editor</v>
      </c>
      <c r="D2297" s="20" t="b">
        <f>IFERROR(__xludf.DUMMYFUNCTION("""COMPUTED_VALUE"""),FALSE)</f>
        <v>0</v>
      </c>
      <c r="E2297" s="20" t="str">
        <f>IFERROR(__xludf.DUMMYFUNCTION("""COMPUTED_VALUE"""),"Hard")</f>
        <v>Hard</v>
      </c>
      <c r="F2297" s="20">
        <f>IFERROR(__xludf.DUMMYFUNCTION("""COMPUTED_VALUE"""),394.0)</f>
        <v>394</v>
      </c>
      <c r="G2297" s="20">
        <f>IFERROR(__xludf.DUMMYFUNCTION("""COMPUTED_VALUE"""),210.0)</f>
        <v>210</v>
      </c>
      <c r="H2297" s="20" t="str">
        <f>IFERROR(__xludf.DUMMYFUNCTION("""COMPUTED_VALUE"""),"Algorithms")</f>
        <v>Algorithms</v>
      </c>
      <c r="I2297" s="20">
        <f>IFERROR(__xludf.DUMMYFUNCTION("""COMPUTED_VALUE"""),0.401)</f>
        <v>0.401</v>
      </c>
      <c r="J2297" s="20">
        <f>IFERROR(__xludf.DUMMYFUNCTION("""COMPUTED_VALUE"""),2296.0)</f>
        <v>2296</v>
      </c>
      <c r="K2297" s="20" t="b">
        <f>IFERROR(__xludf.DUMMYFUNCTION("""COMPUTED_VALUE"""),FALSE)</f>
        <v>0</v>
      </c>
      <c r="L2297" s="20" t="str">
        <f>IFERROR(__xludf.DUMMYFUNCTION("""COMPUTED_VALUE"""),"Linked List;String;Stack;Design;Simulation;Doubly-Linked List;")</f>
        <v>Linked List;String;Stack;Design;Simulation;Doubly-Linked List;</v>
      </c>
      <c r="M2297" s="20" t="b">
        <f>IFERROR(__xludf.DUMMYFUNCTION("""COMPUTED_VALUE"""),FALSE)</f>
        <v>0</v>
      </c>
      <c r="N2297" s="20" t="b">
        <f>IFERROR(__xludf.DUMMYFUNCTION("""COMPUTED_VALUE"""),FALSE)</f>
        <v>0</v>
      </c>
      <c r="O2297" s="20">
        <f>IFERROR(__xludf.DUMMYFUNCTION("""COMPUTED_VALUE"""),40.1162464199472)</f>
        <v>40.11624642</v>
      </c>
      <c r="P2297" s="20">
        <f>IFERROR(__xludf.DUMMYFUNCTION("""COMPUTED_VALUE"""),14287.0)</f>
        <v>14287</v>
      </c>
      <c r="Q2297" s="20">
        <f>IFERROR(__xludf.DUMMYFUNCTION("""COMPUTED_VALUE"""),35614.0)</f>
        <v>35614</v>
      </c>
    </row>
    <row r="2298">
      <c r="A2298" s="20">
        <f>IFERROR(__xludf.DUMMYFUNCTION("""COMPUTED_VALUE"""),2056.0)</f>
        <v>2056</v>
      </c>
      <c r="B2298" s="20" t="str">
        <f>IFERROR(__xludf.DUMMYFUNCTION("""COMPUTED_VALUE"""),"Jump Game VIII")</f>
        <v>Jump Game VIII</v>
      </c>
      <c r="C2298" s="20" t="str">
        <f>IFERROR(__xludf.DUMMYFUNCTION("""COMPUTED_VALUE"""),"jump-game-viii")</f>
        <v>jump-game-viii</v>
      </c>
      <c r="D2298" s="20" t="b">
        <f>IFERROR(__xludf.DUMMYFUNCTION("""COMPUTED_VALUE"""),TRUE)</f>
        <v>1</v>
      </c>
      <c r="E2298" s="20" t="str">
        <f>IFERROR(__xludf.DUMMYFUNCTION("""COMPUTED_VALUE"""),"Medium")</f>
        <v>Medium</v>
      </c>
      <c r="F2298" s="20">
        <f>IFERROR(__xludf.DUMMYFUNCTION("""COMPUTED_VALUE"""),56.0)</f>
        <v>56</v>
      </c>
      <c r="G2298" s="20">
        <f>IFERROR(__xludf.DUMMYFUNCTION("""COMPUTED_VALUE"""),7.0)</f>
        <v>7</v>
      </c>
      <c r="H2298" s="20" t="str">
        <f>IFERROR(__xludf.DUMMYFUNCTION("""COMPUTED_VALUE"""),"Algorithms")</f>
        <v>Algorithms</v>
      </c>
      <c r="I2298" s="20">
        <f>IFERROR(__xludf.DUMMYFUNCTION("""COMPUTED_VALUE"""),0.568)</f>
        <v>0.568</v>
      </c>
      <c r="J2298" s="20">
        <f>IFERROR(__xludf.DUMMYFUNCTION("""COMPUTED_VALUE"""),2297.0)</f>
        <v>2297</v>
      </c>
      <c r="K2298" s="20" t="b">
        <f>IFERROR(__xludf.DUMMYFUNCTION("""COMPUTED_VALUE"""),TRUE)</f>
        <v>1</v>
      </c>
      <c r="L2298" s="20" t="str">
        <f>IFERROR(__xludf.DUMMYFUNCTION("""COMPUTED_VALUE"""),"Array;Dynamic Programming;Stack;Graph;Monotonic Stack;Shortest Path;")</f>
        <v>Array;Dynamic Programming;Stack;Graph;Monotonic Stack;Shortest Path;</v>
      </c>
      <c r="M2298" s="20" t="b">
        <f>IFERROR(__xludf.DUMMYFUNCTION("""COMPUTED_VALUE"""),FALSE)</f>
        <v>0</v>
      </c>
      <c r="N2298" s="20" t="b">
        <f>IFERROR(__xludf.DUMMYFUNCTION("""COMPUTED_VALUE"""),FALSE)</f>
        <v>0</v>
      </c>
      <c r="O2298" s="20">
        <f>IFERROR(__xludf.DUMMYFUNCTION("""COMPUTED_VALUE"""),56.8356374807987)</f>
        <v>56.83563748</v>
      </c>
      <c r="P2298" s="20">
        <f>IFERROR(__xludf.DUMMYFUNCTION("""COMPUTED_VALUE"""),1110.0)</f>
        <v>1110</v>
      </c>
      <c r="Q2298" s="20">
        <f>IFERROR(__xludf.DUMMYFUNCTION("""COMPUTED_VALUE"""),1953.0)</f>
        <v>1953</v>
      </c>
    </row>
    <row r="2299">
      <c r="A2299" s="20">
        <f>IFERROR(__xludf.DUMMYFUNCTION("""COMPUTED_VALUE"""),2440.0)</f>
        <v>2440</v>
      </c>
      <c r="B2299" s="20" t="str">
        <f>IFERROR(__xludf.DUMMYFUNCTION("""COMPUTED_VALUE"""),"Tasks Count in the Weekend")</f>
        <v>Tasks Count in the Weekend</v>
      </c>
      <c r="C2299" s="20" t="str">
        <f>IFERROR(__xludf.DUMMYFUNCTION("""COMPUTED_VALUE"""),"tasks-count-in-the-weekend")</f>
        <v>tasks-count-in-the-weekend</v>
      </c>
      <c r="D2299" s="20" t="b">
        <f>IFERROR(__xludf.DUMMYFUNCTION("""COMPUTED_VALUE"""),TRUE)</f>
        <v>1</v>
      </c>
      <c r="E2299" s="20" t="str">
        <f>IFERROR(__xludf.DUMMYFUNCTION("""COMPUTED_VALUE"""),"Medium")</f>
        <v>Medium</v>
      </c>
      <c r="F2299" s="20">
        <f>IFERROR(__xludf.DUMMYFUNCTION("""COMPUTED_VALUE"""),23.0)</f>
        <v>23</v>
      </c>
      <c r="G2299" s="20">
        <f>IFERROR(__xludf.DUMMYFUNCTION("""COMPUTED_VALUE"""),7.0)</f>
        <v>7</v>
      </c>
      <c r="H2299" s="20" t="str">
        <f>IFERROR(__xludf.DUMMYFUNCTION("""COMPUTED_VALUE"""),"Database")</f>
        <v>Database</v>
      </c>
      <c r="I2299" s="20">
        <f>IFERROR(__xludf.DUMMYFUNCTION("""COMPUTED_VALUE"""),0.873)</f>
        <v>0.873</v>
      </c>
      <c r="J2299" s="20">
        <f>IFERROR(__xludf.DUMMYFUNCTION("""COMPUTED_VALUE"""),2298.0)</f>
        <v>2298</v>
      </c>
      <c r="K2299" s="20" t="b">
        <f>IFERROR(__xludf.DUMMYFUNCTION("""COMPUTED_VALUE"""),TRUE)</f>
        <v>1</v>
      </c>
      <c r="L2299" s="20" t="str">
        <f>IFERROR(__xludf.DUMMYFUNCTION("""COMPUTED_VALUE"""),"Database;")</f>
        <v>Database;</v>
      </c>
      <c r="M2299" s="20" t="b">
        <f>IFERROR(__xludf.DUMMYFUNCTION("""COMPUTED_VALUE"""),FALSE)</f>
        <v>0</v>
      </c>
      <c r="N2299" s="20" t="b">
        <f>IFERROR(__xludf.DUMMYFUNCTION("""COMPUTED_VALUE"""),FALSE)</f>
        <v>0</v>
      </c>
      <c r="O2299" s="20">
        <f>IFERROR(__xludf.DUMMYFUNCTION("""COMPUTED_VALUE"""),87.3079492317969)</f>
        <v>87.30794923</v>
      </c>
      <c r="P2299" s="20">
        <f>IFERROR(__xludf.DUMMYFUNCTION("""COMPUTED_VALUE"""),2614.0)</f>
        <v>2614</v>
      </c>
      <c r="Q2299" s="20">
        <f>IFERROR(__xludf.DUMMYFUNCTION("""COMPUTED_VALUE"""),2994.0)</f>
        <v>2994</v>
      </c>
    </row>
    <row r="2300">
      <c r="A2300" s="20">
        <f>IFERROR(__xludf.DUMMYFUNCTION("""COMPUTED_VALUE"""),2391.0)</f>
        <v>2391</v>
      </c>
      <c r="B2300" s="20" t="str">
        <f>IFERROR(__xludf.DUMMYFUNCTION("""COMPUTED_VALUE"""),"Strong Password Checker II")</f>
        <v>Strong Password Checker II</v>
      </c>
      <c r="C2300" s="20" t="str">
        <f>IFERROR(__xludf.DUMMYFUNCTION("""COMPUTED_VALUE"""),"strong-password-checker-ii")</f>
        <v>strong-password-checker-ii</v>
      </c>
      <c r="D2300" s="20" t="b">
        <f>IFERROR(__xludf.DUMMYFUNCTION("""COMPUTED_VALUE"""),FALSE)</f>
        <v>0</v>
      </c>
      <c r="E2300" s="20" t="str">
        <f>IFERROR(__xludf.DUMMYFUNCTION("""COMPUTED_VALUE"""),"Easy")</f>
        <v>Easy</v>
      </c>
      <c r="F2300" s="20">
        <f>IFERROR(__xludf.DUMMYFUNCTION("""COMPUTED_VALUE"""),219.0)</f>
        <v>219</v>
      </c>
      <c r="G2300" s="20">
        <f>IFERROR(__xludf.DUMMYFUNCTION("""COMPUTED_VALUE"""),31.0)</f>
        <v>31</v>
      </c>
      <c r="H2300" s="20" t="str">
        <f>IFERROR(__xludf.DUMMYFUNCTION("""COMPUTED_VALUE"""),"Algorithms")</f>
        <v>Algorithms</v>
      </c>
      <c r="I2300" s="20">
        <f>IFERROR(__xludf.DUMMYFUNCTION("""COMPUTED_VALUE"""),0.566)</f>
        <v>0.566</v>
      </c>
      <c r="J2300" s="20">
        <f>IFERROR(__xludf.DUMMYFUNCTION("""COMPUTED_VALUE"""),2299.0)</f>
        <v>2299</v>
      </c>
      <c r="K2300" s="20" t="b">
        <f>IFERROR(__xludf.DUMMYFUNCTION("""COMPUTED_VALUE"""),FALSE)</f>
        <v>0</v>
      </c>
      <c r="L2300" s="20" t="str">
        <f>IFERROR(__xludf.DUMMYFUNCTION("""COMPUTED_VALUE"""),"String;")</f>
        <v>String;</v>
      </c>
      <c r="M2300" s="20" t="b">
        <f>IFERROR(__xludf.DUMMYFUNCTION("""COMPUTED_VALUE"""),FALSE)</f>
        <v>0</v>
      </c>
      <c r="N2300" s="20" t="b">
        <f>IFERROR(__xludf.DUMMYFUNCTION("""COMPUTED_VALUE"""),FALSE)</f>
        <v>0</v>
      </c>
      <c r="O2300" s="20">
        <f>IFERROR(__xludf.DUMMYFUNCTION("""COMPUTED_VALUE"""),56.6094639367938)</f>
        <v>56.60946394</v>
      </c>
      <c r="P2300" s="20">
        <f>IFERROR(__xludf.DUMMYFUNCTION("""COMPUTED_VALUE"""),26654.0)</f>
        <v>26654</v>
      </c>
      <c r="Q2300" s="20">
        <f>IFERROR(__xludf.DUMMYFUNCTION("""COMPUTED_VALUE"""),47084.0)</f>
        <v>47084</v>
      </c>
    </row>
    <row r="2301">
      <c r="A2301" s="20">
        <f>IFERROR(__xludf.DUMMYFUNCTION("""COMPUTED_VALUE"""),2392.0)</f>
        <v>2392</v>
      </c>
      <c r="B2301" s="20" t="str">
        <f>IFERROR(__xludf.DUMMYFUNCTION("""COMPUTED_VALUE"""),"Successful Pairs of Spells and Potions")</f>
        <v>Successful Pairs of Spells and Potions</v>
      </c>
      <c r="C2301" s="20" t="str">
        <f>IFERROR(__xludf.DUMMYFUNCTION("""COMPUTED_VALUE"""),"successful-pairs-of-spells-and-potions")</f>
        <v>successful-pairs-of-spells-and-potions</v>
      </c>
      <c r="D2301" s="20" t="b">
        <f>IFERROR(__xludf.DUMMYFUNCTION("""COMPUTED_VALUE"""),FALSE)</f>
        <v>0</v>
      </c>
      <c r="E2301" s="20" t="str">
        <f>IFERROR(__xludf.DUMMYFUNCTION("""COMPUTED_VALUE"""),"Medium")</f>
        <v>Medium</v>
      </c>
      <c r="F2301" s="20">
        <f>IFERROR(__xludf.DUMMYFUNCTION("""COMPUTED_VALUE"""),415.0)</f>
        <v>415</v>
      </c>
      <c r="G2301" s="20">
        <f>IFERROR(__xludf.DUMMYFUNCTION("""COMPUTED_VALUE"""),12.0)</f>
        <v>12</v>
      </c>
      <c r="H2301" s="20" t="str">
        <f>IFERROR(__xludf.DUMMYFUNCTION("""COMPUTED_VALUE"""),"Algorithms")</f>
        <v>Algorithms</v>
      </c>
      <c r="I2301" s="20">
        <f>IFERROR(__xludf.DUMMYFUNCTION("""COMPUTED_VALUE"""),0.319)</f>
        <v>0.319</v>
      </c>
      <c r="J2301" s="20">
        <f>IFERROR(__xludf.DUMMYFUNCTION("""COMPUTED_VALUE"""),2300.0)</f>
        <v>2300</v>
      </c>
      <c r="K2301" s="20" t="b">
        <f>IFERROR(__xludf.DUMMYFUNCTION("""COMPUTED_VALUE"""),FALSE)</f>
        <v>0</v>
      </c>
      <c r="L2301" s="20" t="str">
        <f>IFERROR(__xludf.DUMMYFUNCTION("""COMPUTED_VALUE"""),"Array;Two Pointers;Binary Search;Sorting;")</f>
        <v>Array;Two Pointers;Binary Search;Sorting;</v>
      </c>
      <c r="M2301" s="20" t="b">
        <f>IFERROR(__xludf.DUMMYFUNCTION("""COMPUTED_VALUE"""),FALSE)</f>
        <v>0</v>
      </c>
      <c r="N2301" s="20" t="b">
        <f>IFERROR(__xludf.DUMMYFUNCTION("""COMPUTED_VALUE"""),FALSE)</f>
        <v>0</v>
      </c>
      <c r="O2301" s="20">
        <f>IFERROR(__xludf.DUMMYFUNCTION("""COMPUTED_VALUE"""),31.9271362676882)</f>
        <v>31.92713627</v>
      </c>
      <c r="P2301" s="20">
        <f>IFERROR(__xludf.DUMMYFUNCTION("""COMPUTED_VALUE"""),20419.0)</f>
        <v>20419</v>
      </c>
      <c r="Q2301" s="20">
        <f>IFERROR(__xludf.DUMMYFUNCTION("""COMPUTED_VALUE"""),63955.0)</f>
        <v>63955</v>
      </c>
    </row>
    <row r="2302">
      <c r="A2302" s="20">
        <f>IFERROR(__xludf.DUMMYFUNCTION("""COMPUTED_VALUE"""),2393.0)</f>
        <v>2393</v>
      </c>
      <c r="B2302" s="20" t="str">
        <f>IFERROR(__xludf.DUMMYFUNCTION("""COMPUTED_VALUE"""),"Match Substring After Replacement")</f>
        <v>Match Substring After Replacement</v>
      </c>
      <c r="C2302" s="20" t="str">
        <f>IFERROR(__xludf.DUMMYFUNCTION("""COMPUTED_VALUE"""),"match-substring-after-replacement")</f>
        <v>match-substring-after-replacement</v>
      </c>
      <c r="D2302" s="20" t="b">
        <f>IFERROR(__xludf.DUMMYFUNCTION("""COMPUTED_VALUE"""),FALSE)</f>
        <v>0</v>
      </c>
      <c r="E2302" s="20" t="str">
        <f>IFERROR(__xludf.DUMMYFUNCTION("""COMPUTED_VALUE"""),"Hard")</f>
        <v>Hard</v>
      </c>
      <c r="F2302" s="20">
        <f>IFERROR(__xludf.DUMMYFUNCTION("""COMPUTED_VALUE"""),304.0)</f>
        <v>304</v>
      </c>
      <c r="G2302" s="20">
        <f>IFERROR(__xludf.DUMMYFUNCTION("""COMPUTED_VALUE"""),67.0)</f>
        <v>67</v>
      </c>
      <c r="H2302" s="20" t="str">
        <f>IFERROR(__xludf.DUMMYFUNCTION("""COMPUTED_VALUE"""),"Algorithms")</f>
        <v>Algorithms</v>
      </c>
      <c r="I2302" s="20">
        <f>IFERROR(__xludf.DUMMYFUNCTION("""COMPUTED_VALUE"""),0.392)</f>
        <v>0.392</v>
      </c>
      <c r="J2302" s="20">
        <f>IFERROR(__xludf.DUMMYFUNCTION("""COMPUTED_VALUE"""),2301.0)</f>
        <v>2301</v>
      </c>
      <c r="K2302" s="20" t="b">
        <f>IFERROR(__xludf.DUMMYFUNCTION("""COMPUTED_VALUE"""),FALSE)</f>
        <v>0</v>
      </c>
      <c r="L2302" s="20" t="str">
        <f>IFERROR(__xludf.DUMMYFUNCTION("""COMPUTED_VALUE"""),"Array;Hash Table;String;String Matching;")</f>
        <v>Array;Hash Table;String;String Matching;</v>
      </c>
      <c r="M2302" s="20" t="b">
        <f>IFERROR(__xludf.DUMMYFUNCTION("""COMPUTED_VALUE"""),FALSE)</f>
        <v>0</v>
      </c>
      <c r="N2302" s="20" t="b">
        <f>IFERROR(__xludf.DUMMYFUNCTION("""COMPUTED_VALUE"""),FALSE)</f>
        <v>0</v>
      </c>
      <c r="O2302" s="20">
        <f>IFERROR(__xludf.DUMMYFUNCTION("""COMPUTED_VALUE"""),39.1802977393861)</f>
        <v>39.18029774</v>
      </c>
      <c r="P2302" s="20">
        <f>IFERROR(__xludf.DUMMYFUNCTION("""COMPUTED_VALUE"""),10659.0)</f>
        <v>10659</v>
      </c>
      <c r="Q2302" s="20">
        <f>IFERROR(__xludf.DUMMYFUNCTION("""COMPUTED_VALUE"""),27205.0)</f>
        <v>27205</v>
      </c>
    </row>
    <row r="2303">
      <c r="A2303" s="20">
        <f>IFERROR(__xludf.DUMMYFUNCTION("""COMPUTED_VALUE"""),2394.0)</f>
        <v>2394</v>
      </c>
      <c r="B2303" s="20" t="str">
        <f>IFERROR(__xludf.DUMMYFUNCTION("""COMPUTED_VALUE"""),"Count Subarrays With Score Less Than K")</f>
        <v>Count Subarrays With Score Less Than K</v>
      </c>
      <c r="C2303" s="20" t="str">
        <f>IFERROR(__xludf.DUMMYFUNCTION("""COMPUTED_VALUE"""),"count-subarrays-with-score-less-than-k")</f>
        <v>count-subarrays-with-score-less-than-k</v>
      </c>
      <c r="D2303" s="20" t="b">
        <f>IFERROR(__xludf.DUMMYFUNCTION("""COMPUTED_VALUE"""),FALSE)</f>
        <v>0</v>
      </c>
      <c r="E2303" s="20" t="str">
        <f>IFERROR(__xludf.DUMMYFUNCTION("""COMPUTED_VALUE"""),"Hard")</f>
        <v>Hard</v>
      </c>
      <c r="F2303" s="20">
        <f>IFERROR(__xludf.DUMMYFUNCTION("""COMPUTED_VALUE"""),648.0)</f>
        <v>648</v>
      </c>
      <c r="G2303" s="20">
        <f>IFERROR(__xludf.DUMMYFUNCTION("""COMPUTED_VALUE"""),14.0)</f>
        <v>14</v>
      </c>
      <c r="H2303" s="20" t="str">
        <f>IFERROR(__xludf.DUMMYFUNCTION("""COMPUTED_VALUE"""),"Algorithms")</f>
        <v>Algorithms</v>
      </c>
      <c r="I2303" s="20">
        <f>IFERROR(__xludf.DUMMYFUNCTION("""COMPUTED_VALUE"""),0.522)</f>
        <v>0.522</v>
      </c>
      <c r="J2303" s="20">
        <f>IFERROR(__xludf.DUMMYFUNCTION("""COMPUTED_VALUE"""),2302.0)</f>
        <v>2302</v>
      </c>
      <c r="K2303" s="20" t="b">
        <f>IFERROR(__xludf.DUMMYFUNCTION("""COMPUTED_VALUE"""),FALSE)</f>
        <v>0</v>
      </c>
      <c r="L2303" s="20" t="str">
        <f>IFERROR(__xludf.DUMMYFUNCTION("""COMPUTED_VALUE"""),"Array;Binary Search;Sliding Window;Prefix Sum;")</f>
        <v>Array;Binary Search;Sliding Window;Prefix Sum;</v>
      </c>
      <c r="M2303" s="20" t="b">
        <f>IFERROR(__xludf.DUMMYFUNCTION("""COMPUTED_VALUE"""),FALSE)</f>
        <v>0</v>
      </c>
      <c r="N2303" s="20" t="b">
        <f>IFERROR(__xludf.DUMMYFUNCTION("""COMPUTED_VALUE"""),FALSE)</f>
        <v>0</v>
      </c>
      <c r="O2303" s="20">
        <f>IFERROR(__xludf.DUMMYFUNCTION("""COMPUTED_VALUE"""),52.1916268614779)</f>
        <v>52.19162686</v>
      </c>
      <c r="P2303" s="20">
        <f>IFERROR(__xludf.DUMMYFUNCTION("""COMPUTED_VALUE"""),14860.0)</f>
        <v>14860</v>
      </c>
      <c r="Q2303" s="20">
        <f>IFERROR(__xludf.DUMMYFUNCTION("""COMPUTED_VALUE"""),28472.0)</f>
        <v>28472</v>
      </c>
    </row>
    <row r="2304">
      <c r="A2304" s="20">
        <f>IFERROR(__xludf.DUMMYFUNCTION("""COMPUTED_VALUE"""),1382.0)</f>
        <v>1382</v>
      </c>
      <c r="B2304" s="20" t="str">
        <f>IFERROR(__xludf.DUMMYFUNCTION("""COMPUTED_VALUE"""),"Calculate Amount Paid in Taxes")</f>
        <v>Calculate Amount Paid in Taxes</v>
      </c>
      <c r="C2304" s="20" t="str">
        <f>IFERROR(__xludf.DUMMYFUNCTION("""COMPUTED_VALUE"""),"calculate-amount-paid-in-taxes")</f>
        <v>calculate-amount-paid-in-taxes</v>
      </c>
      <c r="D2304" s="20" t="b">
        <f>IFERROR(__xludf.DUMMYFUNCTION("""COMPUTED_VALUE"""),FALSE)</f>
        <v>0</v>
      </c>
      <c r="E2304" s="20" t="str">
        <f>IFERROR(__xludf.DUMMYFUNCTION("""COMPUTED_VALUE"""),"Easy")</f>
        <v>Easy</v>
      </c>
      <c r="F2304" s="20">
        <f>IFERROR(__xludf.DUMMYFUNCTION("""COMPUTED_VALUE"""),159.0)</f>
        <v>159</v>
      </c>
      <c r="G2304" s="20">
        <f>IFERROR(__xludf.DUMMYFUNCTION("""COMPUTED_VALUE"""),205.0)</f>
        <v>205</v>
      </c>
      <c r="H2304" s="20" t="str">
        <f>IFERROR(__xludf.DUMMYFUNCTION("""COMPUTED_VALUE"""),"Algorithms")</f>
        <v>Algorithms</v>
      </c>
      <c r="I2304" s="20">
        <f>IFERROR(__xludf.DUMMYFUNCTION("""COMPUTED_VALUE"""),0.637)</f>
        <v>0.637</v>
      </c>
      <c r="J2304" s="20">
        <f>IFERROR(__xludf.DUMMYFUNCTION("""COMPUTED_VALUE"""),2303.0)</f>
        <v>2303</v>
      </c>
      <c r="K2304" s="20" t="b">
        <f>IFERROR(__xludf.DUMMYFUNCTION("""COMPUTED_VALUE"""),FALSE)</f>
        <v>0</v>
      </c>
      <c r="L2304" s="20" t="str">
        <f>IFERROR(__xludf.DUMMYFUNCTION("""COMPUTED_VALUE"""),"Array;Simulation;")</f>
        <v>Array;Simulation;</v>
      </c>
      <c r="M2304" s="20" t="b">
        <f>IFERROR(__xludf.DUMMYFUNCTION("""COMPUTED_VALUE"""),FALSE)</f>
        <v>0</v>
      </c>
      <c r="N2304" s="20" t="b">
        <f>IFERROR(__xludf.DUMMYFUNCTION("""COMPUTED_VALUE"""),FALSE)</f>
        <v>0</v>
      </c>
      <c r="O2304" s="20">
        <f>IFERROR(__xludf.DUMMYFUNCTION("""COMPUTED_VALUE"""),63.6752753330447)</f>
        <v>63.67527533</v>
      </c>
      <c r="P2304" s="20">
        <f>IFERROR(__xludf.DUMMYFUNCTION("""COMPUTED_VALUE"""),26480.0)</f>
        <v>26480</v>
      </c>
      <c r="Q2304" s="20">
        <f>IFERROR(__xludf.DUMMYFUNCTION("""COMPUTED_VALUE"""),41586.0)</f>
        <v>41586</v>
      </c>
    </row>
    <row r="2305">
      <c r="A2305" s="20">
        <f>IFERROR(__xludf.DUMMYFUNCTION("""COMPUTED_VALUE"""),1394.0)</f>
        <v>1394</v>
      </c>
      <c r="B2305" s="20" t="str">
        <f>IFERROR(__xludf.DUMMYFUNCTION("""COMPUTED_VALUE"""),"Minimum Path Cost in a Grid")</f>
        <v>Minimum Path Cost in a Grid</v>
      </c>
      <c r="C2305" s="20" t="str">
        <f>IFERROR(__xludf.DUMMYFUNCTION("""COMPUTED_VALUE"""),"minimum-path-cost-in-a-grid")</f>
        <v>minimum-path-cost-in-a-grid</v>
      </c>
      <c r="D2305" s="20" t="b">
        <f>IFERROR(__xludf.DUMMYFUNCTION("""COMPUTED_VALUE"""),FALSE)</f>
        <v>0</v>
      </c>
      <c r="E2305" s="20" t="str">
        <f>IFERROR(__xludf.DUMMYFUNCTION("""COMPUTED_VALUE"""),"Medium")</f>
        <v>Medium</v>
      </c>
      <c r="F2305" s="20">
        <f>IFERROR(__xludf.DUMMYFUNCTION("""COMPUTED_VALUE"""),554.0)</f>
        <v>554</v>
      </c>
      <c r="G2305" s="20">
        <f>IFERROR(__xludf.DUMMYFUNCTION("""COMPUTED_VALUE"""),82.0)</f>
        <v>82</v>
      </c>
      <c r="H2305" s="20" t="str">
        <f>IFERROR(__xludf.DUMMYFUNCTION("""COMPUTED_VALUE"""),"Algorithms")</f>
        <v>Algorithms</v>
      </c>
      <c r="I2305" s="20">
        <f>IFERROR(__xludf.DUMMYFUNCTION("""COMPUTED_VALUE"""),0.657)</f>
        <v>0.657</v>
      </c>
      <c r="J2305" s="20">
        <f>IFERROR(__xludf.DUMMYFUNCTION("""COMPUTED_VALUE"""),2304.0)</f>
        <v>2304</v>
      </c>
      <c r="K2305" s="20" t="b">
        <f>IFERROR(__xludf.DUMMYFUNCTION("""COMPUTED_VALUE"""),FALSE)</f>
        <v>0</v>
      </c>
      <c r="L2305" s="20" t="str">
        <f>IFERROR(__xludf.DUMMYFUNCTION("""COMPUTED_VALUE"""),"Array;Dynamic Programming;Matrix;")</f>
        <v>Array;Dynamic Programming;Matrix;</v>
      </c>
      <c r="M2305" s="20" t="b">
        <f>IFERROR(__xludf.DUMMYFUNCTION("""COMPUTED_VALUE"""),FALSE)</f>
        <v>0</v>
      </c>
      <c r="N2305" s="20" t="b">
        <f>IFERROR(__xludf.DUMMYFUNCTION("""COMPUTED_VALUE"""),FALSE)</f>
        <v>0</v>
      </c>
      <c r="O2305" s="20">
        <f>IFERROR(__xludf.DUMMYFUNCTION("""COMPUTED_VALUE"""),65.7384166610135)</f>
        <v>65.73841666</v>
      </c>
      <c r="P2305" s="20">
        <f>IFERROR(__xludf.DUMMYFUNCTION("""COMPUTED_VALUE"""),19381.0)</f>
        <v>19381</v>
      </c>
      <c r="Q2305" s="20">
        <f>IFERROR(__xludf.DUMMYFUNCTION("""COMPUTED_VALUE"""),29482.0)</f>
        <v>29482</v>
      </c>
    </row>
    <row r="2306">
      <c r="A2306" s="20">
        <f>IFERROR(__xludf.DUMMYFUNCTION("""COMPUTED_VALUE"""),1418.0)</f>
        <v>1418</v>
      </c>
      <c r="B2306" s="20" t="str">
        <f>IFERROR(__xludf.DUMMYFUNCTION("""COMPUTED_VALUE"""),"Fair Distribution of Cookies")</f>
        <v>Fair Distribution of Cookies</v>
      </c>
      <c r="C2306" s="20" t="str">
        <f>IFERROR(__xludf.DUMMYFUNCTION("""COMPUTED_VALUE"""),"fair-distribution-of-cookies")</f>
        <v>fair-distribution-of-cookies</v>
      </c>
      <c r="D2306" s="20" t="b">
        <f>IFERROR(__xludf.DUMMYFUNCTION("""COMPUTED_VALUE"""),FALSE)</f>
        <v>0</v>
      </c>
      <c r="E2306" s="20" t="str">
        <f>IFERROR(__xludf.DUMMYFUNCTION("""COMPUTED_VALUE"""),"Medium")</f>
        <v>Medium</v>
      </c>
      <c r="F2306" s="20">
        <f>IFERROR(__xludf.DUMMYFUNCTION("""COMPUTED_VALUE"""),714.0)</f>
        <v>714</v>
      </c>
      <c r="G2306" s="20">
        <f>IFERROR(__xludf.DUMMYFUNCTION("""COMPUTED_VALUE"""),38.0)</f>
        <v>38</v>
      </c>
      <c r="H2306" s="20" t="str">
        <f>IFERROR(__xludf.DUMMYFUNCTION("""COMPUTED_VALUE"""),"Algorithms")</f>
        <v>Algorithms</v>
      </c>
      <c r="I2306" s="20">
        <f>IFERROR(__xludf.DUMMYFUNCTION("""COMPUTED_VALUE"""),0.624)</f>
        <v>0.624</v>
      </c>
      <c r="J2306" s="20">
        <f>IFERROR(__xludf.DUMMYFUNCTION("""COMPUTED_VALUE"""),2305.0)</f>
        <v>2305</v>
      </c>
      <c r="K2306" s="20" t="b">
        <f>IFERROR(__xludf.DUMMYFUNCTION("""COMPUTED_VALUE"""),FALSE)</f>
        <v>0</v>
      </c>
      <c r="L2306" s="20" t="str">
        <f>IFERROR(__xludf.DUMMYFUNCTION("""COMPUTED_VALUE"""),"Array;Dynamic Programming;Backtracking;Bit Manipulation;Bitmask;")</f>
        <v>Array;Dynamic Programming;Backtracking;Bit Manipulation;Bitmask;</v>
      </c>
      <c r="M2306" s="20" t="b">
        <f>IFERROR(__xludf.DUMMYFUNCTION("""COMPUTED_VALUE"""),FALSE)</f>
        <v>0</v>
      </c>
      <c r="N2306" s="20" t="b">
        <f>IFERROR(__xludf.DUMMYFUNCTION("""COMPUTED_VALUE"""),FALSE)</f>
        <v>0</v>
      </c>
      <c r="O2306" s="20">
        <f>IFERROR(__xludf.DUMMYFUNCTION("""COMPUTED_VALUE"""),62.4025199547386)</f>
        <v>62.40251995</v>
      </c>
      <c r="P2306" s="20">
        <f>IFERROR(__xludf.DUMMYFUNCTION("""COMPUTED_VALUE"""),20405.0)</f>
        <v>20405</v>
      </c>
      <c r="Q2306" s="20">
        <f>IFERROR(__xludf.DUMMYFUNCTION("""COMPUTED_VALUE"""),32699.0)</f>
        <v>32699</v>
      </c>
    </row>
    <row r="2307">
      <c r="A2307" s="20">
        <f>IFERROR(__xludf.DUMMYFUNCTION("""COMPUTED_VALUE"""),2390.0)</f>
        <v>2390</v>
      </c>
      <c r="B2307" s="20" t="str">
        <f>IFERROR(__xludf.DUMMYFUNCTION("""COMPUTED_VALUE"""),"Naming a Company")</f>
        <v>Naming a Company</v>
      </c>
      <c r="C2307" s="20" t="str">
        <f>IFERROR(__xludf.DUMMYFUNCTION("""COMPUTED_VALUE"""),"naming-a-company")</f>
        <v>naming-a-company</v>
      </c>
      <c r="D2307" s="20" t="b">
        <f>IFERROR(__xludf.DUMMYFUNCTION("""COMPUTED_VALUE"""),FALSE)</f>
        <v>0</v>
      </c>
      <c r="E2307" s="20" t="str">
        <f>IFERROR(__xludf.DUMMYFUNCTION("""COMPUTED_VALUE"""),"Hard")</f>
        <v>Hard</v>
      </c>
      <c r="F2307" s="20">
        <f>IFERROR(__xludf.DUMMYFUNCTION("""COMPUTED_VALUE"""),338.0)</f>
        <v>338</v>
      </c>
      <c r="G2307" s="20">
        <f>IFERROR(__xludf.DUMMYFUNCTION("""COMPUTED_VALUE"""),18.0)</f>
        <v>18</v>
      </c>
      <c r="H2307" s="20" t="str">
        <f>IFERROR(__xludf.DUMMYFUNCTION("""COMPUTED_VALUE"""),"Algorithms")</f>
        <v>Algorithms</v>
      </c>
      <c r="I2307" s="20">
        <f>IFERROR(__xludf.DUMMYFUNCTION("""COMPUTED_VALUE"""),0.345)</f>
        <v>0.345</v>
      </c>
      <c r="J2307" s="20">
        <f>IFERROR(__xludf.DUMMYFUNCTION("""COMPUTED_VALUE"""),2306.0)</f>
        <v>2306</v>
      </c>
      <c r="K2307" s="20" t="b">
        <f>IFERROR(__xludf.DUMMYFUNCTION("""COMPUTED_VALUE"""),FALSE)</f>
        <v>0</v>
      </c>
      <c r="L2307" s="20" t="str">
        <f>IFERROR(__xludf.DUMMYFUNCTION("""COMPUTED_VALUE"""),"Array;Hash Table;String;Bit Manipulation;Enumeration;")</f>
        <v>Array;Hash Table;String;Bit Manipulation;Enumeration;</v>
      </c>
      <c r="M2307" s="20" t="b">
        <f>IFERROR(__xludf.DUMMYFUNCTION("""COMPUTED_VALUE"""),FALSE)</f>
        <v>0</v>
      </c>
      <c r="N2307" s="20" t="b">
        <f>IFERROR(__xludf.DUMMYFUNCTION("""COMPUTED_VALUE"""),FALSE)</f>
        <v>0</v>
      </c>
      <c r="O2307" s="20">
        <f>IFERROR(__xludf.DUMMYFUNCTION("""COMPUTED_VALUE"""),34.5453746042912)</f>
        <v>34.5453746</v>
      </c>
      <c r="P2307" s="20">
        <f>IFERROR(__xludf.DUMMYFUNCTION("""COMPUTED_VALUE"""),7856.0)</f>
        <v>7856</v>
      </c>
      <c r="Q2307" s="20">
        <f>IFERROR(__xludf.DUMMYFUNCTION("""COMPUTED_VALUE"""),22743.0)</f>
        <v>22743</v>
      </c>
    </row>
    <row r="2308">
      <c r="A2308" s="20">
        <f>IFERROR(__xludf.DUMMYFUNCTION("""COMPUTED_VALUE"""),2065.0)</f>
        <v>2065</v>
      </c>
      <c r="B2308" s="20" t="str">
        <f>IFERROR(__xludf.DUMMYFUNCTION("""COMPUTED_VALUE"""),"Check for Contradictions in Equations")</f>
        <v>Check for Contradictions in Equations</v>
      </c>
      <c r="C2308" s="20" t="str">
        <f>IFERROR(__xludf.DUMMYFUNCTION("""COMPUTED_VALUE"""),"check-for-contradictions-in-equations")</f>
        <v>check-for-contradictions-in-equations</v>
      </c>
      <c r="D2308" s="20" t="b">
        <f>IFERROR(__xludf.DUMMYFUNCTION("""COMPUTED_VALUE"""),TRUE)</f>
        <v>1</v>
      </c>
      <c r="E2308" s="20" t="str">
        <f>IFERROR(__xludf.DUMMYFUNCTION("""COMPUTED_VALUE"""),"Hard")</f>
        <v>Hard</v>
      </c>
      <c r="F2308" s="20">
        <f>IFERROR(__xludf.DUMMYFUNCTION("""COMPUTED_VALUE"""),19.0)</f>
        <v>19</v>
      </c>
      <c r="G2308" s="20">
        <f>IFERROR(__xludf.DUMMYFUNCTION("""COMPUTED_VALUE"""),12.0)</f>
        <v>12</v>
      </c>
      <c r="H2308" s="20" t="str">
        <f>IFERROR(__xludf.DUMMYFUNCTION("""COMPUTED_VALUE"""),"Algorithms")</f>
        <v>Algorithms</v>
      </c>
      <c r="I2308" s="20">
        <f>IFERROR(__xludf.DUMMYFUNCTION("""COMPUTED_VALUE"""),0.43)</f>
        <v>0.43</v>
      </c>
      <c r="J2308" s="20">
        <f>IFERROR(__xludf.DUMMYFUNCTION("""COMPUTED_VALUE"""),2307.0)</f>
        <v>2307</v>
      </c>
      <c r="K2308" s="20" t="b">
        <f>IFERROR(__xludf.DUMMYFUNCTION("""COMPUTED_VALUE"""),TRUE)</f>
        <v>1</v>
      </c>
      <c r="L2308" s="20" t="str">
        <f>IFERROR(__xludf.DUMMYFUNCTION("""COMPUTED_VALUE"""),"Array;Depth-First Search;Union Find;Graph;")</f>
        <v>Array;Depth-First Search;Union Find;Graph;</v>
      </c>
      <c r="M2308" s="20" t="b">
        <f>IFERROR(__xludf.DUMMYFUNCTION("""COMPUTED_VALUE"""),FALSE)</f>
        <v>0</v>
      </c>
      <c r="N2308" s="20" t="b">
        <f>IFERROR(__xludf.DUMMYFUNCTION("""COMPUTED_VALUE"""),FALSE)</f>
        <v>0</v>
      </c>
      <c r="O2308" s="20">
        <f>IFERROR(__xludf.DUMMYFUNCTION("""COMPUTED_VALUE"""),43.0357142857142)</f>
        <v>43.03571429</v>
      </c>
      <c r="P2308" s="20">
        <f>IFERROR(__xludf.DUMMYFUNCTION("""COMPUTED_VALUE"""),723.0)</f>
        <v>723</v>
      </c>
      <c r="Q2308" s="20">
        <f>IFERROR(__xludf.DUMMYFUNCTION("""COMPUTED_VALUE"""),1680.0)</f>
        <v>1680</v>
      </c>
    </row>
    <row r="2309">
      <c r="A2309" s="20">
        <f>IFERROR(__xludf.DUMMYFUNCTION("""COMPUTED_VALUE"""),2441.0)</f>
        <v>2441</v>
      </c>
      <c r="B2309" s="20" t="str">
        <f>IFERROR(__xludf.DUMMYFUNCTION("""COMPUTED_VALUE"""),"Arrange Table by Gender")</f>
        <v>Arrange Table by Gender</v>
      </c>
      <c r="C2309" s="20" t="str">
        <f>IFERROR(__xludf.DUMMYFUNCTION("""COMPUTED_VALUE"""),"arrange-table-by-gender")</f>
        <v>arrange-table-by-gender</v>
      </c>
      <c r="D2309" s="20" t="b">
        <f>IFERROR(__xludf.DUMMYFUNCTION("""COMPUTED_VALUE"""),TRUE)</f>
        <v>1</v>
      </c>
      <c r="E2309" s="20" t="str">
        <f>IFERROR(__xludf.DUMMYFUNCTION("""COMPUTED_VALUE"""),"Medium")</f>
        <v>Medium</v>
      </c>
      <c r="F2309" s="20">
        <f>IFERROR(__xludf.DUMMYFUNCTION("""COMPUTED_VALUE"""),34.0)</f>
        <v>34</v>
      </c>
      <c r="G2309" s="20">
        <f>IFERROR(__xludf.DUMMYFUNCTION("""COMPUTED_VALUE"""),9.0)</f>
        <v>9</v>
      </c>
      <c r="H2309" s="20" t="str">
        <f>IFERROR(__xludf.DUMMYFUNCTION("""COMPUTED_VALUE"""),"Database")</f>
        <v>Database</v>
      </c>
      <c r="I2309" s="20">
        <f>IFERROR(__xludf.DUMMYFUNCTION("""COMPUTED_VALUE"""),0.787)</f>
        <v>0.787</v>
      </c>
      <c r="J2309" s="20">
        <f>IFERROR(__xludf.DUMMYFUNCTION("""COMPUTED_VALUE"""),2308.0)</f>
        <v>2308</v>
      </c>
      <c r="K2309" s="20" t="b">
        <f>IFERROR(__xludf.DUMMYFUNCTION("""COMPUTED_VALUE"""),TRUE)</f>
        <v>1</v>
      </c>
      <c r="L2309" s="20" t="str">
        <f>IFERROR(__xludf.DUMMYFUNCTION("""COMPUTED_VALUE"""),"Database;")</f>
        <v>Database;</v>
      </c>
      <c r="M2309" s="20" t="b">
        <f>IFERROR(__xludf.DUMMYFUNCTION("""COMPUTED_VALUE"""),FALSE)</f>
        <v>0</v>
      </c>
      <c r="N2309" s="20" t="b">
        <f>IFERROR(__xludf.DUMMYFUNCTION("""COMPUTED_VALUE"""),FALSE)</f>
        <v>0</v>
      </c>
      <c r="O2309" s="20">
        <f>IFERROR(__xludf.DUMMYFUNCTION("""COMPUTED_VALUE"""),78.652081863091)</f>
        <v>78.65208186</v>
      </c>
      <c r="P2309" s="20">
        <f>IFERROR(__xludf.DUMMYFUNCTION("""COMPUTED_VALUE"""),2229.0)</f>
        <v>2229</v>
      </c>
      <c r="Q2309" s="20">
        <f>IFERROR(__xludf.DUMMYFUNCTION("""COMPUTED_VALUE"""),2834.0)</f>
        <v>2834</v>
      </c>
    </row>
    <row r="2310">
      <c r="A2310" s="20">
        <f>IFERROR(__xludf.DUMMYFUNCTION("""COMPUTED_VALUE"""),1363.0)</f>
        <v>1363</v>
      </c>
      <c r="B2310" s="20" t="str">
        <f>IFERROR(__xludf.DUMMYFUNCTION("""COMPUTED_VALUE"""),"Greatest English Letter in Upper and Lower Case")</f>
        <v>Greatest English Letter in Upper and Lower Case</v>
      </c>
      <c r="C2310" s="20" t="str">
        <f>IFERROR(__xludf.DUMMYFUNCTION("""COMPUTED_VALUE"""),"greatest-english-letter-in-upper-and-lower-case")</f>
        <v>greatest-english-letter-in-upper-and-lower-case</v>
      </c>
      <c r="D2310" s="20" t="b">
        <f>IFERROR(__xludf.DUMMYFUNCTION("""COMPUTED_VALUE"""),FALSE)</f>
        <v>0</v>
      </c>
      <c r="E2310" s="20" t="str">
        <f>IFERROR(__xludf.DUMMYFUNCTION("""COMPUTED_VALUE"""),"Easy")</f>
        <v>Easy</v>
      </c>
      <c r="F2310" s="20">
        <f>IFERROR(__xludf.DUMMYFUNCTION("""COMPUTED_VALUE"""),305.0)</f>
        <v>305</v>
      </c>
      <c r="G2310" s="20">
        <f>IFERROR(__xludf.DUMMYFUNCTION("""COMPUTED_VALUE"""),21.0)</f>
        <v>21</v>
      </c>
      <c r="H2310" s="20" t="str">
        <f>IFERROR(__xludf.DUMMYFUNCTION("""COMPUTED_VALUE"""),"Algorithms")</f>
        <v>Algorithms</v>
      </c>
      <c r="I2310" s="20">
        <f>IFERROR(__xludf.DUMMYFUNCTION("""COMPUTED_VALUE"""),0.685)</f>
        <v>0.685</v>
      </c>
      <c r="J2310" s="20">
        <f>IFERROR(__xludf.DUMMYFUNCTION("""COMPUTED_VALUE"""),2309.0)</f>
        <v>2309</v>
      </c>
      <c r="K2310" s="20" t="b">
        <f>IFERROR(__xludf.DUMMYFUNCTION("""COMPUTED_VALUE"""),FALSE)</f>
        <v>0</v>
      </c>
      <c r="L2310" s="20" t="str">
        <f>IFERROR(__xludf.DUMMYFUNCTION("""COMPUTED_VALUE"""),"Hash Table;String;Enumeration;")</f>
        <v>Hash Table;String;Enumeration;</v>
      </c>
      <c r="M2310" s="20" t="b">
        <f>IFERROR(__xludf.DUMMYFUNCTION("""COMPUTED_VALUE"""),FALSE)</f>
        <v>0</v>
      </c>
      <c r="N2310" s="20" t="b">
        <f>IFERROR(__xludf.DUMMYFUNCTION("""COMPUTED_VALUE"""),FALSE)</f>
        <v>0</v>
      </c>
      <c r="O2310" s="20">
        <f>IFERROR(__xludf.DUMMYFUNCTION("""COMPUTED_VALUE"""),68.5272759650962)</f>
        <v>68.52727597</v>
      </c>
      <c r="P2310" s="20">
        <f>IFERROR(__xludf.DUMMYFUNCTION("""COMPUTED_VALUE"""),34633.0)</f>
        <v>34633</v>
      </c>
      <c r="Q2310" s="20">
        <f>IFERROR(__xludf.DUMMYFUNCTION("""COMPUTED_VALUE"""),50539.0)</f>
        <v>50539</v>
      </c>
    </row>
    <row r="2311">
      <c r="A2311" s="20">
        <f>IFERROR(__xludf.DUMMYFUNCTION("""COMPUTED_VALUE"""),1334.0)</f>
        <v>1334</v>
      </c>
      <c r="B2311" s="20" t="str">
        <f>IFERROR(__xludf.DUMMYFUNCTION("""COMPUTED_VALUE"""),"Sum of Numbers With Units Digit K")</f>
        <v>Sum of Numbers With Units Digit K</v>
      </c>
      <c r="C2311" s="20" t="str">
        <f>IFERROR(__xludf.DUMMYFUNCTION("""COMPUTED_VALUE"""),"sum-of-numbers-with-units-digit-k")</f>
        <v>sum-of-numbers-with-units-digit-k</v>
      </c>
      <c r="D2311" s="20" t="b">
        <f>IFERROR(__xludf.DUMMYFUNCTION("""COMPUTED_VALUE"""),FALSE)</f>
        <v>0</v>
      </c>
      <c r="E2311" s="20" t="str">
        <f>IFERROR(__xludf.DUMMYFUNCTION("""COMPUTED_VALUE"""),"Medium")</f>
        <v>Medium</v>
      </c>
      <c r="F2311" s="20">
        <f>IFERROR(__xludf.DUMMYFUNCTION("""COMPUTED_VALUE"""),290.0)</f>
        <v>290</v>
      </c>
      <c r="G2311" s="20">
        <f>IFERROR(__xludf.DUMMYFUNCTION("""COMPUTED_VALUE"""),281.0)</f>
        <v>281</v>
      </c>
      <c r="H2311" s="20" t="str">
        <f>IFERROR(__xludf.DUMMYFUNCTION("""COMPUTED_VALUE"""),"Algorithms")</f>
        <v>Algorithms</v>
      </c>
      <c r="I2311" s="20">
        <f>IFERROR(__xludf.DUMMYFUNCTION("""COMPUTED_VALUE"""),0.255)</f>
        <v>0.255</v>
      </c>
      <c r="J2311" s="20">
        <f>IFERROR(__xludf.DUMMYFUNCTION("""COMPUTED_VALUE"""),2310.0)</f>
        <v>2310</v>
      </c>
      <c r="K2311" s="20" t="b">
        <f>IFERROR(__xludf.DUMMYFUNCTION("""COMPUTED_VALUE"""),FALSE)</f>
        <v>0</v>
      </c>
      <c r="L2311" s="20" t="str">
        <f>IFERROR(__xludf.DUMMYFUNCTION("""COMPUTED_VALUE"""),"Math;Dynamic Programming;Greedy;Enumeration;")</f>
        <v>Math;Dynamic Programming;Greedy;Enumeration;</v>
      </c>
      <c r="M2311" s="20" t="b">
        <f>IFERROR(__xludf.DUMMYFUNCTION("""COMPUTED_VALUE"""),FALSE)</f>
        <v>0</v>
      </c>
      <c r="N2311" s="20" t="b">
        <f>IFERROR(__xludf.DUMMYFUNCTION("""COMPUTED_VALUE"""),FALSE)</f>
        <v>0</v>
      </c>
      <c r="O2311" s="20">
        <f>IFERROR(__xludf.DUMMYFUNCTION("""COMPUTED_VALUE"""),25.5386749038643)</f>
        <v>25.5386749</v>
      </c>
      <c r="P2311" s="20">
        <f>IFERROR(__xludf.DUMMYFUNCTION("""COMPUTED_VALUE"""),20255.0)</f>
        <v>20255</v>
      </c>
      <c r="Q2311" s="20">
        <f>IFERROR(__xludf.DUMMYFUNCTION("""COMPUTED_VALUE"""),79314.0)</f>
        <v>79314</v>
      </c>
    </row>
    <row r="2312">
      <c r="A2312" s="20">
        <f>IFERROR(__xludf.DUMMYFUNCTION("""COMPUTED_VALUE"""),2395.0)</f>
        <v>2395</v>
      </c>
      <c r="B2312" s="20" t="str">
        <f>IFERROR(__xludf.DUMMYFUNCTION("""COMPUTED_VALUE"""),"Longest Binary Subsequence Less Than or Equal to K")</f>
        <v>Longest Binary Subsequence Less Than or Equal to K</v>
      </c>
      <c r="C2312" s="20" t="str">
        <f>IFERROR(__xludf.DUMMYFUNCTION("""COMPUTED_VALUE"""),"longest-binary-subsequence-less-than-or-equal-to-k")</f>
        <v>longest-binary-subsequence-less-than-or-equal-to-k</v>
      </c>
      <c r="D2312" s="20" t="b">
        <f>IFERROR(__xludf.DUMMYFUNCTION("""COMPUTED_VALUE"""),FALSE)</f>
        <v>0</v>
      </c>
      <c r="E2312" s="20" t="str">
        <f>IFERROR(__xludf.DUMMYFUNCTION("""COMPUTED_VALUE"""),"Medium")</f>
        <v>Medium</v>
      </c>
      <c r="F2312" s="20">
        <f>IFERROR(__xludf.DUMMYFUNCTION("""COMPUTED_VALUE"""),540.0)</f>
        <v>540</v>
      </c>
      <c r="G2312" s="20">
        <f>IFERROR(__xludf.DUMMYFUNCTION("""COMPUTED_VALUE"""),40.0)</f>
        <v>40</v>
      </c>
      <c r="H2312" s="20" t="str">
        <f>IFERROR(__xludf.DUMMYFUNCTION("""COMPUTED_VALUE"""),"Algorithms")</f>
        <v>Algorithms</v>
      </c>
      <c r="I2312" s="20">
        <f>IFERROR(__xludf.DUMMYFUNCTION("""COMPUTED_VALUE"""),0.367)</f>
        <v>0.367</v>
      </c>
      <c r="J2312" s="20">
        <f>IFERROR(__xludf.DUMMYFUNCTION("""COMPUTED_VALUE"""),2311.0)</f>
        <v>2311</v>
      </c>
      <c r="K2312" s="20" t="b">
        <f>IFERROR(__xludf.DUMMYFUNCTION("""COMPUTED_VALUE"""),FALSE)</f>
        <v>0</v>
      </c>
      <c r="L2312" s="20" t="str">
        <f>IFERROR(__xludf.DUMMYFUNCTION("""COMPUTED_VALUE"""),"String;Dynamic Programming;Greedy;Memoization;")</f>
        <v>String;Dynamic Programming;Greedy;Memoization;</v>
      </c>
      <c r="M2312" s="20" t="b">
        <f>IFERROR(__xludf.DUMMYFUNCTION("""COMPUTED_VALUE"""),FALSE)</f>
        <v>0</v>
      </c>
      <c r="N2312" s="20" t="b">
        <f>IFERROR(__xludf.DUMMYFUNCTION("""COMPUTED_VALUE"""),FALSE)</f>
        <v>0</v>
      </c>
      <c r="O2312" s="20">
        <f>IFERROR(__xludf.DUMMYFUNCTION("""COMPUTED_VALUE"""),36.6524338172502)</f>
        <v>36.65243382</v>
      </c>
      <c r="P2312" s="20">
        <f>IFERROR(__xludf.DUMMYFUNCTION("""COMPUTED_VALUE"""),17168.0)</f>
        <v>17168</v>
      </c>
      <c r="Q2312" s="20">
        <f>IFERROR(__xludf.DUMMYFUNCTION("""COMPUTED_VALUE"""),46840.0)</f>
        <v>46840</v>
      </c>
    </row>
    <row r="2313">
      <c r="A2313" s="20">
        <f>IFERROR(__xludf.DUMMYFUNCTION("""COMPUTED_VALUE"""),1376.0)</f>
        <v>1376</v>
      </c>
      <c r="B2313" s="20" t="str">
        <f>IFERROR(__xludf.DUMMYFUNCTION("""COMPUTED_VALUE"""),"Selling Pieces of Wood")</f>
        <v>Selling Pieces of Wood</v>
      </c>
      <c r="C2313" s="20" t="str">
        <f>IFERROR(__xludf.DUMMYFUNCTION("""COMPUTED_VALUE"""),"selling-pieces-of-wood")</f>
        <v>selling-pieces-of-wood</v>
      </c>
      <c r="D2313" s="20" t="b">
        <f>IFERROR(__xludf.DUMMYFUNCTION("""COMPUTED_VALUE"""),FALSE)</f>
        <v>0</v>
      </c>
      <c r="E2313" s="20" t="str">
        <f>IFERROR(__xludf.DUMMYFUNCTION("""COMPUTED_VALUE"""),"Hard")</f>
        <v>Hard</v>
      </c>
      <c r="F2313" s="20">
        <f>IFERROR(__xludf.DUMMYFUNCTION("""COMPUTED_VALUE"""),428.0)</f>
        <v>428</v>
      </c>
      <c r="G2313" s="20">
        <f>IFERROR(__xludf.DUMMYFUNCTION("""COMPUTED_VALUE"""),8.0)</f>
        <v>8</v>
      </c>
      <c r="H2313" s="20" t="str">
        <f>IFERROR(__xludf.DUMMYFUNCTION("""COMPUTED_VALUE"""),"Algorithms")</f>
        <v>Algorithms</v>
      </c>
      <c r="I2313" s="20">
        <f>IFERROR(__xludf.DUMMYFUNCTION("""COMPUTED_VALUE"""),0.483)</f>
        <v>0.483</v>
      </c>
      <c r="J2313" s="20">
        <f>IFERROR(__xludf.DUMMYFUNCTION("""COMPUTED_VALUE"""),2312.0)</f>
        <v>2312</v>
      </c>
      <c r="K2313" s="20" t="b">
        <f>IFERROR(__xludf.DUMMYFUNCTION("""COMPUTED_VALUE"""),FALSE)</f>
        <v>0</v>
      </c>
      <c r="L2313" s="20" t="str">
        <f>IFERROR(__xludf.DUMMYFUNCTION("""COMPUTED_VALUE"""),"Array;Dynamic Programming;Memoization;")</f>
        <v>Array;Dynamic Programming;Memoization;</v>
      </c>
      <c r="M2313" s="20" t="b">
        <f>IFERROR(__xludf.DUMMYFUNCTION("""COMPUTED_VALUE"""),FALSE)</f>
        <v>0</v>
      </c>
      <c r="N2313" s="20" t="b">
        <f>IFERROR(__xludf.DUMMYFUNCTION("""COMPUTED_VALUE"""),FALSE)</f>
        <v>0</v>
      </c>
      <c r="O2313" s="20">
        <f>IFERROR(__xludf.DUMMYFUNCTION("""COMPUTED_VALUE"""),48.3121379585857)</f>
        <v>48.31213796</v>
      </c>
      <c r="P2313" s="20">
        <f>IFERROR(__xludf.DUMMYFUNCTION("""COMPUTED_VALUE"""),7256.0)</f>
        <v>7256</v>
      </c>
      <c r="Q2313" s="20">
        <f>IFERROR(__xludf.DUMMYFUNCTION("""COMPUTED_VALUE"""),15019.0)</f>
        <v>15019</v>
      </c>
    </row>
    <row r="2314">
      <c r="A2314" s="20">
        <f>IFERROR(__xludf.DUMMYFUNCTION("""COMPUTED_VALUE"""),2399.0)</f>
        <v>2399</v>
      </c>
      <c r="B2314" s="20" t="str">
        <f>IFERROR(__xludf.DUMMYFUNCTION("""COMPUTED_VALUE"""),"Minimum Flips in Binary Tree to Get Result")</f>
        <v>Minimum Flips in Binary Tree to Get Result</v>
      </c>
      <c r="C2314" s="20" t="str">
        <f>IFERROR(__xludf.DUMMYFUNCTION("""COMPUTED_VALUE"""),"minimum-flips-in-binary-tree-to-get-result")</f>
        <v>minimum-flips-in-binary-tree-to-get-result</v>
      </c>
      <c r="D2314" s="20" t="b">
        <f>IFERROR(__xludf.DUMMYFUNCTION("""COMPUTED_VALUE"""),TRUE)</f>
        <v>1</v>
      </c>
      <c r="E2314" s="20" t="str">
        <f>IFERROR(__xludf.DUMMYFUNCTION("""COMPUTED_VALUE"""),"Hard")</f>
        <v>Hard</v>
      </c>
      <c r="F2314" s="20">
        <f>IFERROR(__xludf.DUMMYFUNCTION("""COMPUTED_VALUE"""),37.0)</f>
        <v>37</v>
      </c>
      <c r="G2314" s="20">
        <f>IFERROR(__xludf.DUMMYFUNCTION("""COMPUTED_VALUE"""),0.0)</f>
        <v>0</v>
      </c>
      <c r="H2314" s="20" t="str">
        <f>IFERROR(__xludf.DUMMYFUNCTION("""COMPUTED_VALUE"""),"Algorithms")</f>
        <v>Algorithms</v>
      </c>
      <c r="I2314" s="20">
        <f>IFERROR(__xludf.DUMMYFUNCTION("""COMPUTED_VALUE"""),0.661)</f>
        <v>0.661</v>
      </c>
      <c r="J2314" s="20">
        <f>IFERROR(__xludf.DUMMYFUNCTION("""COMPUTED_VALUE"""),2313.0)</f>
        <v>2313</v>
      </c>
      <c r="K2314" s="20" t="b">
        <f>IFERROR(__xludf.DUMMYFUNCTION("""COMPUTED_VALUE"""),TRUE)</f>
        <v>1</v>
      </c>
      <c r="L2314" s="20" t="str">
        <f>IFERROR(__xludf.DUMMYFUNCTION("""COMPUTED_VALUE"""),"Dynamic Programming;Tree;Depth-First Search;Binary Tree;")</f>
        <v>Dynamic Programming;Tree;Depth-First Search;Binary Tree;</v>
      </c>
      <c r="M2314" s="20" t="b">
        <f>IFERROR(__xludf.DUMMYFUNCTION("""COMPUTED_VALUE"""),FALSE)</f>
        <v>0</v>
      </c>
      <c r="N2314" s="20" t="b">
        <f>IFERROR(__xludf.DUMMYFUNCTION("""COMPUTED_VALUE"""),FALSE)</f>
        <v>0</v>
      </c>
      <c r="O2314" s="20">
        <f>IFERROR(__xludf.DUMMYFUNCTION("""COMPUTED_VALUE"""),66.0576247364722)</f>
        <v>66.05762474</v>
      </c>
      <c r="P2314" s="20">
        <f>IFERROR(__xludf.DUMMYFUNCTION("""COMPUTED_VALUE"""),940.0)</f>
        <v>940</v>
      </c>
      <c r="Q2314" s="20">
        <f>IFERROR(__xludf.DUMMYFUNCTION("""COMPUTED_VALUE"""),1423.0)</f>
        <v>1423</v>
      </c>
    </row>
    <row r="2315">
      <c r="A2315" s="20">
        <f>IFERROR(__xludf.DUMMYFUNCTION("""COMPUTED_VALUE"""),2446.0)</f>
        <v>2446</v>
      </c>
      <c r="B2315" s="20" t="str">
        <f>IFERROR(__xludf.DUMMYFUNCTION("""COMPUTED_VALUE"""),"The First Day of the Maximum Recorded Degree in Each City")</f>
        <v>The First Day of the Maximum Recorded Degree in Each City</v>
      </c>
      <c r="C2315" s="20" t="str">
        <f>IFERROR(__xludf.DUMMYFUNCTION("""COMPUTED_VALUE"""),"the-first-day-of-the-maximum-recorded-degree-in-each-city")</f>
        <v>the-first-day-of-the-maximum-recorded-degree-in-each-city</v>
      </c>
      <c r="D2315" s="20" t="b">
        <f>IFERROR(__xludf.DUMMYFUNCTION("""COMPUTED_VALUE"""),TRUE)</f>
        <v>1</v>
      </c>
      <c r="E2315" s="20" t="str">
        <f>IFERROR(__xludf.DUMMYFUNCTION("""COMPUTED_VALUE"""),"Medium")</f>
        <v>Medium</v>
      </c>
      <c r="F2315" s="20">
        <f>IFERROR(__xludf.DUMMYFUNCTION("""COMPUTED_VALUE"""),25.0)</f>
        <v>25</v>
      </c>
      <c r="G2315" s="20">
        <f>IFERROR(__xludf.DUMMYFUNCTION("""COMPUTED_VALUE"""),2.0)</f>
        <v>2</v>
      </c>
      <c r="H2315" s="20" t="str">
        <f>IFERROR(__xludf.DUMMYFUNCTION("""COMPUTED_VALUE"""),"Database")</f>
        <v>Database</v>
      </c>
      <c r="I2315" s="20">
        <f>IFERROR(__xludf.DUMMYFUNCTION("""COMPUTED_VALUE"""),0.767)</f>
        <v>0.767</v>
      </c>
      <c r="J2315" s="20">
        <f>IFERROR(__xludf.DUMMYFUNCTION("""COMPUTED_VALUE"""),2314.0)</f>
        <v>2314</v>
      </c>
      <c r="K2315" s="20" t="b">
        <f>IFERROR(__xludf.DUMMYFUNCTION("""COMPUTED_VALUE"""),TRUE)</f>
        <v>1</v>
      </c>
      <c r="L2315" s="20" t="str">
        <f>IFERROR(__xludf.DUMMYFUNCTION("""COMPUTED_VALUE"""),"Database;")</f>
        <v>Database;</v>
      </c>
      <c r="M2315" s="20" t="b">
        <f>IFERROR(__xludf.DUMMYFUNCTION("""COMPUTED_VALUE"""),FALSE)</f>
        <v>0</v>
      </c>
      <c r="N2315" s="20" t="b">
        <f>IFERROR(__xludf.DUMMYFUNCTION("""COMPUTED_VALUE"""),FALSE)</f>
        <v>0</v>
      </c>
      <c r="O2315" s="20">
        <f>IFERROR(__xludf.DUMMYFUNCTION("""COMPUTED_VALUE"""),76.7037552155771)</f>
        <v>76.70375522</v>
      </c>
      <c r="P2315" s="20">
        <f>IFERROR(__xludf.DUMMYFUNCTION("""COMPUTED_VALUE"""),2206.0)</f>
        <v>2206</v>
      </c>
      <c r="Q2315" s="20">
        <f>IFERROR(__xludf.DUMMYFUNCTION("""COMPUTED_VALUE"""),2876.0)</f>
        <v>2876</v>
      </c>
    </row>
    <row r="2316">
      <c r="A2316" s="20">
        <f>IFERROR(__xludf.DUMMYFUNCTION("""COMPUTED_VALUE"""),2401.0)</f>
        <v>2401</v>
      </c>
      <c r="B2316" s="20" t="str">
        <f>IFERROR(__xludf.DUMMYFUNCTION("""COMPUTED_VALUE"""),"Count Asterisks")</f>
        <v>Count Asterisks</v>
      </c>
      <c r="C2316" s="20" t="str">
        <f>IFERROR(__xludf.DUMMYFUNCTION("""COMPUTED_VALUE"""),"count-asterisks")</f>
        <v>count-asterisks</v>
      </c>
      <c r="D2316" s="20" t="b">
        <f>IFERROR(__xludf.DUMMYFUNCTION("""COMPUTED_VALUE"""),FALSE)</f>
        <v>0</v>
      </c>
      <c r="E2316" s="20" t="str">
        <f>IFERROR(__xludf.DUMMYFUNCTION("""COMPUTED_VALUE"""),"Easy")</f>
        <v>Easy</v>
      </c>
      <c r="F2316" s="20">
        <f>IFERROR(__xludf.DUMMYFUNCTION("""COMPUTED_VALUE"""),346.0)</f>
        <v>346</v>
      </c>
      <c r="G2316" s="20">
        <f>IFERROR(__xludf.DUMMYFUNCTION("""COMPUTED_VALUE"""),55.0)</f>
        <v>55</v>
      </c>
      <c r="H2316" s="20" t="str">
        <f>IFERROR(__xludf.DUMMYFUNCTION("""COMPUTED_VALUE"""),"Algorithms")</f>
        <v>Algorithms</v>
      </c>
      <c r="I2316" s="20">
        <f>IFERROR(__xludf.DUMMYFUNCTION("""COMPUTED_VALUE"""),0.822)</f>
        <v>0.822</v>
      </c>
      <c r="J2316" s="20">
        <f>IFERROR(__xludf.DUMMYFUNCTION("""COMPUTED_VALUE"""),2315.0)</f>
        <v>2315</v>
      </c>
      <c r="K2316" s="20" t="b">
        <f>IFERROR(__xludf.DUMMYFUNCTION("""COMPUTED_VALUE"""),FALSE)</f>
        <v>0</v>
      </c>
      <c r="L2316" s="20" t="str">
        <f>IFERROR(__xludf.DUMMYFUNCTION("""COMPUTED_VALUE"""),"String;")</f>
        <v>String;</v>
      </c>
      <c r="M2316" s="20" t="b">
        <f>IFERROR(__xludf.DUMMYFUNCTION("""COMPUTED_VALUE"""),FALSE)</f>
        <v>0</v>
      </c>
      <c r="N2316" s="20" t="b">
        <f>IFERROR(__xludf.DUMMYFUNCTION("""COMPUTED_VALUE"""),FALSE)</f>
        <v>0</v>
      </c>
      <c r="O2316" s="20">
        <f>IFERROR(__xludf.DUMMYFUNCTION("""COMPUTED_VALUE"""),82.2391452602864)</f>
        <v>82.23914526</v>
      </c>
      <c r="P2316" s="20">
        <f>IFERROR(__xludf.DUMMYFUNCTION("""COMPUTED_VALUE"""),36177.0)</f>
        <v>36177</v>
      </c>
      <c r="Q2316" s="20">
        <f>IFERROR(__xludf.DUMMYFUNCTION("""COMPUTED_VALUE"""),43990.0)</f>
        <v>43990</v>
      </c>
    </row>
    <row r="2317">
      <c r="A2317" s="20">
        <f>IFERROR(__xludf.DUMMYFUNCTION("""COMPUTED_VALUE"""),2403.0)</f>
        <v>2403</v>
      </c>
      <c r="B2317" s="20" t="str">
        <f>IFERROR(__xludf.DUMMYFUNCTION("""COMPUTED_VALUE"""),"Count Unreachable Pairs of Nodes in an Undirected Graph")</f>
        <v>Count Unreachable Pairs of Nodes in an Undirected Graph</v>
      </c>
      <c r="C2317" s="20" t="str">
        <f>IFERROR(__xludf.DUMMYFUNCTION("""COMPUTED_VALUE"""),"count-unreachable-pairs-of-nodes-in-an-undirected-graph")</f>
        <v>count-unreachable-pairs-of-nodes-in-an-undirected-graph</v>
      </c>
      <c r="D2317" s="20" t="b">
        <f>IFERROR(__xludf.DUMMYFUNCTION("""COMPUTED_VALUE"""),FALSE)</f>
        <v>0</v>
      </c>
      <c r="E2317" s="20" t="str">
        <f>IFERROR(__xludf.DUMMYFUNCTION("""COMPUTED_VALUE"""),"Medium")</f>
        <v>Medium</v>
      </c>
      <c r="F2317" s="20">
        <f>IFERROR(__xludf.DUMMYFUNCTION("""COMPUTED_VALUE"""),513.0)</f>
        <v>513</v>
      </c>
      <c r="G2317" s="20">
        <f>IFERROR(__xludf.DUMMYFUNCTION("""COMPUTED_VALUE"""),15.0)</f>
        <v>15</v>
      </c>
      <c r="H2317" s="20" t="str">
        <f>IFERROR(__xludf.DUMMYFUNCTION("""COMPUTED_VALUE"""),"Algorithms")</f>
        <v>Algorithms</v>
      </c>
      <c r="I2317" s="20">
        <f>IFERROR(__xludf.DUMMYFUNCTION("""COMPUTED_VALUE"""),0.386)</f>
        <v>0.386</v>
      </c>
      <c r="J2317" s="20">
        <f>IFERROR(__xludf.DUMMYFUNCTION("""COMPUTED_VALUE"""),2316.0)</f>
        <v>2316</v>
      </c>
      <c r="K2317" s="20" t="b">
        <f>IFERROR(__xludf.DUMMYFUNCTION("""COMPUTED_VALUE"""),FALSE)</f>
        <v>0</v>
      </c>
      <c r="L2317" s="20" t="str">
        <f>IFERROR(__xludf.DUMMYFUNCTION("""COMPUTED_VALUE"""),"Depth-First Search;Breadth-First Search;Union Find;Graph;")</f>
        <v>Depth-First Search;Breadth-First Search;Union Find;Graph;</v>
      </c>
      <c r="M2317" s="20" t="b">
        <f>IFERROR(__xludf.DUMMYFUNCTION("""COMPUTED_VALUE"""),FALSE)</f>
        <v>0</v>
      </c>
      <c r="N2317" s="20" t="b">
        <f>IFERROR(__xludf.DUMMYFUNCTION("""COMPUTED_VALUE"""),FALSE)</f>
        <v>0</v>
      </c>
      <c r="O2317" s="20">
        <f>IFERROR(__xludf.DUMMYFUNCTION("""COMPUTED_VALUE"""),38.5983628816386)</f>
        <v>38.59836288</v>
      </c>
      <c r="P2317" s="20">
        <f>IFERROR(__xludf.DUMMYFUNCTION("""COMPUTED_VALUE"""),19899.0)</f>
        <v>19899</v>
      </c>
      <c r="Q2317" s="20">
        <f>IFERROR(__xludf.DUMMYFUNCTION("""COMPUTED_VALUE"""),51554.0)</f>
        <v>51554</v>
      </c>
    </row>
    <row r="2318">
      <c r="A2318" s="20">
        <f>IFERROR(__xludf.DUMMYFUNCTION("""COMPUTED_VALUE"""),2402.0)</f>
        <v>2402</v>
      </c>
      <c r="B2318" s="20" t="str">
        <f>IFERROR(__xludf.DUMMYFUNCTION("""COMPUTED_VALUE"""),"Maximum XOR After Operations ")</f>
        <v>Maximum XOR After Operations </v>
      </c>
      <c r="C2318" s="20" t="str">
        <f>IFERROR(__xludf.DUMMYFUNCTION("""COMPUTED_VALUE"""),"maximum-xor-after-operations")</f>
        <v>maximum-xor-after-operations</v>
      </c>
      <c r="D2318" s="20" t="b">
        <f>IFERROR(__xludf.DUMMYFUNCTION("""COMPUTED_VALUE"""),FALSE)</f>
        <v>0</v>
      </c>
      <c r="E2318" s="20" t="str">
        <f>IFERROR(__xludf.DUMMYFUNCTION("""COMPUTED_VALUE"""),"Medium")</f>
        <v>Medium</v>
      </c>
      <c r="F2318" s="20">
        <f>IFERROR(__xludf.DUMMYFUNCTION("""COMPUTED_VALUE"""),360.0)</f>
        <v>360</v>
      </c>
      <c r="G2318" s="20">
        <f>IFERROR(__xludf.DUMMYFUNCTION("""COMPUTED_VALUE"""),130.0)</f>
        <v>130</v>
      </c>
      <c r="H2318" s="20" t="str">
        <f>IFERROR(__xludf.DUMMYFUNCTION("""COMPUTED_VALUE"""),"Algorithms")</f>
        <v>Algorithms</v>
      </c>
      <c r="I2318" s="20">
        <f>IFERROR(__xludf.DUMMYFUNCTION("""COMPUTED_VALUE"""),0.786)</f>
        <v>0.786</v>
      </c>
      <c r="J2318" s="20">
        <f>IFERROR(__xludf.DUMMYFUNCTION("""COMPUTED_VALUE"""),2317.0)</f>
        <v>2317</v>
      </c>
      <c r="K2318" s="20" t="b">
        <f>IFERROR(__xludf.DUMMYFUNCTION("""COMPUTED_VALUE"""),FALSE)</f>
        <v>0</v>
      </c>
      <c r="L2318" s="20" t="str">
        <f>IFERROR(__xludf.DUMMYFUNCTION("""COMPUTED_VALUE"""),"Array;Math;Bit Manipulation;")</f>
        <v>Array;Math;Bit Manipulation;</v>
      </c>
      <c r="M2318" s="20" t="b">
        <f>IFERROR(__xludf.DUMMYFUNCTION("""COMPUTED_VALUE"""),FALSE)</f>
        <v>0</v>
      </c>
      <c r="N2318" s="20" t="b">
        <f>IFERROR(__xludf.DUMMYFUNCTION("""COMPUTED_VALUE"""),FALSE)</f>
        <v>0</v>
      </c>
      <c r="O2318" s="20">
        <f>IFERROR(__xludf.DUMMYFUNCTION("""COMPUTED_VALUE"""),78.6493860845839)</f>
        <v>78.64938608</v>
      </c>
      <c r="P2318" s="20">
        <f>IFERROR(__xludf.DUMMYFUNCTION("""COMPUTED_VALUE"""),14989.0)</f>
        <v>14989</v>
      </c>
      <c r="Q2318" s="20">
        <f>IFERROR(__xludf.DUMMYFUNCTION("""COMPUTED_VALUE"""),19058.0)</f>
        <v>19058</v>
      </c>
    </row>
    <row r="2319">
      <c r="A2319" s="20">
        <f>IFERROR(__xludf.DUMMYFUNCTION("""COMPUTED_VALUE"""),2404.0)</f>
        <v>2404</v>
      </c>
      <c r="B2319" s="20" t="str">
        <f>IFERROR(__xludf.DUMMYFUNCTION("""COMPUTED_VALUE"""),"Number of Distinct Roll Sequences")</f>
        <v>Number of Distinct Roll Sequences</v>
      </c>
      <c r="C2319" s="20" t="str">
        <f>IFERROR(__xludf.DUMMYFUNCTION("""COMPUTED_VALUE"""),"number-of-distinct-roll-sequences")</f>
        <v>number-of-distinct-roll-sequences</v>
      </c>
      <c r="D2319" s="20" t="b">
        <f>IFERROR(__xludf.DUMMYFUNCTION("""COMPUTED_VALUE"""),FALSE)</f>
        <v>0</v>
      </c>
      <c r="E2319" s="20" t="str">
        <f>IFERROR(__xludf.DUMMYFUNCTION("""COMPUTED_VALUE"""),"Hard")</f>
        <v>Hard</v>
      </c>
      <c r="F2319" s="20">
        <f>IFERROR(__xludf.DUMMYFUNCTION("""COMPUTED_VALUE"""),348.0)</f>
        <v>348</v>
      </c>
      <c r="G2319" s="20">
        <f>IFERROR(__xludf.DUMMYFUNCTION("""COMPUTED_VALUE"""),12.0)</f>
        <v>12</v>
      </c>
      <c r="H2319" s="20" t="str">
        <f>IFERROR(__xludf.DUMMYFUNCTION("""COMPUTED_VALUE"""),"Algorithms")</f>
        <v>Algorithms</v>
      </c>
      <c r="I2319" s="20">
        <f>IFERROR(__xludf.DUMMYFUNCTION("""COMPUTED_VALUE"""),0.562)</f>
        <v>0.562</v>
      </c>
      <c r="J2319" s="20">
        <f>IFERROR(__xludf.DUMMYFUNCTION("""COMPUTED_VALUE"""),2318.0)</f>
        <v>2318</v>
      </c>
      <c r="K2319" s="20" t="b">
        <f>IFERROR(__xludf.DUMMYFUNCTION("""COMPUTED_VALUE"""),FALSE)</f>
        <v>0</v>
      </c>
      <c r="L2319" s="20" t="str">
        <f>IFERROR(__xludf.DUMMYFUNCTION("""COMPUTED_VALUE"""),"Dynamic Programming;Memoization;")</f>
        <v>Dynamic Programming;Memoization;</v>
      </c>
      <c r="M2319" s="20" t="b">
        <f>IFERROR(__xludf.DUMMYFUNCTION("""COMPUTED_VALUE"""),FALSE)</f>
        <v>0</v>
      </c>
      <c r="N2319" s="20" t="b">
        <f>IFERROR(__xludf.DUMMYFUNCTION("""COMPUTED_VALUE"""),FALSE)</f>
        <v>0</v>
      </c>
      <c r="O2319" s="20">
        <f>IFERROR(__xludf.DUMMYFUNCTION("""COMPUTED_VALUE"""),56.1797752808988)</f>
        <v>56.17977528</v>
      </c>
      <c r="P2319" s="20">
        <f>IFERROR(__xludf.DUMMYFUNCTION("""COMPUTED_VALUE"""),7950.0)</f>
        <v>7950</v>
      </c>
      <c r="Q2319" s="20">
        <f>IFERROR(__xludf.DUMMYFUNCTION("""COMPUTED_VALUE"""),14151.0)</f>
        <v>14151</v>
      </c>
    </row>
    <row r="2320">
      <c r="A2320" s="20">
        <f>IFERROR(__xludf.DUMMYFUNCTION("""COMPUTED_VALUE"""),2398.0)</f>
        <v>2398</v>
      </c>
      <c r="B2320" s="20" t="str">
        <f>IFERROR(__xludf.DUMMYFUNCTION("""COMPUTED_VALUE"""),"Check if Matrix Is X-Matrix")</f>
        <v>Check if Matrix Is X-Matrix</v>
      </c>
      <c r="C2320" s="20" t="str">
        <f>IFERROR(__xludf.DUMMYFUNCTION("""COMPUTED_VALUE"""),"check-if-matrix-is-x-matrix")</f>
        <v>check-if-matrix-is-x-matrix</v>
      </c>
      <c r="D2320" s="20" t="b">
        <f>IFERROR(__xludf.DUMMYFUNCTION("""COMPUTED_VALUE"""),FALSE)</f>
        <v>0</v>
      </c>
      <c r="E2320" s="20" t="str">
        <f>IFERROR(__xludf.DUMMYFUNCTION("""COMPUTED_VALUE"""),"Easy")</f>
        <v>Easy</v>
      </c>
      <c r="F2320" s="20">
        <f>IFERROR(__xludf.DUMMYFUNCTION("""COMPUTED_VALUE"""),287.0)</f>
        <v>287</v>
      </c>
      <c r="G2320" s="20">
        <f>IFERROR(__xludf.DUMMYFUNCTION("""COMPUTED_VALUE"""),9.0)</f>
        <v>9</v>
      </c>
      <c r="H2320" s="20" t="str">
        <f>IFERROR(__xludf.DUMMYFUNCTION("""COMPUTED_VALUE"""),"Algorithms")</f>
        <v>Algorithms</v>
      </c>
      <c r="I2320" s="20">
        <f>IFERROR(__xludf.DUMMYFUNCTION("""COMPUTED_VALUE"""),0.672)</f>
        <v>0.672</v>
      </c>
      <c r="J2320" s="20">
        <f>IFERROR(__xludf.DUMMYFUNCTION("""COMPUTED_VALUE"""),2319.0)</f>
        <v>2319</v>
      </c>
      <c r="K2320" s="20" t="b">
        <f>IFERROR(__xludf.DUMMYFUNCTION("""COMPUTED_VALUE"""),FALSE)</f>
        <v>0</v>
      </c>
      <c r="L2320" s="20" t="str">
        <f>IFERROR(__xludf.DUMMYFUNCTION("""COMPUTED_VALUE"""),"Array;Matrix;")</f>
        <v>Array;Matrix;</v>
      </c>
      <c r="M2320" s="20" t="b">
        <f>IFERROR(__xludf.DUMMYFUNCTION("""COMPUTED_VALUE"""),FALSE)</f>
        <v>0</v>
      </c>
      <c r="N2320" s="20" t="b">
        <f>IFERROR(__xludf.DUMMYFUNCTION("""COMPUTED_VALUE"""),FALSE)</f>
        <v>0</v>
      </c>
      <c r="O2320" s="20">
        <f>IFERROR(__xludf.DUMMYFUNCTION("""COMPUTED_VALUE"""),67.1842484392508)</f>
        <v>67.18424844</v>
      </c>
      <c r="P2320" s="20">
        <f>IFERROR(__xludf.DUMMYFUNCTION("""COMPUTED_VALUE"""),33576.0)</f>
        <v>33576</v>
      </c>
      <c r="Q2320" s="20">
        <f>IFERROR(__xludf.DUMMYFUNCTION("""COMPUTED_VALUE"""),49976.0)</f>
        <v>49976</v>
      </c>
    </row>
    <row r="2321">
      <c r="A2321" s="20">
        <f>IFERROR(__xludf.DUMMYFUNCTION("""COMPUTED_VALUE"""),2397.0)</f>
        <v>2397</v>
      </c>
      <c r="B2321" s="20" t="str">
        <f>IFERROR(__xludf.DUMMYFUNCTION("""COMPUTED_VALUE"""),"Count Number of Ways to Place Houses")</f>
        <v>Count Number of Ways to Place Houses</v>
      </c>
      <c r="C2321" s="20" t="str">
        <f>IFERROR(__xludf.DUMMYFUNCTION("""COMPUTED_VALUE"""),"count-number-of-ways-to-place-houses")</f>
        <v>count-number-of-ways-to-place-houses</v>
      </c>
      <c r="D2321" s="20" t="b">
        <f>IFERROR(__xludf.DUMMYFUNCTION("""COMPUTED_VALUE"""),FALSE)</f>
        <v>0</v>
      </c>
      <c r="E2321" s="20" t="str">
        <f>IFERROR(__xludf.DUMMYFUNCTION("""COMPUTED_VALUE"""),"Medium")</f>
        <v>Medium</v>
      </c>
      <c r="F2321" s="20">
        <f>IFERROR(__xludf.DUMMYFUNCTION("""COMPUTED_VALUE"""),410.0)</f>
        <v>410</v>
      </c>
      <c r="G2321" s="20">
        <f>IFERROR(__xludf.DUMMYFUNCTION("""COMPUTED_VALUE"""),178.0)</f>
        <v>178</v>
      </c>
      <c r="H2321" s="20" t="str">
        <f>IFERROR(__xludf.DUMMYFUNCTION("""COMPUTED_VALUE"""),"Algorithms")</f>
        <v>Algorithms</v>
      </c>
      <c r="I2321" s="20">
        <f>IFERROR(__xludf.DUMMYFUNCTION("""COMPUTED_VALUE"""),0.403)</f>
        <v>0.403</v>
      </c>
      <c r="J2321" s="20">
        <f>IFERROR(__xludf.DUMMYFUNCTION("""COMPUTED_VALUE"""),2320.0)</f>
        <v>2320</v>
      </c>
      <c r="K2321" s="20" t="b">
        <f>IFERROR(__xludf.DUMMYFUNCTION("""COMPUTED_VALUE"""),FALSE)</f>
        <v>0</v>
      </c>
      <c r="L2321" s="20" t="str">
        <f>IFERROR(__xludf.DUMMYFUNCTION("""COMPUTED_VALUE"""),"Dynamic Programming;")</f>
        <v>Dynamic Programming;</v>
      </c>
      <c r="M2321" s="20" t="b">
        <f>IFERROR(__xludf.DUMMYFUNCTION("""COMPUTED_VALUE"""),FALSE)</f>
        <v>0</v>
      </c>
      <c r="N2321" s="20" t="b">
        <f>IFERROR(__xludf.DUMMYFUNCTION("""COMPUTED_VALUE"""),FALSE)</f>
        <v>0</v>
      </c>
      <c r="O2321" s="20">
        <f>IFERROR(__xludf.DUMMYFUNCTION("""COMPUTED_VALUE"""),40.3320825151167)</f>
        <v>40.33208252</v>
      </c>
      <c r="P2321" s="20">
        <f>IFERROR(__xludf.DUMMYFUNCTION("""COMPUTED_VALUE"""),20744.0)</f>
        <v>20744</v>
      </c>
      <c r="Q2321" s="20">
        <f>IFERROR(__xludf.DUMMYFUNCTION("""COMPUTED_VALUE"""),51433.0)</f>
        <v>51433</v>
      </c>
    </row>
    <row r="2322">
      <c r="A2322" s="20">
        <f>IFERROR(__xludf.DUMMYFUNCTION("""COMPUTED_VALUE"""),1348.0)</f>
        <v>1348</v>
      </c>
      <c r="B2322" s="20" t="str">
        <f>IFERROR(__xludf.DUMMYFUNCTION("""COMPUTED_VALUE"""),"Maximum Score Of Spliced Array")</f>
        <v>Maximum Score Of Spliced Array</v>
      </c>
      <c r="C2322" s="20" t="str">
        <f>IFERROR(__xludf.DUMMYFUNCTION("""COMPUTED_VALUE"""),"maximum-score-of-spliced-array")</f>
        <v>maximum-score-of-spliced-array</v>
      </c>
      <c r="D2322" s="20" t="b">
        <f>IFERROR(__xludf.DUMMYFUNCTION("""COMPUTED_VALUE"""),FALSE)</f>
        <v>0</v>
      </c>
      <c r="E2322" s="20" t="str">
        <f>IFERROR(__xludf.DUMMYFUNCTION("""COMPUTED_VALUE"""),"Hard")</f>
        <v>Hard</v>
      </c>
      <c r="F2322" s="20">
        <f>IFERROR(__xludf.DUMMYFUNCTION("""COMPUTED_VALUE"""),614.0)</f>
        <v>614</v>
      </c>
      <c r="G2322" s="20">
        <f>IFERROR(__xludf.DUMMYFUNCTION("""COMPUTED_VALUE"""),9.0)</f>
        <v>9</v>
      </c>
      <c r="H2322" s="20" t="str">
        <f>IFERROR(__xludf.DUMMYFUNCTION("""COMPUTED_VALUE"""),"Algorithms")</f>
        <v>Algorithms</v>
      </c>
      <c r="I2322" s="20">
        <f>IFERROR(__xludf.DUMMYFUNCTION("""COMPUTED_VALUE"""),0.556)</f>
        <v>0.556</v>
      </c>
      <c r="J2322" s="20">
        <f>IFERROR(__xludf.DUMMYFUNCTION("""COMPUTED_VALUE"""),2321.0)</f>
        <v>2321</v>
      </c>
      <c r="K2322" s="20" t="b">
        <f>IFERROR(__xludf.DUMMYFUNCTION("""COMPUTED_VALUE"""),FALSE)</f>
        <v>0</v>
      </c>
      <c r="L2322" s="20" t="str">
        <f>IFERROR(__xludf.DUMMYFUNCTION("""COMPUTED_VALUE"""),"Array;Dynamic Programming;")</f>
        <v>Array;Dynamic Programming;</v>
      </c>
      <c r="M2322" s="20" t="b">
        <f>IFERROR(__xludf.DUMMYFUNCTION("""COMPUTED_VALUE"""),FALSE)</f>
        <v>0</v>
      </c>
      <c r="N2322" s="20" t="b">
        <f>IFERROR(__xludf.DUMMYFUNCTION("""COMPUTED_VALUE"""),FALSE)</f>
        <v>0</v>
      </c>
      <c r="O2322" s="20">
        <f>IFERROR(__xludf.DUMMYFUNCTION("""COMPUTED_VALUE"""),55.5913535383808)</f>
        <v>55.59135354</v>
      </c>
      <c r="P2322" s="20">
        <f>IFERROR(__xludf.DUMMYFUNCTION("""COMPUTED_VALUE"""),14839.0)</f>
        <v>14839</v>
      </c>
      <c r="Q2322" s="20">
        <f>IFERROR(__xludf.DUMMYFUNCTION("""COMPUTED_VALUE"""),26693.0)</f>
        <v>26693</v>
      </c>
    </row>
    <row r="2323">
      <c r="A2323" s="20">
        <f>IFERROR(__xludf.DUMMYFUNCTION("""COMPUTED_VALUE"""),2400.0)</f>
        <v>2400</v>
      </c>
      <c r="B2323" s="20" t="str">
        <f>IFERROR(__xludf.DUMMYFUNCTION("""COMPUTED_VALUE"""),"Minimum Score After Removals on a Tree")</f>
        <v>Minimum Score After Removals on a Tree</v>
      </c>
      <c r="C2323" s="20" t="str">
        <f>IFERROR(__xludf.DUMMYFUNCTION("""COMPUTED_VALUE"""),"minimum-score-after-removals-on-a-tree")</f>
        <v>minimum-score-after-removals-on-a-tree</v>
      </c>
      <c r="D2323" s="20" t="b">
        <f>IFERROR(__xludf.DUMMYFUNCTION("""COMPUTED_VALUE"""),FALSE)</f>
        <v>0</v>
      </c>
      <c r="E2323" s="20" t="str">
        <f>IFERROR(__xludf.DUMMYFUNCTION("""COMPUTED_VALUE"""),"Hard")</f>
        <v>Hard</v>
      </c>
      <c r="F2323" s="20">
        <f>IFERROR(__xludf.DUMMYFUNCTION("""COMPUTED_VALUE"""),344.0)</f>
        <v>344</v>
      </c>
      <c r="G2323" s="20">
        <f>IFERROR(__xludf.DUMMYFUNCTION("""COMPUTED_VALUE"""),12.0)</f>
        <v>12</v>
      </c>
      <c r="H2323" s="20" t="str">
        <f>IFERROR(__xludf.DUMMYFUNCTION("""COMPUTED_VALUE"""),"Algorithms")</f>
        <v>Algorithms</v>
      </c>
      <c r="I2323" s="20">
        <f>IFERROR(__xludf.DUMMYFUNCTION("""COMPUTED_VALUE"""),0.508)</f>
        <v>0.508</v>
      </c>
      <c r="J2323" s="20">
        <f>IFERROR(__xludf.DUMMYFUNCTION("""COMPUTED_VALUE"""),2322.0)</f>
        <v>2322</v>
      </c>
      <c r="K2323" s="20" t="b">
        <f>IFERROR(__xludf.DUMMYFUNCTION("""COMPUTED_VALUE"""),FALSE)</f>
        <v>0</v>
      </c>
      <c r="L2323" s="20" t="str">
        <f>IFERROR(__xludf.DUMMYFUNCTION("""COMPUTED_VALUE"""),"Array;Bit Manipulation;Tree;Depth-First Search;")</f>
        <v>Array;Bit Manipulation;Tree;Depth-First Search;</v>
      </c>
      <c r="M2323" s="20" t="b">
        <f>IFERROR(__xludf.DUMMYFUNCTION("""COMPUTED_VALUE"""),FALSE)</f>
        <v>0</v>
      </c>
      <c r="N2323" s="20" t="b">
        <f>IFERROR(__xludf.DUMMYFUNCTION("""COMPUTED_VALUE"""),FALSE)</f>
        <v>0</v>
      </c>
      <c r="O2323" s="20">
        <f>IFERROR(__xludf.DUMMYFUNCTION("""COMPUTED_VALUE"""),50.7597576720627)</f>
        <v>50.75975767</v>
      </c>
      <c r="P2323" s="20">
        <f>IFERROR(__xludf.DUMMYFUNCTION("""COMPUTED_VALUE"""),5111.0)</f>
        <v>5111</v>
      </c>
      <c r="Q2323" s="20">
        <f>IFERROR(__xludf.DUMMYFUNCTION("""COMPUTED_VALUE"""),10069.0)</f>
        <v>10069</v>
      </c>
    </row>
    <row r="2324">
      <c r="A2324" s="20">
        <f>IFERROR(__xludf.DUMMYFUNCTION("""COMPUTED_VALUE"""),2458.0)</f>
        <v>2458</v>
      </c>
      <c r="B2324" s="20" t="str">
        <f>IFERROR(__xludf.DUMMYFUNCTION("""COMPUTED_VALUE"""),"Find Minimum Time to Finish All Jobs II")</f>
        <v>Find Minimum Time to Finish All Jobs II</v>
      </c>
      <c r="C2324" s="20" t="str">
        <f>IFERROR(__xludf.DUMMYFUNCTION("""COMPUTED_VALUE"""),"find-minimum-time-to-finish-all-jobs-ii")</f>
        <v>find-minimum-time-to-finish-all-jobs-ii</v>
      </c>
      <c r="D2324" s="20" t="b">
        <f>IFERROR(__xludf.DUMMYFUNCTION("""COMPUTED_VALUE"""),TRUE)</f>
        <v>1</v>
      </c>
      <c r="E2324" s="20" t="str">
        <f>IFERROR(__xludf.DUMMYFUNCTION("""COMPUTED_VALUE"""),"Medium")</f>
        <v>Medium</v>
      </c>
      <c r="F2324" s="20">
        <f>IFERROR(__xludf.DUMMYFUNCTION("""COMPUTED_VALUE"""),21.0)</f>
        <v>21</v>
      </c>
      <c r="G2324" s="20">
        <f>IFERROR(__xludf.DUMMYFUNCTION("""COMPUTED_VALUE"""),7.0)</f>
        <v>7</v>
      </c>
      <c r="H2324" s="20" t="str">
        <f>IFERROR(__xludf.DUMMYFUNCTION("""COMPUTED_VALUE"""),"Algorithms")</f>
        <v>Algorithms</v>
      </c>
      <c r="I2324" s="20">
        <f>IFERROR(__xludf.DUMMYFUNCTION("""COMPUTED_VALUE"""),0.755)</f>
        <v>0.755</v>
      </c>
      <c r="J2324" s="20">
        <f>IFERROR(__xludf.DUMMYFUNCTION("""COMPUTED_VALUE"""),2323.0)</f>
        <v>2323</v>
      </c>
      <c r="K2324" s="20" t="b">
        <f>IFERROR(__xludf.DUMMYFUNCTION("""COMPUTED_VALUE"""),TRUE)</f>
        <v>1</v>
      </c>
      <c r="L2324" s="20" t="str">
        <f>IFERROR(__xludf.DUMMYFUNCTION("""COMPUTED_VALUE"""),"Array;Greedy;Sorting;")</f>
        <v>Array;Greedy;Sorting;</v>
      </c>
      <c r="M2324" s="20" t="b">
        <f>IFERROR(__xludf.DUMMYFUNCTION("""COMPUTED_VALUE"""),FALSE)</f>
        <v>0</v>
      </c>
      <c r="N2324" s="20" t="b">
        <f>IFERROR(__xludf.DUMMYFUNCTION("""COMPUTED_VALUE"""),FALSE)</f>
        <v>0</v>
      </c>
      <c r="O2324" s="20">
        <f>IFERROR(__xludf.DUMMYFUNCTION("""COMPUTED_VALUE"""),75.5494505494505)</f>
        <v>75.54945055</v>
      </c>
      <c r="P2324" s="20">
        <f>IFERROR(__xludf.DUMMYFUNCTION("""COMPUTED_VALUE"""),1375.0)</f>
        <v>1375</v>
      </c>
      <c r="Q2324" s="20">
        <f>IFERROR(__xludf.DUMMYFUNCTION("""COMPUTED_VALUE"""),1820.0)</f>
        <v>1820</v>
      </c>
    </row>
    <row r="2325">
      <c r="A2325" s="20">
        <f>IFERROR(__xludf.DUMMYFUNCTION("""COMPUTED_VALUE"""),2451.0)</f>
        <v>2451</v>
      </c>
      <c r="B2325" s="20" t="str">
        <f>IFERROR(__xludf.DUMMYFUNCTION("""COMPUTED_VALUE"""),"Product Sales Analysis IV")</f>
        <v>Product Sales Analysis IV</v>
      </c>
      <c r="C2325" s="20" t="str">
        <f>IFERROR(__xludf.DUMMYFUNCTION("""COMPUTED_VALUE"""),"product-sales-analysis-iv")</f>
        <v>product-sales-analysis-iv</v>
      </c>
      <c r="D2325" s="20" t="b">
        <f>IFERROR(__xludf.DUMMYFUNCTION("""COMPUTED_VALUE"""),TRUE)</f>
        <v>1</v>
      </c>
      <c r="E2325" s="20" t="str">
        <f>IFERROR(__xludf.DUMMYFUNCTION("""COMPUTED_VALUE"""),"Medium")</f>
        <v>Medium</v>
      </c>
      <c r="F2325" s="20">
        <f>IFERROR(__xludf.DUMMYFUNCTION("""COMPUTED_VALUE"""),22.0)</f>
        <v>22</v>
      </c>
      <c r="G2325" s="20">
        <f>IFERROR(__xludf.DUMMYFUNCTION("""COMPUTED_VALUE"""),1.0)</f>
        <v>1</v>
      </c>
      <c r="H2325" s="20" t="str">
        <f>IFERROR(__xludf.DUMMYFUNCTION("""COMPUTED_VALUE"""),"Database")</f>
        <v>Database</v>
      </c>
      <c r="I2325" s="20">
        <f>IFERROR(__xludf.DUMMYFUNCTION("""COMPUTED_VALUE"""),0.837)</f>
        <v>0.837</v>
      </c>
      <c r="J2325" s="20">
        <f>IFERROR(__xludf.DUMMYFUNCTION("""COMPUTED_VALUE"""),2324.0)</f>
        <v>2324</v>
      </c>
      <c r="K2325" s="20" t="b">
        <f>IFERROR(__xludf.DUMMYFUNCTION("""COMPUTED_VALUE"""),TRUE)</f>
        <v>1</v>
      </c>
      <c r="L2325" s="20" t="str">
        <f>IFERROR(__xludf.DUMMYFUNCTION("""COMPUTED_VALUE"""),"Database;")</f>
        <v>Database;</v>
      </c>
      <c r="M2325" s="20" t="b">
        <f>IFERROR(__xludf.DUMMYFUNCTION("""COMPUTED_VALUE"""),FALSE)</f>
        <v>0</v>
      </c>
      <c r="N2325" s="20" t="b">
        <f>IFERROR(__xludf.DUMMYFUNCTION("""COMPUTED_VALUE"""),FALSE)</f>
        <v>0</v>
      </c>
      <c r="O2325" s="20">
        <f>IFERROR(__xludf.DUMMYFUNCTION("""COMPUTED_VALUE"""),83.7444655281467)</f>
        <v>83.74446553</v>
      </c>
      <c r="P2325" s="20">
        <f>IFERROR(__xludf.DUMMYFUNCTION("""COMPUTED_VALUE"""),2648.0)</f>
        <v>2648</v>
      </c>
      <c r="Q2325" s="20">
        <f>IFERROR(__xludf.DUMMYFUNCTION("""COMPUTED_VALUE"""),3162.0)</f>
        <v>3162</v>
      </c>
    </row>
    <row r="2326">
      <c r="A2326" s="20">
        <f>IFERROR(__xludf.DUMMYFUNCTION("""COMPUTED_VALUE"""),2406.0)</f>
        <v>2406</v>
      </c>
      <c r="B2326" s="20" t="str">
        <f>IFERROR(__xludf.DUMMYFUNCTION("""COMPUTED_VALUE"""),"Decode the Message")</f>
        <v>Decode the Message</v>
      </c>
      <c r="C2326" s="20" t="str">
        <f>IFERROR(__xludf.DUMMYFUNCTION("""COMPUTED_VALUE"""),"decode-the-message")</f>
        <v>decode-the-message</v>
      </c>
      <c r="D2326" s="20" t="b">
        <f>IFERROR(__xludf.DUMMYFUNCTION("""COMPUTED_VALUE"""),FALSE)</f>
        <v>0</v>
      </c>
      <c r="E2326" s="20" t="str">
        <f>IFERROR(__xludf.DUMMYFUNCTION("""COMPUTED_VALUE"""),"Easy")</f>
        <v>Easy</v>
      </c>
      <c r="F2326" s="20">
        <f>IFERROR(__xludf.DUMMYFUNCTION("""COMPUTED_VALUE"""),483.0)</f>
        <v>483</v>
      </c>
      <c r="G2326" s="20">
        <f>IFERROR(__xludf.DUMMYFUNCTION("""COMPUTED_VALUE"""),53.0)</f>
        <v>53</v>
      </c>
      <c r="H2326" s="20" t="str">
        <f>IFERROR(__xludf.DUMMYFUNCTION("""COMPUTED_VALUE"""),"Algorithms")</f>
        <v>Algorithms</v>
      </c>
      <c r="I2326" s="20">
        <f>IFERROR(__xludf.DUMMYFUNCTION("""COMPUTED_VALUE"""),0.848)</f>
        <v>0.848</v>
      </c>
      <c r="J2326" s="20">
        <f>IFERROR(__xludf.DUMMYFUNCTION("""COMPUTED_VALUE"""),2325.0)</f>
        <v>2325</v>
      </c>
      <c r="K2326" s="20" t="b">
        <f>IFERROR(__xludf.DUMMYFUNCTION("""COMPUTED_VALUE"""),FALSE)</f>
        <v>0</v>
      </c>
      <c r="L2326" s="20" t="str">
        <f>IFERROR(__xludf.DUMMYFUNCTION("""COMPUTED_VALUE"""),"Hash Table;String;")</f>
        <v>Hash Table;String;</v>
      </c>
      <c r="M2326" s="20" t="b">
        <f>IFERROR(__xludf.DUMMYFUNCTION("""COMPUTED_VALUE"""),FALSE)</f>
        <v>0</v>
      </c>
      <c r="N2326" s="20" t="b">
        <f>IFERROR(__xludf.DUMMYFUNCTION("""COMPUTED_VALUE"""),FALSE)</f>
        <v>0</v>
      </c>
      <c r="O2326" s="20">
        <f>IFERROR(__xludf.DUMMYFUNCTION("""COMPUTED_VALUE"""),84.7618687775112)</f>
        <v>84.76186878</v>
      </c>
      <c r="P2326" s="20">
        <f>IFERROR(__xludf.DUMMYFUNCTION("""COMPUTED_VALUE"""),44866.0)</f>
        <v>44866</v>
      </c>
      <c r="Q2326" s="20">
        <f>IFERROR(__xludf.DUMMYFUNCTION("""COMPUTED_VALUE"""),52932.0)</f>
        <v>52932</v>
      </c>
    </row>
    <row r="2327">
      <c r="A2327" s="20">
        <f>IFERROR(__xludf.DUMMYFUNCTION("""COMPUTED_VALUE"""),2411.0)</f>
        <v>2411</v>
      </c>
      <c r="B2327" s="20" t="str">
        <f>IFERROR(__xludf.DUMMYFUNCTION("""COMPUTED_VALUE"""),"Spiral Matrix IV")</f>
        <v>Spiral Matrix IV</v>
      </c>
      <c r="C2327" s="20" t="str">
        <f>IFERROR(__xludf.DUMMYFUNCTION("""COMPUTED_VALUE"""),"spiral-matrix-iv")</f>
        <v>spiral-matrix-iv</v>
      </c>
      <c r="D2327" s="20" t="b">
        <f>IFERROR(__xludf.DUMMYFUNCTION("""COMPUTED_VALUE"""),FALSE)</f>
        <v>0</v>
      </c>
      <c r="E2327" s="20" t="str">
        <f>IFERROR(__xludf.DUMMYFUNCTION("""COMPUTED_VALUE"""),"Medium")</f>
        <v>Medium</v>
      </c>
      <c r="F2327" s="20">
        <f>IFERROR(__xludf.DUMMYFUNCTION("""COMPUTED_VALUE"""),396.0)</f>
        <v>396</v>
      </c>
      <c r="G2327" s="20">
        <f>IFERROR(__xludf.DUMMYFUNCTION("""COMPUTED_VALUE"""),18.0)</f>
        <v>18</v>
      </c>
      <c r="H2327" s="20" t="str">
        <f>IFERROR(__xludf.DUMMYFUNCTION("""COMPUTED_VALUE"""),"Algorithms")</f>
        <v>Algorithms</v>
      </c>
      <c r="I2327" s="20">
        <f>IFERROR(__xludf.DUMMYFUNCTION("""COMPUTED_VALUE"""),0.746)</f>
        <v>0.746</v>
      </c>
      <c r="J2327" s="20">
        <f>IFERROR(__xludf.DUMMYFUNCTION("""COMPUTED_VALUE"""),2326.0)</f>
        <v>2326</v>
      </c>
      <c r="K2327" s="20" t="b">
        <f>IFERROR(__xludf.DUMMYFUNCTION("""COMPUTED_VALUE"""),FALSE)</f>
        <v>0</v>
      </c>
      <c r="L2327" s="20" t="str">
        <f>IFERROR(__xludf.DUMMYFUNCTION("""COMPUTED_VALUE"""),"Array;Linked List;Matrix;Simulation;")</f>
        <v>Array;Linked List;Matrix;Simulation;</v>
      </c>
      <c r="M2327" s="20" t="b">
        <f>IFERROR(__xludf.DUMMYFUNCTION("""COMPUTED_VALUE"""),FALSE)</f>
        <v>0</v>
      </c>
      <c r="N2327" s="20" t="b">
        <f>IFERROR(__xludf.DUMMYFUNCTION("""COMPUTED_VALUE"""),FALSE)</f>
        <v>0</v>
      </c>
      <c r="O2327" s="20">
        <f>IFERROR(__xludf.DUMMYFUNCTION("""COMPUTED_VALUE"""),74.5871070857751)</f>
        <v>74.58710709</v>
      </c>
      <c r="P2327" s="20">
        <f>IFERROR(__xludf.DUMMYFUNCTION("""COMPUTED_VALUE"""),23800.0)</f>
        <v>23800</v>
      </c>
      <c r="Q2327" s="20">
        <f>IFERROR(__xludf.DUMMYFUNCTION("""COMPUTED_VALUE"""),31909.0)</f>
        <v>31909</v>
      </c>
    </row>
    <row r="2328">
      <c r="A2328" s="20">
        <f>IFERROR(__xludf.DUMMYFUNCTION("""COMPUTED_VALUE"""),2408.0)</f>
        <v>2408</v>
      </c>
      <c r="B2328" s="20" t="str">
        <f>IFERROR(__xludf.DUMMYFUNCTION("""COMPUTED_VALUE"""),"Number of People Aware of a Secret")</f>
        <v>Number of People Aware of a Secret</v>
      </c>
      <c r="C2328" s="20" t="str">
        <f>IFERROR(__xludf.DUMMYFUNCTION("""COMPUTED_VALUE"""),"number-of-people-aware-of-a-secret")</f>
        <v>number-of-people-aware-of-a-secret</v>
      </c>
      <c r="D2328" s="20" t="b">
        <f>IFERROR(__xludf.DUMMYFUNCTION("""COMPUTED_VALUE"""),FALSE)</f>
        <v>0</v>
      </c>
      <c r="E2328" s="20" t="str">
        <f>IFERROR(__xludf.DUMMYFUNCTION("""COMPUTED_VALUE"""),"Medium")</f>
        <v>Medium</v>
      </c>
      <c r="F2328" s="20">
        <f>IFERROR(__xludf.DUMMYFUNCTION("""COMPUTED_VALUE"""),561.0)</f>
        <v>561</v>
      </c>
      <c r="G2328" s="20">
        <f>IFERROR(__xludf.DUMMYFUNCTION("""COMPUTED_VALUE"""),97.0)</f>
        <v>97</v>
      </c>
      <c r="H2328" s="20" t="str">
        <f>IFERROR(__xludf.DUMMYFUNCTION("""COMPUTED_VALUE"""),"Algorithms")</f>
        <v>Algorithms</v>
      </c>
      <c r="I2328" s="20">
        <f>IFERROR(__xludf.DUMMYFUNCTION("""COMPUTED_VALUE"""),0.445)</f>
        <v>0.445</v>
      </c>
      <c r="J2328" s="20">
        <f>IFERROR(__xludf.DUMMYFUNCTION("""COMPUTED_VALUE"""),2327.0)</f>
        <v>2327</v>
      </c>
      <c r="K2328" s="20" t="b">
        <f>IFERROR(__xludf.DUMMYFUNCTION("""COMPUTED_VALUE"""),FALSE)</f>
        <v>0</v>
      </c>
      <c r="L2328" s="20" t="str">
        <f>IFERROR(__xludf.DUMMYFUNCTION("""COMPUTED_VALUE"""),"Dynamic Programming;Queue;Simulation;")</f>
        <v>Dynamic Programming;Queue;Simulation;</v>
      </c>
      <c r="M2328" s="20" t="b">
        <f>IFERROR(__xludf.DUMMYFUNCTION("""COMPUTED_VALUE"""),FALSE)</f>
        <v>0</v>
      </c>
      <c r="N2328" s="20" t="b">
        <f>IFERROR(__xludf.DUMMYFUNCTION("""COMPUTED_VALUE"""),FALSE)</f>
        <v>0</v>
      </c>
      <c r="O2328" s="20">
        <f>IFERROR(__xludf.DUMMYFUNCTION("""COMPUTED_VALUE"""),44.4899871179295)</f>
        <v>44.48998712</v>
      </c>
      <c r="P2328" s="20">
        <f>IFERROR(__xludf.DUMMYFUNCTION("""COMPUTED_VALUE"""),15195.0)</f>
        <v>15195</v>
      </c>
      <c r="Q2328" s="20">
        <f>IFERROR(__xludf.DUMMYFUNCTION("""COMPUTED_VALUE"""),34155.0)</f>
        <v>34155</v>
      </c>
    </row>
    <row r="2329">
      <c r="A2329" s="20">
        <f>IFERROR(__xludf.DUMMYFUNCTION("""COMPUTED_VALUE"""),2409.0)</f>
        <v>2409</v>
      </c>
      <c r="B2329" s="20" t="str">
        <f>IFERROR(__xludf.DUMMYFUNCTION("""COMPUTED_VALUE"""),"Number of Increasing Paths in a Grid")</f>
        <v>Number of Increasing Paths in a Grid</v>
      </c>
      <c r="C2329" s="20" t="str">
        <f>IFERROR(__xludf.DUMMYFUNCTION("""COMPUTED_VALUE"""),"number-of-increasing-paths-in-a-grid")</f>
        <v>number-of-increasing-paths-in-a-grid</v>
      </c>
      <c r="D2329" s="20" t="b">
        <f>IFERROR(__xludf.DUMMYFUNCTION("""COMPUTED_VALUE"""),FALSE)</f>
        <v>0</v>
      </c>
      <c r="E2329" s="20" t="str">
        <f>IFERROR(__xludf.DUMMYFUNCTION("""COMPUTED_VALUE"""),"Hard")</f>
        <v>Hard</v>
      </c>
      <c r="F2329" s="20">
        <f>IFERROR(__xludf.DUMMYFUNCTION("""COMPUTED_VALUE"""),595.0)</f>
        <v>595</v>
      </c>
      <c r="G2329" s="20">
        <f>IFERROR(__xludf.DUMMYFUNCTION("""COMPUTED_VALUE"""),14.0)</f>
        <v>14</v>
      </c>
      <c r="H2329" s="20" t="str">
        <f>IFERROR(__xludf.DUMMYFUNCTION("""COMPUTED_VALUE"""),"Algorithms")</f>
        <v>Algorithms</v>
      </c>
      <c r="I2329" s="20">
        <f>IFERROR(__xludf.DUMMYFUNCTION("""COMPUTED_VALUE"""),0.477)</f>
        <v>0.477</v>
      </c>
      <c r="J2329" s="20">
        <f>IFERROR(__xludf.DUMMYFUNCTION("""COMPUTED_VALUE"""),2328.0)</f>
        <v>2328</v>
      </c>
      <c r="K2329" s="20" t="b">
        <f>IFERROR(__xludf.DUMMYFUNCTION("""COMPUTED_VALUE"""),FALSE)</f>
        <v>0</v>
      </c>
      <c r="L2329" s="20" t="str">
        <f>IFERROR(__xludf.DUMMYFUNCTION("""COMPUTED_VALUE"""),"Array;Dynamic Programming;Depth-First Search;Breadth-First Search;Graph;Topological Sort;Memoization;Matrix;")</f>
        <v>Array;Dynamic Programming;Depth-First Search;Breadth-First Search;Graph;Topological Sort;Memoization;Matrix;</v>
      </c>
      <c r="M2329" s="20" t="b">
        <f>IFERROR(__xludf.DUMMYFUNCTION("""COMPUTED_VALUE"""),FALSE)</f>
        <v>0</v>
      </c>
      <c r="N2329" s="20" t="b">
        <f>IFERROR(__xludf.DUMMYFUNCTION("""COMPUTED_VALUE"""),FALSE)</f>
        <v>0</v>
      </c>
      <c r="O2329" s="20">
        <f>IFERROR(__xludf.DUMMYFUNCTION("""COMPUTED_VALUE"""),47.7025374023774)</f>
        <v>47.7025374</v>
      </c>
      <c r="P2329" s="20">
        <f>IFERROR(__xludf.DUMMYFUNCTION("""COMPUTED_VALUE"""),15209.0)</f>
        <v>15209</v>
      </c>
      <c r="Q2329" s="20">
        <f>IFERROR(__xludf.DUMMYFUNCTION("""COMPUTED_VALUE"""),31883.0)</f>
        <v>31883</v>
      </c>
    </row>
    <row r="2330">
      <c r="A2330" s="20">
        <f>IFERROR(__xludf.DUMMYFUNCTION("""COMPUTED_VALUE"""),2452.0)</f>
        <v>2452</v>
      </c>
      <c r="B2330" s="20" t="str">
        <f>IFERROR(__xludf.DUMMYFUNCTION("""COMPUTED_VALUE"""),"Product Sales Analysis V")</f>
        <v>Product Sales Analysis V</v>
      </c>
      <c r="C2330" s="20" t="str">
        <f>IFERROR(__xludf.DUMMYFUNCTION("""COMPUTED_VALUE"""),"product-sales-analysis-v")</f>
        <v>product-sales-analysis-v</v>
      </c>
      <c r="D2330" s="20" t="b">
        <f>IFERROR(__xludf.DUMMYFUNCTION("""COMPUTED_VALUE"""),TRUE)</f>
        <v>1</v>
      </c>
      <c r="E2330" s="20" t="str">
        <f>IFERROR(__xludf.DUMMYFUNCTION("""COMPUTED_VALUE"""),"Easy")</f>
        <v>Easy</v>
      </c>
      <c r="F2330" s="20">
        <f>IFERROR(__xludf.DUMMYFUNCTION("""COMPUTED_VALUE"""),13.0)</f>
        <v>13</v>
      </c>
      <c r="G2330" s="20">
        <f>IFERROR(__xludf.DUMMYFUNCTION("""COMPUTED_VALUE"""),5.0)</f>
        <v>5</v>
      </c>
      <c r="H2330" s="20" t="str">
        <f>IFERROR(__xludf.DUMMYFUNCTION("""COMPUTED_VALUE"""),"Database")</f>
        <v>Database</v>
      </c>
      <c r="I2330" s="20">
        <f>IFERROR(__xludf.DUMMYFUNCTION("""COMPUTED_VALUE"""),0.697)</f>
        <v>0.697</v>
      </c>
      <c r="J2330" s="20">
        <f>IFERROR(__xludf.DUMMYFUNCTION("""COMPUTED_VALUE"""),2329.0)</f>
        <v>2329</v>
      </c>
      <c r="K2330" s="20" t="b">
        <f>IFERROR(__xludf.DUMMYFUNCTION("""COMPUTED_VALUE"""),TRUE)</f>
        <v>1</v>
      </c>
      <c r="L2330" s="20" t="str">
        <f>IFERROR(__xludf.DUMMYFUNCTION("""COMPUTED_VALUE"""),"Database;")</f>
        <v>Database;</v>
      </c>
      <c r="M2330" s="20" t="b">
        <f>IFERROR(__xludf.DUMMYFUNCTION("""COMPUTED_VALUE"""),FALSE)</f>
        <v>0</v>
      </c>
      <c r="N2330" s="20" t="b">
        <f>IFERROR(__xludf.DUMMYFUNCTION("""COMPUTED_VALUE"""),FALSE)</f>
        <v>0</v>
      </c>
      <c r="O2330" s="20">
        <f>IFERROR(__xludf.DUMMYFUNCTION("""COMPUTED_VALUE"""),69.6689386562804)</f>
        <v>69.66893866</v>
      </c>
      <c r="P2330" s="20">
        <f>IFERROR(__xludf.DUMMYFUNCTION("""COMPUTED_VALUE"""),2862.0)</f>
        <v>2862</v>
      </c>
      <c r="Q2330" s="20">
        <f>IFERROR(__xludf.DUMMYFUNCTION("""COMPUTED_VALUE"""),4108.0)</f>
        <v>4108</v>
      </c>
    </row>
    <row r="2331">
      <c r="A2331" s="20">
        <f>IFERROR(__xludf.DUMMYFUNCTION("""COMPUTED_VALUE"""),2468.0)</f>
        <v>2468</v>
      </c>
      <c r="B2331" s="20" t="str">
        <f>IFERROR(__xludf.DUMMYFUNCTION("""COMPUTED_VALUE"""),"Valid Palindrome IV")</f>
        <v>Valid Palindrome IV</v>
      </c>
      <c r="C2331" s="20" t="str">
        <f>IFERROR(__xludf.DUMMYFUNCTION("""COMPUTED_VALUE"""),"valid-palindrome-iv")</f>
        <v>valid-palindrome-iv</v>
      </c>
      <c r="D2331" s="20" t="b">
        <f>IFERROR(__xludf.DUMMYFUNCTION("""COMPUTED_VALUE"""),TRUE)</f>
        <v>1</v>
      </c>
      <c r="E2331" s="20" t="str">
        <f>IFERROR(__xludf.DUMMYFUNCTION("""COMPUTED_VALUE"""),"Medium")</f>
        <v>Medium</v>
      </c>
      <c r="F2331" s="20">
        <f>IFERROR(__xludf.DUMMYFUNCTION("""COMPUTED_VALUE"""),43.0)</f>
        <v>43</v>
      </c>
      <c r="G2331" s="20">
        <f>IFERROR(__xludf.DUMMYFUNCTION("""COMPUTED_VALUE"""),14.0)</f>
        <v>14</v>
      </c>
      <c r="H2331" s="20" t="str">
        <f>IFERROR(__xludf.DUMMYFUNCTION("""COMPUTED_VALUE"""),"Algorithms")</f>
        <v>Algorithms</v>
      </c>
      <c r="I2331" s="20">
        <f>IFERROR(__xludf.DUMMYFUNCTION("""COMPUTED_VALUE"""),0.756)</f>
        <v>0.756</v>
      </c>
      <c r="J2331" s="20">
        <f>IFERROR(__xludf.DUMMYFUNCTION("""COMPUTED_VALUE"""),2330.0)</f>
        <v>2330</v>
      </c>
      <c r="K2331" s="20" t="b">
        <f>IFERROR(__xludf.DUMMYFUNCTION("""COMPUTED_VALUE"""),TRUE)</f>
        <v>1</v>
      </c>
      <c r="L2331" s="20" t="str">
        <f>IFERROR(__xludf.DUMMYFUNCTION("""COMPUTED_VALUE"""),"Two Pointers;String;")</f>
        <v>Two Pointers;String;</v>
      </c>
      <c r="M2331" s="20" t="b">
        <f>IFERROR(__xludf.DUMMYFUNCTION("""COMPUTED_VALUE"""),FALSE)</f>
        <v>0</v>
      </c>
      <c r="N2331" s="20" t="b">
        <f>IFERROR(__xludf.DUMMYFUNCTION("""COMPUTED_VALUE"""),FALSE)</f>
        <v>0</v>
      </c>
      <c r="O2331" s="20">
        <f>IFERROR(__xludf.DUMMYFUNCTION("""COMPUTED_VALUE"""),75.5610972568578)</f>
        <v>75.56109726</v>
      </c>
      <c r="P2331" s="20">
        <f>IFERROR(__xludf.DUMMYFUNCTION("""COMPUTED_VALUE"""),2121.0)</f>
        <v>2121</v>
      </c>
      <c r="Q2331" s="20">
        <f>IFERROR(__xludf.DUMMYFUNCTION("""COMPUTED_VALUE"""),2807.0)</f>
        <v>2807</v>
      </c>
    </row>
    <row r="2332">
      <c r="A2332" s="20">
        <f>IFERROR(__xludf.DUMMYFUNCTION("""COMPUTED_VALUE"""),2416.0)</f>
        <v>2416</v>
      </c>
      <c r="B2332" s="20" t="str">
        <f>IFERROR(__xludf.DUMMYFUNCTION("""COMPUTED_VALUE"""),"Evaluate Boolean Binary Tree")</f>
        <v>Evaluate Boolean Binary Tree</v>
      </c>
      <c r="C2332" s="20" t="str">
        <f>IFERROR(__xludf.DUMMYFUNCTION("""COMPUTED_VALUE"""),"evaluate-boolean-binary-tree")</f>
        <v>evaluate-boolean-binary-tree</v>
      </c>
      <c r="D2332" s="20" t="b">
        <f>IFERROR(__xludf.DUMMYFUNCTION("""COMPUTED_VALUE"""),FALSE)</f>
        <v>0</v>
      </c>
      <c r="E2332" s="20" t="str">
        <f>IFERROR(__xludf.DUMMYFUNCTION("""COMPUTED_VALUE"""),"Easy")</f>
        <v>Easy</v>
      </c>
      <c r="F2332" s="20">
        <f>IFERROR(__xludf.DUMMYFUNCTION("""COMPUTED_VALUE"""),504.0)</f>
        <v>504</v>
      </c>
      <c r="G2332" s="20">
        <f>IFERROR(__xludf.DUMMYFUNCTION("""COMPUTED_VALUE"""),10.0)</f>
        <v>10</v>
      </c>
      <c r="H2332" s="20" t="str">
        <f>IFERROR(__xludf.DUMMYFUNCTION("""COMPUTED_VALUE"""),"Algorithms")</f>
        <v>Algorithms</v>
      </c>
      <c r="I2332" s="20">
        <f>IFERROR(__xludf.DUMMYFUNCTION("""COMPUTED_VALUE"""),0.79)</f>
        <v>0.79</v>
      </c>
      <c r="J2332" s="20">
        <f>IFERROR(__xludf.DUMMYFUNCTION("""COMPUTED_VALUE"""),2331.0)</f>
        <v>2331</v>
      </c>
      <c r="K2332" s="20" t="b">
        <f>IFERROR(__xludf.DUMMYFUNCTION("""COMPUTED_VALUE"""),FALSE)</f>
        <v>0</v>
      </c>
      <c r="L2332" s="20" t="str">
        <f>IFERROR(__xludf.DUMMYFUNCTION("""COMPUTED_VALUE"""),"Binary Search;Tree;Depth-First Search;")</f>
        <v>Binary Search;Tree;Depth-First Search;</v>
      </c>
      <c r="M2332" s="20" t="b">
        <f>IFERROR(__xludf.DUMMYFUNCTION("""COMPUTED_VALUE"""),FALSE)</f>
        <v>0</v>
      </c>
      <c r="N2332" s="20" t="b">
        <f>IFERROR(__xludf.DUMMYFUNCTION("""COMPUTED_VALUE"""),FALSE)</f>
        <v>0</v>
      </c>
      <c r="O2332" s="20">
        <f>IFERROR(__xludf.DUMMYFUNCTION("""COMPUTED_VALUE"""),79.0234617276557)</f>
        <v>79.02346173</v>
      </c>
      <c r="P2332" s="20">
        <f>IFERROR(__xludf.DUMMYFUNCTION("""COMPUTED_VALUE"""),36947.0)</f>
        <v>36947</v>
      </c>
      <c r="Q2332" s="20">
        <f>IFERROR(__xludf.DUMMYFUNCTION("""COMPUTED_VALUE"""),46755.0)</f>
        <v>46755</v>
      </c>
    </row>
    <row r="2333">
      <c r="A2333" s="20">
        <f>IFERROR(__xludf.DUMMYFUNCTION("""COMPUTED_VALUE"""),2417.0)</f>
        <v>2417</v>
      </c>
      <c r="B2333" s="20" t="str">
        <f>IFERROR(__xludf.DUMMYFUNCTION("""COMPUTED_VALUE"""),"The Latest Time to Catch a Bus")</f>
        <v>The Latest Time to Catch a Bus</v>
      </c>
      <c r="C2333" s="20" t="str">
        <f>IFERROR(__xludf.DUMMYFUNCTION("""COMPUTED_VALUE"""),"the-latest-time-to-catch-a-bus")</f>
        <v>the-latest-time-to-catch-a-bus</v>
      </c>
      <c r="D2333" s="20" t="b">
        <f>IFERROR(__xludf.DUMMYFUNCTION("""COMPUTED_VALUE"""),FALSE)</f>
        <v>0</v>
      </c>
      <c r="E2333" s="20" t="str">
        <f>IFERROR(__xludf.DUMMYFUNCTION("""COMPUTED_VALUE"""),"Medium")</f>
        <v>Medium</v>
      </c>
      <c r="F2333" s="20">
        <f>IFERROR(__xludf.DUMMYFUNCTION("""COMPUTED_VALUE"""),253.0)</f>
        <v>253</v>
      </c>
      <c r="G2333" s="20">
        <f>IFERROR(__xludf.DUMMYFUNCTION("""COMPUTED_VALUE"""),577.0)</f>
        <v>577</v>
      </c>
      <c r="H2333" s="20" t="str">
        <f>IFERROR(__xludf.DUMMYFUNCTION("""COMPUTED_VALUE"""),"Algorithms")</f>
        <v>Algorithms</v>
      </c>
      <c r="I2333" s="20">
        <f>IFERROR(__xludf.DUMMYFUNCTION("""COMPUTED_VALUE"""),0.23)</f>
        <v>0.23</v>
      </c>
      <c r="J2333" s="20">
        <f>IFERROR(__xludf.DUMMYFUNCTION("""COMPUTED_VALUE"""),2332.0)</f>
        <v>2332</v>
      </c>
      <c r="K2333" s="20" t="b">
        <f>IFERROR(__xludf.DUMMYFUNCTION("""COMPUTED_VALUE"""),FALSE)</f>
        <v>0</v>
      </c>
      <c r="L2333" s="20" t="str">
        <f>IFERROR(__xludf.DUMMYFUNCTION("""COMPUTED_VALUE"""),"Array;Two Pointers;Binary Search;Sorting;")</f>
        <v>Array;Two Pointers;Binary Search;Sorting;</v>
      </c>
      <c r="M2333" s="20" t="b">
        <f>IFERROR(__xludf.DUMMYFUNCTION("""COMPUTED_VALUE"""),FALSE)</f>
        <v>0</v>
      </c>
      <c r="N2333" s="20" t="b">
        <f>IFERROR(__xludf.DUMMYFUNCTION("""COMPUTED_VALUE"""),FALSE)</f>
        <v>0</v>
      </c>
      <c r="O2333" s="20">
        <f>IFERROR(__xludf.DUMMYFUNCTION("""COMPUTED_VALUE"""),23.0125120307988)</f>
        <v>23.01251203</v>
      </c>
      <c r="P2333" s="20">
        <f>IFERROR(__xludf.DUMMYFUNCTION("""COMPUTED_VALUE"""),11955.0)</f>
        <v>11955</v>
      </c>
      <c r="Q2333" s="20">
        <f>IFERROR(__xludf.DUMMYFUNCTION("""COMPUTED_VALUE"""),51948.0)</f>
        <v>51948</v>
      </c>
    </row>
    <row r="2334">
      <c r="A2334" s="20">
        <f>IFERROR(__xludf.DUMMYFUNCTION("""COMPUTED_VALUE"""),2418.0)</f>
        <v>2418</v>
      </c>
      <c r="B2334" s="20" t="str">
        <f>IFERROR(__xludf.DUMMYFUNCTION("""COMPUTED_VALUE"""),"Minimum Sum of Squared Difference")</f>
        <v>Minimum Sum of Squared Difference</v>
      </c>
      <c r="C2334" s="20" t="str">
        <f>IFERROR(__xludf.DUMMYFUNCTION("""COMPUTED_VALUE"""),"minimum-sum-of-squared-difference")</f>
        <v>minimum-sum-of-squared-difference</v>
      </c>
      <c r="D2334" s="20" t="b">
        <f>IFERROR(__xludf.DUMMYFUNCTION("""COMPUTED_VALUE"""),FALSE)</f>
        <v>0</v>
      </c>
      <c r="E2334" s="20" t="str">
        <f>IFERROR(__xludf.DUMMYFUNCTION("""COMPUTED_VALUE"""),"Medium")</f>
        <v>Medium</v>
      </c>
      <c r="F2334" s="20">
        <f>IFERROR(__xludf.DUMMYFUNCTION("""COMPUTED_VALUE"""),464.0)</f>
        <v>464</v>
      </c>
      <c r="G2334" s="20">
        <f>IFERROR(__xludf.DUMMYFUNCTION("""COMPUTED_VALUE"""),29.0)</f>
        <v>29</v>
      </c>
      <c r="H2334" s="20" t="str">
        <f>IFERROR(__xludf.DUMMYFUNCTION("""COMPUTED_VALUE"""),"Algorithms")</f>
        <v>Algorithms</v>
      </c>
      <c r="I2334" s="20">
        <f>IFERROR(__xludf.DUMMYFUNCTION("""COMPUTED_VALUE"""),0.256)</f>
        <v>0.256</v>
      </c>
      <c r="J2334" s="20">
        <f>IFERROR(__xludf.DUMMYFUNCTION("""COMPUTED_VALUE"""),2333.0)</f>
        <v>2333</v>
      </c>
      <c r="K2334" s="20" t="b">
        <f>IFERROR(__xludf.DUMMYFUNCTION("""COMPUTED_VALUE"""),FALSE)</f>
        <v>0</v>
      </c>
      <c r="L2334" s="20" t="str">
        <f>IFERROR(__xludf.DUMMYFUNCTION("""COMPUTED_VALUE"""),"Array;Math;Sorting;Heap (Priority Queue);")</f>
        <v>Array;Math;Sorting;Heap (Priority Queue);</v>
      </c>
      <c r="M2334" s="20" t="b">
        <f>IFERROR(__xludf.DUMMYFUNCTION("""COMPUTED_VALUE"""),FALSE)</f>
        <v>0</v>
      </c>
      <c r="N2334" s="20" t="b">
        <f>IFERROR(__xludf.DUMMYFUNCTION("""COMPUTED_VALUE"""),FALSE)</f>
        <v>0</v>
      </c>
      <c r="O2334" s="20">
        <f>IFERROR(__xludf.DUMMYFUNCTION("""COMPUTED_VALUE"""),25.6308100929614)</f>
        <v>25.63081009</v>
      </c>
      <c r="P2334" s="20">
        <f>IFERROR(__xludf.DUMMYFUNCTION("""COMPUTED_VALUE"""),10229.0)</f>
        <v>10229</v>
      </c>
      <c r="Q2334" s="20">
        <f>IFERROR(__xludf.DUMMYFUNCTION("""COMPUTED_VALUE"""),39909.0)</f>
        <v>39909</v>
      </c>
    </row>
    <row r="2335">
      <c r="A2335" s="20">
        <f>IFERROR(__xludf.DUMMYFUNCTION("""COMPUTED_VALUE"""),2419.0)</f>
        <v>2419</v>
      </c>
      <c r="B2335" s="20" t="str">
        <f>IFERROR(__xludf.DUMMYFUNCTION("""COMPUTED_VALUE"""),"Subarray With Elements Greater Than Varying Threshold")</f>
        <v>Subarray With Elements Greater Than Varying Threshold</v>
      </c>
      <c r="C2335" s="20" t="str">
        <f>IFERROR(__xludf.DUMMYFUNCTION("""COMPUTED_VALUE"""),"subarray-with-elements-greater-than-varying-threshold")</f>
        <v>subarray-with-elements-greater-than-varying-threshold</v>
      </c>
      <c r="D2335" s="20" t="b">
        <f>IFERROR(__xludf.DUMMYFUNCTION("""COMPUTED_VALUE"""),FALSE)</f>
        <v>0</v>
      </c>
      <c r="E2335" s="20" t="str">
        <f>IFERROR(__xludf.DUMMYFUNCTION("""COMPUTED_VALUE"""),"Hard")</f>
        <v>Hard</v>
      </c>
      <c r="F2335" s="20">
        <f>IFERROR(__xludf.DUMMYFUNCTION("""COMPUTED_VALUE"""),390.0)</f>
        <v>390</v>
      </c>
      <c r="G2335" s="20">
        <f>IFERROR(__xludf.DUMMYFUNCTION("""COMPUTED_VALUE"""),5.0)</f>
        <v>5</v>
      </c>
      <c r="H2335" s="20" t="str">
        <f>IFERROR(__xludf.DUMMYFUNCTION("""COMPUTED_VALUE"""),"Algorithms")</f>
        <v>Algorithms</v>
      </c>
      <c r="I2335" s="20">
        <f>IFERROR(__xludf.DUMMYFUNCTION("""COMPUTED_VALUE"""),0.408)</f>
        <v>0.408</v>
      </c>
      <c r="J2335" s="20">
        <f>IFERROR(__xludf.DUMMYFUNCTION("""COMPUTED_VALUE"""),2334.0)</f>
        <v>2334</v>
      </c>
      <c r="K2335" s="20" t="b">
        <f>IFERROR(__xludf.DUMMYFUNCTION("""COMPUTED_VALUE"""),FALSE)</f>
        <v>0</v>
      </c>
      <c r="L2335" s="20" t="str">
        <f>IFERROR(__xludf.DUMMYFUNCTION("""COMPUTED_VALUE"""),"Array;Stack;Union Find;Monotonic Stack;")</f>
        <v>Array;Stack;Union Find;Monotonic Stack;</v>
      </c>
      <c r="M2335" s="20" t="b">
        <f>IFERROR(__xludf.DUMMYFUNCTION("""COMPUTED_VALUE"""),FALSE)</f>
        <v>0</v>
      </c>
      <c r="N2335" s="20" t="b">
        <f>IFERROR(__xludf.DUMMYFUNCTION("""COMPUTED_VALUE"""),FALSE)</f>
        <v>0</v>
      </c>
      <c r="O2335" s="20">
        <f>IFERROR(__xludf.DUMMYFUNCTION("""COMPUTED_VALUE"""),40.7704893648668)</f>
        <v>40.77048936</v>
      </c>
      <c r="P2335" s="20">
        <f>IFERROR(__xludf.DUMMYFUNCTION("""COMPUTED_VALUE"""),5481.0)</f>
        <v>5481</v>
      </c>
      <c r="Q2335" s="20">
        <f>IFERROR(__xludf.DUMMYFUNCTION("""COMPUTED_VALUE"""),13445.0)</f>
        <v>13445</v>
      </c>
    </row>
    <row r="2336">
      <c r="A2336" s="20">
        <f>IFERROR(__xludf.DUMMYFUNCTION("""COMPUTED_VALUE"""),2412.0)</f>
        <v>2412</v>
      </c>
      <c r="B2336" s="20" t="str">
        <f>IFERROR(__xludf.DUMMYFUNCTION("""COMPUTED_VALUE"""),"Minimum Amount of Time to Fill Cups")</f>
        <v>Minimum Amount of Time to Fill Cups</v>
      </c>
      <c r="C2336" s="20" t="str">
        <f>IFERROR(__xludf.DUMMYFUNCTION("""COMPUTED_VALUE"""),"minimum-amount-of-time-to-fill-cups")</f>
        <v>minimum-amount-of-time-to-fill-cups</v>
      </c>
      <c r="D2336" s="20" t="b">
        <f>IFERROR(__xludf.DUMMYFUNCTION("""COMPUTED_VALUE"""),FALSE)</f>
        <v>0</v>
      </c>
      <c r="E2336" s="20" t="str">
        <f>IFERROR(__xludf.DUMMYFUNCTION("""COMPUTED_VALUE"""),"Easy")</f>
        <v>Easy</v>
      </c>
      <c r="F2336" s="20">
        <f>IFERROR(__xludf.DUMMYFUNCTION("""COMPUTED_VALUE"""),406.0)</f>
        <v>406</v>
      </c>
      <c r="G2336" s="20">
        <f>IFERROR(__xludf.DUMMYFUNCTION("""COMPUTED_VALUE"""),56.0)</f>
        <v>56</v>
      </c>
      <c r="H2336" s="20" t="str">
        <f>IFERROR(__xludf.DUMMYFUNCTION("""COMPUTED_VALUE"""),"Algorithms")</f>
        <v>Algorithms</v>
      </c>
      <c r="I2336" s="20">
        <f>IFERROR(__xludf.DUMMYFUNCTION("""COMPUTED_VALUE"""),0.556)</f>
        <v>0.556</v>
      </c>
      <c r="J2336" s="20">
        <f>IFERROR(__xludf.DUMMYFUNCTION("""COMPUTED_VALUE"""),2335.0)</f>
        <v>2335</v>
      </c>
      <c r="K2336" s="20" t="b">
        <f>IFERROR(__xludf.DUMMYFUNCTION("""COMPUTED_VALUE"""),FALSE)</f>
        <v>0</v>
      </c>
      <c r="L2336" s="20" t="str">
        <f>IFERROR(__xludf.DUMMYFUNCTION("""COMPUTED_VALUE"""),"Array;Greedy;Heap (Priority Queue);")</f>
        <v>Array;Greedy;Heap (Priority Queue);</v>
      </c>
      <c r="M2336" s="20" t="b">
        <f>IFERROR(__xludf.DUMMYFUNCTION("""COMPUTED_VALUE"""),FALSE)</f>
        <v>0</v>
      </c>
      <c r="N2336" s="20" t="b">
        <f>IFERROR(__xludf.DUMMYFUNCTION("""COMPUTED_VALUE"""),FALSE)</f>
        <v>0</v>
      </c>
      <c r="O2336" s="20">
        <f>IFERROR(__xludf.DUMMYFUNCTION("""COMPUTED_VALUE"""),55.5897133810724)</f>
        <v>55.58971338</v>
      </c>
      <c r="P2336" s="20">
        <f>IFERROR(__xludf.DUMMYFUNCTION("""COMPUTED_VALUE"""),30198.0)</f>
        <v>30198</v>
      </c>
      <c r="Q2336" s="20">
        <f>IFERROR(__xludf.DUMMYFUNCTION("""COMPUTED_VALUE"""),54323.0)</f>
        <v>54323</v>
      </c>
    </row>
    <row r="2337">
      <c r="A2337" s="20">
        <f>IFERROR(__xludf.DUMMYFUNCTION("""COMPUTED_VALUE"""),2413.0)</f>
        <v>2413</v>
      </c>
      <c r="B2337" s="20" t="str">
        <f>IFERROR(__xludf.DUMMYFUNCTION("""COMPUTED_VALUE"""),"Smallest Number in Infinite Set")</f>
        <v>Smallest Number in Infinite Set</v>
      </c>
      <c r="C2337" s="20" t="str">
        <f>IFERROR(__xludf.DUMMYFUNCTION("""COMPUTED_VALUE"""),"smallest-number-in-infinite-set")</f>
        <v>smallest-number-in-infinite-set</v>
      </c>
      <c r="D2337" s="20" t="b">
        <f>IFERROR(__xludf.DUMMYFUNCTION("""COMPUTED_VALUE"""),FALSE)</f>
        <v>0</v>
      </c>
      <c r="E2337" s="20" t="str">
        <f>IFERROR(__xludf.DUMMYFUNCTION("""COMPUTED_VALUE"""),"Medium")</f>
        <v>Medium</v>
      </c>
      <c r="F2337" s="20">
        <f>IFERROR(__xludf.DUMMYFUNCTION("""COMPUTED_VALUE"""),302.0)</f>
        <v>302</v>
      </c>
      <c r="G2337" s="20">
        <f>IFERROR(__xludf.DUMMYFUNCTION("""COMPUTED_VALUE"""),26.0)</f>
        <v>26</v>
      </c>
      <c r="H2337" s="20" t="str">
        <f>IFERROR(__xludf.DUMMYFUNCTION("""COMPUTED_VALUE"""),"Algorithms")</f>
        <v>Algorithms</v>
      </c>
      <c r="I2337" s="20">
        <f>IFERROR(__xludf.DUMMYFUNCTION("""COMPUTED_VALUE"""),0.716)</f>
        <v>0.716</v>
      </c>
      <c r="J2337" s="20">
        <f>IFERROR(__xludf.DUMMYFUNCTION("""COMPUTED_VALUE"""),2336.0)</f>
        <v>2336</v>
      </c>
      <c r="K2337" s="20" t="b">
        <f>IFERROR(__xludf.DUMMYFUNCTION("""COMPUTED_VALUE"""),FALSE)</f>
        <v>0</v>
      </c>
      <c r="L2337" s="20" t="str">
        <f>IFERROR(__xludf.DUMMYFUNCTION("""COMPUTED_VALUE"""),"Hash Table;Design;Heap (Priority Queue);")</f>
        <v>Hash Table;Design;Heap (Priority Queue);</v>
      </c>
      <c r="M2337" s="20" t="b">
        <f>IFERROR(__xludf.DUMMYFUNCTION("""COMPUTED_VALUE"""),FALSE)</f>
        <v>0</v>
      </c>
      <c r="N2337" s="20" t="b">
        <f>IFERROR(__xludf.DUMMYFUNCTION("""COMPUTED_VALUE"""),FALSE)</f>
        <v>0</v>
      </c>
      <c r="O2337" s="20">
        <f>IFERROR(__xludf.DUMMYFUNCTION("""COMPUTED_VALUE"""),71.5913534044573)</f>
        <v>71.5913534</v>
      </c>
      <c r="P2337" s="20">
        <f>IFERROR(__xludf.DUMMYFUNCTION("""COMPUTED_VALUE"""),25634.0)</f>
        <v>25634</v>
      </c>
      <c r="Q2337" s="20">
        <f>IFERROR(__xludf.DUMMYFUNCTION("""COMPUTED_VALUE"""),35806.0)</f>
        <v>35806</v>
      </c>
    </row>
    <row r="2338">
      <c r="A2338" s="20">
        <f>IFERROR(__xludf.DUMMYFUNCTION("""COMPUTED_VALUE"""),2414.0)</f>
        <v>2414</v>
      </c>
      <c r="B2338" s="20" t="str">
        <f>IFERROR(__xludf.DUMMYFUNCTION("""COMPUTED_VALUE"""),"Move Pieces to Obtain a String")</f>
        <v>Move Pieces to Obtain a String</v>
      </c>
      <c r="C2338" s="20" t="str">
        <f>IFERROR(__xludf.DUMMYFUNCTION("""COMPUTED_VALUE"""),"move-pieces-to-obtain-a-string")</f>
        <v>move-pieces-to-obtain-a-string</v>
      </c>
      <c r="D2338" s="20" t="b">
        <f>IFERROR(__xludf.DUMMYFUNCTION("""COMPUTED_VALUE"""),FALSE)</f>
        <v>0</v>
      </c>
      <c r="E2338" s="20" t="str">
        <f>IFERROR(__xludf.DUMMYFUNCTION("""COMPUTED_VALUE"""),"Medium")</f>
        <v>Medium</v>
      </c>
      <c r="F2338" s="20">
        <f>IFERROR(__xludf.DUMMYFUNCTION("""COMPUTED_VALUE"""),491.0)</f>
        <v>491</v>
      </c>
      <c r="G2338" s="20">
        <f>IFERROR(__xludf.DUMMYFUNCTION("""COMPUTED_VALUE"""),36.0)</f>
        <v>36</v>
      </c>
      <c r="H2338" s="20" t="str">
        <f>IFERROR(__xludf.DUMMYFUNCTION("""COMPUTED_VALUE"""),"Algorithms")</f>
        <v>Algorithms</v>
      </c>
      <c r="I2338" s="20">
        <f>IFERROR(__xludf.DUMMYFUNCTION("""COMPUTED_VALUE"""),0.482)</f>
        <v>0.482</v>
      </c>
      <c r="J2338" s="20">
        <f>IFERROR(__xludf.DUMMYFUNCTION("""COMPUTED_VALUE"""),2337.0)</f>
        <v>2337</v>
      </c>
      <c r="K2338" s="20" t="b">
        <f>IFERROR(__xludf.DUMMYFUNCTION("""COMPUTED_VALUE"""),FALSE)</f>
        <v>0</v>
      </c>
      <c r="L2338" s="20" t="str">
        <f>IFERROR(__xludf.DUMMYFUNCTION("""COMPUTED_VALUE"""),"Two Pointers;String;")</f>
        <v>Two Pointers;String;</v>
      </c>
      <c r="M2338" s="20" t="b">
        <f>IFERROR(__xludf.DUMMYFUNCTION("""COMPUTED_VALUE"""),FALSE)</f>
        <v>0</v>
      </c>
      <c r="N2338" s="20" t="b">
        <f>IFERROR(__xludf.DUMMYFUNCTION("""COMPUTED_VALUE"""),FALSE)</f>
        <v>0</v>
      </c>
      <c r="O2338" s="20">
        <f>IFERROR(__xludf.DUMMYFUNCTION("""COMPUTED_VALUE"""),48.166511216926)</f>
        <v>48.16651122</v>
      </c>
      <c r="P2338" s="20">
        <f>IFERROR(__xludf.DUMMYFUNCTION("""COMPUTED_VALUE"""),19624.0)</f>
        <v>19624</v>
      </c>
      <c r="Q2338" s="20">
        <f>IFERROR(__xludf.DUMMYFUNCTION("""COMPUTED_VALUE"""),40742.0)</f>
        <v>40742</v>
      </c>
    </row>
    <row r="2339">
      <c r="A2339" s="20">
        <f>IFERROR(__xludf.DUMMYFUNCTION("""COMPUTED_VALUE"""),2415.0)</f>
        <v>2415</v>
      </c>
      <c r="B2339" s="20" t="str">
        <f>IFERROR(__xludf.DUMMYFUNCTION("""COMPUTED_VALUE"""),"Count the Number of Ideal Arrays")</f>
        <v>Count the Number of Ideal Arrays</v>
      </c>
      <c r="C2339" s="20" t="str">
        <f>IFERROR(__xludf.DUMMYFUNCTION("""COMPUTED_VALUE"""),"count-the-number-of-ideal-arrays")</f>
        <v>count-the-number-of-ideal-arrays</v>
      </c>
      <c r="D2339" s="20" t="b">
        <f>IFERROR(__xludf.DUMMYFUNCTION("""COMPUTED_VALUE"""),FALSE)</f>
        <v>0</v>
      </c>
      <c r="E2339" s="20" t="str">
        <f>IFERROR(__xludf.DUMMYFUNCTION("""COMPUTED_VALUE"""),"Hard")</f>
        <v>Hard</v>
      </c>
      <c r="F2339" s="20">
        <f>IFERROR(__xludf.DUMMYFUNCTION("""COMPUTED_VALUE"""),355.0)</f>
        <v>355</v>
      </c>
      <c r="G2339" s="20">
        <f>IFERROR(__xludf.DUMMYFUNCTION("""COMPUTED_VALUE"""),23.0)</f>
        <v>23</v>
      </c>
      <c r="H2339" s="20" t="str">
        <f>IFERROR(__xludf.DUMMYFUNCTION("""COMPUTED_VALUE"""),"Algorithms")</f>
        <v>Algorithms</v>
      </c>
      <c r="I2339" s="20">
        <f>IFERROR(__xludf.DUMMYFUNCTION("""COMPUTED_VALUE"""),0.259)</f>
        <v>0.259</v>
      </c>
      <c r="J2339" s="20">
        <f>IFERROR(__xludf.DUMMYFUNCTION("""COMPUTED_VALUE"""),2338.0)</f>
        <v>2338</v>
      </c>
      <c r="K2339" s="20" t="b">
        <f>IFERROR(__xludf.DUMMYFUNCTION("""COMPUTED_VALUE"""),FALSE)</f>
        <v>0</v>
      </c>
      <c r="L2339" s="20" t="str">
        <f>IFERROR(__xludf.DUMMYFUNCTION("""COMPUTED_VALUE"""),"Math;Dynamic Programming;Combinatorics;Number Theory;")</f>
        <v>Math;Dynamic Programming;Combinatorics;Number Theory;</v>
      </c>
      <c r="M2339" s="20" t="b">
        <f>IFERROR(__xludf.DUMMYFUNCTION("""COMPUTED_VALUE"""),FALSE)</f>
        <v>0</v>
      </c>
      <c r="N2339" s="20" t="b">
        <f>IFERROR(__xludf.DUMMYFUNCTION("""COMPUTED_VALUE"""),FALSE)</f>
        <v>0</v>
      </c>
      <c r="O2339" s="20">
        <f>IFERROR(__xludf.DUMMYFUNCTION("""COMPUTED_VALUE"""),25.904571394952)</f>
        <v>25.90457139</v>
      </c>
      <c r="P2339" s="20">
        <f>IFERROR(__xludf.DUMMYFUNCTION("""COMPUTED_VALUE"""),4403.0)</f>
        <v>4403</v>
      </c>
      <c r="Q2339" s="20">
        <f>IFERROR(__xludf.DUMMYFUNCTION("""COMPUTED_VALUE"""),16997.0)</f>
        <v>16997</v>
      </c>
    </row>
    <row r="2340">
      <c r="A2340" s="20">
        <f>IFERROR(__xludf.DUMMYFUNCTION("""COMPUTED_VALUE"""),2453.0)</f>
        <v>2453</v>
      </c>
      <c r="B2340" s="20" t="str">
        <f>IFERROR(__xludf.DUMMYFUNCTION("""COMPUTED_VALUE"""),"All the Matches of the League")</f>
        <v>All the Matches of the League</v>
      </c>
      <c r="C2340" s="20" t="str">
        <f>IFERROR(__xludf.DUMMYFUNCTION("""COMPUTED_VALUE"""),"all-the-matches-of-the-league")</f>
        <v>all-the-matches-of-the-league</v>
      </c>
      <c r="D2340" s="20" t="b">
        <f>IFERROR(__xludf.DUMMYFUNCTION("""COMPUTED_VALUE"""),TRUE)</f>
        <v>1</v>
      </c>
      <c r="E2340" s="20" t="str">
        <f>IFERROR(__xludf.DUMMYFUNCTION("""COMPUTED_VALUE"""),"Easy")</f>
        <v>Easy</v>
      </c>
      <c r="F2340" s="20">
        <f>IFERROR(__xludf.DUMMYFUNCTION("""COMPUTED_VALUE"""),21.0)</f>
        <v>21</v>
      </c>
      <c r="G2340" s="20">
        <f>IFERROR(__xludf.DUMMYFUNCTION("""COMPUTED_VALUE"""),3.0)</f>
        <v>3</v>
      </c>
      <c r="H2340" s="20" t="str">
        <f>IFERROR(__xludf.DUMMYFUNCTION("""COMPUTED_VALUE"""),"Database")</f>
        <v>Database</v>
      </c>
      <c r="I2340" s="20">
        <f>IFERROR(__xludf.DUMMYFUNCTION("""COMPUTED_VALUE"""),0.889)</f>
        <v>0.889</v>
      </c>
      <c r="J2340" s="20">
        <f>IFERROR(__xludf.DUMMYFUNCTION("""COMPUTED_VALUE"""),2339.0)</f>
        <v>2339</v>
      </c>
      <c r="K2340" s="20" t="b">
        <f>IFERROR(__xludf.DUMMYFUNCTION("""COMPUTED_VALUE"""),TRUE)</f>
        <v>1</v>
      </c>
      <c r="L2340" s="20" t="str">
        <f>IFERROR(__xludf.DUMMYFUNCTION("""COMPUTED_VALUE"""),"Database;")</f>
        <v>Database;</v>
      </c>
      <c r="M2340" s="20" t="b">
        <f>IFERROR(__xludf.DUMMYFUNCTION("""COMPUTED_VALUE"""),FALSE)</f>
        <v>0</v>
      </c>
      <c r="N2340" s="20" t="b">
        <f>IFERROR(__xludf.DUMMYFUNCTION("""COMPUTED_VALUE"""),FALSE)</f>
        <v>0</v>
      </c>
      <c r="O2340" s="20">
        <f>IFERROR(__xludf.DUMMYFUNCTION("""COMPUTED_VALUE"""),88.8790298728186)</f>
        <v>88.87902987</v>
      </c>
      <c r="P2340" s="20">
        <f>IFERROR(__xludf.DUMMYFUNCTION("""COMPUTED_VALUE"""),3005.0)</f>
        <v>3005</v>
      </c>
      <c r="Q2340" s="20">
        <f>IFERROR(__xludf.DUMMYFUNCTION("""COMPUTED_VALUE"""),3381.0)</f>
        <v>3381</v>
      </c>
    </row>
    <row r="2341">
      <c r="A2341" s="20">
        <f>IFERROR(__xludf.DUMMYFUNCTION("""COMPUTED_VALUE"""),2474.0)</f>
        <v>2474</v>
      </c>
      <c r="B2341" s="20" t="str">
        <f>IFERROR(__xludf.DUMMYFUNCTION("""COMPUTED_VALUE"""),"Minimum Adjacent Swaps to Make a Valid Array")</f>
        <v>Minimum Adjacent Swaps to Make a Valid Array</v>
      </c>
      <c r="C2341" s="20" t="str">
        <f>IFERROR(__xludf.DUMMYFUNCTION("""COMPUTED_VALUE"""),"minimum-adjacent-swaps-to-make-a-valid-array")</f>
        <v>minimum-adjacent-swaps-to-make-a-valid-array</v>
      </c>
      <c r="D2341" s="20" t="b">
        <f>IFERROR(__xludf.DUMMYFUNCTION("""COMPUTED_VALUE"""),TRUE)</f>
        <v>1</v>
      </c>
      <c r="E2341" s="20" t="str">
        <f>IFERROR(__xludf.DUMMYFUNCTION("""COMPUTED_VALUE"""),"Medium")</f>
        <v>Medium</v>
      </c>
      <c r="F2341" s="20">
        <f>IFERROR(__xludf.DUMMYFUNCTION("""COMPUTED_VALUE"""),61.0)</f>
        <v>61</v>
      </c>
      <c r="G2341" s="20">
        <f>IFERROR(__xludf.DUMMYFUNCTION("""COMPUTED_VALUE"""),11.0)</f>
        <v>11</v>
      </c>
      <c r="H2341" s="20" t="str">
        <f>IFERROR(__xludf.DUMMYFUNCTION("""COMPUTED_VALUE"""),"Algorithms")</f>
        <v>Algorithms</v>
      </c>
      <c r="I2341" s="20">
        <f>IFERROR(__xludf.DUMMYFUNCTION("""COMPUTED_VALUE"""),0.761)</f>
        <v>0.761</v>
      </c>
      <c r="J2341" s="20">
        <f>IFERROR(__xludf.DUMMYFUNCTION("""COMPUTED_VALUE"""),2340.0)</f>
        <v>2340</v>
      </c>
      <c r="K2341" s="20" t="b">
        <f>IFERROR(__xludf.DUMMYFUNCTION("""COMPUTED_VALUE"""),TRUE)</f>
        <v>1</v>
      </c>
      <c r="L2341" s="20" t="str">
        <f>IFERROR(__xludf.DUMMYFUNCTION("""COMPUTED_VALUE"""),"Array;Greedy;")</f>
        <v>Array;Greedy;</v>
      </c>
      <c r="M2341" s="20" t="b">
        <f>IFERROR(__xludf.DUMMYFUNCTION("""COMPUTED_VALUE"""),FALSE)</f>
        <v>0</v>
      </c>
      <c r="N2341" s="20" t="b">
        <f>IFERROR(__xludf.DUMMYFUNCTION("""COMPUTED_VALUE"""),FALSE)</f>
        <v>0</v>
      </c>
      <c r="O2341" s="20">
        <f>IFERROR(__xludf.DUMMYFUNCTION("""COMPUTED_VALUE"""),76.1002349256068)</f>
        <v>76.10023493</v>
      </c>
      <c r="P2341" s="20">
        <f>IFERROR(__xludf.DUMMYFUNCTION("""COMPUTED_VALUE"""),4859.0)</f>
        <v>4859</v>
      </c>
      <c r="Q2341" s="20">
        <f>IFERROR(__xludf.DUMMYFUNCTION("""COMPUTED_VALUE"""),6385.0)</f>
        <v>6385</v>
      </c>
    </row>
    <row r="2342">
      <c r="A2342" s="20">
        <f>IFERROR(__xludf.DUMMYFUNCTION("""COMPUTED_VALUE"""),2421.0)</f>
        <v>2421</v>
      </c>
      <c r="B2342" s="20" t="str">
        <f>IFERROR(__xludf.DUMMYFUNCTION("""COMPUTED_VALUE"""),"Maximum Number of Pairs in Array")</f>
        <v>Maximum Number of Pairs in Array</v>
      </c>
      <c r="C2342" s="20" t="str">
        <f>IFERROR(__xludf.DUMMYFUNCTION("""COMPUTED_VALUE"""),"maximum-number-of-pairs-in-array")</f>
        <v>maximum-number-of-pairs-in-array</v>
      </c>
      <c r="D2342" s="20" t="b">
        <f>IFERROR(__xludf.DUMMYFUNCTION("""COMPUTED_VALUE"""),FALSE)</f>
        <v>0</v>
      </c>
      <c r="E2342" s="20" t="str">
        <f>IFERROR(__xludf.DUMMYFUNCTION("""COMPUTED_VALUE"""),"Easy")</f>
        <v>Easy</v>
      </c>
      <c r="F2342" s="20">
        <f>IFERROR(__xludf.DUMMYFUNCTION("""COMPUTED_VALUE"""),400.0)</f>
        <v>400</v>
      </c>
      <c r="G2342" s="20">
        <f>IFERROR(__xludf.DUMMYFUNCTION("""COMPUTED_VALUE"""),12.0)</f>
        <v>12</v>
      </c>
      <c r="H2342" s="20" t="str">
        <f>IFERROR(__xludf.DUMMYFUNCTION("""COMPUTED_VALUE"""),"Algorithms")</f>
        <v>Algorithms</v>
      </c>
      <c r="I2342" s="20">
        <f>IFERROR(__xludf.DUMMYFUNCTION("""COMPUTED_VALUE"""),0.765)</f>
        <v>0.765</v>
      </c>
      <c r="J2342" s="20">
        <f>IFERROR(__xludf.DUMMYFUNCTION("""COMPUTED_VALUE"""),2341.0)</f>
        <v>2341</v>
      </c>
      <c r="K2342" s="20" t="b">
        <f>IFERROR(__xludf.DUMMYFUNCTION("""COMPUTED_VALUE"""),FALSE)</f>
        <v>0</v>
      </c>
      <c r="L2342" s="20" t="str">
        <f>IFERROR(__xludf.DUMMYFUNCTION("""COMPUTED_VALUE"""),"Array;Hash Table;Counting;")</f>
        <v>Array;Hash Table;Counting;</v>
      </c>
      <c r="M2342" s="20" t="b">
        <f>IFERROR(__xludf.DUMMYFUNCTION("""COMPUTED_VALUE"""),FALSE)</f>
        <v>0</v>
      </c>
      <c r="N2342" s="20" t="b">
        <f>IFERROR(__xludf.DUMMYFUNCTION("""COMPUTED_VALUE"""),FALSE)</f>
        <v>0</v>
      </c>
      <c r="O2342" s="20">
        <f>IFERROR(__xludf.DUMMYFUNCTION("""COMPUTED_VALUE"""),76.5477624386176)</f>
        <v>76.54776244</v>
      </c>
      <c r="P2342" s="20">
        <f>IFERROR(__xludf.DUMMYFUNCTION("""COMPUTED_VALUE"""),41309.0)</f>
        <v>41309</v>
      </c>
      <c r="Q2342" s="20">
        <f>IFERROR(__xludf.DUMMYFUNCTION("""COMPUTED_VALUE"""),53965.0)</f>
        <v>53965</v>
      </c>
    </row>
    <row r="2343">
      <c r="A2343" s="20">
        <f>IFERROR(__xludf.DUMMYFUNCTION("""COMPUTED_VALUE"""),2473.0)</f>
        <v>2473</v>
      </c>
      <c r="B2343" s="20" t="str">
        <f>IFERROR(__xludf.DUMMYFUNCTION("""COMPUTED_VALUE"""),"Max Sum of a Pair With Equal Sum of Digits")</f>
        <v>Max Sum of a Pair With Equal Sum of Digits</v>
      </c>
      <c r="C2343" s="20" t="str">
        <f>IFERROR(__xludf.DUMMYFUNCTION("""COMPUTED_VALUE"""),"max-sum-of-a-pair-with-equal-sum-of-digits")</f>
        <v>max-sum-of-a-pair-with-equal-sum-of-digits</v>
      </c>
      <c r="D2343" s="20" t="b">
        <f>IFERROR(__xludf.DUMMYFUNCTION("""COMPUTED_VALUE"""),FALSE)</f>
        <v>0</v>
      </c>
      <c r="E2343" s="20" t="str">
        <f>IFERROR(__xludf.DUMMYFUNCTION("""COMPUTED_VALUE"""),"Medium")</f>
        <v>Medium</v>
      </c>
      <c r="F2343" s="20">
        <f>IFERROR(__xludf.DUMMYFUNCTION("""COMPUTED_VALUE"""),440.0)</f>
        <v>440</v>
      </c>
      <c r="G2343" s="20">
        <f>IFERROR(__xludf.DUMMYFUNCTION("""COMPUTED_VALUE"""),7.0)</f>
        <v>7</v>
      </c>
      <c r="H2343" s="20" t="str">
        <f>IFERROR(__xludf.DUMMYFUNCTION("""COMPUTED_VALUE"""),"Algorithms")</f>
        <v>Algorithms</v>
      </c>
      <c r="I2343" s="20">
        <f>IFERROR(__xludf.DUMMYFUNCTION("""COMPUTED_VALUE"""),0.533)</f>
        <v>0.533</v>
      </c>
      <c r="J2343" s="20">
        <f>IFERROR(__xludf.DUMMYFUNCTION("""COMPUTED_VALUE"""),2342.0)</f>
        <v>2342</v>
      </c>
      <c r="K2343" s="20" t="b">
        <f>IFERROR(__xludf.DUMMYFUNCTION("""COMPUTED_VALUE"""),FALSE)</f>
        <v>0</v>
      </c>
      <c r="L2343" s="20" t="str">
        <f>IFERROR(__xludf.DUMMYFUNCTION("""COMPUTED_VALUE"""),"Array;Hash Table;Sorting;Heap (Priority Queue);")</f>
        <v>Array;Hash Table;Sorting;Heap (Priority Queue);</v>
      </c>
      <c r="M2343" s="20" t="b">
        <f>IFERROR(__xludf.DUMMYFUNCTION("""COMPUTED_VALUE"""),FALSE)</f>
        <v>0</v>
      </c>
      <c r="N2343" s="20" t="b">
        <f>IFERROR(__xludf.DUMMYFUNCTION("""COMPUTED_VALUE"""),FALSE)</f>
        <v>0</v>
      </c>
      <c r="O2343" s="20">
        <f>IFERROR(__xludf.DUMMYFUNCTION("""COMPUTED_VALUE"""),53.291160251563)</f>
        <v>53.29116025</v>
      </c>
      <c r="P2343" s="20">
        <f>IFERROR(__xludf.DUMMYFUNCTION("""COMPUTED_VALUE"""),28895.0)</f>
        <v>28895</v>
      </c>
      <c r="Q2343" s="20">
        <f>IFERROR(__xludf.DUMMYFUNCTION("""COMPUTED_VALUE"""),54221.0)</f>
        <v>54221</v>
      </c>
    </row>
    <row r="2344">
      <c r="A2344" s="20">
        <f>IFERROR(__xludf.DUMMYFUNCTION("""COMPUTED_VALUE"""),2422.0)</f>
        <v>2422</v>
      </c>
      <c r="B2344" s="20" t="str">
        <f>IFERROR(__xludf.DUMMYFUNCTION("""COMPUTED_VALUE"""),"Query Kth Smallest Trimmed Number")</f>
        <v>Query Kth Smallest Trimmed Number</v>
      </c>
      <c r="C2344" s="20" t="str">
        <f>IFERROR(__xludf.DUMMYFUNCTION("""COMPUTED_VALUE"""),"query-kth-smallest-trimmed-number")</f>
        <v>query-kth-smallest-trimmed-number</v>
      </c>
      <c r="D2344" s="20" t="b">
        <f>IFERROR(__xludf.DUMMYFUNCTION("""COMPUTED_VALUE"""),FALSE)</f>
        <v>0</v>
      </c>
      <c r="E2344" s="20" t="str">
        <f>IFERROR(__xludf.DUMMYFUNCTION("""COMPUTED_VALUE"""),"Medium")</f>
        <v>Medium</v>
      </c>
      <c r="F2344" s="20">
        <f>IFERROR(__xludf.DUMMYFUNCTION("""COMPUTED_VALUE"""),190.0)</f>
        <v>190</v>
      </c>
      <c r="G2344" s="20">
        <f>IFERROR(__xludf.DUMMYFUNCTION("""COMPUTED_VALUE"""),349.0)</f>
        <v>349</v>
      </c>
      <c r="H2344" s="20" t="str">
        <f>IFERROR(__xludf.DUMMYFUNCTION("""COMPUTED_VALUE"""),"Algorithms")</f>
        <v>Algorithms</v>
      </c>
      <c r="I2344" s="20">
        <f>IFERROR(__xludf.DUMMYFUNCTION("""COMPUTED_VALUE"""),0.41)</f>
        <v>0.41</v>
      </c>
      <c r="J2344" s="20">
        <f>IFERROR(__xludf.DUMMYFUNCTION("""COMPUTED_VALUE"""),2343.0)</f>
        <v>2343</v>
      </c>
      <c r="K2344" s="20" t="b">
        <f>IFERROR(__xludf.DUMMYFUNCTION("""COMPUTED_VALUE"""),FALSE)</f>
        <v>0</v>
      </c>
      <c r="L2344" s="20" t="str">
        <f>IFERROR(__xludf.DUMMYFUNCTION("""COMPUTED_VALUE"""),"Array;String;Divide and Conquer;Sorting;Heap (Priority Queue);Radix Sort;Quickselect;")</f>
        <v>Array;String;Divide and Conquer;Sorting;Heap (Priority Queue);Radix Sort;Quickselect;</v>
      </c>
      <c r="M2344" s="20" t="b">
        <f>IFERROR(__xludf.DUMMYFUNCTION("""COMPUTED_VALUE"""),FALSE)</f>
        <v>0</v>
      </c>
      <c r="N2344" s="20" t="b">
        <f>IFERROR(__xludf.DUMMYFUNCTION("""COMPUTED_VALUE"""),FALSE)</f>
        <v>0</v>
      </c>
      <c r="O2344" s="20">
        <f>IFERROR(__xludf.DUMMYFUNCTION("""COMPUTED_VALUE"""),40.9918020632533)</f>
        <v>40.99180206</v>
      </c>
      <c r="P2344" s="20">
        <f>IFERROR(__xludf.DUMMYFUNCTION("""COMPUTED_VALUE"""),19351.0)</f>
        <v>19351</v>
      </c>
      <c r="Q2344" s="20">
        <f>IFERROR(__xludf.DUMMYFUNCTION("""COMPUTED_VALUE"""),47207.0)</f>
        <v>47207</v>
      </c>
    </row>
    <row r="2345">
      <c r="A2345" s="20">
        <f>IFERROR(__xludf.DUMMYFUNCTION("""COMPUTED_VALUE"""),2423.0)</f>
        <v>2423</v>
      </c>
      <c r="B2345" s="20" t="str">
        <f>IFERROR(__xludf.DUMMYFUNCTION("""COMPUTED_VALUE"""),"Minimum Deletions to Make Array Divisible")</f>
        <v>Minimum Deletions to Make Array Divisible</v>
      </c>
      <c r="C2345" s="20" t="str">
        <f>IFERROR(__xludf.DUMMYFUNCTION("""COMPUTED_VALUE"""),"minimum-deletions-to-make-array-divisible")</f>
        <v>minimum-deletions-to-make-array-divisible</v>
      </c>
      <c r="D2345" s="20" t="b">
        <f>IFERROR(__xludf.DUMMYFUNCTION("""COMPUTED_VALUE"""),FALSE)</f>
        <v>0</v>
      </c>
      <c r="E2345" s="20" t="str">
        <f>IFERROR(__xludf.DUMMYFUNCTION("""COMPUTED_VALUE"""),"Hard")</f>
        <v>Hard</v>
      </c>
      <c r="F2345" s="20">
        <f>IFERROR(__xludf.DUMMYFUNCTION("""COMPUTED_VALUE"""),385.0)</f>
        <v>385</v>
      </c>
      <c r="G2345" s="20">
        <f>IFERROR(__xludf.DUMMYFUNCTION("""COMPUTED_VALUE"""),106.0)</f>
        <v>106</v>
      </c>
      <c r="H2345" s="20" t="str">
        <f>IFERROR(__xludf.DUMMYFUNCTION("""COMPUTED_VALUE"""),"Algorithms")</f>
        <v>Algorithms</v>
      </c>
      <c r="I2345" s="20">
        <f>IFERROR(__xludf.DUMMYFUNCTION("""COMPUTED_VALUE"""),0.569)</f>
        <v>0.569</v>
      </c>
      <c r="J2345" s="20">
        <f>IFERROR(__xludf.DUMMYFUNCTION("""COMPUTED_VALUE"""),2344.0)</f>
        <v>2344</v>
      </c>
      <c r="K2345" s="20" t="b">
        <f>IFERROR(__xludf.DUMMYFUNCTION("""COMPUTED_VALUE"""),FALSE)</f>
        <v>0</v>
      </c>
      <c r="L2345" s="20" t="str">
        <f>IFERROR(__xludf.DUMMYFUNCTION("""COMPUTED_VALUE"""),"Array;Math;Sorting;Heap (Priority Queue);Number Theory;")</f>
        <v>Array;Math;Sorting;Heap (Priority Queue);Number Theory;</v>
      </c>
      <c r="M2345" s="20" t="b">
        <f>IFERROR(__xludf.DUMMYFUNCTION("""COMPUTED_VALUE"""),FALSE)</f>
        <v>0</v>
      </c>
      <c r="N2345" s="20" t="b">
        <f>IFERROR(__xludf.DUMMYFUNCTION("""COMPUTED_VALUE"""),FALSE)</f>
        <v>0</v>
      </c>
      <c r="O2345" s="20">
        <f>IFERROR(__xludf.DUMMYFUNCTION("""COMPUTED_VALUE"""),56.901690873618)</f>
        <v>56.90169087</v>
      </c>
      <c r="P2345" s="20">
        <f>IFERROR(__xludf.DUMMYFUNCTION("""COMPUTED_VALUE"""),20999.0)</f>
        <v>20999</v>
      </c>
      <c r="Q2345" s="20">
        <f>IFERROR(__xludf.DUMMYFUNCTION("""COMPUTED_VALUE"""),36904.0)</f>
        <v>36904</v>
      </c>
    </row>
    <row r="2346">
      <c r="A2346" s="20">
        <f>IFERROR(__xludf.DUMMYFUNCTION("""COMPUTED_VALUE"""),2485.0)</f>
        <v>2485</v>
      </c>
      <c r="B2346" s="20" t="str">
        <f>IFERROR(__xludf.DUMMYFUNCTION("""COMPUTED_VALUE"""),"Finding the Number of Visible Mountains")</f>
        <v>Finding the Number of Visible Mountains</v>
      </c>
      <c r="C2346" s="20" t="str">
        <f>IFERROR(__xludf.DUMMYFUNCTION("""COMPUTED_VALUE"""),"finding-the-number-of-visible-mountains")</f>
        <v>finding-the-number-of-visible-mountains</v>
      </c>
      <c r="D2346" s="20" t="b">
        <f>IFERROR(__xludf.DUMMYFUNCTION("""COMPUTED_VALUE"""),TRUE)</f>
        <v>1</v>
      </c>
      <c r="E2346" s="20" t="str">
        <f>IFERROR(__xludf.DUMMYFUNCTION("""COMPUTED_VALUE"""),"Medium")</f>
        <v>Medium</v>
      </c>
      <c r="F2346" s="20">
        <f>IFERROR(__xludf.DUMMYFUNCTION("""COMPUTED_VALUE"""),56.0)</f>
        <v>56</v>
      </c>
      <c r="G2346" s="20">
        <f>IFERROR(__xludf.DUMMYFUNCTION("""COMPUTED_VALUE"""),19.0)</f>
        <v>19</v>
      </c>
      <c r="H2346" s="20" t="str">
        <f>IFERROR(__xludf.DUMMYFUNCTION("""COMPUTED_VALUE"""),"Algorithms")</f>
        <v>Algorithms</v>
      </c>
      <c r="I2346" s="20">
        <f>IFERROR(__xludf.DUMMYFUNCTION("""COMPUTED_VALUE"""),0.441)</f>
        <v>0.441</v>
      </c>
      <c r="J2346" s="20">
        <f>IFERROR(__xludf.DUMMYFUNCTION("""COMPUTED_VALUE"""),2345.0)</f>
        <v>2345</v>
      </c>
      <c r="K2346" s="20" t="b">
        <f>IFERROR(__xludf.DUMMYFUNCTION("""COMPUTED_VALUE"""),TRUE)</f>
        <v>1</v>
      </c>
      <c r="L2346" s="20" t="str">
        <f>IFERROR(__xludf.DUMMYFUNCTION("""COMPUTED_VALUE"""),"Array;Stack;Sorting;Monotonic Stack;")</f>
        <v>Array;Stack;Sorting;Monotonic Stack;</v>
      </c>
      <c r="M2346" s="20" t="b">
        <f>IFERROR(__xludf.DUMMYFUNCTION("""COMPUTED_VALUE"""),FALSE)</f>
        <v>0</v>
      </c>
      <c r="N2346" s="20" t="b">
        <f>IFERROR(__xludf.DUMMYFUNCTION("""COMPUTED_VALUE"""),FALSE)</f>
        <v>0</v>
      </c>
      <c r="O2346" s="20">
        <f>IFERROR(__xludf.DUMMYFUNCTION("""COMPUTED_VALUE"""),44.1558441558441)</f>
        <v>44.15584416</v>
      </c>
      <c r="P2346" s="20">
        <f>IFERROR(__xludf.DUMMYFUNCTION("""COMPUTED_VALUE"""),2243.0)</f>
        <v>2243</v>
      </c>
      <c r="Q2346" s="20">
        <f>IFERROR(__xludf.DUMMYFUNCTION("""COMPUTED_VALUE"""),5081.0)</f>
        <v>5081</v>
      </c>
    </row>
    <row r="2347">
      <c r="A2347" s="20">
        <f>IFERROR(__xludf.DUMMYFUNCTION("""COMPUTED_VALUE"""),2484.0)</f>
        <v>2484</v>
      </c>
      <c r="B2347" s="20" t="str">
        <f>IFERROR(__xludf.DUMMYFUNCTION("""COMPUTED_VALUE"""),"Compute the Rank as a Percentage")</f>
        <v>Compute the Rank as a Percentage</v>
      </c>
      <c r="C2347" s="20" t="str">
        <f>IFERROR(__xludf.DUMMYFUNCTION("""COMPUTED_VALUE"""),"compute-the-rank-as-a-percentage")</f>
        <v>compute-the-rank-as-a-percentage</v>
      </c>
      <c r="D2347" s="20" t="b">
        <f>IFERROR(__xludf.DUMMYFUNCTION("""COMPUTED_VALUE"""),TRUE)</f>
        <v>1</v>
      </c>
      <c r="E2347" s="20" t="str">
        <f>IFERROR(__xludf.DUMMYFUNCTION("""COMPUTED_VALUE"""),"Medium")</f>
        <v>Medium</v>
      </c>
      <c r="F2347" s="20">
        <f>IFERROR(__xludf.DUMMYFUNCTION("""COMPUTED_VALUE"""),14.0)</f>
        <v>14</v>
      </c>
      <c r="G2347" s="20">
        <f>IFERROR(__xludf.DUMMYFUNCTION("""COMPUTED_VALUE"""),39.0)</f>
        <v>39</v>
      </c>
      <c r="H2347" s="20" t="str">
        <f>IFERROR(__xludf.DUMMYFUNCTION("""COMPUTED_VALUE"""),"Database")</f>
        <v>Database</v>
      </c>
      <c r="I2347" s="20">
        <f>IFERROR(__xludf.DUMMYFUNCTION("""COMPUTED_VALUE"""),0.335)</f>
        <v>0.335</v>
      </c>
      <c r="J2347" s="20">
        <f>IFERROR(__xludf.DUMMYFUNCTION("""COMPUTED_VALUE"""),2346.0)</f>
        <v>2346</v>
      </c>
      <c r="K2347" s="20" t="b">
        <f>IFERROR(__xludf.DUMMYFUNCTION("""COMPUTED_VALUE"""),TRUE)</f>
        <v>1</v>
      </c>
      <c r="L2347" s="20" t="str">
        <f>IFERROR(__xludf.DUMMYFUNCTION("""COMPUTED_VALUE"""),"Database;")</f>
        <v>Database;</v>
      </c>
      <c r="M2347" s="20" t="b">
        <f>IFERROR(__xludf.DUMMYFUNCTION("""COMPUTED_VALUE"""),FALSE)</f>
        <v>0</v>
      </c>
      <c r="N2347" s="20" t="b">
        <f>IFERROR(__xludf.DUMMYFUNCTION("""COMPUTED_VALUE"""),FALSE)</f>
        <v>0</v>
      </c>
      <c r="O2347" s="20">
        <f>IFERROR(__xludf.DUMMYFUNCTION("""COMPUTED_VALUE"""),33.4691383173762)</f>
        <v>33.46913832</v>
      </c>
      <c r="P2347" s="20">
        <f>IFERROR(__xludf.DUMMYFUNCTION("""COMPUTED_VALUE"""),1643.0)</f>
        <v>1643</v>
      </c>
      <c r="Q2347" s="20">
        <f>IFERROR(__xludf.DUMMYFUNCTION("""COMPUTED_VALUE"""),4909.0)</f>
        <v>4909</v>
      </c>
    </row>
    <row r="2348">
      <c r="A2348" s="20">
        <f>IFERROR(__xludf.DUMMYFUNCTION("""COMPUTED_VALUE"""),2433.0)</f>
        <v>2433</v>
      </c>
      <c r="B2348" s="20" t="str">
        <f>IFERROR(__xludf.DUMMYFUNCTION("""COMPUTED_VALUE"""),"Best Poker Hand")</f>
        <v>Best Poker Hand</v>
      </c>
      <c r="C2348" s="20" t="str">
        <f>IFERROR(__xludf.DUMMYFUNCTION("""COMPUTED_VALUE"""),"best-poker-hand")</f>
        <v>best-poker-hand</v>
      </c>
      <c r="D2348" s="20" t="b">
        <f>IFERROR(__xludf.DUMMYFUNCTION("""COMPUTED_VALUE"""),FALSE)</f>
        <v>0</v>
      </c>
      <c r="E2348" s="20" t="str">
        <f>IFERROR(__xludf.DUMMYFUNCTION("""COMPUTED_VALUE"""),"Easy")</f>
        <v>Easy</v>
      </c>
      <c r="F2348" s="20">
        <f>IFERROR(__xludf.DUMMYFUNCTION("""COMPUTED_VALUE"""),233.0)</f>
        <v>233</v>
      </c>
      <c r="G2348" s="20">
        <f>IFERROR(__xludf.DUMMYFUNCTION("""COMPUTED_VALUE"""),13.0)</f>
        <v>13</v>
      </c>
      <c r="H2348" s="20" t="str">
        <f>IFERROR(__xludf.DUMMYFUNCTION("""COMPUTED_VALUE"""),"Algorithms")</f>
        <v>Algorithms</v>
      </c>
      <c r="I2348" s="20">
        <f>IFERROR(__xludf.DUMMYFUNCTION("""COMPUTED_VALUE"""),0.606)</f>
        <v>0.606</v>
      </c>
      <c r="J2348" s="20">
        <f>IFERROR(__xludf.DUMMYFUNCTION("""COMPUTED_VALUE"""),2347.0)</f>
        <v>2347</v>
      </c>
      <c r="K2348" s="20" t="b">
        <f>IFERROR(__xludf.DUMMYFUNCTION("""COMPUTED_VALUE"""),FALSE)</f>
        <v>0</v>
      </c>
      <c r="L2348" s="20" t="str">
        <f>IFERROR(__xludf.DUMMYFUNCTION("""COMPUTED_VALUE"""),"Array;Hash Table;Counting;")</f>
        <v>Array;Hash Table;Counting;</v>
      </c>
      <c r="M2348" s="20" t="b">
        <f>IFERROR(__xludf.DUMMYFUNCTION("""COMPUTED_VALUE"""),FALSE)</f>
        <v>0</v>
      </c>
      <c r="N2348" s="20" t="b">
        <f>IFERROR(__xludf.DUMMYFUNCTION("""COMPUTED_VALUE"""),FALSE)</f>
        <v>0</v>
      </c>
      <c r="O2348" s="20">
        <f>IFERROR(__xludf.DUMMYFUNCTION("""COMPUTED_VALUE"""),60.6296030177833)</f>
        <v>60.62960302</v>
      </c>
      <c r="P2348" s="20">
        <f>IFERROR(__xludf.DUMMYFUNCTION("""COMPUTED_VALUE"""),27002.0)</f>
        <v>27002</v>
      </c>
      <c r="Q2348" s="20">
        <f>IFERROR(__xludf.DUMMYFUNCTION("""COMPUTED_VALUE"""),44536.0)</f>
        <v>44536</v>
      </c>
    </row>
    <row r="2349">
      <c r="A2349" s="20">
        <f>IFERROR(__xludf.DUMMYFUNCTION("""COMPUTED_VALUE"""),2432.0)</f>
        <v>2432</v>
      </c>
      <c r="B2349" s="20" t="str">
        <f>IFERROR(__xludf.DUMMYFUNCTION("""COMPUTED_VALUE"""),"Number of Zero-Filled Subarrays")</f>
        <v>Number of Zero-Filled Subarrays</v>
      </c>
      <c r="C2349" s="20" t="str">
        <f>IFERROR(__xludf.DUMMYFUNCTION("""COMPUTED_VALUE"""),"number-of-zero-filled-subarrays")</f>
        <v>number-of-zero-filled-subarrays</v>
      </c>
      <c r="D2349" s="20" t="b">
        <f>IFERROR(__xludf.DUMMYFUNCTION("""COMPUTED_VALUE"""),FALSE)</f>
        <v>0</v>
      </c>
      <c r="E2349" s="20" t="str">
        <f>IFERROR(__xludf.DUMMYFUNCTION("""COMPUTED_VALUE"""),"Medium")</f>
        <v>Medium</v>
      </c>
      <c r="F2349" s="20">
        <f>IFERROR(__xludf.DUMMYFUNCTION("""COMPUTED_VALUE"""),360.0)</f>
        <v>360</v>
      </c>
      <c r="G2349" s="20">
        <f>IFERROR(__xludf.DUMMYFUNCTION("""COMPUTED_VALUE"""),12.0)</f>
        <v>12</v>
      </c>
      <c r="H2349" s="20" t="str">
        <f>IFERROR(__xludf.DUMMYFUNCTION("""COMPUTED_VALUE"""),"Algorithms")</f>
        <v>Algorithms</v>
      </c>
      <c r="I2349" s="20">
        <f>IFERROR(__xludf.DUMMYFUNCTION("""COMPUTED_VALUE"""),0.573)</f>
        <v>0.573</v>
      </c>
      <c r="J2349" s="20">
        <f>IFERROR(__xludf.DUMMYFUNCTION("""COMPUTED_VALUE"""),2348.0)</f>
        <v>2348</v>
      </c>
      <c r="K2349" s="20" t="b">
        <f>IFERROR(__xludf.DUMMYFUNCTION("""COMPUTED_VALUE"""),FALSE)</f>
        <v>0</v>
      </c>
      <c r="L2349" s="20" t="str">
        <f>IFERROR(__xludf.DUMMYFUNCTION("""COMPUTED_VALUE"""),"Array;Math;")</f>
        <v>Array;Math;</v>
      </c>
      <c r="M2349" s="20" t="b">
        <f>IFERROR(__xludf.DUMMYFUNCTION("""COMPUTED_VALUE"""),TRUE)</f>
        <v>1</v>
      </c>
      <c r="N2349" s="20" t="b">
        <f>IFERROR(__xludf.DUMMYFUNCTION("""COMPUTED_VALUE"""),FALSE)</f>
        <v>0</v>
      </c>
      <c r="O2349" s="20">
        <f>IFERROR(__xludf.DUMMYFUNCTION("""COMPUTED_VALUE"""),57.3191323548512)</f>
        <v>57.31913235</v>
      </c>
      <c r="P2349" s="20">
        <f>IFERROR(__xludf.DUMMYFUNCTION("""COMPUTED_VALUE"""),26478.0)</f>
        <v>26478</v>
      </c>
      <c r="Q2349" s="20">
        <f>IFERROR(__xludf.DUMMYFUNCTION("""COMPUTED_VALUE"""),46194.0)</f>
        <v>46194</v>
      </c>
    </row>
    <row r="2350">
      <c r="A2350" s="20">
        <f>IFERROR(__xludf.DUMMYFUNCTION("""COMPUTED_VALUE"""),2434.0)</f>
        <v>2434</v>
      </c>
      <c r="B2350" s="20" t="str">
        <f>IFERROR(__xludf.DUMMYFUNCTION("""COMPUTED_VALUE"""),"Design a Number Container System")</f>
        <v>Design a Number Container System</v>
      </c>
      <c r="C2350" s="20" t="str">
        <f>IFERROR(__xludf.DUMMYFUNCTION("""COMPUTED_VALUE"""),"design-a-number-container-system")</f>
        <v>design-a-number-container-system</v>
      </c>
      <c r="D2350" s="20" t="b">
        <f>IFERROR(__xludf.DUMMYFUNCTION("""COMPUTED_VALUE"""),FALSE)</f>
        <v>0</v>
      </c>
      <c r="E2350" s="20" t="str">
        <f>IFERROR(__xludf.DUMMYFUNCTION("""COMPUTED_VALUE"""),"Medium")</f>
        <v>Medium</v>
      </c>
      <c r="F2350" s="20">
        <f>IFERROR(__xludf.DUMMYFUNCTION("""COMPUTED_VALUE"""),272.0)</f>
        <v>272</v>
      </c>
      <c r="G2350" s="20">
        <f>IFERROR(__xludf.DUMMYFUNCTION("""COMPUTED_VALUE"""),17.0)</f>
        <v>17</v>
      </c>
      <c r="H2350" s="20" t="str">
        <f>IFERROR(__xludf.DUMMYFUNCTION("""COMPUTED_VALUE"""),"Algorithms")</f>
        <v>Algorithms</v>
      </c>
      <c r="I2350" s="20">
        <f>IFERROR(__xludf.DUMMYFUNCTION("""COMPUTED_VALUE"""),0.464)</f>
        <v>0.464</v>
      </c>
      <c r="J2350" s="20">
        <f>IFERROR(__xludf.DUMMYFUNCTION("""COMPUTED_VALUE"""),2349.0)</f>
        <v>2349</v>
      </c>
      <c r="K2350" s="20" t="b">
        <f>IFERROR(__xludf.DUMMYFUNCTION("""COMPUTED_VALUE"""),FALSE)</f>
        <v>0</v>
      </c>
      <c r="L2350" s="20" t="str">
        <f>IFERROR(__xludf.DUMMYFUNCTION("""COMPUTED_VALUE"""),"Hash Table;Design;Heap (Priority Queue);Ordered Set;")</f>
        <v>Hash Table;Design;Heap (Priority Queue);Ordered Set;</v>
      </c>
      <c r="M2350" s="20" t="b">
        <f>IFERROR(__xludf.DUMMYFUNCTION("""COMPUTED_VALUE"""),FALSE)</f>
        <v>0</v>
      </c>
      <c r="N2350" s="20" t="b">
        <f>IFERROR(__xludf.DUMMYFUNCTION("""COMPUTED_VALUE"""),FALSE)</f>
        <v>0</v>
      </c>
      <c r="O2350" s="20">
        <f>IFERROR(__xludf.DUMMYFUNCTION("""COMPUTED_VALUE"""),46.3674986723313)</f>
        <v>46.36749867</v>
      </c>
      <c r="P2350" s="20">
        <f>IFERROR(__xludf.DUMMYFUNCTION("""COMPUTED_VALUE"""),17462.0)</f>
        <v>17462</v>
      </c>
      <c r="Q2350" s="20">
        <f>IFERROR(__xludf.DUMMYFUNCTION("""COMPUTED_VALUE"""),37660.0)</f>
        <v>37660</v>
      </c>
    </row>
    <row r="2351">
      <c r="A2351" s="20">
        <f>IFERROR(__xludf.DUMMYFUNCTION("""COMPUTED_VALUE"""),2435.0)</f>
        <v>2435</v>
      </c>
      <c r="B2351" s="20" t="str">
        <f>IFERROR(__xludf.DUMMYFUNCTION("""COMPUTED_VALUE"""),"Shortest Impossible Sequence of Rolls")</f>
        <v>Shortest Impossible Sequence of Rolls</v>
      </c>
      <c r="C2351" s="20" t="str">
        <f>IFERROR(__xludf.DUMMYFUNCTION("""COMPUTED_VALUE"""),"shortest-impossible-sequence-of-rolls")</f>
        <v>shortest-impossible-sequence-of-rolls</v>
      </c>
      <c r="D2351" s="20" t="b">
        <f>IFERROR(__xludf.DUMMYFUNCTION("""COMPUTED_VALUE"""),FALSE)</f>
        <v>0</v>
      </c>
      <c r="E2351" s="20" t="str">
        <f>IFERROR(__xludf.DUMMYFUNCTION("""COMPUTED_VALUE"""),"Hard")</f>
        <v>Hard</v>
      </c>
      <c r="F2351" s="20">
        <f>IFERROR(__xludf.DUMMYFUNCTION("""COMPUTED_VALUE"""),479.0)</f>
        <v>479</v>
      </c>
      <c r="G2351" s="20">
        <f>IFERROR(__xludf.DUMMYFUNCTION("""COMPUTED_VALUE"""),37.0)</f>
        <v>37</v>
      </c>
      <c r="H2351" s="20" t="str">
        <f>IFERROR(__xludf.DUMMYFUNCTION("""COMPUTED_VALUE"""),"Algorithms")</f>
        <v>Algorithms</v>
      </c>
      <c r="I2351" s="20">
        <f>IFERROR(__xludf.DUMMYFUNCTION("""COMPUTED_VALUE"""),0.684)</f>
        <v>0.684</v>
      </c>
      <c r="J2351" s="20">
        <f>IFERROR(__xludf.DUMMYFUNCTION("""COMPUTED_VALUE"""),2350.0)</f>
        <v>2350</v>
      </c>
      <c r="K2351" s="20" t="b">
        <f>IFERROR(__xludf.DUMMYFUNCTION("""COMPUTED_VALUE"""),FALSE)</f>
        <v>0</v>
      </c>
      <c r="L2351" s="20" t="str">
        <f>IFERROR(__xludf.DUMMYFUNCTION("""COMPUTED_VALUE"""),"Array;Hash Table;Greedy;")</f>
        <v>Array;Hash Table;Greedy;</v>
      </c>
      <c r="M2351" s="20" t="b">
        <f>IFERROR(__xludf.DUMMYFUNCTION("""COMPUTED_VALUE"""),FALSE)</f>
        <v>0</v>
      </c>
      <c r="N2351" s="20" t="b">
        <f>IFERROR(__xludf.DUMMYFUNCTION("""COMPUTED_VALUE"""),FALSE)</f>
        <v>0</v>
      </c>
      <c r="O2351" s="20">
        <f>IFERROR(__xludf.DUMMYFUNCTION("""COMPUTED_VALUE"""),68.4460260972716)</f>
        <v>68.4460261</v>
      </c>
      <c r="P2351" s="20">
        <f>IFERROR(__xludf.DUMMYFUNCTION("""COMPUTED_VALUE"""),10963.0)</f>
        <v>10963</v>
      </c>
      <c r="Q2351" s="20">
        <f>IFERROR(__xludf.DUMMYFUNCTION("""COMPUTED_VALUE"""),16017.0)</f>
        <v>16017</v>
      </c>
    </row>
    <row r="2352">
      <c r="A2352" s="20">
        <f>IFERROR(__xludf.DUMMYFUNCTION("""COMPUTED_VALUE"""),2427.0)</f>
        <v>2427</v>
      </c>
      <c r="B2352" s="20" t="str">
        <f>IFERROR(__xludf.DUMMYFUNCTION("""COMPUTED_VALUE"""),"First Letter to Appear Twice")</f>
        <v>First Letter to Appear Twice</v>
      </c>
      <c r="C2352" s="20" t="str">
        <f>IFERROR(__xludf.DUMMYFUNCTION("""COMPUTED_VALUE"""),"first-letter-to-appear-twice")</f>
        <v>first-letter-to-appear-twice</v>
      </c>
      <c r="D2352" s="20" t="b">
        <f>IFERROR(__xludf.DUMMYFUNCTION("""COMPUTED_VALUE"""),FALSE)</f>
        <v>0</v>
      </c>
      <c r="E2352" s="20" t="str">
        <f>IFERROR(__xludf.DUMMYFUNCTION("""COMPUTED_VALUE"""),"Easy")</f>
        <v>Easy</v>
      </c>
      <c r="F2352" s="20">
        <f>IFERROR(__xludf.DUMMYFUNCTION("""COMPUTED_VALUE"""),579.0)</f>
        <v>579</v>
      </c>
      <c r="G2352" s="20">
        <f>IFERROR(__xludf.DUMMYFUNCTION("""COMPUTED_VALUE"""),29.0)</f>
        <v>29</v>
      </c>
      <c r="H2352" s="20" t="str">
        <f>IFERROR(__xludf.DUMMYFUNCTION("""COMPUTED_VALUE"""),"Algorithms")</f>
        <v>Algorithms</v>
      </c>
      <c r="I2352" s="20">
        <f>IFERROR(__xludf.DUMMYFUNCTION("""COMPUTED_VALUE"""),0.759)</f>
        <v>0.759</v>
      </c>
      <c r="J2352" s="20">
        <f>IFERROR(__xludf.DUMMYFUNCTION("""COMPUTED_VALUE"""),2351.0)</f>
        <v>2351</v>
      </c>
      <c r="K2352" s="20" t="b">
        <f>IFERROR(__xludf.DUMMYFUNCTION("""COMPUTED_VALUE"""),FALSE)</f>
        <v>0</v>
      </c>
      <c r="L2352" s="20" t="str">
        <f>IFERROR(__xludf.DUMMYFUNCTION("""COMPUTED_VALUE"""),"Hash Table;String;Counting;")</f>
        <v>Hash Table;String;Counting;</v>
      </c>
      <c r="M2352" s="20" t="b">
        <f>IFERROR(__xludf.DUMMYFUNCTION("""COMPUTED_VALUE"""),FALSE)</f>
        <v>0</v>
      </c>
      <c r="N2352" s="20" t="b">
        <f>IFERROR(__xludf.DUMMYFUNCTION("""COMPUTED_VALUE"""),FALSE)</f>
        <v>0</v>
      </c>
      <c r="O2352" s="20">
        <f>IFERROR(__xludf.DUMMYFUNCTION("""COMPUTED_VALUE"""),75.8588841335709)</f>
        <v>75.85888413</v>
      </c>
      <c r="P2352" s="20">
        <f>IFERROR(__xludf.DUMMYFUNCTION("""COMPUTED_VALUE"""),58311.0)</f>
        <v>58311</v>
      </c>
      <c r="Q2352" s="20">
        <f>IFERROR(__xludf.DUMMYFUNCTION("""COMPUTED_VALUE"""),76869.0)</f>
        <v>76869</v>
      </c>
    </row>
    <row r="2353">
      <c r="A2353" s="20">
        <f>IFERROR(__xludf.DUMMYFUNCTION("""COMPUTED_VALUE"""),2428.0)</f>
        <v>2428</v>
      </c>
      <c r="B2353" s="20" t="str">
        <f>IFERROR(__xludf.DUMMYFUNCTION("""COMPUTED_VALUE"""),"Equal Row and Column Pairs")</f>
        <v>Equal Row and Column Pairs</v>
      </c>
      <c r="C2353" s="20" t="str">
        <f>IFERROR(__xludf.DUMMYFUNCTION("""COMPUTED_VALUE"""),"equal-row-and-column-pairs")</f>
        <v>equal-row-and-column-pairs</v>
      </c>
      <c r="D2353" s="20" t="b">
        <f>IFERROR(__xludf.DUMMYFUNCTION("""COMPUTED_VALUE"""),FALSE)</f>
        <v>0</v>
      </c>
      <c r="E2353" s="20" t="str">
        <f>IFERROR(__xludf.DUMMYFUNCTION("""COMPUTED_VALUE"""),"Medium")</f>
        <v>Medium</v>
      </c>
      <c r="F2353" s="20">
        <f>IFERROR(__xludf.DUMMYFUNCTION("""COMPUTED_VALUE"""),369.0)</f>
        <v>369</v>
      </c>
      <c r="G2353" s="20">
        <f>IFERROR(__xludf.DUMMYFUNCTION("""COMPUTED_VALUE"""),11.0)</f>
        <v>11</v>
      </c>
      <c r="H2353" s="20" t="str">
        <f>IFERROR(__xludf.DUMMYFUNCTION("""COMPUTED_VALUE"""),"Algorithms")</f>
        <v>Algorithms</v>
      </c>
      <c r="I2353" s="20">
        <f>IFERROR(__xludf.DUMMYFUNCTION("""COMPUTED_VALUE"""),0.71)</f>
        <v>0.71</v>
      </c>
      <c r="J2353" s="20">
        <f>IFERROR(__xludf.DUMMYFUNCTION("""COMPUTED_VALUE"""),2352.0)</f>
        <v>2352</v>
      </c>
      <c r="K2353" s="20" t="b">
        <f>IFERROR(__xludf.DUMMYFUNCTION("""COMPUTED_VALUE"""),FALSE)</f>
        <v>0</v>
      </c>
      <c r="L2353" s="20" t="str">
        <f>IFERROR(__xludf.DUMMYFUNCTION("""COMPUTED_VALUE"""),"Array;Hash Table;Matrix;Simulation;")</f>
        <v>Array;Hash Table;Matrix;Simulation;</v>
      </c>
      <c r="M2353" s="20" t="b">
        <f>IFERROR(__xludf.DUMMYFUNCTION("""COMPUTED_VALUE"""),FALSE)</f>
        <v>0</v>
      </c>
      <c r="N2353" s="20" t="b">
        <f>IFERROR(__xludf.DUMMYFUNCTION("""COMPUTED_VALUE"""),FALSE)</f>
        <v>0</v>
      </c>
      <c r="O2353" s="20">
        <f>IFERROR(__xludf.DUMMYFUNCTION("""COMPUTED_VALUE"""),71.0156628451477)</f>
        <v>71.01566285</v>
      </c>
      <c r="P2353" s="20">
        <f>IFERROR(__xludf.DUMMYFUNCTION("""COMPUTED_VALUE"""),30785.0)</f>
        <v>30785</v>
      </c>
      <c r="Q2353" s="20">
        <f>IFERROR(__xludf.DUMMYFUNCTION("""COMPUTED_VALUE"""),43350.0)</f>
        <v>43350</v>
      </c>
    </row>
    <row r="2354">
      <c r="A2354" s="20">
        <f>IFERROR(__xludf.DUMMYFUNCTION("""COMPUTED_VALUE"""),2429.0)</f>
        <v>2429</v>
      </c>
      <c r="B2354" s="20" t="str">
        <f>IFERROR(__xludf.DUMMYFUNCTION("""COMPUTED_VALUE"""),"Design a Food Rating System")</f>
        <v>Design a Food Rating System</v>
      </c>
      <c r="C2354" s="20" t="str">
        <f>IFERROR(__xludf.DUMMYFUNCTION("""COMPUTED_VALUE"""),"design-a-food-rating-system")</f>
        <v>design-a-food-rating-system</v>
      </c>
      <c r="D2354" s="20" t="b">
        <f>IFERROR(__xludf.DUMMYFUNCTION("""COMPUTED_VALUE"""),FALSE)</f>
        <v>0</v>
      </c>
      <c r="E2354" s="20" t="str">
        <f>IFERROR(__xludf.DUMMYFUNCTION("""COMPUTED_VALUE"""),"Medium")</f>
        <v>Medium</v>
      </c>
      <c r="F2354" s="20">
        <f>IFERROR(__xludf.DUMMYFUNCTION("""COMPUTED_VALUE"""),409.0)</f>
        <v>409</v>
      </c>
      <c r="G2354" s="20">
        <f>IFERROR(__xludf.DUMMYFUNCTION("""COMPUTED_VALUE"""),89.0)</f>
        <v>89</v>
      </c>
      <c r="H2354" s="20" t="str">
        <f>IFERROR(__xludf.DUMMYFUNCTION("""COMPUTED_VALUE"""),"Algorithms")</f>
        <v>Algorithms</v>
      </c>
      <c r="I2354" s="20">
        <f>IFERROR(__xludf.DUMMYFUNCTION("""COMPUTED_VALUE"""),0.346)</f>
        <v>0.346</v>
      </c>
      <c r="J2354" s="20">
        <f>IFERROR(__xludf.DUMMYFUNCTION("""COMPUTED_VALUE"""),2353.0)</f>
        <v>2353</v>
      </c>
      <c r="K2354" s="20" t="b">
        <f>IFERROR(__xludf.DUMMYFUNCTION("""COMPUTED_VALUE"""),FALSE)</f>
        <v>0</v>
      </c>
      <c r="L2354" s="20" t="str">
        <f>IFERROR(__xludf.DUMMYFUNCTION("""COMPUTED_VALUE"""),"Hash Table;Design;Heap (Priority Queue);Ordered Set;")</f>
        <v>Hash Table;Design;Heap (Priority Queue);Ordered Set;</v>
      </c>
      <c r="M2354" s="20" t="b">
        <f>IFERROR(__xludf.DUMMYFUNCTION("""COMPUTED_VALUE"""),FALSE)</f>
        <v>0</v>
      </c>
      <c r="N2354" s="20" t="b">
        <f>IFERROR(__xludf.DUMMYFUNCTION("""COMPUTED_VALUE"""),FALSE)</f>
        <v>0</v>
      </c>
      <c r="O2354" s="20">
        <f>IFERROR(__xludf.DUMMYFUNCTION("""COMPUTED_VALUE"""),34.6186803770351)</f>
        <v>34.61868038</v>
      </c>
      <c r="P2354" s="20">
        <f>IFERROR(__xludf.DUMMYFUNCTION("""COMPUTED_VALUE"""),15352.0)</f>
        <v>15352</v>
      </c>
      <c r="Q2354" s="20">
        <f>IFERROR(__xludf.DUMMYFUNCTION("""COMPUTED_VALUE"""),44346.0)</f>
        <v>44346</v>
      </c>
    </row>
    <row r="2355">
      <c r="A2355" s="20">
        <f>IFERROR(__xludf.DUMMYFUNCTION("""COMPUTED_VALUE"""),2430.0)</f>
        <v>2430</v>
      </c>
      <c r="B2355" s="20" t="str">
        <f>IFERROR(__xludf.DUMMYFUNCTION("""COMPUTED_VALUE"""),"Number of Excellent Pairs")</f>
        <v>Number of Excellent Pairs</v>
      </c>
      <c r="C2355" s="20" t="str">
        <f>IFERROR(__xludf.DUMMYFUNCTION("""COMPUTED_VALUE"""),"number-of-excellent-pairs")</f>
        <v>number-of-excellent-pairs</v>
      </c>
      <c r="D2355" s="20" t="b">
        <f>IFERROR(__xludf.DUMMYFUNCTION("""COMPUTED_VALUE"""),FALSE)</f>
        <v>0</v>
      </c>
      <c r="E2355" s="20" t="str">
        <f>IFERROR(__xludf.DUMMYFUNCTION("""COMPUTED_VALUE"""),"Hard")</f>
        <v>Hard</v>
      </c>
      <c r="F2355" s="20">
        <f>IFERROR(__xludf.DUMMYFUNCTION("""COMPUTED_VALUE"""),470.0)</f>
        <v>470</v>
      </c>
      <c r="G2355" s="20">
        <f>IFERROR(__xludf.DUMMYFUNCTION("""COMPUTED_VALUE"""),15.0)</f>
        <v>15</v>
      </c>
      <c r="H2355" s="20" t="str">
        <f>IFERROR(__xludf.DUMMYFUNCTION("""COMPUTED_VALUE"""),"Algorithms")</f>
        <v>Algorithms</v>
      </c>
      <c r="I2355" s="20">
        <f>IFERROR(__xludf.DUMMYFUNCTION("""COMPUTED_VALUE"""),0.456)</f>
        <v>0.456</v>
      </c>
      <c r="J2355" s="20">
        <f>IFERROR(__xludf.DUMMYFUNCTION("""COMPUTED_VALUE"""),2354.0)</f>
        <v>2354</v>
      </c>
      <c r="K2355" s="20" t="b">
        <f>IFERROR(__xludf.DUMMYFUNCTION("""COMPUTED_VALUE"""),FALSE)</f>
        <v>0</v>
      </c>
      <c r="L2355" s="20" t="str">
        <f>IFERROR(__xludf.DUMMYFUNCTION("""COMPUTED_VALUE"""),"Array;Hash Table;Binary Search;Bit Manipulation;")</f>
        <v>Array;Hash Table;Binary Search;Bit Manipulation;</v>
      </c>
      <c r="M2355" s="20" t="b">
        <f>IFERROR(__xludf.DUMMYFUNCTION("""COMPUTED_VALUE"""),FALSE)</f>
        <v>0</v>
      </c>
      <c r="N2355" s="20" t="b">
        <f>IFERROR(__xludf.DUMMYFUNCTION("""COMPUTED_VALUE"""),FALSE)</f>
        <v>0</v>
      </c>
      <c r="O2355" s="20">
        <f>IFERROR(__xludf.DUMMYFUNCTION("""COMPUTED_VALUE"""),45.6365712421499)</f>
        <v>45.63657124</v>
      </c>
      <c r="P2355" s="20">
        <f>IFERROR(__xludf.DUMMYFUNCTION("""COMPUTED_VALUE"""),11191.0)</f>
        <v>11191</v>
      </c>
      <c r="Q2355" s="20">
        <f>IFERROR(__xludf.DUMMYFUNCTION("""COMPUTED_VALUE"""),24522.0)</f>
        <v>24522</v>
      </c>
    </row>
    <row r="2356">
      <c r="A2356" s="20">
        <f>IFERROR(__xludf.DUMMYFUNCTION("""COMPUTED_VALUE"""),2490.0)</f>
        <v>2490</v>
      </c>
      <c r="B2356" s="20" t="str">
        <f>IFERROR(__xludf.DUMMYFUNCTION("""COMPUTED_VALUE"""),"Maximum Number of Books You Can Take")</f>
        <v>Maximum Number of Books You Can Take</v>
      </c>
      <c r="C2356" s="20" t="str">
        <f>IFERROR(__xludf.DUMMYFUNCTION("""COMPUTED_VALUE"""),"maximum-number-of-books-you-can-take")</f>
        <v>maximum-number-of-books-you-can-take</v>
      </c>
      <c r="D2356" s="20" t="b">
        <f>IFERROR(__xludf.DUMMYFUNCTION("""COMPUTED_VALUE"""),TRUE)</f>
        <v>1</v>
      </c>
      <c r="E2356" s="20" t="str">
        <f>IFERROR(__xludf.DUMMYFUNCTION("""COMPUTED_VALUE"""),"Hard")</f>
        <v>Hard</v>
      </c>
      <c r="F2356" s="20">
        <f>IFERROR(__xludf.DUMMYFUNCTION("""COMPUTED_VALUE"""),116.0)</f>
        <v>116</v>
      </c>
      <c r="G2356" s="20">
        <f>IFERROR(__xludf.DUMMYFUNCTION("""COMPUTED_VALUE"""),12.0)</f>
        <v>12</v>
      </c>
      <c r="H2356" s="20" t="str">
        <f>IFERROR(__xludf.DUMMYFUNCTION("""COMPUTED_VALUE"""),"Algorithms")</f>
        <v>Algorithms</v>
      </c>
      <c r="I2356" s="20">
        <f>IFERROR(__xludf.DUMMYFUNCTION("""COMPUTED_VALUE"""),0.456)</f>
        <v>0.456</v>
      </c>
      <c r="J2356" s="20">
        <f>IFERROR(__xludf.DUMMYFUNCTION("""COMPUTED_VALUE"""),2355.0)</f>
        <v>2355</v>
      </c>
      <c r="K2356" s="20" t="b">
        <f>IFERROR(__xludf.DUMMYFUNCTION("""COMPUTED_VALUE"""),TRUE)</f>
        <v>1</v>
      </c>
      <c r="L2356" s="20" t="str">
        <f>IFERROR(__xludf.DUMMYFUNCTION("""COMPUTED_VALUE"""),"Array;Dynamic Programming;Stack;Monotonic Stack;")</f>
        <v>Array;Dynamic Programming;Stack;Monotonic Stack;</v>
      </c>
      <c r="M2356" s="20" t="b">
        <f>IFERROR(__xludf.DUMMYFUNCTION("""COMPUTED_VALUE"""),FALSE)</f>
        <v>0</v>
      </c>
      <c r="N2356" s="20" t="b">
        <f>IFERROR(__xludf.DUMMYFUNCTION("""COMPUTED_VALUE"""),FALSE)</f>
        <v>0</v>
      </c>
      <c r="O2356" s="20">
        <f>IFERROR(__xludf.DUMMYFUNCTION("""COMPUTED_VALUE"""),45.5794105880784)</f>
        <v>45.57941059</v>
      </c>
      <c r="P2356" s="20">
        <f>IFERROR(__xludf.DUMMYFUNCTION("""COMPUTED_VALUE"""),3418.0)</f>
        <v>3418</v>
      </c>
      <c r="Q2356" s="20">
        <f>IFERROR(__xludf.DUMMYFUNCTION("""COMPUTED_VALUE"""),7499.0)</f>
        <v>7499</v>
      </c>
    </row>
    <row r="2357">
      <c r="A2357" s="20">
        <f>IFERROR(__xludf.DUMMYFUNCTION("""COMPUTED_VALUE"""),2495.0)</f>
        <v>2495</v>
      </c>
      <c r="B2357" s="20" t="str">
        <f>IFERROR(__xludf.DUMMYFUNCTION("""COMPUTED_VALUE"""),"Number of Unique Subjects Taught by Each Teacher")</f>
        <v>Number of Unique Subjects Taught by Each Teacher</v>
      </c>
      <c r="C2357" s="20" t="str">
        <f>IFERROR(__xludf.DUMMYFUNCTION("""COMPUTED_VALUE"""),"number-of-unique-subjects-taught-by-each-teacher")</f>
        <v>number-of-unique-subjects-taught-by-each-teacher</v>
      </c>
      <c r="D2357" s="20" t="b">
        <f>IFERROR(__xludf.DUMMYFUNCTION("""COMPUTED_VALUE"""),TRUE)</f>
        <v>1</v>
      </c>
      <c r="E2357" s="20" t="str">
        <f>IFERROR(__xludf.DUMMYFUNCTION("""COMPUTED_VALUE"""),"Easy")</f>
        <v>Easy</v>
      </c>
      <c r="F2357" s="20">
        <f>IFERROR(__xludf.DUMMYFUNCTION("""COMPUTED_VALUE"""),22.0)</f>
        <v>22</v>
      </c>
      <c r="G2357" s="20">
        <f>IFERROR(__xludf.DUMMYFUNCTION("""COMPUTED_VALUE"""),4.0)</f>
        <v>4</v>
      </c>
      <c r="H2357" s="20" t="str">
        <f>IFERROR(__xludf.DUMMYFUNCTION("""COMPUTED_VALUE"""),"Database")</f>
        <v>Database</v>
      </c>
      <c r="I2357" s="20">
        <f>IFERROR(__xludf.DUMMYFUNCTION("""COMPUTED_VALUE"""),0.915)</f>
        <v>0.915</v>
      </c>
      <c r="J2357" s="20">
        <f>IFERROR(__xludf.DUMMYFUNCTION("""COMPUTED_VALUE"""),2356.0)</f>
        <v>2356</v>
      </c>
      <c r="K2357" s="20" t="b">
        <f>IFERROR(__xludf.DUMMYFUNCTION("""COMPUTED_VALUE"""),TRUE)</f>
        <v>1</v>
      </c>
      <c r="L2357" s="20" t="str">
        <f>IFERROR(__xludf.DUMMYFUNCTION("""COMPUTED_VALUE"""),"Database;")</f>
        <v>Database;</v>
      </c>
      <c r="M2357" s="20" t="b">
        <f>IFERROR(__xludf.DUMMYFUNCTION("""COMPUTED_VALUE"""),FALSE)</f>
        <v>0</v>
      </c>
      <c r="N2357" s="20" t="b">
        <f>IFERROR(__xludf.DUMMYFUNCTION("""COMPUTED_VALUE"""),FALSE)</f>
        <v>0</v>
      </c>
      <c r="O2357" s="20">
        <f>IFERROR(__xludf.DUMMYFUNCTION("""COMPUTED_VALUE"""),91.4783555676558)</f>
        <v>91.47835557</v>
      </c>
      <c r="P2357" s="20">
        <f>IFERROR(__xludf.DUMMYFUNCTION("""COMPUTED_VALUE"""),3360.0)</f>
        <v>3360</v>
      </c>
      <c r="Q2357" s="20">
        <f>IFERROR(__xludf.DUMMYFUNCTION("""COMPUTED_VALUE"""),3673.0)</f>
        <v>3673</v>
      </c>
    </row>
    <row r="2358">
      <c r="A2358" s="20">
        <f>IFERROR(__xludf.DUMMYFUNCTION("""COMPUTED_VALUE"""),2436.0)</f>
        <v>2436</v>
      </c>
      <c r="B2358" s="20" t="str">
        <f>IFERROR(__xludf.DUMMYFUNCTION("""COMPUTED_VALUE"""),"Make Array Zero by Subtracting Equal Amounts")</f>
        <v>Make Array Zero by Subtracting Equal Amounts</v>
      </c>
      <c r="C2358" s="20" t="str">
        <f>IFERROR(__xludf.DUMMYFUNCTION("""COMPUTED_VALUE"""),"make-array-zero-by-subtracting-equal-amounts")</f>
        <v>make-array-zero-by-subtracting-equal-amounts</v>
      </c>
      <c r="D2358" s="20" t="b">
        <f>IFERROR(__xludf.DUMMYFUNCTION("""COMPUTED_VALUE"""),FALSE)</f>
        <v>0</v>
      </c>
      <c r="E2358" s="20" t="str">
        <f>IFERROR(__xludf.DUMMYFUNCTION("""COMPUTED_VALUE"""),"Easy")</f>
        <v>Easy</v>
      </c>
      <c r="F2358" s="20">
        <f>IFERROR(__xludf.DUMMYFUNCTION("""COMPUTED_VALUE"""),600.0)</f>
        <v>600</v>
      </c>
      <c r="G2358" s="20">
        <f>IFERROR(__xludf.DUMMYFUNCTION("""COMPUTED_VALUE"""),21.0)</f>
        <v>21</v>
      </c>
      <c r="H2358" s="20" t="str">
        <f>IFERROR(__xludf.DUMMYFUNCTION("""COMPUTED_VALUE"""),"Algorithms")</f>
        <v>Algorithms</v>
      </c>
      <c r="I2358" s="20">
        <f>IFERROR(__xludf.DUMMYFUNCTION("""COMPUTED_VALUE"""),0.728)</f>
        <v>0.728</v>
      </c>
      <c r="J2358" s="20">
        <f>IFERROR(__xludf.DUMMYFUNCTION("""COMPUTED_VALUE"""),2357.0)</f>
        <v>2357</v>
      </c>
      <c r="K2358" s="20" t="b">
        <f>IFERROR(__xludf.DUMMYFUNCTION("""COMPUTED_VALUE"""),FALSE)</f>
        <v>0</v>
      </c>
      <c r="L2358" s="20" t="str">
        <f>IFERROR(__xludf.DUMMYFUNCTION("""COMPUTED_VALUE"""),"Array;Hash Table;Sorting;Heap (Priority Queue);Simulation;")</f>
        <v>Array;Hash Table;Sorting;Heap (Priority Queue);Simulation;</v>
      </c>
      <c r="M2358" s="20" t="b">
        <f>IFERROR(__xludf.DUMMYFUNCTION("""COMPUTED_VALUE"""),FALSE)</f>
        <v>0</v>
      </c>
      <c r="N2358" s="20" t="b">
        <f>IFERROR(__xludf.DUMMYFUNCTION("""COMPUTED_VALUE"""),FALSE)</f>
        <v>0</v>
      </c>
      <c r="O2358" s="20">
        <f>IFERROR(__xludf.DUMMYFUNCTION("""COMPUTED_VALUE"""),72.8057493953126)</f>
        <v>72.8057494</v>
      </c>
      <c r="P2358" s="20">
        <f>IFERROR(__xludf.DUMMYFUNCTION("""COMPUTED_VALUE"""),52374.0)</f>
        <v>52374</v>
      </c>
      <c r="Q2358" s="20">
        <f>IFERROR(__xludf.DUMMYFUNCTION("""COMPUTED_VALUE"""),71935.0)</f>
        <v>71935</v>
      </c>
    </row>
    <row r="2359">
      <c r="A2359" s="20">
        <f>IFERROR(__xludf.DUMMYFUNCTION("""COMPUTED_VALUE"""),2437.0)</f>
        <v>2437</v>
      </c>
      <c r="B2359" s="20" t="str">
        <f>IFERROR(__xludf.DUMMYFUNCTION("""COMPUTED_VALUE"""),"Maximum Number of Groups Entering a Competition")</f>
        <v>Maximum Number of Groups Entering a Competition</v>
      </c>
      <c r="C2359" s="20" t="str">
        <f>IFERROR(__xludf.DUMMYFUNCTION("""COMPUTED_VALUE"""),"maximum-number-of-groups-entering-a-competition")</f>
        <v>maximum-number-of-groups-entering-a-competition</v>
      </c>
      <c r="D2359" s="20" t="b">
        <f>IFERROR(__xludf.DUMMYFUNCTION("""COMPUTED_VALUE"""),FALSE)</f>
        <v>0</v>
      </c>
      <c r="E2359" s="20" t="str">
        <f>IFERROR(__xludf.DUMMYFUNCTION("""COMPUTED_VALUE"""),"Medium")</f>
        <v>Medium</v>
      </c>
      <c r="F2359" s="20">
        <f>IFERROR(__xludf.DUMMYFUNCTION("""COMPUTED_VALUE"""),403.0)</f>
        <v>403</v>
      </c>
      <c r="G2359" s="20">
        <f>IFERROR(__xludf.DUMMYFUNCTION("""COMPUTED_VALUE"""),78.0)</f>
        <v>78</v>
      </c>
      <c r="H2359" s="20" t="str">
        <f>IFERROR(__xludf.DUMMYFUNCTION("""COMPUTED_VALUE"""),"Algorithms")</f>
        <v>Algorithms</v>
      </c>
      <c r="I2359" s="20">
        <f>IFERROR(__xludf.DUMMYFUNCTION("""COMPUTED_VALUE"""),0.676)</f>
        <v>0.676</v>
      </c>
      <c r="J2359" s="20">
        <f>IFERROR(__xludf.DUMMYFUNCTION("""COMPUTED_VALUE"""),2358.0)</f>
        <v>2358</v>
      </c>
      <c r="K2359" s="20" t="b">
        <f>IFERROR(__xludf.DUMMYFUNCTION("""COMPUTED_VALUE"""),FALSE)</f>
        <v>0</v>
      </c>
      <c r="L2359" s="20" t="str">
        <f>IFERROR(__xludf.DUMMYFUNCTION("""COMPUTED_VALUE"""),"Array;Math;Binary Search;Greedy;")</f>
        <v>Array;Math;Binary Search;Greedy;</v>
      </c>
      <c r="M2359" s="20" t="b">
        <f>IFERROR(__xludf.DUMMYFUNCTION("""COMPUTED_VALUE"""),FALSE)</f>
        <v>0</v>
      </c>
      <c r="N2359" s="20" t="b">
        <f>IFERROR(__xludf.DUMMYFUNCTION("""COMPUTED_VALUE"""),FALSE)</f>
        <v>0</v>
      </c>
      <c r="O2359" s="20">
        <f>IFERROR(__xludf.DUMMYFUNCTION("""COMPUTED_VALUE"""),67.5679106372175)</f>
        <v>67.56791064</v>
      </c>
      <c r="P2359" s="20">
        <f>IFERROR(__xludf.DUMMYFUNCTION("""COMPUTED_VALUE"""),26615.0)</f>
        <v>26615</v>
      </c>
      <c r="Q2359" s="20">
        <f>IFERROR(__xludf.DUMMYFUNCTION("""COMPUTED_VALUE"""),39390.0)</f>
        <v>39390</v>
      </c>
    </row>
    <row r="2360">
      <c r="A2360" s="20">
        <f>IFERROR(__xludf.DUMMYFUNCTION("""COMPUTED_VALUE"""),2438.0)</f>
        <v>2438</v>
      </c>
      <c r="B2360" s="20" t="str">
        <f>IFERROR(__xludf.DUMMYFUNCTION("""COMPUTED_VALUE"""),"Find Closest Node to Given Two Nodes")</f>
        <v>Find Closest Node to Given Two Nodes</v>
      </c>
      <c r="C2360" s="20" t="str">
        <f>IFERROR(__xludf.DUMMYFUNCTION("""COMPUTED_VALUE"""),"find-closest-node-to-given-two-nodes")</f>
        <v>find-closest-node-to-given-two-nodes</v>
      </c>
      <c r="D2360" s="20" t="b">
        <f>IFERROR(__xludf.DUMMYFUNCTION("""COMPUTED_VALUE"""),FALSE)</f>
        <v>0</v>
      </c>
      <c r="E2360" s="20" t="str">
        <f>IFERROR(__xludf.DUMMYFUNCTION("""COMPUTED_VALUE"""),"Medium")</f>
        <v>Medium</v>
      </c>
      <c r="F2360" s="20">
        <f>IFERROR(__xludf.DUMMYFUNCTION("""COMPUTED_VALUE"""),416.0)</f>
        <v>416</v>
      </c>
      <c r="G2360" s="20">
        <f>IFERROR(__xludf.DUMMYFUNCTION("""COMPUTED_VALUE"""),86.0)</f>
        <v>86</v>
      </c>
      <c r="H2360" s="20" t="str">
        <f>IFERROR(__xludf.DUMMYFUNCTION("""COMPUTED_VALUE"""),"Algorithms")</f>
        <v>Algorithms</v>
      </c>
      <c r="I2360" s="20">
        <f>IFERROR(__xludf.DUMMYFUNCTION("""COMPUTED_VALUE"""),0.343)</f>
        <v>0.343</v>
      </c>
      <c r="J2360" s="20">
        <f>IFERROR(__xludf.DUMMYFUNCTION("""COMPUTED_VALUE"""),2359.0)</f>
        <v>2359</v>
      </c>
      <c r="K2360" s="20" t="b">
        <f>IFERROR(__xludf.DUMMYFUNCTION("""COMPUTED_VALUE"""),FALSE)</f>
        <v>0</v>
      </c>
      <c r="L2360" s="20" t="str">
        <f>IFERROR(__xludf.DUMMYFUNCTION("""COMPUTED_VALUE"""),"Depth-First Search;Graph;")</f>
        <v>Depth-First Search;Graph;</v>
      </c>
      <c r="M2360" s="20" t="b">
        <f>IFERROR(__xludf.DUMMYFUNCTION("""COMPUTED_VALUE"""),TRUE)</f>
        <v>1</v>
      </c>
      <c r="N2360" s="20" t="b">
        <f>IFERROR(__xludf.DUMMYFUNCTION("""COMPUTED_VALUE"""),FALSE)</f>
        <v>0</v>
      </c>
      <c r="O2360" s="20">
        <f>IFERROR(__xludf.DUMMYFUNCTION("""COMPUTED_VALUE"""),34.3095419029247)</f>
        <v>34.3095419</v>
      </c>
      <c r="P2360" s="20">
        <f>IFERROR(__xludf.DUMMYFUNCTION("""COMPUTED_VALUE"""),17608.0)</f>
        <v>17608</v>
      </c>
      <c r="Q2360" s="20">
        <f>IFERROR(__xludf.DUMMYFUNCTION("""COMPUTED_VALUE"""),51321.0)</f>
        <v>51321</v>
      </c>
    </row>
    <row r="2361">
      <c r="A2361" s="20">
        <f>IFERROR(__xludf.DUMMYFUNCTION("""COMPUTED_VALUE"""),2439.0)</f>
        <v>2439</v>
      </c>
      <c r="B2361" s="20" t="str">
        <f>IFERROR(__xludf.DUMMYFUNCTION("""COMPUTED_VALUE"""),"Longest Cycle in a Graph")</f>
        <v>Longest Cycle in a Graph</v>
      </c>
      <c r="C2361" s="20" t="str">
        <f>IFERROR(__xludf.DUMMYFUNCTION("""COMPUTED_VALUE"""),"longest-cycle-in-a-graph")</f>
        <v>longest-cycle-in-a-graph</v>
      </c>
      <c r="D2361" s="20" t="b">
        <f>IFERROR(__xludf.DUMMYFUNCTION("""COMPUTED_VALUE"""),FALSE)</f>
        <v>0</v>
      </c>
      <c r="E2361" s="20" t="str">
        <f>IFERROR(__xludf.DUMMYFUNCTION("""COMPUTED_VALUE"""),"Hard")</f>
        <v>Hard</v>
      </c>
      <c r="F2361" s="20">
        <f>IFERROR(__xludf.DUMMYFUNCTION("""COMPUTED_VALUE"""),622.0)</f>
        <v>622</v>
      </c>
      <c r="G2361" s="20">
        <f>IFERROR(__xludf.DUMMYFUNCTION("""COMPUTED_VALUE"""),8.0)</f>
        <v>8</v>
      </c>
      <c r="H2361" s="20" t="str">
        <f>IFERROR(__xludf.DUMMYFUNCTION("""COMPUTED_VALUE"""),"Algorithms")</f>
        <v>Algorithms</v>
      </c>
      <c r="I2361" s="20">
        <f>IFERROR(__xludf.DUMMYFUNCTION("""COMPUTED_VALUE"""),0.386)</f>
        <v>0.386</v>
      </c>
      <c r="J2361" s="20">
        <f>IFERROR(__xludf.DUMMYFUNCTION("""COMPUTED_VALUE"""),2360.0)</f>
        <v>2360</v>
      </c>
      <c r="K2361" s="20" t="b">
        <f>IFERROR(__xludf.DUMMYFUNCTION("""COMPUTED_VALUE"""),FALSE)</f>
        <v>0</v>
      </c>
      <c r="L2361" s="20" t="str">
        <f>IFERROR(__xludf.DUMMYFUNCTION("""COMPUTED_VALUE"""),"Depth-First Search;Graph;Topological Sort;")</f>
        <v>Depth-First Search;Graph;Topological Sort;</v>
      </c>
      <c r="M2361" s="20" t="b">
        <f>IFERROR(__xludf.DUMMYFUNCTION("""COMPUTED_VALUE"""),FALSE)</f>
        <v>0</v>
      </c>
      <c r="N2361" s="20" t="b">
        <f>IFERROR(__xludf.DUMMYFUNCTION("""COMPUTED_VALUE"""),FALSE)</f>
        <v>0</v>
      </c>
      <c r="O2361" s="20">
        <f>IFERROR(__xludf.DUMMYFUNCTION("""COMPUTED_VALUE"""),38.6219556969771)</f>
        <v>38.6219557</v>
      </c>
      <c r="P2361" s="20">
        <f>IFERROR(__xludf.DUMMYFUNCTION("""COMPUTED_VALUE"""),15779.0)</f>
        <v>15779</v>
      </c>
      <c r="Q2361" s="20">
        <f>IFERROR(__xludf.DUMMYFUNCTION("""COMPUTED_VALUE"""),40855.0)</f>
        <v>40855</v>
      </c>
    </row>
    <row r="2362">
      <c r="A2362" s="20">
        <f>IFERROR(__xludf.DUMMYFUNCTION("""COMPUTED_VALUE"""),2500.0)</f>
        <v>2500</v>
      </c>
      <c r="B2362" s="20" t="str">
        <f>IFERROR(__xludf.DUMMYFUNCTION("""COMPUTED_VALUE"""),"Minimum Costs Using the Train Line")</f>
        <v>Minimum Costs Using the Train Line</v>
      </c>
      <c r="C2362" s="20" t="str">
        <f>IFERROR(__xludf.DUMMYFUNCTION("""COMPUTED_VALUE"""),"minimum-costs-using-the-train-line")</f>
        <v>minimum-costs-using-the-train-line</v>
      </c>
      <c r="D2362" s="20" t="b">
        <f>IFERROR(__xludf.DUMMYFUNCTION("""COMPUTED_VALUE"""),TRUE)</f>
        <v>1</v>
      </c>
      <c r="E2362" s="20" t="str">
        <f>IFERROR(__xludf.DUMMYFUNCTION("""COMPUTED_VALUE"""),"Hard")</f>
        <v>Hard</v>
      </c>
      <c r="F2362" s="20">
        <f>IFERROR(__xludf.DUMMYFUNCTION("""COMPUTED_VALUE"""),65.0)</f>
        <v>65</v>
      </c>
      <c r="G2362" s="20">
        <f>IFERROR(__xludf.DUMMYFUNCTION("""COMPUTED_VALUE"""),13.0)</f>
        <v>13</v>
      </c>
      <c r="H2362" s="20" t="str">
        <f>IFERROR(__xludf.DUMMYFUNCTION("""COMPUTED_VALUE"""),"Algorithms")</f>
        <v>Algorithms</v>
      </c>
      <c r="I2362" s="20">
        <f>IFERROR(__xludf.DUMMYFUNCTION("""COMPUTED_VALUE"""),0.768)</f>
        <v>0.768</v>
      </c>
      <c r="J2362" s="20">
        <f>IFERROR(__xludf.DUMMYFUNCTION("""COMPUTED_VALUE"""),2361.0)</f>
        <v>2361</v>
      </c>
      <c r="K2362" s="20" t="b">
        <f>IFERROR(__xludf.DUMMYFUNCTION("""COMPUTED_VALUE"""),TRUE)</f>
        <v>1</v>
      </c>
      <c r="L2362" s="20" t="str">
        <f>IFERROR(__xludf.DUMMYFUNCTION("""COMPUTED_VALUE"""),"Array;Dynamic Programming;")</f>
        <v>Array;Dynamic Programming;</v>
      </c>
      <c r="M2362" s="20" t="b">
        <f>IFERROR(__xludf.DUMMYFUNCTION("""COMPUTED_VALUE"""),FALSE)</f>
        <v>0</v>
      </c>
      <c r="N2362" s="20" t="b">
        <f>IFERROR(__xludf.DUMMYFUNCTION("""COMPUTED_VALUE"""),FALSE)</f>
        <v>0</v>
      </c>
      <c r="O2362" s="20">
        <f>IFERROR(__xludf.DUMMYFUNCTION("""COMPUTED_VALUE"""),76.8014515292897)</f>
        <v>76.80145153</v>
      </c>
      <c r="P2362" s="20">
        <f>IFERROR(__xludf.DUMMYFUNCTION("""COMPUTED_VALUE"""),2963.0)</f>
        <v>2963</v>
      </c>
      <c r="Q2362" s="20">
        <f>IFERROR(__xludf.DUMMYFUNCTION("""COMPUTED_VALUE"""),3858.0)</f>
        <v>3858</v>
      </c>
    </row>
    <row r="2363">
      <c r="A2363" s="20">
        <f>IFERROR(__xludf.DUMMYFUNCTION("""COMPUTED_VALUE"""),2501.0)</f>
        <v>2501</v>
      </c>
      <c r="B2363" s="20" t="str">
        <f>IFERROR(__xludf.DUMMYFUNCTION("""COMPUTED_VALUE"""),"Generate the Invoice")</f>
        <v>Generate the Invoice</v>
      </c>
      <c r="C2363" s="20" t="str">
        <f>IFERROR(__xludf.DUMMYFUNCTION("""COMPUTED_VALUE"""),"generate-the-invoice")</f>
        <v>generate-the-invoice</v>
      </c>
      <c r="D2363" s="20" t="b">
        <f>IFERROR(__xludf.DUMMYFUNCTION("""COMPUTED_VALUE"""),TRUE)</f>
        <v>1</v>
      </c>
      <c r="E2363" s="20" t="str">
        <f>IFERROR(__xludf.DUMMYFUNCTION("""COMPUTED_VALUE"""),"Hard")</f>
        <v>Hard</v>
      </c>
      <c r="F2363" s="20">
        <f>IFERROR(__xludf.DUMMYFUNCTION("""COMPUTED_VALUE"""),15.0)</f>
        <v>15</v>
      </c>
      <c r="G2363" s="20">
        <f>IFERROR(__xludf.DUMMYFUNCTION("""COMPUTED_VALUE"""),17.0)</f>
        <v>17</v>
      </c>
      <c r="H2363" s="20" t="str">
        <f>IFERROR(__xludf.DUMMYFUNCTION("""COMPUTED_VALUE"""),"Database")</f>
        <v>Database</v>
      </c>
      <c r="I2363" s="20">
        <f>IFERROR(__xludf.DUMMYFUNCTION("""COMPUTED_VALUE"""),0.87)</f>
        <v>0.87</v>
      </c>
      <c r="J2363" s="20">
        <f>IFERROR(__xludf.DUMMYFUNCTION("""COMPUTED_VALUE"""),2362.0)</f>
        <v>2362</v>
      </c>
      <c r="K2363" s="20" t="b">
        <f>IFERROR(__xludf.DUMMYFUNCTION("""COMPUTED_VALUE"""),TRUE)</f>
        <v>1</v>
      </c>
      <c r="L2363" s="20" t="str">
        <f>IFERROR(__xludf.DUMMYFUNCTION("""COMPUTED_VALUE"""),"Database;")</f>
        <v>Database;</v>
      </c>
      <c r="M2363" s="20" t="b">
        <f>IFERROR(__xludf.DUMMYFUNCTION("""COMPUTED_VALUE"""),FALSE)</f>
        <v>0</v>
      </c>
      <c r="N2363" s="20" t="b">
        <f>IFERROR(__xludf.DUMMYFUNCTION("""COMPUTED_VALUE"""),FALSE)</f>
        <v>0</v>
      </c>
      <c r="O2363" s="20">
        <f>IFERROR(__xludf.DUMMYFUNCTION("""COMPUTED_VALUE"""),86.9696969696969)</f>
        <v>86.96969697</v>
      </c>
      <c r="P2363" s="20">
        <f>IFERROR(__xludf.DUMMYFUNCTION("""COMPUTED_VALUE"""),1148.0)</f>
        <v>1148</v>
      </c>
      <c r="Q2363" s="20">
        <f>IFERROR(__xludf.DUMMYFUNCTION("""COMPUTED_VALUE"""),1320.0)</f>
        <v>1320</v>
      </c>
    </row>
    <row r="2364">
      <c r="A2364" s="20">
        <f>IFERROR(__xludf.DUMMYFUNCTION("""COMPUTED_VALUE"""),2447.0)</f>
        <v>2447</v>
      </c>
      <c r="B2364" s="20" t="str">
        <f>IFERROR(__xludf.DUMMYFUNCTION("""COMPUTED_VALUE"""),"Merge Similar Items")</f>
        <v>Merge Similar Items</v>
      </c>
      <c r="C2364" s="20" t="str">
        <f>IFERROR(__xludf.DUMMYFUNCTION("""COMPUTED_VALUE"""),"merge-similar-items")</f>
        <v>merge-similar-items</v>
      </c>
      <c r="D2364" s="20" t="b">
        <f>IFERROR(__xludf.DUMMYFUNCTION("""COMPUTED_VALUE"""),FALSE)</f>
        <v>0</v>
      </c>
      <c r="E2364" s="20" t="str">
        <f>IFERROR(__xludf.DUMMYFUNCTION("""COMPUTED_VALUE"""),"Easy")</f>
        <v>Easy</v>
      </c>
      <c r="F2364" s="20">
        <f>IFERROR(__xludf.DUMMYFUNCTION("""COMPUTED_VALUE"""),317.0)</f>
        <v>317</v>
      </c>
      <c r="G2364" s="20">
        <f>IFERROR(__xludf.DUMMYFUNCTION("""COMPUTED_VALUE"""),10.0)</f>
        <v>10</v>
      </c>
      <c r="H2364" s="20" t="str">
        <f>IFERROR(__xludf.DUMMYFUNCTION("""COMPUTED_VALUE"""),"Algorithms")</f>
        <v>Algorithms</v>
      </c>
      <c r="I2364" s="20">
        <f>IFERROR(__xludf.DUMMYFUNCTION("""COMPUTED_VALUE"""),0.755)</f>
        <v>0.755</v>
      </c>
      <c r="J2364" s="20">
        <f>IFERROR(__xludf.DUMMYFUNCTION("""COMPUTED_VALUE"""),2363.0)</f>
        <v>2363</v>
      </c>
      <c r="K2364" s="20" t="b">
        <f>IFERROR(__xludf.DUMMYFUNCTION("""COMPUTED_VALUE"""),FALSE)</f>
        <v>0</v>
      </c>
      <c r="L2364" s="20" t="str">
        <f>IFERROR(__xludf.DUMMYFUNCTION("""COMPUTED_VALUE"""),"Array;Hash Table;Sorting;Ordered Set;")</f>
        <v>Array;Hash Table;Sorting;Ordered Set;</v>
      </c>
      <c r="M2364" s="20" t="b">
        <f>IFERROR(__xludf.DUMMYFUNCTION("""COMPUTED_VALUE"""),FALSE)</f>
        <v>0</v>
      </c>
      <c r="N2364" s="20" t="b">
        <f>IFERROR(__xludf.DUMMYFUNCTION("""COMPUTED_VALUE"""),FALSE)</f>
        <v>0</v>
      </c>
      <c r="O2364" s="20">
        <f>IFERROR(__xludf.DUMMYFUNCTION("""COMPUTED_VALUE"""),75.45147846795)</f>
        <v>75.45147847</v>
      </c>
      <c r="P2364" s="20">
        <f>IFERROR(__xludf.DUMMYFUNCTION("""COMPUTED_VALUE"""),30415.0)</f>
        <v>30415</v>
      </c>
      <c r="Q2364" s="20">
        <f>IFERROR(__xludf.DUMMYFUNCTION("""COMPUTED_VALUE"""),40304.0)</f>
        <v>40304</v>
      </c>
    </row>
    <row r="2365">
      <c r="A2365" s="20">
        <f>IFERROR(__xludf.DUMMYFUNCTION("""COMPUTED_VALUE"""),2448.0)</f>
        <v>2448</v>
      </c>
      <c r="B2365" s="20" t="str">
        <f>IFERROR(__xludf.DUMMYFUNCTION("""COMPUTED_VALUE"""),"Count Number of Bad Pairs")</f>
        <v>Count Number of Bad Pairs</v>
      </c>
      <c r="C2365" s="20" t="str">
        <f>IFERROR(__xludf.DUMMYFUNCTION("""COMPUTED_VALUE"""),"count-number-of-bad-pairs")</f>
        <v>count-number-of-bad-pairs</v>
      </c>
      <c r="D2365" s="20" t="b">
        <f>IFERROR(__xludf.DUMMYFUNCTION("""COMPUTED_VALUE"""),FALSE)</f>
        <v>0</v>
      </c>
      <c r="E2365" s="20" t="str">
        <f>IFERROR(__xludf.DUMMYFUNCTION("""COMPUTED_VALUE"""),"Medium")</f>
        <v>Medium</v>
      </c>
      <c r="F2365" s="20">
        <f>IFERROR(__xludf.DUMMYFUNCTION("""COMPUTED_VALUE"""),602.0)</f>
        <v>602</v>
      </c>
      <c r="G2365" s="20">
        <f>IFERROR(__xludf.DUMMYFUNCTION("""COMPUTED_VALUE"""),17.0)</f>
        <v>17</v>
      </c>
      <c r="H2365" s="20" t="str">
        <f>IFERROR(__xludf.DUMMYFUNCTION("""COMPUTED_VALUE"""),"Algorithms")</f>
        <v>Algorithms</v>
      </c>
      <c r="I2365" s="20">
        <f>IFERROR(__xludf.DUMMYFUNCTION("""COMPUTED_VALUE"""),0.409)</f>
        <v>0.409</v>
      </c>
      <c r="J2365" s="20">
        <f>IFERROR(__xludf.DUMMYFUNCTION("""COMPUTED_VALUE"""),2364.0)</f>
        <v>2364</v>
      </c>
      <c r="K2365" s="20" t="b">
        <f>IFERROR(__xludf.DUMMYFUNCTION("""COMPUTED_VALUE"""),FALSE)</f>
        <v>0</v>
      </c>
      <c r="L2365" s="20" t="str">
        <f>IFERROR(__xludf.DUMMYFUNCTION("""COMPUTED_VALUE"""),"Array;Hash Table;")</f>
        <v>Array;Hash Table;</v>
      </c>
      <c r="M2365" s="20" t="b">
        <f>IFERROR(__xludf.DUMMYFUNCTION("""COMPUTED_VALUE"""),FALSE)</f>
        <v>0</v>
      </c>
      <c r="N2365" s="20" t="b">
        <f>IFERROR(__xludf.DUMMYFUNCTION("""COMPUTED_VALUE"""),FALSE)</f>
        <v>0</v>
      </c>
      <c r="O2365" s="20">
        <f>IFERROR(__xludf.DUMMYFUNCTION("""COMPUTED_VALUE"""),40.8598455754537)</f>
        <v>40.85984558</v>
      </c>
      <c r="P2365" s="20">
        <f>IFERROR(__xludf.DUMMYFUNCTION("""COMPUTED_VALUE"""),20215.0)</f>
        <v>20215</v>
      </c>
      <c r="Q2365" s="20">
        <f>IFERROR(__xludf.DUMMYFUNCTION("""COMPUTED_VALUE"""),49469.0)</f>
        <v>49469</v>
      </c>
    </row>
    <row r="2366">
      <c r="A2366" s="20">
        <f>IFERROR(__xludf.DUMMYFUNCTION("""COMPUTED_VALUE"""),2483.0)</f>
        <v>2483</v>
      </c>
      <c r="B2366" s="20" t="str">
        <f>IFERROR(__xludf.DUMMYFUNCTION("""COMPUTED_VALUE"""),"Task Scheduler II")</f>
        <v>Task Scheduler II</v>
      </c>
      <c r="C2366" s="20" t="str">
        <f>IFERROR(__xludf.DUMMYFUNCTION("""COMPUTED_VALUE"""),"task-scheduler-ii")</f>
        <v>task-scheduler-ii</v>
      </c>
      <c r="D2366" s="20" t="b">
        <f>IFERROR(__xludf.DUMMYFUNCTION("""COMPUTED_VALUE"""),FALSE)</f>
        <v>0</v>
      </c>
      <c r="E2366" s="20" t="str">
        <f>IFERROR(__xludf.DUMMYFUNCTION("""COMPUTED_VALUE"""),"Medium")</f>
        <v>Medium</v>
      </c>
      <c r="F2366" s="20">
        <f>IFERROR(__xludf.DUMMYFUNCTION("""COMPUTED_VALUE"""),350.0)</f>
        <v>350</v>
      </c>
      <c r="G2366" s="20">
        <f>IFERROR(__xludf.DUMMYFUNCTION("""COMPUTED_VALUE"""),25.0)</f>
        <v>25</v>
      </c>
      <c r="H2366" s="20" t="str">
        <f>IFERROR(__xludf.DUMMYFUNCTION("""COMPUTED_VALUE"""),"Algorithms")</f>
        <v>Algorithms</v>
      </c>
      <c r="I2366" s="20">
        <f>IFERROR(__xludf.DUMMYFUNCTION("""COMPUTED_VALUE"""),0.464)</f>
        <v>0.464</v>
      </c>
      <c r="J2366" s="20">
        <f>IFERROR(__xludf.DUMMYFUNCTION("""COMPUTED_VALUE"""),2365.0)</f>
        <v>2365</v>
      </c>
      <c r="K2366" s="20" t="b">
        <f>IFERROR(__xludf.DUMMYFUNCTION("""COMPUTED_VALUE"""),FALSE)</f>
        <v>0</v>
      </c>
      <c r="L2366" s="20" t="str">
        <f>IFERROR(__xludf.DUMMYFUNCTION("""COMPUTED_VALUE"""),"Array;Hash Table;Simulation;")</f>
        <v>Array;Hash Table;Simulation;</v>
      </c>
      <c r="M2366" s="20" t="b">
        <f>IFERROR(__xludf.DUMMYFUNCTION("""COMPUTED_VALUE"""),FALSE)</f>
        <v>0</v>
      </c>
      <c r="N2366" s="20" t="b">
        <f>IFERROR(__xludf.DUMMYFUNCTION("""COMPUTED_VALUE"""),FALSE)</f>
        <v>0</v>
      </c>
      <c r="O2366" s="20">
        <f>IFERROR(__xludf.DUMMYFUNCTION("""COMPUTED_VALUE"""),46.3901212241091)</f>
        <v>46.39012122</v>
      </c>
      <c r="P2366" s="20">
        <f>IFERROR(__xludf.DUMMYFUNCTION("""COMPUTED_VALUE"""),16417.0)</f>
        <v>16417</v>
      </c>
      <c r="Q2366" s="20">
        <f>IFERROR(__xludf.DUMMYFUNCTION("""COMPUTED_VALUE"""),35389.0)</f>
        <v>35389</v>
      </c>
    </row>
    <row r="2367">
      <c r="A2367" s="20">
        <f>IFERROR(__xludf.DUMMYFUNCTION("""COMPUTED_VALUE"""),2450.0)</f>
        <v>2450</v>
      </c>
      <c r="B2367" s="20" t="str">
        <f>IFERROR(__xludf.DUMMYFUNCTION("""COMPUTED_VALUE"""),"Minimum Replacements to Sort the Array")</f>
        <v>Minimum Replacements to Sort the Array</v>
      </c>
      <c r="C2367" s="20" t="str">
        <f>IFERROR(__xludf.DUMMYFUNCTION("""COMPUTED_VALUE"""),"minimum-replacements-to-sort-the-array")</f>
        <v>minimum-replacements-to-sort-the-array</v>
      </c>
      <c r="D2367" s="20" t="b">
        <f>IFERROR(__xludf.DUMMYFUNCTION("""COMPUTED_VALUE"""),FALSE)</f>
        <v>0</v>
      </c>
      <c r="E2367" s="20" t="str">
        <f>IFERROR(__xludf.DUMMYFUNCTION("""COMPUTED_VALUE"""),"Hard")</f>
        <v>Hard</v>
      </c>
      <c r="F2367" s="20">
        <f>IFERROR(__xludf.DUMMYFUNCTION("""COMPUTED_VALUE"""),400.0)</f>
        <v>400</v>
      </c>
      <c r="G2367" s="20">
        <f>IFERROR(__xludf.DUMMYFUNCTION("""COMPUTED_VALUE"""),8.0)</f>
        <v>8</v>
      </c>
      <c r="H2367" s="20" t="str">
        <f>IFERROR(__xludf.DUMMYFUNCTION("""COMPUTED_VALUE"""),"Algorithms")</f>
        <v>Algorithms</v>
      </c>
      <c r="I2367" s="20">
        <f>IFERROR(__xludf.DUMMYFUNCTION("""COMPUTED_VALUE"""),0.4)</f>
        <v>0.4</v>
      </c>
      <c r="J2367" s="20">
        <f>IFERROR(__xludf.DUMMYFUNCTION("""COMPUTED_VALUE"""),2366.0)</f>
        <v>2366</v>
      </c>
      <c r="K2367" s="20" t="b">
        <f>IFERROR(__xludf.DUMMYFUNCTION("""COMPUTED_VALUE"""),FALSE)</f>
        <v>0</v>
      </c>
      <c r="L2367" s="20" t="str">
        <f>IFERROR(__xludf.DUMMYFUNCTION("""COMPUTED_VALUE"""),"Array;Math;Greedy;")</f>
        <v>Array;Math;Greedy;</v>
      </c>
      <c r="M2367" s="20" t="b">
        <f>IFERROR(__xludf.DUMMYFUNCTION("""COMPUTED_VALUE"""),FALSE)</f>
        <v>0</v>
      </c>
      <c r="N2367" s="20" t="b">
        <f>IFERROR(__xludf.DUMMYFUNCTION("""COMPUTED_VALUE"""),FALSE)</f>
        <v>0</v>
      </c>
      <c r="O2367" s="20">
        <f>IFERROR(__xludf.DUMMYFUNCTION("""COMPUTED_VALUE"""),40.0315281899109)</f>
        <v>40.03152819</v>
      </c>
      <c r="P2367" s="20">
        <f>IFERROR(__xludf.DUMMYFUNCTION("""COMPUTED_VALUE"""),8634.0)</f>
        <v>8634</v>
      </c>
      <c r="Q2367" s="20">
        <f>IFERROR(__xludf.DUMMYFUNCTION("""COMPUTED_VALUE"""),21568.0)</f>
        <v>21568</v>
      </c>
    </row>
    <row r="2368">
      <c r="A2368" s="20">
        <f>IFERROR(__xludf.DUMMYFUNCTION("""COMPUTED_VALUE"""),2442.0)</f>
        <v>2442</v>
      </c>
      <c r="B2368" s="20" t="str">
        <f>IFERROR(__xludf.DUMMYFUNCTION("""COMPUTED_VALUE"""),"Number of Arithmetic Triplets")</f>
        <v>Number of Arithmetic Triplets</v>
      </c>
      <c r="C2368" s="20" t="str">
        <f>IFERROR(__xludf.DUMMYFUNCTION("""COMPUTED_VALUE"""),"number-of-arithmetic-triplets")</f>
        <v>number-of-arithmetic-triplets</v>
      </c>
      <c r="D2368" s="20" t="b">
        <f>IFERROR(__xludf.DUMMYFUNCTION("""COMPUTED_VALUE"""),FALSE)</f>
        <v>0</v>
      </c>
      <c r="E2368" s="20" t="str">
        <f>IFERROR(__xludf.DUMMYFUNCTION("""COMPUTED_VALUE"""),"Easy")</f>
        <v>Easy</v>
      </c>
      <c r="F2368" s="20">
        <f>IFERROR(__xludf.DUMMYFUNCTION("""COMPUTED_VALUE"""),592.0)</f>
        <v>592</v>
      </c>
      <c r="G2368" s="20">
        <f>IFERROR(__xludf.DUMMYFUNCTION("""COMPUTED_VALUE"""),21.0)</f>
        <v>21</v>
      </c>
      <c r="H2368" s="20" t="str">
        <f>IFERROR(__xludf.DUMMYFUNCTION("""COMPUTED_VALUE"""),"Algorithms")</f>
        <v>Algorithms</v>
      </c>
      <c r="I2368" s="20">
        <f>IFERROR(__xludf.DUMMYFUNCTION("""COMPUTED_VALUE"""),0.836)</f>
        <v>0.836</v>
      </c>
      <c r="J2368" s="20">
        <f>IFERROR(__xludf.DUMMYFUNCTION("""COMPUTED_VALUE"""),2367.0)</f>
        <v>2367</v>
      </c>
      <c r="K2368" s="20" t="b">
        <f>IFERROR(__xludf.DUMMYFUNCTION("""COMPUTED_VALUE"""),FALSE)</f>
        <v>0</v>
      </c>
      <c r="L2368" s="20" t="str">
        <f>IFERROR(__xludf.DUMMYFUNCTION("""COMPUTED_VALUE"""),"Array;Hash Table;Two Pointers;Enumeration;")</f>
        <v>Array;Hash Table;Two Pointers;Enumeration;</v>
      </c>
      <c r="M2368" s="20" t="b">
        <f>IFERROR(__xludf.DUMMYFUNCTION("""COMPUTED_VALUE"""),FALSE)</f>
        <v>0</v>
      </c>
      <c r="N2368" s="20" t="b">
        <f>IFERROR(__xludf.DUMMYFUNCTION("""COMPUTED_VALUE"""),FALSE)</f>
        <v>0</v>
      </c>
      <c r="O2368" s="20">
        <f>IFERROR(__xludf.DUMMYFUNCTION("""COMPUTED_VALUE"""),83.6380500227948)</f>
        <v>83.63805002</v>
      </c>
      <c r="P2368" s="20">
        <f>IFERROR(__xludf.DUMMYFUNCTION("""COMPUTED_VALUE"""),53202.0)</f>
        <v>53202</v>
      </c>
      <c r="Q2368" s="20">
        <f>IFERROR(__xludf.DUMMYFUNCTION("""COMPUTED_VALUE"""),63610.0)</f>
        <v>63610</v>
      </c>
    </row>
    <row r="2369">
      <c r="A2369" s="20">
        <f>IFERROR(__xludf.DUMMYFUNCTION("""COMPUTED_VALUE"""),2445.0)</f>
        <v>2445</v>
      </c>
      <c r="B2369" s="20" t="str">
        <f>IFERROR(__xludf.DUMMYFUNCTION("""COMPUTED_VALUE"""),"Reachable Nodes With Restrictions")</f>
        <v>Reachable Nodes With Restrictions</v>
      </c>
      <c r="C2369" s="20" t="str">
        <f>IFERROR(__xludf.DUMMYFUNCTION("""COMPUTED_VALUE"""),"reachable-nodes-with-restrictions")</f>
        <v>reachable-nodes-with-restrictions</v>
      </c>
      <c r="D2369" s="20" t="b">
        <f>IFERROR(__xludf.DUMMYFUNCTION("""COMPUTED_VALUE"""),FALSE)</f>
        <v>0</v>
      </c>
      <c r="E2369" s="20" t="str">
        <f>IFERROR(__xludf.DUMMYFUNCTION("""COMPUTED_VALUE"""),"Medium")</f>
        <v>Medium</v>
      </c>
      <c r="F2369" s="20">
        <f>IFERROR(__xludf.DUMMYFUNCTION("""COMPUTED_VALUE"""),395.0)</f>
        <v>395</v>
      </c>
      <c r="G2369" s="20">
        <f>IFERROR(__xludf.DUMMYFUNCTION("""COMPUTED_VALUE"""),17.0)</f>
        <v>17</v>
      </c>
      <c r="H2369" s="20" t="str">
        <f>IFERROR(__xludf.DUMMYFUNCTION("""COMPUTED_VALUE"""),"Algorithms")</f>
        <v>Algorithms</v>
      </c>
      <c r="I2369" s="20">
        <f>IFERROR(__xludf.DUMMYFUNCTION("""COMPUTED_VALUE"""),0.576)</f>
        <v>0.576</v>
      </c>
      <c r="J2369" s="20">
        <f>IFERROR(__xludf.DUMMYFUNCTION("""COMPUTED_VALUE"""),2368.0)</f>
        <v>2368</v>
      </c>
      <c r="K2369" s="20" t="b">
        <f>IFERROR(__xludf.DUMMYFUNCTION("""COMPUTED_VALUE"""),FALSE)</f>
        <v>0</v>
      </c>
      <c r="L2369" s="20" t="str">
        <f>IFERROR(__xludf.DUMMYFUNCTION("""COMPUTED_VALUE"""),"Array;Hash Table;Tree;Depth-First Search;Breadth-First Search;Graph;")</f>
        <v>Array;Hash Table;Tree;Depth-First Search;Breadth-First Search;Graph;</v>
      </c>
      <c r="M2369" s="20" t="b">
        <f>IFERROR(__xludf.DUMMYFUNCTION("""COMPUTED_VALUE"""),TRUE)</f>
        <v>1</v>
      </c>
      <c r="N2369" s="20" t="b">
        <f>IFERROR(__xludf.DUMMYFUNCTION("""COMPUTED_VALUE"""),FALSE)</f>
        <v>0</v>
      </c>
      <c r="O2369" s="20">
        <f>IFERROR(__xludf.DUMMYFUNCTION("""COMPUTED_VALUE"""),57.5989494634466)</f>
        <v>57.59894946</v>
      </c>
      <c r="P2369" s="20">
        <f>IFERROR(__xludf.DUMMYFUNCTION("""COMPUTED_VALUE"""),28072.0)</f>
        <v>28072</v>
      </c>
      <c r="Q2369" s="20">
        <f>IFERROR(__xludf.DUMMYFUNCTION("""COMPUTED_VALUE"""),48737.0)</f>
        <v>48737</v>
      </c>
    </row>
    <row r="2370">
      <c r="A2370" s="20">
        <f>IFERROR(__xludf.DUMMYFUNCTION("""COMPUTED_VALUE"""),2443.0)</f>
        <v>2443</v>
      </c>
      <c r="B2370" s="20" t="str">
        <f>IFERROR(__xludf.DUMMYFUNCTION("""COMPUTED_VALUE"""),"Check if There is a Valid Partition For The Array")</f>
        <v>Check if There is a Valid Partition For The Array</v>
      </c>
      <c r="C2370" s="20" t="str">
        <f>IFERROR(__xludf.DUMMYFUNCTION("""COMPUTED_VALUE"""),"check-if-there-is-a-valid-partition-for-the-array")</f>
        <v>check-if-there-is-a-valid-partition-for-the-array</v>
      </c>
      <c r="D2370" s="20" t="b">
        <f>IFERROR(__xludf.DUMMYFUNCTION("""COMPUTED_VALUE"""),FALSE)</f>
        <v>0</v>
      </c>
      <c r="E2370" s="20" t="str">
        <f>IFERROR(__xludf.DUMMYFUNCTION("""COMPUTED_VALUE"""),"Medium")</f>
        <v>Medium</v>
      </c>
      <c r="F2370" s="20">
        <f>IFERROR(__xludf.DUMMYFUNCTION("""COMPUTED_VALUE"""),473.0)</f>
        <v>473</v>
      </c>
      <c r="G2370" s="20">
        <f>IFERROR(__xludf.DUMMYFUNCTION("""COMPUTED_VALUE"""),91.0)</f>
        <v>91</v>
      </c>
      <c r="H2370" s="20" t="str">
        <f>IFERROR(__xludf.DUMMYFUNCTION("""COMPUTED_VALUE"""),"Algorithms")</f>
        <v>Algorithms</v>
      </c>
      <c r="I2370" s="20">
        <f>IFERROR(__xludf.DUMMYFUNCTION("""COMPUTED_VALUE"""),0.402)</f>
        <v>0.402</v>
      </c>
      <c r="J2370" s="20">
        <f>IFERROR(__xludf.DUMMYFUNCTION("""COMPUTED_VALUE"""),2369.0)</f>
        <v>2369</v>
      </c>
      <c r="K2370" s="20" t="b">
        <f>IFERROR(__xludf.DUMMYFUNCTION("""COMPUTED_VALUE"""),FALSE)</f>
        <v>0</v>
      </c>
      <c r="L2370" s="20" t="str">
        <f>IFERROR(__xludf.DUMMYFUNCTION("""COMPUTED_VALUE"""),"Array;Dynamic Programming;")</f>
        <v>Array;Dynamic Programming;</v>
      </c>
      <c r="M2370" s="20" t="b">
        <f>IFERROR(__xludf.DUMMYFUNCTION("""COMPUTED_VALUE"""),FALSE)</f>
        <v>0</v>
      </c>
      <c r="N2370" s="20" t="b">
        <f>IFERROR(__xludf.DUMMYFUNCTION("""COMPUTED_VALUE"""),FALSE)</f>
        <v>0</v>
      </c>
      <c r="O2370" s="20">
        <f>IFERROR(__xludf.DUMMYFUNCTION("""COMPUTED_VALUE"""),40.1954066181834)</f>
        <v>40.19540662</v>
      </c>
      <c r="P2370" s="20">
        <f>IFERROR(__xludf.DUMMYFUNCTION("""COMPUTED_VALUE"""),18184.0)</f>
        <v>18184</v>
      </c>
      <c r="Q2370" s="20">
        <f>IFERROR(__xludf.DUMMYFUNCTION("""COMPUTED_VALUE"""),45239.0)</f>
        <v>45239</v>
      </c>
    </row>
    <row r="2371">
      <c r="A2371" s="20">
        <f>IFERROR(__xludf.DUMMYFUNCTION("""COMPUTED_VALUE"""),2444.0)</f>
        <v>2444</v>
      </c>
      <c r="B2371" s="20" t="str">
        <f>IFERROR(__xludf.DUMMYFUNCTION("""COMPUTED_VALUE"""),"Longest Ideal Subsequence")</f>
        <v>Longest Ideal Subsequence</v>
      </c>
      <c r="C2371" s="20" t="str">
        <f>IFERROR(__xludf.DUMMYFUNCTION("""COMPUTED_VALUE"""),"longest-ideal-subsequence")</f>
        <v>longest-ideal-subsequence</v>
      </c>
      <c r="D2371" s="20" t="b">
        <f>IFERROR(__xludf.DUMMYFUNCTION("""COMPUTED_VALUE"""),FALSE)</f>
        <v>0</v>
      </c>
      <c r="E2371" s="20" t="str">
        <f>IFERROR(__xludf.DUMMYFUNCTION("""COMPUTED_VALUE"""),"Medium")</f>
        <v>Medium</v>
      </c>
      <c r="F2371" s="20">
        <f>IFERROR(__xludf.DUMMYFUNCTION("""COMPUTED_VALUE"""),581.0)</f>
        <v>581</v>
      </c>
      <c r="G2371" s="20">
        <f>IFERROR(__xludf.DUMMYFUNCTION("""COMPUTED_VALUE"""),18.0)</f>
        <v>18</v>
      </c>
      <c r="H2371" s="20" t="str">
        <f>IFERROR(__xludf.DUMMYFUNCTION("""COMPUTED_VALUE"""),"Algorithms")</f>
        <v>Algorithms</v>
      </c>
      <c r="I2371" s="20">
        <f>IFERROR(__xludf.DUMMYFUNCTION("""COMPUTED_VALUE"""),0.379)</f>
        <v>0.379</v>
      </c>
      <c r="J2371" s="20">
        <f>IFERROR(__xludf.DUMMYFUNCTION("""COMPUTED_VALUE"""),2370.0)</f>
        <v>2370</v>
      </c>
      <c r="K2371" s="20" t="b">
        <f>IFERROR(__xludf.DUMMYFUNCTION("""COMPUTED_VALUE"""),FALSE)</f>
        <v>0</v>
      </c>
      <c r="L2371" s="20" t="str">
        <f>IFERROR(__xludf.DUMMYFUNCTION("""COMPUTED_VALUE"""),"Hash Table;String;Dynamic Programming;")</f>
        <v>Hash Table;String;Dynamic Programming;</v>
      </c>
      <c r="M2371" s="20" t="b">
        <f>IFERROR(__xludf.DUMMYFUNCTION("""COMPUTED_VALUE"""),FALSE)</f>
        <v>0</v>
      </c>
      <c r="N2371" s="20" t="b">
        <f>IFERROR(__xludf.DUMMYFUNCTION("""COMPUTED_VALUE"""),FALSE)</f>
        <v>0</v>
      </c>
      <c r="O2371" s="20">
        <f>IFERROR(__xludf.DUMMYFUNCTION("""COMPUTED_VALUE"""),37.8766845353779)</f>
        <v>37.87668454</v>
      </c>
      <c r="P2371" s="20">
        <f>IFERROR(__xludf.DUMMYFUNCTION("""COMPUTED_VALUE"""),17735.0)</f>
        <v>17735</v>
      </c>
      <c r="Q2371" s="20">
        <f>IFERROR(__xludf.DUMMYFUNCTION("""COMPUTED_VALUE"""),46823.0)</f>
        <v>46823</v>
      </c>
    </row>
    <row r="2372">
      <c r="A2372" s="20">
        <f>IFERROR(__xludf.DUMMYFUNCTION("""COMPUTED_VALUE"""),2506.0)</f>
        <v>2506</v>
      </c>
      <c r="B2372" s="20" t="str">
        <f>IFERROR(__xludf.DUMMYFUNCTION("""COMPUTED_VALUE"""),"Minimize Maximum Value in a Grid")</f>
        <v>Minimize Maximum Value in a Grid</v>
      </c>
      <c r="C2372" s="20" t="str">
        <f>IFERROR(__xludf.DUMMYFUNCTION("""COMPUTED_VALUE"""),"minimize-maximum-value-in-a-grid")</f>
        <v>minimize-maximum-value-in-a-grid</v>
      </c>
      <c r="D2372" s="20" t="b">
        <f>IFERROR(__xludf.DUMMYFUNCTION("""COMPUTED_VALUE"""),TRUE)</f>
        <v>1</v>
      </c>
      <c r="E2372" s="20" t="str">
        <f>IFERROR(__xludf.DUMMYFUNCTION("""COMPUTED_VALUE"""),"Hard")</f>
        <v>Hard</v>
      </c>
      <c r="F2372" s="20">
        <f>IFERROR(__xludf.DUMMYFUNCTION("""COMPUTED_VALUE"""),31.0)</f>
        <v>31</v>
      </c>
      <c r="G2372" s="20">
        <f>IFERROR(__xludf.DUMMYFUNCTION("""COMPUTED_VALUE"""),1.0)</f>
        <v>1</v>
      </c>
      <c r="H2372" s="20" t="str">
        <f>IFERROR(__xludf.DUMMYFUNCTION("""COMPUTED_VALUE"""),"Algorithms")</f>
        <v>Algorithms</v>
      </c>
      <c r="I2372" s="20">
        <f>IFERROR(__xludf.DUMMYFUNCTION("""COMPUTED_VALUE"""),0.706)</f>
        <v>0.706</v>
      </c>
      <c r="J2372" s="20">
        <f>IFERROR(__xludf.DUMMYFUNCTION("""COMPUTED_VALUE"""),2371.0)</f>
        <v>2371</v>
      </c>
      <c r="K2372" s="20" t="b">
        <f>IFERROR(__xludf.DUMMYFUNCTION("""COMPUTED_VALUE"""),TRUE)</f>
        <v>1</v>
      </c>
      <c r="L2372" s="20" t="str">
        <f>IFERROR(__xludf.DUMMYFUNCTION("""COMPUTED_VALUE"""),"Array;Greedy;Union Find;Graph;Topological Sort;Sorting;Matrix;")</f>
        <v>Array;Greedy;Union Find;Graph;Topological Sort;Sorting;Matrix;</v>
      </c>
      <c r="M2372" s="20" t="b">
        <f>IFERROR(__xludf.DUMMYFUNCTION("""COMPUTED_VALUE"""),FALSE)</f>
        <v>0</v>
      </c>
      <c r="N2372" s="20" t="b">
        <f>IFERROR(__xludf.DUMMYFUNCTION("""COMPUTED_VALUE"""),FALSE)</f>
        <v>0</v>
      </c>
      <c r="O2372" s="20">
        <f>IFERROR(__xludf.DUMMYFUNCTION("""COMPUTED_VALUE"""),70.5593719332679)</f>
        <v>70.55937193</v>
      </c>
      <c r="P2372" s="20">
        <f>IFERROR(__xludf.DUMMYFUNCTION("""COMPUTED_VALUE"""),719.0)</f>
        <v>719</v>
      </c>
      <c r="Q2372" s="20">
        <f>IFERROR(__xludf.DUMMYFUNCTION("""COMPUTED_VALUE"""),1019.0)</f>
        <v>1019</v>
      </c>
    </row>
    <row r="2373">
      <c r="A2373" s="20">
        <f>IFERROR(__xludf.DUMMYFUNCTION("""COMPUTED_VALUE"""),2515.0)</f>
        <v>2515</v>
      </c>
      <c r="B2373" s="20" t="str">
        <f>IFERROR(__xludf.DUMMYFUNCTION("""COMPUTED_VALUE"""),"Calculate the Influence of Each Salesperson")</f>
        <v>Calculate the Influence of Each Salesperson</v>
      </c>
      <c r="C2373" s="20" t="str">
        <f>IFERROR(__xludf.DUMMYFUNCTION("""COMPUTED_VALUE"""),"calculate-the-influence-of-each-salesperson")</f>
        <v>calculate-the-influence-of-each-salesperson</v>
      </c>
      <c r="D2373" s="20" t="b">
        <f>IFERROR(__xludf.DUMMYFUNCTION("""COMPUTED_VALUE"""),TRUE)</f>
        <v>1</v>
      </c>
      <c r="E2373" s="20" t="str">
        <f>IFERROR(__xludf.DUMMYFUNCTION("""COMPUTED_VALUE"""),"Medium")</f>
        <v>Medium</v>
      </c>
      <c r="F2373" s="20">
        <f>IFERROR(__xludf.DUMMYFUNCTION("""COMPUTED_VALUE"""),17.0)</f>
        <v>17</v>
      </c>
      <c r="G2373" s="20">
        <f>IFERROR(__xludf.DUMMYFUNCTION("""COMPUTED_VALUE"""),4.0)</f>
        <v>4</v>
      </c>
      <c r="H2373" s="20" t="str">
        <f>IFERROR(__xludf.DUMMYFUNCTION("""COMPUTED_VALUE"""),"Database")</f>
        <v>Database</v>
      </c>
      <c r="I2373" s="20">
        <f>IFERROR(__xludf.DUMMYFUNCTION("""COMPUTED_VALUE"""),0.878)</f>
        <v>0.878</v>
      </c>
      <c r="J2373" s="20">
        <f>IFERROR(__xludf.DUMMYFUNCTION("""COMPUTED_VALUE"""),2372.0)</f>
        <v>2372</v>
      </c>
      <c r="K2373" s="20" t="b">
        <f>IFERROR(__xludf.DUMMYFUNCTION("""COMPUTED_VALUE"""),TRUE)</f>
        <v>1</v>
      </c>
      <c r="L2373" s="20" t="str">
        <f>IFERROR(__xludf.DUMMYFUNCTION("""COMPUTED_VALUE"""),"Database;")</f>
        <v>Database;</v>
      </c>
      <c r="M2373" s="20" t="b">
        <f>IFERROR(__xludf.DUMMYFUNCTION("""COMPUTED_VALUE"""),FALSE)</f>
        <v>0</v>
      </c>
      <c r="N2373" s="20" t="b">
        <f>IFERROR(__xludf.DUMMYFUNCTION("""COMPUTED_VALUE"""),FALSE)</f>
        <v>0</v>
      </c>
      <c r="O2373" s="20">
        <f>IFERROR(__xludf.DUMMYFUNCTION("""COMPUTED_VALUE"""),87.7755511022044)</f>
        <v>87.7755511</v>
      </c>
      <c r="P2373" s="20">
        <f>IFERROR(__xludf.DUMMYFUNCTION("""COMPUTED_VALUE"""),1752.0)</f>
        <v>1752</v>
      </c>
      <c r="Q2373" s="20">
        <f>IFERROR(__xludf.DUMMYFUNCTION("""COMPUTED_VALUE"""),1996.0)</f>
        <v>1996</v>
      </c>
    </row>
    <row r="2374">
      <c r="A2374" s="20">
        <f>IFERROR(__xludf.DUMMYFUNCTION("""COMPUTED_VALUE"""),2454.0)</f>
        <v>2454</v>
      </c>
      <c r="B2374" s="20" t="str">
        <f>IFERROR(__xludf.DUMMYFUNCTION("""COMPUTED_VALUE"""),"Largest Local Values in a Matrix")</f>
        <v>Largest Local Values in a Matrix</v>
      </c>
      <c r="C2374" s="20" t="str">
        <f>IFERROR(__xludf.DUMMYFUNCTION("""COMPUTED_VALUE"""),"largest-local-values-in-a-matrix")</f>
        <v>largest-local-values-in-a-matrix</v>
      </c>
      <c r="D2374" s="20" t="b">
        <f>IFERROR(__xludf.DUMMYFUNCTION("""COMPUTED_VALUE"""),FALSE)</f>
        <v>0</v>
      </c>
      <c r="E2374" s="20" t="str">
        <f>IFERROR(__xludf.DUMMYFUNCTION("""COMPUTED_VALUE"""),"Easy")</f>
        <v>Easy</v>
      </c>
      <c r="F2374" s="20">
        <f>IFERROR(__xludf.DUMMYFUNCTION("""COMPUTED_VALUE"""),384.0)</f>
        <v>384</v>
      </c>
      <c r="G2374" s="20">
        <f>IFERROR(__xludf.DUMMYFUNCTION("""COMPUTED_VALUE"""),36.0)</f>
        <v>36</v>
      </c>
      <c r="H2374" s="20" t="str">
        <f>IFERROR(__xludf.DUMMYFUNCTION("""COMPUTED_VALUE"""),"Algorithms")</f>
        <v>Algorithms</v>
      </c>
      <c r="I2374" s="20">
        <f>IFERROR(__xludf.DUMMYFUNCTION("""COMPUTED_VALUE"""),0.837)</f>
        <v>0.837</v>
      </c>
      <c r="J2374" s="20">
        <f>IFERROR(__xludf.DUMMYFUNCTION("""COMPUTED_VALUE"""),2373.0)</f>
        <v>2373</v>
      </c>
      <c r="K2374" s="20" t="b">
        <f>IFERROR(__xludf.DUMMYFUNCTION("""COMPUTED_VALUE"""),FALSE)</f>
        <v>0</v>
      </c>
      <c r="L2374" s="20" t="str">
        <f>IFERROR(__xludf.DUMMYFUNCTION("""COMPUTED_VALUE"""),"Array;Matrix;")</f>
        <v>Array;Matrix;</v>
      </c>
      <c r="M2374" s="20" t="b">
        <f>IFERROR(__xludf.DUMMYFUNCTION("""COMPUTED_VALUE"""),FALSE)</f>
        <v>0</v>
      </c>
      <c r="N2374" s="20" t="b">
        <f>IFERROR(__xludf.DUMMYFUNCTION("""COMPUTED_VALUE"""),FALSE)</f>
        <v>0</v>
      </c>
      <c r="O2374" s="20">
        <f>IFERROR(__xludf.DUMMYFUNCTION("""COMPUTED_VALUE"""),83.6756384109384)</f>
        <v>83.67563841</v>
      </c>
      <c r="P2374" s="20">
        <f>IFERROR(__xludf.DUMMYFUNCTION("""COMPUTED_VALUE"""),29130.0)</f>
        <v>29130</v>
      </c>
      <c r="Q2374" s="20">
        <f>IFERROR(__xludf.DUMMYFUNCTION("""COMPUTED_VALUE"""),34813.0)</f>
        <v>34813</v>
      </c>
    </row>
    <row r="2375">
      <c r="A2375" s="20">
        <f>IFERROR(__xludf.DUMMYFUNCTION("""COMPUTED_VALUE"""),2455.0)</f>
        <v>2455</v>
      </c>
      <c r="B2375" s="20" t="str">
        <f>IFERROR(__xludf.DUMMYFUNCTION("""COMPUTED_VALUE"""),"Node With Highest Edge Score")</f>
        <v>Node With Highest Edge Score</v>
      </c>
      <c r="C2375" s="20" t="str">
        <f>IFERROR(__xludf.DUMMYFUNCTION("""COMPUTED_VALUE"""),"node-with-highest-edge-score")</f>
        <v>node-with-highest-edge-score</v>
      </c>
      <c r="D2375" s="20" t="b">
        <f>IFERROR(__xludf.DUMMYFUNCTION("""COMPUTED_VALUE"""),FALSE)</f>
        <v>0</v>
      </c>
      <c r="E2375" s="20" t="str">
        <f>IFERROR(__xludf.DUMMYFUNCTION("""COMPUTED_VALUE"""),"Medium")</f>
        <v>Medium</v>
      </c>
      <c r="F2375" s="20">
        <f>IFERROR(__xludf.DUMMYFUNCTION("""COMPUTED_VALUE"""),289.0)</f>
        <v>289</v>
      </c>
      <c r="G2375" s="20">
        <f>IFERROR(__xludf.DUMMYFUNCTION("""COMPUTED_VALUE"""),24.0)</f>
        <v>24</v>
      </c>
      <c r="H2375" s="20" t="str">
        <f>IFERROR(__xludf.DUMMYFUNCTION("""COMPUTED_VALUE"""),"Algorithms")</f>
        <v>Algorithms</v>
      </c>
      <c r="I2375" s="20">
        <f>IFERROR(__xludf.DUMMYFUNCTION("""COMPUTED_VALUE"""),0.464)</f>
        <v>0.464</v>
      </c>
      <c r="J2375" s="20">
        <f>IFERROR(__xludf.DUMMYFUNCTION("""COMPUTED_VALUE"""),2374.0)</f>
        <v>2374</v>
      </c>
      <c r="K2375" s="20" t="b">
        <f>IFERROR(__xludf.DUMMYFUNCTION("""COMPUTED_VALUE"""),FALSE)</f>
        <v>0</v>
      </c>
      <c r="L2375" s="20" t="str">
        <f>IFERROR(__xludf.DUMMYFUNCTION("""COMPUTED_VALUE"""),"Hash Table;Graph;")</f>
        <v>Hash Table;Graph;</v>
      </c>
      <c r="M2375" s="20" t="b">
        <f>IFERROR(__xludf.DUMMYFUNCTION("""COMPUTED_VALUE"""),FALSE)</f>
        <v>0</v>
      </c>
      <c r="N2375" s="20" t="b">
        <f>IFERROR(__xludf.DUMMYFUNCTION("""COMPUTED_VALUE"""),FALSE)</f>
        <v>0</v>
      </c>
      <c r="O2375" s="20">
        <f>IFERROR(__xludf.DUMMYFUNCTION("""COMPUTED_VALUE"""),46.4353117898547)</f>
        <v>46.43531179</v>
      </c>
      <c r="P2375" s="20">
        <f>IFERROR(__xludf.DUMMYFUNCTION("""COMPUTED_VALUE"""),24112.0)</f>
        <v>24112</v>
      </c>
      <c r="Q2375" s="20">
        <f>IFERROR(__xludf.DUMMYFUNCTION("""COMPUTED_VALUE"""),51926.0)</f>
        <v>51926</v>
      </c>
    </row>
    <row r="2376">
      <c r="A2376" s="20">
        <f>IFERROR(__xludf.DUMMYFUNCTION("""COMPUTED_VALUE"""),2456.0)</f>
        <v>2456</v>
      </c>
      <c r="B2376" s="20" t="str">
        <f>IFERROR(__xludf.DUMMYFUNCTION("""COMPUTED_VALUE"""),"Construct Smallest Number From DI String")</f>
        <v>Construct Smallest Number From DI String</v>
      </c>
      <c r="C2376" s="20" t="str">
        <f>IFERROR(__xludf.DUMMYFUNCTION("""COMPUTED_VALUE"""),"construct-smallest-number-from-di-string")</f>
        <v>construct-smallest-number-from-di-string</v>
      </c>
      <c r="D2376" s="20" t="b">
        <f>IFERROR(__xludf.DUMMYFUNCTION("""COMPUTED_VALUE"""),FALSE)</f>
        <v>0</v>
      </c>
      <c r="E2376" s="20" t="str">
        <f>IFERROR(__xludf.DUMMYFUNCTION("""COMPUTED_VALUE"""),"Medium")</f>
        <v>Medium</v>
      </c>
      <c r="F2376" s="20">
        <f>IFERROR(__xludf.DUMMYFUNCTION("""COMPUTED_VALUE"""),587.0)</f>
        <v>587</v>
      </c>
      <c r="G2376" s="20">
        <f>IFERROR(__xludf.DUMMYFUNCTION("""COMPUTED_VALUE"""),21.0)</f>
        <v>21</v>
      </c>
      <c r="H2376" s="20" t="str">
        <f>IFERROR(__xludf.DUMMYFUNCTION("""COMPUTED_VALUE"""),"Algorithms")</f>
        <v>Algorithms</v>
      </c>
      <c r="I2376" s="20">
        <f>IFERROR(__xludf.DUMMYFUNCTION("""COMPUTED_VALUE"""),0.74)</f>
        <v>0.74</v>
      </c>
      <c r="J2376" s="20">
        <f>IFERROR(__xludf.DUMMYFUNCTION("""COMPUTED_VALUE"""),2375.0)</f>
        <v>2375</v>
      </c>
      <c r="K2376" s="20" t="b">
        <f>IFERROR(__xludf.DUMMYFUNCTION("""COMPUTED_VALUE"""),FALSE)</f>
        <v>0</v>
      </c>
      <c r="L2376" s="20" t="str">
        <f>IFERROR(__xludf.DUMMYFUNCTION("""COMPUTED_VALUE"""),"String;Backtracking;Stack;Greedy;")</f>
        <v>String;Backtracking;Stack;Greedy;</v>
      </c>
      <c r="M2376" s="20" t="b">
        <f>IFERROR(__xludf.DUMMYFUNCTION("""COMPUTED_VALUE"""),FALSE)</f>
        <v>0</v>
      </c>
      <c r="N2376" s="20" t="b">
        <f>IFERROR(__xludf.DUMMYFUNCTION("""COMPUTED_VALUE"""),FALSE)</f>
        <v>0</v>
      </c>
      <c r="O2376" s="20">
        <f>IFERROR(__xludf.DUMMYFUNCTION("""COMPUTED_VALUE"""),74.0002995357196)</f>
        <v>74.00029954</v>
      </c>
      <c r="P2376" s="20">
        <f>IFERROR(__xludf.DUMMYFUNCTION("""COMPUTED_VALUE"""),19764.0)</f>
        <v>19764</v>
      </c>
      <c r="Q2376" s="20">
        <f>IFERROR(__xludf.DUMMYFUNCTION("""COMPUTED_VALUE"""),26708.0)</f>
        <v>26708</v>
      </c>
    </row>
    <row r="2377">
      <c r="A2377" s="20">
        <f>IFERROR(__xludf.DUMMYFUNCTION("""COMPUTED_VALUE"""),2457.0)</f>
        <v>2457</v>
      </c>
      <c r="B2377" s="20" t="str">
        <f>IFERROR(__xludf.DUMMYFUNCTION("""COMPUTED_VALUE"""),"Count Special Integers")</f>
        <v>Count Special Integers</v>
      </c>
      <c r="C2377" s="20" t="str">
        <f>IFERROR(__xludf.DUMMYFUNCTION("""COMPUTED_VALUE"""),"count-special-integers")</f>
        <v>count-special-integers</v>
      </c>
      <c r="D2377" s="20" t="b">
        <f>IFERROR(__xludf.DUMMYFUNCTION("""COMPUTED_VALUE"""),FALSE)</f>
        <v>0</v>
      </c>
      <c r="E2377" s="20" t="str">
        <f>IFERROR(__xludf.DUMMYFUNCTION("""COMPUTED_VALUE"""),"Hard")</f>
        <v>Hard</v>
      </c>
      <c r="F2377" s="20">
        <f>IFERROR(__xludf.DUMMYFUNCTION("""COMPUTED_VALUE"""),417.0)</f>
        <v>417</v>
      </c>
      <c r="G2377" s="20">
        <f>IFERROR(__xludf.DUMMYFUNCTION("""COMPUTED_VALUE"""),29.0)</f>
        <v>29</v>
      </c>
      <c r="H2377" s="20" t="str">
        <f>IFERROR(__xludf.DUMMYFUNCTION("""COMPUTED_VALUE"""),"Algorithms")</f>
        <v>Algorithms</v>
      </c>
      <c r="I2377" s="20">
        <f>IFERROR(__xludf.DUMMYFUNCTION("""COMPUTED_VALUE"""),0.364)</f>
        <v>0.364</v>
      </c>
      <c r="J2377" s="20">
        <f>IFERROR(__xludf.DUMMYFUNCTION("""COMPUTED_VALUE"""),2376.0)</f>
        <v>2376</v>
      </c>
      <c r="K2377" s="20" t="b">
        <f>IFERROR(__xludf.DUMMYFUNCTION("""COMPUTED_VALUE"""),FALSE)</f>
        <v>0</v>
      </c>
      <c r="L2377" s="20" t="str">
        <f>IFERROR(__xludf.DUMMYFUNCTION("""COMPUTED_VALUE"""),"Math;Dynamic Programming;")</f>
        <v>Math;Dynamic Programming;</v>
      </c>
      <c r="M2377" s="20" t="b">
        <f>IFERROR(__xludf.DUMMYFUNCTION("""COMPUTED_VALUE"""),FALSE)</f>
        <v>0</v>
      </c>
      <c r="N2377" s="20" t="b">
        <f>IFERROR(__xludf.DUMMYFUNCTION("""COMPUTED_VALUE"""),FALSE)</f>
        <v>0</v>
      </c>
      <c r="O2377" s="20">
        <f>IFERROR(__xludf.DUMMYFUNCTION("""COMPUTED_VALUE"""),36.4267901674385)</f>
        <v>36.42679017</v>
      </c>
      <c r="P2377" s="20">
        <f>IFERROR(__xludf.DUMMYFUNCTION("""COMPUTED_VALUE"""),8180.0)</f>
        <v>8180</v>
      </c>
      <c r="Q2377" s="20">
        <f>IFERROR(__xludf.DUMMYFUNCTION("""COMPUTED_VALUE"""),22456.0)</f>
        <v>22456</v>
      </c>
    </row>
    <row r="2378">
      <c r="A2378" s="20">
        <f>IFERROR(__xludf.DUMMYFUNCTION("""COMPUTED_VALUE"""),2516.0)</f>
        <v>2516</v>
      </c>
      <c r="B2378" s="20" t="str">
        <f>IFERROR(__xludf.DUMMYFUNCTION("""COMPUTED_VALUE"""),"Sort the Olympic Table")</f>
        <v>Sort the Olympic Table</v>
      </c>
      <c r="C2378" s="20" t="str">
        <f>IFERROR(__xludf.DUMMYFUNCTION("""COMPUTED_VALUE"""),"sort-the-olympic-table")</f>
        <v>sort-the-olympic-table</v>
      </c>
      <c r="D2378" s="20" t="b">
        <f>IFERROR(__xludf.DUMMYFUNCTION("""COMPUTED_VALUE"""),TRUE)</f>
        <v>1</v>
      </c>
      <c r="E2378" s="20" t="str">
        <f>IFERROR(__xludf.DUMMYFUNCTION("""COMPUTED_VALUE"""),"Easy")</f>
        <v>Easy</v>
      </c>
      <c r="F2378" s="20">
        <f>IFERROR(__xludf.DUMMYFUNCTION("""COMPUTED_VALUE"""),18.0)</f>
        <v>18</v>
      </c>
      <c r="G2378" s="20">
        <f>IFERROR(__xludf.DUMMYFUNCTION("""COMPUTED_VALUE"""),1.0)</f>
        <v>1</v>
      </c>
      <c r="H2378" s="20" t="str">
        <f>IFERROR(__xludf.DUMMYFUNCTION("""COMPUTED_VALUE"""),"Database")</f>
        <v>Database</v>
      </c>
      <c r="I2378" s="20">
        <f>IFERROR(__xludf.DUMMYFUNCTION("""COMPUTED_VALUE"""),0.801)</f>
        <v>0.801</v>
      </c>
      <c r="J2378" s="20">
        <f>IFERROR(__xludf.DUMMYFUNCTION("""COMPUTED_VALUE"""),2377.0)</f>
        <v>2377</v>
      </c>
      <c r="K2378" s="20" t="b">
        <f>IFERROR(__xludf.DUMMYFUNCTION("""COMPUTED_VALUE"""),TRUE)</f>
        <v>1</v>
      </c>
      <c r="L2378" s="20" t="str">
        <f>IFERROR(__xludf.DUMMYFUNCTION("""COMPUTED_VALUE"""),"Database;")</f>
        <v>Database;</v>
      </c>
      <c r="M2378" s="20" t="b">
        <f>IFERROR(__xludf.DUMMYFUNCTION("""COMPUTED_VALUE"""),FALSE)</f>
        <v>0</v>
      </c>
      <c r="N2378" s="20" t="b">
        <f>IFERROR(__xludf.DUMMYFUNCTION("""COMPUTED_VALUE"""),FALSE)</f>
        <v>0</v>
      </c>
      <c r="O2378" s="20">
        <f>IFERROR(__xludf.DUMMYFUNCTION("""COMPUTED_VALUE"""),80.1167315175097)</f>
        <v>80.11673152</v>
      </c>
      <c r="P2378" s="20">
        <f>IFERROR(__xludf.DUMMYFUNCTION("""COMPUTED_VALUE"""),2059.0)</f>
        <v>2059</v>
      </c>
      <c r="Q2378" s="20">
        <f>IFERROR(__xludf.DUMMYFUNCTION("""COMPUTED_VALUE"""),2570.0)</f>
        <v>2570</v>
      </c>
    </row>
    <row r="2379">
      <c r="A2379" s="20">
        <f>IFERROR(__xludf.DUMMYFUNCTION("""COMPUTED_VALUE"""),2517.0)</f>
        <v>2517</v>
      </c>
      <c r="B2379" s="20" t="str">
        <f>IFERROR(__xludf.DUMMYFUNCTION("""COMPUTED_VALUE"""),"Choose Edges to Maximize Score in a Tree")</f>
        <v>Choose Edges to Maximize Score in a Tree</v>
      </c>
      <c r="C2379" s="20" t="str">
        <f>IFERROR(__xludf.DUMMYFUNCTION("""COMPUTED_VALUE"""),"choose-edges-to-maximize-score-in-a-tree")</f>
        <v>choose-edges-to-maximize-score-in-a-tree</v>
      </c>
      <c r="D2379" s="20" t="b">
        <f>IFERROR(__xludf.DUMMYFUNCTION("""COMPUTED_VALUE"""),TRUE)</f>
        <v>1</v>
      </c>
      <c r="E2379" s="20" t="str">
        <f>IFERROR(__xludf.DUMMYFUNCTION("""COMPUTED_VALUE"""),"Medium")</f>
        <v>Medium</v>
      </c>
      <c r="F2379" s="20">
        <f>IFERROR(__xludf.DUMMYFUNCTION("""COMPUTED_VALUE"""),27.0)</f>
        <v>27</v>
      </c>
      <c r="G2379" s="20">
        <f>IFERROR(__xludf.DUMMYFUNCTION("""COMPUTED_VALUE"""),5.0)</f>
        <v>5</v>
      </c>
      <c r="H2379" s="20" t="str">
        <f>IFERROR(__xludf.DUMMYFUNCTION("""COMPUTED_VALUE"""),"Algorithms")</f>
        <v>Algorithms</v>
      </c>
      <c r="I2379" s="20">
        <f>IFERROR(__xludf.DUMMYFUNCTION("""COMPUTED_VALUE"""),0.615)</f>
        <v>0.615</v>
      </c>
      <c r="J2379" s="20">
        <f>IFERROR(__xludf.DUMMYFUNCTION("""COMPUTED_VALUE"""),2378.0)</f>
        <v>2378</v>
      </c>
      <c r="K2379" s="20" t="b">
        <f>IFERROR(__xludf.DUMMYFUNCTION("""COMPUTED_VALUE"""),TRUE)</f>
        <v>1</v>
      </c>
      <c r="L2379" s="20" t="str">
        <f>IFERROR(__xludf.DUMMYFUNCTION("""COMPUTED_VALUE"""),"Dynamic Programming;Tree;Depth-First Search;")</f>
        <v>Dynamic Programming;Tree;Depth-First Search;</v>
      </c>
      <c r="M2379" s="20" t="b">
        <f>IFERROR(__xludf.DUMMYFUNCTION("""COMPUTED_VALUE"""),FALSE)</f>
        <v>0</v>
      </c>
      <c r="N2379" s="20" t="b">
        <f>IFERROR(__xludf.DUMMYFUNCTION("""COMPUTED_VALUE"""),FALSE)</f>
        <v>0</v>
      </c>
      <c r="O2379" s="20">
        <f>IFERROR(__xludf.DUMMYFUNCTION("""COMPUTED_VALUE"""),61.5451388888888)</f>
        <v>61.54513889</v>
      </c>
      <c r="P2379" s="20">
        <f>IFERROR(__xludf.DUMMYFUNCTION("""COMPUTED_VALUE"""),709.0)</f>
        <v>709</v>
      </c>
      <c r="Q2379" s="20">
        <f>IFERROR(__xludf.DUMMYFUNCTION("""COMPUTED_VALUE"""),1152.0)</f>
        <v>1152</v>
      </c>
    </row>
    <row r="2380">
      <c r="A2380" s="20">
        <f>IFERROR(__xludf.DUMMYFUNCTION("""COMPUTED_VALUE"""),2463.0)</f>
        <v>2463</v>
      </c>
      <c r="B2380" s="20" t="str">
        <f>IFERROR(__xludf.DUMMYFUNCTION("""COMPUTED_VALUE"""),"Minimum Recolors to Get K Consecutive Black Blocks")</f>
        <v>Minimum Recolors to Get K Consecutive Black Blocks</v>
      </c>
      <c r="C2380" s="20" t="str">
        <f>IFERROR(__xludf.DUMMYFUNCTION("""COMPUTED_VALUE"""),"minimum-recolors-to-get-k-consecutive-black-blocks")</f>
        <v>minimum-recolors-to-get-k-consecutive-black-blocks</v>
      </c>
      <c r="D2380" s="20" t="b">
        <f>IFERROR(__xludf.DUMMYFUNCTION("""COMPUTED_VALUE"""),FALSE)</f>
        <v>0</v>
      </c>
      <c r="E2380" s="20" t="str">
        <f>IFERROR(__xludf.DUMMYFUNCTION("""COMPUTED_VALUE"""),"Easy")</f>
        <v>Easy</v>
      </c>
      <c r="F2380" s="20">
        <f>IFERROR(__xludf.DUMMYFUNCTION("""COMPUTED_VALUE"""),396.0)</f>
        <v>396</v>
      </c>
      <c r="G2380" s="20">
        <f>IFERROR(__xludf.DUMMYFUNCTION("""COMPUTED_VALUE"""),13.0)</f>
        <v>13</v>
      </c>
      <c r="H2380" s="20" t="str">
        <f>IFERROR(__xludf.DUMMYFUNCTION("""COMPUTED_VALUE"""),"Algorithms")</f>
        <v>Algorithms</v>
      </c>
      <c r="I2380" s="20">
        <f>IFERROR(__xludf.DUMMYFUNCTION("""COMPUTED_VALUE"""),0.571)</f>
        <v>0.571</v>
      </c>
      <c r="J2380" s="20">
        <f>IFERROR(__xludf.DUMMYFUNCTION("""COMPUTED_VALUE"""),2379.0)</f>
        <v>2379</v>
      </c>
      <c r="K2380" s="20" t="b">
        <f>IFERROR(__xludf.DUMMYFUNCTION("""COMPUTED_VALUE"""),FALSE)</f>
        <v>0</v>
      </c>
      <c r="L2380" s="20" t="str">
        <f>IFERROR(__xludf.DUMMYFUNCTION("""COMPUTED_VALUE"""),"String;Sliding Window;")</f>
        <v>String;Sliding Window;</v>
      </c>
      <c r="M2380" s="20" t="b">
        <f>IFERROR(__xludf.DUMMYFUNCTION("""COMPUTED_VALUE"""),FALSE)</f>
        <v>0</v>
      </c>
      <c r="N2380" s="20" t="b">
        <f>IFERROR(__xludf.DUMMYFUNCTION("""COMPUTED_VALUE"""),FALSE)</f>
        <v>0</v>
      </c>
      <c r="O2380" s="20">
        <f>IFERROR(__xludf.DUMMYFUNCTION("""COMPUTED_VALUE"""),57.1064385639642)</f>
        <v>57.10643856</v>
      </c>
      <c r="P2380" s="20">
        <f>IFERROR(__xludf.DUMMYFUNCTION("""COMPUTED_VALUE"""),27105.0)</f>
        <v>27105</v>
      </c>
      <c r="Q2380" s="20">
        <f>IFERROR(__xludf.DUMMYFUNCTION("""COMPUTED_VALUE"""),47464.0)</f>
        <v>47464</v>
      </c>
    </row>
    <row r="2381">
      <c r="A2381" s="20">
        <f>IFERROR(__xludf.DUMMYFUNCTION("""COMPUTED_VALUE"""),2464.0)</f>
        <v>2464</v>
      </c>
      <c r="B2381" s="20" t="str">
        <f>IFERROR(__xludf.DUMMYFUNCTION("""COMPUTED_VALUE"""),"Time Needed to Rearrange a Binary String")</f>
        <v>Time Needed to Rearrange a Binary String</v>
      </c>
      <c r="C2381" s="20" t="str">
        <f>IFERROR(__xludf.DUMMYFUNCTION("""COMPUTED_VALUE"""),"time-needed-to-rearrange-a-binary-string")</f>
        <v>time-needed-to-rearrange-a-binary-string</v>
      </c>
      <c r="D2381" s="20" t="b">
        <f>IFERROR(__xludf.DUMMYFUNCTION("""COMPUTED_VALUE"""),FALSE)</f>
        <v>0</v>
      </c>
      <c r="E2381" s="20" t="str">
        <f>IFERROR(__xludf.DUMMYFUNCTION("""COMPUTED_VALUE"""),"Medium")</f>
        <v>Medium</v>
      </c>
      <c r="F2381" s="20">
        <f>IFERROR(__xludf.DUMMYFUNCTION("""COMPUTED_VALUE"""),314.0)</f>
        <v>314</v>
      </c>
      <c r="G2381" s="20">
        <f>IFERROR(__xludf.DUMMYFUNCTION("""COMPUTED_VALUE"""),88.0)</f>
        <v>88</v>
      </c>
      <c r="H2381" s="20" t="str">
        <f>IFERROR(__xludf.DUMMYFUNCTION("""COMPUTED_VALUE"""),"Algorithms")</f>
        <v>Algorithms</v>
      </c>
      <c r="I2381" s="20">
        <f>IFERROR(__xludf.DUMMYFUNCTION("""COMPUTED_VALUE"""),0.484)</f>
        <v>0.484</v>
      </c>
      <c r="J2381" s="20">
        <f>IFERROR(__xludf.DUMMYFUNCTION("""COMPUTED_VALUE"""),2380.0)</f>
        <v>2380</v>
      </c>
      <c r="K2381" s="20" t="b">
        <f>IFERROR(__xludf.DUMMYFUNCTION("""COMPUTED_VALUE"""),FALSE)</f>
        <v>0</v>
      </c>
      <c r="L2381" s="20" t="str">
        <f>IFERROR(__xludf.DUMMYFUNCTION("""COMPUTED_VALUE"""),"String;Dynamic Programming;Simulation;")</f>
        <v>String;Dynamic Programming;Simulation;</v>
      </c>
      <c r="M2381" s="20" t="b">
        <f>IFERROR(__xludf.DUMMYFUNCTION("""COMPUTED_VALUE"""),FALSE)</f>
        <v>0</v>
      </c>
      <c r="N2381" s="20" t="b">
        <f>IFERROR(__xludf.DUMMYFUNCTION("""COMPUTED_VALUE"""),FALSE)</f>
        <v>0</v>
      </c>
      <c r="O2381" s="20">
        <f>IFERROR(__xludf.DUMMYFUNCTION("""COMPUTED_VALUE"""),48.4169461690335)</f>
        <v>48.41694617</v>
      </c>
      <c r="P2381" s="20">
        <f>IFERROR(__xludf.DUMMYFUNCTION("""COMPUTED_VALUE"""),20353.0)</f>
        <v>20353</v>
      </c>
      <c r="Q2381" s="20">
        <f>IFERROR(__xludf.DUMMYFUNCTION("""COMPUTED_VALUE"""),42036.0)</f>
        <v>42036</v>
      </c>
    </row>
    <row r="2382">
      <c r="A2382" s="20">
        <f>IFERROR(__xludf.DUMMYFUNCTION("""COMPUTED_VALUE"""),2465.0)</f>
        <v>2465</v>
      </c>
      <c r="B2382" s="20" t="str">
        <f>IFERROR(__xludf.DUMMYFUNCTION("""COMPUTED_VALUE"""),"Shifting Letters II")</f>
        <v>Shifting Letters II</v>
      </c>
      <c r="C2382" s="20" t="str">
        <f>IFERROR(__xludf.DUMMYFUNCTION("""COMPUTED_VALUE"""),"shifting-letters-ii")</f>
        <v>shifting-letters-ii</v>
      </c>
      <c r="D2382" s="20" t="b">
        <f>IFERROR(__xludf.DUMMYFUNCTION("""COMPUTED_VALUE"""),FALSE)</f>
        <v>0</v>
      </c>
      <c r="E2382" s="20" t="str">
        <f>IFERROR(__xludf.DUMMYFUNCTION("""COMPUTED_VALUE"""),"Medium")</f>
        <v>Medium</v>
      </c>
      <c r="F2382" s="20">
        <f>IFERROR(__xludf.DUMMYFUNCTION("""COMPUTED_VALUE"""),513.0)</f>
        <v>513</v>
      </c>
      <c r="G2382" s="20">
        <f>IFERROR(__xludf.DUMMYFUNCTION("""COMPUTED_VALUE"""),17.0)</f>
        <v>17</v>
      </c>
      <c r="H2382" s="20" t="str">
        <f>IFERROR(__xludf.DUMMYFUNCTION("""COMPUTED_VALUE"""),"Algorithms")</f>
        <v>Algorithms</v>
      </c>
      <c r="I2382" s="20">
        <f>IFERROR(__xludf.DUMMYFUNCTION("""COMPUTED_VALUE"""),0.343)</f>
        <v>0.343</v>
      </c>
      <c r="J2382" s="20">
        <f>IFERROR(__xludf.DUMMYFUNCTION("""COMPUTED_VALUE"""),2381.0)</f>
        <v>2381</v>
      </c>
      <c r="K2382" s="20" t="b">
        <f>IFERROR(__xludf.DUMMYFUNCTION("""COMPUTED_VALUE"""),FALSE)</f>
        <v>0</v>
      </c>
      <c r="L2382" s="20" t="str">
        <f>IFERROR(__xludf.DUMMYFUNCTION("""COMPUTED_VALUE"""),"Array;String;Prefix Sum;")</f>
        <v>Array;String;Prefix Sum;</v>
      </c>
      <c r="M2382" s="20" t="b">
        <f>IFERROR(__xludf.DUMMYFUNCTION("""COMPUTED_VALUE"""),FALSE)</f>
        <v>0</v>
      </c>
      <c r="N2382" s="20" t="b">
        <f>IFERROR(__xludf.DUMMYFUNCTION("""COMPUTED_VALUE"""),FALSE)</f>
        <v>0</v>
      </c>
      <c r="O2382" s="20">
        <f>IFERROR(__xludf.DUMMYFUNCTION("""COMPUTED_VALUE"""),34.2702053811425)</f>
        <v>34.27020538</v>
      </c>
      <c r="P2382" s="20">
        <f>IFERROR(__xludf.DUMMYFUNCTION("""COMPUTED_VALUE"""),13132.0)</f>
        <v>13132</v>
      </c>
      <c r="Q2382" s="20">
        <f>IFERROR(__xludf.DUMMYFUNCTION("""COMPUTED_VALUE"""),38319.0)</f>
        <v>38319</v>
      </c>
    </row>
    <row r="2383">
      <c r="A2383" s="20">
        <f>IFERROR(__xludf.DUMMYFUNCTION("""COMPUTED_VALUE"""),2466.0)</f>
        <v>2466</v>
      </c>
      <c r="B2383" s="20" t="str">
        <f>IFERROR(__xludf.DUMMYFUNCTION("""COMPUTED_VALUE"""),"Maximum Segment Sum After Removals")</f>
        <v>Maximum Segment Sum After Removals</v>
      </c>
      <c r="C2383" s="20" t="str">
        <f>IFERROR(__xludf.DUMMYFUNCTION("""COMPUTED_VALUE"""),"maximum-segment-sum-after-removals")</f>
        <v>maximum-segment-sum-after-removals</v>
      </c>
      <c r="D2383" s="20" t="b">
        <f>IFERROR(__xludf.DUMMYFUNCTION("""COMPUTED_VALUE"""),FALSE)</f>
        <v>0</v>
      </c>
      <c r="E2383" s="20" t="str">
        <f>IFERROR(__xludf.DUMMYFUNCTION("""COMPUTED_VALUE"""),"Hard")</f>
        <v>Hard</v>
      </c>
      <c r="F2383" s="20">
        <f>IFERROR(__xludf.DUMMYFUNCTION("""COMPUTED_VALUE"""),341.0)</f>
        <v>341</v>
      </c>
      <c r="G2383" s="20">
        <f>IFERROR(__xludf.DUMMYFUNCTION("""COMPUTED_VALUE"""),4.0)</f>
        <v>4</v>
      </c>
      <c r="H2383" s="20" t="str">
        <f>IFERROR(__xludf.DUMMYFUNCTION("""COMPUTED_VALUE"""),"Algorithms")</f>
        <v>Algorithms</v>
      </c>
      <c r="I2383" s="20">
        <f>IFERROR(__xludf.DUMMYFUNCTION("""COMPUTED_VALUE"""),0.479)</f>
        <v>0.479</v>
      </c>
      <c r="J2383" s="20">
        <f>IFERROR(__xludf.DUMMYFUNCTION("""COMPUTED_VALUE"""),2382.0)</f>
        <v>2382</v>
      </c>
      <c r="K2383" s="20" t="b">
        <f>IFERROR(__xludf.DUMMYFUNCTION("""COMPUTED_VALUE"""),FALSE)</f>
        <v>0</v>
      </c>
      <c r="L2383" s="20" t="str">
        <f>IFERROR(__xludf.DUMMYFUNCTION("""COMPUTED_VALUE"""),"Array;Union Find;Prefix Sum;Ordered Set;")</f>
        <v>Array;Union Find;Prefix Sum;Ordered Set;</v>
      </c>
      <c r="M2383" s="20" t="b">
        <f>IFERROR(__xludf.DUMMYFUNCTION("""COMPUTED_VALUE"""),FALSE)</f>
        <v>0</v>
      </c>
      <c r="N2383" s="20" t="b">
        <f>IFERROR(__xludf.DUMMYFUNCTION("""COMPUTED_VALUE"""),FALSE)</f>
        <v>0</v>
      </c>
      <c r="O2383" s="20">
        <f>IFERROR(__xludf.DUMMYFUNCTION("""COMPUTED_VALUE"""),47.8765732846122)</f>
        <v>47.87657328</v>
      </c>
      <c r="P2383" s="20">
        <f>IFERROR(__xludf.DUMMYFUNCTION("""COMPUTED_VALUE"""),5896.0)</f>
        <v>5896</v>
      </c>
      <c r="Q2383" s="20">
        <f>IFERROR(__xludf.DUMMYFUNCTION("""COMPUTED_VALUE"""),12315.0)</f>
        <v>12315</v>
      </c>
    </row>
    <row r="2384">
      <c r="A2384" s="20">
        <f>IFERROR(__xludf.DUMMYFUNCTION("""COMPUTED_VALUE"""),2459.0)</f>
        <v>2459</v>
      </c>
      <c r="B2384" s="20" t="str">
        <f>IFERROR(__xludf.DUMMYFUNCTION("""COMPUTED_VALUE"""),"Minimum Hours of Training to Win a Competition")</f>
        <v>Minimum Hours of Training to Win a Competition</v>
      </c>
      <c r="C2384" s="20" t="str">
        <f>IFERROR(__xludf.DUMMYFUNCTION("""COMPUTED_VALUE"""),"minimum-hours-of-training-to-win-a-competition")</f>
        <v>minimum-hours-of-training-to-win-a-competition</v>
      </c>
      <c r="D2384" s="20" t="b">
        <f>IFERROR(__xludf.DUMMYFUNCTION("""COMPUTED_VALUE"""),FALSE)</f>
        <v>0</v>
      </c>
      <c r="E2384" s="20" t="str">
        <f>IFERROR(__xludf.DUMMYFUNCTION("""COMPUTED_VALUE"""),"Easy")</f>
        <v>Easy</v>
      </c>
      <c r="F2384" s="20">
        <f>IFERROR(__xludf.DUMMYFUNCTION("""COMPUTED_VALUE"""),218.0)</f>
        <v>218</v>
      </c>
      <c r="G2384" s="20">
        <f>IFERROR(__xludf.DUMMYFUNCTION("""COMPUTED_VALUE"""),217.0)</f>
        <v>217</v>
      </c>
      <c r="H2384" s="20" t="str">
        <f>IFERROR(__xludf.DUMMYFUNCTION("""COMPUTED_VALUE"""),"Algorithms")</f>
        <v>Algorithms</v>
      </c>
      <c r="I2384" s="20">
        <f>IFERROR(__xludf.DUMMYFUNCTION("""COMPUTED_VALUE"""),0.41)</f>
        <v>0.41</v>
      </c>
      <c r="J2384" s="20">
        <f>IFERROR(__xludf.DUMMYFUNCTION("""COMPUTED_VALUE"""),2383.0)</f>
        <v>2383</v>
      </c>
      <c r="K2384" s="20" t="b">
        <f>IFERROR(__xludf.DUMMYFUNCTION("""COMPUTED_VALUE"""),FALSE)</f>
        <v>0</v>
      </c>
      <c r="L2384" s="20" t="str">
        <f>IFERROR(__xludf.DUMMYFUNCTION("""COMPUTED_VALUE"""),"Array;Greedy;")</f>
        <v>Array;Greedy;</v>
      </c>
      <c r="M2384" s="20" t="b">
        <f>IFERROR(__xludf.DUMMYFUNCTION("""COMPUTED_VALUE"""),FALSE)</f>
        <v>0</v>
      </c>
      <c r="N2384" s="20" t="b">
        <f>IFERROR(__xludf.DUMMYFUNCTION("""COMPUTED_VALUE"""),FALSE)</f>
        <v>0</v>
      </c>
      <c r="O2384" s="20">
        <f>IFERROR(__xludf.DUMMYFUNCTION("""COMPUTED_VALUE"""),41.034237176258)</f>
        <v>41.03423718</v>
      </c>
      <c r="P2384" s="20">
        <f>IFERROR(__xludf.DUMMYFUNCTION("""COMPUTED_VALUE"""),23623.0)</f>
        <v>23623</v>
      </c>
      <c r="Q2384" s="20">
        <f>IFERROR(__xludf.DUMMYFUNCTION("""COMPUTED_VALUE"""),57569.0)</f>
        <v>57569</v>
      </c>
    </row>
    <row r="2385">
      <c r="A2385" s="20">
        <f>IFERROR(__xludf.DUMMYFUNCTION("""COMPUTED_VALUE"""),2475.0)</f>
        <v>2475</v>
      </c>
      <c r="B2385" s="20" t="str">
        <f>IFERROR(__xludf.DUMMYFUNCTION("""COMPUTED_VALUE"""),"Largest Palindromic Number")</f>
        <v>Largest Palindromic Number</v>
      </c>
      <c r="C2385" s="20" t="str">
        <f>IFERROR(__xludf.DUMMYFUNCTION("""COMPUTED_VALUE"""),"largest-palindromic-number")</f>
        <v>largest-palindromic-number</v>
      </c>
      <c r="D2385" s="20" t="b">
        <f>IFERROR(__xludf.DUMMYFUNCTION("""COMPUTED_VALUE"""),FALSE)</f>
        <v>0</v>
      </c>
      <c r="E2385" s="20" t="str">
        <f>IFERROR(__xludf.DUMMYFUNCTION("""COMPUTED_VALUE"""),"Medium")</f>
        <v>Medium</v>
      </c>
      <c r="F2385" s="20">
        <f>IFERROR(__xludf.DUMMYFUNCTION("""COMPUTED_VALUE"""),407.0)</f>
        <v>407</v>
      </c>
      <c r="G2385" s="20">
        <f>IFERROR(__xludf.DUMMYFUNCTION("""COMPUTED_VALUE"""),169.0)</f>
        <v>169</v>
      </c>
      <c r="H2385" s="20" t="str">
        <f>IFERROR(__xludf.DUMMYFUNCTION("""COMPUTED_VALUE"""),"Algorithms")</f>
        <v>Algorithms</v>
      </c>
      <c r="I2385" s="20">
        <f>IFERROR(__xludf.DUMMYFUNCTION("""COMPUTED_VALUE"""),0.308)</f>
        <v>0.308</v>
      </c>
      <c r="J2385" s="20">
        <f>IFERROR(__xludf.DUMMYFUNCTION("""COMPUTED_VALUE"""),2384.0)</f>
        <v>2384</v>
      </c>
      <c r="K2385" s="20" t="b">
        <f>IFERROR(__xludf.DUMMYFUNCTION("""COMPUTED_VALUE"""),FALSE)</f>
        <v>0</v>
      </c>
      <c r="L2385" s="20" t="str">
        <f>IFERROR(__xludf.DUMMYFUNCTION("""COMPUTED_VALUE"""),"Hash Table;String;Greedy;")</f>
        <v>Hash Table;String;Greedy;</v>
      </c>
      <c r="M2385" s="20" t="b">
        <f>IFERROR(__xludf.DUMMYFUNCTION("""COMPUTED_VALUE"""),FALSE)</f>
        <v>0</v>
      </c>
      <c r="N2385" s="20" t="b">
        <f>IFERROR(__xludf.DUMMYFUNCTION("""COMPUTED_VALUE"""),FALSE)</f>
        <v>0</v>
      </c>
      <c r="O2385" s="20">
        <f>IFERROR(__xludf.DUMMYFUNCTION("""COMPUTED_VALUE"""),30.753870830469)</f>
        <v>30.75387083</v>
      </c>
      <c r="P2385" s="20">
        <f>IFERROR(__xludf.DUMMYFUNCTION("""COMPUTED_VALUE"""),18790.0)</f>
        <v>18790</v>
      </c>
      <c r="Q2385" s="20">
        <f>IFERROR(__xludf.DUMMYFUNCTION("""COMPUTED_VALUE"""),61098.0)</f>
        <v>61098</v>
      </c>
    </row>
    <row r="2386">
      <c r="A2386" s="20">
        <f>IFERROR(__xludf.DUMMYFUNCTION("""COMPUTED_VALUE"""),2461.0)</f>
        <v>2461</v>
      </c>
      <c r="B2386" s="20" t="str">
        <f>IFERROR(__xludf.DUMMYFUNCTION("""COMPUTED_VALUE"""),"Amount of Time for Binary Tree to Be Infected")</f>
        <v>Amount of Time for Binary Tree to Be Infected</v>
      </c>
      <c r="C2386" s="20" t="str">
        <f>IFERROR(__xludf.DUMMYFUNCTION("""COMPUTED_VALUE"""),"amount-of-time-for-binary-tree-to-be-infected")</f>
        <v>amount-of-time-for-binary-tree-to-be-infected</v>
      </c>
      <c r="D2386" s="20" t="b">
        <f>IFERROR(__xludf.DUMMYFUNCTION("""COMPUTED_VALUE"""),FALSE)</f>
        <v>0</v>
      </c>
      <c r="E2386" s="20" t="str">
        <f>IFERROR(__xludf.DUMMYFUNCTION("""COMPUTED_VALUE"""),"Medium")</f>
        <v>Medium</v>
      </c>
      <c r="F2386" s="20">
        <f>IFERROR(__xludf.DUMMYFUNCTION("""COMPUTED_VALUE"""),770.0)</f>
        <v>770</v>
      </c>
      <c r="G2386" s="20">
        <f>IFERROR(__xludf.DUMMYFUNCTION("""COMPUTED_VALUE"""),11.0)</f>
        <v>11</v>
      </c>
      <c r="H2386" s="20" t="str">
        <f>IFERROR(__xludf.DUMMYFUNCTION("""COMPUTED_VALUE"""),"Algorithms")</f>
        <v>Algorithms</v>
      </c>
      <c r="I2386" s="20">
        <f>IFERROR(__xludf.DUMMYFUNCTION("""COMPUTED_VALUE"""),0.562)</f>
        <v>0.562</v>
      </c>
      <c r="J2386" s="20">
        <f>IFERROR(__xludf.DUMMYFUNCTION("""COMPUTED_VALUE"""),2385.0)</f>
        <v>2385</v>
      </c>
      <c r="K2386" s="20" t="b">
        <f>IFERROR(__xludf.DUMMYFUNCTION("""COMPUTED_VALUE"""),FALSE)</f>
        <v>0</v>
      </c>
      <c r="L2386" s="20" t="str">
        <f>IFERROR(__xludf.DUMMYFUNCTION("""COMPUTED_VALUE"""),"Tree;Depth-First Search;Breadth-First Search;Binary Tree;")</f>
        <v>Tree;Depth-First Search;Breadth-First Search;Binary Tree;</v>
      </c>
      <c r="M2386" s="20" t="b">
        <f>IFERROR(__xludf.DUMMYFUNCTION("""COMPUTED_VALUE"""),FALSE)</f>
        <v>0</v>
      </c>
      <c r="N2386" s="20" t="b">
        <f>IFERROR(__xludf.DUMMYFUNCTION("""COMPUTED_VALUE"""),FALSE)</f>
        <v>0</v>
      </c>
      <c r="O2386" s="20">
        <f>IFERROR(__xludf.DUMMYFUNCTION("""COMPUTED_VALUE"""),56.2087649849799)</f>
        <v>56.20876498</v>
      </c>
      <c r="P2386" s="20">
        <f>IFERROR(__xludf.DUMMYFUNCTION("""COMPUTED_VALUE"""),20021.0)</f>
        <v>20021</v>
      </c>
      <c r="Q2386" s="20">
        <f>IFERROR(__xludf.DUMMYFUNCTION("""COMPUTED_VALUE"""),35619.0)</f>
        <v>35619</v>
      </c>
    </row>
    <row r="2387">
      <c r="A2387" s="20">
        <f>IFERROR(__xludf.DUMMYFUNCTION("""COMPUTED_VALUE"""),2462.0)</f>
        <v>2462</v>
      </c>
      <c r="B2387" s="20" t="str">
        <f>IFERROR(__xludf.DUMMYFUNCTION("""COMPUTED_VALUE"""),"Find the K-Sum of an Array")</f>
        <v>Find the K-Sum of an Array</v>
      </c>
      <c r="C2387" s="20" t="str">
        <f>IFERROR(__xludf.DUMMYFUNCTION("""COMPUTED_VALUE"""),"find-the-k-sum-of-an-array")</f>
        <v>find-the-k-sum-of-an-array</v>
      </c>
      <c r="D2387" s="20" t="b">
        <f>IFERROR(__xludf.DUMMYFUNCTION("""COMPUTED_VALUE"""),FALSE)</f>
        <v>0</v>
      </c>
      <c r="E2387" s="20" t="str">
        <f>IFERROR(__xludf.DUMMYFUNCTION("""COMPUTED_VALUE"""),"Hard")</f>
        <v>Hard</v>
      </c>
      <c r="F2387" s="20">
        <f>IFERROR(__xludf.DUMMYFUNCTION("""COMPUTED_VALUE"""),420.0)</f>
        <v>420</v>
      </c>
      <c r="G2387" s="20">
        <f>IFERROR(__xludf.DUMMYFUNCTION("""COMPUTED_VALUE"""),12.0)</f>
        <v>12</v>
      </c>
      <c r="H2387" s="20" t="str">
        <f>IFERROR(__xludf.DUMMYFUNCTION("""COMPUTED_VALUE"""),"Algorithms")</f>
        <v>Algorithms</v>
      </c>
      <c r="I2387" s="20">
        <f>IFERROR(__xludf.DUMMYFUNCTION("""COMPUTED_VALUE"""),0.381)</f>
        <v>0.381</v>
      </c>
      <c r="J2387" s="20">
        <f>IFERROR(__xludf.DUMMYFUNCTION("""COMPUTED_VALUE"""),2386.0)</f>
        <v>2386</v>
      </c>
      <c r="K2387" s="20" t="b">
        <f>IFERROR(__xludf.DUMMYFUNCTION("""COMPUTED_VALUE"""),FALSE)</f>
        <v>0</v>
      </c>
      <c r="L2387" s="20" t="str">
        <f>IFERROR(__xludf.DUMMYFUNCTION("""COMPUTED_VALUE"""),"Array;Sorting;Heap (Priority Queue);")</f>
        <v>Array;Sorting;Heap (Priority Queue);</v>
      </c>
      <c r="M2387" s="20" t="b">
        <f>IFERROR(__xludf.DUMMYFUNCTION("""COMPUTED_VALUE"""),FALSE)</f>
        <v>0</v>
      </c>
      <c r="N2387" s="20" t="b">
        <f>IFERROR(__xludf.DUMMYFUNCTION("""COMPUTED_VALUE"""),FALSE)</f>
        <v>0</v>
      </c>
      <c r="O2387" s="20">
        <f>IFERROR(__xludf.DUMMYFUNCTION("""COMPUTED_VALUE"""),38.1200734901914)</f>
        <v>38.12007349</v>
      </c>
      <c r="P2387" s="20">
        <f>IFERROR(__xludf.DUMMYFUNCTION("""COMPUTED_VALUE"""),6432.0)</f>
        <v>6432</v>
      </c>
      <c r="Q2387" s="20">
        <f>IFERROR(__xludf.DUMMYFUNCTION("""COMPUTED_VALUE"""),16873.0)</f>
        <v>16873</v>
      </c>
    </row>
    <row r="2388">
      <c r="A2388" s="20">
        <f>IFERROR(__xludf.DUMMYFUNCTION("""COMPUTED_VALUE"""),2522.0)</f>
        <v>2522</v>
      </c>
      <c r="B2388" s="20" t="str">
        <f>IFERROR(__xludf.DUMMYFUNCTION("""COMPUTED_VALUE"""),"Median of a Row Wise Sorted Matrix")</f>
        <v>Median of a Row Wise Sorted Matrix</v>
      </c>
      <c r="C2388" s="20" t="str">
        <f>IFERROR(__xludf.DUMMYFUNCTION("""COMPUTED_VALUE"""),"median-of-a-row-wise-sorted-matrix")</f>
        <v>median-of-a-row-wise-sorted-matrix</v>
      </c>
      <c r="D2388" s="20" t="b">
        <f>IFERROR(__xludf.DUMMYFUNCTION("""COMPUTED_VALUE"""),TRUE)</f>
        <v>1</v>
      </c>
      <c r="E2388" s="20" t="str">
        <f>IFERROR(__xludf.DUMMYFUNCTION("""COMPUTED_VALUE"""),"Medium")</f>
        <v>Medium</v>
      </c>
      <c r="F2388" s="20">
        <f>IFERROR(__xludf.DUMMYFUNCTION("""COMPUTED_VALUE"""),34.0)</f>
        <v>34</v>
      </c>
      <c r="G2388" s="20">
        <f>IFERROR(__xludf.DUMMYFUNCTION("""COMPUTED_VALUE"""),3.0)</f>
        <v>3</v>
      </c>
      <c r="H2388" s="20" t="str">
        <f>IFERROR(__xludf.DUMMYFUNCTION("""COMPUTED_VALUE"""),"Algorithms")</f>
        <v>Algorithms</v>
      </c>
      <c r="I2388" s="20">
        <f>IFERROR(__xludf.DUMMYFUNCTION("""COMPUTED_VALUE"""),0.671)</f>
        <v>0.671</v>
      </c>
      <c r="J2388" s="20">
        <f>IFERROR(__xludf.DUMMYFUNCTION("""COMPUTED_VALUE"""),2387.0)</f>
        <v>2387</v>
      </c>
      <c r="K2388" s="20" t="b">
        <f>IFERROR(__xludf.DUMMYFUNCTION("""COMPUTED_VALUE"""),TRUE)</f>
        <v>1</v>
      </c>
      <c r="L2388" s="20" t="str">
        <f>IFERROR(__xludf.DUMMYFUNCTION("""COMPUTED_VALUE"""),"Array;Binary Search;Matrix;")</f>
        <v>Array;Binary Search;Matrix;</v>
      </c>
      <c r="M2388" s="20" t="b">
        <f>IFERROR(__xludf.DUMMYFUNCTION("""COMPUTED_VALUE"""),FALSE)</f>
        <v>0</v>
      </c>
      <c r="N2388" s="20" t="b">
        <f>IFERROR(__xludf.DUMMYFUNCTION("""COMPUTED_VALUE"""),FALSE)</f>
        <v>0</v>
      </c>
      <c r="O2388" s="20">
        <f>IFERROR(__xludf.DUMMYFUNCTION("""COMPUTED_VALUE"""),67.0877659574468)</f>
        <v>67.08776596</v>
      </c>
      <c r="P2388" s="20">
        <f>IFERROR(__xludf.DUMMYFUNCTION("""COMPUTED_VALUE"""),1009.0)</f>
        <v>1009</v>
      </c>
      <c r="Q2388" s="20">
        <f>IFERROR(__xludf.DUMMYFUNCTION("""COMPUTED_VALUE"""),1504.0)</f>
        <v>1504</v>
      </c>
    </row>
    <row r="2389">
      <c r="A2389" s="20">
        <f>IFERROR(__xludf.DUMMYFUNCTION("""COMPUTED_VALUE"""),2523.0)</f>
        <v>2523</v>
      </c>
      <c r="B2389" s="20" t="str">
        <f>IFERROR(__xludf.DUMMYFUNCTION("""COMPUTED_VALUE"""),"Change Null Values in a Table to the Previous Value")</f>
        <v>Change Null Values in a Table to the Previous Value</v>
      </c>
      <c r="C2389" s="20" t="str">
        <f>IFERROR(__xludf.DUMMYFUNCTION("""COMPUTED_VALUE"""),"change-null-values-in-a-table-to-the-previous-value")</f>
        <v>change-null-values-in-a-table-to-the-previous-value</v>
      </c>
      <c r="D2389" s="20" t="b">
        <f>IFERROR(__xludf.DUMMYFUNCTION("""COMPUTED_VALUE"""),TRUE)</f>
        <v>1</v>
      </c>
      <c r="E2389" s="20" t="str">
        <f>IFERROR(__xludf.DUMMYFUNCTION("""COMPUTED_VALUE"""),"Medium")</f>
        <v>Medium</v>
      </c>
      <c r="F2389" s="20">
        <f>IFERROR(__xludf.DUMMYFUNCTION("""COMPUTED_VALUE"""),31.0)</f>
        <v>31</v>
      </c>
      <c r="G2389" s="20">
        <f>IFERROR(__xludf.DUMMYFUNCTION("""COMPUTED_VALUE"""),10.0)</f>
        <v>10</v>
      </c>
      <c r="H2389" s="20" t="str">
        <f>IFERROR(__xludf.DUMMYFUNCTION("""COMPUTED_VALUE"""),"Database")</f>
        <v>Database</v>
      </c>
      <c r="I2389" s="20">
        <f>IFERROR(__xludf.DUMMYFUNCTION("""COMPUTED_VALUE"""),0.727)</f>
        <v>0.727</v>
      </c>
      <c r="J2389" s="20">
        <f>IFERROR(__xludf.DUMMYFUNCTION("""COMPUTED_VALUE"""),2388.0)</f>
        <v>2388</v>
      </c>
      <c r="K2389" s="20" t="b">
        <f>IFERROR(__xludf.DUMMYFUNCTION("""COMPUTED_VALUE"""),TRUE)</f>
        <v>1</v>
      </c>
      <c r="L2389" s="20" t="str">
        <f>IFERROR(__xludf.DUMMYFUNCTION("""COMPUTED_VALUE"""),"Database;")</f>
        <v>Database;</v>
      </c>
      <c r="M2389" s="20" t="b">
        <f>IFERROR(__xludf.DUMMYFUNCTION("""COMPUTED_VALUE"""),FALSE)</f>
        <v>0</v>
      </c>
      <c r="N2389" s="20" t="b">
        <f>IFERROR(__xludf.DUMMYFUNCTION("""COMPUTED_VALUE"""),FALSE)</f>
        <v>0</v>
      </c>
      <c r="O2389" s="20">
        <f>IFERROR(__xludf.DUMMYFUNCTION("""COMPUTED_VALUE"""),72.65625)</f>
        <v>72.65625</v>
      </c>
      <c r="P2389" s="20">
        <f>IFERROR(__xludf.DUMMYFUNCTION("""COMPUTED_VALUE"""),1116.0)</f>
        <v>1116</v>
      </c>
      <c r="Q2389" s="20">
        <f>IFERROR(__xludf.DUMMYFUNCTION("""COMPUTED_VALUE"""),1536.0)</f>
        <v>1536</v>
      </c>
    </row>
    <row r="2390">
      <c r="A2390" s="20">
        <f>IFERROR(__xludf.DUMMYFUNCTION("""COMPUTED_VALUE"""),2469.0)</f>
        <v>2469</v>
      </c>
      <c r="B2390" s="20" t="str">
        <f>IFERROR(__xludf.DUMMYFUNCTION("""COMPUTED_VALUE"""),"Longest Subsequence With Limited Sum")</f>
        <v>Longest Subsequence With Limited Sum</v>
      </c>
      <c r="C2390" s="20" t="str">
        <f>IFERROR(__xludf.DUMMYFUNCTION("""COMPUTED_VALUE"""),"longest-subsequence-with-limited-sum")</f>
        <v>longest-subsequence-with-limited-sum</v>
      </c>
      <c r="D2390" s="20" t="b">
        <f>IFERROR(__xludf.DUMMYFUNCTION("""COMPUTED_VALUE"""),FALSE)</f>
        <v>0</v>
      </c>
      <c r="E2390" s="20" t="str">
        <f>IFERROR(__xludf.DUMMYFUNCTION("""COMPUTED_VALUE"""),"Easy")</f>
        <v>Easy</v>
      </c>
      <c r="F2390" s="20">
        <f>IFERROR(__xludf.DUMMYFUNCTION("""COMPUTED_VALUE"""),447.0)</f>
        <v>447</v>
      </c>
      <c r="G2390" s="20">
        <f>IFERROR(__xludf.DUMMYFUNCTION("""COMPUTED_VALUE"""),55.0)</f>
        <v>55</v>
      </c>
      <c r="H2390" s="20" t="str">
        <f>IFERROR(__xludf.DUMMYFUNCTION("""COMPUTED_VALUE"""),"Algorithms")</f>
        <v>Algorithms</v>
      </c>
      <c r="I2390" s="20">
        <f>IFERROR(__xludf.DUMMYFUNCTION("""COMPUTED_VALUE"""),0.651)</f>
        <v>0.651</v>
      </c>
      <c r="J2390" s="20">
        <f>IFERROR(__xludf.DUMMYFUNCTION("""COMPUTED_VALUE"""),2389.0)</f>
        <v>2389</v>
      </c>
      <c r="K2390" s="20" t="b">
        <f>IFERROR(__xludf.DUMMYFUNCTION("""COMPUTED_VALUE"""),FALSE)</f>
        <v>0</v>
      </c>
      <c r="L2390" s="20" t="str">
        <f>IFERROR(__xludf.DUMMYFUNCTION("""COMPUTED_VALUE"""),"Array;Binary Search;Greedy;Sorting;Prefix Sum;")</f>
        <v>Array;Binary Search;Greedy;Sorting;Prefix Sum;</v>
      </c>
      <c r="M2390" s="20" t="b">
        <f>IFERROR(__xludf.DUMMYFUNCTION("""COMPUTED_VALUE"""),TRUE)</f>
        <v>1</v>
      </c>
      <c r="N2390" s="20" t="b">
        <f>IFERROR(__xludf.DUMMYFUNCTION("""COMPUTED_VALUE"""),FALSE)</f>
        <v>0</v>
      </c>
      <c r="O2390" s="20">
        <f>IFERROR(__xludf.DUMMYFUNCTION("""COMPUTED_VALUE"""),65.0509525919362)</f>
        <v>65.05095259</v>
      </c>
      <c r="P2390" s="20">
        <f>IFERROR(__xludf.DUMMYFUNCTION("""COMPUTED_VALUE"""),29363.0)</f>
        <v>29363</v>
      </c>
      <c r="Q2390" s="20">
        <f>IFERROR(__xludf.DUMMYFUNCTION("""COMPUTED_VALUE"""),45132.0)</f>
        <v>45132</v>
      </c>
    </row>
    <row r="2391">
      <c r="A2391" s="20">
        <f>IFERROR(__xludf.DUMMYFUNCTION("""COMPUTED_VALUE"""),2470.0)</f>
        <v>2470</v>
      </c>
      <c r="B2391" s="20" t="str">
        <f>IFERROR(__xludf.DUMMYFUNCTION("""COMPUTED_VALUE"""),"Removing Stars From a String")</f>
        <v>Removing Stars From a String</v>
      </c>
      <c r="C2391" s="20" t="str">
        <f>IFERROR(__xludf.DUMMYFUNCTION("""COMPUTED_VALUE"""),"removing-stars-from-a-string")</f>
        <v>removing-stars-from-a-string</v>
      </c>
      <c r="D2391" s="20" t="b">
        <f>IFERROR(__xludf.DUMMYFUNCTION("""COMPUTED_VALUE"""),FALSE)</f>
        <v>0</v>
      </c>
      <c r="E2391" s="20" t="str">
        <f>IFERROR(__xludf.DUMMYFUNCTION("""COMPUTED_VALUE"""),"Medium")</f>
        <v>Medium</v>
      </c>
      <c r="F2391" s="20">
        <f>IFERROR(__xludf.DUMMYFUNCTION("""COMPUTED_VALUE"""),540.0)</f>
        <v>540</v>
      </c>
      <c r="G2391" s="20">
        <f>IFERROR(__xludf.DUMMYFUNCTION("""COMPUTED_VALUE"""),30.0)</f>
        <v>30</v>
      </c>
      <c r="H2391" s="20" t="str">
        <f>IFERROR(__xludf.DUMMYFUNCTION("""COMPUTED_VALUE"""),"Algorithms")</f>
        <v>Algorithms</v>
      </c>
      <c r="I2391" s="20">
        <f>IFERROR(__xludf.DUMMYFUNCTION("""COMPUTED_VALUE"""),0.643)</f>
        <v>0.643</v>
      </c>
      <c r="J2391" s="20">
        <f>IFERROR(__xludf.DUMMYFUNCTION("""COMPUTED_VALUE"""),2390.0)</f>
        <v>2390</v>
      </c>
      <c r="K2391" s="20" t="b">
        <f>IFERROR(__xludf.DUMMYFUNCTION("""COMPUTED_VALUE"""),FALSE)</f>
        <v>0</v>
      </c>
      <c r="L2391" s="20" t="str">
        <f>IFERROR(__xludf.DUMMYFUNCTION("""COMPUTED_VALUE"""),"String;Stack;Simulation;")</f>
        <v>String;Stack;Simulation;</v>
      </c>
      <c r="M2391" s="20" t="b">
        <f>IFERROR(__xludf.DUMMYFUNCTION("""COMPUTED_VALUE"""),FALSE)</f>
        <v>0</v>
      </c>
      <c r="N2391" s="20" t="b">
        <f>IFERROR(__xludf.DUMMYFUNCTION("""COMPUTED_VALUE"""),FALSE)</f>
        <v>0</v>
      </c>
      <c r="O2391" s="20">
        <f>IFERROR(__xludf.DUMMYFUNCTION("""COMPUTED_VALUE"""),64.2579612981868)</f>
        <v>64.2579613</v>
      </c>
      <c r="P2391" s="20">
        <f>IFERROR(__xludf.DUMMYFUNCTION("""COMPUTED_VALUE"""),33738.0)</f>
        <v>33738</v>
      </c>
      <c r="Q2391" s="20">
        <f>IFERROR(__xludf.DUMMYFUNCTION("""COMPUTED_VALUE"""),52504.0)</f>
        <v>52504</v>
      </c>
    </row>
    <row r="2392">
      <c r="A2392" s="20">
        <f>IFERROR(__xludf.DUMMYFUNCTION("""COMPUTED_VALUE"""),2471.0)</f>
        <v>2471</v>
      </c>
      <c r="B2392" s="20" t="str">
        <f>IFERROR(__xludf.DUMMYFUNCTION("""COMPUTED_VALUE"""),"Minimum Amount of Time to Collect Garbage")</f>
        <v>Minimum Amount of Time to Collect Garbage</v>
      </c>
      <c r="C2392" s="20" t="str">
        <f>IFERROR(__xludf.DUMMYFUNCTION("""COMPUTED_VALUE"""),"minimum-amount-of-time-to-collect-garbage")</f>
        <v>minimum-amount-of-time-to-collect-garbage</v>
      </c>
      <c r="D2392" s="20" t="b">
        <f>IFERROR(__xludf.DUMMYFUNCTION("""COMPUTED_VALUE"""),FALSE)</f>
        <v>0</v>
      </c>
      <c r="E2392" s="20" t="str">
        <f>IFERROR(__xludf.DUMMYFUNCTION("""COMPUTED_VALUE"""),"Medium")</f>
        <v>Medium</v>
      </c>
      <c r="F2392" s="20">
        <f>IFERROR(__xludf.DUMMYFUNCTION("""COMPUTED_VALUE"""),431.0)</f>
        <v>431</v>
      </c>
      <c r="G2392" s="20">
        <f>IFERROR(__xludf.DUMMYFUNCTION("""COMPUTED_VALUE"""),46.0)</f>
        <v>46</v>
      </c>
      <c r="H2392" s="20" t="str">
        <f>IFERROR(__xludf.DUMMYFUNCTION("""COMPUTED_VALUE"""),"Algorithms")</f>
        <v>Algorithms</v>
      </c>
      <c r="I2392" s="20">
        <f>IFERROR(__xludf.DUMMYFUNCTION("""COMPUTED_VALUE"""),0.85)</f>
        <v>0.85</v>
      </c>
      <c r="J2392" s="20">
        <f>IFERROR(__xludf.DUMMYFUNCTION("""COMPUTED_VALUE"""),2391.0)</f>
        <v>2391</v>
      </c>
      <c r="K2392" s="20" t="b">
        <f>IFERROR(__xludf.DUMMYFUNCTION("""COMPUTED_VALUE"""),FALSE)</f>
        <v>0</v>
      </c>
      <c r="L2392" s="20" t="str">
        <f>IFERROR(__xludf.DUMMYFUNCTION("""COMPUTED_VALUE"""),"Array;String;Prefix Sum;")</f>
        <v>Array;String;Prefix Sum;</v>
      </c>
      <c r="M2392" s="20" t="b">
        <f>IFERROR(__xludf.DUMMYFUNCTION("""COMPUTED_VALUE"""),FALSE)</f>
        <v>0</v>
      </c>
      <c r="N2392" s="20" t="b">
        <f>IFERROR(__xludf.DUMMYFUNCTION("""COMPUTED_VALUE"""),FALSE)</f>
        <v>0</v>
      </c>
      <c r="O2392" s="20">
        <f>IFERROR(__xludf.DUMMYFUNCTION("""COMPUTED_VALUE"""),85.0421564403963)</f>
        <v>85.04215644</v>
      </c>
      <c r="P2392" s="20">
        <f>IFERROR(__xludf.DUMMYFUNCTION("""COMPUTED_VALUE"""),27636.0)</f>
        <v>27636</v>
      </c>
      <c r="Q2392" s="20">
        <f>IFERROR(__xludf.DUMMYFUNCTION("""COMPUTED_VALUE"""),32497.0)</f>
        <v>32497</v>
      </c>
    </row>
    <row r="2393">
      <c r="A2393" s="20">
        <f>IFERROR(__xludf.DUMMYFUNCTION("""COMPUTED_VALUE"""),2472.0)</f>
        <v>2472</v>
      </c>
      <c r="B2393" s="20" t="str">
        <f>IFERROR(__xludf.DUMMYFUNCTION("""COMPUTED_VALUE"""),"Build a Matrix With Conditions")</f>
        <v>Build a Matrix With Conditions</v>
      </c>
      <c r="C2393" s="20" t="str">
        <f>IFERROR(__xludf.DUMMYFUNCTION("""COMPUTED_VALUE"""),"build-a-matrix-with-conditions")</f>
        <v>build-a-matrix-with-conditions</v>
      </c>
      <c r="D2393" s="20" t="b">
        <f>IFERROR(__xludf.DUMMYFUNCTION("""COMPUTED_VALUE"""),FALSE)</f>
        <v>0</v>
      </c>
      <c r="E2393" s="20" t="str">
        <f>IFERROR(__xludf.DUMMYFUNCTION("""COMPUTED_VALUE"""),"Hard")</f>
        <v>Hard</v>
      </c>
      <c r="F2393" s="20">
        <f>IFERROR(__xludf.DUMMYFUNCTION("""COMPUTED_VALUE"""),579.0)</f>
        <v>579</v>
      </c>
      <c r="G2393" s="20">
        <f>IFERROR(__xludf.DUMMYFUNCTION("""COMPUTED_VALUE"""),3.0)</f>
        <v>3</v>
      </c>
      <c r="H2393" s="20" t="str">
        <f>IFERROR(__xludf.DUMMYFUNCTION("""COMPUTED_VALUE"""),"Algorithms")</f>
        <v>Algorithms</v>
      </c>
      <c r="I2393" s="20">
        <f>IFERROR(__xludf.DUMMYFUNCTION("""COMPUTED_VALUE"""),0.593)</f>
        <v>0.593</v>
      </c>
      <c r="J2393" s="20">
        <f>IFERROR(__xludf.DUMMYFUNCTION("""COMPUTED_VALUE"""),2392.0)</f>
        <v>2392</v>
      </c>
      <c r="K2393" s="20" t="b">
        <f>IFERROR(__xludf.DUMMYFUNCTION("""COMPUTED_VALUE"""),FALSE)</f>
        <v>0</v>
      </c>
      <c r="L2393" s="20" t="str">
        <f>IFERROR(__xludf.DUMMYFUNCTION("""COMPUTED_VALUE"""),"Array;Graph;Topological Sort;Matrix;")</f>
        <v>Array;Graph;Topological Sort;Matrix;</v>
      </c>
      <c r="M2393" s="20" t="b">
        <f>IFERROR(__xludf.DUMMYFUNCTION("""COMPUTED_VALUE"""),FALSE)</f>
        <v>0</v>
      </c>
      <c r="N2393" s="20" t="b">
        <f>IFERROR(__xludf.DUMMYFUNCTION("""COMPUTED_VALUE"""),FALSE)</f>
        <v>0</v>
      </c>
      <c r="O2393" s="20">
        <f>IFERROR(__xludf.DUMMYFUNCTION("""COMPUTED_VALUE"""),59.2767749005132)</f>
        <v>59.2767749</v>
      </c>
      <c r="P2393" s="20">
        <f>IFERROR(__xludf.DUMMYFUNCTION("""COMPUTED_VALUE"""),10278.0)</f>
        <v>10278</v>
      </c>
      <c r="Q2393" s="20">
        <f>IFERROR(__xludf.DUMMYFUNCTION("""COMPUTED_VALUE"""),17337.0)</f>
        <v>17337</v>
      </c>
    </row>
    <row r="2394">
      <c r="A2394" s="20">
        <f>IFERROR(__xludf.DUMMYFUNCTION("""COMPUTED_VALUE"""),2535.0)</f>
        <v>2535</v>
      </c>
      <c r="B2394" s="20" t="str">
        <f>IFERROR(__xludf.DUMMYFUNCTION("""COMPUTED_VALUE"""),"Count Strictly Increasing Subarrays")</f>
        <v>Count Strictly Increasing Subarrays</v>
      </c>
      <c r="C2394" s="20" t="str">
        <f>IFERROR(__xludf.DUMMYFUNCTION("""COMPUTED_VALUE"""),"count-strictly-increasing-subarrays")</f>
        <v>count-strictly-increasing-subarrays</v>
      </c>
      <c r="D2394" s="20" t="b">
        <f>IFERROR(__xludf.DUMMYFUNCTION("""COMPUTED_VALUE"""),TRUE)</f>
        <v>1</v>
      </c>
      <c r="E2394" s="20" t="str">
        <f>IFERROR(__xludf.DUMMYFUNCTION("""COMPUTED_VALUE"""),"Medium")</f>
        <v>Medium</v>
      </c>
      <c r="F2394" s="20">
        <f>IFERROR(__xludf.DUMMYFUNCTION("""COMPUTED_VALUE"""),55.0)</f>
        <v>55</v>
      </c>
      <c r="G2394" s="20">
        <f>IFERROR(__xludf.DUMMYFUNCTION("""COMPUTED_VALUE"""),0.0)</f>
        <v>0</v>
      </c>
      <c r="H2394" s="20" t="str">
        <f>IFERROR(__xludf.DUMMYFUNCTION("""COMPUTED_VALUE"""),"Algorithms")</f>
        <v>Algorithms</v>
      </c>
      <c r="I2394" s="20">
        <f>IFERROR(__xludf.DUMMYFUNCTION("""COMPUTED_VALUE"""),0.742)</f>
        <v>0.742</v>
      </c>
      <c r="J2394" s="20">
        <f>IFERROR(__xludf.DUMMYFUNCTION("""COMPUTED_VALUE"""),2393.0)</f>
        <v>2393</v>
      </c>
      <c r="K2394" s="20" t="b">
        <f>IFERROR(__xludf.DUMMYFUNCTION("""COMPUTED_VALUE"""),TRUE)</f>
        <v>1</v>
      </c>
      <c r="L2394" s="20" t="str">
        <f>IFERROR(__xludf.DUMMYFUNCTION("""COMPUTED_VALUE"""),"Array;Math;Dynamic Programming;")</f>
        <v>Array;Math;Dynamic Programming;</v>
      </c>
      <c r="M2394" s="20" t="b">
        <f>IFERROR(__xludf.DUMMYFUNCTION("""COMPUTED_VALUE"""),FALSE)</f>
        <v>0</v>
      </c>
      <c r="N2394" s="20" t="b">
        <f>IFERROR(__xludf.DUMMYFUNCTION("""COMPUTED_VALUE"""),FALSE)</f>
        <v>0</v>
      </c>
      <c r="O2394" s="20">
        <f>IFERROR(__xludf.DUMMYFUNCTION("""COMPUTED_VALUE"""),74.2476354256233)</f>
        <v>74.24763543</v>
      </c>
      <c r="P2394" s="20">
        <f>IFERROR(__xludf.DUMMYFUNCTION("""COMPUTED_VALUE"""),1727.0)</f>
        <v>1727</v>
      </c>
      <c r="Q2394" s="20">
        <f>IFERROR(__xludf.DUMMYFUNCTION("""COMPUTED_VALUE"""),2326.0)</f>
        <v>2326</v>
      </c>
    </row>
    <row r="2395">
      <c r="A2395" s="20">
        <f>IFERROR(__xludf.DUMMYFUNCTION("""COMPUTED_VALUE"""),2534.0)</f>
        <v>2534</v>
      </c>
      <c r="B2395" s="20" t="str">
        <f>IFERROR(__xludf.DUMMYFUNCTION("""COMPUTED_VALUE"""),"Employees With Deductions")</f>
        <v>Employees With Deductions</v>
      </c>
      <c r="C2395" s="20" t="str">
        <f>IFERROR(__xludf.DUMMYFUNCTION("""COMPUTED_VALUE"""),"employees-with-deductions")</f>
        <v>employees-with-deductions</v>
      </c>
      <c r="D2395" s="20" t="b">
        <f>IFERROR(__xludf.DUMMYFUNCTION("""COMPUTED_VALUE"""),TRUE)</f>
        <v>1</v>
      </c>
      <c r="E2395" s="20" t="str">
        <f>IFERROR(__xludf.DUMMYFUNCTION("""COMPUTED_VALUE"""),"Medium")</f>
        <v>Medium</v>
      </c>
      <c r="F2395" s="20">
        <f>IFERROR(__xludf.DUMMYFUNCTION("""COMPUTED_VALUE"""),13.0)</f>
        <v>13</v>
      </c>
      <c r="G2395" s="20">
        <f>IFERROR(__xludf.DUMMYFUNCTION("""COMPUTED_VALUE"""),19.0)</f>
        <v>19</v>
      </c>
      <c r="H2395" s="20" t="str">
        <f>IFERROR(__xludf.DUMMYFUNCTION("""COMPUTED_VALUE"""),"Database")</f>
        <v>Database</v>
      </c>
      <c r="I2395" s="20">
        <f>IFERROR(__xludf.DUMMYFUNCTION("""COMPUTED_VALUE"""),0.462)</f>
        <v>0.462</v>
      </c>
      <c r="J2395" s="20">
        <f>IFERROR(__xludf.DUMMYFUNCTION("""COMPUTED_VALUE"""),2394.0)</f>
        <v>2394</v>
      </c>
      <c r="K2395" s="20" t="b">
        <f>IFERROR(__xludf.DUMMYFUNCTION("""COMPUTED_VALUE"""),TRUE)</f>
        <v>1</v>
      </c>
      <c r="L2395" s="20" t="str">
        <f>IFERROR(__xludf.DUMMYFUNCTION("""COMPUTED_VALUE"""),"Database;")</f>
        <v>Database;</v>
      </c>
      <c r="M2395" s="20" t="b">
        <f>IFERROR(__xludf.DUMMYFUNCTION("""COMPUTED_VALUE"""),FALSE)</f>
        <v>0</v>
      </c>
      <c r="N2395" s="20" t="b">
        <f>IFERROR(__xludf.DUMMYFUNCTION("""COMPUTED_VALUE"""),FALSE)</f>
        <v>0</v>
      </c>
      <c r="O2395" s="20">
        <f>IFERROR(__xludf.DUMMYFUNCTION("""COMPUTED_VALUE"""),46.2462462462462)</f>
        <v>46.24624625</v>
      </c>
      <c r="P2395" s="20">
        <f>IFERROR(__xludf.DUMMYFUNCTION("""COMPUTED_VALUE"""),1232.0)</f>
        <v>1232</v>
      </c>
      <c r="Q2395" s="20">
        <f>IFERROR(__xludf.DUMMYFUNCTION("""COMPUTED_VALUE"""),2664.0)</f>
        <v>2664</v>
      </c>
    </row>
    <row r="2396">
      <c r="A2396" s="20">
        <f>IFERROR(__xludf.DUMMYFUNCTION("""COMPUTED_VALUE"""),2480.0)</f>
        <v>2480</v>
      </c>
      <c r="B2396" s="20" t="str">
        <f>IFERROR(__xludf.DUMMYFUNCTION("""COMPUTED_VALUE"""),"Find Subarrays With Equal Sum")</f>
        <v>Find Subarrays With Equal Sum</v>
      </c>
      <c r="C2396" s="20" t="str">
        <f>IFERROR(__xludf.DUMMYFUNCTION("""COMPUTED_VALUE"""),"find-subarrays-with-equal-sum")</f>
        <v>find-subarrays-with-equal-sum</v>
      </c>
      <c r="D2396" s="20" t="b">
        <f>IFERROR(__xludf.DUMMYFUNCTION("""COMPUTED_VALUE"""),FALSE)</f>
        <v>0</v>
      </c>
      <c r="E2396" s="20" t="str">
        <f>IFERROR(__xludf.DUMMYFUNCTION("""COMPUTED_VALUE"""),"Easy")</f>
        <v>Easy</v>
      </c>
      <c r="F2396" s="20">
        <f>IFERROR(__xludf.DUMMYFUNCTION("""COMPUTED_VALUE"""),284.0)</f>
        <v>284</v>
      </c>
      <c r="G2396" s="20">
        <f>IFERROR(__xludf.DUMMYFUNCTION("""COMPUTED_VALUE"""),12.0)</f>
        <v>12</v>
      </c>
      <c r="H2396" s="20" t="str">
        <f>IFERROR(__xludf.DUMMYFUNCTION("""COMPUTED_VALUE"""),"Algorithms")</f>
        <v>Algorithms</v>
      </c>
      <c r="I2396" s="20">
        <f>IFERROR(__xludf.DUMMYFUNCTION("""COMPUTED_VALUE"""),0.641)</f>
        <v>0.641</v>
      </c>
      <c r="J2396" s="20">
        <f>IFERROR(__xludf.DUMMYFUNCTION("""COMPUTED_VALUE"""),2395.0)</f>
        <v>2395</v>
      </c>
      <c r="K2396" s="20" t="b">
        <f>IFERROR(__xludf.DUMMYFUNCTION("""COMPUTED_VALUE"""),FALSE)</f>
        <v>0</v>
      </c>
      <c r="L2396" s="20" t="str">
        <f>IFERROR(__xludf.DUMMYFUNCTION("""COMPUTED_VALUE"""),"Array;Hash Table;")</f>
        <v>Array;Hash Table;</v>
      </c>
      <c r="M2396" s="20" t="b">
        <f>IFERROR(__xludf.DUMMYFUNCTION("""COMPUTED_VALUE"""),FALSE)</f>
        <v>0</v>
      </c>
      <c r="N2396" s="20" t="b">
        <f>IFERROR(__xludf.DUMMYFUNCTION("""COMPUTED_VALUE"""),FALSE)</f>
        <v>0</v>
      </c>
      <c r="O2396" s="20">
        <f>IFERROR(__xludf.DUMMYFUNCTION("""COMPUTED_VALUE"""),64.0951816411211)</f>
        <v>64.09518164</v>
      </c>
      <c r="P2396" s="20">
        <f>IFERROR(__xludf.DUMMYFUNCTION("""COMPUTED_VALUE"""),30275.0)</f>
        <v>30275</v>
      </c>
      <c r="Q2396" s="20">
        <f>IFERROR(__xludf.DUMMYFUNCTION("""COMPUTED_VALUE"""),47232.0)</f>
        <v>47232</v>
      </c>
    </row>
    <row r="2397">
      <c r="A2397" s="20">
        <f>IFERROR(__xludf.DUMMYFUNCTION("""COMPUTED_VALUE"""),2481.0)</f>
        <v>2481</v>
      </c>
      <c r="B2397" s="20" t="str">
        <f>IFERROR(__xludf.DUMMYFUNCTION("""COMPUTED_VALUE"""),"Strictly Palindromic Number")</f>
        <v>Strictly Palindromic Number</v>
      </c>
      <c r="C2397" s="20" t="str">
        <f>IFERROR(__xludf.DUMMYFUNCTION("""COMPUTED_VALUE"""),"strictly-palindromic-number")</f>
        <v>strictly-palindromic-number</v>
      </c>
      <c r="D2397" s="20" t="b">
        <f>IFERROR(__xludf.DUMMYFUNCTION("""COMPUTED_VALUE"""),FALSE)</f>
        <v>0</v>
      </c>
      <c r="E2397" s="20" t="str">
        <f>IFERROR(__xludf.DUMMYFUNCTION("""COMPUTED_VALUE"""),"Medium")</f>
        <v>Medium</v>
      </c>
      <c r="F2397" s="20">
        <f>IFERROR(__xludf.DUMMYFUNCTION("""COMPUTED_VALUE"""),257.0)</f>
        <v>257</v>
      </c>
      <c r="G2397" s="20">
        <f>IFERROR(__xludf.DUMMYFUNCTION("""COMPUTED_VALUE"""),690.0)</f>
        <v>690</v>
      </c>
      <c r="H2397" s="20" t="str">
        <f>IFERROR(__xludf.DUMMYFUNCTION("""COMPUTED_VALUE"""),"Algorithms")</f>
        <v>Algorithms</v>
      </c>
      <c r="I2397" s="20">
        <f>IFERROR(__xludf.DUMMYFUNCTION("""COMPUTED_VALUE"""),0.878)</f>
        <v>0.878</v>
      </c>
      <c r="J2397" s="20">
        <f>IFERROR(__xludf.DUMMYFUNCTION("""COMPUTED_VALUE"""),2396.0)</f>
        <v>2396</v>
      </c>
      <c r="K2397" s="20" t="b">
        <f>IFERROR(__xludf.DUMMYFUNCTION("""COMPUTED_VALUE"""),FALSE)</f>
        <v>0</v>
      </c>
      <c r="L2397" s="20" t="str">
        <f>IFERROR(__xludf.DUMMYFUNCTION("""COMPUTED_VALUE"""),"Math;Two Pointers;Brainteaser;")</f>
        <v>Math;Two Pointers;Brainteaser;</v>
      </c>
      <c r="M2397" s="20" t="b">
        <f>IFERROR(__xludf.DUMMYFUNCTION("""COMPUTED_VALUE"""),FALSE)</f>
        <v>0</v>
      </c>
      <c r="N2397" s="20" t="b">
        <f>IFERROR(__xludf.DUMMYFUNCTION("""COMPUTED_VALUE"""),FALSE)</f>
        <v>0</v>
      </c>
      <c r="O2397" s="20">
        <f>IFERROR(__xludf.DUMMYFUNCTION("""COMPUTED_VALUE"""),87.7602617489589)</f>
        <v>87.76026175</v>
      </c>
      <c r="P2397" s="20">
        <f>IFERROR(__xludf.DUMMYFUNCTION("""COMPUTED_VALUE"""),35406.0)</f>
        <v>35406</v>
      </c>
      <c r="Q2397" s="20">
        <f>IFERROR(__xludf.DUMMYFUNCTION("""COMPUTED_VALUE"""),40344.0)</f>
        <v>40344</v>
      </c>
    </row>
    <row r="2398">
      <c r="A2398" s="20">
        <f>IFERROR(__xludf.DUMMYFUNCTION("""COMPUTED_VALUE"""),2482.0)</f>
        <v>2482</v>
      </c>
      <c r="B2398" s="20" t="str">
        <f>IFERROR(__xludf.DUMMYFUNCTION("""COMPUTED_VALUE"""),"Maximum Rows Covered by Columns")</f>
        <v>Maximum Rows Covered by Columns</v>
      </c>
      <c r="C2398" s="20" t="str">
        <f>IFERROR(__xludf.DUMMYFUNCTION("""COMPUTED_VALUE"""),"maximum-rows-covered-by-columns")</f>
        <v>maximum-rows-covered-by-columns</v>
      </c>
      <c r="D2398" s="20" t="b">
        <f>IFERROR(__xludf.DUMMYFUNCTION("""COMPUTED_VALUE"""),FALSE)</f>
        <v>0</v>
      </c>
      <c r="E2398" s="20" t="str">
        <f>IFERROR(__xludf.DUMMYFUNCTION("""COMPUTED_VALUE"""),"Medium")</f>
        <v>Medium</v>
      </c>
      <c r="F2398" s="20">
        <f>IFERROR(__xludf.DUMMYFUNCTION("""COMPUTED_VALUE"""),190.0)</f>
        <v>190</v>
      </c>
      <c r="G2398" s="20">
        <f>IFERROR(__xludf.DUMMYFUNCTION("""COMPUTED_VALUE"""),337.0)</f>
        <v>337</v>
      </c>
      <c r="H2398" s="20" t="str">
        <f>IFERROR(__xludf.DUMMYFUNCTION("""COMPUTED_VALUE"""),"Algorithms")</f>
        <v>Algorithms</v>
      </c>
      <c r="I2398" s="20">
        <f>IFERROR(__xludf.DUMMYFUNCTION("""COMPUTED_VALUE"""),0.526)</f>
        <v>0.526</v>
      </c>
      <c r="J2398" s="20">
        <f>IFERROR(__xludf.DUMMYFUNCTION("""COMPUTED_VALUE"""),2397.0)</f>
        <v>2397</v>
      </c>
      <c r="K2398" s="20" t="b">
        <f>IFERROR(__xludf.DUMMYFUNCTION("""COMPUTED_VALUE"""),FALSE)</f>
        <v>0</v>
      </c>
      <c r="L2398" s="20" t="str">
        <f>IFERROR(__xludf.DUMMYFUNCTION("""COMPUTED_VALUE"""),"Array;Backtracking;Bit Manipulation;Matrix;Enumeration;")</f>
        <v>Array;Backtracking;Bit Manipulation;Matrix;Enumeration;</v>
      </c>
      <c r="M2398" s="20" t="b">
        <f>IFERROR(__xludf.DUMMYFUNCTION("""COMPUTED_VALUE"""),FALSE)</f>
        <v>0</v>
      </c>
      <c r="N2398" s="20" t="b">
        <f>IFERROR(__xludf.DUMMYFUNCTION("""COMPUTED_VALUE"""),FALSE)</f>
        <v>0</v>
      </c>
      <c r="O2398" s="20">
        <f>IFERROR(__xludf.DUMMYFUNCTION("""COMPUTED_VALUE"""),52.6120105421686)</f>
        <v>52.61201054</v>
      </c>
      <c r="P2398" s="20">
        <f>IFERROR(__xludf.DUMMYFUNCTION("""COMPUTED_VALUE"""),11179.0)</f>
        <v>11179</v>
      </c>
      <c r="Q2398" s="20">
        <f>IFERROR(__xludf.DUMMYFUNCTION("""COMPUTED_VALUE"""),21248.0)</f>
        <v>21248</v>
      </c>
    </row>
    <row r="2399">
      <c r="A2399" s="20">
        <f>IFERROR(__xludf.DUMMYFUNCTION("""COMPUTED_VALUE"""),2449.0)</f>
        <v>2449</v>
      </c>
      <c r="B2399" s="20" t="str">
        <f>IFERROR(__xludf.DUMMYFUNCTION("""COMPUTED_VALUE"""),"Maximum Number of Robots Within Budget")</f>
        <v>Maximum Number of Robots Within Budget</v>
      </c>
      <c r="C2399" s="20" t="str">
        <f>IFERROR(__xludf.DUMMYFUNCTION("""COMPUTED_VALUE"""),"maximum-number-of-robots-within-budget")</f>
        <v>maximum-number-of-robots-within-budget</v>
      </c>
      <c r="D2399" s="20" t="b">
        <f>IFERROR(__xludf.DUMMYFUNCTION("""COMPUTED_VALUE"""),FALSE)</f>
        <v>0</v>
      </c>
      <c r="E2399" s="20" t="str">
        <f>IFERROR(__xludf.DUMMYFUNCTION("""COMPUTED_VALUE"""),"Hard")</f>
        <v>Hard</v>
      </c>
      <c r="F2399" s="20">
        <f>IFERROR(__xludf.DUMMYFUNCTION("""COMPUTED_VALUE"""),544.0)</f>
        <v>544</v>
      </c>
      <c r="G2399" s="20">
        <f>IFERROR(__xludf.DUMMYFUNCTION("""COMPUTED_VALUE"""),10.0)</f>
        <v>10</v>
      </c>
      <c r="H2399" s="20" t="str">
        <f>IFERROR(__xludf.DUMMYFUNCTION("""COMPUTED_VALUE"""),"Algorithms")</f>
        <v>Algorithms</v>
      </c>
      <c r="I2399" s="20">
        <f>IFERROR(__xludf.DUMMYFUNCTION("""COMPUTED_VALUE"""),0.324)</f>
        <v>0.324</v>
      </c>
      <c r="J2399" s="20">
        <f>IFERROR(__xludf.DUMMYFUNCTION("""COMPUTED_VALUE"""),2398.0)</f>
        <v>2398</v>
      </c>
      <c r="K2399" s="20" t="b">
        <f>IFERROR(__xludf.DUMMYFUNCTION("""COMPUTED_VALUE"""),FALSE)</f>
        <v>0</v>
      </c>
      <c r="L2399" s="20" t="str">
        <f>IFERROR(__xludf.DUMMYFUNCTION("""COMPUTED_VALUE"""),"Array;Binary Search;Queue;Sliding Window;Heap (Priority Queue);Prefix Sum;")</f>
        <v>Array;Binary Search;Queue;Sliding Window;Heap (Priority Queue);Prefix Sum;</v>
      </c>
      <c r="M2399" s="20" t="b">
        <f>IFERROR(__xludf.DUMMYFUNCTION("""COMPUTED_VALUE"""),FALSE)</f>
        <v>0</v>
      </c>
      <c r="N2399" s="20" t="b">
        <f>IFERROR(__xludf.DUMMYFUNCTION("""COMPUTED_VALUE"""),FALSE)</f>
        <v>0</v>
      </c>
      <c r="O2399" s="20">
        <f>IFERROR(__xludf.DUMMYFUNCTION("""COMPUTED_VALUE"""),32.3766439236626)</f>
        <v>32.37664392</v>
      </c>
      <c r="P2399" s="20">
        <f>IFERROR(__xludf.DUMMYFUNCTION("""COMPUTED_VALUE"""),13097.0)</f>
        <v>13097</v>
      </c>
      <c r="Q2399" s="20">
        <f>IFERROR(__xludf.DUMMYFUNCTION("""COMPUTED_VALUE"""),40452.0)</f>
        <v>40452</v>
      </c>
    </row>
    <row r="2400">
      <c r="A2400" s="20">
        <f>IFERROR(__xludf.DUMMYFUNCTION("""COMPUTED_VALUE"""),2476.0)</f>
        <v>2476</v>
      </c>
      <c r="B2400" s="20" t="str">
        <f>IFERROR(__xludf.DUMMYFUNCTION("""COMPUTED_VALUE"""),"Check Distances Between Same Letters")</f>
        <v>Check Distances Between Same Letters</v>
      </c>
      <c r="C2400" s="20" t="str">
        <f>IFERROR(__xludf.DUMMYFUNCTION("""COMPUTED_VALUE"""),"check-distances-between-same-letters")</f>
        <v>check-distances-between-same-letters</v>
      </c>
      <c r="D2400" s="20" t="b">
        <f>IFERROR(__xludf.DUMMYFUNCTION("""COMPUTED_VALUE"""),FALSE)</f>
        <v>0</v>
      </c>
      <c r="E2400" s="20" t="str">
        <f>IFERROR(__xludf.DUMMYFUNCTION("""COMPUTED_VALUE"""),"Easy")</f>
        <v>Easy</v>
      </c>
      <c r="F2400" s="20">
        <f>IFERROR(__xludf.DUMMYFUNCTION("""COMPUTED_VALUE"""),276.0)</f>
        <v>276</v>
      </c>
      <c r="G2400" s="20">
        <f>IFERROR(__xludf.DUMMYFUNCTION("""COMPUTED_VALUE"""),18.0)</f>
        <v>18</v>
      </c>
      <c r="H2400" s="20" t="str">
        <f>IFERROR(__xludf.DUMMYFUNCTION("""COMPUTED_VALUE"""),"Algorithms")</f>
        <v>Algorithms</v>
      </c>
      <c r="I2400" s="20">
        <f>IFERROR(__xludf.DUMMYFUNCTION("""COMPUTED_VALUE"""),0.706)</f>
        <v>0.706</v>
      </c>
      <c r="J2400" s="20">
        <f>IFERROR(__xludf.DUMMYFUNCTION("""COMPUTED_VALUE"""),2399.0)</f>
        <v>2399</v>
      </c>
      <c r="K2400" s="20" t="b">
        <f>IFERROR(__xludf.DUMMYFUNCTION("""COMPUTED_VALUE"""),FALSE)</f>
        <v>0</v>
      </c>
      <c r="L2400" s="20" t="str">
        <f>IFERROR(__xludf.DUMMYFUNCTION("""COMPUTED_VALUE"""),"Array;Hash Table;String;")</f>
        <v>Array;Hash Table;String;</v>
      </c>
      <c r="M2400" s="20" t="b">
        <f>IFERROR(__xludf.DUMMYFUNCTION("""COMPUTED_VALUE"""),FALSE)</f>
        <v>0</v>
      </c>
      <c r="N2400" s="20" t="b">
        <f>IFERROR(__xludf.DUMMYFUNCTION("""COMPUTED_VALUE"""),FALSE)</f>
        <v>0</v>
      </c>
      <c r="O2400" s="20">
        <f>IFERROR(__xludf.DUMMYFUNCTION("""COMPUTED_VALUE"""),70.6396950771491)</f>
        <v>70.63969508</v>
      </c>
      <c r="P2400" s="20">
        <f>IFERROR(__xludf.DUMMYFUNCTION("""COMPUTED_VALUE"""),30764.0)</f>
        <v>30764</v>
      </c>
      <c r="Q2400" s="20">
        <f>IFERROR(__xludf.DUMMYFUNCTION("""COMPUTED_VALUE"""),43551.0)</f>
        <v>43551</v>
      </c>
    </row>
    <row r="2401">
      <c r="A2401" s="20">
        <f>IFERROR(__xludf.DUMMYFUNCTION("""COMPUTED_VALUE"""),2477.0)</f>
        <v>2477</v>
      </c>
      <c r="B2401" s="20" t="str">
        <f>IFERROR(__xludf.DUMMYFUNCTION("""COMPUTED_VALUE"""),"Number of Ways to Reach a Position After Exactly k Steps")</f>
        <v>Number of Ways to Reach a Position After Exactly k Steps</v>
      </c>
      <c r="C2401" s="20" t="str">
        <f>IFERROR(__xludf.DUMMYFUNCTION("""COMPUTED_VALUE"""),"number-of-ways-to-reach-a-position-after-exactly-k-steps")</f>
        <v>number-of-ways-to-reach-a-position-after-exactly-k-steps</v>
      </c>
      <c r="D2401" s="20" t="b">
        <f>IFERROR(__xludf.DUMMYFUNCTION("""COMPUTED_VALUE"""),FALSE)</f>
        <v>0</v>
      </c>
      <c r="E2401" s="20" t="str">
        <f>IFERROR(__xludf.DUMMYFUNCTION("""COMPUTED_VALUE"""),"Medium")</f>
        <v>Medium</v>
      </c>
      <c r="F2401" s="20">
        <f>IFERROR(__xludf.DUMMYFUNCTION("""COMPUTED_VALUE"""),467.0)</f>
        <v>467</v>
      </c>
      <c r="G2401" s="20">
        <f>IFERROR(__xludf.DUMMYFUNCTION("""COMPUTED_VALUE"""),49.0)</f>
        <v>49</v>
      </c>
      <c r="H2401" s="20" t="str">
        <f>IFERROR(__xludf.DUMMYFUNCTION("""COMPUTED_VALUE"""),"Algorithms")</f>
        <v>Algorithms</v>
      </c>
      <c r="I2401" s="20">
        <f>IFERROR(__xludf.DUMMYFUNCTION("""COMPUTED_VALUE"""),0.325)</f>
        <v>0.325</v>
      </c>
      <c r="J2401" s="20">
        <f>IFERROR(__xludf.DUMMYFUNCTION("""COMPUTED_VALUE"""),2400.0)</f>
        <v>2400</v>
      </c>
      <c r="K2401" s="20" t="b">
        <f>IFERROR(__xludf.DUMMYFUNCTION("""COMPUTED_VALUE"""),FALSE)</f>
        <v>0</v>
      </c>
      <c r="L2401" s="20" t="str">
        <f>IFERROR(__xludf.DUMMYFUNCTION("""COMPUTED_VALUE"""),"Math;Dynamic Programming;Combinatorics;")</f>
        <v>Math;Dynamic Programming;Combinatorics;</v>
      </c>
      <c r="M2401" s="20" t="b">
        <f>IFERROR(__xludf.DUMMYFUNCTION("""COMPUTED_VALUE"""),FALSE)</f>
        <v>0</v>
      </c>
      <c r="N2401" s="20" t="b">
        <f>IFERROR(__xludf.DUMMYFUNCTION("""COMPUTED_VALUE"""),FALSE)</f>
        <v>0</v>
      </c>
      <c r="O2401" s="20">
        <f>IFERROR(__xludf.DUMMYFUNCTION("""COMPUTED_VALUE"""),32.4921292460646)</f>
        <v>32.49212925</v>
      </c>
      <c r="P2401" s="20">
        <f>IFERROR(__xludf.DUMMYFUNCTION("""COMPUTED_VALUE"""),19609.0)</f>
        <v>19609</v>
      </c>
      <c r="Q2401" s="20">
        <f>IFERROR(__xludf.DUMMYFUNCTION("""COMPUTED_VALUE"""),60350.0)</f>
        <v>60350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5.75"/>
  </cols>
  <sheetData>
    <row r="1">
      <c r="A1" s="13">
        <f>Github!J$2</f>
        <v>1</v>
      </c>
      <c r="B1" s="14" t="str">
        <f>HYPERLINK(CONCAT("http://leetcode.com/problems/",Github!C$2), Github!B$2)</f>
        <v>Two Sum</v>
      </c>
      <c r="C1" s="18" t="s">
        <v>492</v>
      </c>
    </row>
    <row r="2">
      <c r="A2" s="13">
        <f>Github!J$4</f>
        <v>3</v>
      </c>
      <c r="B2" s="14" t="str">
        <f>HYPERLINK(CONCAT("http://leetcode.com/problems/",Github!C$4), Github!B$4)</f>
        <v>Longest Substring Without Repeating Characters</v>
      </c>
      <c r="C2" s="18" t="s">
        <v>492</v>
      </c>
    </row>
    <row r="3">
      <c r="A3" s="13">
        <f>Github!J$54</f>
        <v>53</v>
      </c>
      <c r="B3" s="14" t="str">
        <f>HYPERLINK(CONCAT("http://leetcode.com/problems/",Github!C$54), Github!B$54)</f>
        <v>Maximum Subarray</v>
      </c>
      <c r="C3" s="18" t="s">
        <v>492</v>
      </c>
    </row>
    <row r="4">
      <c r="A4" s="13">
        <f>Github!J$43</f>
        <v>42</v>
      </c>
      <c r="B4" s="14" t="str">
        <f>HYPERLINK(CONCAT("http://leetcode.com/problems/",Github!C$43), Github!B$43)</f>
        <v>Trapping Rain Water</v>
      </c>
      <c r="C4" s="18" t="s">
        <v>492</v>
      </c>
    </row>
    <row r="5">
      <c r="A5" s="13">
        <f>Github!J$3</f>
        <v>2</v>
      </c>
      <c r="B5" s="14" t="str">
        <f>HYPERLINK(CONCAT("http://leetcode.com/problems/",Github!C$3), Github!B$3)</f>
        <v>Add Two Numbers</v>
      </c>
      <c r="C5" s="18" t="s">
        <v>492</v>
      </c>
    </row>
    <row r="6">
      <c r="A6" s="13">
        <f>Github!J$16</f>
        <v>15</v>
      </c>
      <c r="B6" s="14" t="str">
        <f>HYPERLINK(CONCAT("http://leetcode.com/problems/",Github!C$16), Github!B$16)</f>
        <v>3Sum</v>
      </c>
    </row>
    <row r="7">
      <c r="A7" s="13">
        <f>Github!J$6</f>
        <v>5</v>
      </c>
      <c r="B7" s="14" t="str">
        <f>HYPERLINK(CONCAT("http://leetcode.com/problems/",Github!C$6), Github!B$6)</f>
        <v>Longest Palindromic Substring</v>
      </c>
      <c r="C7" s="18" t="s">
        <v>492</v>
      </c>
    </row>
    <row r="8">
      <c r="A8" s="13">
        <f>Github!J$12</f>
        <v>11</v>
      </c>
      <c r="B8" s="14" t="str">
        <f>HYPERLINK(CONCAT("http://leetcode.com/problems/",Github!C$12), Github!B$12)</f>
        <v>Container With Most Water</v>
      </c>
      <c r="C8" s="18" t="s">
        <v>492</v>
      </c>
    </row>
    <row r="9">
      <c r="A9" s="13">
        <f>Github!J$5</f>
        <v>4</v>
      </c>
      <c r="B9" s="14" t="str">
        <f>HYPERLINK(CONCAT("http://leetcode.com/problems/",Github!C$5), Github!B$5)</f>
        <v>Median of Two Sorted Arrays</v>
      </c>
    </row>
    <row r="10">
      <c r="A10" s="13">
        <f>Github!J$122</f>
        <v>121</v>
      </c>
      <c r="B10" s="14" t="str">
        <f>HYPERLINK(CONCAT("http://leetcode.com/problems/",Github!C$122), Github!B$122)</f>
        <v>Best Time to Buy and Sell Stock</v>
      </c>
      <c r="C10" s="18" t="s">
        <v>492</v>
      </c>
    </row>
    <row r="11">
      <c r="A11" s="13">
        <f>Github!J$34</f>
        <v>33</v>
      </c>
      <c r="B11" s="14" t="str">
        <f>HYPERLINK(CONCAT("http://leetcode.com/problems/",Github!C$34), Github!B$34)</f>
        <v>Search in Rotated Sorted Array</v>
      </c>
      <c r="C11" s="18" t="s">
        <v>492</v>
      </c>
    </row>
    <row r="12">
      <c r="A12" s="13">
        <f>Github!J$288</f>
        <v>287</v>
      </c>
      <c r="B12" s="14" t="str">
        <f>HYPERLINK(CONCAT("http://leetcode.com/problems/",Github!C$288), Github!B$288)</f>
        <v>Find the Duplicate Number</v>
      </c>
      <c r="C12" s="18" t="s">
        <v>492</v>
      </c>
    </row>
    <row r="13">
      <c r="A13" s="13">
        <f>Github!J$201</f>
        <v>200</v>
      </c>
      <c r="B13" s="14" t="str">
        <f>HYPERLINK(CONCAT("http://leetcode.com/problems/",Github!C$201), Github!B$201)</f>
        <v>Number of Islands</v>
      </c>
      <c r="C13" s="18" t="s">
        <v>492</v>
      </c>
    </row>
    <row r="14">
      <c r="A14" s="13">
        <f>Github!J$57</f>
        <v>56</v>
      </c>
      <c r="B14" s="14" t="str">
        <f>HYPERLINK(CONCAT("http://leetcode.com/problems/",Github!C$57), Github!B$57)</f>
        <v>Merge Intervals</v>
      </c>
      <c r="C14" s="18" t="s">
        <v>492</v>
      </c>
    </row>
    <row r="15">
      <c r="A15" s="13">
        <f>Github!J$561</f>
        <v>560</v>
      </c>
      <c r="B15" s="14" t="str">
        <f>HYPERLINK(CONCAT("http://leetcode.com/problems/",Github!C$561), Github!B$561)</f>
        <v>Subarray Sum Equals K</v>
      </c>
      <c r="C15" s="18" t="s">
        <v>492</v>
      </c>
    </row>
    <row r="16">
      <c r="A16" s="13">
        <f>Github!J$147</f>
        <v>146</v>
      </c>
      <c r="B16" s="14" t="str">
        <f>HYPERLINK(CONCAT("http://leetcode.com/problems/",Github!C$147), Github!B$147)</f>
        <v>LRU Cache</v>
      </c>
    </row>
    <row r="17">
      <c r="A17" s="13">
        <f>Github!J$21</f>
        <v>20</v>
      </c>
      <c r="B17" s="14" t="str">
        <f>HYPERLINK(CONCAT("http://leetcode.com/problems/",Github!C$21), Github!B$21)</f>
        <v>Valid Parentheses</v>
      </c>
      <c r="C17" s="18" t="s">
        <v>492</v>
      </c>
    </row>
    <row r="18">
      <c r="A18" s="13">
        <f>Github!J$23</f>
        <v>22</v>
      </c>
      <c r="B18" s="14" t="str">
        <f>HYPERLINK(CONCAT("http://leetcode.com/problems/",Github!C$23), Github!B$23)</f>
        <v>Generate Parentheses</v>
      </c>
      <c r="C18" s="18" t="s">
        <v>492</v>
      </c>
    </row>
    <row r="19">
      <c r="A19" s="13">
        <f>Github!J$199</f>
        <v>198</v>
      </c>
      <c r="B19" s="14" t="str">
        <f>HYPERLINK(CONCAT("http://leetcode.com/problems/",Github!C$199), Github!B$199)</f>
        <v>House Robber</v>
      </c>
      <c r="C19" s="18" t="s">
        <v>492</v>
      </c>
    </row>
    <row r="20">
      <c r="A20" s="13">
        <f>Github!J$239</f>
        <v>238</v>
      </c>
      <c r="B20" s="14" t="str">
        <f>HYPERLINK(CONCAT("http://leetcode.com/problems/",Github!C$239), Github!B$239)</f>
        <v>Product of Array Except Self</v>
      </c>
      <c r="C20" s="18" t="s">
        <v>492</v>
      </c>
    </row>
    <row r="21">
      <c r="A21" s="13">
        <f>Github!J$24</f>
        <v>23</v>
      </c>
      <c r="B21" s="14" t="str">
        <f>HYPERLINK(CONCAT("http://leetcode.com/problems/",Github!C$24), Github!B$24)</f>
        <v>Merge k Sorted Lists</v>
      </c>
      <c r="C21" s="18" t="s">
        <v>492</v>
      </c>
    </row>
    <row r="22">
      <c r="A22" s="13">
        <f>Github!J$22</f>
        <v>21</v>
      </c>
      <c r="B22" s="14" t="str">
        <f>HYPERLINK(CONCAT("http://leetcode.com/problems/",Github!C$22), Github!B$22)</f>
        <v>Merge Two Sorted Lists</v>
      </c>
      <c r="C22" s="18" t="s">
        <v>492</v>
      </c>
    </row>
    <row r="23">
      <c r="A23" s="13">
        <f>Github!J$301</f>
        <v>300</v>
      </c>
      <c r="B23" s="14" t="str">
        <f>HYPERLINK(CONCAT("http://leetcode.com/problems/",Github!C$301), Github!B$301)</f>
        <v>Longest Increasing Subsequence</v>
      </c>
      <c r="C23" s="18" t="s">
        <v>492</v>
      </c>
    </row>
    <row r="24">
      <c r="A24" s="13">
        <f>Github!J$207</f>
        <v>206</v>
      </c>
      <c r="B24" s="14" t="str">
        <f>HYPERLINK(CONCAT("http://leetcode.com/problems/",Github!C$207), Github!B$207)</f>
        <v>Reverse Linked List</v>
      </c>
      <c r="C24" s="18" t="s">
        <v>492</v>
      </c>
    </row>
    <row r="25">
      <c r="A25" s="13">
        <f>Github!J$71</f>
        <v>70</v>
      </c>
      <c r="B25" s="14" t="str">
        <f>HYPERLINK(CONCAT("http://leetcode.com/problems/",Github!C$71), Github!B$71)</f>
        <v>Climbing Stairs</v>
      </c>
      <c r="C25" s="18" t="s">
        <v>492</v>
      </c>
    </row>
    <row r="26">
      <c r="A26" s="13">
        <f>Github!J$153</f>
        <v>152</v>
      </c>
      <c r="B26" s="14" t="str">
        <f>HYPERLINK(CONCAT("http://leetcode.com/problems/",Github!C$153), Github!B$153)</f>
        <v>Maximum Product Subarray</v>
      </c>
      <c r="C26" s="18" t="s">
        <v>492</v>
      </c>
    </row>
    <row r="27">
      <c r="A27" s="13">
        <f>Github!J$323</f>
        <v>322</v>
      </c>
      <c r="B27" s="14" t="str">
        <f>HYPERLINK(CONCAT("http://leetcode.com/problems/",Github!C$323), Github!B$323)</f>
        <v>Coin Change</v>
      </c>
    </row>
    <row r="28">
      <c r="A28" s="13">
        <f>Github!J$56</f>
        <v>55</v>
      </c>
      <c r="B28" s="14" t="str">
        <f>HYPERLINK(CONCAT("http://leetcode.com/problems/",Github!C$56), Github!B$56)</f>
        <v>Jump Game</v>
      </c>
      <c r="C28" s="18" t="s">
        <v>492</v>
      </c>
    </row>
    <row r="29">
      <c r="A29" s="13">
        <f>Github!J$40</f>
        <v>39</v>
      </c>
      <c r="B29" s="14" t="str">
        <f>HYPERLINK(CONCAT("http://leetcode.com/problems/",Github!C$40), Github!B$40)</f>
        <v>Combination Sum</v>
      </c>
      <c r="C29" s="18" t="s">
        <v>492</v>
      </c>
    </row>
    <row r="30">
      <c r="A30" s="13">
        <f>Github!J$32</f>
        <v>31</v>
      </c>
      <c r="B30" s="14" t="str">
        <f>HYPERLINK(CONCAT("http://leetcode.com/problems/",Github!C$32), Github!B$32)</f>
        <v>Next Permutation</v>
      </c>
      <c r="C30" s="18" t="s">
        <v>492</v>
      </c>
    </row>
    <row r="31">
      <c r="A31" s="13">
        <f>Github!J$35</f>
        <v>34</v>
      </c>
      <c r="B31" s="14" t="str">
        <f>HYPERLINK(CONCAT("http://leetcode.com/problems/",Github!C$35), Github!B$35)</f>
        <v>Find First and Last Position of Element in Sorted Array</v>
      </c>
      <c r="C31" s="18" t="s">
        <v>492</v>
      </c>
    </row>
    <row r="32">
      <c r="A32" s="13">
        <f>Github!J$140</f>
        <v>139</v>
      </c>
      <c r="B32" s="14" t="str">
        <f>HYPERLINK(CONCAT("http://leetcode.com/problems/",Github!C$140), Github!B$140)</f>
        <v>Word Break</v>
      </c>
    </row>
    <row r="33">
      <c r="A33" s="13">
        <f>Github!J$47</f>
        <v>46</v>
      </c>
      <c r="B33" s="14" t="str">
        <f>HYPERLINK(CONCAT("http://leetcode.com/problems/",Github!C$47), Github!B$47)</f>
        <v>Permutations</v>
      </c>
      <c r="C33" s="18" t="s">
        <v>492</v>
      </c>
    </row>
    <row r="34">
      <c r="A34" s="13">
        <f>Github!J$77</f>
        <v>76</v>
      </c>
      <c r="B34" s="14" t="str">
        <f>HYPERLINK(CONCAT("http://leetcode.com/problems/",Github!C$77), Github!B$77)</f>
        <v>Minimum Window Substring</v>
      </c>
    </row>
    <row r="35">
      <c r="A35" s="13">
        <f>Github!J$79</f>
        <v>78</v>
      </c>
      <c r="B35" s="14" t="str">
        <f>HYPERLINK(CONCAT("http://leetcode.com/problems/",Github!C$79), Github!B$79)</f>
        <v>Subsets</v>
      </c>
      <c r="C35" s="18" t="s">
        <v>492</v>
      </c>
    </row>
    <row r="36">
      <c r="A36" s="13">
        <f>Github!J$85</f>
        <v>84</v>
      </c>
      <c r="B36" s="14" t="str">
        <f>HYPERLINK(CONCAT("http://leetcode.com/problems/",Github!C$85), Github!B$85)</f>
        <v>Largest Rectangle in Histogram</v>
      </c>
    </row>
    <row r="37">
      <c r="A37" s="13">
        <f>Github!J$20</f>
        <v>19</v>
      </c>
      <c r="B37" s="14" t="str">
        <f>HYPERLINK(CONCAT("http://leetcode.com/problems/",Github!C$20), Github!B$20)</f>
        <v>Remove Nth Node From End of List</v>
      </c>
      <c r="C37" s="18" t="s">
        <v>492</v>
      </c>
    </row>
    <row r="38">
      <c r="A38" s="13">
        <f>Github!J$18</f>
        <v>17</v>
      </c>
      <c r="B38" s="14" t="str">
        <f>HYPERLINK(CONCAT("http://leetcode.com/problems/",Github!C$18), Github!B$18)</f>
        <v>Letter Combinations of a Phone Number</v>
      </c>
      <c r="C38" s="18" t="s">
        <v>492</v>
      </c>
    </row>
    <row r="39">
      <c r="A39" s="13">
        <f>Github!J$137</f>
        <v>136</v>
      </c>
      <c r="B39" s="14" t="str">
        <f>HYPERLINK(CONCAT("http://leetcode.com/problems/",Github!C$137), Github!B$137)</f>
        <v>Single Number</v>
      </c>
      <c r="C39" s="18" t="s">
        <v>492</v>
      </c>
    </row>
    <row r="40">
      <c r="A40" s="13">
        <f>Github!J$240</f>
        <v>239</v>
      </c>
      <c r="B40" s="14" t="str">
        <f>HYPERLINK(CONCAT("http://leetcode.com/problems/",Github!C$240), Github!B$240)</f>
        <v>Sliding Window Maximum</v>
      </c>
      <c r="C40" s="18" t="s">
        <v>492</v>
      </c>
    </row>
    <row r="41">
      <c r="A41" s="13">
        <f>Github!J$76</f>
        <v>75</v>
      </c>
      <c r="B41" s="14" t="str">
        <f>HYPERLINK(CONCAT("http://leetcode.com/problems/",Github!C$76), Github!B$76)</f>
        <v>Sort Colors</v>
      </c>
      <c r="C41" s="18" t="s">
        <v>492</v>
      </c>
    </row>
    <row r="42">
      <c r="A42" s="13">
        <f>Github!J$99</f>
        <v>98</v>
      </c>
      <c r="B42" s="14" t="str">
        <f>HYPERLINK(CONCAT("http://leetcode.com/problems/",Github!C$99), Github!B$99)</f>
        <v>Validate Binary Search Tree</v>
      </c>
      <c r="C42" s="18" t="s">
        <v>492</v>
      </c>
    </row>
    <row r="43">
      <c r="A43" s="13">
        <f>Github!J$237</f>
        <v>236</v>
      </c>
      <c r="B43" s="14" t="str">
        <f>HYPERLINK(CONCAT("http://leetcode.com/problems/",Github!C$237), Github!B$237)</f>
        <v>Lowest Common Ancestor of a Binary Tree</v>
      </c>
      <c r="C43" s="18" t="s">
        <v>492</v>
      </c>
    </row>
    <row r="44">
      <c r="A44" s="13">
        <f>Github!J$170</f>
        <v>169</v>
      </c>
      <c r="B44" s="14" t="str">
        <f>HYPERLINK(CONCAT("http://leetcode.com/problems/",Github!C$170), Github!B$170)</f>
        <v>Majority Element</v>
      </c>
      <c r="C44" s="18" t="s">
        <v>492</v>
      </c>
    </row>
    <row r="45">
      <c r="A45" s="13">
        <f>Github!J$42</f>
        <v>41</v>
      </c>
      <c r="B45" s="14" t="str">
        <f>HYPERLINK(CONCAT("http://leetcode.com/problems/",Github!C$42), Github!B$42)</f>
        <v>First Missing Positive</v>
      </c>
      <c r="C45" s="18" t="s">
        <v>492</v>
      </c>
    </row>
    <row r="46">
      <c r="A46" s="13">
        <f>Github!J$125</f>
        <v>124</v>
      </c>
      <c r="B46" s="14" t="str">
        <f>HYPERLINK(CONCAT("http://leetcode.com/problems/",Github!C$125), Github!B$125)</f>
        <v>Binary Tree Maximum Path Sum</v>
      </c>
      <c r="C46" s="18" t="s">
        <v>492</v>
      </c>
    </row>
    <row r="47">
      <c r="A47" s="13">
        <f>Github!J$102</f>
        <v>101</v>
      </c>
      <c r="B47" s="14" t="str">
        <f>HYPERLINK(CONCAT("http://leetcode.com/problems/",Github!C$102), Github!B$102)</f>
        <v>Symmetric Tree</v>
      </c>
      <c r="C47" s="18" t="s">
        <v>492</v>
      </c>
    </row>
    <row r="48">
      <c r="A48" s="13">
        <f>Github!J$190</f>
        <v>189</v>
      </c>
      <c r="B48" s="14" t="str">
        <f>HYPERLINK(CONCAT("http://leetcode.com/problems/",Github!C$190), Github!B$190)</f>
        <v>Rotate Array</v>
      </c>
      <c r="C48" s="18" t="s">
        <v>492</v>
      </c>
    </row>
    <row r="49">
      <c r="A49" s="13">
        <f>Github!J$129</f>
        <v>128</v>
      </c>
      <c r="B49" s="14" t="str">
        <f>HYPERLINK(CONCAT("http://leetcode.com/problems/",Github!C$129), Github!B$129)</f>
        <v>Longest Consecutive Sequence</v>
      </c>
      <c r="C49" s="18" t="s">
        <v>492</v>
      </c>
    </row>
    <row r="50">
      <c r="A50" s="13">
        <f>Github!J$208</f>
        <v>207</v>
      </c>
      <c r="B50" s="14" t="str">
        <f>HYPERLINK(CONCAT("http://leetcode.com/problems/",Github!C$208), Github!B$208)</f>
        <v>Course Schedule</v>
      </c>
    </row>
    <row r="51">
      <c r="A51" s="13">
        <f>Github!J$80</f>
        <v>79</v>
      </c>
      <c r="B51" s="14" t="str">
        <f>HYPERLINK(CONCAT("http://leetcode.com/problems/",Github!C$80), Github!B$80)</f>
        <v>Word Search</v>
      </c>
    </row>
    <row r="52">
      <c r="A52" s="13">
        <f>Github!J$50</f>
        <v>49</v>
      </c>
      <c r="B52" s="14" t="str">
        <f>HYPERLINK(CONCAT("http://leetcode.com/problems/",Github!C$50), Github!B$50)</f>
        <v>Group Anagrams</v>
      </c>
      <c r="C52" s="18" t="s">
        <v>492</v>
      </c>
    </row>
    <row r="53">
      <c r="A53" s="13">
        <f>Github!J$216</f>
        <v>215</v>
      </c>
      <c r="B53" s="14" t="str">
        <f>HYPERLINK(CONCAT("http://leetcode.com/problems/",Github!C$216), Github!B$216)</f>
        <v>Kth Largest Element in an Array</v>
      </c>
      <c r="C53" s="18" t="s">
        <v>492</v>
      </c>
    </row>
    <row r="54">
      <c r="A54" s="13">
        <f>Github!J$348</f>
        <v>347</v>
      </c>
      <c r="B54" s="14" t="str">
        <f>HYPERLINK(CONCAT("http://leetcode.com/problems/",Github!C$348), Github!B$348)</f>
        <v>Top K Frequent Elements</v>
      </c>
      <c r="C54" s="18" t="s">
        <v>492</v>
      </c>
    </row>
    <row r="55">
      <c r="A55" s="13">
        <f>Github!J$284</f>
        <v>283</v>
      </c>
      <c r="B55" s="14" t="str">
        <f>HYPERLINK(CONCAT("http://leetcode.com/problems/",Github!C$284), Github!B$284)</f>
        <v>Move Zeroes</v>
      </c>
      <c r="C55" s="18" t="s">
        <v>492</v>
      </c>
    </row>
    <row r="56">
      <c r="A56" s="13">
        <f>Github!J$49</f>
        <v>48</v>
      </c>
      <c r="B56" s="14" t="str">
        <f>HYPERLINK(CONCAT("http://leetcode.com/problems/",Github!C$49), Github!B$49)</f>
        <v>Rotate Image</v>
      </c>
      <c r="C56" s="18" t="s">
        <v>492</v>
      </c>
    </row>
    <row r="57">
      <c r="A57" s="13">
        <f>Github!J$235</f>
        <v>234</v>
      </c>
      <c r="B57" s="14" t="str">
        <f>HYPERLINK(CONCAT("http://leetcode.com/problems/",Github!C$235), Github!B$235)</f>
        <v>Palindrome Linked List</v>
      </c>
      <c r="C57" s="18" t="s">
        <v>492</v>
      </c>
    </row>
    <row r="58">
      <c r="A58" s="13">
        <f>Github!J$161</f>
        <v>160</v>
      </c>
      <c r="B58" s="14" t="str">
        <f>HYPERLINK(CONCAT("http://leetcode.com/problems/",Github!C$161), Github!B$161)</f>
        <v>Intersection of Two Linked Lists</v>
      </c>
      <c r="C58" s="18" t="s">
        <v>492</v>
      </c>
    </row>
    <row r="59">
      <c r="A59" s="13">
        <f>Github!J$63</f>
        <v>62</v>
      </c>
      <c r="B59" s="14" t="str">
        <f>HYPERLINK(CONCAT("http://leetcode.com/problems/",Github!C$63), Github!B$63)</f>
        <v>Unique Paths</v>
      </c>
      <c r="C59" s="18" t="s">
        <v>492</v>
      </c>
    </row>
    <row r="60">
      <c r="A60" s="13">
        <f>Github!J$139</f>
        <v>138</v>
      </c>
      <c r="B60" s="14" t="str">
        <f>HYPERLINK(CONCAT("http://leetcode.com/problems/",Github!C$139), Github!B$139)</f>
        <v>Copy List with Random Pointer</v>
      </c>
      <c r="C60" s="18" t="s">
        <v>492</v>
      </c>
    </row>
    <row r="61">
      <c r="A61" s="13">
        <f>Github!J$106</f>
        <v>105</v>
      </c>
      <c r="B61" s="14" t="str">
        <f>HYPERLINK(CONCAT("http://leetcode.com/problems/",Github!C$106), Github!B$106)</f>
        <v>Construct Binary Tree from Preorder and Inorder Traversal</v>
      </c>
    </row>
    <row r="62">
      <c r="A62" s="13">
        <f>Github!J$73</f>
        <v>72</v>
      </c>
      <c r="B62" s="14" t="str">
        <f>HYPERLINK(CONCAT("http://leetcode.com/problems/",Github!C$73), Github!B$73)</f>
        <v>Edit Distance</v>
      </c>
    </row>
    <row r="63">
      <c r="A63" s="13">
        <f>Github!J$227</f>
        <v>226</v>
      </c>
      <c r="B63" s="14" t="str">
        <f>HYPERLINK(CONCAT("http://leetcode.com/problems/",Github!C$227), Github!B$227)</f>
        <v>Invert Binary Tree</v>
      </c>
      <c r="C63" s="18" t="s">
        <v>492</v>
      </c>
    </row>
    <row r="64">
      <c r="A64" s="13">
        <f>Github!J$395</f>
        <v>394</v>
      </c>
      <c r="B64" s="14" t="str">
        <f>HYPERLINK(CONCAT("http://leetcode.com/problems/",Github!C$395), Github!B$395)</f>
        <v>Decode String</v>
      </c>
    </row>
    <row r="65">
      <c r="A65" s="13">
        <f>Github!J$11</f>
        <v>10</v>
      </c>
      <c r="B65" s="14" t="str">
        <f>HYPERLINK(CONCAT("http://leetcode.com/problems/",Github!C$11), Github!B$11)</f>
        <v>Regular Expression Matching</v>
      </c>
    </row>
    <row r="66">
      <c r="A66" s="13">
        <f>Github!J$103</f>
        <v>102</v>
      </c>
      <c r="B66" s="14" t="str">
        <f>HYPERLINK(CONCAT("http://leetcode.com/problems/",Github!C$103), Github!B$103)</f>
        <v>Binary Tree Level Order Traversal</v>
      </c>
      <c r="C66" s="18" t="s">
        <v>492</v>
      </c>
    </row>
    <row r="67">
      <c r="A67" s="13">
        <f>Github!J$142</f>
        <v>141</v>
      </c>
      <c r="B67" s="14" t="str">
        <f>HYPERLINK(CONCAT("http://leetcode.com/problems/",Github!C$142), Github!B$142)</f>
        <v>Linked List Cycle</v>
      </c>
      <c r="C67" s="18" t="s">
        <v>492</v>
      </c>
    </row>
    <row r="68">
      <c r="A68" s="13">
        <f>Github!J$156</f>
        <v>155</v>
      </c>
      <c r="B68" s="14" t="str">
        <f>HYPERLINK(CONCAT("http://leetcode.com/problems/",Github!C$156), Github!B$156)</f>
        <v>Min Stack</v>
      </c>
      <c r="C68" s="18" t="s">
        <v>492</v>
      </c>
    </row>
    <row r="69">
      <c r="A69" s="13">
        <f>Github!J$46</f>
        <v>45</v>
      </c>
      <c r="B69" s="14" t="str">
        <f>HYPERLINK(CONCAT("http://leetcode.com/problems/",Github!C$46), Github!B$46)</f>
        <v>Jump Game II</v>
      </c>
      <c r="C69" s="18" t="s">
        <v>492</v>
      </c>
    </row>
    <row r="70">
      <c r="A70" s="13">
        <f>Github!J$128</f>
        <v>127</v>
      </c>
      <c r="B70" s="14" t="str">
        <f>HYPERLINK(CONCAT("http://leetcode.com/problems/",Github!C$128), Github!B$128)</f>
        <v>Word Ladder</v>
      </c>
    </row>
    <row r="71">
      <c r="A71" s="13">
        <f>Github!J$15</f>
        <v>14</v>
      </c>
      <c r="B71" s="14" t="str">
        <f>HYPERLINK(CONCAT("http://leetcode.com/problems/",Github!C$15), Github!B$15)</f>
        <v>Longest Common Prefix</v>
      </c>
      <c r="C71" s="18" t="s">
        <v>492</v>
      </c>
    </row>
    <row r="72">
      <c r="A72" s="13">
        <f>Github!J$544</f>
        <v>543</v>
      </c>
      <c r="B72" s="14" t="str">
        <f>HYPERLINK(CONCAT("http://leetcode.com/problems/",Github!C$544), Github!B$544)</f>
        <v>Diameter of Binary Tree</v>
      </c>
      <c r="C72" s="18" t="s">
        <v>492</v>
      </c>
    </row>
    <row r="73">
      <c r="A73" s="13">
        <f>Github!J$764</f>
        <v>763</v>
      </c>
      <c r="B73" s="14" t="str">
        <f>HYPERLINK(CONCAT("http://leetcode.com/problems/",Github!C$764), Github!B$764)</f>
        <v>Partition Labels</v>
      </c>
      <c r="C73" s="18" t="s">
        <v>492</v>
      </c>
    </row>
    <row r="74">
      <c r="A74" s="13">
        <f>Github!J$33</f>
        <v>32</v>
      </c>
      <c r="B74" s="14" t="str">
        <f>HYPERLINK(CONCAT("http://leetcode.com/problems/",Github!C$33), Github!B$33)</f>
        <v>Longest Valid Parentheses</v>
      </c>
    </row>
    <row r="75">
      <c r="A75" s="13">
        <f>Github!J$36</f>
        <v>35</v>
      </c>
      <c r="B75" s="14" t="str">
        <f>HYPERLINK(CONCAT("http://leetcode.com/problems/",Github!C$36), Github!B$36)</f>
        <v>Search Insert Position</v>
      </c>
      <c r="C75" s="18" t="s">
        <v>492</v>
      </c>
    </row>
    <row r="76">
      <c r="A76" s="13">
        <f>Github!J$95</f>
        <v>94</v>
      </c>
      <c r="B76" s="14" t="str">
        <f>HYPERLINK(CONCAT("http://leetcode.com/problems/",Github!C$95), Github!B$95)</f>
        <v>Binary Tree Inorder Traversal</v>
      </c>
      <c r="C76" s="18" t="s">
        <v>492</v>
      </c>
    </row>
    <row r="77">
      <c r="A77" s="13">
        <f>Github!J$438</f>
        <v>437</v>
      </c>
      <c r="B77" s="14" t="str">
        <f>HYPERLINK(CONCAT("http://leetcode.com/problems/",Github!C$438), Github!B$438)</f>
        <v>Path Sum III</v>
      </c>
    </row>
    <row r="78">
      <c r="A78" s="13">
        <f>Github!J$123</f>
        <v>122</v>
      </c>
      <c r="B78" s="14" t="str">
        <f>HYPERLINK(CONCAT("http://leetcode.com/problems/",Github!C$123), Github!B$123)</f>
        <v>Best Time to Buy and Sell Stock II</v>
      </c>
      <c r="C78" s="18" t="s">
        <v>492</v>
      </c>
    </row>
    <row r="79">
      <c r="A79" s="13">
        <f>Github!J$439</f>
        <v>438</v>
      </c>
      <c r="B79" s="14" t="str">
        <f>HYPERLINK(CONCAT("http://leetcode.com/problems/",Github!C$439), Github!B$439)</f>
        <v>Find All Anagrams in a String</v>
      </c>
    </row>
    <row r="80">
      <c r="A80" s="13">
        <f>Github!J$417</f>
        <v>416</v>
      </c>
      <c r="B80" s="14" t="str">
        <f>HYPERLINK(CONCAT("http://leetcode.com/problems/",Github!C$417), Github!B$417)</f>
        <v>Partition Equal Subset Sum</v>
      </c>
      <c r="C80" s="18" t="s">
        <v>492</v>
      </c>
    </row>
    <row r="81">
      <c r="A81" s="13">
        <f>Github!J$75</f>
        <v>74</v>
      </c>
      <c r="B81" s="14" t="str">
        <f>HYPERLINK(CONCAT("http://leetcode.com/problems/",Github!C$75), Github!B$75)</f>
        <v>Search a 2D Matrix</v>
      </c>
      <c r="C81" s="18" t="s">
        <v>492</v>
      </c>
    </row>
    <row r="82">
      <c r="A82" s="13">
        <f>Github!J$241</f>
        <v>240</v>
      </c>
      <c r="B82" s="14" t="str">
        <f>HYPERLINK(CONCAT("http://leetcode.com/problems/",Github!C$241), Github!B$241)</f>
        <v>Search a 2D Matrix II</v>
      </c>
    </row>
    <row r="83">
      <c r="A83" s="13">
        <f>Github!J$65</f>
        <v>64</v>
      </c>
      <c r="B83" s="14" t="str">
        <f>HYPERLINK(CONCAT("http://leetcode.com/problems/",Github!C$65), Github!B$65)</f>
        <v>Minimum Path Sum</v>
      </c>
      <c r="C83" s="18" t="s">
        <v>492</v>
      </c>
    </row>
    <row r="84">
      <c r="A84" s="13">
        <f>Github!J$143</f>
        <v>142</v>
      </c>
      <c r="B84" s="14" t="str">
        <f>HYPERLINK(CONCAT("http://leetcode.com/problems/",Github!C$143), Github!B$143)</f>
        <v>Linked List Cycle II</v>
      </c>
      <c r="C84" s="18" t="s">
        <v>492</v>
      </c>
    </row>
    <row r="85">
      <c r="A85" s="13">
        <f>Github!J$97</f>
        <v>96</v>
      </c>
      <c r="B85" s="14" t="str">
        <f>HYPERLINK(CONCAT("http://leetcode.com/problems/",Github!C$97), Github!B$97)</f>
        <v>Unique Binary Search Trees</v>
      </c>
      <c r="C85" s="18" t="s">
        <v>492</v>
      </c>
    </row>
    <row r="86">
      <c r="A86" s="13">
        <f>Github!J$222</f>
        <v>221</v>
      </c>
      <c r="B86" s="14" t="str">
        <f>HYPERLINK(CONCAT("http://leetcode.com/problems/",Github!C$222), Github!B$222)</f>
        <v>Maximal Square</v>
      </c>
      <c r="C86" s="18" t="s">
        <v>492</v>
      </c>
    </row>
    <row r="87">
      <c r="A87" s="13">
        <f>Github!J$149</f>
        <v>148</v>
      </c>
      <c r="B87" s="14" t="str">
        <f>HYPERLINK(CONCAT("http://leetcode.com/problems/",Github!C$149), Github!B$149)</f>
        <v>Sort List</v>
      </c>
    </row>
    <row r="88">
      <c r="A88" s="13">
        <f>Github!J$8</f>
        <v>7</v>
      </c>
      <c r="B88" s="14" t="str">
        <f>HYPERLINK(CONCAT("http://leetcode.com/problems/",Github!C$8), Github!B$8)</f>
        <v>Reverse Integer</v>
      </c>
    </row>
    <row r="89">
      <c r="A89" s="13">
        <f>Github!J$55</f>
        <v>54</v>
      </c>
      <c r="B89" s="14" t="str">
        <f>HYPERLINK(CONCAT("http://leetcode.com/problems/",Github!C$55), Github!B$55)</f>
        <v>Spiral Matrix</v>
      </c>
    </row>
    <row r="90">
      <c r="A90" s="13">
        <f>Github!J$115</f>
        <v>114</v>
      </c>
      <c r="B90" s="14" t="str">
        <f>HYPERLINK(CONCAT("http://leetcode.com/problems/",Github!C$115), Github!B$115)</f>
        <v>Flatten Binary Tree to Linked List</v>
      </c>
      <c r="C90" s="18" t="s">
        <v>492</v>
      </c>
    </row>
    <row r="91">
      <c r="A91" s="13">
        <f>Github!J$231</f>
        <v>230</v>
      </c>
      <c r="B91" s="14" t="str">
        <f>HYPERLINK(CONCAT("http://leetcode.com/problems/",Github!C$231), Github!B$231)</f>
        <v>Kth Smallest Element in a BST</v>
      </c>
    </row>
    <row r="92">
      <c r="A92" s="13">
        <f>Github!J$26</f>
        <v>25</v>
      </c>
      <c r="B92" s="14" t="str">
        <f>HYPERLINK(CONCAT("http://leetcode.com/problems/",Github!C$26), Github!B$26)</f>
        <v>Reverse Nodes in k-Group</v>
      </c>
    </row>
    <row r="93">
      <c r="A93" s="13">
        <f>Github!J$209</f>
        <v>208</v>
      </c>
      <c r="B93" s="14" t="str">
        <f>HYPERLINK(CONCAT("http://leetcode.com/problems/",Github!C$209), Github!B$209)</f>
        <v>Implement Trie (Prefix Tree)</v>
      </c>
    </row>
    <row r="94">
      <c r="A94" s="13">
        <f>Github!J$25</f>
        <v>24</v>
      </c>
      <c r="B94" s="14" t="str">
        <f>HYPERLINK(CONCAT("http://leetcode.com/problems/",Github!C$25), Github!B$25)</f>
        <v>Swap Nodes in Pairs</v>
      </c>
    </row>
    <row r="95">
      <c r="A95" s="13">
        <f>Github!J$105</f>
        <v>104</v>
      </c>
      <c r="B95" s="14" t="str">
        <f>HYPERLINK(CONCAT("http://leetcode.com/problems/",Github!C$105), Github!B$105)</f>
        <v>Maximum Depth of Binary Tree</v>
      </c>
    </row>
    <row r="96">
      <c r="A96" s="13">
        <f>Github!J$339</f>
        <v>338</v>
      </c>
      <c r="B96" s="14" t="str">
        <f>HYPERLINK(CONCAT("http://leetcode.com/problems/",Github!C$339), Github!B$339)</f>
        <v>Counting Bits</v>
      </c>
    </row>
    <row r="97">
      <c r="A97" s="13">
        <f>Github!J$740</f>
        <v>739</v>
      </c>
      <c r="B97" s="14" t="str">
        <f>HYPERLINK(CONCAT("http://leetcode.com/problems/",Github!C$740), Github!B$740)</f>
        <v>Daily Temperatures</v>
      </c>
    </row>
    <row r="98">
      <c r="A98" s="13">
        <f>Github!J$74</f>
        <v>73</v>
      </c>
      <c r="B98" s="14" t="str">
        <f>HYPERLINK(CONCAT("http://leetcode.com/problems/",Github!C$74), Github!B$74)</f>
        <v>Set Matrix Zeroes</v>
      </c>
    </row>
    <row r="99">
      <c r="A99" s="13">
        <f>Github!J$92</f>
        <v>91</v>
      </c>
      <c r="B99" s="14" t="str">
        <f>HYPERLINK(CONCAT("http://leetcode.com/problems/",Github!C$92), Github!B$92)</f>
        <v>Decode Ways</v>
      </c>
    </row>
    <row r="100">
      <c r="A100" s="13">
        <f>Github!J$296</f>
        <v>295</v>
      </c>
      <c r="B100" s="14" t="str">
        <f>HYPERLINK(CONCAT("http://leetcode.com/problems/",Github!C$296), Github!B$296)</f>
        <v>Find Median from Data Stream</v>
      </c>
    </row>
    <row r="101">
      <c r="A101" s="13">
        <f>Github!J$648</f>
        <v>647</v>
      </c>
      <c r="B101" s="14" t="str">
        <f>HYPERLINK(CONCAT("http://leetcode.com/problems/",Github!C$648), Github!B$648)</f>
        <v>Palindromic Substrings</v>
      </c>
    </row>
    <row r="102">
      <c r="A102" s="13">
        <f>Github!J$154</f>
        <v>153</v>
      </c>
      <c r="B102" s="14" t="str">
        <f>HYPERLINK(CONCAT("http://leetcode.com/problems/",Github!C$154), Github!B$154)</f>
        <v>Find Minimum in Rotated Sorted Array</v>
      </c>
    </row>
    <row r="103">
      <c r="A103" s="13">
        <f>Github!J$495</f>
        <v>494</v>
      </c>
      <c r="B103" s="14" t="str">
        <f>HYPERLINK(CONCAT("http://leetcode.com/problems/",Github!C$495), Github!B$495)</f>
        <v>Target Sum</v>
      </c>
    </row>
    <row r="104">
      <c r="A104" s="13">
        <f>Github!J$132</f>
        <v>131</v>
      </c>
      <c r="B104" s="14" t="str">
        <f>HYPERLINK(CONCAT("http://leetcode.com/problems/",Github!C$132), Github!B$132)</f>
        <v>Palindrome Partitioning</v>
      </c>
    </row>
    <row r="105">
      <c r="A105" s="13">
        <f>Github!J$27</f>
        <v>26</v>
      </c>
      <c r="B105" s="14" t="str">
        <f>HYPERLINK(CONCAT("http://leetcode.com/problems/",Github!C$27), Github!B$27)</f>
        <v>Remove Duplicates from Sorted Array</v>
      </c>
    </row>
    <row r="106">
      <c r="A106" s="13">
        <f>Github!J$211</f>
        <v>210</v>
      </c>
      <c r="B106" s="14" t="str">
        <f>HYPERLINK(CONCAT("http://leetcode.com/problems/",Github!C$211), Github!B$211)</f>
        <v>Course Schedule II</v>
      </c>
    </row>
    <row r="107">
      <c r="A107" s="13">
        <f>Github!J$280</f>
        <v>279</v>
      </c>
      <c r="B107" s="14" t="str">
        <f>HYPERLINK(CONCAT("http://leetcode.com/problems/",Github!C$280), Github!B$280)</f>
        <v>Perfect Squares</v>
      </c>
    </row>
    <row r="108">
      <c r="A108" s="13">
        <f>Github!J$995</f>
        <v>994</v>
      </c>
      <c r="B108" s="14" t="str">
        <f>HYPERLINK(CONCAT("http://leetcode.com/problems/",Github!C$995), Github!B$995)</f>
        <v>Rotting Oranges</v>
      </c>
    </row>
    <row r="109">
      <c r="A109" s="13">
        <f>Github!J$298</f>
        <v>297</v>
      </c>
      <c r="B109" s="14" t="str">
        <f>HYPERLINK(CONCAT("http://leetcode.com/problems/",Github!C$298), Github!B$298)</f>
        <v>Serialize and Deserialize Binary Tree</v>
      </c>
    </row>
    <row r="110">
      <c r="A110" s="13">
        <f>Github!J$86</f>
        <v>85</v>
      </c>
      <c r="B110" s="14" t="str">
        <f>HYPERLINK(CONCAT("http://leetcode.com/problems/",Github!C$86), Github!B$86)</f>
        <v>Maximal Rectangle</v>
      </c>
    </row>
    <row r="111">
      <c r="A111" s="13">
        <f>Github!J$210</f>
        <v>209</v>
      </c>
      <c r="B111" s="14" t="str">
        <f>HYPERLINK(CONCAT("http://leetcode.com/problems/",Github!C$210), Github!B$210)</f>
        <v>Minimum Size Subarray Sum</v>
      </c>
    </row>
    <row r="112">
      <c r="A112" s="13">
        <f>Github!J$1144</f>
        <v>1143</v>
      </c>
      <c r="B112" s="14" t="str">
        <f>HYPERLINK(CONCAT("http://leetcode.com/problems/",Github!C$1144), Github!B$1144)</f>
        <v>Longest Common Subsequence</v>
      </c>
    </row>
    <row r="113">
      <c r="A113" s="13">
        <f>Github!J$117</f>
        <v>116</v>
      </c>
      <c r="B113" s="14" t="str">
        <f>HYPERLINK(CONCAT("http://leetcode.com/problems/",Github!C$117), Github!B$117)</f>
        <v>Populating Next Right Pointers in Each Node</v>
      </c>
    </row>
    <row r="114">
      <c r="A114" s="13">
        <f>Github!J$618</f>
        <v>617</v>
      </c>
      <c r="B114" s="14" t="str">
        <f>HYPERLINK(CONCAT("http://leetcode.com/problems/",Github!C$618), Github!B$618)</f>
        <v>Merge Two Binary Trees</v>
      </c>
    </row>
    <row r="115">
      <c r="A115" s="13">
        <f>Github!J$200</f>
        <v>199</v>
      </c>
      <c r="B115" s="14" t="str">
        <f>HYPERLINK(CONCAT("http://leetcode.com/problems/",Github!C$200), Github!B$200)</f>
        <v>Binary Tree Right Side View</v>
      </c>
    </row>
    <row r="116">
      <c r="A116" s="13">
        <f>Github!J$449</f>
        <v>448</v>
      </c>
      <c r="B116" s="14" t="str">
        <f>HYPERLINK(CONCAT("http://leetcode.com/problems/",Github!C$449), Github!B$449)</f>
        <v>Find All Numbers Disappeared in an Array</v>
      </c>
    </row>
    <row r="117">
      <c r="A117" s="13">
        <f>Github!J$582</f>
        <v>581</v>
      </c>
      <c r="B117" s="14" t="str">
        <f>HYPERLINK(CONCAT("http://leetcode.com/problems/",Github!C$582), Github!B$582)</f>
        <v>Shortest Unsorted Continuous Subarray</v>
      </c>
    </row>
    <row r="118">
      <c r="A118" s="13">
        <f>Github!J$109</f>
        <v>108</v>
      </c>
      <c r="B118" s="14" t="str">
        <f>HYPERLINK(CONCAT("http://leetcode.com/problems/",Github!C$109), Github!B$109)</f>
        <v>Convert Sorted Array to Binary Search Tree</v>
      </c>
    </row>
    <row r="119">
      <c r="A119" s="13">
        <f>Github!J$622</f>
        <v>621</v>
      </c>
      <c r="B119" s="14" t="str">
        <f>HYPERLINK(CONCAT("http://leetcode.com/problems/",Github!C$622), Github!B$622)</f>
        <v>Task Scheduler</v>
      </c>
    </row>
    <row r="120">
      <c r="A120" s="13">
        <f>Github!J$19</f>
        <v>18</v>
      </c>
      <c r="B120" s="14" t="str">
        <f>HYPERLINK(CONCAT("http://leetcode.com/problems/",Github!C$19), Github!B$19)</f>
        <v>4Sum</v>
      </c>
    </row>
    <row r="121">
      <c r="A121" s="13">
        <f>Github!J$330</f>
        <v>329</v>
      </c>
      <c r="B121" s="14" t="str">
        <f>HYPERLINK(CONCAT("http://leetcode.com/problems/",Github!C$330), Github!B$330)</f>
        <v>Longest Increasing Path in a Matrix</v>
      </c>
    </row>
    <row r="122">
      <c r="A122" s="13">
        <f>Github!J$864</f>
        <v>863</v>
      </c>
      <c r="B122" s="14" t="str">
        <f>HYPERLINK(CONCAT("http://leetcode.com/problems/",Github!C$864), Github!B$864)</f>
        <v>All Nodes Distance K in Binary Tree</v>
      </c>
    </row>
    <row r="123">
      <c r="A123" s="13">
        <f>Github!J$443</f>
        <v>442</v>
      </c>
      <c r="B123" s="14" t="str">
        <f>HYPERLINK(CONCAT("http://leetcode.com/problems/",Github!C$443), Github!B$443)</f>
        <v>Find All Duplicates in an Array</v>
      </c>
    </row>
    <row r="124">
      <c r="A124" s="13">
        <f>Github!J$338</f>
        <v>337</v>
      </c>
      <c r="B124" s="14" t="str">
        <f>HYPERLINK(CONCAT("http://leetcode.com/problems/",Github!C$338), Github!B$338)</f>
        <v>House Robber III</v>
      </c>
    </row>
    <row r="125">
      <c r="A125" s="13">
        <f>Github!J$93</f>
        <v>92</v>
      </c>
      <c r="B125" s="14" t="str">
        <f>HYPERLINK(CONCAT("http://leetcode.com/problems/",Github!C$93), Github!B$93)</f>
        <v>Reverse Linked List II</v>
      </c>
    </row>
    <row r="126">
      <c r="A126" s="13">
        <f>Github!J$269</f>
        <v>268</v>
      </c>
      <c r="B126" s="14" t="str">
        <f>HYPERLINK(CONCAT("http://leetcode.com/problems/",Github!C$269), Github!B$269)</f>
        <v>Missing Number</v>
      </c>
    </row>
    <row r="127">
      <c r="A127" s="13">
        <f>Github!J$163</f>
        <v>162</v>
      </c>
      <c r="B127" s="14" t="str">
        <f>HYPERLINK(CONCAT("http://leetcode.com/problems/",Github!C$163), Github!B$163)</f>
        <v>Find Peak Element</v>
      </c>
    </row>
    <row r="128">
      <c r="A128" s="13">
        <f>Github!J$403</f>
        <v>402</v>
      </c>
      <c r="B128" s="14" t="str">
        <f>HYPERLINK(CONCAT("http://leetcode.com/problems/",Github!C$403), Github!B$403)</f>
        <v>Remove K Digits</v>
      </c>
    </row>
    <row r="129">
      <c r="A129" s="13">
        <f>Github!J$696</f>
        <v>695</v>
      </c>
      <c r="B129" s="14" t="str">
        <f>HYPERLINK(CONCAT("http://leetcode.com/problems/",Github!C$696), Github!B$696)</f>
        <v>Max Area of Island</v>
      </c>
    </row>
    <row r="130">
      <c r="A130" s="13">
        <f>Github!J$174</f>
        <v>173</v>
      </c>
      <c r="B130" s="14" t="str">
        <f>HYPERLINK(CONCAT("http://leetcode.com/problems/",Github!C$174), Github!B$174)</f>
        <v>Binary Search Tree Iterator</v>
      </c>
    </row>
    <row r="131">
      <c r="A131" s="13">
        <f>Github!J$213</f>
        <v>212</v>
      </c>
      <c r="B131" s="14" t="str">
        <f>HYPERLINK(CONCAT("http://leetcode.com/problems/",Github!C$213), Github!B$213)</f>
        <v>Word Search II</v>
      </c>
    </row>
    <row r="132">
      <c r="A132" s="13">
        <f>Github!J$313</f>
        <v>312</v>
      </c>
      <c r="B132" s="14" t="str">
        <f>HYPERLINK(CONCAT("http://leetcode.com/problems/",Github!C$313), Github!B$313)</f>
        <v>Burst Balloons</v>
      </c>
    </row>
    <row r="133">
      <c r="A133" s="13">
        <f>Github!J$144</f>
        <v>143</v>
      </c>
      <c r="B133" s="14" t="str">
        <f>HYPERLINK(CONCAT("http://leetcode.com/problems/",Github!C$144), Github!B$144)</f>
        <v>Reorder List</v>
      </c>
    </row>
    <row r="134">
      <c r="A134" s="13">
        <f>Github!J$568</f>
        <v>567</v>
      </c>
      <c r="B134" s="14" t="str">
        <f>HYPERLINK(CONCAT("http://leetcode.com/problems/",Github!C$568), Github!B$568)</f>
        <v>Permutation in String</v>
      </c>
    </row>
    <row r="135">
      <c r="A135" s="13">
        <f>Github!J$52</f>
        <v>51</v>
      </c>
      <c r="B135" s="14" t="str">
        <f>HYPERLINK(CONCAT("http://leetcode.com/problems/",Github!C$52), Github!B$52)</f>
        <v>N-Queens</v>
      </c>
    </row>
    <row r="136">
      <c r="A136" s="13">
        <f>Github!J$747</f>
        <v>746</v>
      </c>
      <c r="B136" s="14" t="str">
        <f>HYPERLINK(CONCAT("http://leetcode.com/problems/",Github!C$747), Github!B$747)</f>
        <v>Min Cost Climbing Stairs</v>
      </c>
    </row>
    <row r="137">
      <c r="A137" s="13">
        <f>Github!J$104</f>
        <v>103</v>
      </c>
      <c r="B137" s="14" t="str">
        <f>HYPERLINK(CONCAT("http://leetcode.com/problems/",Github!C$104), Github!B$104)</f>
        <v>Binary Tree Zigzag Level Order Traversal</v>
      </c>
    </row>
    <row r="138">
      <c r="A138" s="13">
        <f>Github!J$411</f>
        <v>410</v>
      </c>
      <c r="B138" s="14" t="str">
        <f>HYPERLINK(CONCAT("http://leetcode.com/problems/",Github!C$411), Github!B$411)</f>
        <v>Split Array Largest Sum</v>
      </c>
    </row>
    <row r="139">
      <c r="A139" s="13">
        <f>Github!J$111</f>
        <v>110</v>
      </c>
      <c r="B139" s="14" t="str">
        <f>HYPERLINK(CONCAT("http://leetcode.com/problems/",Github!C$111), Github!B$111)</f>
        <v>Balanced Binary Tree</v>
      </c>
    </row>
    <row r="140">
      <c r="A140" s="13">
        <f>Github!J$10</f>
        <v>9</v>
      </c>
      <c r="B140" s="14" t="str">
        <f>HYPERLINK(CONCAT("http://leetcode.com/problems/",Github!C$10), Github!B$10)</f>
        <v>Palindrome Number</v>
      </c>
    </row>
    <row r="141">
      <c r="A141" s="13">
        <f>Github!J$135</f>
        <v>134</v>
      </c>
      <c r="B141" s="14" t="str">
        <f>HYPERLINK(CONCAT("http://leetcode.com/problems/",Github!C$135), Github!B$135)</f>
        <v>Gas Station</v>
      </c>
    </row>
    <row r="142">
      <c r="A142" s="13">
        <f>Github!J$17</f>
        <v>16</v>
      </c>
      <c r="B142" s="14" t="str">
        <f>HYPERLINK(CONCAT("http://leetcode.com/problems/",Github!C$17), Github!B$17)</f>
        <v>3Sum Closest</v>
      </c>
    </row>
    <row r="143">
      <c r="A143" s="13">
        <f>Github!J$379</f>
        <v>378</v>
      </c>
      <c r="B143" s="14" t="str">
        <f>HYPERLINK(CONCAT("http://leetcode.com/problems/",Github!C$379), Github!B$379)</f>
        <v>Kth Smallest Element in a Sorted Matrix</v>
      </c>
    </row>
    <row r="144">
      <c r="A144" s="13">
        <f>Github!J$124</f>
        <v>123</v>
      </c>
      <c r="B144" s="14" t="str">
        <f>HYPERLINK(CONCAT("http://leetcode.com/problems/",Github!C$124), Github!B$124)</f>
        <v>Best Time to Buy and Sell Stock III</v>
      </c>
    </row>
    <row r="145">
      <c r="A145" s="13">
        <f>Github!J$119</f>
        <v>118</v>
      </c>
      <c r="B145" s="14" t="str">
        <f>HYPERLINK(CONCAT("http://leetcode.com/problems/",Github!C$119), Github!B$119)</f>
        <v>Pascal's Triangle</v>
      </c>
    </row>
    <row r="146">
      <c r="A146" s="13">
        <f>Github!J$101</f>
        <v>100</v>
      </c>
      <c r="B146" s="14" t="str">
        <f>HYPERLINK(CONCAT("http://leetcode.com/problems/",Github!C$101), Github!B$101)</f>
        <v>Same Tree</v>
      </c>
    </row>
    <row r="147">
      <c r="A147" s="13">
        <f>Github!J$236</f>
        <v>235</v>
      </c>
      <c r="B147" s="14" t="str">
        <f>HYPERLINK(CONCAT("http://leetcode.com/problems/",Github!C$236), Github!B$236)</f>
        <v>Lowest Common Ancestor of a Binary Search Tree</v>
      </c>
    </row>
    <row r="148">
      <c r="A148" s="13">
        <f>Github!J$400</f>
        <v>399</v>
      </c>
      <c r="B148" s="14" t="str">
        <f>HYPERLINK(CONCAT("http://leetcode.com/problems/",Github!C$400), Github!B$400)</f>
        <v>Evaluate Division</v>
      </c>
    </row>
    <row r="149">
      <c r="A149" s="13">
        <f>Github!J$83</f>
        <v>82</v>
      </c>
      <c r="B149" s="14" t="str">
        <f>HYPERLINK(CONCAT("http://leetcode.com/problems/",Github!C$83), Github!B$83)</f>
        <v>Remove Duplicates from Sorted List II</v>
      </c>
    </row>
    <row r="150">
      <c r="A150" s="13">
        <f>Github!J$134</f>
        <v>133</v>
      </c>
      <c r="B150" s="14" t="str">
        <f>HYPERLINK(CONCAT("http://leetcode.com/problems/",Github!C$134), Github!B$134)</f>
        <v>Clone Graph</v>
      </c>
    </row>
    <row r="151">
      <c r="A151" s="13">
        <f>Github!J$310</f>
        <v>309</v>
      </c>
      <c r="B151" s="14" t="str">
        <f>HYPERLINK(CONCAT("http://leetcode.com/problems/",Github!C$310), Github!B$310)</f>
        <v>Best Time to Buy and Sell Stock with Cooldown</v>
      </c>
    </row>
    <row r="152">
      <c r="A152" s="13">
        <f>Github!J$48</f>
        <v>47</v>
      </c>
      <c r="B152" s="14" t="str">
        <f>HYPERLINK(CONCAT("http://leetcode.com/problems/",Github!C$48), Github!B$48)</f>
        <v>Permutations II</v>
      </c>
    </row>
    <row r="153">
      <c r="A153" s="13">
        <f>Github!J$681</f>
        <v>680</v>
      </c>
      <c r="B153" s="14" t="str">
        <f>HYPERLINK(CONCAT("http://leetcode.com/problems/",Github!C$681), Github!B$681)</f>
        <v>Valid Palindrome II</v>
      </c>
    </row>
    <row r="154">
      <c r="A154" s="13">
        <f>Github!J$974</f>
        <v>973</v>
      </c>
      <c r="B154" s="14" t="str">
        <f>HYPERLINK(CONCAT("http://leetcode.com/problems/",Github!C$974), Github!B$974)</f>
        <v>K Closest Points to Origin</v>
      </c>
    </row>
    <row r="155">
      <c r="A155" s="13">
        <f>Github!J$168</f>
        <v>167</v>
      </c>
      <c r="B155" s="14" t="str">
        <f>HYPERLINK(CONCAT("http://leetcode.com/problems/",Github!C$168), Github!B$168)</f>
        <v>Two Sum II - Input Array Is Sorted</v>
      </c>
    </row>
    <row r="156">
      <c r="A156" s="13">
        <f>Github!J$214</f>
        <v>213</v>
      </c>
      <c r="B156" s="14" t="str">
        <f>HYPERLINK(CONCAT("http://leetcode.com/problems/",Github!C$214), Github!B$214)</f>
        <v>House Robber II</v>
      </c>
    </row>
    <row r="157">
      <c r="A157" s="13">
        <f>Github!J$316</f>
        <v>315</v>
      </c>
      <c r="B157" s="14" t="str">
        <f>HYPERLINK(CONCAT("http://leetcode.com/problems/",Github!C$316), Github!B$316)</f>
        <v>Count of Smaller Numbers After Self</v>
      </c>
    </row>
    <row r="158">
      <c r="A158" s="13">
        <f>Github!J$113</f>
        <v>112</v>
      </c>
      <c r="B158" s="14" t="str">
        <f>HYPERLINK(CONCAT("http://leetcode.com/problems/",Github!C$113), Github!B$113)</f>
        <v>Path Sum</v>
      </c>
    </row>
    <row r="159">
      <c r="A159" s="13">
        <f>Github!J$254</f>
        <v>253</v>
      </c>
      <c r="B159" s="14" t="str">
        <f>HYPERLINK(CONCAT("http://leetcode.com/problems/",Github!C$254), Github!B$254)</f>
        <v>Meeting Rooms II</v>
      </c>
    </row>
    <row r="160">
      <c r="A160" s="13">
        <f>Github!J$203</f>
        <v>202</v>
      </c>
      <c r="B160" s="14" t="str">
        <f>HYPERLINK(CONCAT("http://leetcode.com/problems/",Github!C$203), Github!B$203)</f>
        <v>Happy Number</v>
      </c>
    </row>
    <row r="161">
      <c r="A161" s="13">
        <f>Github!J$877</f>
        <v>876</v>
      </c>
      <c r="B161" s="14" t="str">
        <f>HYPERLINK(CONCAT("http://leetcode.com/problems/",Github!C$877), Github!B$877)</f>
        <v>Middle of the Linked List</v>
      </c>
    </row>
    <row r="162">
      <c r="A162" s="13">
        <f>Github!J$381</f>
        <v>380</v>
      </c>
      <c r="B162" s="14" t="str">
        <f>HYPERLINK(CONCAT("http://leetcode.com/problems/",Github!C$381), Github!B$381)</f>
        <v>Insert Delete GetRandom O(1)</v>
      </c>
    </row>
    <row r="163">
      <c r="A163" s="13">
        <f>Github!J$41</f>
        <v>40</v>
      </c>
      <c r="B163" s="14" t="str">
        <f>HYPERLINK(CONCAT("http://leetcode.com/problems/",Github!C$41), Github!B$41)</f>
        <v>Combination Sum II</v>
      </c>
    </row>
    <row r="164">
      <c r="A164" s="13">
        <f>Github!J$451</f>
        <v>450</v>
      </c>
      <c r="B164" s="14" t="str">
        <f>HYPERLINK(CONCAT("http://leetcode.com/problems/",Github!C$451), Github!B$451)</f>
        <v>Delete Node in a BST</v>
      </c>
    </row>
    <row r="165">
      <c r="A165" s="13">
        <f>Github!J$978</f>
        <v>977</v>
      </c>
      <c r="B165" s="14" t="str">
        <f>HYPERLINK(CONCAT("http://leetcode.com/problems/",Github!C$978), Github!B$978)</f>
        <v>Squares of a Sorted Array</v>
      </c>
    </row>
    <row r="166">
      <c r="A166" s="13">
        <f>Github!J$573</f>
        <v>572</v>
      </c>
      <c r="B166" s="14" t="str">
        <f>HYPERLINK(CONCAT("http://leetcode.com/problems/",Github!C$573), Github!B$573)</f>
        <v>Subtree of Another Tree</v>
      </c>
    </row>
    <row r="167">
      <c r="A167" s="13">
        <f>Github!J$526</f>
        <v>525</v>
      </c>
      <c r="B167" s="14" t="str">
        <f>HYPERLINK(CONCAT("http://leetcode.com/problems/",Github!C$526), Github!B$526)</f>
        <v>Contiguous Array</v>
      </c>
    </row>
    <row r="168">
      <c r="A168" s="13">
        <f>Github!J$329</f>
        <v>328</v>
      </c>
      <c r="B168" s="14" t="str">
        <f>HYPERLINK(CONCAT("http://leetcode.com/problems/",Github!C$329), Github!B$329)</f>
        <v>Odd Even Linked List</v>
      </c>
    </row>
    <row r="169">
      <c r="A169" s="13">
        <f>Github!J$100</f>
        <v>99</v>
      </c>
      <c r="B169" s="14" t="str">
        <f>HYPERLINK(CONCAT("http://leetcode.com/problems/",Github!C$100), Github!B$100)</f>
        <v>Recover Binary Search Tree</v>
      </c>
    </row>
    <row r="170">
      <c r="A170" s="13">
        <f>Github!J$317</f>
        <v>316</v>
      </c>
      <c r="B170" s="14" t="str">
        <f>HYPERLINK(CONCAT("http://leetcode.com/problems/",Github!C$317), Github!B$317)</f>
        <v>Remove Duplicate Letters</v>
      </c>
    </row>
    <row r="171">
      <c r="A171" s="13">
        <f>Github!J$517</f>
        <v>516</v>
      </c>
      <c r="B171" s="14" t="str">
        <f>HYPERLINK(CONCAT("http://leetcode.com/problems/",Github!C$517), Github!B$517)</f>
        <v>Longest Palindromic Subsequence</v>
      </c>
    </row>
    <row r="172">
      <c r="A172" s="13">
        <f>Github!J$311</f>
        <v>310</v>
      </c>
      <c r="B172" s="14" t="str">
        <f>HYPERLINK(CONCAT("http://leetcode.com/problems/",Github!C$311), Github!B$311)</f>
        <v>Minimum Height Trees</v>
      </c>
    </row>
    <row r="173">
      <c r="A173" s="13">
        <f>Github!J$38</f>
        <v>37</v>
      </c>
      <c r="B173" s="14" t="str">
        <f>HYPERLINK(CONCAT("http://leetcode.com/problems/",Github!C$38), Github!B$38)</f>
        <v>Sudoku Solver</v>
      </c>
    </row>
    <row r="174">
      <c r="A174" s="13">
        <f>Github!J$62</f>
        <v>61</v>
      </c>
      <c r="B174" s="14" t="str">
        <f>HYPERLINK(CONCAT("http://leetcode.com/problems/",Github!C$62), Github!B$62)</f>
        <v>Rotate List</v>
      </c>
    </row>
    <row r="175">
      <c r="A175" s="13">
        <f>Github!J$64</f>
        <v>63</v>
      </c>
      <c r="B175" s="14" t="str">
        <f>HYPERLINK(CONCAT("http://leetcode.com/problems/",Github!C$64), Github!B$64)</f>
        <v>Unique Paths II</v>
      </c>
    </row>
    <row r="176">
      <c r="A176" s="13">
        <f>Github!J$541</f>
        <v>540</v>
      </c>
      <c r="B176" s="14" t="str">
        <f>HYPERLINK(CONCAT("http://leetcode.com/problems/",Github!C$541), Github!B$541)</f>
        <v>Single Element in a Sorted Array</v>
      </c>
    </row>
    <row r="177">
      <c r="A177" s="13">
        <f>Github!J$519</f>
        <v>518</v>
      </c>
      <c r="B177" s="14" t="str">
        <f>HYPERLINK(CONCAT("http://leetcode.com/problems/",Github!C$519), Github!B$519)</f>
        <v>Coin Change II</v>
      </c>
    </row>
    <row r="178">
      <c r="A178" s="13">
        <f>Github!J$548</f>
        <v>547</v>
      </c>
      <c r="B178" s="14" t="str">
        <f>HYPERLINK(CONCAT("http://leetcode.com/problems/",Github!C$548), Github!B$548)</f>
        <v>Number of Provinces</v>
      </c>
    </row>
    <row r="179">
      <c r="A179" s="13">
        <f>Github!J$37</f>
        <v>36</v>
      </c>
      <c r="B179" s="14" t="str">
        <f>HYPERLINK(CONCAT("http://leetcode.com/problems/",Github!C$37), Github!B$37)</f>
        <v>Valid Sudoku</v>
      </c>
    </row>
    <row r="180">
      <c r="A180" s="13">
        <f>Github!J$91</f>
        <v>90</v>
      </c>
      <c r="B180" s="14" t="str">
        <f>HYPERLINK(CONCAT("http://leetcode.com/problems/",Github!C$91), Github!B$91)</f>
        <v>Subsets II</v>
      </c>
    </row>
    <row r="181">
      <c r="A181" s="13">
        <f>Github!J$345</f>
        <v>344</v>
      </c>
      <c r="B181" s="14" t="str">
        <f>HYPERLINK(CONCAT("http://leetcode.com/problems/",Github!C$345), Github!B$345)</f>
        <v>Reverse String</v>
      </c>
    </row>
    <row r="182">
      <c r="A182" s="13">
        <f>Github!J$68</f>
        <v>67</v>
      </c>
      <c r="B182" s="14" t="str">
        <f>HYPERLINK(CONCAT("http://leetcode.com/problems/",Github!C$68), Github!B$68)</f>
        <v>Add Binary</v>
      </c>
    </row>
    <row r="183">
      <c r="A183" s="13">
        <f>Github!J$204</f>
        <v>203</v>
      </c>
      <c r="B183" s="14" t="str">
        <f>HYPERLINK(CONCAT("http://leetcode.com/problems/",Github!C$204), Github!B$204)</f>
        <v>Remove Linked List Elements</v>
      </c>
    </row>
    <row r="184">
      <c r="A184" s="13">
        <f>Github!J$388</f>
        <v>387</v>
      </c>
      <c r="B184" s="14" t="str">
        <f>HYPERLINK(CONCAT("http://leetcode.com/problems/",Github!C$388), Github!B$388)</f>
        <v>First Unique Character in a String</v>
      </c>
    </row>
    <row r="185">
      <c r="A185" s="13">
        <f>Github!J$243</f>
        <v>242</v>
      </c>
      <c r="B185" s="14" t="str">
        <f>HYPERLINK(CONCAT("http://leetcode.com/problems/",Github!C$243), Github!B$243)</f>
        <v>Valid Anagram</v>
      </c>
    </row>
    <row r="186">
      <c r="A186" s="13">
        <f>Github!J$705</f>
        <v>704</v>
      </c>
      <c r="B186" s="14" t="str">
        <f>HYPERLINK(CONCAT("http://leetcode.com/problems/",Github!C$705), Github!B$705)</f>
        <v>Binary Search</v>
      </c>
    </row>
    <row r="187">
      <c r="A187" s="13">
        <f>Github!J$121</f>
        <v>120</v>
      </c>
      <c r="B187" s="14" t="str">
        <f>HYPERLINK(CONCAT("http://leetcode.com/problems/",Github!C$121), Github!B$121)</f>
        <v>Triangle</v>
      </c>
    </row>
    <row r="188">
      <c r="A188" s="13">
        <f>Github!J$788</f>
        <v>787</v>
      </c>
      <c r="B188" s="14" t="str">
        <f>HYPERLINK(CONCAT("http://leetcode.com/problems/",Github!C$788), Github!B$788)</f>
        <v>Cheapest Flights Within K Stops</v>
      </c>
    </row>
    <row r="189">
      <c r="A189" s="13">
        <f>Github!J$279</f>
        <v>278</v>
      </c>
      <c r="B189" s="14" t="str">
        <f>HYPERLINK(CONCAT("http://leetcode.com/problems/",Github!C$279), Github!B$279)</f>
        <v>First Bad Version</v>
      </c>
    </row>
    <row r="190">
      <c r="A190" s="13">
        <f>Github!J$223</f>
        <v>222</v>
      </c>
      <c r="B190" s="14" t="str">
        <f>HYPERLINK(CONCAT("http://leetcode.com/problems/",Github!C$223), Github!B$223)</f>
        <v>Count Complete Tree Nodes</v>
      </c>
    </row>
    <row r="191">
      <c r="A191" s="13">
        <f>Github!J$230</f>
        <v>229</v>
      </c>
      <c r="B191" s="14" t="str">
        <f>HYPERLINK(CONCAT("http://leetcode.com/problems/",Github!C$230), Github!B$230)</f>
        <v>Majority Element II</v>
      </c>
    </row>
    <row r="192">
      <c r="A192" s="13">
        <f>Github!J$58</f>
        <v>57</v>
      </c>
      <c r="B192" s="14" t="str">
        <f>HYPERLINK(CONCAT("http://leetcode.com/problems/",Github!C$58), Github!B$58)</f>
        <v>Insert Interval</v>
      </c>
    </row>
    <row r="193">
      <c r="A193" s="13">
        <f>Github!J$180</f>
        <v>179</v>
      </c>
      <c r="B193" s="14" t="str">
        <f>HYPERLINK(CONCAT("http://leetcode.com/problems/",Github!C$180), Github!B$180)</f>
        <v>Largest Number</v>
      </c>
    </row>
    <row r="194">
      <c r="A194" s="13">
        <f>Github!J$131</f>
        <v>130</v>
      </c>
      <c r="B194" s="14" t="str">
        <f>HYPERLINK(CONCAT("http://leetcode.com/problems/",Github!C$131), Github!B$131)</f>
        <v>Surrounded Regions</v>
      </c>
    </row>
    <row r="195">
      <c r="A195" s="13">
        <f>Github!J$744</f>
        <v>743</v>
      </c>
      <c r="B195" s="14" t="str">
        <f>HYPERLINK(CONCAT("http://leetcode.com/problems/",Github!C$744), Github!B$744)</f>
        <v>Network Delay Time</v>
      </c>
    </row>
    <row r="196">
      <c r="A196" s="13">
        <f>Github!J$212</f>
        <v>211</v>
      </c>
      <c r="B196" s="14" t="str">
        <f>HYPERLINK(CONCAT("http://leetcode.com/problems/",Github!C$212), Github!B$212)</f>
        <v>Design Add and Search Words Data Structure</v>
      </c>
    </row>
    <row r="197">
      <c r="A197" s="13">
        <f>Github!J$845</f>
        <v>844</v>
      </c>
      <c r="B197" s="14" t="str">
        <f>HYPERLINK(CONCAT("http://leetcode.com/problems/",Github!C$845), Github!B$845)</f>
        <v>Backspace String Compare</v>
      </c>
    </row>
    <row r="198">
      <c r="A198" s="13">
        <f>Github!J$84</f>
        <v>83</v>
      </c>
      <c r="B198" s="14" t="str">
        <f>HYPERLINK(CONCAT("http://leetcode.com/problems/",Github!C$84), Github!B$84)</f>
        <v>Remove Duplicates from Sorted List</v>
      </c>
    </row>
    <row r="199">
      <c r="A199" s="13">
        <f>Github!J$205</f>
        <v>204</v>
      </c>
      <c r="B199" s="14" t="str">
        <f>HYPERLINK(CONCAT("http://leetcode.com/problems/",Github!C$205), Github!B$205)</f>
        <v>Count Primes</v>
      </c>
    </row>
    <row r="200">
      <c r="A200" s="13">
        <f>Github!J$218</f>
        <v>217</v>
      </c>
      <c r="B200" s="14" t="str">
        <f>HYPERLINK(CONCAT("http://leetcode.com/problems/",Github!C$218), Github!B$218)</f>
        <v>Contains Duplicate</v>
      </c>
    </row>
  </sheetData>
  <drawing r:id="rId1"/>
</worksheet>
</file>